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nttlimited.sharepoint.com/teams/ShopriteE-CommerceArchitecture/Shared Documents/General/Client Docs/Transpharm Newco/"/>
    </mc:Choice>
  </mc:AlternateContent>
  <xr:revisionPtr revIDLastSave="0" documentId="11_91D9521FF60150E41AD3BE155C5194909356A9A6" xr6:coauthVersionLast="46" xr6:coauthVersionMax="46" xr10:uidLastSave="{00000000-0000-0000-0000-000000000000}"/>
  <bookViews>
    <workbookView xWindow="-108" yWindow="-108" windowWidth="23256" windowHeight="12252" activeTab="2" xr2:uid="{00000000-000D-0000-FFFF-FFFF00000000}"/>
  </bookViews>
  <sheets>
    <sheet name="Preferences" sheetId="1" r:id="rId1"/>
    <sheet name="Key Design Decisions" sheetId="2" r:id="rId2"/>
    <sheet name="Requirements List" sheetId="3" r:id="rId3"/>
    <sheet name="Index" sheetId="4" r:id="rId4"/>
    <sheet name="Business Processes Impacted" sheetId="5" r:id="rId5"/>
    <sheet name="Functional" sheetId="6" r:id="rId6"/>
    <sheet name="Information" sheetId="7" r:id="rId7"/>
    <sheet name="Non-Functional" sheetId="8" r:id="rId8"/>
    <sheet name="Data" sheetId="9" r:id="rId9"/>
    <sheet name="Glossary" sheetId="10" r:id="rId10"/>
    <sheet name="Constrains+Issues+Risks" sheetId="11" r:id="rId11"/>
    <sheet name="Requirements" sheetId="12" r:id="rId12"/>
    <sheet name="Mindmap" sheetId="13" r:id="rId13"/>
    <sheet name="Config" sheetId="14" r:id="rId14"/>
  </sheets>
  <definedNames>
    <definedName name="_xlnm._FilterDatabase" localSheetId="1" hidden="1">'Key Design Decisions'!$A$1:$AC$1284</definedName>
    <definedName name="_xlnm._FilterDatabase" localSheetId="2" hidden="1">'Requirements List'!$A$1:$M$999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13" l="1"/>
  <c r="D1" i="13" s="1"/>
  <c r="A2" i="12" a="1"/>
  <c r="A2195" i="12" s="1"/>
  <c r="D7" i="11"/>
  <c r="C7" i="11"/>
  <c r="B7" i="11"/>
  <c r="D6" i="11"/>
  <c r="C6" i="11"/>
  <c r="B6" i="11"/>
  <c r="D5" i="11"/>
  <c r="C5" i="11"/>
  <c r="B5" i="11"/>
  <c r="D4" i="11"/>
  <c r="C4" i="11"/>
  <c r="B4" i="11"/>
  <c r="D3" i="11"/>
  <c r="C3" i="11"/>
  <c r="B3" i="11"/>
  <c r="D2" i="11"/>
  <c r="B2" i="11"/>
  <c r="A2" i="11"/>
  <c r="D1" i="11"/>
  <c r="C1" i="11"/>
  <c r="B1" i="11"/>
  <c r="A1" i="11"/>
  <c r="D53" i="10"/>
  <c r="C53" i="10"/>
  <c r="B53" i="10"/>
  <c r="D52" i="10"/>
  <c r="C52" i="10"/>
  <c r="B52" i="10"/>
  <c r="D51" i="10"/>
  <c r="C51" i="10"/>
  <c r="B51" i="10"/>
  <c r="D50" i="10"/>
  <c r="C50" i="10"/>
  <c r="B50" i="10"/>
  <c r="A50" i="10"/>
  <c r="D49" i="10"/>
  <c r="C49" i="10"/>
  <c r="B49" i="10"/>
  <c r="D48" i="10"/>
  <c r="C48" i="10"/>
  <c r="B48" i="10"/>
  <c r="D47" i="10"/>
  <c r="C47" i="10"/>
  <c r="B47" i="10"/>
  <c r="D46" i="10"/>
  <c r="C46" i="10"/>
  <c r="B46" i="10"/>
  <c r="D45" i="10"/>
  <c r="C45" i="10"/>
  <c r="B45" i="10"/>
  <c r="D44" i="10"/>
  <c r="C44" i="10"/>
  <c r="B44" i="10"/>
  <c r="D43" i="10"/>
  <c r="C43" i="10"/>
  <c r="B43" i="10"/>
  <c r="A43" i="10"/>
  <c r="D42" i="10"/>
  <c r="C42" i="10"/>
  <c r="B42" i="10"/>
  <c r="D41" i="10"/>
  <c r="C41" i="10"/>
  <c r="B41" i="10"/>
  <c r="D40" i="10"/>
  <c r="C40" i="10"/>
  <c r="B40" i="10"/>
  <c r="D39" i="10"/>
  <c r="C39" i="10"/>
  <c r="B39" i="10"/>
  <c r="D38" i="10"/>
  <c r="C38" i="10"/>
  <c r="B38" i="10"/>
  <c r="D37" i="10"/>
  <c r="C37" i="10"/>
  <c r="B37" i="10"/>
  <c r="D36" i="10"/>
  <c r="C36" i="10"/>
  <c r="B36" i="10"/>
  <c r="D35" i="10"/>
  <c r="C35" i="10"/>
  <c r="B35" i="10"/>
  <c r="D34" i="10"/>
  <c r="C34" i="10"/>
  <c r="B34" i="10"/>
  <c r="D33" i="10"/>
  <c r="C33" i="10"/>
  <c r="B33" i="10"/>
  <c r="D32" i="10"/>
  <c r="C32" i="10"/>
  <c r="B32" i="10"/>
  <c r="D31" i="10"/>
  <c r="C31" i="10"/>
  <c r="B31" i="10"/>
  <c r="D30" i="10"/>
  <c r="C30" i="10"/>
  <c r="B30" i="10"/>
  <c r="D29" i="10"/>
  <c r="C29" i="10"/>
  <c r="B29" i="10"/>
  <c r="D28" i="10"/>
  <c r="C28" i="10"/>
  <c r="B28" i="10"/>
  <c r="D27" i="10"/>
  <c r="C27" i="10"/>
  <c r="B27" i="10"/>
  <c r="A27" i="10"/>
  <c r="D26" i="10"/>
  <c r="C26" i="10"/>
  <c r="B26" i="10"/>
  <c r="D25" i="10"/>
  <c r="C25" i="10"/>
  <c r="B25" i="10"/>
  <c r="D24" i="10"/>
  <c r="C24" i="10"/>
  <c r="B24" i="10"/>
  <c r="D23" i="10"/>
  <c r="C23" i="10"/>
  <c r="B23" i="10"/>
  <c r="D22" i="10"/>
  <c r="C22" i="10"/>
  <c r="B22" i="10"/>
  <c r="A22" i="10"/>
  <c r="D21" i="10"/>
  <c r="C21" i="10"/>
  <c r="B21" i="10"/>
  <c r="D20" i="10"/>
  <c r="C20" i="10"/>
  <c r="B20" i="10"/>
  <c r="D19" i="10"/>
  <c r="C19" i="10"/>
  <c r="B19" i="10"/>
  <c r="D18" i="10"/>
  <c r="C18" i="10"/>
  <c r="B18" i="10"/>
  <c r="D17" i="10"/>
  <c r="C17" i="10"/>
  <c r="B17" i="10"/>
  <c r="D16" i="10"/>
  <c r="C16" i="10"/>
  <c r="B16" i="10"/>
  <c r="D15" i="10"/>
  <c r="C15" i="10"/>
  <c r="B15" i="10"/>
  <c r="D14" i="10"/>
  <c r="C14" i="10"/>
  <c r="B14" i="10"/>
  <c r="A14" i="10"/>
  <c r="D13" i="10"/>
  <c r="C13" i="10"/>
  <c r="B13" i="10"/>
  <c r="D12" i="10"/>
  <c r="C12" i="10"/>
  <c r="B12" i="10"/>
  <c r="D11" i="10"/>
  <c r="C11" i="10"/>
  <c r="B11" i="10"/>
  <c r="D10" i="10"/>
  <c r="C10" i="10"/>
  <c r="B10" i="10"/>
  <c r="D9" i="10"/>
  <c r="C9" i="10"/>
  <c r="B9" i="10"/>
  <c r="D8" i="10"/>
  <c r="C8" i="10"/>
  <c r="B8" i="10"/>
  <c r="A8" i="10"/>
  <c r="D7" i="10"/>
  <c r="C7" i="10"/>
  <c r="B7" i="10"/>
  <c r="D6" i="10"/>
  <c r="C6" i="10"/>
  <c r="B6" i="10"/>
  <c r="D5" i="10"/>
  <c r="C5" i="10"/>
  <c r="B5" i="10"/>
  <c r="D4" i="10"/>
  <c r="C4" i="10"/>
  <c r="B4" i="10"/>
  <c r="D3" i="10"/>
  <c r="C3" i="10"/>
  <c r="B3" i="10"/>
  <c r="D2" i="10"/>
  <c r="C2" i="10"/>
  <c r="B2" i="10"/>
  <c r="A2" i="10"/>
  <c r="D1" i="10"/>
  <c r="C1" i="10"/>
  <c r="B1" i="10"/>
  <c r="A1" i="10"/>
  <c r="D6" i="9"/>
  <c r="C6" i="9"/>
  <c r="B6" i="9"/>
  <c r="D5" i="9"/>
  <c r="C5" i="9"/>
  <c r="B5" i="9"/>
  <c r="A5" i="9"/>
  <c r="D4" i="9"/>
  <c r="C4" i="9"/>
  <c r="B4" i="9"/>
  <c r="D3" i="9"/>
  <c r="C3" i="9"/>
  <c r="B3" i="9"/>
  <c r="D2" i="9"/>
  <c r="C2" i="9"/>
  <c r="B2" i="9"/>
  <c r="A2" i="9"/>
  <c r="D1" i="9"/>
  <c r="C1" i="9"/>
  <c r="B1" i="9"/>
  <c r="A1" i="9"/>
  <c r="D21" i="8"/>
  <c r="C21" i="8"/>
  <c r="B21" i="8"/>
  <c r="D20" i="8"/>
  <c r="C20" i="8"/>
  <c r="B20" i="8"/>
  <c r="D19" i="8"/>
  <c r="C19" i="8"/>
  <c r="B19" i="8"/>
  <c r="A19" i="8"/>
  <c r="D18" i="8"/>
  <c r="C18" i="8"/>
  <c r="B18" i="8"/>
  <c r="D17" i="8"/>
  <c r="C17" i="8"/>
  <c r="B17" i="8"/>
  <c r="D16" i="8"/>
  <c r="C16" i="8"/>
  <c r="B16" i="8"/>
  <c r="D15" i="8"/>
  <c r="C15" i="8"/>
  <c r="B15" i="8"/>
  <c r="D14" i="8"/>
  <c r="C14" i="8"/>
  <c r="B14" i="8"/>
  <c r="D13" i="8"/>
  <c r="C13" i="8"/>
  <c r="B13" i="8"/>
  <c r="A13" i="8"/>
  <c r="D12" i="8"/>
  <c r="C12" i="8"/>
  <c r="B12" i="8"/>
  <c r="D11" i="8"/>
  <c r="C11" i="8"/>
  <c r="B11" i="8"/>
  <c r="D10" i="8"/>
  <c r="C10" i="8"/>
  <c r="B10" i="8"/>
  <c r="D9" i="8"/>
  <c r="C9" i="8"/>
  <c r="B9" i="8"/>
  <c r="D8" i="8"/>
  <c r="C8" i="8"/>
  <c r="B8" i="8"/>
  <c r="D7" i="8"/>
  <c r="C7" i="8"/>
  <c r="B7" i="8"/>
  <c r="A7" i="8"/>
  <c r="D6" i="8"/>
  <c r="C6" i="8"/>
  <c r="B6" i="8"/>
  <c r="D5" i="8"/>
  <c r="C5" i="8"/>
  <c r="B5" i="8"/>
  <c r="A5" i="8"/>
  <c r="D4" i="8"/>
  <c r="C4" i="8"/>
  <c r="B4" i="8"/>
  <c r="D3" i="8"/>
  <c r="C3" i="8"/>
  <c r="B3" i="8"/>
  <c r="D2" i="8"/>
  <c r="C2" i="8"/>
  <c r="B2" i="8"/>
  <c r="A2" i="8"/>
  <c r="D1" i="8"/>
  <c r="C1" i="8"/>
  <c r="B1" i="8"/>
  <c r="A1" i="8"/>
  <c r="E12" i="7"/>
  <c r="D12" i="7"/>
  <c r="C12" i="7"/>
  <c r="B12" i="7"/>
  <c r="E11" i="7"/>
  <c r="D11" i="7"/>
  <c r="C11" i="7"/>
  <c r="B11" i="7"/>
  <c r="E10" i="7"/>
  <c r="D10" i="7"/>
  <c r="C10" i="7"/>
  <c r="B10" i="7"/>
  <c r="E9" i="7"/>
  <c r="D9" i="7"/>
  <c r="C9" i="7"/>
  <c r="B9" i="7"/>
  <c r="A9" i="7"/>
  <c r="E8" i="7"/>
  <c r="D8" i="7"/>
  <c r="C8" i="7"/>
  <c r="B8" i="7"/>
  <c r="E7" i="7"/>
  <c r="D7" i="7"/>
  <c r="C7" i="7"/>
  <c r="B7" i="7"/>
  <c r="E6" i="7"/>
  <c r="D6" i="7"/>
  <c r="C6" i="7"/>
  <c r="B6" i="7"/>
  <c r="E5" i="7"/>
  <c r="D5" i="7"/>
  <c r="C5" i="7"/>
  <c r="B5" i="7"/>
  <c r="E4" i="7"/>
  <c r="D4" i="7"/>
  <c r="C4" i="7"/>
  <c r="B4" i="7"/>
  <c r="E3" i="7"/>
  <c r="D3" i="7"/>
  <c r="C3" i="7"/>
  <c r="B3" i="7"/>
  <c r="E2" i="7"/>
  <c r="D2" i="7"/>
  <c r="C2" i="7"/>
  <c r="B2" i="7"/>
  <c r="A2" i="7"/>
  <c r="E1" i="7"/>
  <c r="D1" i="7"/>
  <c r="C1" i="7"/>
  <c r="B1" i="7"/>
  <c r="A1" i="7"/>
  <c r="D201" i="6"/>
  <c r="C201" i="6"/>
  <c r="B201" i="6"/>
  <c r="D200" i="6"/>
  <c r="C200" i="6"/>
  <c r="B200" i="6"/>
  <c r="D199" i="6"/>
  <c r="C199" i="6"/>
  <c r="B199" i="6"/>
  <c r="D198" i="6"/>
  <c r="C198" i="6"/>
  <c r="B198" i="6"/>
  <c r="A198" i="6"/>
  <c r="D197" i="6"/>
  <c r="C197" i="6"/>
  <c r="B197" i="6"/>
  <c r="D196" i="6"/>
  <c r="C196" i="6"/>
  <c r="B196" i="6"/>
  <c r="D195" i="6"/>
  <c r="C195" i="6"/>
  <c r="B195" i="6"/>
  <c r="D194" i="6"/>
  <c r="C194" i="6"/>
  <c r="B194" i="6"/>
  <c r="D193" i="6"/>
  <c r="C193" i="6"/>
  <c r="B193" i="6"/>
  <c r="D192" i="6"/>
  <c r="C192" i="6"/>
  <c r="B192" i="6"/>
  <c r="A192" i="6"/>
  <c r="D191" i="6"/>
  <c r="C191" i="6"/>
  <c r="B191" i="6"/>
  <c r="D190" i="6"/>
  <c r="C190" i="6"/>
  <c r="B190" i="6"/>
  <c r="A190" i="6"/>
  <c r="D189" i="6"/>
  <c r="C189" i="6"/>
  <c r="B189" i="6"/>
  <c r="D188" i="6"/>
  <c r="C188" i="6"/>
  <c r="B188" i="6"/>
  <c r="D187" i="6"/>
  <c r="C187" i="6"/>
  <c r="B187" i="6"/>
  <c r="D186" i="6"/>
  <c r="C186" i="6"/>
  <c r="B186" i="6"/>
  <c r="D185" i="6"/>
  <c r="C185" i="6"/>
  <c r="B185" i="6"/>
  <c r="D184" i="6"/>
  <c r="C184" i="6"/>
  <c r="B184" i="6"/>
  <c r="D183" i="6"/>
  <c r="C183" i="6"/>
  <c r="B183" i="6"/>
  <c r="D182" i="6"/>
  <c r="C182" i="6"/>
  <c r="B182" i="6"/>
  <c r="A182" i="6"/>
  <c r="D181" i="6"/>
  <c r="C181" i="6"/>
  <c r="B181" i="6"/>
  <c r="D180" i="6"/>
  <c r="C180" i="6"/>
  <c r="B180" i="6"/>
  <c r="D179" i="6"/>
  <c r="C179" i="6"/>
  <c r="B179" i="6"/>
  <c r="D178" i="6"/>
  <c r="C178" i="6"/>
  <c r="B178" i="6"/>
  <c r="D177" i="6"/>
  <c r="C177" i="6"/>
  <c r="B177" i="6"/>
  <c r="A177" i="6"/>
  <c r="D176" i="6"/>
  <c r="C176" i="6"/>
  <c r="B176" i="6"/>
  <c r="D175" i="6"/>
  <c r="C175" i="6"/>
  <c r="B175" i="6"/>
  <c r="D174" i="6"/>
  <c r="C174" i="6"/>
  <c r="B174" i="6"/>
  <c r="D173" i="6"/>
  <c r="C173" i="6"/>
  <c r="B173" i="6"/>
  <c r="D172" i="6"/>
  <c r="C172" i="6"/>
  <c r="B172" i="6"/>
  <c r="D171" i="6"/>
  <c r="C171" i="6"/>
  <c r="B171" i="6"/>
  <c r="D170" i="6"/>
  <c r="C170" i="6"/>
  <c r="B170" i="6"/>
  <c r="D169" i="6"/>
  <c r="C169" i="6"/>
  <c r="B169" i="6"/>
  <c r="D168" i="6"/>
  <c r="C168" i="6"/>
  <c r="B168" i="6"/>
  <c r="D167" i="6"/>
  <c r="C167" i="6"/>
  <c r="B167" i="6"/>
  <c r="D166" i="6"/>
  <c r="C166" i="6"/>
  <c r="B166" i="6"/>
  <c r="D165" i="6"/>
  <c r="C165" i="6"/>
  <c r="B165" i="6"/>
  <c r="A165" i="6"/>
  <c r="D164" i="6"/>
  <c r="C164" i="6"/>
  <c r="B164" i="6"/>
  <c r="D163" i="6"/>
  <c r="C163" i="6"/>
  <c r="B163" i="6"/>
  <c r="D162" i="6"/>
  <c r="C162" i="6"/>
  <c r="B162" i="6"/>
  <c r="A162" i="6"/>
  <c r="D161" i="6"/>
  <c r="C161" i="6"/>
  <c r="B161" i="6"/>
  <c r="D160" i="6"/>
  <c r="C160" i="6"/>
  <c r="B160" i="6"/>
  <c r="D159" i="6"/>
  <c r="C159" i="6"/>
  <c r="B159" i="6"/>
  <c r="D158" i="6"/>
  <c r="C158" i="6"/>
  <c r="B158" i="6"/>
  <c r="D157" i="6"/>
  <c r="C157" i="6"/>
  <c r="B157" i="6"/>
  <c r="D156" i="6"/>
  <c r="C156" i="6"/>
  <c r="B156" i="6"/>
  <c r="D155" i="6"/>
  <c r="C155" i="6"/>
  <c r="B155" i="6"/>
  <c r="A155" i="6"/>
  <c r="D154" i="6"/>
  <c r="C154" i="6"/>
  <c r="B154" i="6"/>
  <c r="D153" i="6"/>
  <c r="C153" i="6"/>
  <c r="B153" i="6"/>
  <c r="D152" i="6"/>
  <c r="C152" i="6"/>
  <c r="B152" i="6"/>
  <c r="D151" i="6"/>
  <c r="C151" i="6"/>
  <c r="B151" i="6"/>
  <c r="D150" i="6"/>
  <c r="C150" i="6"/>
  <c r="B150" i="6"/>
  <c r="D149" i="6"/>
  <c r="C149" i="6"/>
  <c r="B149" i="6"/>
  <c r="D148" i="6"/>
  <c r="C148" i="6"/>
  <c r="B148" i="6"/>
  <c r="D147" i="6"/>
  <c r="C147" i="6"/>
  <c r="B147" i="6"/>
  <c r="A147" i="6"/>
  <c r="D146" i="6"/>
  <c r="C146" i="6"/>
  <c r="B146" i="6"/>
  <c r="D145" i="6"/>
  <c r="C145" i="6"/>
  <c r="B145" i="6"/>
  <c r="D144" i="6"/>
  <c r="C144" i="6"/>
  <c r="B144" i="6"/>
  <c r="D143" i="6"/>
  <c r="C143" i="6"/>
  <c r="B143" i="6"/>
  <c r="D142" i="6"/>
  <c r="C142" i="6"/>
  <c r="B142" i="6"/>
  <c r="A142" i="6"/>
  <c r="D141" i="6"/>
  <c r="C141" i="6"/>
  <c r="B141" i="6"/>
  <c r="D140" i="6"/>
  <c r="C140" i="6"/>
  <c r="B140" i="6"/>
  <c r="D139" i="6"/>
  <c r="C139" i="6"/>
  <c r="B139" i="6"/>
  <c r="D138" i="6"/>
  <c r="C138" i="6"/>
  <c r="B138" i="6"/>
  <c r="D137" i="6"/>
  <c r="C137" i="6"/>
  <c r="B137" i="6"/>
  <c r="D136" i="6"/>
  <c r="C136" i="6"/>
  <c r="B136" i="6"/>
  <c r="D135" i="6"/>
  <c r="C135" i="6"/>
  <c r="B135" i="6"/>
  <c r="A135" i="6"/>
  <c r="D134" i="6"/>
  <c r="C134" i="6"/>
  <c r="B134" i="6"/>
  <c r="D133" i="6"/>
  <c r="C133" i="6"/>
  <c r="B133" i="6"/>
  <c r="D132" i="6"/>
  <c r="C132" i="6"/>
  <c r="B132" i="6"/>
  <c r="D131" i="6"/>
  <c r="C131" i="6"/>
  <c r="B131" i="6"/>
  <c r="D130" i="6"/>
  <c r="C130" i="6"/>
  <c r="B130" i="6"/>
  <c r="A130" i="6"/>
  <c r="D129" i="6"/>
  <c r="C129" i="6"/>
  <c r="B129" i="6"/>
  <c r="D128" i="6"/>
  <c r="C128" i="6"/>
  <c r="B128" i="6"/>
  <c r="D127" i="6"/>
  <c r="C127" i="6"/>
  <c r="B127" i="6"/>
  <c r="D126" i="6"/>
  <c r="C126" i="6"/>
  <c r="B126" i="6"/>
  <c r="D125" i="6"/>
  <c r="C125" i="6"/>
  <c r="B125" i="6"/>
  <c r="A125" i="6"/>
  <c r="D124" i="6"/>
  <c r="C124" i="6"/>
  <c r="B124" i="6"/>
  <c r="D123" i="6"/>
  <c r="C123" i="6"/>
  <c r="B123" i="6"/>
  <c r="D122" i="6"/>
  <c r="C122" i="6"/>
  <c r="B122" i="6"/>
  <c r="D121" i="6"/>
  <c r="C121" i="6"/>
  <c r="B121" i="6"/>
  <c r="D120" i="6"/>
  <c r="C120" i="6"/>
  <c r="B120" i="6"/>
  <c r="D119" i="6"/>
  <c r="C119" i="6"/>
  <c r="B119" i="6"/>
  <c r="A119" i="6"/>
  <c r="D118" i="6"/>
  <c r="C118" i="6"/>
  <c r="B118" i="6"/>
  <c r="D117" i="6"/>
  <c r="C117" i="6"/>
  <c r="B117" i="6"/>
  <c r="D116" i="6"/>
  <c r="C116" i="6"/>
  <c r="B116" i="6"/>
  <c r="D115" i="6"/>
  <c r="C115" i="6"/>
  <c r="B115" i="6"/>
  <c r="D114" i="6"/>
  <c r="C114" i="6"/>
  <c r="B114" i="6"/>
  <c r="D113" i="6"/>
  <c r="C113" i="6"/>
  <c r="B113" i="6"/>
  <c r="D112" i="6"/>
  <c r="C112" i="6"/>
  <c r="B112" i="6"/>
  <c r="D111" i="6"/>
  <c r="C111" i="6"/>
  <c r="B111" i="6"/>
  <c r="D110" i="6"/>
  <c r="C110" i="6"/>
  <c r="B110" i="6"/>
  <c r="D109" i="6"/>
  <c r="C109" i="6"/>
  <c r="B109" i="6"/>
  <c r="D108" i="6"/>
  <c r="C108" i="6"/>
  <c r="B108" i="6"/>
  <c r="D107" i="6"/>
  <c r="C107" i="6"/>
  <c r="B107" i="6"/>
  <c r="D106" i="6"/>
  <c r="C106" i="6"/>
  <c r="B106" i="6"/>
  <c r="D105" i="6"/>
  <c r="C105" i="6"/>
  <c r="B105" i="6"/>
  <c r="D104" i="6"/>
  <c r="C104" i="6"/>
  <c r="B104" i="6"/>
  <c r="A104" i="6"/>
  <c r="D103" i="6"/>
  <c r="C103" i="6"/>
  <c r="B103" i="6"/>
  <c r="D102" i="6"/>
  <c r="C102" i="6"/>
  <c r="B102" i="6"/>
  <c r="D101" i="6"/>
  <c r="C101" i="6"/>
  <c r="B101" i="6"/>
  <c r="D100" i="6"/>
  <c r="C100" i="6"/>
  <c r="B100" i="6"/>
  <c r="D99" i="6"/>
  <c r="C99" i="6"/>
  <c r="B99" i="6"/>
  <c r="D98" i="6"/>
  <c r="C98" i="6"/>
  <c r="B98" i="6"/>
  <c r="D97" i="6"/>
  <c r="C97" i="6"/>
  <c r="B97" i="6"/>
  <c r="D96" i="6"/>
  <c r="C96" i="6"/>
  <c r="B96" i="6"/>
  <c r="D95" i="6"/>
  <c r="C95" i="6"/>
  <c r="B95" i="6"/>
  <c r="D94" i="6"/>
  <c r="C94" i="6"/>
  <c r="B94" i="6"/>
  <c r="A94" i="6"/>
  <c r="D93" i="6"/>
  <c r="C93" i="6"/>
  <c r="B93" i="6"/>
  <c r="D92" i="6"/>
  <c r="C92" i="6"/>
  <c r="B92" i="6"/>
  <c r="D91" i="6"/>
  <c r="C91" i="6"/>
  <c r="B91" i="6"/>
  <c r="D90" i="6"/>
  <c r="C90" i="6"/>
  <c r="B90" i="6"/>
  <c r="D89" i="6"/>
  <c r="C89" i="6"/>
  <c r="B89" i="6"/>
  <c r="D88" i="6"/>
  <c r="C88" i="6"/>
  <c r="B88" i="6"/>
  <c r="D87" i="6"/>
  <c r="C87" i="6"/>
  <c r="B87" i="6"/>
  <c r="D86" i="6"/>
  <c r="C86" i="6"/>
  <c r="B86" i="6"/>
  <c r="D85" i="6"/>
  <c r="C85" i="6"/>
  <c r="B85" i="6"/>
  <c r="D84" i="6"/>
  <c r="C84" i="6"/>
  <c r="B84" i="6"/>
  <c r="D83" i="6"/>
  <c r="C83" i="6"/>
  <c r="B83" i="6"/>
  <c r="D82" i="6"/>
  <c r="C82" i="6"/>
  <c r="B82" i="6"/>
  <c r="A82" i="6"/>
  <c r="D81" i="6"/>
  <c r="C81" i="6"/>
  <c r="B81" i="6"/>
  <c r="D80" i="6"/>
  <c r="C80" i="6"/>
  <c r="B80" i="6"/>
  <c r="D79" i="6"/>
  <c r="C79" i="6"/>
  <c r="B79" i="6"/>
  <c r="D78" i="6"/>
  <c r="C78" i="6"/>
  <c r="B78" i="6"/>
  <c r="A78" i="6"/>
  <c r="D77" i="6"/>
  <c r="C77" i="6"/>
  <c r="B77" i="6"/>
  <c r="D76" i="6"/>
  <c r="C76" i="6"/>
  <c r="B76" i="6"/>
  <c r="D75" i="6"/>
  <c r="C75" i="6"/>
  <c r="B75" i="6"/>
  <c r="A75" i="6"/>
  <c r="D74" i="6"/>
  <c r="C74" i="6"/>
  <c r="B74" i="6"/>
  <c r="D73" i="6"/>
  <c r="C73" i="6"/>
  <c r="B73" i="6"/>
  <c r="D72" i="6"/>
  <c r="C72" i="6"/>
  <c r="B72" i="6"/>
  <c r="A72" i="6"/>
  <c r="D71" i="6"/>
  <c r="C71" i="6"/>
  <c r="B71" i="6"/>
  <c r="D70" i="6"/>
  <c r="C70" i="6"/>
  <c r="B70" i="6"/>
  <c r="D69" i="6"/>
  <c r="C69" i="6"/>
  <c r="B69" i="6"/>
  <c r="D68" i="6"/>
  <c r="C68" i="6"/>
  <c r="B68" i="6"/>
  <c r="D67" i="6"/>
  <c r="C67" i="6"/>
  <c r="B67" i="6"/>
  <c r="D66" i="6"/>
  <c r="C66" i="6"/>
  <c r="B66" i="6"/>
  <c r="D65" i="6"/>
  <c r="C65" i="6"/>
  <c r="B65" i="6"/>
  <c r="D64" i="6"/>
  <c r="C64" i="6"/>
  <c r="B64" i="6"/>
  <c r="A64" i="6"/>
  <c r="D63" i="6"/>
  <c r="C63" i="6"/>
  <c r="B63" i="6"/>
  <c r="D62" i="6"/>
  <c r="C62" i="6"/>
  <c r="B62" i="6"/>
  <c r="D61" i="6"/>
  <c r="C61" i="6"/>
  <c r="B61" i="6"/>
  <c r="D60" i="6"/>
  <c r="C60" i="6"/>
  <c r="B60" i="6"/>
  <c r="D59" i="6"/>
  <c r="C59" i="6"/>
  <c r="B59" i="6"/>
  <c r="D58" i="6"/>
  <c r="C58" i="6"/>
  <c r="B58" i="6"/>
  <c r="D57" i="6"/>
  <c r="C57" i="6"/>
  <c r="B57" i="6"/>
  <c r="D56" i="6"/>
  <c r="C56" i="6"/>
  <c r="B56" i="6"/>
  <c r="D55" i="6"/>
  <c r="C55" i="6"/>
  <c r="B55" i="6"/>
  <c r="D54" i="6"/>
  <c r="C54" i="6"/>
  <c r="B54" i="6"/>
  <c r="D53" i="6"/>
  <c r="C53" i="6"/>
  <c r="B53" i="6"/>
  <c r="D52" i="6"/>
  <c r="C52" i="6"/>
  <c r="B52" i="6"/>
  <c r="D51" i="6"/>
  <c r="C51" i="6"/>
  <c r="B51" i="6"/>
  <c r="A51" i="6"/>
  <c r="D50" i="6"/>
  <c r="C50" i="6"/>
  <c r="B50" i="6"/>
  <c r="D49" i="6"/>
  <c r="C49" i="6"/>
  <c r="B49" i="6"/>
  <c r="D48" i="6"/>
  <c r="C48" i="6"/>
  <c r="B48" i="6"/>
  <c r="D47" i="6"/>
  <c r="C47" i="6"/>
  <c r="B47" i="6"/>
  <c r="D46" i="6"/>
  <c r="C46" i="6"/>
  <c r="B46" i="6"/>
  <c r="D45" i="6"/>
  <c r="C45" i="6"/>
  <c r="B45" i="6"/>
  <c r="D44" i="6"/>
  <c r="C44" i="6"/>
  <c r="B44" i="6"/>
  <c r="D43" i="6"/>
  <c r="C43" i="6"/>
  <c r="B43" i="6"/>
  <c r="D42" i="6"/>
  <c r="C42" i="6"/>
  <c r="B42" i="6"/>
  <c r="A42" i="6"/>
  <c r="D41" i="6"/>
  <c r="C41" i="6"/>
  <c r="B41" i="6"/>
  <c r="D40" i="6"/>
  <c r="C40" i="6"/>
  <c r="B40" i="6"/>
  <c r="D39" i="6"/>
  <c r="C39" i="6"/>
  <c r="B39" i="6"/>
  <c r="D38" i="6"/>
  <c r="C38" i="6"/>
  <c r="B38" i="6"/>
  <c r="D37" i="6"/>
  <c r="C37" i="6"/>
  <c r="B37" i="6"/>
  <c r="D36" i="6"/>
  <c r="C36" i="6"/>
  <c r="B36" i="6"/>
  <c r="D35" i="6"/>
  <c r="C35" i="6"/>
  <c r="B35" i="6"/>
  <c r="A35" i="6"/>
  <c r="D34" i="6"/>
  <c r="C34" i="6"/>
  <c r="B34" i="6"/>
  <c r="D33" i="6"/>
  <c r="C33" i="6"/>
  <c r="B33" i="6"/>
  <c r="D32" i="6"/>
  <c r="C32" i="6"/>
  <c r="B32" i="6"/>
  <c r="D31" i="6"/>
  <c r="C31" i="6"/>
  <c r="B31" i="6"/>
  <c r="D30" i="6"/>
  <c r="C30" i="6"/>
  <c r="B30" i="6"/>
  <c r="A30" i="6"/>
  <c r="D29" i="6"/>
  <c r="C29" i="6"/>
  <c r="B29" i="6"/>
  <c r="D28" i="6"/>
  <c r="C28" i="6"/>
  <c r="B28" i="6"/>
  <c r="D27" i="6"/>
  <c r="C27" i="6"/>
  <c r="B27" i="6"/>
  <c r="D26" i="6"/>
  <c r="C26" i="6"/>
  <c r="B26" i="6"/>
  <c r="D25" i="6"/>
  <c r="C25" i="6"/>
  <c r="B25" i="6"/>
  <c r="A25" i="6"/>
  <c r="D24" i="6"/>
  <c r="C24" i="6"/>
  <c r="B24" i="6"/>
  <c r="D23" i="6"/>
  <c r="C23" i="6"/>
  <c r="B23" i="6"/>
  <c r="D22" i="6"/>
  <c r="C22" i="6"/>
  <c r="B22" i="6"/>
  <c r="D21" i="6"/>
  <c r="C21" i="6"/>
  <c r="B21" i="6"/>
  <c r="A21" i="6"/>
  <c r="D20" i="6"/>
  <c r="C20" i="6"/>
  <c r="B20" i="6"/>
  <c r="D19" i="6"/>
  <c r="C19" i="6"/>
  <c r="B19" i="6"/>
  <c r="D18" i="6"/>
  <c r="C18" i="6"/>
  <c r="B18" i="6"/>
  <c r="D17" i="6"/>
  <c r="C17" i="6"/>
  <c r="B17" i="6"/>
  <c r="D16" i="6"/>
  <c r="C16" i="6"/>
  <c r="B16" i="6"/>
  <c r="D15" i="6"/>
  <c r="C15" i="6"/>
  <c r="B15" i="6"/>
  <c r="A15" i="6"/>
  <c r="D14" i="6"/>
  <c r="C14" i="6"/>
  <c r="B14" i="6"/>
  <c r="D13" i="6"/>
  <c r="C13" i="6"/>
  <c r="B13" i="6"/>
  <c r="D12" i="6"/>
  <c r="C12" i="6"/>
  <c r="B12" i="6"/>
  <c r="D11" i="6"/>
  <c r="C11" i="6"/>
  <c r="B11" i="6"/>
  <c r="D10" i="6"/>
  <c r="C10" i="6"/>
  <c r="B10" i="6"/>
  <c r="A10" i="6"/>
  <c r="D9" i="6"/>
  <c r="C9" i="6"/>
  <c r="B9" i="6"/>
  <c r="D8" i="6"/>
  <c r="C8" i="6"/>
  <c r="B8" i="6"/>
  <c r="D7" i="6"/>
  <c r="C7" i="6"/>
  <c r="B7" i="6"/>
  <c r="D6" i="6"/>
  <c r="C6" i="6"/>
  <c r="B6" i="6"/>
  <c r="D5" i="6"/>
  <c r="C5" i="6"/>
  <c r="B5" i="6"/>
  <c r="A5" i="6"/>
  <c r="D4" i="6"/>
  <c r="C4" i="6"/>
  <c r="B4" i="6"/>
  <c r="D3" i="6"/>
  <c r="C3" i="6"/>
  <c r="B3" i="6"/>
  <c r="D2" i="6"/>
  <c r="C2" i="6"/>
  <c r="B2" i="6"/>
  <c r="A2" i="6"/>
  <c r="D1" i="6"/>
  <c r="C1" i="6"/>
  <c r="B1" i="6"/>
  <c r="A1" i="6"/>
  <c r="D20" i="5"/>
  <c r="D17" i="5"/>
  <c r="D14" i="5"/>
  <c r="D7" i="5"/>
  <c r="E60" i="4"/>
  <c r="E59" i="4"/>
  <c r="E58" i="4"/>
  <c r="E57" i="4"/>
  <c r="D56" i="4"/>
  <c r="C56" i="4"/>
  <c r="A56" i="4"/>
  <c r="D55" i="4"/>
  <c r="C55" i="4"/>
  <c r="A55" i="4"/>
  <c r="D54" i="4"/>
  <c r="C54" i="4"/>
  <c r="A54" i="4"/>
  <c r="D53" i="4"/>
  <c r="C53" i="4"/>
  <c r="A53" i="4"/>
  <c r="D52" i="4"/>
  <c r="C52" i="4"/>
  <c r="A52" i="4"/>
  <c r="D51" i="4"/>
  <c r="C51" i="4"/>
  <c r="A51" i="4"/>
  <c r="D50" i="4"/>
  <c r="C50" i="4"/>
  <c r="A50" i="4"/>
  <c r="C49" i="4"/>
  <c r="B49" i="4"/>
  <c r="A49" i="4"/>
  <c r="D48" i="4"/>
  <c r="C48" i="4"/>
  <c r="A48" i="4"/>
  <c r="C47" i="4"/>
  <c r="B47" i="4"/>
  <c r="A47" i="4"/>
  <c r="D46" i="4"/>
  <c r="C46" i="4"/>
  <c r="A46" i="4"/>
  <c r="D45" i="4"/>
  <c r="C45" i="4"/>
  <c r="A45" i="4"/>
  <c r="C44" i="4"/>
  <c r="B44" i="4"/>
  <c r="A44" i="4"/>
  <c r="D43" i="4"/>
  <c r="C43" i="4"/>
  <c r="A43" i="4"/>
  <c r="D42" i="4"/>
  <c r="C42" i="4"/>
  <c r="A42" i="4"/>
  <c r="D41" i="4"/>
  <c r="C41" i="4"/>
  <c r="A41" i="4"/>
  <c r="D40" i="4"/>
  <c r="C40" i="4"/>
  <c r="A40" i="4"/>
  <c r="D39" i="4"/>
  <c r="C39" i="4"/>
  <c r="A39" i="4"/>
  <c r="C38" i="4"/>
  <c r="B38" i="4"/>
  <c r="A38" i="4"/>
  <c r="D37" i="4"/>
  <c r="C37" i="4"/>
  <c r="A37" i="4"/>
  <c r="D36" i="4"/>
  <c r="C36" i="4"/>
  <c r="A36" i="4"/>
  <c r="C35" i="4"/>
  <c r="B35" i="4"/>
  <c r="A35" i="4"/>
  <c r="D34" i="4"/>
  <c r="C34" i="4"/>
  <c r="A34" i="4"/>
  <c r="D33" i="4"/>
  <c r="C33" i="4"/>
  <c r="A33" i="4"/>
  <c r="D32" i="4"/>
  <c r="C32" i="4"/>
  <c r="A32" i="4"/>
  <c r="D31" i="4"/>
  <c r="C31" i="4"/>
  <c r="A31" i="4"/>
  <c r="D30" i="4"/>
  <c r="C30" i="4"/>
  <c r="A30" i="4"/>
  <c r="D29" i="4"/>
  <c r="C29" i="4"/>
  <c r="A29" i="4"/>
  <c r="D28" i="4"/>
  <c r="C28" i="4"/>
  <c r="A28" i="4"/>
  <c r="D27" i="4"/>
  <c r="C27" i="4"/>
  <c r="A27" i="4"/>
  <c r="D26" i="4"/>
  <c r="C26" i="4"/>
  <c r="A26" i="4"/>
  <c r="D25" i="4"/>
  <c r="C25" i="4"/>
  <c r="A25" i="4"/>
  <c r="D24" i="4"/>
  <c r="C24" i="4"/>
  <c r="A24" i="4"/>
  <c r="D23" i="4"/>
  <c r="C23" i="4"/>
  <c r="A23" i="4"/>
  <c r="D22" i="4"/>
  <c r="C22" i="4"/>
  <c r="A22" i="4"/>
  <c r="D21" i="4"/>
  <c r="C21" i="4"/>
  <c r="A21" i="4"/>
  <c r="D20" i="4"/>
  <c r="C20" i="4"/>
  <c r="A20" i="4"/>
  <c r="D19" i="4"/>
  <c r="C19" i="4"/>
  <c r="A19" i="4"/>
  <c r="D18" i="4"/>
  <c r="C18" i="4"/>
  <c r="A18" i="4"/>
  <c r="D17" i="4"/>
  <c r="C17" i="4"/>
  <c r="A17" i="4"/>
  <c r="D16" i="4"/>
  <c r="C16" i="4"/>
  <c r="A16" i="4"/>
  <c r="D15" i="4"/>
  <c r="C15" i="4"/>
  <c r="A15" i="4"/>
  <c r="D14" i="4"/>
  <c r="C14" i="4"/>
  <c r="A14" i="4"/>
  <c r="D13" i="4"/>
  <c r="C13" i="4"/>
  <c r="A13" i="4"/>
  <c r="D12" i="4"/>
  <c r="C12" i="4"/>
  <c r="A12" i="4"/>
  <c r="D11" i="4"/>
  <c r="C11" i="4"/>
  <c r="A11" i="4"/>
  <c r="D10" i="4"/>
  <c r="C10" i="4"/>
  <c r="A10" i="4"/>
  <c r="D9" i="4"/>
  <c r="C9" i="4"/>
  <c r="A9" i="4"/>
  <c r="D8" i="4"/>
  <c r="C8" i="4"/>
  <c r="A8" i="4"/>
  <c r="D7" i="4"/>
  <c r="C7" i="4"/>
  <c r="A7" i="4"/>
  <c r="D6" i="4"/>
  <c r="C6" i="4"/>
  <c r="A6" i="4"/>
  <c r="D5" i="4"/>
  <c r="C5" i="4"/>
  <c r="A5" i="4"/>
  <c r="D4" i="4"/>
  <c r="C4" i="4"/>
  <c r="A4" i="4"/>
  <c r="C3" i="4"/>
  <c r="B3" i="4"/>
  <c r="A3" i="4"/>
  <c r="D2" i="4"/>
  <c r="C2" i="4"/>
  <c r="B2" i="4"/>
  <c r="A2" i="4"/>
  <c r="F301" i="3"/>
  <c r="E301" i="3"/>
  <c r="C301" i="3"/>
  <c r="A301" i="3"/>
  <c r="F300" i="3"/>
  <c r="E300" i="3"/>
  <c r="C300" i="3"/>
  <c r="A300" i="3"/>
  <c r="F299" i="3"/>
  <c r="E299" i="3"/>
  <c r="C299" i="3"/>
  <c r="A299" i="3"/>
  <c r="F298" i="3"/>
  <c r="E298" i="3"/>
  <c r="D298" i="3"/>
  <c r="C298" i="3"/>
  <c r="A298" i="3"/>
  <c r="F297" i="3"/>
  <c r="E297" i="3"/>
  <c r="C297" i="3"/>
  <c r="A297" i="3"/>
  <c r="F296" i="3"/>
  <c r="E296" i="3"/>
  <c r="C296" i="3"/>
  <c r="A296" i="3"/>
  <c r="F295" i="3"/>
  <c r="E295" i="3"/>
  <c r="C295" i="3"/>
  <c r="A295" i="3"/>
  <c r="F294" i="3"/>
  <c r="E294" i="3"/>
  <c r="C294" i="3"/>
  <c r="A294" i="3"/>
  <c r="F293" i="3"/>
  <c r="E293" i="3"/>
  <c r="C293" i="3"/>
  <c r="A293" i="3"/>
  <c r="F292" i="3"/>
  <c r="E292" i="3"/>
  <c r="C292" i="3"/>
  <c r="A292" i="3"/>
  <c r="F291" i="3"/>
  <c r="E291" i="3"/>
  <c r="D291" i="3"/>
  <c r="C291" i="3"/>
  <c r="A291" i="3"/>
  <c r="F290" i="3"/>
  <c r="E290" i="3"/>
  <c r="C290" i="3"/>
  <c r="A290" i="3"/>
  <c r="F289" i="3"/>
  <c r="E289" i="3"/>
  <c r="C289" i="3"/>
  <c r="A289" i="3"/>
  <c r="F288" i="3"/>
  <c r="E288" i="3"/>
  <c r="C288" i="3"/>
  <c r="A288" i="3"/>
  <c r="F287" i="3"/>
  <c r="E287" i="3"/>
  <c r="C287" i="3"/>
  <c r="A287" i="3"/>
  <c r="F286" i="3"/>
  <c r="E286" i="3"/>
  <c r="C286" i="3"/>
  <c r="A286" i="3"/>
  <c r="F285" i="3"/>
  <c r="E285" i="3"/>
  <c r="C285" i="3"/>
  <c r="A285" i="3"/>
  <c r="F284" i="3"/>
  <c r="E284" i="3"/>
  <c r="C284" i="3"/>
  <c r="A284" i="3"/>
  <c r="F283" i="3"/>
  <c r="E283" i="3"/>
  <c r="C283" i="3"/>
  <c r="A283" i="3"/>
  <c r="F282" i="3"/>
  <c r="E282" i="3"/>
  <c r="C282" i="3"/>
  <c r="A282" i="3"/>
  <c r="F281" i="3"/>
  <c r="E281" i="3"/>
  <c r="C281" i="3"/>
  <c r="A281" i="3"/>
  <c r="F280" i="3"/>
  <c r="E280" i="3"/>
  <c r="C280" i="3"/>
  <c r="A280" i="3"/>
  <c r="F279" i="3"/>
  <c r="E279" i="3"/>
  <c r="C279" i="3"/>
  <c r="A279" i="3"/>
  <c r="F278" i="3"/>
  <c r="E278" i="3"/>
  <c r="C278" i="3"/>
  <c r="A278" i="3"/>
  <c r="F277" i="3"/>
  <c r="E277" i="3"/>
  <c r="C277" i="3"/>
  <c r="A277" i="3"/>
  <c r="F276" i="3"/>
  <c r="E276" i="3"/>
  <c r="C276" i="3"/>
  <c r="A276" i="3"/>
  <c r="F275" i="3"/>
  <c r="E275" i="3"/>
  <c r="D275" i="3"/>
  <c r="C275" i="3"/>
  <c r="A275" i="3"/>
  <c r="F274" i="3"/>
  <c r="E274" i="3"/>
  <c r="C274" i="3"/>
  <c r="A274" i="3"/>
  <c r="F273" i="3"/>
  <c r="E273" i="3"/>
  <c r="C273" i="3"/>
  <c r="A273" i="3"/>
  <c r="F272" i="3"/>
  <c r="E272" i="3"/>
  <c r="C272" i="3"/>
  <c r="A272" i="3"/>
  <c r="F271" i="3"/>
  <c r="E271" i="3"/>
  <c r="C271" i="3"/>
  <c r="A271" i="3"/>
  <c r="F270" i="3"/>
  <c r="E270" i="3"/>
  <c r="D270" i="3"/>
  <c r="C270" i="3"/>
  <c r="A270" i="3"/>
  <c r="F269" i="3"/>
  <c r="E269" i="3"/>
  <c r="C269" i="3"/>
  <c r="A269" i="3"/>
  <c r="F268" i="3"/>
  <c r="E268" i="3"/>
  <c r="C268" i="3"/>
  <c r="A268" i="3"/>
  <c r="F267" i="3"/>
  <c r="E267" i="3"/>
  <c r="C267" i="3"/>
  <c r="A267" i="3"/>
  <c r="F266" i="3"/>
  <c r="E266" i="3"/>
  <c r="C266" i="3"/>
  <c r="A266" i="3"/>
  <c r="F265" i="3"/>
  <c r="E265" i="3"/>
  <c r="C265" i="3"/>
  <c r="A265" i="3"/>
  <c r="F264" i="3"/>
  <c r="E264" i="3"/>
  <c r="C264" i="3"/>
  <c r="A264" i="3"/>
  <c r="F263" i="3"/>
  <c r="E263" i="3"/>
  <c r="C263" i="3"/>
  <c r="A263" i="3"/>
  <c r="F262" i="3"/>
  <c r="E262" i="3"/>
  <c r="D262" i="3"/>
  <c r="C262" i="3"/>
  <c r="A262" i="3"/>
  <c r="F261" i="3"/>
  <c r="E261" i="3"/>
  <c r="C261" i="3"/>
  <c r="A261" i="3"/>
  <c r="F260" i="3"/>
  <c r="E260" i="3"/>
  <c r="C260" i="3"/>
  <c r="A260" i="3"/>
  <c r="F259" i="3"/>
  <c r="E259" i="3"/>
  <c r="C259" i="3"/>
  <c r="A259" i="3"/>
  <c r="F258" i="3"/>
  <c r="E258" i="3"/>
  <c r="C258" i="3"/>
  <c r="A258" i="3"/>
  <c r="F257" i="3"/>
  <c r="E257" i="3"/>
  <c r="C257" i="3"/>
  <c r="A257" i="3"/>
  <c r="F256" i="3"/>
  <c r="E256" i="3"/>
  <c r="D256" i="3"/>
  <c r="C256" i="3"/>
  <c r="A256" i="3"/>
  <c r="F255" i="3"/>
  <c r="E255" i="3"/>
  <c r="C255" i="3"/>
  <c r="A255" i="3"/>
  <c r="F254" i="3"/>
  <c r="E254" i="3"/>
  <c r="C254" i="3"/>
  <c r="A254" i="3"/>
  <c r="F253" i="3"/>
  <c r="E253" i="3"/>
  <c r="C253" i="3"/>
  <c r="A253" i="3"/>
  <c r="F252" i="3"/>
  <c r="E252" i="3"/>
  <c r="C252" i="3"/>
  <c r="A252" i="3"/>
  <c r="F251" i="3"/>
  <c r="E251" i="3"/>
  <c r="C251" i="3"/>
  <c r="A251" i="3"/>
  <c r="F250" i="3"/>
  <c r="E250" i="3"/>
  <c r="D250" i="3"/>
  <c r="C250" i="3"/>
  <c r="A250" i="3"/>
  <c r="C249" i="3"/>
  <c r="B249" i="3"/>
  <c r="A249" i="3"/>
  <c r="F248" i="3"/>
  <c r="E248" i="3"/>
  <c r="C248" i="3"/>
  <c r="A248" i="3"/>
  <c r="F247" i="3"/>
  <c r="E247" i="3"/>
  <c r="C247" i="3"/>
  <c r="A247" i="3"/>
  <c r="F246" i="3"/>
  <c r="E246" i="3"/>
  <c r="C246" i="3"/>
  <c r="A246" i="3"/>
  <c r="F245" i="3"/>
  <c r="E245" i="3"/>
  <c r="C245" i="3"/>
  <c r="A245" i="3"/>
  <c r="F244" i="3"/>
  <c r="E244" i="3"/>
  <c r="C244" i="3"/>
  <c r="A244" i="3"/>
  <c r="E243" i="3"/>
  <c r="D243" i="3"/>
  <c r="C243" i="3"/>
  <c r="A243" i="3"/>
  <c r="C242" i="3"/>
  <c r="B242" i="3"/>
  <c r="A242" i="3"/>
  <c r="F241" i="3"/>
  <c r="E241" i="3"/>
  <c r="C241" i="3"/>
  <c r="A241" i="3"/>
  <c r="F240" i="3"/>
  <c r="E240" i="3"/>
  <c r="D240" i="3"/>
  <c r="C240" i="3"/>
  <c r="A240" i="3"/>
  <c r="F239" i="3"/>
  <c r="E239" i="3"/>
  <c r="C239" i="3"/>
  <c r="A239" i="3"/>
  <c r="F238" i="3"/>
  <c r="E238" i="3"/>
  <c r="C238" i="3"/>
  <c r="A238" i="3"/>
  <c r="F237" i="3"/>
  <c r="E237" i="3"/>
  <c r="D237" i="3"/>
  <c r="C237" i="3"/>
  <c r="A237" i="3"/>
  <c r="C236" i="3"/>
  <c r="B236" i="3"/>
  <c r="A236" i="3"/>
  <c r="F235" i="3"/>
  <c r="E235" i="3"/>
  <c r="C235" i="3"/>
  <c r="A235" i="3"/>
  <c r="F234" i="3"/>
  <c r="E234" i="3"/>
  <c r="C234" i="3"/>
  <c r="A234" i="3"/>
  <c r="F233" i="3"/>
  <c r="E233" i="3"/>
  <c r="D233" i="3"/>
  <c r="C233" i="3"/>
  <c r="A233" i="3"/>
  <c r="F232" i="3"/>
  <c r="E232" i="3"/>
  <c r="C232" i="3"/>
  <c r="A232" i="3"/>
  <c r="F231" i="3"/>
  <c r="E231" i="3"/>
  <c r="C231" i="3"/>
  <c r="A231" i="3"/>
  <c r="F230" i="3"/>
  <c r="E230" i="3"/>
  <c r="C230" i="3"/>
  <c r="A230" i="3"/>
  <c r="F229" i="3"/>
  <c r="E229" i="3"/>
  <c r="C229" i="3"/>
  <c r="A229" i="3"/>
  <c r="F228" i="3"/>
  <c r="E228" i="3"/>
  <c r="C228" i="3"/>
  <c r="A228" i="3"/>
  <c r="F227" i="3"/>
  <c r="E227" i="3"/>
  <c r="D227" i="3"/>
  <c r="C227" i="3"/>
  <c r="A227" i="3"/>
  <c r="F226" i="3"/>
  <c r="E226" i="3"/>
  <c r="C226" i="3"/>
  <c r="A226" i="3"/>
  <c r="F225" i="3"/>
  <c r="E225" i="3"/>
  <c r="C225" i="3"/>
  <c r="A225" i="3"/>
  <c r="F224" i="3"/>
  <c r="E224" i="3"/>
  <c r="C224" i="3"/>
  <c r="A224" i="3"/>
  <c r="F223" i="3"/>
  <c r="E223" i="3"/>
  <c r="C223" i="3"/>
  <c r="A223" i="3"/>
  <c r="F222" i="3"/>
  <c r="E222" i="3"/>
  <c r="C222" i="3"/>
  <c r="A222" i="3"/>
  <c r="F221" i="3"/>
  <c r="E221" i="3"/>
  <c r="D221" i="3"/>
  <c r="C221" i="3"/>
  <c r="A221" i="3"/>
  <c r="F220" i="3"/>
  <c r="E220" i="3"/>
  <c r="C220" i="3"/>
  <c r="A220" i="3"/>
  <c r="F219" i="3"/>
  <c r="E219" i="3"/>
  <c r="D219" i="3"/>
  <c r="C219" i="3"/>
  <c r="A219" i="3"/>
  <c r="F218" i="3"/>
  <c r="E218" i="3"/>
  <c r="C218" i="3"/>
  <c r="A218" i="3"/>
  <c r="F217" i="3"/>
  <c r="E217" i="3"/>
  <c r="C217" i="3"/>
  <c r="A217" i="3"/>
  <c r="F216" i="3"/>
  <c r="E216" i="3"/>
  <c r="D216" i="3"/>
  <c r="C216" i="3"/>
  <c r="A216" i="3"/>
  <c r="C215" i="3"/>
  <c r="B215" i="3"/>
  <c r="A215" i="3"/>
  <c r="F214" i="3"/>
  <c r="E214" i="3"/>
  <c r="C214" i="3"/>
  <c r="A214" i="3"/>
  <c r="F213" i="3"/>
  <c r="E213" i="3"/>
  <c r="C213" i="3"/>
  <c r="A213" i="3"/>
  <c r="F212" i="3"/>
  <c r="E212" i="3"/>
  <c r="C212" i="3"/>
  <c r="A212" i="3"/>
  <c r="F211" i="3"/>
  <c r="E211" i="3"/>
  <c r="D211" i="3"/>
  <c r="C211" i="3"/>
  <c r="A211" i="3"/>
  <c r="F210" i="3"/>
  <c r="E210" i="3"/>
  <c r="C210" i="3"/>
  <c r="A210" i="3"/>
  <c r="F209" i="3"/>
  <c r="E209" i="3"/>
  <c r="C209" i="3"/>
  <c r="A209" i="3"/>
  <c r="F208" i="3"/>
  <c r="E208" i="3"/>
  <c r="C208" i="3"/>
  <c r="A208" i="3"/>
  <c r="F207" i="3"/>
  <c r="E207" i="3"/>
  <c r="C207" i="3"/>
  <c r="A207" i="3"/>
  <c r="F206" i="3"/>
  <c r="E206" i="3"/>
  <c r="C206" i="3"/>
  <c r="A206" i="3"/>
  <c r="F205" i="3"/>
  <c r="E205" i="3"/>
  <c r="C205" i="3"/>
  <c r="A205" i="3"/>
  <c r="F204" i="3"/>
  <c r="E204" i="3"/>
  <c r="D204" i="3"/>
  <c r="C204" i="3"/>
  <c r="A204" i="3"/>
  <c r="C203" i="3"/>
  <c r="B203" i="3"/>
  <c r="A203" i="3"/>
  <c r="F202" i="3"/>
  <c r="E202" i="3"/>
  <c r="C202" i="3"/>
  <c r="A202" i="3"/>
  <c r="F201" i="3"/>
  <c r="E201" i="3"/>
  <c r="C201" i="3"/>
  <c r="A201" i="3"/>
  <c r="F200" i="3"/>
  <c r="E200" i="3"/>
  <c r="C200" i="3"/>
  <c r="A200" i="3"/>
  <c r="F199" i="3"/>
  <c r="E199" i="3"/>
  <c r="D199" i="3"/>
  <c r="C199" i="3"/>
  <c r="A199" i="3"/>
  <c r="F198" i="3"/>
  <c r="E198" i="3"/>
  <c r="C198" i="3"/>
  <c r="A198" i="3"/>
  <c r="F197" i="3"/>
  <c r="E197" i="3"/>
  <c r="C197" i="3"/>
  <c r="A197" i="3"/>
  <c r="F196" i="3"/>
  <c r="E196" i="3"/>
  <c r="C196" i="3"/>
  <c r="A196" i="3"/>
  <c r="F195" i="3"/>
  <c r="E195" i="3"/>
  <c r="C195" i="3"/>
  <c r="A195" i="3"/>
  <c r="F194" i="3"/>
  <c r="E194" i="3"/>
  <c r="C194" i="3"/>
  <c r="A194" i="3"/>
  <c r="F193" i="3"/>
  <c r="E193" i="3"/>
  <c r="D193" i="3"/>
  <c r="C193" i="3"/>
  <c r="A193" i="3"/>
  <c r="F192" i="3"/>
  <c r="E192" i="3"/>
  <c r="C192" i="3"/>
  <c r="A192" i="3"/>
  <c r="F191" i="3"/>
  <c r="E191" i="3"/>
  <c r="D191" i="3"/>
  <c r="C191" i="3"/>
  <c r="A191" i="3"/>
  <c r="F190" i="3"/>
  <c r="E190" i="3"/>
  <c r="C190" i="3"/>
  <c r="A190" i="3"/>
  <c r="F189" i="3"/>
  <c r="E189" i="3"/>
  <c r="C189" i="3"/>
  <c r="A189" i="3"/>
  <c r="F188" i="3"/>
  <c r="E188" i="3"/>
  <c r="C188" i="3"/>
  <c r="A188" i="3"/>
  <c r="F187" i="3"/>
  <c r="E187" i="3"/>
  <c r="C187" i="3"/>
  <c r="A187" i="3"/>
  <c r="F186" i="3"/>
  <c r="E186" i="3"/>
  <c r="C186" i="3"/>
  <c r="A186" i="3"/>
  <c r="F185" i="3"/>
  <c r="E185" i="3"/>
  <c r="C185" i="3"/>
  <c r="A185" i="3"/>
  <c r="F184" i="3"/>
  <c r="E184" i="3"/>
  <c r="C184" i="3"/>
  <c r="A184" i="3"/>
  <c r="F183" i="3"/>
  <c r="E183" i="3"/>
  <c r="D183" i="3"/>
  <c r="C183" i="3"/>
  <c r="A183" i="3"/>
  <c r="F182" i="3"/>
  <c r="E182" i="3"/>
  <c r="C182" i="3"/>
  <c r="A182" i="3"/>
  <c r="F181" i="3"/>
  <c r="E181" i="3"/>
  <c r="C181" i="3"/>
  <c r="A181" i="3"/>
  <c r="F180" i="3"/>
  <c r="E180" i="3"/>
  <c r="C180" i="3"/>
  <c r="A180" i="3"/>
  <c r="F179" i="3"/>
  <c r="E179" i="3"/>
  <c r="C179" i="3"/>
  <c r="A179" i="3"/>
  <c r="F178" i="3"/>
  <c r="E178" i="3"/>
  <c r="D178" i="3"/>
  <c r="C178" i="3"/>
  <c r="A178" i="3"/>
  <c r="F177" i="3"/>
  <c r="E177" i="3"/>
  <c r="C177" i="3"/>
  <c r="A177" i="3"/>
  <c r="F176" i="3"/>
  <c r="E176" i="3"/>
  <c r="C176" i="3"/>
  <c r="A176" i="3"/>
  <c r="F175" i="3"/>
  <c r="E175" i="3"/>
  <c r="C175" i="3"/>
  <c r="A175" i="3"/>
  <c r="F174" i="3"/>
  <c r="E174" i="3"/>
  <c r="C174" i="3"/>
  <c r="A174" i="3"/>
  <c r="F173" i="3"/>
  <c r="E173" i="3"/>
  <c r="C173" i="3"/>
  <c r="A173" i="3"/>
  <c r="F172" i="3"/>
  <c r="E172" i="3"/>
  <c r="C172" i="3"/>
  <c r="A172" i="3"/>
  <c r="F171" i="3"/>
  <c r="E171" i="3"/>
  <c r="C171" i="3"/>
  <c r="A171" i="3"/>
  <c r="F170" i="3"/>
  <c r="E170" i="3"/>
  <c r="C170" i="3"/>
  <c r="A170" i="3"/>
  <c r="F169" i="3"/>
  <c r="E169" i="3"/>
  <c r="C169" i="3"/>
  <c r="A169" i="3"/>
  <c r="F168" i="3"/>
  <c r="E168" i="3"/>
  <c r="C168" i="3"/>
  <c r="A168" i="3"/>
  <c r="F167" i="3"/>
  <c r="E167" i="3"/>
  <c r="C167" i="3"/>
  <c r="A167" i="3"/>
  <c r="F166" i="3"/>
  <c r="E166" i="3"/>
  <c r="D166" i="3"/>
  <c r="C166" i="3"/>
  <c r="A166" i="3"/>
  <c r="F165" i="3"/>
  <c r="E165" i="3"/>
  <c r="C165" i="3"/>
  <c r="A165" i="3"/>
  <c r="F164" i="3"/>
  <c r="E164" i="3"/>
  <c r="C164" i="3"/>
  <c r="A164" i="3"/>
  <c r="F163" i="3"/>
  <c r="E163" i="3"/>
  <c r="D163" i="3"/>
  <c r="C163" i="3"/>
  <c r="A163" i="3"/>
  <c r="F162" i="3"/>
  <c r="E162" i="3"/>
  <c r="C162" i="3"/>
  <c r="A162" i="3"/>
  <c r="F161" i="3"/>
  <c r="E161" i="3"/>
  <c r="C161" i="3"/>
  <c r="A161" i="3"/>
  <c r="F160" i="3"/>
  <c r="E160" i="3"/>
  <c r="C160" i="3"/>
  <c r="A160" i="3"/>
  <c r="F159" i="3"/>
  <c r="E159" i="3"/>
  <c r="C159" i="3"/>
  <c r="A159" i="3"/>
  <c r="F158" i="3"/>
  <c r="E158" i="3"/>
  <c r="C158" i="3"/>
  <c r="A158" i="3"/>
  <c r="F157" i="3"/>
  <c r="E157" i="3"/>
  <c r="C157" i="3"/>
  <c r="A157" i="3"/>
  <c r="F156" i="3"/>
  <c r="E156" i="3"/>
  <c r="D156" i="3"/>
  <c r="C156" i="3"/>
  <c r="A156" i="3"/>
  <c r="F155" i="3"/>
  <c r="E155" i="3"/>
  <c r="C155" i="3"/>
  <c r="A155" i="3"/>
  <c r="F154" i="3"/>
  <c r="E154" i="3"/>
  <c r="C154" i="3"/>
  <c r="A154" i="3"/>
  <c r="F153" i="3"/>
  <c r="E153" i="3"/>
  <c r="C153" i="3"/>
  <c r="A153" i="3"/>
  <c r="F152" i="3"/>
  <c r="E152" i="3"/>
  <c r="C152" i="3"/>
  <c r="A152" i="3"/>
  <c r="F151" i="3"/>
  <c r="E151" i="3"/>
  <c r="C151" i="3"/>
  <c r="A151" i="3"/>
  <c r="F150" i="3"/>
  <c r="E150" i="3"/>
  <c r="C150" i="3"/>
  <c r="A150" i="3"/>
  <c r="F149" i="3"/>
  <c r="E149" i="3"/>
  <c r="C149" i="3"/>
  <c r="A149" i="3"/>
  <c r="F148" i="3"/>
  <c r="E148" i="3"/>
  <c r="D148" i="3"/>
  <c r="C148" i="3"/>
  <c r="A148" i="3"/>
  <c r="F147" i="3"/>
  <c r="E147" i="3"/>
  <c r="C147" i="3"/>
  <c r="A147" i="3"/>
  <c r="F146" i="3"/>
  <c r="E146" i="3"/>
  <c r="C146" i="3"/>
  <c r="A146" i="3"/>
  <c r="F145" i="3"/>
  <c r="E145" i="3"/>
  <c r="C145" i="3"/>
  <c r="A145" i="3"/>
  <c r="F144" i="3"/>
  <c r="E144" i="3"/>
  <c r="C144" i="3"/>
  <c r="A144" i="3"/>
  <c r="F143" i="3"/>
  <c r="E143" i="3"/>
  <c r="D143" i="3"/>
  <c r="C143" i="3"/>
  <c r="A143" i="3"/>
  <c r="F142" i="3"/>
  <c r="E142" i="3"/>
  <c r="C142" i="3"/>
  <c r="A142" i="3"/>
  <c r="F141" i="3"/>
  <c r="E141" i="3"/>
  <c r="C141" i="3"/>
  <c r="A141" i="3"/>
  <c r="F140" i="3"/>
  <c r="E140" i="3"/>
  <c r="C140" i="3"/>
  <c r="A140" i="3"/>
  <c r="F139" i="3"/>
  <c r="E139" i="3"/>
  <c r="C139" i="3"/>
  <c r="A139" i="3"/>
  <c r="F138" i="3"/>
  <c r="E138" i="3"/>
  <c r="C138" i="3"/>
  <c r="A138" i="3"/>
  <c r="F137" i="3"/>
  <c r="E137" i="3"/>
  <c r="C137" i="3"/>
  <c r="A137" i="3"/>
  <c r="F136" i="3"/>
  <c r="E136" i="3"/>
  <c r="D136" i="3"/>
  <c r="C136" i="3"/>
  <c r="A136" i="3"/>
  <c r="F135" i="3"/>
  <c r="E135" i="3"/>
  <c r="C135" i="3"/>
  <c r="A135" i="3"/>
  <c r="F134" i="3"/>
  <c r="E134" i="3"/>
  <c r="C134" i="3"/>
  <c r="A134" i="3"/>
  <c r="F133" i="3"/>
  <c r="E133" i="3"/>
  <c r="C133" i="3"/>
  <c r="A133" i="3"/>
  <c r="F132" i="3"/>
  <c r="E132" i="3"/>
  <c r="C132" i="3"/>
  <c r="A132" i="3"/>
  <c r="F131" i="3"/>
  <c r="E131" i="3"/>
  <c r="D131" i="3"/>
  <c r="C131" i="3"/>
  <c r="A131" i="3"/>
  <c r="F130" i="3"/>
  <c r="E130" i="3"/>
  <c r="C130" i="3"/>
  <c r="A130" i="3"/>
  <c r="F129" i="3"/>
  <c r="E129" i="3"/>
  <c r="C129" i="3"/>
  <c r="A129" i="3"/>
  <c r="F128" i="3"/>
  <c r="E128" i="3"/>
  <c r="C128" i="3"/>
  <c r="A128" i="3"/>
  <c r="F127" i="3"/>
  <c r="E127" i="3"/>
  <c r="C127" i="3"/>
  <c r="A127" i="3"/>
  <c r="F126" i="3"/>
  <c r="E126" i="3"/>
  <c r="D126" i="3"/>
  <c r="C126" i="3"/>
  <c r="A126" i="3"/>
  <c r="F125" i="3"/>
  <c r="E125" i="3"/>
  <c r="C125" i="3"/>
  <c r="A125" i="3"/>
  <c r="F124" i="3"/>
  <c r="E124" i="3"/>
  <c r="C124" i="3"/>
  <c r="A124" i="3"/>
  <c r="F123" i="3"/>
  <c r="E123" i="3"/>
  <c r="C123" i="3"/>
  <c r="A123" i="3"/>
  <c r="F122" i="3"/>
  <c r="E122" i="3"/>
  <c r="C122" i="3"/>
  <c r="A122" i="3"/>
  <c r="F121" i="3"/>
  <c r="E121" i="3"/>
  <c r="C121" i="3"/>
  <c r="A121" i="3"/>
  <c r="F120" i="3"/>
  <c r="E120" i="3"/>
  <c r="D120" i="3"/>
  <c r="C120" i="3"/>
  <c r="A120" i="3"/>
  <c r="F119" i="3"/>
  <c r="E119" i="3"/>
  <c r="C119" i="3"/>
  <c r="A119" i="3"/>
  <c r="F118" i="3"/>
  <c r="E118" i="3"/>
  <c r="C118" i="3"/>
  <c r="A118" i="3"/>
  <c r="F117" i="3"/>
  <c r="E117" i="3"/>
  <c r="C117" i="3"/>
  <c r="A117" i="3"/>
  <c r="F116" i="3"/>
  <c r="E116" i="3"/>
  <c r="C116" i="3"/>
  <c r="A116" i="3"/>
  <c r="F115" i="3"/>
  <c r="E115" i="3"/>
  <c r="C115" i="3"/>
  <c r="A115" i="3"/>
  <c r="F114" i="3"/>
  <c r="E114" i="3"/>
  <c r="C114" i="3"/>
  <c r="A114" i="3"/>
  <c r="F113" i="3"/>
  <c r="E113" i="3"/>
  <c r="C113" i="3"/>
  <c r="A113" i="3"/>
  <c r="F112" i="3"/>
  <c r="E112" i="3"/>
  <c r="C112" i="3"/>
  <c r="A112" i="3"/>
  <c r="F111" i="3"/>
  <c r="E111" i="3"/>
  <c r="C111" i="3"/>
  <c r="A111" i="3"/>
  <c r="F110" i="3"/>
  <c r="E110" i="3"/>
  <c r="C110" i="3"/>
  <c r="A110" i="3"/>
  <c r="F109" i="3"/>
  <c r="E109" i="3"/>
  <c r="C109" i="3"/>
  <c r="A109" i="3"/>
  <c r="F108" i="3"/>
  <c r="E108" i="3"/>
  <c r="C108" i="3"/>
  <c r="A108" i="3"/>
  <c r="F107" i="3"/>
  <c r="E107" i="3"/>
  <c r="C107" i="3"/>
  <c r="A107" i="3"/>
  <c r="F106" i="3"/>
  <c r="E106" i="3"/>
  <c r="C106" i="3"/>
  <c r="A106" i="3"/>
  <c r="F105" i="3"/>
  <c r="E105" i="3"/>
  <c r="D105" i="3"/>
  <c r="C105" i="3"/>
  <c r="A105" i="3"/>
  <c r="F104" i="3"/>
  <c r="E104" i="3"/>
  <c r="C104" i="3"/>
  <c r="A104" i="3"/>
  <c r="F103" i="3"/>
  <c r="E103" i="3"/>
  <c r="C103" i="3"/>
  <c r="A103" i="3"/>
  <c r="F102" i="3"/>
  <c r="E102" i="3"/>
  <c r="C102" i="3"/>
  <c r="A102" i="3"/>
  <c r="F101" i="3"/>
  <c r="E101" i="3"/>
  <c r="C101" i="3"/>
  <c r="A101" i="3"/>
  <c r="F100" i="3"/>
  <c r="E100" i="3"/>
  <c r="C100" i="3"/>
  <c r="A100" i="3"/>
  <c r="F99" i="3"/>
  <c r="E99" i="3"/>
  <c r="C99" i="3"/>
  <c r="A99" i="3"/>
  <c r="F98" i="3"/>
  <c r="E98" i="3"/>
  <c r="C98" i="3"/>
  <c r="A98" i="3"/>
  <c r="F97" i="3"/>
  <c r="E97" i="3"/>
  <c r="C97" i="3"/>
  <c r="A97" i="3"/>
  <c r="F96" i="3"/>
  <c r="E96" i="3"/>
  <c r="C96" i="3"/>
  <c r="A96" i="3"/>
  <c r="F95" i="3"/>
  <c r="E95" i="3"/>
  <c r="D95" i="3"/>
  <c r="C95" i="3"/>
  <c r="A95" i="3"/>
  <c r="F94" i="3"/>
  <c r="E94" i="3"/>
  <c r="C94" i="3"/>
  <c r="A94" i="3"/>
  <c r="F93" i="3"/>
  <c r="E93" i="3"/>
  <c r="C93" i="3"/>
  <c r="A93" i="3"/>
  <c r="F92" i="3"/>
  <c r="E92" i="3"/>
  <c r="C92" i="3"/>
  <c r="A92" i="3"/>
  <c r="F91" i="3"/>
  <c r="E91" i="3"/>
  <c r="C91" i="3"/>
  <c r="A91" i="3"/>
  <c r="F90" i="3"/>
  <c r="E90" i="3"/>
  <c r="C90" i="3"/>
  <c r="A90" i="3"/>
  <c r="F89" i="3"/>
  <c r="E89" i="3"/>
  <c r="C89" i="3"/>
  <c r="A89" i="3"/>
  <c r="F88" i="3"/>
  <c r="E88" i="3"/>
  <c r="C88" i="3"/>
  <c r="A88" i="3"/>
  <c r="F87" i="3"/>
  <c r="E87" i="3"/>
  <c r="C87" i="3"/>
  <c r="A87" i="3"/>
  <c r="F86" i="3"/>
  <c r="E86" i="3"/>
  <c r="C86" i="3"/>
  <c r="A86" i="3"/>
  <c r="F85" i="3"/>
  <c r="E85" i="3"/>
  <c r="C85" i="3"/>
  <c r="A85" i="3"/>
  <c r="F84" i="3"/>
  <c r="E84" i="3"/>
  <c r="C84" i="3"/>
  <c r="A84" i="3"/>
  <c r="F83" i="3"/>
  <c r="E83" i="3"/>
  <c r="D83" i="3"/>
  <c r="C83" i="3"/>
  <c r="A83" i="3"/>
  <c r="F82" i="3"/>
  <c r="E82" i="3"/>
  <c r="C82" i="3"/>
  <c r="A82" i="3"/>
  <c r="F81" i="3"/>
  <c r="E81" i="3"/>
  <c r="C81" i="3"/>
  <c r="A81" i="3"/>
  <c r="F80" i="3"/>
  <c r="E80" i="3"/>
  <c r="C80" i="3"/>
  <c r="A80" i="3"/>
  <c r="F79" i="3"/>
  <c r="E79" i="3"/>
  <c r="D79" i="3"/>
  <c r="C79" i="3"/>
  <c r="A79" i="3"/>
  <c r="F78" i="3"/>
  <c r="E78" i="3"/>
  <c r="C78" i="3"/>
  <c r="A78" i="3"/>
  <c r="F77" i="3"/>
  <c r="E77" i="3"/>
  <c r="C77" i="3"/>
  <c r="A77" i="3"/>
  <c r="F76" i="3"/>
  <c r="E76" i="3"/>
  <c r="D76" i="3"/>
  <c r="C76" i="3"/>
  <c r="A76" i="3"/>
  <c r="F75" i="3"/>
  <c r="E75" i="3"/>
  <c r="C75" i="3"/>
  <c r="A75" i="3"/>
  <c r="F74" i="3"/>
  <c r="E74" i="3"/>
  <c r="C74" i="3"/>
  <c r="A74" i="3"/>
  <c r="F73" i="3"/>
  <c r="E73" i="3"/>
  <c r="D73" i="3"/>
  <c r="C73" i="3"/>
  <c r="A73" i="3"/>
  <c r="F72" i="3"/>
  <c r="E72" i="3"/>
  <c r="C72" i="3"/>
  <c r="A72" i="3"/>
  <c r="F71" i="3"/>
  <c r="E71" i="3"/>
  <c r="C71" i="3"/>
  <c r="A71" i="3"/>
  <c r="F70" i="3"/>
  <c r="E70" i="3"/>
  <c r="C70" i="3"/>
  <c r="A70" i="3"/>
  <c r="F69" i="3"/>
  <c r="E69" i="3"/>
  <c r="C69" i="3"/>
  <c r="A69" i="3"/>
  <c r="F68" i="3"/>
  <c r="E68" i="3"/>
  <c r="C68" i="3"/>
  <c r="A68" i="3"/>
  <c r="F67" i="3"/>
  <c r="E67" i="3"/>
  <c r="C67" i="3"/>
  <c r="A67" i="3"/>
  <c r="F66" i="3"/>
  <c r="E66" i="3"/>
  <c r="C66" i="3"/>
  <c r="A66" i="3"/>
  <c r="F65" i="3"/>
  <c r="E65" i="3"/>
  <c r="D65" i="3"/>
  <c r="C65" i="3"/>
  <c r="A65" i="3"/>
  <c r="F64" i="3"/>
  <c r="E64" i="3"/>
  <c r="C64" i="3"/>
  <c r="A64" i="3"/>
  <c r="F63" i="3"/>
  <c r="E63" i="3"/>
  <c r="C63" i="3"/>
  <c r="A63" i="3"/>
  <c r="F62" i="3"/>
  <c r="E62" i="3"/>
  <c r="C62" i="3"/>
  <c r="A62" i="3"/>
  <c r="F61" i="3"/>
  <c r="E61" i="3"/>
  <c r="C61" i="3"/>
  <c r="A61" i="3"/>
  <c r="F60" i="3"/>
  <c r="E60" i="3"/>
  <c r="C60" i="3"/>
  <c r="A60" i="3"/>
  <c r="F59" i="3"/>
  <c r="E59" i="3"/>
  <c r="C59" i="3"/>
  <c r="A59" i="3"/>
  <c r="F58" i="3"/>
  <c r="E58" i="3"/>
  <c r="C58" i="3"/>
  <c r="A58" i="3"/>
  <c r="F57" i="3"/>
  <c r="E57" i="3"/>
  <c r="C57" i="3"/>
  <c r="A57" i="3"/>
  <c r="F56" i="3"/>
  <c r="E56" i="3"/>
  <c r="C56" i="3"/>
  <c r="A56" i="3"/>
  <c r="F55" i="3"/>
  <c r="E55" i="3"/>
  <c r="C55" i="3"/>
  <c r="A55" i="3"/>
  <c r="F54" i="3"/>
  <c r="E54" i="3"/>
  <c r="C54" i="3"/>
  <c r="A54" i="3"/>
  <c r="F53" i="3"/>
  <c r="E53" i="3"/>
  <c r="C53" i="3"/>
  <c r="A53" i="3"/>
  <c r="F52" i="3"/>
  <c r="E52" i="3"/>
  <c r="D52" i="3"/>
  <c r="C52" i="3"/>
  <c r="A52" i="3"/>
  <c r="F51" i="3"/>
  <c r="E51" i="3"/>
  <c r="C51" i="3"/>
  <c r="A51" i="3"/>
  <c r="F50" i="3"/>
  <c r="E50" i="3"/>
  <c r="C50" i="3"/>
  <c r="A50" i="3"/>
  <c r="F49" i="3"/>
  <c r="E49" i="3"/>
  <c r="C49" i="3"/>
  <c r="A49" i="3"/>
  <c r="F48" i="3"/>
  <c r="E48" i="3"/>
  <c r="C48" i="3"/>
  <c r="A48" i="3"/>
  <c r="F47" i="3"/>
  <c r="E47" i="3"/>
  <c r="C47" i="3"/>
  <c r="A47" i="3"/>
  <c r="F46" i="3"/>
  <c r="E46" i="3"/>
  <c r="C46" i="3"/>
  <c r="A46" i="3"/>
  <c r="F45" i="3"/>
  <c r="E45" i="3"/>
  <c r="C45" i="3"/>
  <c r="A45" i="3"/>
  <c r="F44" i="3"/>
  <c r="E44" i="3"/>
  <c r="C44" i="3"/>
  <c r="A44" i="3"/>
  <c r="F43" i="3"/>
  <c r="E43" i="3"/>
  <c r="D43" i="3"/>
  <c r="C43" i="3"/>
  <c r="A43" i="3"/>
  <c r="F42" i="3"/>
  <c r="E42" i="3"/>
  <c r="C42" i="3"/>
  <c r="A42" i="3"/>
  <c r="F41" i="3"/>
  <c r="E41" i="3"/>
  <c r="C41" i="3"/>
  <c r="A41" i="3"/>
  <c r="F40" i="3"/>
  <c r="E40" i="3"/>
  <c r="C40" i="3"/>
  <c r="A40" i="3"/>
  <c r="F39" i="3"/>
  <c r="E39" i="3"/>
  <c r="C39" i="3"/>
  <c r="A39" i="3"/>
  <c r="F38" i="3"/>
  <c r="E38" i="3"/>
  <c r="C38" i="3"/>
  <c r="A38" i="3"/>
  <c r="F37" i="3"/>
  <c r="E37" i="3"/>
  <c r="C37" i="3"/>
  <c r="A37" i="3"/>
  <c r="F36" i="3"/>
  <c r="E36" i="3"/>
  <c r="D36" i="3"/>
  <c r="C36" i="3"/>
  <c r="A36" i="3"/>
  <c r="F35" i="3"/>
  <c r="E35" i="3"/>
  <c r="C35" i="3"/>
  <c r="A35" i="3"/>
  <c r="F34" i="3"/>
  <c r="E34" i="3"/>
  <c r="C34" i="3"/>
  <c r="A34" i="3"/>
  <c r="F33" i="3"/>
  <c r="E33" i="3"/>
  <c r="C33" i="3"/>
  <c r="A33" i="3"/>
  <c r="F32" i="3"/>
  <c r="E32" i="3"/>
  <c r="C32" i="3"/>
  <c r="A32" i="3"/>
  <c r="F31" i="3"/>
  <c r="E31" i="3"/>
  <c r="D31" i="3"/>
  <c r="C31" i="3"/>
  <c r="A31" i="3"/>
  <c r="F30" i="3"/>
  <c r="E30" i="3"/>
  <c r="C30" i="3"/>
  <c r="A30" i="3"/>
  <c r="F29" i="3"/>
  <c r="E29" i="3"/>
  <c r="C29" i="3"/>
  <c r="A29" i="3"/>
  <c r="F28" i="3"/>
  <c r="E28" i="3"/>
  <c r="C28" i="3"/>
  <c r="A28" i="3"/>
  <c r="F27" i="3"/>
  <c r="E27" i="3"/>
  <c r="C27" i="3"/>
  <c r="A27" i="3"/>
  <c r="F26" i="3"/>
  <c r="E26" i="3"/>
  <c r="D26" i="3"/>
  <c r="C26" i="3"/>
  <c r="A26" i="3"/>
  <c r="F25" i="3"/>
  <c r="E25" i="3"/>
  <c r="C25" i="3"/>
  <c r="A25" i="3"/>
  <c r="F24" i="3"/>
  <c r="E24" i="3"/>
  <c r="C24" i="3"/>
  <c r="A24" i="3"/>
  <c r="F23" i="3"/>
  <c r="E23" i="3"/>
  <c r="C23" i="3"/>
  <c r="A23" i="3"/>
  <c r="F22" i="3"/>
  <c r="E22" i="3"/>
  <c r="D22" i="3"/>
  <c r="C22" i="3"/>
  <c r="A22" i="3"/>
  <c r="F21" i="3"/>
  <c r="E21" i="3"/>
  <c r="C21" i="3"/>
  <c r="A21" i="3"/>
  <c r="F20" i="3"/>
  <c r="E20" i="3"/>
  <c r="C20" i="3"/>
  <c r="A20" i="3"/>
  <c r="F19" i="3"/>
  <c r="E19" i="3"/>
  <c r="C19" i="3"/>
  <c r="A19" i="3"/>
  <c r="F18" i="3"/>
  <c r="E18" i="3"/>
  <c r="C18" i="3"/>
  <c r="A18" i="3"/>
  <c r="F17" i="3"/>
  <c r="E17" i="3"/>
  <c r="C17" i="3"/>
  <c r="A17" i="3"/>
  <c r="F16" i="3"/>
  <c r="E16" i="3"/>
  <c r="D16" i="3"/>
  <c r="C16" i="3"/>
  <c r="A16" i="3"/>
  <c r="F15" i="3"/>
  <c r="E15" i="3"/>
  <c r="C15" i="3"/>
  <c r="A15" i="3"/>
  <c r="F14" i="3"/>
  <c r="E14" i="3"/>
  <c r="C14" i="3"/>
  <c r="A14" i="3"/>
  <c r="F13" i="3"/>
  <c r="E13" i="3"/>
  <c r="C13" i="3"/>
  <c r="A13" i="3"/>
  <c r="F12" i="3"/>
  <c r="E12" i="3"/>
  <c r="C12" i="3"/>
  <c r="A12" i="3"/>
  <c r="F11" i="3"/>
  <c r="E11" i="3"/>
  <c r="D11" i="3"/>
  <c r="C11" i="3"/>
  <c r="A11" i="3"/>
  <c r="F10" i="3"/>
  <c r="E10" i="3"/>
  <c r="C10" i="3"/>
  <c r="A10" i="3"/>
  <c r="F9" i="3"/>
  <c r="E9" i="3"/>
  <c r="C9" i="3"/>
  <c r="A9" i="3"/>
  <c r="F8" i="3"/>
  <c r="E8" i="3"/>
  <c r="C8" i="3"/>
  <c r="A8" i="3"/>
  <c r="F7" i="3"/>
  <c r="E7" i="3"/>
  <c r="C7" i="3"/>
  <c r="A7" i="3"/>
  <c r="F6" i="3"/>
  <c r="E6" i="3"/>
  <c r="D6" i="3"/>
  <c r="C6" i="3"/>
  <c r="A6" i="3"/>
  <c r="F5" i="3"/>
  <c r="E5" i="3"/>
  <c r="C5" i="3"/>
  <c r="A5" i="3"/>
  <c r="F4" i="3"/>
  <c r="E4" i="3"/>
  <c r="C4" i="3"/>
  <c r="A4" i="3"/>
  <c r="F3" i="3"/>
  <c r="E3" i="3"/>
  <c r="D3" i="3"/>
  <c r="C3" i="3"/>
  <c r="A3" i="3"/>
  <c r="C2" i="3"/>
  <c r="B2" i="3"/>
  <c r="A2" i="3"/>
  <c r="F1" i="3"/>
  <c r="E1" i="3"/>
  <c r="D1" i="3"/>
  <c r="C1" i="3"/>
  <c r="B1" i="3"/>
  <c r="A1" i="3"/>
  <c r="A342" i="2"/>
  <c r="A341" i="2"/>
  <c r="A340" i="2"/>
  <c r="A339" i="2"/>
  <c r="A338" i="2"/>
  <c r="A337" i="2"/>
  <c r="A336" i="2"/>
  <c r="A335" i="2"/>
  <c r="A334" i="2"/>
  <c r="E333" i="2"/>
  <c r="D333" i="2"/>
  <c r="A333" i="2"/>
  <c r="G332" i="2"/>
  <c r="A332" i="2" s="1"/>
  <c r="I204" i="3" s="1"/>
  <c r="A331" i="2"/>
  <c r="A330" i="2"/>
  <c r="A329" i="2"/>
  <c r="A328" i="2"/>
  <c r="A327" i="2"/>
  <c r="A326" i="2"/>
  <c r="A325" i="2"/>
  <c r="G324" i="2"/>
  <c r="A324" i="2" s="1"/>
  <c r="E324" i="2"/>
  <c r="E325" i="2" s="1"/>
  <c r="A323" i="2"/>
  <c r="E322" i="2"/>
  <c r="D322" i="2"/>
  <c r="A322" i="2"/>
  <c r="E321" i="2"/>
  <c r="D321" i="2"/>
  <c r="A321" i="2"/>
  <c r="E320" i="2"/>
  <c r="D320" i="2"/>
  <c r="A320" i="2"/>
  <c r="E319" i="2"/>
  <c r="D319" i="2"/>
  <c r="A319" i="2"/>
  <c r="E318" i="2"/>
  <c r="D318" i="2"/>
  <c r="A318" i="2"/>
  <c r="E317" i="2"/>
  <c r="D317" i="2"/>
  <c r="A317" i="2"/>
  <c r="G316" i="2"/>
  <c r="A316" i="2" s="1"/>
  <c r="H195" i="3" s="1"/>
  <c r="A315" i="2"/>
  <c r="A314" i="2"/>
  <c r="A313" i="2"/>
  <c r="A312" i="2"/>
  <c r="E311" i="2"/>
  <c r="D311" i="2"/>
  <c r="A311" i="2"/>
  <c r="E310" i="2"/>
  <c r="D310" i="2"/>
  <c r="A310" i="2"/>
  <c r="G309" i="2"/>
  <c r="A309" i="2" s="1"/>
  <c r="H202" i="3" s="1"/>
  <c r="A308" i="2"/>
  <c r="A307" i="2"/>
  <c r="A306" i="2"/>
  <c r="A305" i="2"/>
  <c r="E304" i="2"/>
  <c r="D304" i="2"/>
  <c r="A304" i="2"/>
  <c r="G303" i="2"/>
  <c r="A303" i="2" s="1"/>
  <c r="I203" i="3" s="1"/>
  <c r="A302" i="2"/>
  <c r="A301" i="2"/>
  <c r="E300" i="2"/>
  <c r="D300" i="2"/>
  <c r="A300" i="2"/>
  <c r="E299" i="2"/>
  <c r="D299" i="2"/>
  <c r="A299" i="2"/>
  <c r="E298" i="2"/>
  <c r="D298" i="2"/>
  <c r="A298" i="2"/>
  <c r="E297" i="2"/>
  <c r="D297" i="2"/>
  <c r="A297" i="2"/>
  <c r="G296" i="2"/>
  <c r="A296" i="2" s="1"/>
  <c r="A294" i="2"/>
  <c r="A293" i="2"/>
  <c r="A292" i="2"/>
  <c r="A291" i="2"/>
  <c r="E290" i="2"/>
  <c r="D290" i="2"/>
  <c r="A290" i="2"/>
  <c r="E289" i="2"/>
  <c r="D289" i="2"/>
  <c r="A289" i="2"/>
  <c r="G288" i="2"/>
  <c r="A288" i="2" s="1"/>
  <c r="A287" i="2"/>
  <c r="A286" i="2"/>
  <c r="A285" i="2"/>
  <c r="A284" i="2"/>
  <c r="E283" i="2"/>
  <c r="D283" i="2"/>
  <c r="A283" i="2"/>
  <c r="E282" i="2"/>
  <c r="D282" i="2"/>
  <c r="A282" i="2"/>
  <c r="G281" i="2"/>
  <c r="A281" i="2" s="1"/>
  <c r="A280" i="2"/>
  <c r="A279" i="2"/>
  <c r="E278" i="2"/>
  <c r="A278" i="2"/>
  <c r="A277" i="2"/>
  <c r="E276" i="2"/>
  <c r="D276" i="2"/>
  <c r="A276" i="2"/>
  <c r="E275" i="2"/>
  <c r="D275" i="2"/>
  <c r="A275" i="2"/>
  <c r="G274" i="2"/>
  <c r="A274" i="2" s="1"/>
  <c r="H147" i="3" s="1"/>
  <c r="E274" i="2"/>
  <c r="D274" i="2"/>
  <c r="D278" i="2" s="1"/>
  <c r="A272" i="2"/>
  <c r="A271" i="2"/>
  <c r="A270" i="2"/>
  <c r="A269" i="2"/>
  <c r="A268" i="2"/>
  <c r="A267" i="2"/>
  <c r="A266" i="2"/>
  <c r="G265" i="2"/>
  <c r="A265" i="2" s="1"/>
  <c r="H141" i="3" s="1"/>
  <c r="A264" i="2"/>
  <c r="A263" i="2"/>
  <c r="A262" i="2"/>
  <c r="A261" i="2"/>
  <c r="E260" i="2"/>
  <c r="D260" i="2"/>
  <c r="A260" i="2"/>
  <c r="E259" i="2"/>
  <c r="D259" i="2"/>
  <c r="A259" i="2"/>
  <c r="G258" i="2"/>
  <c r="A258" i="2" s="1"/>
  <c r="A257" i="2"/>
  <c r="A256" i="2"/>
  <c r="A255" i="2"/>
  <c r="A254" i="2"/>
  <c r="E253" i="2"/>
  <c r="D253" i="2"/>
  <c r="A253" i="2"/>
  <c r="E252" i="2"/>
  <c r="D252" i="2"/>
  <c r="A252" i="2"/>
  <c r="G251" i="2"/>
  <c r="A251" i="2" s="1"/>
  <c r="H162" i="3" s="1"/>
  <c r="A250" i="2"/>
  <c r="A249" i="2"/>
  <c r="E248" i="2"/>
  <c r="D248" i="2"/>
  <c r="A248" i="2"/>
  <c r="E247" i="2"/>
  <c r="D247" i="2"/>
  <c r="A247" i="2"/>
  <c r="E246" i="2"/>
  <c r="D246" i="2"/>
  <c r="A246" i="2"/>
  <c r="E245" i="2"/>
  <c r="D245" i="2"/>
  <c r="A245" i="2"/>
  <c r="G244" i="2"/>
  <c r="A244" i="2" s="1"/>
  <c r="H133" i="3" s="1"/>
  <c r="A243" i="2"/>
  <c r="A242" i="2"/>
  <c r="E241" i="2"/>
  <c r="D241" i="2"/>
  <c r="A241" i="2"/>
  <c r="E240" i="2"/>
  <c r="D240" i="2"/>
  <c r="A240" i="2"/>
  <c r="E239" i="2"/>
  <c r="D239" i="2"/>
  <c r="A239" i="2"/>
  <c r="E238" i="2"/>
  <c r="D238" i="2"/>
  <c r="A238" i="2"/>
  <c r="G237" i="2"/>
  <c r="A237" i="2" s="1"/>
  <c r="H127" i="3" s="1"/>
  <c r="A236" i="2"/>
  <c r="A235" i="2"/>
  <c r="A234" i="2"/>
  <c r="E233" i="2"/>
  <c r="D233" i="2"/>
  <c r="A233" i="2"/>
  <c r="E232" i="2"/>
  <c r="D232" i="2"/>
  <c r="A232" i="2"/>
  <c r="E231" i="2"/>
  <c r="D231" i="2"/>
  <c r="A231" i="2"/>
  <c r="G230" i="2"/>
  <c r="A230" i="2" s="1"/>
  <c r="H139" i="3" s="1"/>
  <c r="A229" i="2"/>
  <c r="A228" i="2"/>
  <c r="A227" i="2"/>
  <c r="E226" i="2"/>
  <c r="D226" i="2"/>
  <c r="A226" i="2"/>
  <c r="E225" i="2"/>
  <c r="D225" i="2"/>
  <c r="A225" i="2"/>
  <c r="E224" i="2"/>
  <c r="D224" i="2"/>
  <c r="A224" i="2"/>
  <c r="G223" i="2"/>
  <c r="A223" i="2" s="1"/>
  <c r="A221" i="2"/>
  <c r="A220" i="2"/>
  <c r="A219" i="2"/>
  <c r="E218" i="2"/>
  <c r="D218" i="2"/>
  <c r="A218" i="2"/>
  <c r="E217" i="2"/>
  <c r="D217" i="2"/>
  <c r="A217" i="2"/>
  <c r="E216" i="2"/>
  <c r="D216" i="2"/>
  <c r="A216" i="2"/>
  <c r="G215" i="2"/>
  <c r="A215" i="2" s="1"/>
  <c r="A214" i="2"/>
  <c r="E213" i="2"/>
  <c r="D213" i="2"/>
  <c r="A213" i="2"/>
  <c r="E212" i="2"/>
  <c r="D212" i="2"/>
  <c r="A212" i="2"/>
  <c r="E211" i="2"/>
  <c r="D211" i="2"/>
  <c r="A211" i="2"/>
  <c r="E210" i="2"/>
  <c r="D210" i="2"/>
  <c r="A210" i="2"/>
  <c r="E209" i="2"/>
  <c r="D209" i="2"/>
  <c r="A209" i="2"/>
  <c r="G208" i="2"/>
  <c r="A208" i="2" s="1"/>
  <c r="H109" i="3" s="1"/>
  <c r="A207" i="2"/>
  <c r="A206" i="2"/>
  <c r="A205" i="2"/>
  <c r="A204" i="2"/>
  <c r="E203" i="2"/>
  <c r="D203" i="2"/>
  <c r="A203" i="2"/>
  <c r="E202" i="2"/>
  <c r="D202" i="2"/>
  <c r="A202" i="2"/>
  <c r="G201" i="2"/>
  <c r="A201" i="2" s="1"/>
  <c r="I101" i="3" s="1"/>
  <c r="A200" i="2"/>
  <c r="A199" i="2"/>
  <c r="A198" i="2"/>
  <c r="E197" i="2"/>
  <c r="D197" i="2"/>
  <c r="A197" i="2"/>
  <c r="A196" i="2"/>
  <c r="G195" i="2"/>
  <c r="A195" i="2" s="1"/>
  <c r="H98" i="3" s="1"/>
  <c r="E195" i="2"/>
  <c r="E196" i="2" s="1"/>
  <c r="D195" i="2"/>
  <c r="D196" i="2" s="1"/>
  <c r="A194" i="2"/>
  <c r="A193" i="2"/>
  <c r="A192" i="2"/>
  <c r="A191" i="2"/>
  <c r="E190" i="2"/>
  <c r="D190" i="2"/>
  <c r="A190" i="2"/>
  <c r="E189" i="2"/>
  <c r="D189" i="2"/>
  <c r="A189" i="2"/>
  <c r="G188" i="2"/>
  <c r="A188" i="2" s="1"/>
  <c r="E188" i="2"/>
  <c r="D188" i="2"/>
  <c r="A187" i="2"/>
  <c r="A186" i="2"/>
  <c r="A185" i="2"/>
  <c r="A184" i="2"/>
  <c r="A183" i="2"/>
  <c r="E182" i="2"/>
  <c r="D182" i="2"/>
  <c r="A182" i="2"/>
  <c r="E181" i="2"/>
  <c r="D181" i="2"/>
  <c r="A181" i="2"/>
  <c r="E180" i="2"/>
  <c r="D180" i="2"/>
  <c r="A180" i="2"/>
  <c r="E179" i="2"/>
  <c r="D179" i="2"/>
  <c r="A179" i="2"/>
  <c r="E178" i="2"/>
  <c r="D178" i="2"/>
  <c r="A178" i="2"/>
  <c r="E177" i="2"/>
  <c r="D177" i="2"/>
  <c r="A177" i="2"/>
  <c r="E176" i="2"/>
  <c r="D176" i="2"/>
  <c r="A176" i="2"/>
  <c r="E175" i="2"/>
  <c r="D175" i="2"/>
  <c r="A175" i="2"/>
  <c r="G174" i="2"/>
  <c r="A174" i="2" s="1"/>
  <c r="A173" i="2"/>
  <c r="E172" i="2"/>
  <c r="D172" i="2"/>
  <c r="A172" i="2"/>
  <c r="E171" i="2"/>
  <c r="D171" i="2"/>
  <c r="A171" i="2"/>
  <c r="E170" i="2"/>
  <c r="D170" i="2"/>
  <c r="A170" i="2"/>
  <c r="G169" i="2"/>
  <c r="A169" i="2" s="1"/>
  <c r="H60" i="3" s="1"/>
  <c r="A168" i="2"/>
  <c r="G167" i="2"/>
  <c r="E167" i="2"/>
  <c r="D167" i="2"/>
  <c r="A166" i="2"/>
  <c r="A165" i="2"/>
  <c r="G164" i="2"/>
  <c r="A163" i="2"/>
  <c r="G162" i="2"/>
  <c r="D162" i="2"/>
  <c r="A161" i="2"/>
  <c r="E160" i="2"/>
  <c r="D160" i="2"/>
  <c r="A160" i="2"/>
  <c r="E159" i="2"/>
  <c r="D159" i="2"/>
  <c r="A159" i="2"/>
  <c r="G158" i="2"/>
  <c r="A158" i="2" s="1"/>
  <c r="A157" i="2"/>
  <c r="A156" i="2"/>
  <c r="A155" i="2"/>
  <c r="A154" i="2"/>
  <c r="E153" i="2"/>
  <c r="D153" i="2"/>
  <c r="A153" i="2"/>
  <c r="G152" i="2"/>
  <c r="A152" i="2" s="1"/>
  <c r="H88" i="3" s="1"/>
  <c r="A151" i="2"/>
  <c r="A150" i="2"/>
  <c r="E149" i="2"/>
  <c r="D149" i="2"/>
  <c r="A149" i="2"/>
  <c r="E148" i="2"/>
  <c r="D148" i="2"/>
  <c r="A148" i="2"/>
  <c r="E147" i="2"/>
  <c r="D147" i="2"/>
  <c r="A147" i="2"/>
  <c r="E146" i="2"/>
  <c r="D146" i="2"/>
  <c r="A146" i="2"/>
  <c r="G145" i="2"/>
  <c r="A145" i="2" s="1"/>
  <c r="H89" i="3" s="1"/>
  <c r="A144" i="2"/>
  <c r="A143" i="2"/>
  <c r="A142" i="2"/>
  <c r="A141" i="2"/>
  <c r="E140" i="2"/>
  <c r="D140" i="2"/>
  <c r="A140" i="2"/>
  <c r="G139" i="2"/>
  <c r="A139" i="2" s="1"/>
  <c r="H74" i="3" s="1"/>
  <c r="A138" i="2"/>
  <c r="E137" i="2"/>
  <c r="D137" i="2"/>
  <c r="A137" i="2"/>
  <c r="E136" i="2"/>
  <c r="D136" i="2"/>
  <c r="A136" i="2"/>
  <c r="E135" i="2"/>
  <c r="D135" i="2"/>
  <c r="A135" i="2"/>
  <c r="E134" i="2"/>
  <c r="D134" i="2"/>
  <c r="A134" i="2"/>
  <c r="E133" i="2"/>
  <c r="D133" i="2"/>
  <c r="A133" i="2"/>
  <c r="E132" i="2"/>
  <c r="D132" i="2"/>
  <c r="A132" i="2"/>
  <c r="G131" i="2"/>
  <c r="A131" i="2" s="1"/>
  <c r="H82" i="3" s="1"/>
  <c r="A130" i="2"/>
  <c r="A129" i="2"/>
  <c r="A128" i="2"/>
  <c r="A127" i="2"/>
  <c r="E126" i="2"/>
  <c r="D126" i="2"/>
  <c r="A126" i="2"/>
  <c r="E125" i="2"/>
  <c r="D125" i="2"/>
  <c r="A125" i="2"/>
  <c r="E124" i="2"/>
  <c r="D124" i="2"/>
  <c r="A124" i="2"/>
  <c r="G123" i="2"/>
  <c r="A123" i="2" s="1"/>
  <c r="I53" i="3" s="1"/>
  <c r="A121" i="2"/>
  <c r="A120" i="2"/>
  <c r="A119" i="2"/>
  <c r="A118" i="2"/>
  <c r="A117" i="2"/>
  <c r="A116" i="2"/>
  <c r="A115" i="2"/>
  <c r="A114" i="2"/>
  <c r="G113" i="2"/>
  <c r="A113" i="2" s="1"/>
  <c r="I9" i="3" s="1"/>
  <c r="A111" i="2"/>
  <c r="A110" i="2"/>
  <c r="A109" i="2"/>
  <c r="G108" i="2"/>
  <c r="A107" i="2"/>
  <c r="A106" i="2"/>
  <c r="A105" i="2"/>
  <c r="G104" i="2"/>
  <c r="A103" i="2"/>
  <c r="A102" i="2"/>
  <c r="A101" i="2"/>
  <c r="A100" i="2"/>
  <c r="A99" i="2"/>
  <c r="A98" i="2"/>
  <c r="A97" i="2"/>
  <c r="A96" i="2"/>
  <c r="G95" i="2"/>
  <c r="A95" i="2" s="1"/>
  <c r="A93" i="2"/>
  <c r="A92" i="2"/>
  <c r="A91" i="2"/>
  <c r="G90" i="2"/>
  <c r="A89" i="2"/>
  <c r="G88" i="2"/>
  <c r="A87" i="2"/>
  <c r="G86" i="2"/>
  <c r="A85" i="2"/>
  <c r="G84" i="2"/>
  <c r="A83" i="2"/>
  <c r="G82" i="2"/>
  <c r="A81" i="2"/>
  <c r="G80" i="2"/>
  <c r="A78" i="2"/>
  <c r="E77" i="2"/>
  <c r="D77" i="2"/>
  <c r="A77" i="2"/>
  <c r="E76" i="2"/>
  <c r="D76" i="2"/>
  <c r="A76" i="2"/>
  <c r="E75" i="2"/>
  <c r="D75" i="2"/>
  <c r="A75" i="2"/>
  <c r="E74" i="2"/>
  <c r="D74" i="2"/>
  <c r="A74" i="2"/>
  <c r="E73" i="2"/>
  <c r="D73" i="2"/>
  <c r="A73" i="2"/>
  <c r="E72" i="2"/>
  <c r="D72" i="2"/>
  <c r="A72" i="2"/>
  <c r="G71" i="2"/>
  <c r="A71" i="2" s="1"/>
  <c r="I12" i="3" s="1"/>
  <c r="A70" i="2"/>
  <c r="A69" i="2"/>
  <c r="E68" i="2"/>
  <c r="D68" i="2"/>
  <c r="A68" i="2"/>
  <c r="E67" i="2"/>
  <c r="D67" i="2"/>
  <c r="A67" i="2"/>
  <c r="G66" i="2"/>
  <c r="A66" i="2" s="1"/>
  <c r="D66" i="2"/>
  <c r="D324" i="2" s="1"/>
  <c r="D325" i="2" s="1"/>
  <c r="A65" i="2"/>
  <c r="G64" i="2"/>
  <c r="A63" i="2"/>
  <c r="G62" i="2"/>
  <c r="A61" i="2"/>
  <c r="G60" i="2"/>
  <c r="A59" i="2"/>
  <c r="A58" i="2"/>
  <c r="A57" i="2"/>
  <c r="A56" i="2"/>
  <c r="A55" i="2"/>
  <c r="A54" i="2"/>
  <c r="G53" i="2"/>
  <c r="A53" i="2" s="1"/>
  <c r="A51" i="2"/>
  <c r="A50" i="2"/>
  <c r="A49" i="2"/>
  <c r="A48" i="2"/>
  <c r="A47" i="2"/>
  <c r="G46" i="2"/>
  <c r="A45" i="2"/>
  <c r="G44" i="2"/>
  <c r="A43" i="2"/>
  <c r="G42" i="2"/>
  <c r="A41" i="2"/>
  <c r="G40" i="2"/>
  <c r="A39" i="2"/>
  <c r="A38" i="2"/>
  <c r="A37" i="2"/>
  <c r="A36" i="2"/>
  <c r="A35" i="2"/>
  <c r="A34" i="2"/>
  <c r="G33" i="2"/>
  <c r="A33" i="2" s="1"/>
  <c r="A32" i="2"/>
  <c r="E31" i="2"/>
  <c r="D31" i="2"/>
  <c r="A31" i="2"/>
  <c r="E30" i="2"/>
  <c r="D30" i="2"/>
  <c r="A30" i="2"/>
  <c r="E29" i="2"/>
  <c r="D29" i="2"/>
  <c r="A29" i="2"/>
  <c r="G28" i="2"/>
  <c r="A28" i="2" s="1"/>
  <c r="H21" i="3" s="1"/>
  <c r="A26" i="2"/>
  <c r="A25" i="2"/>
  <c r="A24" i="2"/>
  <c r="E23" i="2"/>
  <c r="D23" i="2"/>
  <c r="A23" i="2"/>
  <c r="E22" i="2"/>
  <c r="D22" i="2"/>
  <c r="A22" i="2"/>
  <c r="E21" i="2"/>
  <c r="D21" i="2"/>
  <c r="A21" i="2"/>
  <c r="E20" i="2"/>
  <c r="D20" i="2"/>
  <c r="A20" i="2"/>
  <c r="G19" i="2"/>
  <c r="A19" i="2" s="1"/>
  <c r="A18" i="2"/>
  <c r="A17" i="2"/>
  <c r="E16" i="2"/>
  <c r="D16" i="2"/>
  <c r="A16" i="2"/>
  <c r="E15" i="2"/>
  <c r="D15" i="2"/>
  <c r="A15" i="2"/>
  <c r="E14" i="2"/>
  <c r="D14" i="2"/>
  <c r="A14" i="2"/>
  <c r="G13" i="2"/>
  <c r="A13" i="2" s="1"/>
  <c r="H90" i="3" s="1"/>
  <c r="A12" i="2"/>
  <c r="A11" i="2"/>
  <c r="G10" i="2"/>
  <c r="A9" i="2"/>
  <c r="A8" i="2"/>
  <c r="A7" i="2"/>
  <c r="E6" i="2"/>
  <c r="D6" i="2"/>
  <c r="A6" i="2"/>
  <c r="E5" i="2"/>
  <c r="D5" i="2"/>
  <c r="A5" i="2"/>
  <c r="E4" i="2"/>
  <c r="D4" i="2"/>
  <c r="A4" i="2"/>
  <c r="G3" i="2"/>
  <c r="A3" i="2" s="1"/>
  <c r="A2" i="2"/>
  <c r="F25" i="1" a="1"/>
  <c r="K25" i="1" s="1"/>
  <c r="F25" i="1"/>
  <c r="B30" i="1"/>
  <c r="F30" i="1" s="1"/>
  <c r="B25" i="1" a="1"/>
  <c r="B29" i="1" s="1"/>
  <c r="B25" i="1"/>
  <c r="D2" i="1"/>
  <c r="C2" i="1"/>
  <c r="H66" i="3" l="1"/>
  <c r="H103" i="3"/>
  <c r="H111" i="3"/>
  <c r="I54" i="3"/>
  <c r="A167" i="2"/>
  <c r="H72" i="3" s="1"/>
  <c r="I150" i="3"/>
  <c r="I149" i="3"/>
  <c r="H175" i="3"/>
  <c r="H168" i="3"/>
  <c r="H199" i="3"/>
  <c r="H174" i="3"/>
  <c r="H171" i="3"/>
  <c r="H200" i="3"/>
  <c r="H192" i="3"/>
  <c r="H152" i="3"/>
  <c r="H159" i="3"/>
  <c r="H186" i="3"/>
  <c r="H189" i="3"/>
  <c r="H70" i="3"/>
  <c r="H57" i="3"/>
  <c r="I153" i="3"/>
  <c r="I162" i="3"/>
  <c r="I176" i="3"/>
  <c r="I175" i="3"/>
  <c r="H125" i="3"/>
  <c r="H124" i="3"/>
  <c r="H122" i="3"/>
  <c r="H138" i="3"/>
  <c r="A10" i="2"/>
  <c r="H184" i="3" s="1"/>
  <c r="A60" i="2"/>
  <c r="H24" i="3" s="1"/>
  <c r="H51" i="3"/>
  <c r="H140" i="3"/>
  <c r="A42" i="2"/>
  <c r="H7" i="3" s="1"/>
  <c r="A84" i="2"/>
  <c r="H180" i="3" s="1"/>
  <c r="A164" i="2"/>
  <c r="H115" i="3" s="1"/>
  <c r="H81" i="3"/>
  <c r="H100" i="3"/>
  <c r="I200" i="3"/>
  <c r="H146" i="3"/>
  <c r="H155" i="3"/>
  <c r="H46" i="3"/>
  <c r="H48" i="3"/>
  <c r="I55" i="3"/>
  <c r="H87" i="3"/>
  <c r="H119" i="3"/>
  <c r="H106" i="3"/>
  <c r="H130" i="3"/>
  <c r="A80" i="2"/>
  <c r="H181" i="3" s="1"/>
  <c r="H108" i="3"/>
  <c r="F29" i="1"/>
  <c r="H153" i="3"/>
  <c r="H154" i="3"/>
  <c r="H58" i="3"/>
  <c r="H25" i="3"/>
  <c r="H30" i="3"/>
  <c r="H27" i="3"/>
  <c r="H29" i="3"/>
  <c r="A27" i="2"/>
  <c r="H197" i="3"/>
  <c r="H204" i="3"/>
  <c r="H198" i="3"/>
  <c r="H165" i="3"/>
  <c r="H61" i="3"/>
  <c r="I7" i="3"/>
  <c r="A273" i="2"/>
  <c r="A112" i="2"/>
  <c r="A82" i="2"/>
  <c r="H15" i="3" s="1"/>
  <c r="A44" i="2"/>
  <c r="A86" i="2"/>
  <c r="I8" i="3" s="1"/>
  <c r="A62" i="2"/>
  <c r="H28" i="3" s="1"/>
  <c r="A46" i="2"/>
  <c r="H33" i="3"/>
  <c r="H59" i="3"/>
  <c r="H34" i="3"/>
  <c r="H68" i="3"/>
  <c r="H97" i="3"/>
  <c r="I160" i="3"/>
  <c r="I151" i="3"/>
  <c r="A8" i="12"/>
  <c r="A27" i="12"/>
  <c r="A50" i="12"/>
  <c r="A72" i="12"/>
  <c r="A91" i="12"/>
  <c r="A114" i="12"/>
  <c r="A136" i="12"/>
  <c r="A155" i="12"/>
  <c r="A178" i="12"/>
  <c r="A200" i="12"/>
  <c r="A219" i="12"/>
  <c r="A242" i="12"/>
  <c r="A264" i="12"/>
  <c r="A283" i="12"/>
  <c r="A306" i="12"/>
  <c r="A328" i="12"/>
  <c r="A347" i="12"/>
  <c r="A370" i="12"/>
  <c r="A392" i="12"/>
  <c r="A411" i="12"/>
  <c r="A434" i="12"/>
  <c r="A456" i="12"/>
  <c r="A475" i="12"/>
  <c r="A498" i="12"/>
  <c r="A520" i="12"/>
  <c r="A539" i="12"/>
  <c r="A562" i="12"/>
  <c r="A584" i="12"/>
  <c r="A603" i="12"/>
  <c r="A626" i="12"/>
  <c r="A648" i="12"/>
  <c r="A667" i="12"/>
  <c r="A690" i="12"/>
  <c r="A712" i="12"/>
  <c r="A731" i="12"/>
  <c r="A754" i="12"/>
  <c r="A776" i="12"/>
  <c r="A795" i="12"/>
  <c r="A818" i="12"/>
  <c r="A840" i="12"/>
  <c r="A859" i="12"/>
  <c r="A882" i="12"/>
  <c r="A904" i="12"/>
  <c r="A923" i="12"/>
  <c r="A946" i="12"/>
  <c r="A968" i="12"/>
  <c r="A987" i="12"/>
  <c r="A1010" i="12"/>
  <c r="A1032" i="12"/>
  <c r="A1051" i="12"/>
  <c r="A1074" i="12"/>
  <c r="A1096" i="12"/>
  <c r="A1115" i="12"/>
  <c r="A1138" i="12"/>
  <c r="A1160" i="12"/>
  <c r="A1179" i="12"/>
  <c r="A1202" i="12"/>
  <c r="A1224" i="12"/>
  <c r="A1243" i="12"/>
  <c r="A1266" i="12"/>
  <c r="A1288" i="12"/>
  <c r="A1307" i="12"/>
  <c r="A1330" i="12"/>
  <c r="A1352" i="12"/>
  <c r="A1371" i="12"/>
  <c r="A1394" i="12"/>
  <c r="A1416" i="12"/>
  <c r="A1435" i="12"/>
  <c r="A1458" i="12"/>
  <c r="A1480" i="12"/>
  <c r="A1499" i="12"/>
  <c r="A1522" i="12"/>
  <c r="A1544" i="12"/>
  <c r="A1563" i="12"/>
  <c r="A1586" i="12"/>
  <c r="A1608" i="12"/>
  <c r="A1627" i="12"/>
  <c r="A1650" i="12"/>
  <c r="A1672" i="12"/>
  <c r="A1691" i="12"/>
  <c r="A1714" i="12"/>
  <c r="A1736" i="12"/>
  <c r="A1755" i="12"/>
  <c r="A1778" i="12"/>
  <c r="A1800" i="12"/>
  <c r="A1819" i="12"/>
  <c r="A1842" i="12"/>
  <c r="A1864" i="12"/>
  <c r="A1883" i="12"/>
  <c r="A1906" i="12"/>
  <c r="A1928" i="12"/>
  <c r="A1947" i="12"/>
  <c r="A1970" i="12"/>
  <c r="A1992" i="12"/>
  <c r="A2011" i="12"/>
  <c r="A2034" i="12"/>
  <c r="A2056" i="12"/>
  <c r="A2075" i="12"/>
  <c r="A2098" i="12"/>
  <c r="A2120" i="12"/>
  <c r="A2139" i="12"/>
  <c r="A2162" i="12"/>
  <c r="A2184" i="12"/>
  <c r="H10" i="3"/>
  <c r="H45" i="3"/>
  <c r="H53" i="3"/>
  <c r="H62" i="3"/>
  <c r="H78" i="3"/>
  <c r="H86" i="3"/>
  <c r="H94" i="3"/>
  <c r="H113" i="3"/>
  <c r="H121" i="3"/>
  <c r="H129" i="3"/>
  <c r="H137" i="3"/>
  <c r="H145" i="3"/>
  <c r="I155" i="3"/>
  <c r="H167" i="3"/>
  <c r="H170" i="3"/>
  <c r="H177" i="3"/>
  <c r="H188" i="3"/>
  <c r="I199" i="3"/>
  <c r="H228" i="3"/>
  <c r="A10" i="12"/>
  <c r="A32" i="12"/>
  <c r="A51" i="12"/>
  <c r="A74" i="12"/>
  <c r="A96" i="12"/>
  <c r="A115" i="12"/>
  <c r="A138" i="12"/>
  <c r="A160" i="12"/>
  <c r="A179" i="12"/>
  <c r="A202" i="12"/>
  <c r="A224" i="12"/>
  <c r="A243" i="12"/>
  <c r="A266" i="12"/>
  <c r="A288" i="12"/>
  <c r="A307" i="12"/>
  <c r="A330" i="12"/>
  <c r="A352" i="12"/>
  <c r="A371" i="12"/>
  <c r="A394" i="12"/>
  <c r="A416" i="12"/>
  <c r="A435" i="12"/>
  <c r="A458" i="12"/>
  <c r="A480" i="12"/>
  <c r="A499" i="12"/>
  <c r="A522" i="12"/>
  <c r="A544" i="12"/>
  <c r="A563" i="12"/>
  <c r="A586" i="12"/>
  <c r="A608" i="12"/>
  <c r="A627" i="12"/>
  <c r="A650" i="12"/>
  <c r="A672" i="12"/>
  <c r="A691" i="12"/>
  <c r="A714" i="12"/>
  <c r="A736" i="12"/>
  <c r="A755" i="12"/>
  <c r="A778" i="12"/>
  <c r="A800" i="12"/>
  <c r="A819" i="12"/>
  <c r="A842" i="12"/>
  <c r="A864" i="12"/>
  <c r="A883" i="12"/>
  <c r="A906" i="12"/>
  <c r="A928" i="12"/>
  <c r="A947" i="12"/>
  <c r="A970" i="12"/>
  <c r="A992" i="12"/>
  <c r="A1011" i="12"/>
  <c r="A1034" i="12"/>
  <c r="A1056" i="12"/>
  <c r="A1075" i="12"/>
  <c r="A1098" i="12"/>
  <c r="A1120" i="12"/>
  <c r="A1139" i="12"/>
  <c r="A1162" i="12"/>
  <c r="A1184" i="12"/>
  <c r="A1203" i="12"/>
  <c r="A1226" i="12"/>
  <c r="A1248" i="12"/>
  <c r="A1267" i="12"/>
  <c r="A1290" i="12"/>
  <c r="A1312" i="12"/>
  <c r="A1331" i="12"/>
  <c r="A1354" i="12"/>
  <c r="A1376" i="12"/>
  <c r="A1395" i="12"/>
  <c r="A1418" i="12"/>
  <c r="A1440" i="12"/>
  <c r="A1459" i="12"/>
  <c r="A1482" i="12"/>
  <c r="A1504" i="12"/>
  <c r="A1523" i="12"/>
  <c r="A1546" i="12"/>
  <c r="A1568" i="12"/>
  <c r="A1587" i="12"/>
  <c r="A1610" i="12"/>
  <c r="A1632" i="12"/>
  <c r="A1651" i="12"/>
  <c r="A1674" i="12"/>
  <c r="A1696" i="12"/>
  <c r="A1715" i="12"/>
  <c r="A1738" i="12"/>
  <c r="A1760" i="12"/>
  <c r="A1779" i="12"/>
  <c r="A1802" i="12"/>
  <c r="A1824" i="12"/>
  <c r="A1843" i="12"/>
  <c r="A1866" i="12"/>
  <c r="A1888" i="12"/>
  <c r="A1907" i="12"/>
  <c r="A1930" i="12"/>
  <c r="A1952" i="12"/>
  <c r="A1971" i="12"/>
  <c r="A1994" i="12"/>
  <c r="A2016" i="12"/>
  <c r="A2035" i="12"/>
  <c r="A2058" i="12"/>
  <c r="A2080" i="12"/>
  <c r="A2099" i="12"/>
  <c r="A2122" i="12"/>
  <c r="A2144" i="12"/>
  <c r="A2163" i="12"/>
  <c r="A2186" i="12"/>
  <c r="H135" i="3"/>
  <c r="A2179" i="12"/>
  <c r="H158" i="3"/>
  <c r="I171" i="3"/>
  <c r="I174" i="3"/>
  <c r="H196" i="3"/>
  <c r="G25" i="1"/>
  <c r="G30" i="1" s="1"/>
  <c r="A88" i="2"/>
  <c r="I159" i="3" s="1"/>
  <c r="A108" i="2"/>
  <c r="I158" i="3" s="1"/>
  <c r="A295" i="2"/>
  <c r="H30" i="1"/>
  <c r="D198" i="2"/>
  <c r="A222" i="2"/>
  <c r="H50" i="3"/>
  <c r="H67" i="3"/>
  <c r="H75" i="3"/>
  <c r="H99" i="3"/>
  <c r="H102" i="3"/>
  <c r="H110" i="3"/>
  <c r="H118" i="3"/>
  <c r="H134" i="3"/>
  <c r="H142" i="3"/>
  <c r="H161" i="3"/>
  <c r="H164" i="3"/>
  <c r="I167" i="3"/>
  <c r="I170" i="3"/>
  <c r="H173" i="3"/>
  <c r="I177" i="3"/>
  <c r="A11" i="12"/>
  <c r="A34" i="12"/>
  <c r="A56" i="12"/>
  <c r="A75" i="12"/>
  <c r="A98" i="12"/>
  <c r="A120" i="12"/>
  <c r="A139" i="12"/>
  <c r="A162" i="12"/>
  <c r="A184" i="12"/>
  <c r="A203" i="12"/>
  <c r="A226" i="12"/>
  <c r="A248" i="12"/>
  <c r="A267" i="12"/>
  <c r="A290" i="12"/>
  <c r="A312" i="12"/>
  <c r="A331" i="12"/>
  <c r="A354" i="12"/>
  <c r="A376" i="12"/>
  <c r="A395" i="12"/>
  <c r="A418" i="12"/>
  <c r="A440" i="12"/>
  <c r="A459" i="12"/>
  <c r="A482" i="12"/>
  <c r="A504" i="12"/>
  <c r="A523" i="12"/>
  <c r="A546" i="12"/>
  <c r="A568" i="12"/>
  <c r="A587" i="12"/>
  <c r="A610" i="12"/>
  <c r="A632" i="12"/>
  <c r="A651" i="12"/>
  <c r="A674" i="12"/>
  <c r="A696" i="12"/>
  <c r="A715" i="12"/>
  <c r="A738" i="12"/>
  <c r="A760" i="12"/>
  <c r="A779" i="12"/>
  <c r="A802" i="12"/>
  <c r="A824" i="12"/>
  <c r="A843" i="12"/>
  <c r="A866" i="12"/>
  <c r="A888" i="12"/>
  <c r="A907" i="12"/>
  <c r="A930" i="12"/>
  <c r="A952" i="12"/>
  <c r="A971" i="12"/>
  <c r="A994" i="12"/>
  <c r="A1016" i="12"/>
  <c r="A1035" i="12"/>
  <c r="A1058" i="12"/>
  <c r="A1080" i="12"/>
  <c r="A1099" i="12"/>
  <c r="A1122" i="12"/>
  <c r="A1144" i="12"/>
  <c r="A1163" i="12"/>
  <c r="A1186" i="12"/>
  <c r="A1208" i="12"/>
  <c r="A1227" i="12"/>
  <c r="A1250" i="12"/>
  <c r="A1272" i="12"/>
  <c r="A1291" i="12"/>
  <c r="A1314" i="12"/>
  <c r="A1336" i="12"/>
  <c r="A1355" i="12"/>
  <c r="A1378" i="12"/>
  <c r="A1400" i="12"/>
  <c r="A1419" i="12"/>
  <c r="A1442" i="12"/>
  <c r="A1464" i="12"/>
  <c r="A1483" i="12"/>
  <c r="A1506" i="12"/>
  <c r="A1528" i="12"/>
  <c r="A1547" i="12"/>
  <c r="A1570" i="12"/>
  <c r="A1592" i="12"/>
  <c r="A1611" i="12"/>
  <c r="A1634" i="12"/>
  <c r="A1656" i="12"/>
  <c r="A1675" i="12"/>
  <c r="A1698" i="12"/>
  <c r="A1720" i="12"/>
  <c r="A1739" i="12"/>
  <c r="A1762" i="12"/>
  <c r="A1784" i="12"/>
  <c r="A1803" i="12"/>
  <c r="A1826" i="12"/>
  <c r="A1848" i="12"/>
  <c r="A1867" i="12"/>
  <c r="A1890" i="12"/>
  <c r="A1912" i="12"/>
  <c r="A1931" i="12"/>
  <c r="A1954" i="12"/>
  <c r="A1976" i="12"/>
  <c r="A1995" i="12"/>
  <c r="A2018" i="12"/>
  <c r="A2040" i="12"/>
  <c r="A2059" i="12"/>
  <c r="A2082" i="12"/>
  <c r="A2104" i="12"/>
  <c r="A2123" i="12"/>
  <c r="A2146" i="12"/>
  <c r="A2168" i="12"/>
  <c r="A2187" i="12"/>
  <c r="A64" i="2"/>
  <c r="A94" i="2"/>
  <c r="A122" i="2"/>
  <c r="A162" i="2"/>
  <c r="B26" i="1"/>
  <c r="H25" i="1"/>
  <c r="H29" i="1" s="1"/>
  <c r="A40" i="2"/>
  <c r="I4" i="3" s="1"/>
  <c r="A52" i="2"/>
  <c r="B27" i="1"/>
  <c r="I25" i="1"/>
  <c r="I29" i="1" s="1"/>
  <c r="I30" i="1"/>
  <c r="E198" i="2"/>
  <c r="H47" i="3"/>
  <c r="H56" i="3"/>
  <c r="H64" i="3"/>
  <c r="H80" i="3"/>
  <c r="H96" i="3"/>
  <c r="H107" i="3"/>
  <c r="H123" i="3"/>
  <c r="I154" i="3"/>
  <c r="H157" i="3"/>
  <c r="H176" i="3"/>
  <c r="H190" i="3"/>
  <c r="A16" i="12"/>
  <c r="A35" i="12"/>
  <c r="A58" i="12"/>
  <c r="A80" i="12"/>
  <c r="A99" i="12"/>
  <c r="A122" i="12"/>
  <c r="A144" i="12"/>
  <c r="A163" i="12"/>
  <c r="A186" i="12"/>
  <c r="A208" i="12"/>
  <c r="A227" i="12"/>
  <c r="A250" i="12"/>
  <c r="A272" i="12"/>
  <c r="A291" i="12"/>
  <c r="A314" i="12"/>
  <c r="A336" i="12"/>
  <c r="A355" i="12"/>
  <c r="A378" i="12"/>
  <c r="A400" i="12"/>
  <c r="A419" i="12"/>
  <c r="A442" i="12"/>
  <c r="A464" i="12"/>
  <c r="A483" i="12"/>
  <c r="A506" i="12"/>
  <c r="A528" i="12"/>
  <c r="A547" i="12"/>
  <c r="A570" i="12"/>
  <c r="A592" i="12"/>
  <c r="A611" i="12"/>
  <c r="A634" i="12"/>
  <c r="A656" i="12"/>
  <c r="A675" i="12"/>
  <c r="A698" i="12"/>
  <c r="A720" i="12"/>
  <c r="A739" i="12"/>
  <c r="A762" i="12"/>
  <c r="A784" i="12"/>
  <c r="A803" i="12"/>
  <c r="A826" i="12"/>
  <c r="A848" i="12"/>
  <c r="A867" i="12"/>
  <c r="A890" i="12"/>
  <c r="A912" i="12"/>
  <c r="A931" i="12"/>
  <c r="A954" i="12"/>
  <c r="A976" i="12"/>
  <c r="A995" i="12"/>
  <c r="A1018" i="12"/>
  <c r="A1040" i="12"/>
  <c r="A1059" i="12"/>
  <c r="A1082" i="12"/>
  <c r="A1104" i="12"/>
  <c r="A1123" i="12"/>
  <c r="A1146" i="12"/>
  <c r="A1168" i="12"/>
  <c r="A1187" i="12"/>
  <c r="A1210" i="12"/>
  <c r="A1232" i="12"/>
  <c r="A1251" i="12"/>
  <c r="A1274" i="12"/>
  <c r="A1296" i="12"/>
  <c r="A1315" i="12"/>
  <c r="A1338" i="12"/>
  <c r="A1360" i="12"/>
  <c r="A1379" i="12"/>
  <c r="A1402" i="12"/>
  <c r="A1424" i="12"/>
  <c r="A1443" i="12"/>
  <c r="A1466" i="12"/>
  <c r="A1488" i="12"/>
  <c r="A1507" i="12"/>
  <c r="A1530" i="12"/>
  <c r="A1552" i="12"/>
  <c r="A1571" i="12"/>
  <c r="A1594" i="12"/>
  <c r="A1616" i="12"/>
  <c r="A1635" i="12"/>
  <c r="A1658" i="12"/>
  <c r="A1680" i="12"/>
  <c r="A1699" i="12"/>
  <c r="A1722" i="12"/>
  <c r="A1744" i="12"/>
  <c r="A1763" i="12"/>
  <c r="A1786" i="12"/>
  <c r="A1808" i="12"/>
  <c r="A1827" i="12"/>
  <c r="A1850" i="12"/>
  <c r="A1872" i="12"/>
  <c r="A1891" i="12"/>
  <c r="A1914" i="12"/>
  <c r="A1936" i="12"/>
  <c r="A1955" i="12"/>
  <c r="A1978" i="12"/>
  <c r="A2000" i="12"/>
  <c r="A2019" i="12"/>
  <c r="A2042" i="12"/>
  <c r="A2064" i="12"/>
  <c r="A2083" i="12"/>
  <c r="A2106" i="12"/>
  <c r="A2128" i="12"/>
  <c r="A2147" i="12"/>
  <c r="A2170" i="12"/>
  <c r="A2192" i="12"/>
  <c r="H63" i="3"/>
  <c r="H54" i="3"/>
  <c r="H44" i="3"/>
  <c r="H69" i="3"/>
  <c r="H77" i="3"/>
  <c r="H85" i="3"/>
  <c r="H101" i="3"/>
  <c r="H104" i="3"/>
  <c r="H112" i="3"/>
  <c r="H128" i="3"/>
  <c r="H144" i="3"/>
  <c r="H179" i="3"/>
  <c r="H187" i="3"/>
  <c r="H203" i="3"/>
  <c r="A18" i="12"/>
  <c r="A40" i="12"/>
  <c r="A59" i="12"/>
  <c r="A82" i="12"/>
  <c r="A104" i="12"/>
  <c r="A123" i="12"/>
  <c r="A146" i="12"/>
  <c r="A168" i="12"/>
  <c r="A187" i="12"/>
  <c r="A210" i="12"/>
  <c r="A232" i="12"/>
  <c r="A251" i="12"/>
  <c r="A274" i="12"/>
  <c r="A296" i="12"/>
  <c r="A315" i="12"/>
  <c r="A338" i="12"/>
  <c r="A360" i="12"/>
  <c r="A379" i="12"/>
  <c r="A402" i="12"/>
  <c r="A424" i="12"/>
  <c r="A443" i="12"/>
  <c r="A466" i="12"/>
  <c r="A488" i="12"/>
  <c r="A507" i="12"/>
  <c r="A530" i="12"/>
  <c r="A552" i="12"/>
  <c r="A571" i="12"/>
  <c r="A594" i="12"/>
  <c r="A616" i="12"/>
  <c r="A635" i="12"/>
  <c r="A658" i="12"/>
  <c r="A680" i="12"/>
  <c r="A699" i="12"/>
  <c r="A722" i="12"/>
  <c r="A744" i="12"/>
  <c r="A763" i="12"/>
  <c r="A786" i="12"/>
  <c r="A808" i="12"/>
  <c r="A827" i="12"/>
  <c r="A850" i="12"/>
  <c r="A872" i="12"/>
  <c r="A891" i="12"/>
  <c r="A914" i="12"/>
  <c r="A936" i="12"/>
  <c r="A955" i="12"/>
  <c r="A978" i="12"/>
  <c r="A1000" i="12"/>
  <c r="A1019" i="12"/>
  <c r="A1042" i="12"/>
  <c r="A1064" i="12"/>
  <c r="A1083" i="12"/>
  <c r="A1106" i="12"/>
  <c r="A1128" i="12"/>
  <c r="A1147" i="12"/>
  <c r="A1170" i="12"/>
  <c r="A1192" i="12"/>
  <c r="A1211" i="12"/>
  <c r="A1234" i="12"/>
  <c r="A1256" i="12"/>
  <c r="A1275" i="12"/>
  <c r="A1298" i="12"/>
  <c r="A1320" i="12"/>
  <c r="A1339" i="12"/>
  <c r="A1362" i="12"/>
  <c r="A1384" i="12"/>
  <c r="A1403" i="12"/>
  <c r="A1426" i="12"/>
  <c r="A1448" i="12"/>
  <c r="A1467" i="12"/>
  <c r="A1490" i="12"/>
  <c r="A1512" i="12"/>
  <c r="A1531" i="12"/>
  <c r="A1554" i="12"/>
  <c r="A1576" i="12"/>
  <c r="A1595" i="12"/>
  <c r="A1618" i="12"/>
  <c r="A1640" i="12"/>
  <c r="A1659" i="12"/>
  <c r="A1682" i="12"/>
  <c r="A1704" i="12"/>
  <c r="A1723" i="12"/>
  <c r="A1746" i="12"/>
  <c r="A1768" i="12"/>
  <c r="A1787" i="12"/>
  <c r="A1810" i="12"/>
  <c r="A1832" i="12"/>
  <c r="A1851" i="12"/>
  <c r="A1874" i="12"/>
  <c r="A1896" i="12"/>
  <c r="A1915" i="12"/>
  <c r="A1938" i="12"/>
  <c r="A1960" i="12"/>
  <c r="A1979" i="12"/>
  <c r="A2002" i="12"/>
  <c r="A2024" i="12"/>
  <c r="A2043" i="12"/>
  <c r="A2066" i="12"/>
  <c r="A2088" i="12"/>
  <c r="A2107" i="12"/>
  <c r="A2130" i="12"/>
  <c r="A2152" i="12"/>
  <c r="A2171" i="12"/>
  <c r="A2194" i="12"/>
  <c r="H84" i="3"/>
  <c r="A3" i="12"/>
  <c r="A26" i="12"/>
  <c r="A48" i="12"/>
  <c r="A67" i="12"/>
  <c r="A90" i="12"/>
  <c r="A112" i="12"/>
  <c r="A131" i="12"/>
  <c r="A154" i="12"/>
  <c r="A176" i="12"/>
  <c r="A195" i="12"/>
  <c r="A218" i="12"/>
  <c r="A240" i="12"/>
  <c r="A259" i="12"/>
  <c r="A282" i="12"/>
  <c r="A304" i="12"/>
  <c r="A323" i="12"/>
  <c r="A346" i="12"/>
  <c r="A368" i="12"/>
  <c r="A387" i="12"/>
  <c r="A410" i="12"/>
  <c r="A432" i="12"/>
  <c r="A451" i="12"/>
  <c r="A474" i="12"/>
  <c r="A496" i="12"/>
  <c r="A515" i="12"/>
  <c r="A538" i="12"/>
  <c r="A560" i="12"/>
  <c r="A579" i="12"/>
  <c r="A602" i="12"/>
  <c r="A624" i="12"/>
  <c r="A643" i="12"/>
  <c r="A666" i="12"/>
  <c r="A688" i="12"/>
  <c r="A707" i="12"/>
  <c r="A730" i="12"/>
  <c r="A752" i="12"/>
  <c r="A771" i="12"/>
  <c r="A794" i="12"/>
  <c r="A816" i="12"/>
  <c r="A835" i="12"/>
  <c r="A858" i="12"/>
  <c r="A880" i="12"/>
  <c r="A899" i="12"/>
  <c r="A922" i="12"/>
  <c r="A944" i="12"/>
  <c r="A963" i="12"/>
  <c r="A986" i="12"/>
  <c r="A1008" i="12"/>
  <c r="A1027" i="12"/>
  <c r="A1050" i="12"/>
  <c r="A1072" i="12"/>
  <c r="A1091" i="12"/>
  <c r="A1114" i="12"/>
  <c r="A1136" i="12"/>
  <c r="A1155" i="12"/>
  <c r="A1178" i="12"/>
  <c r="A1200" i="12"/>
  <c r="A1219" i="12"/>
  <c r="A1242" i="12"/>
  <c r="A1264" i="12"/>
  <c r="A1283" i="12"/>
  <c r="A1306" i="12"/>
  <c r="A1328" i="12"/>
  <c r="A1347" i="12"/>
  <c r="A1370" i="12"/>
  <c r="A1392" i="12"/>
  <c r="A1411" i="12"/>
  <c r="A1434" i="12"/>
  <c r="A1456" i="12"/>
  <c r="A1475" i="12"/>
  <c r="A1498" i="12"/>
  <c r="A1520" i="12"/>
  <c r="A1539" i="12"/>
  <c r="A1562" i="12"/>
  <c r="A1584" i="12"/>
  <c r="A1603" i="12"/>
  <c r="A1626" i="12"/>
  <c r="A1648" i="12"/>
  <c r="A1667" i="12"/>
  <c r="A1690" i="12"/>
  <c r="A1712" i="12"/>
  <c r="A1731" i="12"/>
  <c r="A1754" i="12"/>
  <c r="A1776" i="12"/>
  <c r="A1795" i="12"/>
  <c r="A1818" i="12"/>
  <c r="A1840" i="12"/>
  <c r="A1859" i="12"/>
  <c r="A1882" i="12"/>
  <c r="A1904" i="12"/>
  <c r="A1923" i="12"/>
  <c r="A1946" i="12"/>
  <c r="A1968" i="12"/>
  <c r="A1987" i="12"/>
  <c r="A2010" i="12"/>
  <c r="A2032" i="12"/>
  <c r="A2051" i="12"/>
  <c r="A2074" i="12"/>
  <c r="A2096" i="12"/>
  <c r="A2115" i="12"/>
  <c r="A2138" i="12"/>
  <c r="A2160" i="12"/>
  <c r="H132" i="3"/>
  <c r="B28" i="1"/>
  <c r="J25" i="1"/>
  <c r="A79" i="2"/>
  <c r="A90" i="2"/>
  <c r="H8" i="3" s="1"/>
  <c r="A104" i="2"/>
  <c r="H41" i="3"/>
  <c r="H49" i="3"/>
  <c r="H55" i="3"/>
  <c r="H172" i="3"/>
  <c r="A19" i="12"/>
  <c r="A42" i="12"/>
  <c r="A64" i="12"/>
  <c r="A83" i="12"/>
  <c r="A106" i="12"/>
  <c r="A128" i="12"/>
  <c r="A147" i="12"/>
  <c r="A170" i="12"/>
  <c r="A192" i="12"/>
  <c r="A211" i="12"/>
  <c r="A234" i="12"/>
  <c r="A256" i="12"/>
  <c r="A275" i="12"/>
  <c r="A298" i="12"/>
  <c r="A320" i="12"/>
  <c r="A339" i="12"/>
  <c r="A362" i="12"/>
  <c r="A384" i="12"/>
  <c r="A403" i="12"/>
  <c r="A426" i="12"/>
  <c r="A448" i="12"/>
  <c r="A467" i="12"/>
  <c r="A490" i="12"/>
  <c r="A512" i="12"/>
  <c r="A531" i="12"/>
  <c r="A554" i="12"/>
  <c r="A576" i="12"/>
  <c r="A595" i="12"/>
  <c r="A618" i="12"/>
  <c r="A640" i="12"/>
  <c r="A659" i="12"/>
  <c r="A682" i="12"/>
  <c r="A704" i="12"/>
  <c r="A723" i="12"/>
  <c r="A746" i="12"/>
  <c r="A768" i="12"/>
  <c r="A787" i="12"/>
  <c r="A810" i="12"/>
  <c r="A832" i="12"/>
  <c r="A851" i="12"/>
  <c r="A874" i="12"/>
  <c r="A896" i="12"/>
  <c r="A915" i="12"/>
  <c r="A938" i="12"/>
  <c r="A960" i="12"/>
  <c r="A979" i="12"/>
  <c r="A1002" i="12"/>
  <c r="A1024" i="12"/>
  <c r="A1043" i="12"/>
  <c r="A1066" i="12"/>
  <c r="A1088" i="12"/>
  <c r="A1107" i="12"/>
  <c r="A1130" i="12"/>
  <c r="A1152" i="12"/>
  <c r="A1171" i="12"/>
  <c r="A1194" i="12"/>
  <c r="A1216" i="12"/>
  <c r="A1235" i="12"/>
  <c r="A1258" i="12"/>
  <c r="A1280" i="12"/>
  <c r="A1299" i="12"/>
  <c r="A1322" i="12"/>
  <c r="A1344" i="12"/>
  <c r="A1363" i="12"/>
  <c r="A1386" i="12"/>
  <c r="A1408" i="12"/>
  <c r="A1427" i="12"/>
  <c r="A1450" i="12"/>
  <c r="A1472" i="12"/>
  <c r="A1491" i="12"/>
  <c r="A1514" i="12"/>
  <c r="A1536" i="12"/>
  <c r="A1555" i="12"/>
  <c r="A1578" i="12"/>
  <c r="A1600" i="12"/>
  <c r="A1619" i="12"/>
  <c r="A1642" i="12"/>
  <c r="A1664" i="12"/>
  <c r="A1683" i="12"/>
  <c r="A1706" i="12"/>
  <c r="A1728" i="12"/>
  <c r="A1747" i="12"/>
  <c r="A1770" i="12"/>
  <c r="A1792" i="12"/>
  <c r="A1811" i="12"/>
  <c r="A1834" i="12"/>
  <c r="A1856" i="12"/>
  <c r="A1875" i="12"/>
  <c r="A1898" i="12"/>
  <c r="A1920" i="12"/>
  <c r="A1939" i="12"/>
  <c r="A1962" i="12"/>
  <c r="A1984" i="12"/>
  <c r="A2003" i="12"/>
  <c r="A2026" i="12"/>
  <c r="A2048" i="12"/>
  <c r="A2067" i="12"/>
  <c r="A2090" i="12"/>
  <c r="A2112" i="12"/>
  <c r="A2131" i="12"/>
  <c r="A2154" i="12"/>
  <c r="A2176" i="12"/>
  <c r="A2193" i="12"/>
  <c r="A2185" i="12"/>
  <c r="A2177" i="12"/>
  <c r="A2169" i="12"/>
  <c r="A2161" i="12"/>
  <c r="A2153" i="12"/>
  <c r="A2145" i="12"/>
  <c r="A2137" i="12"/>
  <c r="A2129" i="12"/>
  <c r="A2121" i="12"/>
  <c r="A2113" i="12"/>
  <c r="A2105" i="12"/>
  <c r="A2097" i="12"/>
  <c r="A2089" i="12"/>
  <c r="A2081" i="12"/>
  <c r="A2073" i="12"/>
  <c r="A2065" i="12"/>
  <c r="A2057" i="12"/>
  <c r="A2049" i="12"/>
  <c r="A2041" i="12"/>
  <c r="A2033" i="12"/>
  <c r="A2025" i="12"/>
  <c r="A2017" i="12"/>
  <c r="A2009" i="12"/>
  <c r="A2001" i="12"/>
  <c r="A1993" i="12"/>
  <c r="A1985" i="12"/>
  <c r="A1977" i="12"/>
  <c r="A1969" i="12"/>
  <c r="A1961" i="12"/>
  <c r="A1953" i="12"/>
  <c r="A1945" i="12"/>
  <c r="A1937" i="12"/>
  <c r="A1929" i="12"/>
  <c r="A1921" i="12"/>
  <c r="A1913" i="12"/>
  <c r="A1905" i="12"/>
  <c r="A1897" i="12"/>
  <c r="A1889" i="12"/>
  <c r="A1881" i="12"/>
  <c r="A1873" i="12"/>
  <c r="A1865" i="12"/>
  <c r="A1857" i="12"/>
  <c r="A1849" i="12"/>
  <c r="A1841" i="12"/>
  <c r="A1833" i="12"/>
  <c r="A1825" i="12"/>
  <c r="A1817" i="12"/>
  <c r="A1809" i="12"/>
  <c r="A1801" i="12"/>
  <c r="A1793" i="12"/>
  <c r="A1785" i="12"/>
  <c r="A1777" i="12"/>
  <c r="A1769" i="12"/>
  <c r="A1761" i="12"/>
  <c r="A1753" i="12"/>
  <c r="A1745" i="12"/>
  <c r="A1737" i="12"/>
  <c r="A1729" i="12"/>
  <c r="A1721" i="12"/>
  <c r="A1713" i="12"/>
  <c r="A1705" i="12"/>
  <c r="A1697" i="12"/>
  <c r="A1689" i="12"/>
  <c r="A1681" i="12"/>
  <c r="A1673" i="12"/>
  <c r="A1665" i="12"/>
  <c r="A1657" i="12"/>
  <c r="A1649" i="12"/>
  <c r="A1641" i="12"/>
  <c r="A1633" i="12"/>
  <c r="A1625" i="12"/>
  <c r="A1617" i="12"/>
  <c r="A1609" i="12"/>
  <c r="A1601" i="12"/>
  <c r="A1593" i="12"/>
  <c r="A1585" i="12"/>
  <c r="A1577" i="12"/>
  <c r="A1569" i="12"/>
  <c r="A1561" i="12"/>
  <c r="A1553" i="12"/>
  <c r="A1545" i="12"/>
  <c r="A1537" i="12"/>
  <c r="A1529" i="12"/>
  <c r="A1521" i="12"/>
  <c r="A1513" i="12"/>
  <c r="A1505" i="12"/>
  <c r="A1497" i="12"/>
  <c r="A1489" i="12"/>
  <c r="A1481" i="12"/>
  <c r="A1473" i="12"/>
  <c r="A1465" i="12"/>
  <c r="A1457" i="12"/>
  <c r="A1449" i="12"/>
  <c r="A1441" i="12"/>
  <c r="A1433" i="12"/>
  <c r="A1425" i="12"/>
  <c r="A1417" i="12"/>
  <c r="A1409" i="12"/>
  <c r="A1401" i="12"/>
  <c r="A1393" i="12"/>
  <c r="A1385" i="12"/>
  <c r="A1377" i="12"/>
  <c r="A1369" i="12"/>
  <c r="A1361" i="12"/>
  <c r="A1353" i="12"/>
  <c r="A1345" i="12"/>
  <c r="A1337" i="12"/>
  <c r="A1329" i="12"/>
  <c r="A1321" i="12"/>
  <c r="A1313" i="12"/>
  <c r="A1305" i="12"/>
  <c r="A1297" i="12"/>
  <c r="A1289" i="12"/>
  <c r="A1281" i="12"/>
  <c r="A1273" i="12"/>
  <c r="A1265" i="12"/>
  <c r="A1257" i="12"/>
  <c r="A1249" i="12"/>
  <c r="A1241" i="12"/>
  <c r="A1233" i="12"/>
  <c r="A1225" i="12"/>
  <c r="A1217" i="12"/>
  <c r="A1209" i="12"/>
  <c r="A1201" i="12"/>
  <c r="A1193" i="12"/>
  <c r="A1185" i="12"/>
  <c r="A1177" i="12"/>
  <c r="A1169" i="12"/>
  <c r="A1161" i="12"/>
  <c r="A1153" i="12"/>
  <c r="A1145" i="12"/>
  <c r="A1137" i="12"/>
  <c r="A1129" i="12"/>
  <c r="A1121" i="12"/>
  <c r="A1113" i="12"/>
  <c r="A1105" i="12"/>
  <c r="A1097" i="12"/>
  <c r="A1089" i="12"/>
  <c r="A1081" i="12"/>
  <c r="A1073" i="12"/>
  <c r="A1065" i="12"/>
  <c r="A1057" i="12"/>
  <c r="A1049" i="12"/>
  <c r="A1041" i="12"/>
  <c r="A1033" i="12"/>
  <c r="A1025" i="12"/>
  <c r="A1017" i="12"/>
  <c r="A1009" i="12"/>
  <c r="A1001" i="12"/>
  <c r="A993" i="12"/>
  <c r="A985" i="12"/>
  <c r="A977" i="12"/>
  <c r="A969" i="12"/>
  <c r="A961" i="12"/>
  <c r="A953" i="12"/>
  <c r="A945" i="12"/>
  <c r="A937" i="12"/>
  <c r="A929" i="12"/>
  <c r="A921" i="12"/>
  <c r="A913" i="12"/>
  <c r="A905" i="12"/>
  <c r="A897" i="12"/>
  <c r="A889" i="12"/>
  <c r="A881" i="12"/>
  <c r="A873" i="12"/>
  <c r="A865" i="12"/>
  <c r="A857" i="12"/>
  <c r="A849" i="12"/>
  <c r="A841" i="12"/>
  <c r="A833" i="12"/>
  <c r="A825" i="12"/>
  <c r="A817" i="12"/>
  <c r="A809" i="12"/>
  <c r="A801" i="12"/>
  <c r="A793" i="12"/>
  <c r="A785" i="12"/>
  <c r="A777" i="12"/>
  <c r="A769" i="12"/>
  <c r="A761" i="12"/>
  <c r="A753" i="12"/>
  <c r="A745" i="12"/>
  <c r="A737" i="12"/>
  <c r="A729" i="12"/>
  <c r="A721" i="12"/>
  <c r="A713" i="12"/>
  <c r="A705" i="12"/>
  <c r="A697" i="12"/>
  <c r="A689" i="12"/>
  <c r="A681" i="12"/>
  <c r="A673" i="12"/>
  <c r="A665" i="12"/>
  <c r="A657" i="12"/>
  <c r="A649" i="12"/>
  <c r="A641" i="12"/>
  <c r="A633" i="12"/>
  <c r="A625" i="12"/>
  <c r="A617" i="12"/>
  <c r="A609" i="12"/>
  <c r="A601" i="12"/>
  <c r="A593" i="12"/>
  <c r="A585" i="12"/>
  <c r="A577" i="12"/>
  <c r="A569" i="12"/>
  <c r="A561" i="12"/>
  <c r="A553" i="12"/>
  <c r="A545" i="12"/>
  <c r="A537" i="12"/>
  <c r="A529" i="12"/>
  <c r="A521" i="12"/>
  <c r="A513" i="12"/>
  <c r="A505" i="12"/>
  <c r="A497" i="12"/>
  <c r="A489" i="12"/>
  <c r="A481" i="12"/>
  <c r="A473" i="12"/>
  <c r="A465" i="12"/>
  <c r="A457" i="12"/>
  <c r="A449" i="12"/>
  <c r="A441" i="12"/>
  <c r="A433" i="12"/>
  <c r="A425" i="12"/>
  <c r="A417" i="12"/>
  <c r="A409" i="12"/>
  <c r="A401" i="12"/>
  <c r="A393" i="12"/>
  <c r="A385" i="12"/>
  <c r="A377" i="12"/>
  <c r="A369" i="12"/>
  <c r="A361" i="12"/>
  <c r="A353" i="12"/>
  <c r="A345" i="12"/>
  <c r="A337" i="12"/>
  <c r="A329" i="12"/>
  <c r="A321" i="12"/>
  <c r="A313" i="12"/>
  <c r="A305" i="12"/>
  <c r="A297" i="12"/>
  <c r="A289" i="12"/>
  <c r="A281" i="12"/>
  <c r="A273" i="12"/>
  <c r="A265" i="12"/>
  <c r="A257" i="12"/>
  <c r="A249" i="12"/>
  <c r="A241" i="12"/>
  <c r="A233" i="12"/>
  <c r="A225" i="12"/>
  <c r="A217" i="12"/>
  <c r="A209" i="12"/>
  <c r="A201" i="12"/>
  <c r="A193" i="12"/>
  <c r="A185" i="12"/>
  <c r="A177" i="12"/>
  <c r="A169" i="12"/>
  <c r="A161" i="12"/>
  <c r="A153" i="12"/>
  <c r="A145" i="12"/>
  <c r="A137" i="12"/>
  <c r="A129" i="12"/>
  <c r="A121" i="12"/>
  <c r="A113" i="12"/>
  <c r="A105" i="12"/>
  <c r="A97" i="12"/>
  <c r="A89" i="12"/>
  <c r="A81" i="12"/>
  <c r="A73" i="12"/>
  <c r="A65" i="12"/>
  <c r="A57" i="12"/>
  <c r="A49" i="12"/>
  <c r="A41" i="12"/>
  <c r="A33" i="12"/>
  <c r="A25" i="12"/>
  <c r="A17" i="12"/>
  <c r="A9" i="12"/>
  <c r="A2" i="12"/>
  <c r="A2199" i="12"/>
  <c r="A2191" i="12"/>
  <c r="A2183" i="12"/>
  <c r="A2175" i="12"/>
  <c r="A2167" i="12"/>
  <c r="A2159" i="12"/>
  <c r="A2151" i="12"/>
  <c r="A2143" i="12"/>
  <c r="A2135" i="12"/>
  <c r="A2127" i="12"/>
  <c r="A2119" i="12"/>
  <c r="A2111" i="12"/>
  <c r="A2103" i="12"/>
  <c r="A2095" i="12"/>
  <c r="A2087" i="12"/>
  <c r="A2079" i="12"/>
  <c r="A2071" i="12"/>
  <c r="A2063" i="12"/>
  <c r="A2055" i="12"/>
  <c r="A2047" i="12"/>
  <c r="A2039" i="12"/>
  <c r="A2031" i="12"/>
  <c r="A2023" i="12"/>
  <c r="A2015" i="12"/>
  <c r="A2007" i="12"/>
  <c r="A1999" i="12"/>
  <c r="A1991" i="12"/>
  <c r="A1983" i="12"/>
  <c r="A1975" i="12"/>
  <c r="A1967" i="12"/>
  <c r="A1959" i="12"/>
  <c r="A1951" i="12"/>
  <c r="A1943" i="12"/>
  <c r="A1935" i="12"/>
  <c r="A1927" i="12"/>
  <c r="A1919" i="12"/>
  <c r="A1911" i="12"/>
  <c r="A1903" i="12"/>
  <c r="A1895" i="12"/>
  <c r="A1887" i="12"/>
  <c r="A1879" i="12"/>
  <c r="A1871" i="12"/>
  <c r="A1863" i="12"/>
  <c r="A1855" i="12"/>
  <c r="A1847" i="12"/>
  <c r="A1839" i="12"/>
  <c r="A1831" i="12"/>
  <c r="A1823" i="12"/>
  <c r="A1815" i="12"/>
  <c r="A1807" i="12"/>
  <c r="A1799" i="12"/>
  <c r="A1791" i="12"/>
  <c r="A1783" i="12"/>
  <c r="A1775" i="12"/>
  <c r="A1767" i="12"/>
  <c r="A1759" i="12"/>
  <c r="A1751" i="12"/>
  <c r="A1743" i="12"/>
  <c r="A1735" i="12"/>
  <c r="A1727" i="12"/>
  <c r="A1719" i="12"/>
  <c r="A1711" i="12"/>
  <c r="A1703" i="12"/>
  <c r="A1695" i="12"/>
  <c r="A1687" i="12"/>
  <c r="A1679" i="12"/>
  <c r="A1671" i="12"/>
  <c r="A1663" i="12"/>
  <c r="A1655" i="12"/>
  <c r="A1647" i="12"/>
  <c r="A1639" i="12"/>
  <c r="A1631" i="12"/>
  <c r="A1623" i="12"/>
  <c r="A1615" i="12"/>
  <c r="A1607" i="12"/>
  <c r="A1599" i="12"/>
  <c r="A1591" i="12"/>
  <c r="A1583" i="12"/>
  <c r="A1575" i="12"/>
  <c r="A1567" i="12"/>
  <c r="A1559" i="12"/>
  <c r="A1551" i="12"/>
  <c r="A1543" i="12"/>
  <c r="A1535" i="12"/>
  <c r="A1527" i="12"/>
  <c r="A1519" i="12"/>
  <c r="A1511" i="12"/>
  <c r="A1503" i="12"/>
  <c r="A1495" i="12"/>
  <c r="A1487" i="12"/>
  <c r="A1479" i="12"/>
  <c r="A1471" i="12"/>
  <c r="A1463" i="12"/>
  <c r="A1455" i="12"/>
  <c r="A1447" i="12"/>
  <c r="A1439" i="12"/>
  <c r="A1431" i="12"/>
  <c r="A1423" i="12"/>
  <c r="A1415" i="12"/>
  <c r="A1407" i="12"/>
  <c r="A1399" i="12"/>
  <c r="A1391" i="12"/>
  <c r="A1383" i="12"/>
  <c r="A1375" i="12"/>
  <c r="A1367" i="12"/>
  <c r="A1359" i="12"/>
  <c r="A1351" i="12"/>
  <c r="A1343" i="12"/>
  <c r="A1335" i="12"/>
  <c r="A1327" i="12"/>
  <c r="A1319" i="12"/>
  <c r="A1311" i="12"/>
  <c r="A1303" i="12"/>
  <c r="A1295" i="12"/>
  <c r="A1287" i="12"/>
  <c r="A1279" i="12"/>
  <c r="A1271" i="12"/>
  <c r="A1263" i="12"/>
  <c r="A1255" i="12"/>
  <c r="A1247" i="12"/>
  <c r="A1239" i="12"/>
  <c r="A1231" i="12"/>
  <c r="A1223" i="12"/>
  <c r="A1215" i="12"/>
  <c r="A1207" i="12"/>
  <c r="A1199" i="12"/>
  <c r="A1191" i="12"/>
  <c r="A1183" i="12"/>
  <c r="A1175" i="12"/>
  <c r="A1167" i="12"/>
  <c r="A1159" i="12"/>
  <c r="A1151" i="12"/>
  <c r="A1143" i="12"/>
  <c r="A1135" i="12"/>
  <c r="A1127" i="12"/>
  <c r="A1119" i="12"/>
  <c r="A1111" i="12"/>
  <c r="A1103" i="12"/>
  <c r="A1095" i="12"/>
  <c r="A1087" i="12"/>
  <c r="A1079" i="12"/>
  <c r="A1071" i="12"/>
  <c r="A1063" i="12"/>
  <c r="A1055" i="12"/>
  <c r="A1047" i="12"/>
  <c r="A1039" i="12"/>
  <c r="A1031" i="12"/>
  <c r="A1023" i="12"/>
  <c r="A1015" i="12"/>
  <c r="A1007" i="12"/>
  <c r="A999" i="12"/>
  <c r="A991" i="12"/>
  <c r="A983" i="12"/>
  <c r="A975" i="12"/>
  <c r="A967" i="12"/>
  <c r="A959" i="12"/>
  <c r="A951" i="12"/>
  <c r="A943" i="12"/>
  <c r="A935" i="12"/>
  <c r="A927" i="12"/>
  <c r="A919" i="12"/>
  <c r="A911" i="12"/>
  <c r="A903" i="12"/>
  <c r="A895" i="12"/>
  <c r="A887" i="12"/>
  <c r="A879" i="12"/>
  <c r="A871" i="12"/>
  <c r="A863" i="12"/>
  <c r="A855" i="12"/>
  <c r="A847" i="12"/>
  <c r="A839" i="12"/>
  <c r="A831" i="12"/>
  <c r="A823" i="12"/>
  <c r="A815" i="12"/>
  <c r="A807" i="12"/>
  <c r="A799" i="12"/>
  <c r="A791" i="12"/>
  <c r="A783" i="12"/>
  <c r="A775" i="12"/>
  <c r="A767" i="12"/>
  <c r="A759" i="12"/>
  <c r="A751" i="12"/>
  <c r="A743" i="12"/>
  <c r="A735" i="12"/>
  <c r="A727" i="12"/>
  <c r="A719" i="12"/>
  <c r="A711" i="12"/>
  <c r="A703" i="12"/>
  <c r="A695" i="12"/>
  <c r="A687" i="12"/>
  <c r="A679" i="12"/>
  <c r="A671" i="12"/>
  <c r="A663" i="12"/>
  <c r="A655" i="12"/>
  <c r="A647" i="12"/>
  <c r="A639" i="12"/>
  <c r="A631" i="12"/>
  <c r="A623" i="12"/>
  <c r="A615" i="12"/>
  <c r="A607" i="12"/>
  <c r="A599" i="12"/>
  <c r="A591" i="12"/>
  <c r="A583" i="12"/>
  <c r="A575" i="12"/>
  <c r="A567" i="12"/>
  <c r="A559" i="12"/>
  <c r="A551" i="12"/>
  <c r="A543" i="12"/>
  <c r="A535" i="12"/>
  <c r="A527" i="12"/>
  <c r="A519" i="12"/>
  <c r="A511" i="12"/>
  <c r="A503" i="12"/>
  <c r="A495" i="12"/>
  <c r="A487" i="12"/>
  <c r="A479" i="12"/>
  <c r="A471" i="12"/>
  <c r="A463" i="12"/>
  <c r="A455" i="12"/>
  <c r="A447" i="12"/>
  <c r="A439" i="12"/>
  <c r="A431" i="12"/>
  <c r="A423" i="12"/>
  <c r="A415" i="12"/>
  <c r="A407" i="12"/>
  <c r="A399" i="12"/>
  <c r="A391" i="12"/>
  <c r="A383" i="12"/>
  <c r="A375" i="12"/>
  <c r="A367" i="12"/>
  <c r="A359" i="12"/>
  <c r="A351" i="12"/>
  <c r="A343" i="12"/>
  <c r="A335" i="12"/>
  <c r="A327" i="12"/>
  <c r="A319" i="12"/>
  <c r="A311" i="12"/>
  <c r="A303" i="12"/>
  <c r="A295" i="12"/>
  <c r="A287" i="12"/>
  <c r="A279" i="12"/>
  <c r="A271" i="12"/>
  <c r="A263" i="12"/>
  <c r="A255" i="12"/>
  <c r="A247" i="12"/>
  <c r="A239" i="12"/>
  <c r="A231" i="12"/>
  <c r="A223" i="12"/>
  <c r="A215" i="12"/>
  <c r="A207" i="12"/>
  <c r="A199" i="12"/>
  <c r="A191" i="12"/>
  <c r="A183" i="12"/>
  <c r="A175" i="12"/>
  <c r="A167" i="12"/>
  <c r="A159" i="12"/>
  <c r="A151" i="12"/>
  <c r="A143" i="12"/>
  <c r="A135" i="12"/>
  <c r="A127" i="12"/>
  <c r="A119" i="12"/>
  <c r="A111" i="12"/>
  <c r="A103" i="12"/>
  <c r="A95" i="12"/>
  <c r="A87" i="12"/>
  <c r="A79" i="12"/>
  <c r="A71" i="12"/>
  <c r="A63" i="12"/>
  <c r="A55" i="12"/>
  <c r="A47" i="12"/>
  <c r="A39" i="12"/>
  <c r="A31" i="12"/>
  <c r="A23" i="12"/>
  <c r="A15" i="12"/>
  <c r="A7" i="12"/>
  <c r="A2198" i="12"/>
  <c r="A2190" i="12"/>
  <c r="A2182" i="12"/>
  <c r="A2174" i="12"/>
  <c r="A2166" i="12"/>
  <c r="A2158" i="12"/>
  <c r="A2150" i="12"/>
  <c r="A2142" i="12"/>
  <c r="A2134" i="12"/>
  <c r="A2126" i="12"/>
  <c r="A2118" i="12"/>
  <c r="A2110" i="12"/>
  <c r="A2102" i="12"/>
  <c r="A2094" i="12"/>
  <c r="A2086" i="12"/>
  <c r="A2078" i="12"/>
  <c r="A2070" i="12"/>
  <c r="A2062" i="12"/>
  <c r="A2054" i="12"/>
  <c r="A2046" i="12"/>
  <c r="A2038" i="12"/>
  <c r="A2030" i="12"/>
  <c r="A2022" i="12"/>
  <c r="A2014" i="12"/>
  <c r="A2006" i="12"/>
  <c r="A1998" i="12"/>
  <c r="A1990" i="12"/>
  <c r="A1982" i="12"/>
  <c r="A1974" i="12"/>
  <c r="A1966" i="12"/>
  <c r="A1958" i="12"/>
  <c r="A1950" i="12"/>
  <c r="A1942" i="12"/>
  <c r="A1934" i="12"/>
  <c r="A1926" i="12"/>
  <c r="A1918" i="12"/>
  <c r="A1910" i="12"/>
  <c r="A1902" i="12"/>
  <c r="A1894" i="12"/>
  <c r="A1886" i="12"/>
  <c r="A1878" i="12"/>
  <c r="A1870" i="12"/>
  <c r="A1862" i="12"/>
  <c r="A1854" i="12"/>
  <c r="A1846" i="12"/>
  <c r="A1838" i="12"/>
  <c r="A1830" i="12"/>
  <c r="A1822" i="12"/>
  <c r="A1814" i="12"/>
  <c r="A1806" i="12"/>
  <c r="A1798" i="12"/>
  <c r="A1790" i="12"/>
  <c r="A1782" i="12"/>
  <c r="A1774" i="12"/>
  <c r="A1766" i="12"/>
  <c r="A1758" i="12"/>
  <c r="A1750" i="12"/>
  <c r="A1742" i="12"/>
  <c r="A1734" i="12"/>
  <c r="A1726" i="12"/>
  <c r="A1718" i="12"/>
  <c r="A1710" i="12"/>
  <c r="A1702" i="12"/>
  <c r="A1694" i="12"/>
  <c r="A1686" i="12"/>
  <c r="A1678" i="12"/>
  <c r="A1670" i="12"/>
  <c r="A1662" i="12"/>
  <c r="A1654" i="12"/>
  <c r="A1646" i="12"/>
  <c r="A1638" i="12"/>
  <c r="A1630" i="12"/>
  <c r="A1622" i="12"/>
  <c r="A1614" i="12"/>
  <c r="A1606" i="12"/>
  <c r="A1598" i="12"/>
  <c r="A1590" i="12"/>
  <c r="A1582" i="12"/>
  <c r="A1574" i="12"/>
  <c r="A1566" i="12"/>
  <c r="A1558" i="12"/>
  <c r="A1550" i="12"/>
  <c r="A1542" i="12"/>
  <c r="A1534" i="12"/>
  <c r="A1526" i="12"/>
  <c r="A1518" i="12"/>
  <c r="A1510" i="12"/>
  <c r="A1502" i="12"/>
  <c r="A1494" i="12"/>
  <c r="A1486" i="12"/>
  <c r="A1478" i="12"/>
  <c r="A1470" i="12"/>
  <c r="A1462" i="12"/>
  <c r="A1454" i="12"/>
  <c r="A1446" i="12"/>
  <c r="A1438" i="12"/>
  <c r="A1430" i="12"/>
  <c r="A1422" i="12"/>
  <c r="A1414" i="12"/>
  <c r="A1406" i="12"/>
  <c r="A1398" i="12"/>
  <c r="A1390" i="12"/>
  <c r="A1382" i="12"/>
  <c r="A1374" i="12"/>
  <c r="A1366" i="12"/>
  <c r="A1358" i="12"/>
  <c r="A1350" i="12"/>
  <c r="A1342" i="12"/>
  <c r="A1334" i="12"/>
  <c r="A1326" i="12"/>
  <c r="A1318" i="12"/>
  <c r="A1310" i="12"/>
  <c r="A1302" i="12"/>
  <c r="A1294" i="12"/>
  <c r="A1286" i="12"/>
  <c r="A1278" i="12"/>
  <c r="A1270" i="12"/>
  <c r="A1262" i="12"/>
  <c r="A1254" i="12"/>
  <c r="A1246" i="12"/>
  <c r="A1238" i="12"/>
  <c r="A1230" i="12"/>
  <c r="A1222" i="12"/>
  <c r="A1214" i="12"/>
  <c r="A1206" i="12"/>
  <c r="A1198" i="12"/>
  <c r="A1190" i="12"/>
  <c r="A1182" i="12"/>
  <c r="A1174" i="12"/>
  <c r="A1166" i="12"/>
  <c r="A1158" i="12"/>
  <c r="A1150" i="12"/>
  <c r="A1142" i="12"/>
  <c r="A1134" i="12"/>
  <c r="A1126" i="12"/>
  <c r="A1118" i="12"/>
  <c r="A1110" i="12"/>
  <c r="A1102" i="12"/>
  <c r="A1094" i="12"/>
  <c r="A1086" i="12"/>
  <c r="A1078" i="12"/>
  <c r="A1070" i="12"/>
  <c r="A1062" i="12"/>
  <c r="A1054" i="12"/>
  <c r="A1046" i="12"/>
  <c r="A1038" i="12"/>
  <c r="A1030" i="12"/>
  <c r="A1022" i="12"/>
  <c r="A1014" i="12"/>
  <c r="A1006" i="12"/>
  <c r="A998" i="12"/>
  <c r="A990" i="12"/>
  <c r="A982" i="12"/>
  <c r="A974" i="12"/>
  <c r="A966" i="12"/>
  <c r="A958" i="12"/>
  <c r="A950" i="12"/>
  <c r="A942" i="12"/>
  <c r="A934" i="12"/>
  <c r="A926" i="12"/>
  <c r="A918" i="12"/>
  <c r="A910" i="12"/>
  <c r="A902" i="12"/>
  <c r="A894" i="12"/>
  <c r="A886" i="12"/>
  <c r="A878" i="12"/>
  <c r="A870" i="12"/>
  <c r="A862" i="12"/>
  <c r="A854" i="12"/>
  <c r="A846" i="12"/>
  <c r="A838" i="12"/>
  <c r="A830" i="12"/>
  <c r="A822" i="12"/>
  <c r="A814" i="12"/>
  <c r="A806" i="12"/>
  <c r="A798" i="12"/>
  <c r="A790" i="12"/>
  <c r="A782" i="12"/>
  <c r="A774" i="12"/>
  <c r="A766" i="12"/>
  <c r="A758" i="12"/>
  <c r="A750" i="12"/>
  <c r="A742" i="12"/>
  <c r="A734" i="12"/>
  <c r="A726" i="12"/>
  <c r="A718" i="12"/>
  <c r="A710" i="12"/>
  <c r="A702" i="12"/>
  <c r="A694" i="12"/>
  <c r="A686" i="12"/>
  <c r="A678" i="12"/>
  <c r="A670" i="12"/>
  <c r="A662" i="12"/>
  <c r="A654" i="12"/>
  <c r="A646" i="12"/>
  <c r="A638" i="12"/>
  <c r="A630" i="12"/>
  <c r="A622" i="12"/>
  <c r="A614" i="12"/>
  <c r="A606" i="12"/>
  <c r="A598" i="12"/>
  <c r="A590" i="12"/>
  <c r="A582" i="12"/>
  <c r="A574" i="12"/>
  <c r="A566" i="12"/>
  <c r="A558" i="12"/>
  <c r="A550" i="12"/>
  <c r="A542" i="12"/>
  <c r="A534" i="12"/>
  <c r="A526" i="12"/>
  <c r="A518" i="12"/>
  <c r="A510" i="12"/>
  <c r="A502" i="12"/>
  <c r="A494" i="12"/>
  <c r="A486" i="12"/>
  <c r="A478" i="12"/>
  <c r="A470" i="12"/>
  <c r="A462" i="12"/>
  <c r="A454" i="12"/>
  <c r="A446" i="12"/>
  <c r="A438" i="12"/>
  <c r="A430" i="12"/>
  <c r="A422" i="12"/>
  <c r="A414" i="12"/>
  <c r="A406" i="12"/>
  <c r="A398" i="12"/>
  <c r="A390" i="12"/>
  <c r="A382" i="12"/>
  <c r="A374" i="12"/>
  <c r="A366" i="12"/>
  <c r="A358" i="12"/>
  <c r="A350" i="12"/>
  <c r="A342" i="12"/>
  <c r="A334" i="12"/>
  <c r="A326" i="12"/>
  <c r="A318" i="12"/>
  <c r="A310" i="12"/>
  <c r="A302" i="12"/>
  <c r="A294" i="12"/>
  <c r="A286" i="12"/>
  <c r="A278" i="12"/>
  <c r="A270" i="12"/>
  <c r="A262" i="12"/>
  <c r="A254" i="12"/>
  <c r="A246" i="12"/>
  <c r="A238" i="12"/>
  <c r="A230" i="12"/>
  <c r="A222" i="12"/>
  <c r="A214" i="12"/>
  <c r="A206" i="12"/>
  <c r="A198" i="12"/>
  <c r="A190" i="12"/>
  <c r="A182" i="12"/>
  <c r="A174" i="12"/>
  <c r="A166" i="12"/>
  <c r="A158" i="12"/>
  <c r="A150" i="12"/>
  <c r="A142" i="12"/>
  <c r="A134" i="12"/>
  <c r="A126" i="12"/>
  <c r="A118" i="12"/>
  <c r="A110" i="12"/>
  <c r="A102" i="12"/>
  <c r="A94" i="12"/>
  <c r="A86" i="12"/>
  <c r="A78" i="12"/>
  <c r="A70" i="12"/>
  <c r="A62" i="12"/>
  <c r="A54" i="12"/>
  <c r="A46" i="12"/>
  <c r="A38" i="12"/>
  <c r="A30" i="12"/>
  <c r="A22" i="12"/>
  <c r="A14" i="12"/>
  <c r="A6" i="12"/>
  <c r="A2197" i="12"/>
  <c r="A2189" i="12"/>
  <c r="A2181" i="12"/>
  <c r="A2173" i="12"/>
  <c r="A2165" i="12"/>
  <c r="A2157" i="12"/>
  <c r="A2149" i="12"/>
  <c r="A2141" i="12"/>
  <c r="A2133" i="12"/>
  <c r="A2125" i="12"/>
  <c r="A2117" i="12"/>
  <c r="A2109" i="12"/>
  <c r="A2101" i="12"/>
  <c r="A2093" i="12"/>
  <c r="A2085" i="12"/>
  <c r="A2077" i="12"/>
  <c r="A2069" i="12"/>
  <c r="A2061" i="12"/>
  <c r="A2053" i="12"/>
  <c r="A2045" i="12"/>
  <c r="A2037" i="12"/>
  <c r="A2029" i="12"/>
  <c r="A2021" i="12"/>
  <c r="A2013" i="12"/>
  <c r="A2005" i="12"/>
  <c r="A1997" i="12"/>
  <c r="A1989" i="12"/>
  <c r="A1981" i="12"/>
  <c r="A1973" i="12"/>
  <c r="A1965" i="12"/>
  <c r="A1957" i="12"/>
  <c r="A1949" i="12"/>
  <c r="A1941" i="12"/>
  <c r="A1933" i="12"/>
  <c r="A1925" i="12"/>
  <c r="A1917" i="12"/>
  <c r="A1909" i="12"/>
  <c r="A1901" i="12"/>
  <c r="A1893" i="12"/>
  <c r="A1885" i="12"/>
  <c r="A1877" i="12"/>
  <c r="A1869" i="12"/>
  <c r="A1861" i="12"/>
  <c r="A1853" i="12"/>
  <c r="A1845" i="12"/>
  <c r="A1837" i="12"/>
  <c r="A1829" i="12"/>
  <c r="A1821" i="12"/>
  <c r="A1813" i="12"/>
  <c r="A1805" i="12"/>
  <c r="A1797" i="12"/>
  <c r="A1789" i="12"/>
  <c r="A1781" i="12"/>
  <c r="A1773" i="12"/>
  <c r="A1765" i="12"/>
  <c r="A1757" i="12"/>
  <c r="A1749" i="12"/>
  <c r="A1741" i="12"/>
  <c r="A1733" i="12"/>
  <c r="A1725" i="12"/>
  <c r="A1717" i="12"/>
  <c r="A1709" i="12"/>
  <c r="A1701" i="12"/>
  <c r="A1693" i="12"/>
  <c r="A1685" i="12"/>
  <c r="A1677" i="12"/>
  <c r="A1669" i="12"/>
  <c r="A1661" i="12"/>
  <c r="A1653" i="12"/>
  <c r="A1645" i="12"/>
  <c r="A1637" i="12"/>
  <c r="A1629" i="12"/>
  <c r="A1621" i="12"/>
  <c r="A1613" i="12"/>
  <c r="A1605" i="12"/>
  <c r="A1597" i="12"/>
  <c r="A1589" i="12"/>
  <c r="A1581" i="12"/>
  <c r="A1573" i="12"/>
  <c r="A1565" i="12"/>
  <c r="A1557" i="12"/>
  <c r="A1549" i="12"/>
  <c r="A1541" i="12"/>
  <c r="A1533" i="12"/>
  <c r="A1525" i="12"/>
  <c r="A1517" i="12"/>
  <c r="A1509" i="12"/>
  <c r="A1501" i="12"/>
  <c r="A1493" i="12"/>
  <c r="A1485" i="12"/>
  <c r="A1477" i="12"/>
  <c r="A1469" i="12"/>
  <c r="A1461" i="12"/>
  <c r="A1453" i="12"/>
  <c r="A1445" i="12"/>
  <c r="A1437" i="12"/>
  <c r="A1429" i="12"/>
  <c r="A1421" i="12"/>
  <c r="A1413" i="12"/>
  <c r="A1405" i="12"/>
  <c r="A1397" i="12"/>
  <c r="A1389" i="12"/>
  <c r="A1381" i="12"/>
  <c r="A1373" i="12"/>
  <c r="A1365" i="12"/>
  <c r="A1357" i="12"/>
  <c r="A1349" i="12"/>
  <c r="A1341" i="12"/>
  <c r="A1333" i="12"/>
  <c r="A1325" i="12"/>
  <c r="A1317" i="12"/>
  <c r="A1309" i="12"/>
  <c r="A1301" i="12"/>
  <c r="A1293" i="12"/>
  <c r="A1285" i="12"/>
  <c r="A1277" i="12"/>
  <c r="A1269" i="12"/>
  <c r="A1261" i="12"/>
  <c r="A1253" i="12"/>
  <c r="A1245" i="12"/>
  <c r="A1237" i="12"/>
  <c r="A1229" i="12"/>
  <c r="A1221" i="12"/>
  <c r="A1213" i="12"/>
  <c r="A1205" i="12"/>
  <c r="A1197" i="12"/>
  <c r="A1189" i="12"/>
  <c r="A1181" i="12"/>
  <c r="A1173" i="12"/>
  <c r="A1165" i="12"/>
  <c r="A1157" i="12"/>
  <c r="A1149" i="12"/>
  <c r="A1141" i="12"/>
  <c r="A1133" i="12"/>
  <c r="A1125" i="12"/>
  <c r="A1117" i="12"/>
  <c r="A1109" i="12"/>
  <c r="A1101" i="12"/>
  <c r="A1093" i="12"/>
  <c r="A1085" i="12"/>
  <c r="A1077" i="12"/>
  <c r="A1069" i="12"/>
  <c r="A1061" i="12"/>
  <c r="A1053" i="12"/>
  <c r="A1045" i="12"/>
  <c r="A1037" i="12"/>
  <c r="A1029" i="12"/>
  <c r="A1021" i="12"/>
  <c r="A1013" i="12"/>
  <c r="A1005" i="12"/>
  <c r="A997" i="12"/>
  <c r="A989" i="12"/>
  <c r="A981" i="12"/>
  <c r="A973" i="12"/>
  <c r="A965" i="12"/>
  <c r="A957" i="12"/>
  <c r="A949" i="12"/>
  <c r="A941" i="12"/>
  <c r="A933" i="12"/>
  <c r="A925" i="12"/>
  <c r="A917" i="12"/>
  <c r="A909" i="12"/>
  <c r="A901" i="12"/>
  <c r="A893" i="12"/>
  <c r="A885" i="12"/>
  <c r="A877" i="12"/>
  <c r="A869" i="12"/>
  <c r="A861" i="12"/>
  <c r="A853" i="12"/>
  <c r="A845" i="12"/>
  <c r="A837" i="12"/>
  <c r="A829" i="12"/>
  <c r="A821" i="12"/>
  <c r="A813" i="12"/>
  <c r="A805" i="12"/>
  <c r="A797" i="12"/>
  <c r="A789" i="12"/>
  <c r="A781" i="12"/>
  <c r="A773" i="12"/>
  <c r="A765" i="12"/>
  <c r="A757" i="12"/>
  <c r="A749" i="12"/>
  <c r="A741" i="12"/>
  <c r="A733" i="12"/>
  <c r="A725" i="12"/>
  <c r="A717" i="12"/>
  <c r="A709" i="12"/>
  <c r="A701" i="12"/>
  <c r="A693" i="12"/>
  <c r="A685" i="12"/>
  <c r="A677" i="12"/>
  <c r="A669" i="12"/>
  <c r="A661" i="12"/>
  <c r="A653" i="12"/>
  <c r="A645" i="12"/>
  <c r="A637" i="12"/>
  <c r="A629" i="12"/>
  <c r="A621" i="12"/>
  <c r="A613" i="12"/>
  <c r="A605" i="12"/>
  <c r="A597" i="12"/>
  <c r="A589" i="12"/>
  <c r="A581" i="12"/>
  <c r="A573" i="12"/>
  <c r="A565" i="12"/>
  <c r="A557" i="12"/>
  <c r="A549" i="12"/>
  <c r="A541" i="12"/>
  <c r="A533" i="12"/>
  <c r="A525" i="12"/>
  <c r="A517" i="12"/>
  <c r="A509" i="12"/>
  <c r="A501" i="12"/>
  <c r="A493" i="12"/>
  <c r="A485" i="12"/>
  <c r="A477" i="12"/>
  <c r="A469" i="12"/>
  <c r="A461" i="12"/>
  <c r="A453" i="12"/>
  <c r="A445" i="12"/>
  <c r="A437" i="12"/>
  <c r="A429" i="12"/>
  <c r="A421" i="12"/>
  <c r="A413" i="12"/>
  <c r="A405" i="12"/>
  <c r="A397" i="12"/>
  <c r="A389" i="12"/>
  <c r="A381" i="12"/>
  <c r="A373" i="12"/>
  <c r="A365" i="12"/>
  <c r="A357" i="12"/>
  <c r="A349" i="12"/>
  <c r="A341" i="12"/>
  <c r="A333" i="12"/>
  <c r="A325" i="12"/>
  <c r="A317" i="12"/>
  <c r="A309" i="12"/>
  <c r="A301" i="12"/>
  <c r="A293" i="12"/>
  <c r="A285" i="12"/>
  <c r="A277" i="12"/>
  <c r="A269" i="12"/>
  <c r="A261" i="12"/>
  <c r="A253" i="12"/>
  <c r="A245" i="12"/>
  <c r="A237" i="12"/>
  <c r="A229" i="12"/>
  <c r="A221" i="12"/>
  <c r="A213" i="12"/>
  <c r="A205" i="12"/>
  <c r="A197" i="12"/>
  <c r="A189" i="12"/>
  <c r="A181" i="12"/>
  <c r="A173" i="12"/>
  <c r="A165" i="12"/>
  <c r="A157" i="12"/>
  <c r="A149" i="12"/>
  <c r="A141" i="12"/>
  <c r="A133" i="12"/>
  <c r="A125" i="12"/>
  <c r="A117" i="12"/>
  <c r="A109" i="12"/>
  <c r="A101" i="12"/>
  <c r="A93" i="12"/>
  <c r="A85" i="12"/>
  <c r="A77" i="12"/>
  <c r="A69" i="12"/>
  <c r="A61" i="12"/>
  <c r="A53" i="12"/>
  <c r="A45" i="12"/>
  <c r="A37" i="12"/>
  <c r="A29" i="12"/>
  <c r="A21" i="12"/>
  <c r="A13" i="12"/>
  <c r="A5" i="12"/>
  <c r="A2196" i="12"/>
  <c r="A2188" i="12"/>
  <c r="A2180" i="12"/>
  <c r="A2172" i="12"/>
  <c r="A2164" i="12"/>
  <c r="A2156" i="12"/>
  <c r="A2148" i="12"/>
  <c r="A2140" i="12"/>
  <c r="A2132" i="12"/>
  <c r="A2124" i="12"/>
  <c r="A2116" i="12"/>
  <c r="A2108" i="12"/>
  <c r="A2100" i="12"/>
  <c r="A2092" i="12"/>
  <c r="A2084" i="12"/>
  <c r="A2076" i="12"/>
  <c r="A2068" i="12"/>
  <c r="A2060" i="12"/>
  <c r="A2052" i="12"/>
  <c r="A2044" i="12"/>
  <c r="A2036" i="12"/>
  <c r="A2028" i="12"/>
  <c r="A2020" i="12"/>
  <c r="A2012" i="12"/>
  <c r="A2004" i="12"/>
  <c r="A1996" i="12"/>
  <c r="A1988" i="12"/>
  <c r="A1980" i="12"/>
  <c r="A1972" i="12"/>
  <c r="A1964" i="12"/>
  <c r="A1956" i="12"/>
  <c r="A1948" i="12"/>
  <c r="A1940" i="12"/>
  <c r="A1932" i="12"/>
  <c r="A1924" i="12"/>
  <c r="A1916" i="12"/>
  <c r="A1908" i="12"/>
  <c r="A1900" i="12"/>
  <c r="A1892" i="12"/>
  <c r="A1884" i="12"/>
  <c r="A1876" i="12"/>
  <c r="A1868" i="12"/>
  <c r="A1860" i="12"/>
  <c r="A1852" i="12"/>
  <c r="A1844" i="12"/>
  <c r="A1836" i="12"/>
  <c r="A1828" i="12"/>
  <c r="A1820" i="12"/>
  <c r="A1812" i="12"/>
  <c r="A1804" i="12"/>
  <c r="A1796" i="12"/>
  <c r="A1788" i="12"/>
  <c r="A1780" i="12"/>
  <c r="A1772" i="12"/>
  <c r="A1764" i="12"/>
  <c r="A1756" i="12"/>
  <c r="A1748" i="12"/>
  <c r="A1740" i="12"/>
  <c r="A1732" i="12"/>
  <c r="A1724" i="12"/>
  <c r="A1716" i="12"/>
  <c r="A1708" i="12"/>
  <c r="A1700" i="12"/>
  <c r="A1692" i="12"/>
  <c r="A1684" i="12"/>
  <c r="A1676" i="12"/>
  <c r="A1668" i="12"/>
  <c r="A1660" i="12"/>
  <c r="A1652" i="12"/>
  <c r="A1644" i="12"/>
  <c r="A1636" i="12"/>
  <c r="A1628" i="12"/>
  <c r="A1620" i="12"/>
  <c r="A1612" i="12"/>
  <c r="A1604" i="12"/>
  <c r="A1596" i="12"/>
  <c r="A1588" i="12"/>
  <c r="A1580" i="12"/>
  <c r="A1572" i="12"/>
  <c r="A1564" i="12"/>
  <c r="A1556" i="12"/>
  <c r="A1548" i="12"/>
  <c r="A1540" i="12"/>
  <c r="A1532" i="12"/>
  <c r="A1524" i="12"/>
  <c r="A1516" i="12"/>
  <c r="A1508" i="12"/>
  <c r="A1500" i="12"/>
  <c r="A1492" i="12"/>
  <c r="A1484" i="12"/>
  <c r="A1476" i="12"/>
  <c r="A1468" i="12"/>
  <c r="A1460" i="12"/>
  <c r="A1452" i="12"/>
  <c r="A1444" i="12"/>
  <c r="A1436" i="12"/>
  <c r="A1428" i="12"/>
  <c r="A1420" i="12"/>
  <c r="A1412" i="12"/>
  <c r="A1404" i="12"/>
  <c r="A1396" i="12"/>
  <c r="A1388" i="12"/>
  <c r="A1380" i="12"/>
  <c r="A1372" i="12"/>
  <c r="A1364" i="12"/>
  <c r="A1356" i="12"/>
  <c r="A1348" i="12"/>
  <c r="A1340" i="12"/>
  <c r="A1332" i="12"/>
  <c r="A1324" i="12"/>
  <c r="A1316" i="12"/>
  <c r="A1308" i="12"/>
  <c r="A1300" i="12"/>
  <c r="A1292" i="12"/>
  <c r="A1284" i="12"/>
  <c r="A1276" i="12"/>
  <c r="A1268" i="12"/>
  <c r="A1260" i="12"/>
  <c r="A1252" i="12"/>
  <c r="A1244" i="12"/>
  <c r="A1236" i="12"/>
  <c r="A1228" i="12"/>
  <c r="A1220" i="12"/>
  <c r="A1212" i="12"/>
  <c r="A1204" i="12"/>
  <c r="A1196" i="12"/>
  <c r="A1188" i="12"/>
  <c r="A1180" i="12"/>
  <c r="A1172" i="12"/>
  <c r="A1164" i="12"/>
  <c r="A1156" i="12"/>
  <c r="A1148" i="12"/>
  <c r="A1140" i="12"/>
  <c r="A1132" i="12"/>
  <c r="A1124" i="12"/>
  <c r="A1116" i="12"/>
  <c r="A1108" i="12"/>
  <c r="A1100" i="12"/>
  <c r="A1092" i="12"/>
  <c r="A1084" i="12"/>
  <c r="A1076" i="12"/>
  <c r="A1068" i="12"/>
  <c r="A1060" i="12"/>
  <c r="A1052" i="12"/>
  <c r="A1044" i="12"/>
  <c r="A1036" i="12"/>
  <c r="A1028" i="12"/>
  <c r="A1020" i="12"/>
  <c r="A1012" i="12"/>
  <c r="A1004" i="12"/>
  <c r="A996" i="12"/>
  <c r="A988" i="12"/>
  <c r="A980" i="12"/>
  <c r="A972" i="12"/>
  <c r="A964" i="12"/>
  <c r="A956" i="12"/>
  <c r="A948" i="12"/>
  <c r="A940" i="12"/>
  <c r="A932" i="12"/>
  <c r="A924" i="12"/>
  <c r="A916" i="12"/>
  <c r="A908" i="12"/>
  <c r="A900" i="12"/>
  <c r="A892" i="12"/>
  <c r="A884" i="12"/>
  <c r="A876" i="12"/>
  <c r="A868" i="12"/>
  <c r="A860" i="12"/>
  <c r="A852" i="12"/>
  <c r="A844" i="12"/>
  <c r="A836" i="12"/>
  <c r="A828" i="12"/>
  <c r="A820" i="12"/>
  <c r="A812" i="12"/>
  <c r="A804" i="12"/>
  <c r="A796" i="12"/>
  <c r="A788" i="12"/>
  <c r="A780" i="12"/>
  <c r="A772" i="12"/>
  <c r="A764" i="12"/>
  <c r="A756" i="12"/>
  <c r="A748" i="12"/>
  <c r="A740" i="12"/>
  <c r="A732" i="12"/>
  <c r="A724" i="12"/>
  <c r="A716" i="12"/>
  <c r="A708" i="12"/>
  <c r="A700" i="12"/>
  <c r="A692" i="12"/>
  <c r="A684" i="12"/>
  <c r="A676" i="12"/>
  <c r="A668" i="12"/>
  <c r="A660" i="12"/>
  <c r="A652" i="12"/>
  <c r="A644" i="12"/>
  <c r="A636" i="12"/>
  <c r="A628" i="12"/>
  <c r="A620" i="12"/>
  <c r="A612" i="12"/>
  <c r="A604" i="12"/>
  <c r="A596" i="12"/>
  <c r="A588" i="12"/>
  <c r="A580" i="12"/>
  <c r="A572" i="12"/>
  <c r="A564" i="12"/>
  <c r="A556" i="12"/>
  <c r="A548" i="12"/>
  <c r="A540" i="12"/>
  <c r="A532" i="12"/>
  <c r="A524" i="12"/>
  <c r="A516" i="12"/>
  <c r="A508" i="12"/>
  <c r="A500" i="12"/>
  <c r="A492" i="12"/>
  <c r="A484" i="12"/>
  <c r="A476" i="12"/>
  <c r="A468" i="12"/>
  <c r="A460" i="12"/>
  <c r="A452" i="12"/>
  <c r="A444" i="12"/>
  <c r="A436" i="12"/>
  <c r="A428" i="12"/>
  <c r="A420" i="12"/>
  <c r="A412" i="12"/>
  <c r="A404" i="12"/>
  <c r="A396" i="12"/>
  <c r="A388" i="12"/>
  <c r="A380" i="12"/>
  <c r="A372" i="12"/>
  <c r="A364" i="12"/>
  <c r="A356" i="12"/>
  <c r="A348" i="12"/>
  <c r="A340" i="12"/>
  <c r="A332" i="12"/>
  <c r="A324" i="12"/>
  <c r="A316" i="12"/>
  <c r="A308" i="12"/>
  <c r="A300" i="12"/>
  <c r="A292" i="12"/>
  <c r="A284" i="12"/>
  <c r="A276" i="12"/>
  <c r="A268" i="12"/>
  <c r="A260" i="12"/>
  <c r="A252" i="12"/>
  <c r="A244" i="12"/>
  <c r="A236" i="12"/>
  <c r="A228" i="12"/>
  <c r="A220" i="12"/>
  <c r="A212" i="12"/>
  <c r="A204" i="12"/>
  <c r="A196" i="12"/>
  <c r="A188" i="12"/>
  <c r="A180" i="12"/>
  <c r="A172" i="12"/>
  <c r="A164" i="12"/>
  <c r="A156" i="12"/>
  <c r="A148" i="12"/>
  <c r="A140" i="12"/>
  <c r="A132" i="12"/>
  <c r="A124" i="12"/>
  <c r="A116" i="12"/>
  <c r="A108" i="12"/>
  <c r="A100" i="12"/>
  <c r="A92" i="12"/>
  <c r="A84" i="12"/>
  <c r="A76" i="12"/>
  <c r="A68" i="12"/>
  <c r="A60" i="12"/>
  <c r="A52" i="12"/>
  <c r="A44" i="12"/>
  <c r="A36" i="12"/>
  <c r="A28" i="12"/>
  <c r="A20" i="12"/>
  <c r="A12" i="12"/>
  <c r="A4" i="12"/>
  <c r="A24" i="12"/>
  <c r="A43" i="12"/>
  <c r="A66" i="12"/>
  <c r="A88" i="12"/>
  <c r="A107" i="12"/>
  <c r="A130" i="12"/>
  <c r="A152" i="12"/>
  <c r="A171" i="12"/>
  <c r="A194" i="12"/>
  <c r="A216" i="12"/>
  <c r="A235" i="12"/>
  <c r="A258" i="12"/>
  <c r="A280" i="12"/>
  <c r="A299" i="12"/>
  <c r="A322" i="12"/>
  <c r="A344" i="12"/>
  <c r="A363" i="12"/>
  <c r="A386" i="12"/>
  <c r="A408" i="12"/>
  <c r="A427" i="12"/>
  <c r="A450" i="12"/>
  <c r="A472" i="12"/>
  <c r="A491" i="12"/>
  <c r="A514" i="12"/>
  <c r="A536" i="12"/>
  <c r="A555" i="12"/>
  <c r="A578" i="12"/>
  <c r="A600" i="12"/>
  <c r="A619" i="12"/>
  <c r="A642" i="12"/>
  <c r="A664" i="12"/>
  <c r="A683" i="12"/>
  <c r="A706" i="12"/>
  <c r="A728" i="12"/>
  <c r="A747" i="12"/>
  <c r="A770" i="12"/>
  <c r="A792" i="12"/>
  <c r="A811" i="12"/>
  <c r="A834" i="12"/>
  <c r="A856" i="12"/>
  <c r="A875" i="12"/>
  <c r="A898" i="12"/>
  <c r="A920" i="12"/>
  <c r="A939" i="12"/>
  <c r="A962" i="12"/>
  <c r="A984" i="12"/>
  <c r="A1003" i="12"/>
  <c r="A1026" i="12"/>
  <c r="A1048" i="12"/>
  <c r="A1067" i="12"/>
  <c r="A1090" i="12"/>
  <c r="A1112" i="12"/>
  <c r="A1131" i="12"/>
  <c r="A1154" i="12"/>
  <c r="A1176" i="12"/>
  <c r="A1195" i="12"/>
  <c r="A1218" i="12"/>
  <c r="A1240" i="12"/>
  <c r="A1259" i="12"/>
  <c r="A1282" i="12"/>
  <c r="A1304" i="12"/>
  <c r="A1323" i="12"/>
  <c r="A1346" i="12"/>
  <c r="A1368" i="12"/>
  <c r="A1387" i="12"/>
  <c r="A1410" i="12"/>
  <c r="A1432" i="12"/>
  <c r="A1451" i="12"/>
  <c r="A1474" i="12"/>
  <c r="A1496" i="12"/>
  <c r="A1515" i="12"/>
  <c r="A1538" i="12"/>
  <c r="A1560" i="12"/>
  <c r="A1579" i="12"/>
  <c r="A1602" i="12"/>
  <c r="A1624" i="12"/>
  <c r="A1643" i="12"/>
  <c r="A1666" i="12"/>
  <c r="A1688" i="12"/>
  <c r="A1707" i="12"/>
  <c r="A1730" i="12"/>
  <c r="A1752" i="12"/>
  <c r="A1771" i="12"/>
  <c r="A1794" i="12"/>
  <c r="A1816" i="12"/>
  <c r="A1835" i="12"/>
  <c r="A1858" i="12"/>
  <c r="A1880" i="12"/>
  <c r="A1899" i="12"/>
  <c r="A1922" i="12"/>
  <c r="A1944" i="12"/>
  <c r="A1963" i="12"/>
  <c r="A1986" i="12"/>
  <c r="A2008" i="12"/>
  <c r="A2027" i="12"/>
  <c r="A2050" i="12"/>
  <c r="A2072" i="12"/>
  <c r="A2091" i="12"/>
  <c r="A2114" i="12"/>
  <c r="A2136" i="12"/>
  <c r="A2155" i="12"/>
  <c r="A2178" i="12"/>
  <c r="A2200" i="12"/>
  <c r="H92" i="3" l="1"/>
  <c r="H182" i="3"/>
  <c r="H150" i="3"/>
  <c r="H93" i="3"/>
  <c r="H149" i="3"/>
  <c r="H117" i="3"/>
  <c r="H185" i="3"/>
  <c r="H23" i="3"/>
  <c r="H12" i="3"/>
  <c r="H9" i="3"/>
  <c r="H4" i="3"/>
  <c r="G29" i="1"/>
  <c r="C2" i="12" a="1"/>
  <c r="B2" i="12" a="1"/>
  <c r="H38" i="3"/>
  <c r="H14" i="3"/>
  <c r="H39" i="3"/>
  <c r="H42" i="3"/>
  <c r="H37" i="3"/>
  <c r="H13" i="3"/>
  <c r="I26" i="1"/>
  <c r="G26" i="1"/>
  <c r="H26" i="1"/>
  <c r="F26" i="1"/>
  <c r="H116" i="3"/>
  <c r="H114" i="3"/>
  <c r="H71" i="3"/>
  <c r="H91" i="3"/>
  <c r="H160" i="3"/>
  <c r="H151" i="3"/>
  <c r="H27" i="1"/>
  <c r="F27" i="1"/>
  <c r="G27" i="1"/>
  <c r="I27" i="1"/>
  <c r="H169" i="3"/>
  <c r="H40" i="3"/>
  <c r="H32" i="3"/>
  <c r="H35" i="3"/>
  <c r="G28" i="1"/>
  <c r="F28" i="1"/>
  <c r="I28" i="1"/>
  <c r="H28" i="1"/>
  <c r="H17" i="3"/>
  <c r="H5" i="3"/>
  <c r="H19" i="3"/>
  <c r="H20" i="3"/>
  <c r="H18" i="3"/>
  <c r="F2" i="2" a="1"/>
  <c r="J2" i="3" l="1" a="1"/>
  <c r="J296" i="3" s="1"/>
  <c r="L2" i="3" a="1"/>
  <c r="M342" i="3" s="1"/>
  <c r="B2193" i="12"/>
  <c r="B2185" i="12"/>
  <c r="B2177" i="12"/>
  <c r="B2169" i="12"/>
  <c r="B2161" i="12"/>
  <c r="B2153" i="12"/>
  <c r="B2145" i="12"/>
  <c r="B2137" i="12"/>
  <c r="B2129" i="12"/>
  <c r="B2121" i="12"/>
  <c r="B2113" i="12"/>
  <c r="B2105" i="12"/>
  <c r="B2097" i="12"/>
  <c r="B2089" i="12"/>
  <c r="B2081" i="12"/>
  <c r="B2073" i="12"/>
  <c r="B2065" i="12"/>
  <c r="B2057" i="12"/>
  <c r="B2049" i="12"/>
  <c r="B2041" i="12"/>
  <c r="B2033" i="12"/>
  <c r="B2025" i="12"/>
  <c r="B2017" i="12"/>
  <c r="B2009" i="12"/>
  <c r="B2001" i="12"/>
  <c r="B1993" i="12"/>
  <c r="B1985" i="12"/>
  <c r="B1977" i="12"/>
  <c r="B1969" i="12"/>
  <c r="B1961" i="12"/>
  <c r="B1953" i="12"/>
  <c r="B1945" i="12"/>
  <c r="B1937" i="12"/>
  <c r="B1929" i="12"/>
  <c r="B1921" i="12"/>
  <c r="B1913" i="12"/>
  <c r="B1905" i="12"/>
  <c r="B1897" i="12"/>
  <c r="B1889" i="12"/>
  <c r="B1881" i="12"/>
  <c r="B1873" i="12"/>
  <c r="B1865" i="12"/>
  <c r="B1857" i="12"/>
  <c r="B1849" i="12"/>
  <c r="B1841" i="12"/>
  <c r="B1833" i="12"/>
  <c r="B1825" i="12"/>
  <c r="B1817" i="12"/>
  <c r="B1809" i="12"/>
  <c r="B1801" i="12"/>
  <c r="B1793" i="12"/>
  <c r="B1785" i="12"/>
  <c r="B1777" i="12"/>
  <c r="B1769" i="12"/>
  <c r="B1761" i="12"/>
  <c r="B1753" i="12"/>
  <c r="B1745" i="12"/>
  <c r="B1737" i="12"/>
  <c r="B1729" i="12"/>
  <c r="B1721" i="12"/>
  <c r="B1713" i="12"/>
  <c r="B1705" i="12"/>
  <c r="B1697" i="12"/>
  <c r="B1689" i="12"/>
  <c r="B1681" i="12"/>
  <c r="B1673" i="12"/>
  <c r="B1665" i="12"/>
  <c r="B1657" i="12"/>
  <c r="B1649" i="12"/>
  <c r="B1641" i="12"/>
  <c r="B1633" i="12"/>
  <c r="B1625" i="12"/>
  <c r="B1617" i="12"/>
  <c r="B1609" i="12"/>
  <c r="B1601" i="12"/>
  <c r="B1593" i="12"/>
  <c r="B1585" i="12"/>
  <c r="B1577" i="12"/>
  <c r="B1569" i="12"/>
  <c r="B1561" i="12"/>
  <c r="B1553" i="12"/>
  <c r="B1545" i="12"/>
  <c r="B1537" i="12"/>
  <c r="B1529" i="12"/>
  <c r="B1521" i="12"/>
  <c r="B1513" i="12"/>
  <c r="B1505" i="12"/>
  <c r="B1497" i="12"/>
  <c r="B1489" i="12"/>
  <c r="B1481" i="12"/>
  <c r="B1473" i="12"/>
  <c r="B1465" i="12"/>
  <c r="B1457" i="12"/>
  <c r="B1449" i="12"/>
  <c r="B1441" i="12"/>
  <c r="B1433" i="12"/>
  <c r="B1425" i="12"/>
  <c r="B1417" i="12"/>
  <c r="B1409" i="12"/>
  <c r="B1401" i="12"/>
  <c r="B1393" i="12"/>
  <c r="B1385" i="12"/>
  <c r="B1377" i="12"/>
  <c r="B1369" i="12"/>
  <c r="B1361" i="12"/>
  <c r="B1353" i="12"/>
  <c r="B1345" i="12"/>
  <c r="B1337" i="12"/>
  <c r="B1329" i="12"/>
  <c r="B1321" i="12"/>
  <c r="B1313" i="12"/>
  <c r="B1305" i="12"/>
  <c r="B1297" i="12"/>
  <c r="B1289" i="12"/>
  <c r="B1281" i="12"/>
  <c r="B1273" i="12"/>
  <c r="B1265" i="12"/>
  <c r="B1257" i="12"/>
  <c r="B1249" i="12"/>
  <c r="B1241" i="12"/>
  <c r="B1233" i="12"/>
  <c r="B1225" i="12"/>
  <c r="B1217" i="12"/>
  <c r="B1209" i="12"/>
  <c r="B1201" i="12"/>
  <c r="B1193" i="12"/>
  <c r="B1185" i="12"/>
  <c r="B1177" i="12"/>
  <c r="B1169" i="12"/>
  <c r="B2200" i="12"/>
  <c r="B2192" i="12"/>
  <c r="B2184" i="12"/>
  <c r="B2176" i="12"/>
  <c r="B2168" i="12"/>
  <c r="B2160" i="12"/>
  <c r="B2152" i="12"/>
  <c r="B2144" i="12"/>
  <c r="B2136" i="12"/>
  <c r="B2128" i="12"/>
  <c r="B2120" i="12"/>
  <c r="B2112" i="12"/>
  <c r="B2104" i="12"/>
  <c r="B2096" i="12"/>
  <c r="B2088" i="12"/>
  <c r="B2080" i="12"/>
  <c r="B2072" i="12"/>
  <c r="B2064" i="12"/>
  <c r="B2056" i="12"/>
  <c r="B2048" i="12"/>
  <c r="B2040" i="12"/>
  <c r="B2032" i="12"/>
  <c r="B2024" i="12"/>
  <c r="B2016" i="12"/>
  <c r="B2008" i="12"/>
  <c r="B2000" i="12"/>
  <c r="B1992" i="12"/>
  <c r="B1984" i="12"/>
  <c r="B1976" i="12"/>
  <c r="B1968" i="12"/>
  <c r="B1960" i="12"/>
  <c r="B1952" i="12"/>
  <c r="B1944" i="12"/>
  <c r="B1936" i="12"/>
  <c r="B1928" i="12"/>
  <c r="B1920" i="12"/>
  <c r="B1912" i="12"/>
  <c r="B1904" i="12"/>
  <c r="B1896" i="12"/>
  <c r="B1888" i="12"/>
  <c r="B1880" i="12"/>
  <c r="B1872" i="12"/>
  <c r="B1864" i="12"/>
  <c r="B1856" i="12"/>
  <c r="B1848" i="12"/>
  <c r="B1840" i="12"/>
  <c r="B1832" i="12"/>
  <c r="B1824" i="12"/>
  <c r="B1816" i="12"/>
  <c r="B1808" i="12"/>
  <c r="B1800" i="12"/>
  <c r="B1792" i="12"/>
  <c r="B1784" i="12"/>
  <c r="B1776" i="12"/>
  <c r="B1768" i="12"/>
  <c r="B1760" i="12"/>
  <c r="B1752" i="12"/>
  <c r="B1744" i="12"/>
  <c r="B1736" i="12"/>
  <c r="B1728" i="12"/>
  <c r="B1720" i="12"/>
  <c r="B1712" i="12"/>
  <c r="B1704" i="12"/>
  <c r="B1696" i="12"/>
  <c r="B1688" i="12"/>
  <c r="B1680" i="12"/>
  <c r="B1672" i="12"/>
  <c r="B1664" i="12"/>
  <c r="B1656" i="12"/>
  <c r="B1648" i="12"/>
  <c r="B1640" i="12"/>
  <c r="B1632" i="12"/>
  <c r="B1624" i="12"/>
  <c r="B1616" i="12"/>
  <c r="B1608" i="12"/>
  <c r="B1600" i="12"/>
  <c r="B1592" i="12"/>
  <c r="B1584" i="12"/>
  <c r="B1576" i="12"/>
  <c r="B1568" i="12"/>
  <c r="B1560" i="12"/>
  <c r="B1552" i="12"/>
  <c r="B1544" i="12"/>
  <c r="B1536" i="12"/>
  <c r="B1528" i="12"/>
  <c r="B1520" i="12"/>
  <c r="B1512" i="12"/>
  <c r="B1504" i="12"/>
  <c r="B1496" i="12"/>
  <c r="B1488" i="12"/>
  <c r="B1480" i="12"/>
  <c r="B1472" i="12"/>
  <c r="B1464" i="12"/>
  <c r="B1456" i="12"/>
  <c r="B1448" i="12"/>
  <c r="B1440" i="12"/>
  <c r="B1432" i="12"/>
  <c r="B1424" i="12"/>
  <c r="B1416" i="12"/>
  <c r="B1408" i="12"/>
  <c r="B1400" i="12"/>
  <c r="B1392" i="12"/>
  <c r="B1384" i="12"/>
  <c r="B1376" i="12"/>
  <c r="B1368" i="12"/>
  <c r="B1360" i="12"/>
  <c r="B1352" i="12"/>
  <c r="B1344" i="12"/>
  <c r="B1336" i="12"/>
  <c r="B1328" i="12"/>
  <c r="B1320" i="12"/>
  <c r="B1312" i="12"/>
  <c r="B1304" i="12"/>
  <c r="B1296" i="12"/>
  <c r="B1288" i="12"/>
  <c r="B1280" i="12"/>
  <c r="B1272" i="12"/>
  <c r="B1264" i="12"/>
  <c r="B1256" i="12"/>
  <c r="B2199" i="12"/>
  <c r="B2191" i="12"/>
  <c r="B2183" i="12"/>
  <c r="B2175" i="12"/>
  <c r="B2167" i="12"/>
  <c r="B2159" i="12"/>
  <c r="B2151" i="12"/>
  <c r="B2143" i="12"/>
  <c r="B2135" i="12"/>
  <c r="B2127" i="12"/>
  <c r="B2119" i="12"/>
  <c r="B2111" i="12"/>
  <c r="B2103" i="12"/>
  <c r="B2095" i="12"/>
  <c r="B2087" i="12"/>
  <c r="B2079" i="12"/>
  <c r="B2071" i="12"/>
  <c r="B2063" i="12"/>
  <c r="B2055" i="12"/>
  <c r="B2047" i="12"/>
  <c r="B2039" i="12"/>
  <c r="B2031" i="12"/>
  <c r="B2023" i="12"/>
  <c r="B2015" i="12"/>
  <c r="B2007" i="12"/>
  <c r="B1999" i="12"/>
  <c r="B1991" i="12"/>
  <c r="B1983" i="12"/>
  <c r="B1975" i="12"/>
  <c r="B1967" i="12"/>
  <c r="B1959" i="12"/>
  <c r="B1951" i="12"/>
  <c r="B1943" i="12"/>
  <c r="B1935" i="12"/>
  <c r="B1927" i="12"/>
  <c r="B1919" i="12"/>
  <c r="B1911" i="12"/>
  <c r="B1903" i="12"/>
  <c r="B1895" i="12"/>
  <c r="B1887" i="12"/>
  <c r="B1879" i="12"/>
  <c r="B1871" i="12"/>
  <c r="B1863" i="12"/>
  <c r="B1855" i="12"/>
  <c r="B1847" i="12"/>
  <c r="B1839" i="12"/>
  <c r="B1831" i="12"/>
  <c r="B1823" i="12"/>
  <c r="B1815" i="12"/>
  <c r="B1807" i="12"/>
  <c r="B1799" i="12"/>
  <c r="B1791" i="12"/>
  <c r="B1783" i="12"/>
  <c r="B1775" i="12"/>
  <c r="B1767" i="12"/>
  <c r="B1759" i="12"/>
  <c r="B1751" i="12"/>
  <c r="B1743" i="12"/>
  <c r="B1735" i="12"/>
  <c r="B1727" i="12"/>
  <c r="B1719" i="12"/>
  <c r="B1711" i="12"/>
  <c r="B1703" i="12"/>
  <c r="B1695" i="12"/>
  <c r="B1687" i="12"/>
  <c r="B1679" i="12"/>
  <c r="B1671" i="12"/>
  <c r="B1663" i="12"/>
  <c r="B1655" i="12"/>
  <c r="B1647" i="12"/>
  <c r="B1639" i="12"/>
  <c r="B1631" i="12"/>
  <c r="B1623" i="12"/>
  <c r="B1615" i="12"/>
  <c r="B1607" i="12"/>
  <c r="B1599" i="12"/>
  <c r="B1591" i="12"/>
  <c r="B1583" i="12"/>
  <c r="B1575" i="12"/>
  <c r="B1567" i="12"/>
  <c r="B1559" i="12"/>
  <c r="B1551" i="12"/>
  <c r="B1543" i="12"/>
  <c r="B1535" i="12"/>
  <c r="B1527" i="12"/>
  <c r="B1519" i="12"/>
  <c r="B1511" i="12"/>
  <c r="B1503" i="12"/>
  <c r="B1495" i="12"/>
  <c r="B1487" i="12"/>
  <c r="B1479" i="12"/>
  <c r="B1471" i="12"/>
  <c r="B1463" i="12"/>
  <c r="B1455" i="12"/>
  <c r="B1447" i="12"/>
  <c r="B1439" i="12"/>
  <c r="B1431" i="12"/>
  <c r="B1423" i="12"/>
  <c r="B1415" i="12"/>
  <c r="B1407" i="12"/>
  <c r="B1399" i="12"/>
  <c r="B1391" i="12"/>
  <c r="B1383" i="12"/>
  <c r="B1375" i="12"/>
  <c r="B1367" i="12"/>
  <c r="B1359" i="12"/>
  <c r="B1351" i="12"/>
  <c r="B1343" i="12"/>
  <c r="B1335" i="12"/>
  <c r="B1327" i="12"/>
  <c r="B1319" i="12"/>
  <c r="B1311" i="12"/>
  <c r="B1303" i="12"/>
  <c r="B1295" i="12"/>
  <c r="B1287" i="12"/>
  <c r="B1279" i="12"/>
  <c r="B1271" i="12"/>
  <c r="B1263" i="12"/>
  <c r="B1255" i="12"/>
  <c r="B1247" i="12"/>
  <c r="B1239" i="12"/>
  <c r="B1231" i="12"/>
  <c r="B1223" i="12"/>
  <c r="B1215" i="12"/>
  <c r="B1207" i="12"/>
  <c r="B1199" i="12"/>
  <c r="B1191" i="12"/>
  <c r="B1183" i="12"/>
  <c r="B1175" i="12"/>
  <c r="B1167" i="12"/>
  <c r="B1159" i="12"/>
  <c r="B2198" i="12"/>
  <c r="B2190" i="12"/>
  <c r="B2182" i="12"/>
  <c r="B2174" i="12"/>
  <c r="B2166" i="12"/>
  <c r="B2158" i="12"/>
  <c r="B2150" i="12"/>
  <c r="B2142" i="12"/>
  <c r="B2134" i="12"/>
  <c r="B2126" i="12"/>
  <c r="B2118" i="12"/>
  <c r="B2110" i="12"/>
  <c r="B2102" i="12"/>
  <c r="B2094" i="12"/>
  <c r="B2086" i="12"/>
  <c r="B2078" i="12"/>
  <c r="B2070" i="12"/>
  <c r="B2062" i="12"/>
  <c r="B2054" i="12"/>
  <c r="B2046" i="12"/>
  <c r="B2038" i="12"/>
  <c r="B2030" i="12"/>
  <c r="B2022" i="12"/>
  <c r="B2014" i="12"/>
  <c r="B2006" i="12"/>
  <c r="B1998" i="12"/>
  <c r="B1990" i="12"/>
  <c r="B1982" i="12"/>
  <c r="B1974" i="12"/>
  <c r="B1966" i="12"/>
  <c r="B1958" i="12"/>
  <c r="B1950" i="12"/>
  <c r="B1942" i="12"/>
  <c r="B1934" i="12"/>
  <c r="B1926" i="12"/>
  <c r="B1918" i="12"/>
  <c r="B1910" i="12"/>
  <c r="B1902" i="12"/>
  <c r="B1894" i="12"/>
  <c r="B1886" i="12"/>
  <c r="B1878" i="12"/>
  <c r="B1870" i="12"/>
  <c r="B1862" i="12"/>
  <c r="B1854" i="12"/>
  <c r="B1846" i="12"/>
  <c r="B1838" i="12"/>
  <c r="B1830" i="12"/>
  <c r="B1822" i="12"/>
  <c r="B1814" i="12"/>
  <c r="B1806" i="12"/>
  <c r="B1798" i="12"/>
  <c r="B1790" i="12"/>
  <c r="B1782" i="12"/>
  <c r="B1774" i="12"/>
  <c r="B1766" i="12"/>
  <c r="B1758" i="12"/>
  <c r="B1750" i="12"/>
  <c r="B1742" i="12"/>
  <c r="B1734" i="12"/>
  <c r="B1726" i="12"/>
  <c r="B1718" i="12"/>
  <c r="B1710" i="12"/>
  <c r="B1702" i="12"/>
  <c r="B1694" i="12"/>
  <c r="B1686" i="12"/>
  <c r="B1678" i="12"/>
  <c r="B1670" i="12"/>
  <c r="B1662" i="12"/>
  <c r="B1654" i="12"/>
  <c r="B1646" i="12"/>
  <c r="B1638" i="12"/>
  <c r="B1630" i="12"/>
  <c r="B1622" i="12"/>
  <c r="B1614" i="12"/>
  <c r="B1606" i="12"/>
  <c r="B1598" i="12"/>
  <c r="B1590" i="12"/>
  <c r="B1582" i="12"/>
  <c r="B1574" i="12"/>
  <c r="B1566" i="12"/>
  <c r="B1558" i="12"/>
  <c r="B1550" i="12"/>
  <c r="B1542" i="12"/>
  <c r="B1534" i="12"/>
  <c r="B1526" i="12"/>
  <c r="B1518" i="12"/>
  <c r="B1510" i="12"/>
  <c r="B1502" i="12"/>
  <c r="B1494" i="12"/>
  <c r="B1486" i="12"/>
  <c r="B1478" i="12"/>
  <c r="B1470" i="12"/>
  <c r="B1462" i="12"/>
  <c r="B1454" i="12"/>
  <c r="B1446" i="12"/>
  <c r="B1438" i="12"/>
  <c r="B1430" i="12"/>
  <c r="B1422" i="12"/>
  <c r="B1414" i="12"/>
  <c r="B1406" i="12"/>
  <c r="B1398" i="12"/>
  <c r="B1390" i="12"/>
  <c r="B1382" i="12"/>
  <c r="B1374" i="12"/>
  <c r="B1366" i="12"/>
  <c r="B1358" i="12"/>
  <c r="B1350" i="12"/>
  <c r="B1342" i="12"/>
  <c r="B1334" i="12"/>
  <c r="B1326" i="12"/>
  <c r="B1318" i="12"/>
  <c r="B1310" i="12"/>
  <c r="B1302" i="12"/>
  <c r="B1294" i="12"/>
  <c r="B1286" i="12"/>
  <c r="B1278" i="12"/>
  <c r="B1270" i="12"/>
  <c r="B1262" i="12"/>
  <c r="B1254" i="12"/>
  <c r="B1246" i="12"/>
  <c r="B1238" i="12"/>
  <c r="B1230" i="12"/>
  <c r="B1222" i="12"/>
  <c r="B1214" i="12"/>
  <c r="B1206" i="12"/>
  <c r="B2197" i="12"/>
  <c r="B2189" i="12"/>
  <c r="B2181" i="12"/>
  <c r="B2173" i="12"/>
  <c r="B2165" i="12"/>
  <c r="B2157" i="12"/>
  <c r="B2149" i="12"/>
  <c r="B2141" i="12"/>
  <c r="B2133" i="12"/>
  <c r="B2125" i="12"/>
  <c r="B2117" i="12"/>
  <c r="B2109" i="12"/>
  <c r="B2101" i="12"/>
  <c r="B2093" i="12"/>
  <c r="B2085" i="12"/>
  <c r="B2077" i="12"/>
  <c r="B2069" i="12"/>
  <c r="B2061" i="12"/>
  <c r="B2053" i="12"/>
  <c r="B2045" i="12"/>
  <c r="B2037" i="12"/>
  <c r="B2029" i="12"/>
  <c r="B2021" i="12"/>
  <c r="B2013" i="12"/>
  <c r="B2005" i="12"/>
  <c r="B1997" i="12"/>
  <c r="B1989" i="12"/>
  <c r="B1981" i="12"/>
  <c r="B2196" i="12"/>
  <c r="B2188" i="12"/>
  <c r="B2180" i="12"/>
  <c r="B2172" i="12"/>
  <c r="B2164" i="12"/>
  <c r="B2156" i="12"/>
  <c r="B2148" i="12"/>
  <c r="B2140" i="12"/>
  <c r="B2132" i="12"/>
  <c r="B2124" i="12"/>
  <c r="B2116" i="12"/>
  <c r="B2108" i="12"/>
  <c r="B2100" i="12"/>
  <c r="B2092" i="12"/>
  <c r="B2084" i="12"/>
  <c r="B2076" i="12"/>
  <c r="B2068" i="12"/>
  <c r="B2060" i="12"/>
  <c r="B2052" i="12"/>
  <c r="B2044" i="12"/>
  <c r="B2036" i="12"/>
  <c r="B2028" i="12"/>
  <c r="B2020" i="12"/>
  <c r="B2012" i="12"/>
  <c r="B2004" i="12"/>
  <c r="B1996" i="12"/>
  <c r="B1988" i="12"/>
  <c r="B1980" i="12"/>
  <c r="B1972" i="12"/>
  <c r="B1964" i="12"/>
  <c r="B1956" i="12"/>
  <c r="B1948" i="12"/>
  <c r="B1940" i="12"/>
  <c r="B1932" i="12"/>
  <c r="B1924" i="12"/>
  <c r="B1916" i="12"/>
  <c r="B1908" i="12"/>
  <c r="B1900" i="12"/>
  <c r="B1892" i="12"/>
  <c r="B1884" i="12"/>
  <c r="B1876" i="12"/>
  <c r="B1868" i="12"/>
  <c r="B1860" i="12"/>
  <c r="B1852" i="12"/>
  <c r="B1844" i="12"/>
  <c r="B1836" i="12"/>
  <c r="B1828" i="12"/>
  <c r="B1820" i="12"/>
  <c r="B1812" i="12"/>
  <c r="B1804" i="12"/>
  <c r="B1796" i="12"/>
  <c r="B1788" i="12"/>
  <c r="B1780" i="12"/>
  <c r="B1772" i="12"/>
  <c r="B1764" i="12"/>
  <c r="B1756" i="12"/>
  <c r="B1748" i="12"/>
  <c r="B1740" i="12"/>
  <c r="B1732" i="12"/>
  <c r="B1724" i="12"/>
  <c r="B1716" i="12"/>
  <c r="B1708" i="12"/>
  <c r="B1700" i="12"/>
  <c r="B1692" i="12"/>
  <c r="B1684" i="12"/>
  <c r="B1676" i="12"/>
  <c r="B1668" i="12"/>
  <c r="B1660" i="12"/>
  <c r="B1652" i="12"/>
  <c r="B1644" i="12"/>
  <c r="B1636" i="12"/>
  <c r="B1628" i="12"/>
  <c r="B1620" i="12"/>
  <c r="B1612" i="12"/>
  <c r="B1604" i="12"/>
  <c r="B1596" i="12"/>
  <c r="B1588" i="12"/>
  <c r="B1580" i="12"/>
  <c r="B1572" i="12"/>
  <c r="B1564" i="12"/>
  <c r="B1556" i="12"/>
  <c r="B1548" i="12"/>
  <c r="B1540" i="12"/>
  <c r="B1532" i="12"/>
  <c r="B1524" i="12"/>
  <c r="B1516" i="12"/>
  <c r="B1508" i="12"/>
  <c r="B1500" i="12"/>
  <c r="B1492" i="12"/>
  <c r="B1484" i="12"/>
  <c r="B1476" i="12"/>
  <c r="B1468" i="12"/>
  <c r="B1460" i="12"/>
  <c r="B1452" i="12"/>
  <c r="B1444" i="12"/>
  <c r="B1436" i="12"/>
  <c r="B1428" i="12"/>
  <c r="B1420" i="12"/>
  <c r="B1412" i="12"/>
  <c r="B1404" i="12"/>
  <c r="B1396" i="12"/>
  <c r="B1388" i="12"/>
  <c r="B1380" i="12"/>
  <c r="B1372" i="12"/>
  <c r="B1364" i="12"/>
  <c r="B1356" i="12"/>
  <c r="B1348" i="12"/>
  <c r="B1340" i="12"/>
  <c r="B1332" i="12"/>
  <c r="B1324" i="12"/>
  <c r="B1316" i="12"/>
  <c r="B1308" i="12"/>
  <c r="B1300" i="12"/>
  <c r="B1292" i="12"/>
  <c r="B1284" i="12"/>
  <c r="B1276" i="12"/>
  <c r="B2195" i="12"/>
  <c r="B2187" i="12"/>
  <c r="B2179" i="12"/>
  <c r="B2171" i="12"/>
  <c r="B2163" i="12"/>
  <c r="B2155" i="12"/>
  <c r="B2147" i="12"/>
  <c r="B2139" i="12"/>
  <c r="B2131" i="12"/>
  <c r="B2123" i="12"/>
  <c r="B2115" i="12"/>
  <c r="B2107" i="12"/>
  <c r="B2099" i="12"/>
  <c r="B2091" i="12"/>
  <c r="B2083" i="12"/>
  <c r="B2075" i="12"/>
  <c r="B2067" i="12"/>
  <c r="B2059" i="12"/>
  <c r="B2051" i="12"/>
  <c r="B2043" i="12"/>
  <c r="B2035" i="12"/>
  <c r="B2027" i="12"/>
  <c r="B2019" i="12"/>
  <c r="B2011" i="12"/>
  <c r="B2003" i="12"/>
  <c r="B1995" i="12"/>
  <c r="B1987" i="12"/>
  <c r="B1979" i="12"/>
  <c r="B1971" i="12"/>
  <c r="B1963" i="12"/>
  <c r="B1955" i="12"/>
  <c r="B1947" i="12"/>
  <c r="B1939" i="12"/>
  <c r="B1931" i="12"/>
  <c r="B1923" i="12"/>
  <c r="B1915" i="12"/>
  <c r="B1907" i="12"/>
  <c r="B1899" i="12"/>
  <c r="B1891" i="12"/>
  <c r="B1883" i="12"/>
  <c r="B1875" i="12"/>
  <c r="B1867" i="12"/>
  <c r="B1859" i="12"/>
  <c r="B1851" i="12"/>
  <c r="B1843" i="12"/>
  <c r="B1835" i="12"/>
  <c r="B1827" i="12"/>
  <c r="B1819" i="12"/>
  <c r="B1811" i="12"/>
  <c r="B1803" i="12"/>
  <c r="B1795" i="12"/>
  <c r="B1787" i="12"/>
  <c r="B1779" i="12"/>
  <c r="B1771" i="12"/>
  <c r="B1763" i="12"/>
  <c r="B1755" i="12"/>
  <c r="B1747" i="12"/>
  <c r="B1739" i="12"/>
  <c r="B1731" i="12"/>
  <c r="B1723" i="12"/>
  <c r="B1715" i="12"/>
  <c r="B1707" i="12"/>
  <c r="B1699" i="12"/>
  <c r="B1691" i="12"/>
  <c r="B1683" i="12"/>
  <c r="B1675" i="12"/>
  <c r="B1667" i="12"/>
  <c r="B1659" i="12"/>
  <c r="B1651" i="12"/>
  <c r="B1643" i="12"/>
  <c r="B1635" i="12"/>
  <c r="B1627" i="12"/>
  <c r="B1619" i="12"/>
  <c r="B1611" i="12"/>
  <c r="B1603" i="12"/>
  <c r="B1595" i="12"/>
  <c r="B1587" i="12"/>
  <c r="B1579" i="12"/>
  <c r="B1571" i="12"/>
  <c r="B1563" i="12"/>
  <c r="B1555" i="12"/>
  <c r="B1547" i="12"/>
  <c r="B1539" i="12"/>
  <c r="B1531" i="12"/>
  <c r="B1523" i="12"/>
  <c r="B1515" i="12"/>
  <c r="B1507" i="12"/>
  <c r="B1499" i="12"/>
  <c r="B1491" i="12"/>
  <c r="B1483" i="12"/>
  <c r="B1475" i="12"/>
  <c r="B1467" i="12"/>
  <c r="B1459" i="12"/>
  <c r="B1451" i="12"/>
  <c r="B1443" i="12"/>
  <c r="B1435" i="12"/>
  <c r="B1427" i="12"/>
  <c r="B1419" i="12"/>
  <c r="B1411" i="12"/>
  <c r="B1403" i="12"/>
  <c r="B1395" i="12"/>
  <c r="B1387" i="12"/>
  <c r="B1379" i="12"/>
  <c r="B1371" i="12"/>
  <c r="B1363" i="12"/>
  <c r="B1355" i="12"/>
  <c r="B1347" i="12"/>
  <c r="B1339" i="12"/>
  <c r="B1331" i="12"/>
  <c r="B1323" i="12"/>
  <c r="B1315" i="12"/>
  <c r="B1307" i="12"/>
  <c r="B1299" i="12"/>
  <c r="B1291" i="12"/>
  <c r="B1283" i="12"/>
  <c r="B1275" i="12"/>
  <c r="B1267" i="12"/>
  <c r="B1259" i="12"/>
  <c r="B1251" i="12"/>
  <c r="B1243" i="12"/>
  <c r="B1235" i="12"/>
  <c r="B1227" i="12"/>
  <c r="B1219" i="12"/>
  <c r="B1211" i="12"/>
  <c r="B1203" i="12"/>
  <c r="B1195" i="12"/>
  <c r="B1187" i="12"/>
  <c r="B1179" i="12"/>
  <c r="B1171" i="12"/>
  <c r="B2146" i="12"/>
  <c r="B2082" i="12"/>
  <c r="B2018" i="12"/>
  <c r="B1965" i="12"/>
  <c r="B1933" i="12"/>
  <c r="B1901" i="12"/>
  <c r="B1869" i="12"/>
  <c r="B1837" i="12"/>
  <c r="B1805" i="12"/>
  <c r="B1773" i="12"/>
  <c r="B1741" i="12"/>
  <c r="B1709" i="12"/>
  <c r="B1677" i="12"/>
  <c r="B1645" i="12"/>
  <c r="B1613" i="12"/>
  <c r="B1581" i="12"/>
  <c r="B1549" i="12"/>
  <c r="B1517" i="12"/>
  <c r="B1485" i="12"/>
  <c r="B1453" i="12"/>
  <c r="B1421" i="12"/>
  <c r="B1389" i="12"/>
  <c r="B1357" i="12"/>
  <c r="B1325" i="12"/>
  <c r="B1293" i="12"/>
  <c r="B1266" i="12"/>
  <c r="B1245" i="12"/>
  <c r="B1229" i="12"/>
  <c r="B1213" i="12"/>
  <c r="B1198" i="12"/>
  <c r="B1186" i="12"/>
  <c r="B1173" i="12"/>
  <c r="B1162" i="12"/>
  <c r="B1153" i="12"/>
  <c r="B1145" i="12"/>
  <c r="B1137" i="12"/>
  <c r="B1129" i="12"/>
  <c r="B1121" i="12"/>
  <c r="B1113" i="12"/>
  <c r="B1105" i="12"/>
  <c r="B1097" i="12"/>
  <c r="B1089" i="12"/>
  <c r="B1081" i="12"/>
  <c r="B1073" i="12"/>
  <c r="B1065" i="12"/>
  <c r="B1057" i="12"/>
  <c r="B1049" i="12"/>
  <c r="B1041" i="12"/>
  <c r="B1033" i="12"/>
  <c r="B1025" i="12"/>
  <c r="B1017" i="12"/>
  <c r="B1009" i="12"/>
  <c r="B1001" i="12"/>
  <c r="B993" i="12"/>
  <c r="B985" i="12"/>
  <c r="B977" i="12"/>
  <c r="B969" i="12"/>
  <c r="B961" i="12"/>
  <c r="B953" i="12"/>
  <c r="B945" i="12"/>
  <c r="B937" i="12"/>
  <c r="B929" i="12"/>
  <c r="B921" i="12"/>
  <c r="B913" i="12"/>
  <c r="B905" i="12"/>
  <c r="B897" i="12"/>
  <c r="B889" i="12"/>
  <c r="B881" i="12"/>
  <c r="B873" i="12"/>
  <c r="B865" i="12"/>
  <c r="B857" i="12"/>
  <c r="B849" i="12"/>
  <c r="B841" i="12"/>
  <c r="B833" i="12"/>
  <c r="B825" i="12"/>
  <c r="B817" i="12"/>
  <c r="B809" i="12"/>
  <c r="B801" i="12"/>
  <c r="B793" i="12"/>
  <c r="B785" i="12"/>
  <c r="B777" i="12"/>
  <c r="B769" i="12"/>
  <c r="B761" i="12"/>
  <c r="B753" i="12"/>
  <c r="B745" i="12"/>
  <c r="B737" i="12"/>
  <c r="B729" i="12"/>
  <c r="B721" i="12"/>
  <c r="B713" i="12"/>
  <c r="B705" i="12"/>
  <c r="B697" i="12"/>
  <c r="B689" i="12"/>
  <c r="B681" i="12"/>
  <c r="B673" i="12"/>
  <c r="B665" i="12"/>
  <c r="B657" i="12"/>
  <c r="B649" i="12"/>
  <c r="B641" i="12"/>
  <c r="B633" i="12"/>
  <c r="B625" i="12"/>
  <c r="B617" i="12"/>
  <c r="B609" i="12"/>
  <c r="B601" i="12"/>
  <c r="B593" i="12"/>
  <c r="B585" i="12"/>
  <c r="B577" i="12"/>
  <c r="B569" i="12"/>
  <c r="B561" i="12"/>
  <c r="B553" i="12"/>
  <c r="B545" i="12"/>
  <c r="B537" i="12"/>
  <c r="B529" i="12"/>
  <c r="B521" i="12"/>
  <c r="B513" i="12"/>
  <c r="B505" i="12"/>
  <c r="B497" i="12"/>
  <c r="B489" i="12"/>
  <c r="B481" i="12"/>
  <c r="B473" i="12"/>
  <c r="B465" i="12"/>
  <c r="B457" i="12"/>
  <c r="B449" i="12"/>
  <c r="B441" i="12"/>
  <c r="B433" i="12"/>
  <c r="B425" i="12"/>
  <c r="B417" i="12"/>
  <c r="B409" i="12"/>
  <c r="B401" i="12"/>
  <c r="B393" i="12"/>
  <c r="B385" i="12"/>
  <c r="B377" i="12"/>
  <c r="B369" i="12"/>
  <c r="B361" i="12"/>
  <c r="B353" i="12"/>
  <c r="B345" i="12"/>
  <c r="B337" i="12"/>
  <c r="B329" i="12"/>
  <c r="B321" i="12"/>
  <c r="B313" i="12"/>
  <c r="B305" i="12"/>
  <c r="B297" i="12"/>
  <c r="B289" i="12"/>
  <c r="B281" i="12"/>
  <c r="B273" i="12"/>
  <c r="B265" i="12"/>
  <c r="B257" i="12"/>
  <c r="B249" i="12"/>
  <c r="B241" i="12"/>
  <c r="B233" i="12"/>
  <c r="B225" i="12"/>
  <c r="B217" i="12"/>
  <c r="B209" i="12"/>
  <c r="B201" i="12"/>
  <c r="B193" i="12"/>
  <c r="B185" i="12"/>
  <c r="B177" i="12"/>
  <c r="B169" i="12"/>
  <c r="B161" i="12"/>
  <c r="B153" i="12"/>
  <c r="B145" i="12"/>
  <c r="B137" i="12"/>
  <c r="B129" i="12"/>
  <c r="B121" i="12"/>
  <c r="B113" i="12"/>
  <c r="B105" i="12"/>
  <c r="B97" i="12"/>
  <c r="B89" i="12"/>
  <c r="B81" i="12"/>
  <c r="B73" i="12"/>
  <c r="B65" i="12"/>
  <c r="B57" i="12"/>
  <c r="B49" i="12"/>
  <c r="B41" i="12"/>
  <c r="B33" i="12"/>
  <c r="B25" i="12"/>
  <c r="B17" i="12"/>
  <c r="B9" i="12"/>
  <c r="B2" i="12"/>
  <c r="B2194" i="12"/>
  <c r="B2130" i="12"/>
  <c r="B2066" i="12"/>
  <c r="B2002" i="12"/>
  <c r="B1957" i="12"/>
  <c r="B1925" i="12"/>
  <c r="B1893" i="12"/>
  <c r="B1861" i="12"/>
  <c r="B1829" i="12"/>
  <c r="B1797" i="12"/>
  <c r="B1765" i="12"/>
  <c r="B1733" i="12"/>
  <c r="B1701" i="12"/>
  <c r="B1669" i="12"/>
  <c r="B1637" i="12"/>
  <c r="B1605" i="12"/>
  <c r="B1573" i="12"/>
  <c r="B1541" i="12"/>
  <c r="B1509" i="12"/>
  <c r="B1477" i="12"/>
  <c r="B1445" i="12"/>
  <c r="B1413" i="12"/>
  <c r="B1381" i="12"/>
  <c r="B1349" i="12"/>
  <c r="B1317" i="12"/>
  <c r="B1285" i="12"/>
  <c r="B1260" i="12"/>
  <c r="B1242" i="12"/>
  <c r="B1226" i="12"/>
  <c r="B1210" i="12"/>
  <c r="B1196" i="12"/>
  <c r="B1182" i="12"/>
  <c r="B1170" i="12"/>
  <c r="B1160" i="12"/>
  <c r="B1151" i="12"/>
  <c r="B1143" i="12"/>
  <c r="B1135" i="12"/>
  <c r="B1127" i="12"/>
  <c r="B1119" i="12"/>
  <c r="B1111" i="12"/>
  <c r="B1103" i="12"/>
  <c r="B1095" i="12"/>
  <c r="B1087" i="12"/>
  <c r="B1079" i="12"/>
  <c r="B1071" i="12"/>
  <c r="B1063" i="12"/>
  <c r="B1055" i="12"/>
  <c r="B1047" i="12"/>
  <c r="B1039" i="12"/>
  <c r="B1031" i="12"/>
  <c r="B1023" i="12"/>
  <c r="B1015" i="12"/>
  <c r="B1007" i="12"/>
  <c r="B999" i="12"/>
  <c r="B991" i="12"/>
  <c r="B983" i="12"/>
  <c r="B975" i="12"/>
  <c r="B967" i="12"/>
  <c r="B959" i="12"/>
  <c r="B951" i="12"/>
  <c r="B943" i="12"/>
  <c r="B935" i="12"/>
  <c r="B927" i="12"/>
  <c r="B919" i="12"/>
  <c r="B911" i="12"/>
  <c r="B903" i="12"/>
  <c r="B895" i="12"/>
  <c r="B887" i="12"/>
  <c r="B879" i="12"/>
  <c r="B871" i="12"/>
  <c r="B863" i="12"/>
  <c r="B855" i="12"/>
  <c r="B847" i="12"/>
  <c r="B839" i="12"/>
  <c r="B831" i="12"/>
  <c r="B823" i="12"/>
  <c r="B815" i="12"/>
  <c r="B807" i="12"/>
  <c r="B799" i="12"/>
  <c r="B791" i="12"/>
  <c r="B783" i="12"/>
  <c r="B775" i="12"/>
  <c r="B767" i="12"/>
  <c r="B759" i="12"/>
  <c r="B751" i="12"/>
  <c r="B743" i="12"/>
  <c r="B735" i="12"/>
  <c r="B727" i="12"/>
  <c r="B719" i="12"/>
  <c r="B711" i="12"/>
  <c r="B703" i="12"/>
  <c r="B695" i="12"/>
  <c r="B687" i="12"/>
  <c r="B679" i="12"/>
  <c r="B671" i="12"/>
  <c r="B663" i="12"/>
  <c r="B655" i="12"/>
  <c r="B647" i="12"/>
  <c r="B639" i="12"/>
  <c r="B631" i="12"/>
  <c r="B623" i="12"/>
  <c r="B615" i="12"/>
  <c r="B607" i="12"/>
  <c r="B599" i="12"/>
  <c r="B591" i="12"/>
  <c r="B583" i="12"/>
  <c r="B575" i="12"/>
  <c r="B567" i="12"/>
  <c r="B559" i="12"/>
  <c r="B551" i="12"/>
  <c r="B543" i="12"/>
  <c r="B535" i="12"/>
  <c r="B527" i="12"/>
  <c r="B519" i="12"/>
  <c r="B511" i="12"/>
  <c r="B503" i="12"/>
  <c r="B495" i="12"/>
  <c r="B487" i="12"/>
  <c r="B479" i="12"/>
  <c r="B471" i="12"/>
  <c r="B463" i="12"/>
  <c r="B455" i="12"/>
  <c r="B447" i="12"/>
  <c r="B439" i="12"/>
  <c r="B431" i="12"/>
  <c r="B423" i="12"/>
  <c r="B415" i="12"/>
  <c r="B407" i="12"/>
  <c r="B399" i="12"/>
  <c r="B391" i="12"/>
  <c r="B383" i="12"/>
  <c r="B375" i="12"/>
  <c r="B367" i="12"/>
  <c r="B359" i="12"/>
  <c r="B351" i="12"/>
  <c r="B343" i="12"/>
  <c r="B335" i="12"/>
  <c r="B327" i="12"/>
  <c r="B319" i="12"/>
  <c r="B311" i="12"/>
  <c r="B303" i="12"/>
  <c r="B295" i="12"/>
  <c r="B287" i="12"/>
  <c r="B279" i="12"/>
  <c r="B271" i="12"/>
  <c r="B263" i="12"/>
  <c r="B255" i="12"/>
  <c r="B247" i="12"/>
  <c r="B239" i="12"/>
  <c r="B231" i="12"/>
  <c r="B223" i="12"/>
  <c r="B215" i="12"/>
  <c r="B207" i="12"/>
  <c r="B199" i="12"/>
  <c r="B191" i="12"/>
  <c r="B183" i="12"/>
  <c r="B175" i="12"/>
  <c r="B167" i="12"/>
  <c r="B159" i="12"/>
  <c r="B151" i="12"/>
  <c r="B143" i="12"/>
  <c r="B135" i="12"/>
  <c r="B127" i="12"/>
  <c r="B119" i="12"/>
  <c r="B111" i="12"/>
  <c r="B103" i="12"/>
  <c r="B95" i="12"/>
  <c r="B87" i="12"/>
  <c r="B79" i="12"/>
  <c r="B71" i="12"/>
  <c r="B63" i="12"/>
  <c r="B55" i="12"/>
  <c r="B47" i="12"/>
  <c r="B39" i="12"/>
  <c r="B31" i="12"/>
  <c r="B23" i="12"/>
  <c r="B15" i="12"/>
  <c r="B7" i="12"/>
  <c r="B2186" i="12"/>
  <c r="B2122" i="12"/>
  <c r="B2058" i="12"/>
  <c r="B1994" i="12"/>
  <c r="B1954" i="12"/>
  <c r="B1922" i="12"/>
  <c r="B1890" i="12"/>
  <c r="B1858" i="12"/>
  <c r="B1826" i="12"/>
  <c r="B1794" i="12"/>
  <c r="B1762" i="12"/>
  <c r="B1730" i="12"/>
  <c r="B1698" i="12"/>
  <c r="B1666" i="12"/>
  <c r="B1634" i="12"/>
  <c r="B1602" i="12"/>
  <c r="B1570" i="12"/>
  <c r="B1538" i="12"/>
  <c r="B1506" i="12"/>
  <c r="B1474" i="12"/>
  <c r="B1442" i="12"/>
  <c r="B1410" i="12"/>
  <c r="B1378" i="12"/>
  <c r="B1346" i="12"/>
  <c r="B1314" i="12"/>
  <c r="B1282" i="12"/>
  <c r="B1258" i="12"/>
  <c r="B1240" i="12"/>
  <c r="B1224" i="12"/>
  <c r="B1208" i="12"/>
  <c r="B1194" i="12"/>
  <c r="B1181" i="12"/>
  <c r="B1168" i="12"/>
  <c r="B1158" i="12"/>
  <c r="B1150" i="12"/>
  <c r="B1142" i="12"/>
  <c r="B1134" i="12"/>
  <c r="B1126" i="12"/>
  <c r="B1118" i="12"/>
  <c r="B1110" i="12"/>
  <c r="B1102" i="12"/>
  <c r="B1094" i="12"/>
  <c r="B1086" i="12"/>
  <c r="B1078" i="12"/>
  <c r="B1070" i="12"/>
  <c r="B1062" i="12"/>
  <c r="B1054" i="12"/>
  <c r="B1046" i="12"/>
  <c r="B1038" i="12"/>
  <c r="B1030" i="12"/>
  <c r="B1022" i="12"/>
  <c r="B1014" i="12"/>
  <c r="B1006" i="12"/>
  <c r="B998" i="12"/>
  <c r="B990" i="12"/>
  <c r="B982" i="12"/>
  <c r="B974" i="12"/>
  <c r="B966" i="12"/>
  <c r="B958" i="12"/>
  <c r="B950" i="12"/>
  <c r="B942" i="12"/>
  <c r="B934" i="12"/>
  <c r="B926" i="12"/>
  <c r="B918" i="12"/>
  <c r="B910" i="12"/>
  <c r="B902" i="12"/>
  <c r="B894" i="12"/>
  <c r="B886" i="12"/>
  <c r="B878" i="12"/>
  <c r="B870" i="12"/>
  <c r="B862" i="12"/>
  <c r="B854" i="12"/>
  <c r="B846" i="12"/>
  <c r="B838" i="12"/>
  <c r="B830" i="12"/>
  <c r="B822" i="12"/>
  <c r="B814" i="12"/>
  <c r="B806" i="12"/>
  <c r="B798" i="12"/>
  <c r="B790" i="12"/>
  <c r="B782" i="12"/>
  <c r="B774" i="12"/>
  <c r="B766" i="12"/>
  <c r="B758" i="12"/>
  <c r="B750" i="12"/>
  <c r="B742" i="12"/>
  <c r="B734" i="12"/>
  <c r="B726" i="12"/>
  <c r="B718" i="12"/>
  <c r="B710" i="12"/>
  <c r="B702" i="12"/>
  <c r="B694" i="12"/>
  <c r="B686" i="12"/>
  <c r="B678" i="12"/>
  <c r="B670" i="12"/>
  <c r="B662" i="12"/>
  <c r="B654" i="12"/>
  <c r="B646" i="12"/>
  <c r="B638" i="12"/>
  <c r="B630" i="12"/>
  <c r="B622" i="12"/>
  <c r="B614" i="12"/>
  <c r="B606" i="12"/>
  <c r="B598" i="12"/>
  <c r="B590" i="12"/>
  <c r="B582" i="12"/>
  <c r="B574" i="12"/>
  <c r="B566" i="12"/>
  <c r="B558" i="12"/>
  <c r="B550" i="12"/>
  <c r="B542" i="12"/>
  <c r="B534" i="12"/>
  <c r="B526" i="12"/>
  <c r="B518" i="12"/>
  <c r="B510" i="12"/>
  <c r="B502" i="12"/>
  <c r="B494" i="12"/>
  <c r="B486" i="12"/>
  <c r="B478" i="12"/>
  <c r="B470" i="12"/>
  <c r="B462" i="12"/>
  <c r="B454" i="12"/>
  <c r="B446" i="12"/>
  <c r="B438" i="12"/>
  <c r="B430" i="12"/>
  <c r="B422" i="12"/>
  <c r="B414" i="12"/>
  <c r="B406" i="12"/>
  <c r="B398" i="12"/>
  <c r="B390" i="12"/>
  <c r="B382" i="12"/>
  <c r="B374" i="12"/>
  <c r="B366" i="12"/>
  <c r="B358" i="12"/>
  <c r="B350" i="12"/>
  <c r="B342" i="12"/>
  <c r="B334" i="12"/>
  <c r="B326" i="12"/>
  <c r="B318" i="12"/>
  <c r="B310" i="12"/>
  <c r="B302" i="12"/>
  <c r="B294" i="12"/>
  <c r="B286" i="12"/>
  <c r="B278" i="12"/>
  <c r="B270" i="12"/>
  <c r="B262" i="12"/>
  <c r="B254" i="12"/>
  <c r="B246" i="12"/>
  <c r="B238" i="12"/>
  <c r="B230" i="12"/>
  <c r="B222" i="12"/>
  <c r="B214" i="12"/>
  <c r="B206" i="12"/>
  <c r="B198" i="12"/>
  <c r="B190" i="12"/>
  <c r="B182" i="12"/>
  <c r="B174" i="12"/>
  <c r="B166" i="12"/>
  <c r="B158" i="12"/>
  <c r="B150" i="12"/>
  <c r="B142" i="12"/>
  <c r="B134" i="12"/>
  <c r="B126" i="12"/>
  <c r="B118" i="12"/>
  <c r="B110" i="12"/>
  <c r="B102" i="12"/>
  <c r="B94" i="12"/>
  <c r="B86" i="12"/>
  <c r="B78" i="12"/>
  <c r="B70" i="12"/>
  <c r="B62" i="12"/>
  <c r="B54" i="12"/>
  <c r="B46" i="12"/>
  <c r="B38" i="12"/>
  <c r="B30" i="12"/>
  <c r="B22" i="12"/>
  <c r="B14" i="12"/>
  <c r="B6" i="12"/>
  <c r="B2178" i="12"/>
  <c r="B2114" i="12"/>
  <c r="B2050" i="12"/>
  <c r="B1986" i="12"/>
  <c r="B1949" i="12"/>
  <c r="B1917" i="12"/>
  <c r="B1885" i="12"/>
  <c r="B1853" i="12"/>
  <c r="B1821" i="12"/>
  <c r="B1789" i="12"/>
  <c r="B1757" i="12"/>
  <c r="B1725" i="12"/>
  <c r="B1693" i="12"/>
  <c r="B1661" i="12"/>
  <c r="B1629" i="12"/>
  <c r="B1597" i="12"/>
  <c r="B1565" i="12"/>
  <c r="B1533" i="12"/>
  <c r="B1501" i="12"/>
  <c r="B1469" i="12"/>
  <c r="B1437" i="12"/>
  <c r="B1405" i="12"/>
  <c r="B1373" i="12"/>
  <c r="B1341" i="12"/>
  <c r="B1309" i="12"/>
  <c r="B1277" i="12"/>
  <c r="B1253" i="12"/>
  <c r="B1237" i="12"/>
  <c r="B1221" i="12"/>
  <c r="B1205" i="12"/>
  <c r="B1192" i="12"/>
  <c r="B1180" i="12"/>
  <c r="B1166" i="12"/>
  <c r="B1157" i="12"/>
  <c r="B1149" i="12"/>
  <c r="B1141" i="12"/>
  <c r="B1133" i="12"/>
  <c r="B1125" i="12"/>
  <c r="B1117" i="12"/>
  <c r="B1109" i="12"/>
  <c r="B1101" i="12"/>
  <c r="B1093" i="12"/>
  <c r="B1085" i="12"/>
  <c r="B1077" i="12"/>
  <c r="B1069" i="12"/>
  <c r="B1061" i="12"/>
  <c r="B1053" i="12"/>
  <c r="B1045" i="12"/>
  <c r="B1037" i="12"/>
  <c r="B1029" i="12"/>
  <c r="B1021" i="12"/>
  <c r="B1013" i="12"/>
  <c r="B1005" i="12"/>
  <c r="B997" i="12"/>
  <c r="B989" i="12"/>
  <c r="B981" i="12"/>
  <c r="B973" i="12"/>
  <c r="B965" i="12"/>
  <c r="B957" i="12"/>
  <c r="B949" i="12"/>
  <c r="B941" i="12"/>
  <c r="B933" i="12"/>
  <c r="B925" i="12"/>
  <c r="B917" i="12"/>
  <c r="B909" i="12"/>
  <c r="B901" i="12"/>
  <c r="B893" i="12"/>
  <c r="B885" i="12"/>
  <c r="B877" i="12"/>
  <c r="B869" i="12"/>
  <c r="B861" i="12"/>
  <c r="B853" i="12"/>
  <c r="B845" i="12"/>
  <c r="B837" i="12"/>
  <c r="B829" i="12"/>
  <c r="B821" i="12"/>
  <c r="B813" i="12"/>
  <c r="B805" i="12"/>
  <c r="B797" i="12"/>
  <c r="B789" i="12"/>
  <c r="B781" i="12"/>
  <c r="B773" i="12"/>
  <c r="B765" i="12"/>
  <c r="B757" i="12"/>
  <c r="B749" i="12"/>
  <c r="B741" i="12"/>
  <c r="B733" i="12"/>
  <c r="B725" i="12"/>
  <c r="B717" i="12"/>
  <c r="B709" i="12"/>
  <c r="B701" i="12"/>
  <c r="B693" i="12"/>
  <c r="B685" i="12"/>
  <c r="B677" i="12"/>
  <c r="B669" i="12"/>
  <c r="B661" i="12"/>
  <c r="B653" i="12"/>
  <c r="B645" i="12"/>
  <c r="B637" i="12"/>
  <c r="B629" i="12"/>
  <c r="B621" i="12"/>
  <c r="B613" i="12"/>
  <c r="B605" i="12"/>
  <c r="B597" i="12"/>
  <c r="B589" i="12"/>
  <c r="B581" i="12"/>
  <c r="B573" i="12"/>
  <c r="B565" i="12"/>
  <c r="B557" i="12"/>
  <c r="B549" i="12"/>
  <c r="B541" i="12"/>
  <c r="B533" i="12"/>
  <c r="B525" i="12"/>
  <c r="B517" i="12"/>
  <c r="B509" i="12"/>
  <c r="B501" i="12"/>
  <c r="B493" i="12"/>
  <c r="B485" i="12"/>
  <c r="B477" i="12"/>
  <c r="B469" i="12"/>
  <c r="B461" i="12"/>
  <c r="B453" i="12"/>
  <c r="B445" i="12"/>
  <c r="B437" i="12"/>
  <c r="B429" i="12"/>
  <c r="B421" i="12"/>
  <c r="B413" i="12"/>
  <c r="B405" i="12"/>
  <c r="B397" i="12"/>
  <c r="B389" i="12"/>
  <c r="B381" i="12"/>
  <c r="B373" i="12"/>
  <c r="B365" i="12"/>
  <c r="B357" i="12"/>
  <c r="B349" i="12"/>
  <c r="B341" i="12"/>
  <c r="B333" i="12"/>
  <c r="B325" i="12"/>
  <c r="B317" i="12"/>
  <c r="B309" i="12"/>
  <c r="B301" i="12"/>
  <c r="B293" i="12"/>
  <c r="B285" i="12"/>
  <c r="B277" i="12"/>
  <c r="B269" i="12"/>
  <c r="B261" i="12"/>
  <c r="B253" i="12"/>
  <c r="B245" i="12"/>
  <c r="B237" i="12"/>
  <c r="B229" i="12"/>
  <c r="B221" i="12"/>
  <c r="B213" i="12"/>
  <c r="B205" i="12"/>
  <c r="B197" i="12"/>
  <c r="B189" i="12"/>
  <c r="B181" i="12"/>
  <c r="B173" i="12"/>
  <c r="B165" i="12"/>
  <c r="B157" i="12"/>
  <c r="B149" i="12"/>
  <c r="B141" i="12"/>
  <c r="B133" i="12"/>
  <c r="B125" i="12"/>
  <c r="B117" i="12"/>
  <c r="B109" i="12"/>
  <c r="B101" i="12"/>
  <c r="B93" i="12"/>
  <c r="B85" i="12"/>
  <c r="B77" i="12"/>
  <c r="B69" i="12"/>
  <c r="B61" i="12"/>
  <c r="B53" i="12"/>
  <c r="B45" i="12"/>
  <c r="B37" i="12"/>
  <c r="B29" i="12"/>
  <c r="B21" i="12"/>
  <c r="B13" i="12"/>
  <c r="B5" i="12"/>
  <c r="B2170" i="12"/>
  <c r="B2106" i="12"/>
  <c r="B2042" i="12"/>
  <c r="B1978" i="12"/>
  <c r="B1946" i="12"/>
  <c r="B1914" i="12"/>
  <c r="B1882" i="12"/>
  <c r="B1850" i="12"/>
  <c r="B1818" i="12"/>
  <c r="B1786" i="12"/>
  <c r="B1754" i="12"/>
  <c r="B1722" i="12"/>
  <c r="B1690" i="12"/>
  <c r="B1658" i="12"/>
  <c r="B1626" i="12"/>
  <c r="B1594" i="12"/>
  <c r="B1562" i="12"/>
  <c r="B1530" i="12"/>
  <c r="B1498" i="12"/>
  <c r="B1466" i="12"/>
  <c r="B1434" i="12"/>
  <c r="B1402" i="12"/>
  <c r="B1370" i="12"/>
  <c r="B1338" i="12"/>
  <c r="B1306" i="12"/>
  <c r="B1274" i="12"/>
  <c r="B1252" i="12"/>
  <c r="B1236" i="12"/>
  <c r="B1220" i="12"/>
  <c r="B1204" i="12"/>
  <c r="B1190" i="12"/>
  <c r="B1178" i="12"/>
  <c r="B1165" i="12"/>
  <c r="B1156" i="12"/>
  <c r="B1148" i="12"/>
  <c r="B1140" i="12"/>
  <c r="B1132" i="12"/>
  <c r="B1124" i="12"/>
  <c r="B1116" i="12"/>
  <c r="B1108" i="12"/>
  <c r="B1100" i="12"/>
  <c r="B1092" i="12"/>
  <c r="B1084" i="12"/>
  <c r="B1076" i="12"/>
  <c r="B1068" i="12"/>
  <c r="B1060" i="12"/>
  <c r="B1052" i="12"/>
  <c r="B1044" i="12"/>
  <c r="B1036" i="12"/>
  <c r="B1028" i="12"/>
  <c r="B1020" i="12"/>
  <c r="B1012" i="12"/>
  <c r="B1004" i="12"/>
  <c r="B996" i="12"/>
  <c r="B988" i="12"/>
  <c r="B980" i="12"/>
  <c r="B972" i="12"/>
  <c r="B964" i="12"/>
  <c r="B956" i="12"/>
  <c r="B948" i="12"/>
  <c r="B940" i="12"/>
  <c r="B932" i="12"/>
  <c r="B924" i="12"/>
  <c r="B916" i="12"/>
  <c r="B908" i="12"/>
  <c r="B900" i="12"/>
  <c r="B892" i="12"/>
  <c r="B884" i="12"/>
  <c r="B876" i="12"/>
  <c r="B868" i="12"/>
  <c r="B860" i="12"/>
  <c r="B852" i="12"/>
  <c r="B844" i="12"/>
  <c r="B836" i="12"/>
  <c r="B828" i="12"/>
  <c r="B820" i="12"/>
  <c r="B812" i="12"/>
  <c r="B804" i="12"/>
  <c r="B796" i="12"/>
  <c r="B788" i="12"/>
  <c r="B780" i="12"/>
  <c r="B772" i="12"/>
  <c r="B764" i="12"/>
  <c r="B756" i="12"/>
  <c r="B748" i="12"/>
  <c r="B740" i="12"/>
  <c r="B732" i="12"/>
  <c r="B724" i="12"/>
  <c r="B716" i="12"/>
  <c r="B708" i="12"/>
  <c r="B700" i="12"/>
  <c r="B692" i="12"/>
  <c r="B684" i="12"/>
  <c r="B676" i="12"/>
  <c r="B668" i="12"/>
  <c r="B660" i="12"/>
  <c r="B652" i="12"/>
  <c r="B644" i="12"/>
  <c r="B636" i="12"/>
  <c r="B628" i="12"/>
  <c r="B620" i="12"/>
  <c r="B612" i="12"/>
  <c r="B604" i="12"/>
  <c r="B596" i="12"/>
  <c r="B588" i="12"/>
  <c r="B580" i="12"/>
  <c r="B572" i="12"/>
  <c r="B564" i="12"/>
  <c r="B556" i="12"/>
  <c r="B548" i="12"/>
  <c r="B540" i="12"/>
  <c r="B532" i="12"/>
  <c r="B524" i="12"/>
  <c r="B516" i="12"/>
  <c r="B508" i="12"/>
  <c r="B500" i="12"/>
  <c r="B492" i="12"/>
  <c r="B484" i="12"/>
  <c r="B476" i="12"/>
  <c r="B468" i="12"/>
  <c r="B460" i="12"/>
  <c r="B452" i="12"/>
  <c r="B444" i="12"/>
  <c r="B436" i="12"/>
  <c r="B428" i="12"/>
  <c r="B420" i="12"/>
  <c r="B412" i="12"/>
  <c r="B404" i="12"/>
  <c r="B396" i="12"/>
  <c r="B388" i="12"/>
  <c r="B380" i="12"/>
  <c r="B372" i="12"/>
  <c r="B364" i="12"/>
  <c r="B356" i="12"/>
  <c r="B348" i="12"/>
  <c r="B340" i="12"/>
  <c r="B332" i="12"/>
  <c r="B324" i="12"/>
  <c r="B316" i="12"/>
  <c r="B308" i="12"/>
  <c r="B300" i="12"/>
  <c r="B292" i="12"/>
  <c r="B284" i="12"/>
  <c r="B276" i="12"/>
  <c r="B268" i="12"/>
  <c r="B260" i="12"/>
  <c r="B252" i="12"/>
  <c r="B244" i="12"/>
  <c r="B236" i="12"/>
  <c r="B228" i="12"/>
  <c r="B220" i="12"/>
  <c r="B212" i="12"/>
  <c r="B204" i="12"/>
  <c r="B196" i="12"/>
  <c r="B188" i="12"/>
  <c r="B180" i="12"/>
  <c r="B172" i="12"/>
  <c r="B164" i="12"/>
  <c r="B156" i="12"/>
  <c r="B148" i="12"/>
  <c r="B140" i="12"/>
  <c r="B132" i="12"/>
  <c r="B124" i="12"/>
  <c r="B116" i="12"/>
  <c r="B108" i="12"/>
  <c r="B100" i="12"/>
  <c r="B92" i="12"/>
  <c r="B84" i="12"/>
  <c r="B76" i="12"/>
  <c r="B68" i="12"/>
  <c r="B60" i="12"/>
  <c r="B52" i="12"/>
  <c r="B44" i="12"/>
  <c r="B36" i="12"/>
  <c r="B28" i="12"/>
  <c r="B20" i="12"/>
  <c r="B12" i="12"/>
  <c r="B4" i="12"/>
  <c r="B2154" i="12"/>
  <c r="B2090" i="12"/>
  <c r="B2026" i="12"/>
  <c r="B1970" i="12"/>
  <c r="B1938" i="12"/>
  <c r="B1906" i="12"/>
  <c r="B1874" i="12"/>
  <c r="B1842" i="12"/>
  <c r="B1810" i="12"/>
  <c r="B1778" i="12"/>
  <c r="B1746" i="12"/>
  <c r="B1714" i="12"/>
  <c r="B1682" i="12"/>
  <c r="B1650" i="12"/>
  <c r="B1618" i="12"/>
  <c r="B1586" i="12"/>
  <c r="B2010" i="12"/>
  <c r="B1866" i="12"/>
  <c r="B1738" i="12"/>
  <c r="B1610" i="12"/>
  <c r="B1514" i="12"/>
  <c r="B1426" i="12"/>
  <c r="B1333" i="12"/>
  <c r="B1261" i="12"/>
  <c r="B1216" i="12"/>
  <c r="B1176" i="12"/>
  <c r="B1152" i="12"/>
  <c r="B1130" i="12"/>
  <c r="B1107" i="12"/>
  <c r="B1088" i="12"/>
  <c r="B1066" i="12"/>
  <c r="B1043" i="12"/>
  <c r="B1024" i="12"/>
  <c r="B1002" i="12"/>
  <c r="B979" i="12"/>
  <c r="B960" i="12"/>
  <c r="B938" i="12"/>
  <c r="B915" i="12"/>
  <c r="B896" i="12"/>
  <c r="B874" i="12"/>
  <c r="B851" i="12"/>
  <c r="B832" i="12"/>
  <c r="B810" i="12"/>
  <c r="B787" i="12"/>
  <c r="B768" i="12"/>
  <c r="B746" i="12"/>
  <c r="B723" i="12"/>
  <c r="B704" i="12"/>
  <c r="B682" i="12"/>
  <c r="B659" i="12"/>
  <c r="B640" i="12"/>
  <c r="B618" i="12"/>
  <c r="B595" i="12"/>
  <c r="B576" i="12"/>
  <c r="B554" i="12"/>
  <c r="B531" i="12"/>
  <c r="B512" i="12"/>
  <c r="B490" i="12"/>
  <c r="B467" i="12"/>
  <c r="B448" i="12"/>
  <c r="B426" i="12"/>
  <c r="B403" i="12"/>
  <c r="B384" i="12"/>
  <c r="B362" i="12"/>
  <c r="B339" i="12"/>
  <c r="B320" i="12"/>
  <c r="B298" i="12"/>
  <c r="B275" i="12"/>
  <c r="B256" i="12"/>
  <c r="B234" i="12"/>
  <c r="B211" i="12"/>
  <c r="B192" i="12"/>
  <c r="B170" i="12"/>
  <c r="B147" i="12"/>
  <c r="B128" i="12"/>
  <c r="B106" i="12"/>
  <c r="B83" i="12"/>
  <c r="B64" i="12"/>
  <c r="B42" i="12"/>
  <c r="B19" i="12"/>
  <c r="B1973" i="12"/>
  <c r="B1845" i="12"/>
  <c r="B1717" i="12"/>
  <c r="B1589" i="12"/>
  <c r="B1493" i="12"/>
  <c r="B1418" i="12"/>
  <c r="B1330" i="12"/>
  <c r="B1250" i="12"/>
  <c r="B1212" i="12"/>
  <c r="B1174" i="12"/>
  <c r="B1147" i="12"/>
  <c r="B1128" i="12"/>
  <c r="B1106" i="12"/>
  <c r="B1083" i="12"/>
  <c r="B1064" i="12"/>
  <c r="B1042" i="12"/>
  <c r="B1019" i="12"/>
  <c r="B1000" i="12"/>
  <c r="B978" i="12"/>
  <c r="B955" i="12"/>
  <c r="B936" i="12"/>
  <c r="B914" i="12"/>
  <c r="B891" i="12"/>
  <c r="B872" i="12"/>
  <c r="B850" i="12"/>
  <c r="B827" i="12"/>
  <c r="B808" i="12"/>
  <c r="B786" i="12"/>
  <c r="B763" i="12"/>
  <c r="B744" i="12"/>
  <c r="B722" i="12"/>
  <c r="B699" i="12"/>
  <c r="B680" i="12"/>
  <c r="B658" i="12"/>
  <c r="B635" i="12"/>
  <c r="B616" i="12"/>
  <c r="B594" i="12"/>
  <c r="B571" i="12"/>
  <c r="B552" i="12"/>
  <c r="B530" i="12"/>
  <c r="B507" i="12"/>
  <c r="B488" i="12"/>
  <c r="B466" i="12"/>
  <c r="B443" i="12"/>
  <c r="B424" i="12"/>
  <c r="B402" i="12"/>
  <c r="B379" i="12"/>
  <c r="B360" i="12"/>
  <c r="B338" i="12"/>
  <c r="B315" i="12"/>
  <c r="B296" i="12"/>
  <c r="B274" i="12"/>
  <c r="B251" i="12"/>
  <c r="B232" i="12"/>
  <c r="B210" i="12"/>
  <c r="B187" i="12"/>
  <c r="B168" i="12"/>
  <c r="B146" i="12"/>
  <c r="B123" i="12"/>
  <c r="B104" i="12"/>
  <c r="B82" i="12"/>
  <c r="B59" i="12"/>
  <c r="B40" i="12"/>
  <c r="B18" i="12"/>
  <c r="B1962" i="12"/>
  <c r="B1834" i="12"/>
  <c r="B1706" i="12"/>
  <c r="B1578" i="12"/>
  <c r="B1490" i="12"/>
  <c r="B1397" i="12"/>
  <c r="B1322" i="12"/>
  <c r="B1248" i="12"/>
  <c r="B1202" i="12"/>
  <c r="B1172" i="12"/>
  <c r="B1146" i="12"/>
  <c r="B1123" i="12"/>
  <c r="B1104" i="12"/>
  <c r="B1082" i="12"/>
  <c r="B1059" i="12"/>
  <c r="B1040" i="12"/>
  <c r="B1018" i="12"/>
  <c r="B995" i="12"/>
  <c r="B976" i="12"/>
  <c r="B954" i="12"/>
  <c r="B931" i="12"/>
  <c r="B912" i="12"/>
  <c r="B890" i="12"/>
  <c r="B867" i="12"/>
  <c r="B848" i="12"/>
  <c r="B826" i="12"/>
  <c r="B803" i="12"/>
  <c r="B784" i="12"/>
  <c r="B762" i="12"/>
  <c r="B739" i="12"/>
  <c r="B720" i="12"/>
  <c r="B698" i="12"/>
  <c r="B675" i="12"/>
  <c r="B656" i="12"/>
  <c r="B634" i="12"/>
  <c r="B611" i="12"/>
  <c r="B592" i="12"/>
  <c r="B570" i="12"/>
  <c r="B547" i="12"/>
  <c r="B528" i="12"/>
  <c r="B506" i="12"/>
  <c r="B483" i="12"/>
  <c r="B464" i="12"/>
  <c r="B442" i="12"/>
  <c r="B419" i="12"/>
  <c r="B400" i="12"/>
  <c r="B378" i="12"/>
  <c r="B355" i="12"/>
  <c r="B336" i="12"/>
  <c r="B314" i="12"/>
  <c r="B291" i="12"/>
  <c r="B272" i="12"/>
  <c r="B250" i="12"/>
  <c r="B227" i="12"/>
  <c r="B208" i="12"/>
  <c r="B186" i="12"/>
  <c r="B163" i="12"/>
  <c r="B144" i="12"/>
  <c r="B122" i="12"/>
  <c r="B99" i="12"/>
  <c r="B80" i="12"/>
  <c r="B58" i="12"/>
  <c r="B35" i="12"/>
  <c r="B16" i="12"/>
  <c r="B2162" i="12"/>
  <c r="B1941" i="12"/>
  <c r="B1813" i="12"/>
  <c r="B1685" i="12"/>
  <c r="B1557" i="12"/>
  <c r="B1482" i="12"/>
  <c r="B1394" i="12"/>
  <c r="B1301" i="12"/>
  <c r="B1244" i="12"/>
  <c r="B1200" i="12"/>
  <c r="B1164" i="12"/>
  <c r="B1144" i="12"/>
  <c r="B1122" i="12"/>
  <c r="B1099" i="12"/>
  <c r="B1080" i="12"/>
  <c r="B1058" i="12"/>
  <c r="B1035" i="12"/>
  <c r="B1016" i="12"/>
  <c r="B994" i="12"/>
  <c r="B971" i="12"/>
  <c r="B952" i="12"/>
  <c r="B930" i="12"/>
  <c r="B907" i="12"/>
  <c r="B888" i="12"/>
  <c r="B866" i="12"/>
  <c r="B843" i="12"/>
  <c r="B824" i="12"/>
  <c r="B802" i="12"/>
  <c r="B779" i="12"/>
  <c r="B760" i="12"/>
  <c r="B738" i="12"/>
  <c r="B715" i="12"/>
  <c r="B696" i="12"/>
  <c r="B674" i="12"/>
  <c r="B651" i="12"/>
  <c r="B632" i="12"/>
  <c r="B610" i="12"/>
  <c r="B587" i="12"/>
  <c r="B568" i="12"/>
  <c r="B546" i="12"/>
  <c r="B523" i="12"/>
  <c r="B504" i="12"/>
  <c r="B482" i="12"/>
  <c r="B459" i="12"/>
  <c r="B440" i="12"/>
  <c r="B418" i="12"/>
  <c r="B395" i="12"/>
  <c r="B376" i="12"/>
  <c r="B354" i="12"/>
  <c r="B331" i="12"/>
  <c r="B312" i="12"/>
  <c r="B290" i="12"/>
  <c r="B267" i="12"/>
  <c r="B248" i="12"/>
  <c r="B226" i="12"/>
  <c r="B203" i="12"/>
  <c r="B184" i="12"/>
  <c r="B162" i="12"/>
  <c r="B139" i="12"/>
  <c r="B120" i="12"/>
  <c r="B98" i="12"/>
  <c r="B75" i="12"/>
  <c r="B56" i="12"/>
  <c r="B34" i="12"/>
  <c r="B11" i="12"/>
  <c r="B2138" i="12"/>
  <c r="B1930" i="12"/>
  <c r="B1802" i="12"/>
  <c r="B1674" i="12"/>
  <c r="B1554" i="12"/>
  <c r="B1461" i="12"/>
  <c r="B1386" i="12"/>
  <c r="B1298" i="12"/>
  <c r="B1234" i="12"/>
  <c r="B1197" i="12"/>
  <c r="B1163" i="12"/>
  <c r="B1139" i="12"/>
  <c r="B1120" i="12"/>
  <c r="B1098" i="12"/>
  <c r="B1075" i="12"/>
  <c r="B1056" i="12"/>
  <c r="B1034" i="12"/>
  <c r="B1011" i="12"/>
  <c r="B992" i="12"/>
  <c r="B970" i="12"/>
  <c r="B947" i="12"/>
  <c r="B928" i="12"/>
  <c r="B906" i="12"/>
  <c r="B883" i="12"/>
  <c r="B864" i="12"/>
  <c r="B842" i="12"/>
  <c r="B819" i="12"/>
  <c r="B800" i="12"/>
  <c r="B778" i="12"/>
  <c r="B755" i="12"/>
  <c r="B736" i="12"/>
  <c r="B714" i="12"/>
  <c r="B691" i="12"/>
  <c r="B672" i="12"/>
  <c r="B650" i="12"/>
  <c r="B627" i="12"/>
  <c r="B608" i="12"/>
  <c r="B586" i="12"/>
  <c r="B563" i="12"/>
  <c r="B544" i="12"/>
  <c r="B522" i="12"/>
  <c r="B499" i="12"/>
  <c r="B480" i="12"/>
  <c r="B458" i="12"/>
  <c r="B435" i="12"/>
  <c r="B416" i="12"/>
  <c r="B394" i="12"/>
  <c r="B371" i="12"/>
  <c r="B352" i="12"/>
  <c r="B330" i="12"/>
  <c r="B307" i="12"/>
  <c r="B288" i="12"/>
  <c r="B266" i="12"/>
  <c r="B243" i="12"/>
  <c r="B224" i="12"/>
  <c r="B202" i="12"/>
  <c r="B179" i="12"/>
  <c r="B160" i="12"/>
  <c r="B138" i="12"/>
  <c r="B115" i="12"/>
  <c r="B96" i="12"/>
  <c r="B74" i="12"/>
  <c r="B51" i="12"/>
  <c r="B32" i="12"/>
  <c r="B10" i="12"/>
  <c r="B2098" i="12"/>
  <c r="B1909" i="12"/>
  <c r="B1781" i="12"/>
  <c r="B1653" i="12"/>
  <c r="B1546" i="12"/>
  <c r="B1458" i="12"/>
  <c r="B1365" i="12"/>
  <c r="B1290" i="12"/>
  <c r="B1232" i="12"/>
  <c r="B1189" i="12"/>
  <c r="B1161" i="12"/>
  <c r="B1138" i="12"/>
  <c r="B1115" i="12"/>
  <c r="B1096" i="12"/>
  <c r="B1074" i="12"/>
  <c r="B1051" i="12"/>
  <c r="B1032" i="12"/>
  <c r="B1010" i="12"/>
  <c r="B987" i="12"/>
  <c r="B968" i="12"/>
  <c r="B946" i="12"/>
  <c r="B923" i="12"/>
  <c r="B904" i="12"/>
  <c r="B882" i="12"/>
  <c r="B859" i="12"/>
  <c r="B840" i="12"/>
  <c r="B818" i="12"/>
  <c r="B795" i="12"/>
  <c r="B776" i="12"/>
  <c r="B754" i="12"/>
  <c r="B731" i="12"/>
  <c r="B712" i="12"/>
  <c r="B690" i="12"/>
  <c r="B667" i="12"/>
  <c r="B648" i="12"/>
  <c r="B626" i="12"/>
  <c r="B603" i="12"/>
  <c r="B584" i="12"/>
  <c r="B562" i="12"/>
  <c r="B539" i="12"/>
  <c r="B520" i="12"/>
  <c r="B498" i="12"/>
  <c r="B475" i="12"/>
  <c r="B456" i="12"/>
  <c r="B434" i="12"/>
  <c r="B411" i="12"/>
  <c r="B392" i="12"/>
  <c r="B370" i="12"/>
  <c r="B347" i="12"/>
  <c r="B328" i="12"/>
  <c r="B306" i="12"/>
  <c r="B283" i="12"/>
  <c r="B264" i="12"/>
  <c r="B242" i="12"/>
  <c r="B219" i="12"/>
  <c r="B200" i="12"/>
  <c r="B178" i="12"/>
  <c r="B155" i="12"/>
  <c r="B136" i="12"/>
  <c r="B114" i="12"/>
  <c r="B91" i="12"/>
  <c r="B72" i="12"/>
  <c r="B50" i="12"/>
  <c r="B27" i="12"/>
  <c r="B8" i="12"/>
  <c r="B2074" i="12"/>
  <c r="B1898" i="12"/>
  <c r="B1770" i="12"/>
  <c r="B1642" i="12"/>
  <c r="B1525" i="12"/>
  <c r="B1450" i="12"/>
  <c r="B1362" i="12"/>
  <c r="B1269" i="12"/>
  <c r="B1228" i="12"/>
  <c r="B1188" i="12"/>
  <c r="B1155" i="12"/>
  <c r="B1136" i="12"/>
  <c r="B1114" i="12"/>
  <c r="B1091" i="12"/>
  <c r="B1072" i="12"/>
  <c r="B1050" i="12"/>
  <c r="B1027" i="12"/>
  <c r="B1008" i="12"/>
  <c r="B986" i="12"/>
  <c r="B963" i="12"/>
  <c r="B944" i="12"/>
  <c r="B922" i="12"/>
  <c r="B899" i="12"/>
  <c r="B880" i="12"/>
  <c r="B858" i="12"/>
  <c r="B835" i="12"/>
  <c r="B816" i="12"/>
  <c r="B794" i="12"/>
  <c r="B771" i="12"/>
  <c r="B752" i="12"/>
  <c r="B730" i="12"/>
  <c r="B707" i="12"/>
  <c r="B688" i="12"/>
  <c r="B666" i="12"/>
  <c r="B643" i="12"/>
  <c r="B624" i="12"/>
  <c r="B602" i="12"/>
  <c r="B579" i="12"/>
  <c r="B560" i="12"/>
  <c r="B538" i="12"/>
  <c r="B515" i="12"/>
  <c r="B496" i="12"/>
  <c r="B474" i="12"/>
  <c r="B451" i="12"/>
  <c r="B432" i="12"/>
  <c r="B410" i="12"/>
  <c r="B387" i="12"/>
  <c r="B368" i="12"/>
  <c r="B346" i="12"/>
  <c r="B323" i="12"/>
  <c r="B304" i="12"/>
  <c r="B282" i="12"/>
  <c r="B259" i="12"/>
  <c r="B240" i="12"/>
  <c r="B218" i="12"/>
  <c r="B195" i="12"/>
  <c r="B176" i="12"/>
  <c r="B154" i="12"/>
  <c r="B131" i="12"/>
  <c r="B112" i="12"/>
  <c r="B90" i="12"/>
  <c r="B67" i="12"/>
  <c r="B48" i="12"/>
  <c r="B26" i="12"/>
  <c r="B3" i="12"/>
  <c r="B2034" i="12"/>
  <c r="B1877" i="12"/>
  <c r="B1749" i="12"/>
  <c r="B1621" i="12"/>
  <c r="B1522" i="12"/>
  <c r="B1429" i="12"/>
  <c r="B1354" i="12"/>
  <c r="B1268" i="12"/>
  <c r="B1218" i="12"/>
  <c r="B1184" i="12"/>
  <c r="B1154" i="12"/>
  <c r="B1131" i="12"/>
  <c r="B1112" i="12"/>
  <c r="B1090" i="12"/>
  <c r="B1067" i="12"/>
  <c r="B1048" i="12"/>
  <c r="B1026" i="12"/>
  <c r="B1003" i="12"/>
  <c r="B984" i="12"/>
  <c r="B962" i="12"/>
  <c r="B939" i="12"/>
  <c r="B920" i="12"/>
  <c r="B898" i="12"/>
  <c r="B875" i="12"/>
  <c r="B856" i="12"/>
  <c r="B834" i="12"/>
  <c r="B811" i="12"/>
  <c r="B792" i="12"/>
  <c r="B770" i="12"/>
  <c r="B747" i="12"/>
  <c r="B728" i="12"/>
  <c r="B706" i="12"/>
  <c r="B683" i="12"/>
  <c r="B664" i="12"/>
  <c r="B642" i="12"/>
  <c r="B619" i="12"/>
  <c r="B600" i="12"/>
  <c r="B578" i="12"/>
  <c r="B555" i="12"/>
  <c r="B536" i="12"/>
  <c r="B514" i="12"/>
  <c r="B491" i="12"/>
  <c r="B472" i="12"/>
  <c r="B450" i="12"/>
  <c r="B427" i="12"/>
  <c r="B408" i="12"/>
  <c r="B386" i="12"/>
  <c r="B363" i="12"/>
  <c r="B344" i="12"/>
  <c r="B322" i="12"/>
  <c r="B299" i="12"/>
  <c r="B280" i="12"/>
  <c r="B258" i="12"/>
  <c r="B235" i="12"/>
  <c r="B216" i="12"/>
  <c r="B194" i="12"/>
  <c r="B171" i="12"/>
  <c r="B152" i="12"/>
  <c r="B130" i="12"/>
  <c r="B107" i="12"/>
  <c r="B88" i="12"/>
  <c r="B66" i="12"/>
  <c r="B43" i="12"/>
  <c r="B24" i="12"/>
  <c r="H2" i="2" a="1"/>
  <c r="C2193" i="12"/>
  <c r="C2185" i="12"/>
  <c r="C2177" i="12"/>
  <c r="C2169" i="12"/>
  <c r="C2161" i="12"/>
  <c r="C2153" i="12"/>
  <c r="C2145" i="12"/>
  <c r="C2137" i="12"/>
  <c r="C2129" i="12"/>
  <c r="C2121" i="12"/>
  <c r="C2113" i="12"/>
  <c r="C2105" i="12"/>
  <c r="C2097" i="12"/>
  <c r="C2089" i="12"/>
  <c r="C2081" i="12"/>
  <c r="C2073" i="12"/>
  <c r="C2065" i="12"/>
  <c r="C2057" i="12"/>
  <c r="C2049" i="12"/>
  <c r="C2041" i="12"/>
  <c r="C2033" i="12"/>
  <c r="C2025" i="12"/>
  <c r="C2017" i="12"/>
  <c r="C2009" i="12"/>
  <c r="C2001" i="12"/>
  <c r="C1993" i="12"/>
  <c r="C1985" i="12"/>
  <c r="C1977" i="12"/>
  <c r="C1969" i="12"/>
  <c r="C1961" i="12"/>
  <c r="C1953" i="12"/>
  <c r="C1945" i="12"/>
  <c r="C1937" i="12"/>
  <c r="C1929" i="12"/>
  <c r="C1921" i="12"/>
  <c r="C1913" i="12"/>
  <c r="C1905" i="12"/>
  <c r="C1897" i="12"/>
  <c r="C1889" i="12"/>
  <c r="C1881" i="12"/>
  <c r="C1873" i="12"/>
  <c r="C1865" i="12"/>
  <c r="C1857" i="12"/>
  <c r="C1849" i="12"/>
  <c r="C1841" i="12"/>
  <c r="C1833" i="12"/>
  <c r="C1825" i="12"/>
  <c r="C1817" i="12"/>
  <c r="C1809" i="12"/>
  <c r="C1801" i="12"/>
  <c r="C1793" i="12"/>
  <c r="C1785" i="12"/>
  <c r="C1777" i="12"/>
  <c r="C1769" i="12"/>
  <c r="C1761" i="12"/>
  <c r="C1753" i="12"/>
  <c r="C1745" i="12"/>
  <c r="C1737" i="12"/>
  <c r="C1729" i="12"/>
  <c r="C1721" i="12"/>
  <c r="C1713" i="12"/>
  <c r="C1705" i="12"/>
  <c r="C1697" i="12"/>
  <c r="C1689" i="12"/>
  <c r="C1681" i="12"/>
  <c r="C1673" i="12"/>
  <c r="C1665" i="12"/>
  <c r="C1657" i="12"/>
  <c r="C1649" i="12"/>
  <c r="C1641" i="12"/>
  <c r="C1633" i="12"/>
  <c r="C1625" i="12"/>
  <c r="C1617" i="12"/>
  <c r="C1609" i="12"/>
  <c r="C1601" i="12"/>
  <c r="C1593" i="12"/>
  <c r="C1585" i="12"/>
  <c r="C1577" i="12"/>
  <c r="C1569" i="12"/>
  <c r="C1561" i="12"/>
  <c r="C1553" i="12"/>
  <c r="C1545" i="12"/>
  <c r="C1537" i="12"/>
  <c r="C1529" i="12"/>
  <c r="C1521" i="12"/>
  <c r="C1513" i="12"/>
  <c r="C1505" i="12"/>
  <c r="C1497" i="12"/>
  <c r="C1489" i="12"/>
  <c r="C1481" i="12"/>
  <c r="C1473" i="12"/>
  <c r="C1465" i="12"/>
  <c r="C1457" i="12"/>
  <c r="C1449" i="12"/>
  <c r="C1441" i="12"/>
  <c r="C1433" i="12"/>
  <c r="C1425" i="12"/>
  <c r="C1417" i="12"/>
  <c r="C1409" i="12"/>
  <c r="C1401" i="12"/>
  <c r="C1393" i="12"/>
  <c r="C1385" i="12"/>
  <c r="C1377" i="12"/>
  <c r="C1369" i="12"/>
  <c r="C1361" i="12"/>
  <c r="C1353" i="12"/>
  <c r="C1345" i="12"/>
  <c r="C1337" i="12"/>
  <c r="C1329" i="12"/>
  <c r="C1321" i="12"/>
  <c r="C1313" i="12"/>
  <c r="C1305" i="12"/>
  <c r="C1297" i="12"/>
  <c r="C1289" i="12"/>
  <c r="C1281" i="12"/>
  <c r="C1273" i="12"/>
  <c r="C1265" i="12"/>
  <c r="C1257" i="12"/>
  <c r="C1249" i="12"/>
  <c r="C1241" i="12"/>
  <c r="C1233" i="12"/>
  <c r="C1225" i="12"/>
  <c r="C1217" i="12"/>
  <c r="C1209" i="12"/>
  <c r="C1201" i="12"/>
  <c r="C1193" i="12"/>
  <c r="C1185" i="12"/>
  <c r="C1177" i="12"/>
  <c r="C1169" i="12"/>
  <c r="C1161" i="12"/>
  <c r="C1153" i="12"/>
  <c r="C1145" i="12"/>
  <c r="C1137" i="12"/>
  <c r="C1129" i="12"/>
  <c r="C1121" i="12"/>
  <c r="C1113" i="12"/>
  <c r="C1105" i="12"/>
  <c r="C1097" i="12"/>
  <c r="C1089" i="12"/>
  <c r="C1081" i="12"/>
  <c r="C1073" i="12"/>
  <c r="C1065" i="12"/>
  <c r="C1057" i="12"/>
  <c r="C1049" i="12"/>
  <c r="C1041" i="12"/>
  <c r="C1033" i="12"/>
  <c r="C1025" i="12"/>
  <c r="C1017" i="12"/>
  <c r="C1009" i="12"/>
  <c r="C1001" i="12"/>
  <c r="C993" i="12"/>
  <c r="C985" i="12"/>
  <c r="C977" i="12"/>
  <c r="C969" i="12"/>
  <c r="C961" i="12"/>
  <c r="C953" i="12"/>
  <c r="C945" i="12"/>
  <c r="C937" i="12"/>
  <c r="C929" i="12"/>
  <c r="C921" i="12"/>
  <c r="C913" i="12"/>
  <c r="C905" i="12"/>
  <c r="C897" i="12"/>
  <c r="C889" i="12"/>
  <c r="C881" i="12"/>
  <c r="C873" i="12"/>
  <c r="C865" i="12"/>
  <c r="C857" i="12"/>
  <c r="C849" i="12"/>
  <c r="C841" i="12"/>
  <c r="C833" i="12"/>
  <c r="C825" i="12"/>
  <c r="C817" i="12"/>
  <c r="C809" i="12"/>
  <c r="C801" i="12"/>
  <c r="C793" i="12"/>
  <c r="C785" i="12"/>
  <c r="C777" i="12"/>
  <c r="C769" i="12"/>
  <c r="C761" i="12"/>
  <c r="C753" i="12"/>
  <c r="C745" i="12"/>
  <c r="C737" i="12"/>
  <c r="C729" i="12"/>
  <c r="C721" i="12"/>
  <c r="C713" i="12"/>
  <c r="C705" i="12"/>
  <c r="C697" i="12"/>
  <c r="C689" i="12"/>
  <c r="C681" i="12"/>
  <c r="C673" i="12"/>
  <c r="C665" i="12"/>
  <c r="C657" i="12"/>
  <c r="C649" i="12"/>
  <c r="C641" i="12"/>
  <c r="C633" i="12"/>
  <c r="C625" i="12"/>
  <c r="C617" i="12"/>
  <c r="C609" i="12"/>
  <c r="C601" i="12"/>
  <c r="C593" i="12"/>
  <c r="C585" i="12"/>
  <c r="C577" i="12"/>
  <c r="C569" i="12"/>
  <c r="C561" i="12"/>
  <c r="C553" i="12"/>
  <c r="C545" i="12"/>
  <c r="C537" i="12"/>
  <c r="C529" i="12"/>
  <c r="C521" i="12"/>
  <c r="C513" i="12"/>
  <c r="C505" i="12"/>
  <c r="C497" i="12"/>
  <c r="C489" i="12"/>
  <c r="C481" i="12"/>
  <c r="C473" i="12"/>
  <c r="C465" i="12"/>
  <c r="C457" i="12"/>
  <c r="C449" i="12"/>
  <c r="C441" i="12"/>
  <c r="C433" i="12"/>
  <c r="C425" i="12"/>
  <c r="C417" i="12"/>
  <c r="C409" i="12"/>
  <c r="C401" i="12"/>
  <c r="C393" i="12"/>
  <c r="C385" i="12"/>
  <c r="C377" i="12"/>
  <c r="C369" i="12"/>
  <c r="C361" i="12"/>
  <c r="C353" i="12"/>
  <c r="C345" i="12"/>
  <c r="C337" i="12"/>
  <c r="C329" i="12"/>
  <c r="C321" i="12"/>
  <c r="C313" i="12"/>
  <c r="C305" i="12"/>
  <c r="C297" i="12"/>
  <c r="C289" i="12"/>
  <c r="C281" i="12"/>
  <c r="C273" i="12"/>
  <c r="C265" i="12"/>
  <c r="C257" i="12"/>
  <c r="C249" i="12"/>
  <c r="C241" i="12"/>
  <c r="C233" i="12"/>
  <c r="C225" i="12"/>
  <c r="C217" i="12"/>
  <c r="C209" i="12"/>
  <c r="C201" i="12"/>
  <c r="C193" i="12"/>
  <c r="C185" i="12"/>
  <c r="C177" i="12"/>
  <c r="C169" i="12"/>
  <c r="C161" i="12"/>
  <c r="C153" i="12"/>
  <c r="C145" i="12"/>
  <c r="C137" i="12"/>
  <c r="C129" i="12"/>
  <c r="C121" i="12"/>
  <c r="C113" i="12"/>
  <c r="C105" i="12"/>
  <c r="C97" i="12"/>
  <c r="C89" i="12"/>
  <c r="C81" i="12"/>
  <c r="C73" i="12"/>
  <c r="C65" i="12"/>
  <c r="C57" i="12"/>
  <c r="C49" i="12"/>
  <c r="C41" i="12"/>
  <c r="C33" i="12"/>
  <c r="C25" i="12"/>
  <c r="C17" i="12"/>
  <c r="C9" i="12"/>
  <c r="C2" i="12"/>
  <c r="C2200" i="12"/>
  <c r="C2192" i="12"/>
  <c r="C2184" i="12"/>
  <c r="C2176" i="12"/>
  <c r="C2168" i="12"/>
  <c r="C2160" i="12"/>
  <c r="C2152" i="12"/>
  <c r="C2144" i="12"/>
  <c r="C2136" i="12"/>
  <c r="C2128" i="12"/>
  <c r="C2120" i="12"/>
  <c r="C2112" i="12"/>
  <c r="C2104" i="12"/>
  <c r="C2096" i="12"/>
  <c r="C2088" i="12"/>
  <c r="C2080" i="12"/>
  <c r="C2072" i="12"/>
  <c r="C2064" i="12"/>
  <c r="C2056" i="12"/>
  <c r="C2048" i="12"/>
  <c r="C2040" i="12"/>
  <c r="C2032" i="12"/>
  <c r="C2024" i="12"/>
  <c r="C2016" i="12"/>
  <c r="C2008" i="12"/>
  <c r="C2000" i="12"/>
  <c r="C1992" i="12"/>
  <c r="C1984" i="12"/>
  <c r="C1976" i="12"/>
  <c r="C1968" i="12"/>
  <c r="C1960" i="12"/>
  <c r="C1952" i="12"/>
  <c r="C1944" i="12"/>
  <c r="C1936" i="12"/>
  <c r="C1928" i="12"/>
  <c r="C1920" i="12"/>
  <c r="C1912" i="12"/>
  <c r="C1904" i="12"/>
  <c r="C1896" i="12"/>
  <c r="C1888" i="12"/>
  <c r="C1880" i="12"/>
  <c r="C1872" i="12"/>
  <c r="C1864" i="12"/>
  <c r="C1856" i="12"/>
  <c r="C1848" i="12"/>
  <c r="C1840" i="12"/>
  <c r="C1832" i="12"/>
  <c r="C1824" i="12"/>
  <c r="C1816" i="12"/>
  <c r="C1808" i="12"/>
  <c r="C1800" i="12"/>
  <c r="C1792" i="12"/>
  <c r="C1784" i="12"/>
  <c r="C1776" i="12"/>
  <c r="C1768" i="12"/>
  <c r="C1760" i="12"/>
  <c r="C1752" i="12"/>
  <c r="C1744" i="12"/>
  <c r="C1736" i="12"/>
  <c r="C1728" i="12"/>
  <c r="C1720" i="12"/>
  <c r="C1712" i="12"/>
  <c r="C1704" i="12"/>
  <c r="C1696" i="12"/>
  <c r="C1688" i="12"/>
  <c r="C1680" i="12"/>
  <c r="C1672" i="12"/>
  <c r="C1664" i="12"/>
  <c r="C1656" i="12"/>
  <c r="C1648" i="12"/>
  <c r="C1640" i="12"/>
  <c r="C1632" i="12"/>
  <c r="C1624" i="12"/>
  <c r="C1616" i="12"/>
  <c r="C1608" i="12"/>
  <c r="C1600" i="12"/>
  <c r="C1592" i="12"/>
  <c r="C1584" i="12"/>
  <c r="C1576" i="12"/>
  <c r="C1568" i="12"/>
  <c r="C1560" i="12"/>
  <c r="C1552" i="12"/>
  <c r="C1544" i="12"/>
  <c r="C1536" i="12"/>
  <c r="C1528" i="12"/>
  <c r="C1520" i="12"/>
  <c r="C1512" i="12"/>
  <c r="C1504" i="12"/>
  <c r="C1496" i="12"/>
  <c r="C1488" i="12"/>
  <c r="C1480" i="12"/>
  <c r="C1472" i="12"/>
  <c r="C1464" i="12"/>
  <c r="C1456" i="12"/>
  <c r="C1448" i="12"/>
  <c r="C1440" i="12"/>
  <c r="C1432" i="12"/>
  <c r="C1424" i="12"/>
  <c r="C1416" i="12"/>
  <c r="C1408" i="12"/>
  <c r="C1400" i="12"/>
  <c r="C1392" i="12"/>
  <c r="C1384" i="12"/>
  <c r="C1376" i="12"/>
  <c r="C1368" i="12"/>
  <c r="C1360" i="12"/>
  <c r="C1352" i="12"/>
  <c r="C1344" i="12"/>
  <c r="C1336" i="12"/>
  <c r="C1328" i="12"/>
  <c r="C1320" i="12"/>
  <c r="C1312" i="12"/>
  <c r="C1304" i="12"/>
  <c r="C1296" i="12"/>
  <c r="C1288" i="12"/>
  <c r="C1280" i="12"/>
  <c r="C1272" i="12"/>
  <c r="C1264" i="12"/>
  <c r="C1256" i="12"/>
  <c r="C1248" i="12"/>
  <c r="C1240" i="12"/>
  <c r="C1232" i="12"/>
  <c r="C1224" i="12"/>
  <c r="C1216" i="12"/>
  <c r="C1208" i="12"/>
  <c r="C1200" i="12"/>
  <c r="C1192" i="12"/>
  <c r="C1184" i="12"/>
  <c r="C1176" i="12"/>
  <c r="C1168" i="12"/>
  <c r="C1160" i="12"/>
  <c r="C1152" i="12"/>
  <c r="C1144" i="12"/>
  <c r="C1136" i="12"/>
  <c r="C1128" i="12"/>
  <c r="C1120" i="12"/>
  <c r="C1112" i="12"/>
  <c r="C1104" i="12"/>
  <c r="C1096" i="12"/>
  <c r="C1088" i="12"/>
  <c r="C1080" i="12"/>
  <c r="C1072" i="12"/>
  <c r="C1064" i="12"/>
  <c r="C1056" i="12"/>
  <c r="C1048" i="12"/>
  <c r="C1040" i="12"/>
  <c r="C1032" i="12"/>
  <c r="C1024" i="12"/>
  <c r="C1016" i="12"/>
  <c r="C1008" i="12"/>
  <c r="C1000" i="12"/>
  <c r="C992" i="12"/>
  <c r="C984" i="12"/>
  <c r="C976" i="12"/>
  <c r="C968" i="12"/>
  <c r="C960" i="12"/>
  <c r="C952" i="12"/>
  <c r="C944" i="12"/>
  <c r="C936" i="12"/>
  <c r="C928" i="12"/>
  <c r="C920" i="12"/>
  <c r="C912" i="12"/>
  <c r="C904" i="12"/>
  <c r="C896" i="12"/>
  <c r="C888" i="12"/>
  <c r="C880" i="12"/>
  <c r="C872" i="12"/>
  <c r="C864" i="12"/>
  <c r="C856" i="12"/>
  <c r="C848" i="12"/>
  <c r="C840" i="12"/>
  <c r="C832" i="12"/>
  <c r="C824" i="12"/>
  <c r="C816" i="12"/>
  <c r="C808" i="12"/>
  <c r="C800" i="12"/>
  <c r="C792" i="12"/>
  <c r="C784" i="12"/>
  <c r="C776" i="12"/>
  <c r="C768" i="12"/>
  <c r="C760" i="12"/>
  <c r="C752" i="12"/>
  <c r="C744" i="12"/>
  <c r="C736" i="12"/>
  <c r="C728" i="12"/>
  <c r="C720" i="12"/>
  <c r="C712" i="12"/>
  <c r="C704" i="12"/>
  <c r="C696" i="12"/>
  <c r="C688" i="12"/>
  <c r="C680" i="12"/>
  <c r="C672" i="12"/>
  <c r="C664" i="12"/>
  <c r="C656" i="12"/>
  <c r="C648" i="12"/>
  <c r="C640" i="12"/>
  <c r="C632" i="12"/>
  <c r="C624" i="12"/>
  <c r="C616" i="12"/>
  <c r="C608" i="12"/>
  <c r="C600" i="12"/>
  <c r="C592" i="12"/>
  <c r="C584" i="12"/>
  <c r="C576" i="12"/>
  <c r="C568" i="12"/>
  <c r="C560" i="12"/>
  <c r="C552" i="12"/>
  <c r="C544" i="12"/>
  <c r="C536" i="12"/>
  <c r="C528" i="12"/>
  <c r="C520" i="12"/>
  <c r="C512" i="12"/>
  <c r="C504" i="12"/>
  <c r="C496" i="12"/>
  <c r="C488" i="12"/>
  <c r="C480" i="12"/>
  <c r="C472" i="12"/>
  <c r="C464" i="12"/>
  <c r="C456" i="12"/>
  <c r="C448" i="12"/>
  <c r="C440" i="12"/>
  <c r="C432" i="12"/>
  <c r="C424" i="12"/>
  <c r="C416" i="12"/>
  <c r="C408" i="12"/>
  <c r="C400" i="12"/>
  <c r="C392" i="12"/>
  <c r="C384" i="12"/>
  <c r="C376" i="12"/>
  <c r="C368" i="12"/>
  <c r="C360" i="12"/>
  <c r="C352" i="12"/>
  <c r="C344" i="12"/>
  <c r="C336" i="12"/>
  <c r="C328" i="12"/>
  <c r="C320" i="12"/>
  <c r="C312" i="12"/>
  <c r="C304" i="12"/>
  <c r="C296" i="12"/>
  <c r="C288" i="12"/>
  <c r="C280" i="12"/>
  <c r="C272" i="12"/>
  <c r="C264" i="12"/>
  <c r="C256" i="12"/>
  <c r="C248" i="12"/>
  <c r="C240" i="12"/>
  <c r="C232" i="12"/>
  <c r="C224" i="12"/>
  <c r="C216" i="12"/>
  <c r="C208" i="12"/>
  <c r="C200" i="12"/>
  <c r="C192" i="12"/>
  <c r="C184" i="12"/>
  <c r="C176" i="12"/>
  <c r="C168" i="12"/>
  <c r="C160" i="12"/>
  <c r="C152" i="12"/>
  <c r="C144" i="12"/>
  <c r="C136" i="12"/>
  <c r="C128" i="12"/>
  <c r="C120" i="12"/>
  <c r="C112" i="12"/>
  <c r="C104" i="12"/>
  <c r="C96" i="12"/>
  <c r="C88" i="12"/>
  <c r="C80" i="12"/>
  <c r="C72" i="12"/>
  <c r="C64" i="12"/>
  <c r="C56" i="12"/>
  <c r="C48" i="12"/>
  <c r="C40" i="12"/>
  <c r="C32" i="12"/>
  <c r="C24" i="12"/>
  <c r="C16" i="12"/>
  <c r="C8" i="12"/>
  <c r="C2199" i="12"/>
  <c r="C2191" i="12"/>
  <c r="C2183" i="12"/>
  <c r="C2175" i="12"/>
  <c r="C2167" i="12"/>
  <c r="C2159" i="12"/>
  <c r="C2151" i="12"/>
  <c r="C2143" i="12"/>
  <c r="C2135" i="12"/>
  <c r="C2127" i="12"/>
  <c r="C2119" i="12"/>
  <c r="C2111" i="12"/>
  <c r="C2103" i="12"/>
  <c r="C2095" i="12"/>
  <c r="C2087" i="12"/>
  <c r="C2079" i="12"/>
  <c r="C2071" i="12"/>
  <c r="C2063" i="12"/>
  <c r="C2055" i="12"/>
  <c r="C2047" i="12"/>
  <c r="C2039" i="12"/>
  <c r="C2031" i="12"/>
  <c r="C2023" i="12"/>
  <c r="C2015" i="12"/>
  <c r="C2007" i="12"/>
  <c r="C1999" i="12"/>
  <c r="C1991" i="12"/>
  <c r="C1983" i="12"/>
  <c r="C1975" i="12"/>
  <c r="C1967" i="12"/>
  <c r="C1959" i="12"/>
  <c r="C1951" i="12"/>
  <c r="C1943" i="12"/>
  <c r="C1935" i="12"/>
  <c r="C1927" i="12"/>
  <c r="C1919" i="12"/>
  <c r="C1911" i="12"/>
  <c r="C1903" i="12"/>
  <c r="C1895" i="12"/>
  <c r="C1887" i="12"/>
  <c r="C1879" i="12"/>
  <c r="C1871" i="12"/>
  <c r="C1863" i="12"/>
  <c r="C1855" i="12"/>
  <c r="C1847" i="12"/>
  <c r="C1839" i="12"/>
  <c r="C1831" i="12"/>
  <c r="C1823" i="12"/>
  <c r="C1815" i="12"/>
  <c r="C1807" i="12"/>
  <c r="C1799" i="12"/>
  <c r="C1791" i="12"/>
  <c r="C1783" i="12"/>
  <c r="C1775" i="12"/>
  <c r="C1767" i="12"/>
  <c r="C1759" i="12"/>
  <c r="C1751" i="12"/>
  <c r="C1743" i="12"/>
  <c r="C1735" i="12"/>
  <c r="C1727" i="12"/>
  <c r="C1719" i="12"/>
  <c r="C1711" i="12"/>
  <c r="C1703" i="12"/>
  <c r="C1695" i="12"/>
  <c r="C1687" i="12"/>
  <c r="C1679" i="12"/>
  <c r="C1671" i="12"/>
  <c r="C1663" i="12"/>
  <c r="C1655" i="12"/>
  <c r="C1647" i="12"/>
  <c r="C1639" i="12"/>
  <c r="C1631" i="12"/>
  <c r="C1623" i="12"/>
  <c r="C1615" i="12"/>
  <c r="C1607" i="12"/>
  <c r="C1599" i="12"/>
  <c r="C1591" i="12"/>
  <c r="C1583" i="12"/>
  <c r="C1575" i="12"/>
  <c r="C1567" i="12"/>
  <c r="C1559" i="12"/>
  <c r="C1551" i="12"/>
  <c r="C1543" i="12"/>
  <c r="C1535" i="12"/>
  <c r="C1527" i="12"/>
  <c r="C1519" i="12"/>
  <c r="C1511" i="12"/>
  <c r="C1503" i="12"/>
  <c r="C1495" i="12"/>
  <c r="C1487" i="12"/>
  <c r="C1479" i="12"/>
  <c r="C1471" i="12"/>
  <c r="C1463" i="12"/>
  <c r="C1455" i="12"/>
  <c r="C1447" i="12"/>
  <c r="C1439" i="12"/>
  <c r="C1431" i="12"/>
  <c r="C1423" i="12"/>
  <c r="C1415" i="12"/>
  <c r="C1407" i="12"/>
  <c r="C1399" i="12"/>
  <c r="C1391" i="12"/>
  <c r="C1383" i="12"/>
  <c r="C1375" i="12"/>
  <c r="C1367" i="12"/>
  <c r="C1359" i="12"/>
  <c r="C1351" i="12"/>
  <c r="C1343" i="12"/>
  <c r="C1335" i="12"/>
  <c r="C1327" i="12"/>
  <c r="C1319" i="12"/>
  <c r="C1311" i="12"/>
  <c r="C1303" i="12"/>
  <c r="C1295" i="12"/>
  <c r="C1287" i="12"/>
  <c r="C1279" i="12"/>
  <c r="C1271" i="12"/>
  <c r="C1263" i="12"/>
  <c r="C1255" i="12"/>
  <c r="C1247" i="12"/>
  <c r="C1239" i="12"/>
  <c r="C1231" i="12"/>
  <c r="C1223" i="12"/>
  <c r="C1215" i="12"/>
  <c r="C1207" i="12"/>
  <c r="C1199" i="12"/>
  <c r="C1191" i="12"/>
  <c r="C1183" i="12"/>
  <c r="C1175" i="12"/>
  <c r="C1167" i="12"/>
  <c r="C1159" i="12"/>
  <c r="C1151" i="12"/>
  <c r="C1143" i="12"/>
  <c r="C1135" i="12"/>
  <c r="C1127" i="12"/>
  <c r="C1119" i="12"/>
  <c r="C1111" i="12"/>
  <c r="C1103" i="12"/>
  <c r="C1095" i="12"/>
  <c r="C1087" i="12"/>
  <c r="C1079" i="12"/>
  <c r="C1071" i="12"/>
  <c r="C1063" i="12"/>
  <c r="C1055" i="12"/>
  <c r="C1047" i="12"/>
  <c r="C1039" i="12"/>
  <c r="C1031" i="12"/>
  <c r="C1023" i="12"/>
  <c r="C1015" i="12"/>
  <c r="C1007" i="12"/>
  <c r="C999" i="12"/>
  <c r="C991" i="12"/>
  <c r="C983" i="12"/>
  <c r="C975" i="12"/>
  <c r="C967" i="12"/>
  <c r="C959" i="12"/>
  <c r="C951" i="12"/>
  <c r="C943" i="12"/>
  <c r="C935" i="12"/>
  <c r="C927" i="12"/>
  <c r="C919" i="12"/>
  <c r="C911" i="12"/>
  <c r="C903" i="12"/>
  <c r="C895" i="12"/>
  <c r="C887" i="12"/>
  <c r="C879" i="12"/>
  <c r="C871" i="12"/>
  <c r="C863" i="12"/>
  <c r="C855" i="12"/>
  <c r="C847" i="12"/>
  <c r="C839" i="12"/>
  <c r="C831" i="12"/>
  <c r="C823" i="12"/>
  <c r="C815" i="12"/>
  <c r="C807" i="12"/>
  <c r="C799" i="12"/>
  <c r="C791" i="12"/>
  <c r="C783" i="12"/>
  <c r="C775" i="12"/>
  <c r="C767" i="12"/>
  <c r="C759" i="12"/>
  <c r="C751" i="12"/>
  <c r="C743" i="12"/>
  <c r="C735" i="12"/>
  <c r="C727" i="12"/>
  <c r="C719" i="12"/>
  <c r="C711" i="12"/>
  <c r="C703" i="12"/>
  <c r="C695" i="12"/>
  <c r="C687" i="12"/>
  <c r="C679" i="12"/>
  <c r="C671" i="12"/>
  <c r="C663" i="12"/>
  <c r="C655" i="12"/>
  <c r="C647" i="12"/>
  <c r="C639" i="12"/>
  <c r="C631" i="12"/>
  <c r="C623" i="12"/>
  <c r="C615" i="12"/>
  <c r="C607" i="12"/>
  <c r="C599" i="12"/>
  <c r="C591" i="12"/>
  <c r="C583" i="12"/>
  <c r="C575" i="12"/>
  <c r="C567" i="12"/>
  <c r="C559" i="12"/>
  <c r="C551" i="12"/>
  <c r="C543" i="12"/>
  <c r="C535" i="12"/>
  <c r="C527" i="12"/>
  <c r="C519" i="12"/>
  <c r="C511" i="12"/>
  <c r="C503" i="12"/>
  <c r="C495" i="12"/>
  <c r="C487" i="12"/>
  <c r="C479" i="12"/>
  <c r="C471" i="12"/>
  <c r="C463" i="12"/>
  <c r="C455" i="12"/>
  <c r="C447" i="12"/>
  <c r="C439" i="12"/>
  <c r="C431" i="12"/>
  <c r="C423" i="12"/>
  <c r="C415" i="12"/>
  <c r="C407" i="12"/>
  <c r="C399" i="12"/>
  <c r="C391" i="12"/>
  <c r="C383" i="12"/>
  <c r="C375" i="12"/>
  <c r="C367" i="12"/>
  <c r="C359" i="12"/>
  <c r="C351" i="12"/>
  <c r="C343" i="12"/>
  <c r="C335" i="12"/>
  <c r="C327" i="12"/>
  <c r="C319" i="12"/>
  <c r="C311" i="12"/>
  <c r="C303" i="12"/>
  <c r="C295" i="12"/>
  <c r="C287" i="12"/>
  <c r="C279" i="12"/>
  <c r="C271" i="12"/>
  <c r="C263" i="12"/>
  <c r="C255" i="12"/>
  <c r="C247" i="12"/>
  <c r="C239" i="12"/>
  <c r="C231" i="12"/>
  <c r="C223" i="12"/>
  <c r="C215" i="12"/>
  <c r="C207" i="12"/>
  <c r="C199" i="12"/>
  <c r="C191" i="12"/>
  <c r="C183" i="12"/>
  <c r="C175" i="12"/>
  <c r="C167" i="12"/>
  <c r="C159" i="12"/>
  <c r="C151" i="12"/>
  <c r="C143" i="12"/>
  <c r="C135" i="12"/>
  <c r="C127" i="12"/>
  <c r="C119" i="12"/>
  <c r="C111" i="12"/>
  <c r="C103" i="12"/>
  <c r="C95" i="12"/>
  <c r="C87" i="12"/>
  <c r="C79" i="12"/>
  <c r="C71" i="12"/>
  <c r="C63" i="12"/>
  <c r="C55" i="12"/>
  <c r="C47" i="12"/>
  <c r="C39" i="12"/>
  <c r="C31" i="12"/>
  <c r="C23" i="12"/>
  <c r="C15" i="12"/>
  <c r="C7" i="12"/>
  <c r="C2198" i="12"/>
  <c r="C2190" i="12"/>
  <c r="C2182" i="12"/>
  <c r="C2174" i="12"/>
  <c r="C2166" i="12"/>
  <c r="C2158" i="12"/>
  <c r="C2150" i="12"/>
  <c r="C2142" i="12"/>
  <c r="C2134" i="12"/>
  <c r="C2126" i="12"/>
  <c r="C2118" i="12"/>
  <c r="C2110" i="12"/>
  <c r="C2102" i="12"/>
  <c r="C2094" i="12"/>
  <c r="C2086" i="12"/>
  <c r="C2078" i="12"/>
  <c r="C2070" i="12"/>
  <c r="C2062" i="12"/>
  <c r="C2054" i="12"/>
  <c r="C2046" i="12"/>
  <c r="C2038" i="12"/>
  <c r="C2030" i="12"/>
  <c r="C2022" i="12"/>
  <c r="C2014" i="12"/>
  <c r="C2006" i="12"/>
  <c r="C1998" i="12"/>
  <c r="C1990" i="12"/>
  <c r="C1982" i="12"/>
  <c r="C1974" i="12"/>
  <c r="C1966" i="12"/>
  <c r="C1958" i="12"/>
  <c r="C1950" i="12"/>
  <c r="C1942" i="12"/>
  <c r="C1934" i="12"/>
  <c r="C1926" i="12"/>
  <c r="C1918" i="12"/>
  <c r="C1910" i="12"/>
  <c r="C1902" i="12"/>
  <c r="C1894" i="12"/>
  <c r="C1886" i="12"/>
  <c r="C1878" i="12"/>
  <c r="C1870" i="12"/>
  <c r="C1862" i="12"/>
  <c r="C1854" i="12"/>
  <c r="C1846" i="12"/>
  <c r="C1838" i="12"/>
  <c r="C1830" i="12"/>
  <c r="C1822" i="12"/>
  <c r="C1814" i="12"/>
  <c r="C1806" i="12"/>
  <c r="C1798" i="12"/>
  <c r="C1790" i="12"/>
  <c r="C1782" i="12"/>
  <c r="C1774" i="12"/>
  <c r="C1766" i="12"/>
  <c r="C1758" i="12"/>
  <c r="C1750" i="12"/>
  <c r="C1742" i="12"/>
  <c r="C1734" i="12"/>
  <c r="C1726" i="12"/>
  <c r="C1718" i="12"/>
  <c r="C1710" i="12"/>
  <c r="C1702" i="12"/>
  <c r="C1694" i="12"/>
  <c r="C1686" i="12"/>
  <c r="C1678" i="12"/>
  <c r="C1670" i="12"/>
  <c r="C1662" i="12"/>
  <c r="C1654" i="12"/>
  <c r="C1646" i="12"/>
  <c r="C1638" i="12"/>
  <c r="C1630" i="12"/>
  <c r="C1622" i="12"/>
  <c r="C1614" i="12"/>
  <c r="C1606" i="12"/>
  <c r="C1598" i="12"/>
  <c r="C1590" i="12"/>
  <c r="C1582" i="12"/>
  <c r="C1574" i="12"/>
  <c r="C1566" i="12"/>
  <c r="C1558" i="12"/>
  <c r="C1550" i="12"/>
  <c r="C1542" i="12"/>
  <c r="C1534" i="12"/>
  <c r="C1526" i="12"/>
  <c r="C1518" i="12"/>
  <c r="C1510" i="12"/>
  <c r="C1502" i="12"/>
  <c r="C1494" i="12"/>
  <c r="C1486" i="12"/>
  <c r="C1478" i="12"/>
  <c r="C1470" i="12"/>
  <c r="C1462" i="12"/>
  <c r="C1454" i="12"/>
  <c r="C1446" i="12"/>
  <c r="C1438" i="12"/>
  <c r="C1430" i="12"/>
  <c r="C1422" i="12"/>
  <c r="C1414" i="12"/>
  <c r="C1406" i="12"/>
  <c r="C1398" i="12"/>
  <c r="C1390" i="12"/>
  <c r="C1382" i="12"/>
  <c r="C1374" i="12"/>
  <c r="C1366" i="12"/>
  <c r="C1358" i="12"/>
  <c r="C1350" i="12"/>
  <c r="C1342" i="12"/>
  <c r="C1334" i="12"/>
  <c r="C1326" i="12"/>
  <c r="C1318" i="12"/>
  <c r="C1310" i="12"/>
  <c r="C1302" i="12"/>
  <c r="C1294" i="12"/>
  <c r="C1286" i="12"/>
  <c r="C1278" i="12"/>
  <c r="C1270" i="12"/>
  <c r="C1262" i="12"/>
  <c r="C1254" i="12"/>
  <c r="C1246" i="12"/>
  <c r="C1238" i="12"/>
  <c r="C1230" i="12"/>
  <c r="C1222" i="12"/>
  <c r="C1214" i="12"/>
  <c r="C1206" i="12"/>
  <c r="C1198" i="12"/>
  <c r="C1190" i="12"/>
  <c r="C1182" i="12"/>
  <c r="C1174" i="12"/>
  <c r="C1166" i="12"/>
  <c r="C1158" i="12"/>
  <c r="C1150" i="12"/>
  <c r="C1142" i="12"/>
  <c r="C1134" i="12"/>
  <c r="C1126" i="12"/>
  <c r="C1118" i="12"/>
  <c r="C1110" i="12"/>
  <c r="C1102" i="12"/>
  <c r="C1094" i="12"/>
  <c r="C1086" i="12"/>
  <c r="C1078" i="12"/>
  <c r="C1070" i="12"/>
  <c r="C1062" i="12"/>
  <c r="C1054" i="12"/>
  <c r="C1046" i="12"/>
  <c r="C1038" i="12"/>
  <c r="C1030" i="12"/>
  <c r="C1022" i="12"/>
  <c r="C1014" i="12"/>
  <c r="C1006" i="12"/>
  <c r="C998" i="12"/>
  <c r="C990" i="12"/>
  <c r="C982" i="12"/>
  <c r="C974" i="12"/>
  <c r="C966" i="12"/>
  <c r="C958" i="12"/>
  <c r="C950" i="12"/>
  <c r="C942" i="12"/>
  <c r="C934" i="12"/>
  <c r="C926" i="12"/>
  <c r="C918" i="12"/>
  <c r="C910" i="12"/>
  <c r="C902" i="12"/>
  <c r="C894" i="12"/>
  <c r="C886" i="12"/>
  <c r="C878" i="12"/>
  <c r="C870" i="12"/>
  <c r="C862" i="12"/>
  <c r="C854" i="12"/>
  <c r="C846" i="12"/>
  <c r="C838" i="12"/>
  <c r="C830" i="12"/>
  <c r="C822" i="12"/>
  <c r="C814" i="12"/>
  <c r="C806" i="12"/>
  <c r="C798" i="12"/>
  <c r="C790" i="12"/>
  <c r="C782" i="12"/>
  <c r="C774" i="12"/>
  <c r="C766" i="12"/>
  <c r="C758" i="12"/>
  <c r="C750" i="12"/>
  <c r="C742" i="12"/>
  <c r="C734" i="12"/>
  <c r="C726" i="12"/>
  <c r="C718" i="12"/>
  <c r="C710" i="12"/>
  <c r="C702" i="12"/>
  <c r="C694" i="12"/>
  <c r="C686" i="12"/>
  <c r="C678" i="12"/>
  <c r="C670" i="12"/>
  <c r="C662" i="12"/>
  <c r="C654" i="12"/>
  <c r="C646" i="12"/>
  <c r="C638" i="12"/>
  <c r="C630" i="12"/>
  <c r="C622" i="12"/>
  <c r="C614" i="12"/>
  <c r="C606" i="12"/>
  <c r="C598" i="12"/>
  <c r="C590" i="12"/>
  <c r="C582" i="12"/>
  <c r="C574" i="12"/>
  <c r="C566" i="12"/>
  <c r="C558" i="12"/>
  <c r="C550" i="12"/>
  <c r="C542" i="12"/>
  <c r="C534" i="12"/>
  <c r="C526" i="12"/>
  <c r="C518" i="12"/>
  <c r="C510" i="12"/>
  <c r="C502" i="12"/>
  <c r="C494" i="12"/>
  <c r="C486" i="12"/>
  <c r="C478" i="12"/>
  <c r="C470" i="12"/>
  <c r="C462" i="12"/>
  <c r="C454" i="12"/>
  <c r="C446" i="12"/>
  <c r="C438" i="12"/>
  <c r="C430" i="12"/>
  <c r="C422" i="12"/>
  <c r="C414" i="12"/>
  <c r="C406" i="12"/>
  <c r="C398" i="12"/>
  <c r="C390" i="12"/>
  <c r="C382" i="12"/>
  <c r="C374" i="12"/>
  <c r="C366" i="12"/>
  <c r="C358" i="12"/>
  <c r="C350" i="12"/>
  <c r="C342" i="12"/>
  <c r="C334" i="12"/>
  <c r="C326" i="12"/>
  <c r="C318" i="12"/>
  <c r="C310" i="12"/>
  <c r="C302" i="12"/>
  <c r="C294" i="12"/>
  <c r="C286" i="12"/>
  <c r="C278" i="12"/>
  <c r="C270" i="12"/>
  <c r="C262" i="12"/>
  <c r="C254" i="12"/>
  <c r="C246" i="12"/>
  <c r="C238" i="12"/>
  <c r="C230" i="12"/>
  <c r="C222" i="12"/>
  <c r="C214" i="12"/>
  <c r="C206" i="12"/>
  <c r="C198" i="12"/>
  <c r="C190" i="12"/>
  <c r="C182" i="12"/>
  <c r="C174" i="12"/>
  <c r="C166" i="12"/>
  <c r="C158" i="12"/>
  <c r="C150" i="12"/>
  <c r="C142" i="12"/>
  <c r="C134" i="12"/>
  <c r="C126" i="12"/>
  <c r="C118" i="12"/>
  <c r="C110" i="12"/>
  <c r="C102" i="12"/>
  <c r="C94" i="12"/>
  <c r="C86" i="12"/>
  <c r="C78" i="12"/>
  <c r="C70" i="12"/>
  <c r="C62" i="12"/>
  <c r="C54" i="12"/>
  <c r="C46" i="12"/>
  <c r="C38" i="12"/>
  <c r="C30" i="12"/>
  <c r="C22" i="12"/>
  <c r="C14" i="12"/>
  <c r="C6" i="12"/>
  <c r="C2197" i="12"/>
  <c r="C2189" i="12"/>
  <c r="C2181" i="12"/>
  <c r="C2173" i="12"/>
  <c r="C2165" i="12"/>
  <c r="C2157" i="12"/>
  <c r="C2149" i="12"/>
  <c r="C2141" i="12"/>
  <c r="C2133" i="12"/>
  <c r="C2125" i="12"/>
  <c r="C2117" i="12"/>
  <c r="C2109" i="12"/>
  <c r="C2101" i="12"/>
  <c r="C2093" i="12"/>
  <c r="C2085" i="12"/>
  <c r="C2077" i="12"/>
  <c r="C2069" i="12"/>
  <c r="C2061" i="12"/>
  <c r="C2053" i="12"/>
  <c r="C2045" i="12"/>
  <c r="C2037" i="12"/>
  <c r="C2029" i="12"/>
  <c r="C2021" i="12"/>
  <c r="C2013" i="12"/>
  <c r="C2005" i="12"/>
  <c r="C1997" i="12"/>
  <c r="C1989" i="12"/>
  <c r="C1981" i="12"/>
  <c r="C1973" i="12"/>
  <c r="C1965" i="12"/>
  <c r="C1957" i="12"/>
  <c r="C1949" i="12"/>
  <c r="C1941" i="12"/>
  <c r="C1933" i="12"/>
  <c r="C1925" i="12"/>
  <c r="C1917" i="12"/>
  <c r="C1909" i="12"/>
  <c r="C1901" i="12"/>
  <c r="C1893" i="12"/>
  <c r="C1885" i="12"/>
  <c r="C1877" i="12"/>
  <c r="C1869" i="12"/>
  <c r="C1861" i="12"/>
  <c r="C1853" i="12"/>
  <c r="C1845" i="12"/>
  <c r="C1837" i="12"/>
  <c r="C1829" i="12"/>
  <c r="C1821" i="12"/>
  <c r="C1813" i="12"/>
  <c r="C1805" i="12"/>
  <c r="C1797" i="12"/>
  <c r="C1789" i="12"/>
  <c r="C1781" i="12"/>
  <c r="C1773" i="12"/>
  <c r="C1765" i="12"/>
  <c r="C1757" i="12"/>
  <c r="C1749" i="12"/>
  <c r="C1741" i="12"/>
  <c r="C1733" i="12"/>
  <c r="C1725" i="12"/>
  <c r="C1717" i="12"/>
  <c r="C1709" i="12"/>
  <c r="C1701" i="12"/>
  <c r="C1693" i="12"/>
  <c r="C1685" i="12"/>
  <c r="C1677" i="12"/>
  <c r="C1669" i="12"/>
  <c r="C1661" i="12"/>
  <c r="C1653" i="12"/>
  <c r="C1645" i="12"/>
  <c r="C1637" i="12"/>
  <c r="C1629" i="12"/>
  <c r="C1621" i="12"/>
  <c r="C1613" i="12"/>
  <c r="C1605" i="12"/>
  <c r="C1597" i="12"/>
  <c r="C1589" i="12"/>
  <c r="C1581" i="12"/>
  <c r="C1573" i="12"/>
  <c r="C1565" i="12"/>
  <c r="C1557" i="12"/>
  <c r="C1549" i="12"/>
  <c r="C1541" i="12"/>
  <c r="C1533" i="12"/>
  <c r="C1525" i="12"/>
  <c r="C1517" i="12"/>
  <c r="C1509" i="12"/>
  <c r="C1501" i="12"/>
  <c r="C1493" i="12"/>
  <c r="C1485" i="12"/>
  <c r="C1477" i="12"/>
  <c r="C1469" i="12"/>
  <c r="C1461" i="12"/>
  <c r="C1453" i="12"/>
  <c r="C1445" i="12"/>
  <c r="C1437" i="12"/>
  <c r="C1429" i="12"/>
  <c r="C1421" i="12"/>
  <c r="C1413" i="12"/>
  <c r="C1405" i="12"/>
  <c r="C1397" i="12"/>
  <c r="C1389" i="12"/>
  <c r="C1381" i="12"/>
  <c r="C1373" i="12"/>
  <c r="C1365" i="12"/>
  <c r="C1357" i="12"/>
  <c r="C1349" i="12"/>
  <c r="C1341" i="12"/>
  <c r="C1333" i="12"/>
  <c r="C1325" i="12"/>
  <c r="C1317" i="12"/>
  <c r="C1309" i="12"/>
  <c r="C1301" i="12"/>
  <c r="C1293" i="12"/>
  <c r="C1285" i="12"/>
  <c r="C1277" i="12"/>
  <c r="C1269" i="12"/>
  <c r="C1261" i="12"/>
  <c r="C1253" i="12"/>
  <c r="C1245" i="12"/>
  <c r="C1237" i="12"/>
  <c r="C1229" i="12"/>
  <c r="C1221" i="12"/>
  <c r="C1213" i="12"/>
  <c r="C1205" i="12"/>
  <c r="C1197" i="12"/>
  <c r="C1189" i="12"/>
  <c r="C1181" i="12"/>
  <c r="C1173" i="12"/>
  <c r="C1165" i="12"/>
  <c r="C1157" i="12"/>
  <c r="C1149" i="12"/>
  <c r="C1141" i="12"/>
  <c r="C1133" i="12"/>
  <c r="C1125" i="12"/>
  <c r="C1117" i="12"/>
  <c r="C1109" i="12"/>
  <c r="C1101" i="12"/>
  <c r="C1093" i="12"/>
  <c r="C1085" i="12"/>
  <c r="C1077" i="12"/>
  <c r="C1069" i="12"/>
  <c r="C1061" i="12"/>
  <c r="C1053" i="12"/>
  <c r="C1045" i="12"/>
  <c r="C1037" i="12"/>
  <c r="C1029" i="12"/>
  <c r="C1021" i="12"/>
  <c r="C1013" i="12"/>
  <c r="C1005" i="12"/>
  <c r="C997" i="12"/>
  <c r="C989" i="12"/>
  <c r="C981" i="12"/>
  <c r="C973" i="12"/>
  <c r="C965" i="12"/>
  <c r="C957" i="12"/>
  <c r="C949" i="12"/>
  <c r="C941" i="12"/>
  <c r="C933" i="12"/>
  <c r="C925" i="12"/>
  <c r="C917" i="12"/>
  <c r="C909" i="12"/>
  <c r="C901" i="12"/>
  <c r="C893" i="12"/>
  <c r="C885" i="12"/>
  <c r="C877" i="12"/>
  <c r="C869" i="12"/>
  <c r="C861" i="12"/>
  <c r="C853" i="12"/>
  <c r="C845" i="12"/>
  <c r="C837" i="12"/>
  <c r="C829" i="12"/>
  <c r="C821" i="12"/>
  <c r="C813" i="12"/>
  <c r="C805" i="12"/>
  <c r="C797" i="12"/>
  <c r="C789" i="12"/>
  <c r="C781" i="12"/>
  <c r="C773" i="12"/>
  <c r="C765" i="12"/>
  <c r="C757" i="12"/>
  <c r="C749" i="12"/>
  <c r="C741" i="12"/>
  <c r="C733" i="12"/>
  <c r="C725" i="12"/>
  <c r="C717" i="12"/>
  <c r="C709" i="12"/>
  <c r="C701" i="12"/>
  <c r="C693" i="12"/>
  <c r="C685" i="12"/>
  <c r="C677" i="12"/>
  <c r="C669" i="12"/>
  <c r="C661" i="12"/>
  <c r="C653" i="12"/>
  <c r="C645" i="12"/>
  <c r="C637" i="12"/>
  <c r="C629" i="12"/>
  <c r="C621" i="12"/>
  <c r="C613" i="12"/>
  <c r="C605" i="12"/>
  <c r="C597" i="12"/>
  <c r="C589" i="12"/>
  <c r="C581" i="12"/>
  <c r="C573" i="12"/>
  <c r="C565" i="12"/>
  <c r="C557" i="12"/>
  <c r="C549" i="12"/>
  <c r="C541" i="12"/>
  <c r="C533" i="12"/>
  <c r="C525" i="12"/>
  <c r="C517" i="12"/>
  <c r="C509" i="12"/>
  <c r="C501" i="12"/>
  <c r="C493" i="12"/>
  <c r="C485" i="12"/>
  <c r="C477" i="12"/>
  <c r="C469" i="12"/>
  <c r="C461" i="12"/>
  <c r="C453" i="12"/>
  <c r="C445" i="12"/>
  <c r="C437" i="12"/>
  <c r="C429" i="12"/>
  <c r="C421" i="12"/>
  <c r="C413" i="12"/>
  <c r="C405" i="12"/>
  <c r="C397" i="12"/>
  <c r="C389" i="12"/>
  <c r="C381" i="12"/>
  <c r="C373" i="12"/>
  <c r="C365" i="12"/>
  <c r="C357" i="12"/>
  <c r="C349" i="12"/>
  <c r="C341" i="12"/>
  <c r="C333" i="12"/>
  <c r="C325" i="12"/>
  <c r="C317" i="12"/>
  <c r="C309" i="12"/>
  <c r="C301" i="12"/>
  <c r="C293" i="12"/>
  <c r="C285" i="12"/>
  <c r="C277" i="12"/>
  <c r="C269" i="12"/>
  <c r="C261" i="12"/>
  <c r="C253" i="12"/>
  <c r="C245" i="12"/>
  <c r="C237" i="12"/>
  <c r="C229" i="12"/>
  <c r="C221" i="12"/>
  <c r="C213" i="12"/>
  <c r="C205" i="12"/>
  <c r="C197" i="12"/>
  <c r="C189" i="12"/>
  <c r="C181" i="12"/>
  <c r="C173" i="12"/>
  <c r="C165" i="12"/>
  <c r="C157" i="12"/>
  <c r="C149" i="12"/>
  <c r="C141" i="12"/>
  <c r="C133" i="12"/>
  <c r="C125" i="12"/>
  <c r="C117" i="12"/>
  <c r="C109" i="12"/>
  <c r="C101" i="12"/>
  <c r="C93" i="12"/>
  <c r="C85" i="12"/>
  <c r="C77" i="12"/>
  <c r="C69" i="12"/>
  <c r="C61" i="12"/>
  <c r="C53" i="12"/>
  <c r="C45" i="12"/>
  <c r="C37" i="12"/>
  <c r="C29" i="12"/>
  <c r="C21" i="12"/>
  <c r="C13" i="12"/>
  <c r="C5" i="12"/>
  <c r="C2196" i="12"/>
  <c r="C2188" i="12"/>
  <c r="C2180" i="12"/>
  <c r="C2172" i="12"/>
  <c r="C2164" i="12"/>
  <c r="C2156" i="12"/>
  <c r="C2148" i="12"/>
  <c r="C2140" i="12"/>
  <c r="C2132" i="12"/>
  <c r="C2124" i="12"/>
  <c r="C2116" i="12"/>
  <c r="C2108" i="12"/>
  <c r="C2100" i="12"/>
  <c r="C2092" i="12"/>
  <c r="C2084" i="12"/>
  <c r="C2076" i="12"/>
  <c r="C2068" i="12"/>
  <c r="C2060" i="12"/>
  <c r="C2052" i="12"/>
  <c r="C2044" i="12"/>
  <c r="C2036" i="12"/>
  <c r="C2028" i="12"/>
  <c r="C2020" i="12"/>
  <c r="C2012" i="12"/>
  <c r="C2004" i="12"/>
  <c r="C1996" i="12"/>
  <c r="C1988" i="12"/>
  <c r="C1980" i="12"/>
  <c r="C1972" i="12"/>
  <c r="C1964" i="12"/>
  <c r="C1956" i="12"/>
  <c r="C1948" i="12"/>
  <c r="C1940" i="12"/>
  <c r="C1932" i="12"/>
  <c r="C1924" i="12"/>
  <c r="C1916" i="12"/>
  <c r="C1908" i="12"/>
  <c r="C1900" i="12"/>
  <c r="C1892" i="12"/>
  <c r="C1884" i="12"/>
  <c r="C1876" i="12"/>
  <c r="C1868" i="12"/>
  <c r="C1860" i="12"/>
  <c r="C1852" i="12"/>
  <c r="C1844" i="12"/>
  <c r="C1836" i="12"/>
  <c r="C1828" i="12"/>
  <c r="C1820" i="12"/>
  <c r="C1812" i="12"/>
  <c r="C1804" i="12"/>
  <c r="C1796" i="12"/>
  <c r="C1788" i="12"/>
  <c r="C1780" i="12"/>
  <c r="C1772" i="12"/>
  <c r="C1764" i="12"/>
  <c r="C1756" i="12"/>
  <c r="C1748" i="12"/>
  <c r="C1740" i="12"/>
  <c r="C1732" i="12"/>
  <c r="C1724" i="12"/>
  <c r="C1716" i="12"/>
  <c r="C1708" i="12"/>
  <c r="C1700" i="12"/>
  <c r="C1692" i="12"/>
  <c r="C1684" i="12"/>
  <c r="C1676" i="12"/>
  <c r="C1668" i="12"/>
  <c r="C1660" i="12"/>
  <c r="C1652" i="12"/>
  <c r="C1644" i="12"/>
  <c r="C1636" i="12"/>
  <c r="C1628" i="12"/>
  <c r="C1620" i="12"/>
  <c r="C1612" i="12"/>
  <c r="C1604" i="12"/>
  <c r="C1596" i="12"/>
  <c r="C1588" i="12"/>
  <c r="C1580" i="12"/>
  <c r="C1572" i="12"/>
  <c r="C1564" i="12"/>
  <c r="C1556" i="12"/>
  <c r="C1548" i="12"/>
  <c r="C1540" i="12"/>
  <c r="C1532" i="12"/>
  <c r="C1524" i="12"/>
  <c r="C1516" i="12"/>
  <c r="C1508" i="12"/>
  <c r="C1500" i="12"/>
  <c r="C1492" i="12"/>
  <c r="C1484" i="12"/>
  <c r="C1476" i="12"/>
  <c r="C1468" i="12"/>
  <c r="C1460" i="12"/>
  <c r="C1452" i="12"/>
  <c r="C1444" i="12"/>
  <c r="C1436" i="12"/>
  <c r="C1428" i="12"/>
  <c r="C1420" i="12"/>
  <c r="C1412" i="12"/>
  <c r="C1404" i="12"/>
  <c r="C1396" i="12"/>
  <c r="C1388" i="12"/>
  <c r="C1380" i="12"/>
  <c r="C1372" i="12"/>
  <c r="C1364" i="12"/>
  <c r="C1356" i="12"/>
  <c r="C1348" i="12"/>
  <c r="C1340" i="12"/>
  <c r="C1332" i="12"/>
  <c r="C1324" i="12"/>
  <c r="C1316" i="12"/>
  <c r="C1308" i="12"/>
  <c r="C1300" i="12"/>
  <c r="C1292" i="12"/>
  <c r="C1284" i="12"/>
  <c r="C1276" i="12"/>
  <c r="C1268" i="12"/>
  <c r="C1260" i="12"/>
  <c r="C1252" i="12"/>
  <c r="C1244" i="12"/>
  <c r="C1236" i="12"/>
  <c r="C1228" i="12"/>
  <c r="C1220" i="12"/>
  <c r="C1212" i="12"/>
  <c r="C1204" i="12"/>
  <c r="C1196" i="12"/>
  <c r="C1188" i="12"/>
  <c r="C1180" i="12"/>
  <c r="C1172" i="12"/>
  <c r="C1164" i="12"/>
  <c r="C1156" i="12"/>
  <c r="C1148" i="12"/>
  <c r="C1140" i="12"/>
  <c r="C1132" i="12"/>
  <c r="C1124" i="12"/>
  <c r="C1116" i="12"/>
  <c r="C1108" i="12"/>
  <c r="C1100" i="12"/>
  <c r="C1092" i="12"/>
  <c r="C1084" i="12"/>
  <c r="C1076" i="12"/>
  <c r="C1068" i="12"/>
  <c r="C1060" i="12"/>
  <c r="C1052" i="12"/>
  <c r="C1044" i="12"/>
  <c r="C1036" i="12"/>
  <c r="C1028" i="12"/>
  <c r="C1020" i="12"/>
  <c r="C1012" i="12"/>
  <c r="C1004" i="12"/>
  <c r="C996" i="12"/>
  <c r="C988" i="12"/>
  <c r="C980" i="12"/>
  <c r="C972" i="12"/>
  <c r="C964" i="12"/>
  <c r="C956" i="12"/>
  <c r="C948" i="12"/>
  <c r="C940" i="12"/>
  <c r="C932" i="12"/>
  <c r="C924" i="12"/>
  <c r="C916" i="12"/>
  <c r="C908" i="12"/>
  <c r="C900" i="12"/>
  <c r="C892" i="12"/>
  <c r="C884" i="12"/>
  <c r="C876" i="12"/>
  <c r="C868" i="12"/>
  <c r="C860" i="12"/>
  <c r="C852" i="12"/>
  <c r="C844" i="12"/>
  <c r="C836" i="12"/>
  <c r="C828" i="12"/>
  <c r="C820" i="12"/>
  <c r="C812" i="12"/>
  <c r="C804" i="12"/>
  <c r="C796" i="12"/>
  <c r="C788" i="12"/>
  <c r="C780" i="12"/>
  <c r="C772" i="12"/>
  <c r="C764" i="12"/>
  <c r="C756" i="12"/>
  <c r="C748" i="12"/>
  <c r="C740" i="12"/>
  <c r="C732" i="12"/>
  <c r="C724" i="12"/>
  <c r="C716" i="12"/>
  <c r="C708" i="12"/>
  <c r="C700" i="12"/>
  <c r="C692" i="12"/>
  <c r="C684" i="12"/>
  <c r="C676" i="12"/>
  <c r="C668" i="12"/>
  <c r="C660" i="12"/>
  <c r="C652" i="12"/>
  <c r="C644" i="12"/>
  <c r="C636" i="12"/>
  <c r="C628" i="12"/>
  <c r="C620" i="12"/>
  <c r="C612" i="12"/>
  <c r="C604" i="12"/>
  <c r="C596" i="12"/>
  <c r="C588" i="12"/>
  <c r="C580" i="12"/>
  <c r="C572" i="12"/>
  <c r="C564" i="12"/>
  <c r="C556" i="12"/>
  <c r="C548" i="12"/>
  <c r="C540" i="12"/>
  <c r="C532" i="12"/>
  <c r="C524" i="12"/>
  <c r="C516" i="12"/>
  <c r="C508" i="12"/>
  <c r="C500" i="12"/>
  <c r="C492" i="12"/>
  <c r="C484" i="12"/>
  <c r="C476" i="12"/>
  <c r="C468" i="12"/>
  <c r="C460" i="12"/>
  <c r="C452" i="12"/>
  <c r="C444" i="12"/>
  <c r="C436" i="12"/>
  <c r="C428" i="12"/>
  <c r="C420" i="12"/>
  <c r="C412" i="12"/>
  <c r="C404" i="12"/>
  <c r="C396" i="12"/>
  <c r="C388" i="12"/>
  <c r="C380" i="12"/>
  <c r="C372" i="12"/>
  <c r="C364" i="12"/>
  <c r="C356" i="12"/>
  <c r="C348" i="12"/>
  <c r="C340" i="12"/>
  <c r="C332" i="12"/>
  <c r="C324" i="12"/>
  <c r="C316" i="12"/>
  <c r="C308" i="12"/>
  <c r="C300" i="12"/>
  <c r="C292" i="12"/>
  <c r="C284" i="12"/>
  <c r="C276" i="12"/>
  <c r="C268" i="12"/>
  <c r="C260" i="12"/>
  <c r="C252" i="12"/>
  <c r="C244" i="12"/>
  <c r="C236" i="12"/>
  <c r="C228" i="12"/>
  <c r="C220" i="12"/>
  <c r="C212" i="12"/>
  <c r="C204" i="12"/>
  <c r="C196" i="12"/>
  <c r="C188" i="12"/>
  <c r="C180" i="12"/>
  <c r="C172" i="12"/>
  <c r="C164" i="12"/>
  <c r="C156" i="12"/>
  <c r="C148" i="12"/>
  <c r="C140" i="12"/>
  <c r="C132" i="12"/>
  <c r="C124" i="12"/>
  <c r="C116" i="12"/>
  <c r="C108" i="12"/>
  <c r="C100" i="12"/>
  <c r="C92" i="12"/>
  <c r="C84" i="12"/>
  <c r="C76" i="12"/>
  <c r="C68" i="12"/>
  <c r="C60" i="12"/>
  <c r="C52" i="12"/>
  <c r="C44" i="12"/>
  <c r="C36" i="12"/>
  <c r="C28" i="12"/>
  <c r="C20" i="12"/>
  <c r="C12" i="12"/>
  <c r="C4" i="12"/>
  <c r="C2195" i="12"/>
  <c r="C2187" i="12"/>
  <c r="C2179" i="12"/>
  <c r="C2171" i="12"/>
  <c r="C2163" i="12"/>
  <c r="C2155" i="12"/>
  <c r="C2147" i="12"/>
  <c r="C2139" i="12"/>
  <c r="C2131" i="12"/>
  <c r="C2123" i="12"/>
  <c r="C2115" i="12"/>
  <c r="C2107" i="12"/>
  <c r="C2099" i="12"/>
  <c r="C2091" i="12"/>
  <c r="C2083" i="12"/>
  <c r="C2075" i="12"/>
  <c r="C2067" i="12"/>
  <c r="C2059" i="12"/>
  <c r="C2051" i="12"/>
  <c r="C2043" i="12"/>
  <c r="C2035" i="12"/>
  <c r="C2027" i="12"/>
  <c r="C2019" i="12"/>
  <c r="C2011" i="12"/>
  <c r="C2003" i="12"/>
  <c r="C1995" i="12"/>
  <c r="C1987" i="12"/>
  <c r="C1979" i="12"/>
  <c r="C1971" i="12"/>
  <c r="C1963" i="12"/>
  <c r="C1955" i="12"/>
  <c r="C1947" i="12"/>
  <c r="C1939" i="12"/>
  <c r="C1931" i="12"/>
  <c r="C1923" i="12"/>
  <c r="C1915" i="12"/>
  <c r="C1907" i="12"/>
  <c r="C1899" i="12"/>
  <c r="C1891" i="12"/>
  <c r="C1883" i="12"/>
  <c r="C1875" i="12"/>
  <c r="C1867" i="12"/>
  <c r="C1859" i="12"/>
  <c r="C1851" i="12"/>
  <c r="C1843" i="12"/>
  <c r="C1835" i="12"/>
  <c r="C1827" i="12"/>
  <c r="C1819" i="12"/>
  <c r="C1811" i="12"/>
  <c r="C1803" i="12"/>
  <c r="C1795" i="12"/>
  <c r="C1787" i="12"/>
  <c r="C1779" i="12"/>
  <c r="C1771" i="12"/>
  <c r="C1763" i="12"/>
  <c r="C1755" i="12"/>
  <c r="C1747" i="12"/>
  <c r="C1739" i="12"/>
  <c r="C1731" i="12"/>
  <c r="C1723" i="12"/>
  <c r="C1715" i="12"/>
  <c r="C1707" i="12"/>
  <c r="C1699" i="12"/>
  <c r="C1691" i="12"/>
  <c r="C1683" i="12"/>
  <c r="C1675" i="12"/>
  <c r="C1667" i="12"/>
  <c r="C1659" i="12"/>
  <c r="C1651" i="12"/>
  <c r="C1643" i="12"/>
  <c r="C1635" i="12"/>
  <c r="C1627" i="12"/>
  <c r="C1619" i="12"/>
  <c r="C1611" i="12"/>
  <c r="C1603" i="12"/>
  <c r="C1595" i="12"/>
  <c r="C1587" i="12"/>
  <c r="C1579" i="12"/>
  <c r="C1571" i="12"/>
  <c r="C1563" i="12"/>
  <c r="C1555" i="12"/>
  <c r="C1547" i="12"/>
  <c r="C1539" i="12"/>
  <c r="C1531" i="12"/>
  <c r="C1523" i="12"/>
  <c r="C1515" i="12"/>
  <c r="C1507" i="12"/>
  <c r="C1499" i="12"/>
  <c r="C1491" i="12"/>
  <c r="C1483" i="12"/>
  <c r="C1475" i="12"/>
  <c r="C1467" i="12"/>
  <c r="C1459" i="12"/>
  <c r="C1451" i="12"/>
  <c r="C1443" i="12"/>
  <c r="C1435" i="12"/>
  <c r="C1427" i="12"/>
  <c r="C1419" i="12"/>
  <c r="C1411" i="12"/>
  <c r="C1403" i="12"/>
  <c r="C1395" i="12"/>
  <c r="C1387" i="12"/>
  <c r="C1379" i="12"/>
  <c r="C1371" i="12"/>
  <c r="C1363" i="12"/>
  <c r="C1355" i="12"/>
  <c r="C1347" i="12"/>
  <c r="C1339" i="12"/>
  <c r="C1331" i="12"/>
  <c r="C1323" i="12"/>
  <c r="C1315" i="12"/>
  <c r="C1307" i="12"/>
  <c r="C1299" i="12"/>
  <c r="C1291" i="12"/>
  <c r="C1283" i="12"/>
  <c r="C1275" i="12"/>
  <c r="C1267" i="12"/>
  <c r="C1259" i="12"/>
  <c r="C1251" i="12"/>
  <c r="C1243" i="12"/>
  <c r="C1235" i="12"/>
  <c r="C1227" i="12"/>
  <c r="C1219" i="12"/>
  <c r="C1211" i="12"/>
  <c r="C1203" i="12"/>
  <c r="C1195" i="12"/>
  <c r="C1187" i="12"/>
  <c r="C1179" i="12"/>
  <c r="C1171" i="12"/>
  <c r="C1163" i="12"/>
  <c r="C1155" i="12"/>
  <c r="C1147" i="12"/>
  <c r="C1139" i="12"/>
  <c r="C1131" i="12"/>
  <c r="C1123" i="12"/>
  <c r="C1115" i="12"/>
  <c r="C1107" i="12"/>
  <c r="C1099" i="12"/>
  <c r="C1091" i="12"/>
  <c r="C1083" i="12"/>
  <c r="C1075" i="12"/>
  <c r="C1067" i="12"/>
  <c r="C1059" i="12"/>
  <c r="C1051" i="12"/>
  <c r="C1043" i="12"/>
  <c r="C1035" i="12"/>
  <c r="C1027" i="12"/>
  <c r="C1019" i="12"/>
  <c r="C1011" i="12"/>
  <c r="C1003" i="12"/>
  <c r="C995" i="12"/>
  <c r="C987" i="12"/>
  <c r="C979" i="12"/>
  <c r="C971" i="12"/>
  <c r="C963" i="12"/>
  <c r="C955" i="12"/>
  <c r="C947" i="12"/>
  <c r="C939" i="12"/>
  <c r="C931" i="12"/>
  <c r="C923" i="12"/>
  <c r="C915" i="12"/>
  <c r="C907" i="12"/>
  <c r="C899" i="12"/>
  <c r="C891" i="12"/>
  <c r="C883" i="12"/>
  <c r="C875" i="12"/>
  <c r="C867" i="12"/>
  <c r="C859" i="12"/>
  <c r="C851" i="12"/>
  <c r="C843" i="12"/>
  <c r="C835" i="12"/>
  <c r="C827" i="12"/>
  <c r="C819" i="12"/>
  <c r="C811" i="12"/>
  <c r="C803" i="12"/>
  <c r="C795" i="12"/>
  <c r="C787" i="12"/>
  <c r="C779" i="12"/>
  <c r="C771" i="12"/>
  <c r="C763" i="12"/>
  <c r="C755" i="12"/>
  <c r="C747" i="12"/>
  <c r="C739" i="12"/>
  <c r="C731" i="12"/>
  <c r="C723" i="12"/>
  <c r="C715" i="12"/>
  <c r="C707" i="12"/>
  <c r="C699" i="12"/>
  <c r="C691" i="12"/>
  <c r="C683" i="12"/>
  <c r="C675" i="12"/>
  <c r="C667" i="12"/>
  <c r="C659" i="12"/>
  <c r="C651" i="12"/>
  <c r="C643" i="12"/>
  <c r="C635" i="12"/>
  <c r="C627" i="12"/>
  <c r="C619" i="12"/>
  <c r="C611" i="12"/>
  <c r="C603" i="12"/>
  <c r="C595" i="12"/>
  <c r="C587" i="12"/>
  <c r="C579" i="12"/>
  <c r="C571" i="12"/>
  <c r="C563" i="12"/>
  <c r="C555" i="12"/>
  <c r="C547" i="12"/>
  <c r="C539" i="12"/>
  <c r="C531" i="12"/>
  <c r="C523" i="12"/>
  <c r="C515" i="12"/>
  <c r="C507" i="12"/>
  <c r="C499" i="12"/>
  <c r="C491" i="12"/>
  <c r="C483" i="12"/>
  <c r="C475" i="12"/>
  <c r="C467" i="12"/>
  <c r="C459" i="12"/>
  <c r="C451" i="12"/>
  <c r="C443" i="12"/>
  <c r="C435" i="12"/>
  <c r="C427" i="12"/>
  <c r="C419" i="12"/>
  <c r="C411" i="12"/>
  <c r="C403" i="12"/>
  <c r="C395" i="12"/>
  <c r="C387" i="12"/>
  <c r="C379" i="12"/>
  <c r="C371" i="12"/>
  <c r="C363" i="12"/>
  <c r="C355" i="12"/>
  <c r="C347" i="12"/>
  <c r="C339" i="12"/>
  <c r="C331" i="12"/>
  <c r="C323" i="12"/>
  <c r="C315" i="12"/>
  <c r="C307" i="12"/>
  <c r="C299" i="12"/>
  <c r="C291" i="12"/>
  <c r="C283" i="12"/>
  <c r="C275" i="12"/>
  <c r="C267" i="12"/>
  <c r="C259" i="12"/>
  <c r="C251" i="12"/>
  <c r="C243" i="12"/>
  <c r="C235" i="12"/>
  <c r="C227" i="12"/>
  <c r="C219" i="12"/>
  <c r="C211" i="12"/>
  <c r="C203" i="12"/>
  <c r="C195" i="12"/>
  <c r="C187" i="12"/>
  <c r="C179" i="12"/>
  <c r="C171" i="12"/>
  <c r="C163" i="12"/>
  <c r="C155" i="12"/>
  <c r="C147" i="12"/>
  <c r="C139" i="12"/>
  <c r="C131" i="12"/>
  <c r="C123" i="12"/>
  <c r="C115" i="12"/>
  <c r="C107" i="12"/>
  <c r="C99" i="12"/>
  <c r="C91" i="12"/>
  <c r="C83" i="12"/>
  <c r="C75" i="12"/>
  <c r="C67" i="12"/>
  <c r="C59" i="12"/>
  <c r="C51" i="12"/>
  <c r="C43" i="12"/>
  <c r="C35" i="12"/>
  <c r="C27" i="12"/>
  <c r="C19" i="12"/>
  <c r="C11" i="12"/>
  <c r="C3" i="12"/>
  <c r="C2186" i="12"/>
  <c r="C2122" i="12"/>
  <c r="C2058" i="12"/>
  <c r="C1994" i="12"/>
  <c r="C1930" i="12"/>
  <c r="C1866" i="12"/>
  <c r="C1802" i="12"/>
  <c r="C1738" i="12"/>
  <c r="C1674" i="12"/>
  <c r="C1610" i="12"/>
  <c r="C1546" i="12"/>
  <c r="C1482" i="12"/>
  <c r="C1418" i="12"/>
  <c r="C1354" i="12"/>
  <c r="C1290" i="12"/>
  <c r="C1226" i="12"/>
  <c r="C1162" i="12"/>
  <c r="C1098" i="12"/>
  <c r="C1034" i="12"/>
  <c r="C970" i="12"/>
  <c r="C906" i="12"/>
  <c r="C842" i="12"/>
  <c r="C778" i="12"/>
  <c r="C714" i="12"/>
  <c r="C650" i="12"/>
  <c r="C586" i="12"/>
  <c r="C522" i="12"/>
  <c r="C458" i="12"/>
  <c r="C394" i="12"/>
  <c r="C330" i="12"/>
  <c r="C266" i="12"/>
  <c r="C202" i="12"/>
  <c r="C138" i="12"/>
  <c r="C74" i="12"/>
  <c r="C10" i="12"/>
  <c r="C2178" i="12"/>
  <c r="C2114" i="12"/>
  <c r="C2050" i="12"/>
  <c r="C1986" i="12"/>
  <c r="C1922" i="12"/>
  <c r="C1858" i="12"/>
  <c r="C1794" i="12"/>
  <c r="C1730" i="12"/>
  <c r="C1666" i="12"/>
  <c r="C1602" i="12"/>
  <c r="C1538" i="12"/>
  <c r="C1474" i="12"/>
  <c r="C1410" i="12"/>
  <c r="C1346" i="12"/>
  <c r="C1282" i="12"/>
  <c r="C1218" i="12"/>
  <c r="C1154" i="12"/>
  <c r="C1090" i="12"/>
  <c r="C1026" i="12"/>
  <c r="C962" i="12"/>
  <c r="C898" i="12"/>
  <c r="C834" i="12"/>
  <c r="C770" i="12"/>
  <c r="C706" i="12"/>
  <c r="C642" i="12"/>
  <c r="C578" i="12"/>
  <c r="C514" i="12"/>
  <c r="C450" i="12"/>
  <c r="C386" i="12"/>
  <c r="C322" i="12"/>
  <c r="C258" i="12"/>
  <c r="C194" i="12"/>
  <c r="C130" i="12"/>
  <c r="C66" i="12"/>
  <c r="C2170" i="12"/>
  <c r="C2106" i="12"/>
  <c r="C2042" i="12"/>
  <c r="C1978" i="12"/>
  <c r="C1914" i="12"/>
  <c r="C1850" i="12"/>
  <c r="C1786" i="12"/>
  <c r="C1722" i="12"/>
  <c r="C1658" i="12"/>
  <c r="C1594" i="12"/>
  <c r="C1530" i="12"/>
  <c r="C1466" i="12"/>
  <c r="C1402" i="12"/>
  <c r="C1338" i="12"/>
  <c r="C1274" i="12"/>
  <c r="C1210" i="12"/>
  <c r="C1146" i="12"/>
  <c r="C1082" i="12"/>
  <c r="C1018" i="12"/>
  <c r="C954" i="12"/>
  <c r="C890" i="12"/>
  <c r="C826" i="12"/>
  <c r="C762" i="12"/>
  <c r="C698" i="12"/>
  <c r="C634" i="12"/>
  <c r="C570" i="12"/>
  <c r="C506" i="12"/>
  <c r="C442" i="12"/>
  <c r="C378" i="12"/>
  <c r="C314" i="12"/>
  <c r="C250" i="12"/>
  <c r="C186" i="12"/>
  <c r="C122" i="12"/>
  <c r="C58" i="12"/>
  <c r="C2162" i="12"/>
  <c r="C2098" i="12"/>
  <c r="C2034" i="12"/>
  <c r="C1970" i="12"/>
  <c r="C1906" i="12"/>
  <c r="C1842" i="12"/>
  <c r="C1778" i="12"/>
  <c r="C1714" i="12"/>
  <c r="C1650" i="12"/>
  <c r="C1586" i="12"/>
  <c r="C1522" i="12"/>
  <c r="C1458" i="12"/>
  <c r="C1394" i="12"/>
  <c r="C1330" i="12"/>
  <c r="C1266" i="12"/>
  <c r="C1202" i="12"/>
  <c r="C1138" i="12"/>
  <c r="C1074" i="12"/>
  <c r="C1010" i="12"/>
  <c r="C946" i="12"/>
  <c r="C882" i="12"/>
  <c r="C818" i="12"/>
  <c r="C754" i="12"/>
  <c r="C690" i="12"/>
  <c r="C626" i="12"/>
  <c r="C562" i="12"/>
  <c r="C498" i="12"/>
  <c r="C434" i="12"/>
  <c r="C370" i="12"/>
  <c r="C306" i="12"/>
  <c r="C242" i="12"/>
  <c r="C178" i="12"/>
  <c r="C114" i="12"/>
  <c r="C50" i="12"/>
  <c r="C2154" i="12"/>
  <c r="C2090" i="12"/>
  <c r="C2026" i="12"/>
  <c r="C1962" i="12"/>
  <c r="C1898" i="12"/>
  <c r="C1834" i="12"/>
  <c r="C1770" i="12"/>
  <c r="C1706" i="12"/>
  <c r="C1642" i="12"/>
  <c r="C1578" i="12"/>
  <c r="C1514" i="12"/>
  <c r="C1450" i="12"/>
  <c r="C1386" i="12"/>
  <c r="C1322" i="12"/>
  <c r="C1258" i="12"/>
  <c r="C1194" i="12"/>
  <c r="C1130" i="12"/>
  <c r="C1066" i="12"/>
  <c r="C1002" i="12"/>
  <c r="C938" i="12"/>
  <c r="C874" i="12"/>
  <c r="C810" i="12"/>
  <c r="C746" i="12"/>
  <c r="C682" i="12"/>
  <c r="C618" i="12"/>
  <c r="C554" i="12"/>
  <c r="C490" i="12"/>
  <c r="C426" i="12"/>
  <c r="C362" i="12"/>
  <c r="C298" i="12"/>
  <c r="C234" i="12"/>
  <c r="C170" i="12"/>
  <c r="C106" i="12"/>
  <c r="C42" i="12"/>
  <c r="C2146" i="12"/>
  <c r="C2082" i="12"/>
  <c r="C2018" i="12"/>
  <c r="C1954" i="12"/>
  <c r="C1890" i="12"/>
  <c r="C1826" i="12"/>
  <c r="C1762" i="12"/>
  <c r="C1698" i="12"/>
  <c r="C1634" i="12"/>
  <c r="C1570" i="12"/>
  <c r="C1506" i="12"/>
  <c r="C1442" i="12"/>
  <c r="C1378" i="12"/>
  <c r="C1314" i="12"/>
  <c r="C1250" i="12"/>
  <c r="C1186" i="12"/>
  <c r="C1122" i="12"/>
  <c r="C1058" i="12"/>
  <c r="C994" i="12"/>
  <c r="C930" i="12"/>
  <c r="C866" i="12"/>
  <c r="C802" i="12"/>
  <c r="C738" i="12"/>
  <c r="C674" i="12"/>
  <c r="C610" i="12"/>
  <c r="C546" i="12"/>
  <c r="C482" i="12"/>
  <c r="C418" i="12"/>
  <c r="C354" i="12"/>
  <c r="C290" i="12"/>
  <c r="C226" i="12"/>
  <c r="C162" i="12"/>
  <c r="C98" i="12"/>
  <c r="C34" i="12"/>
  <c r="C2194" i="12"/>
  <c r="C2130" i="12"/>
  <c r="C2066" i="12"/>
  <c r="C2002" i="12"/>
  <c r="C1938" i="12"/>
  <c r="C1874" i="12"/>
  <c r="C1810" i="12"/>
  <c r="C1746" i="12"/>
  <c r="C1682" i="12"/>
  <c r="C1618" i="12"/>
  <c r="C1554" i="12"/>
  <c r="C1490" i="12"/>
  <c r="C1426" i="12"/>
  <c r="C1362" i="12"/>
  <c r="C1298" i="12"/>
  <c r="C1234" i="12"/>
  <c r="C1170" i="12"/>
  <c r="C1106" i="12"/>
  <c r="C1042" i="12"/>
  <c r="C978" i="12"/>
  <c r="C914" i="12"/>
  <c r="C850" i="12"/>
  <c r="C786" i="12"/>
  <c r="C722" i="12"/>
  <c r="C658" i="12"/>
  <c r="C594" i="12"/>
  <c r="C530" i="12"/>
  <c r="C466" i="12"/>
  <c r="C402" i="12"/>
  <c r="C338" i="12"/>
  <c r="C274" i="12"/>
  <c r="C210" i="12"/>
  <c r="C146" i="12"/>
  <c r="C82" i="12"/>
  <c r="C18" i="12"/>
  <c r="C1690" i="12"/>
  <c r="C1178" i="12"/>
  <c r="C666" i="12"/>
  <c r="C154" i="12"/>
  <c r="C2138" i="12"/>
  <c r="C1626" i="12"/>
  <c r="C1114" i="12"/>
  <c r="C602" i="12"/>
  <c r="C90" i="12"/>
  <c r="C2074" i="12"/>
  <c r="C1562" i="12"/>
  <c r="C1050" i="12"/>
  <c r="C538" i="12"/>
  <c r="C26" i="12"/>
  <c r="C2010" i="12"/>
  <c r="C1498" i="12"/>
  <c r="C986" i="12"/>
  <c r="C474" i="12"/>
  <c r="C1946" i="12"/>
  <c r="C1434" i="12"/>
  <c r="C922" i="12"/>
  <c r="C410" i="12"/>
  <c r="C1882" i="12"/>
  <c r="C1370" i="12"/>
  <c r="C858" i="12"/>
  <c r="C346" i="12"/>
  <c r="C1818" i="12"/>
  <c r="C1306" i="12"/>
  <c r="C794" i="12"/>
  <c r="C282" i="12"/>
  <c r="C1754" i="12"/>
  <c r="C1242" i="12"/>
  <c r="C730" i="12"/>
  <c r="C218" i="12"/>
  <c r="F297" i="2"/>
  <c r="F289" i="2"/>
  <c r="F281" i="2"/>
  <c r="F273" i="2"/>
  <c r="F265" i="2"/>
  <c r="F257" i="2"/>
  <c r="F249" i="2"/>
  <c r="F241" i="2"/>
  <c r="F233" i="2"/>
  <c r="F225" i="2"/>
  <c r="F217" i="2"/>
  <c r="F209" i="2"/>
  <c r="F201" i="2"/>
  <c r="F193" i="2"/>
  <c r="F185" i="2"/>
  <c r="F177" i="2"/>
  <c r="F169" i="2"/>
  <c r="F161" i="2"/>
  <c r="F153" i="2"/>
  <c r="F145" i="2"/>
  <c r="F137" i="2"/>
  <c r="F129" i="2"/>
  <c r="F121" i="2"/>
  <c r="F113" i="2"/>
  <c r="F105" i="2"/>
  <c r="F97" i="2"/>
  <c r="F89" i="2"/>
  <c r="F81" i="2"/>
  <c r="F73" i="2"/>
  <c r="F65" i="2"/>
  <c r="F57" i="2"/>
  <c r="F49" i="2"/>
  <c r="F41" i="2"/>
  <c r="F33" i="2"/>
  <c r="F25" i="2"/>
  <c r="F17" i="2"/>
  <c r="F9" i="2"/>
  <c r="F2" i="2"/>
  <c r="F296" i="2"/>
  <c r="F288" i="2"/>
  <c r="F280" i="2"/>
  <c r="F272" i="2"/>
  <c r="F264" i="2"/>
  <c r="F256" i="2"/>
  <c r="F248" i="2"/>
  <c r="F240" i="2"/>
  <c r="F232" i="2"/>
  <c r="F224" i="2"/>
  <c r="F216" i="2"/>
  <c r="F208" i="2"/>
  <c r="F200" i="2"/>
  <c r="F192" i="2"/>
  <c r="F184" i="2"/>
  <c r="F176" i="2"/>
  <c r="F168" i="2"/>
  <c r="F160" i="2"/>
  <c r="F152" i="2"/>
  <c r="F144" i="2"/>
  <c r="F136" i="2"/>
  <c r="F128" i="2"/>
  <c r="F120" i="2"/>
  <c r="F112" i="2"/>
  <c r="F104" i="2"/>
  <c r="F96" i="2"/>
  <c r="F88" i="2"/>
  <c r="F80" i="2"/>
  <c r="F72" i="2"/>
  <c r="F64" i="2"/>
  <c r="F56" i="2"/>
  <c r="F48" i="2"/>
  <c r="F40" i="2"/>
  <c r="F32" i="2"/>
  <c r="F24" i="2"/>
  <c r="F16" i="2"/>
  <c r="F8" i="2"/>
  <c r="F284" i="2"/>
  <c r="F260" i="2"/>
  <c r="F244" i="2"/>
  <c r="F228" i="2"/>
  <c r="F212" i="2"/>
  <c r="F196" i="2"/>
  <c r="F180" i="2"/>
  <c r="F164" i="2"/>
  <c r="F148" i="2"/>
  <c r="F132" i="2"/>
  <c r="F116" i="2"/>
  <c r="F100" i="2"/>
  <c r="F84" i="2"/>
  <c r="F68" i="2"/>
  <c r="F52" i="2"/>
  <c r="F28" i="2"/>
  <c r="F12" i="2"/>
  <c r="F291" i="2"/>
  <c r="F275" i="2"/>
  <c r="F259" i="2"/>
  <c r="F243" i="2"/>
  <c r="F219" i="2"/>
  <c r="F203" i="2"/>
  <c r="F187" i="2"/>
  <c r="F179" i="2"/>
  <c r="F163" i="2"/>
  <c r="F147" i="2"/>
  <c r="F123" i="2"/>
  <c r="F107" i="2"/>
  <c r="F91" i="2"/>
  <c r="F67" i="2"/>
  <c r="F51" i="2"/>
  <c r="F27" i="2"/>
  <c r="F11" i="2"/>
  <c r="F282" i="2"/>
  <c r="F266" i="2"/>
  <c r="F242" i="2"/>
  <c r="F226" i="2"/>
  <c r="F202" i="2"/>
  <c r="F178" i="2"/>
  <c r="F162" i="2"/>
  <c r="F138" i="2"/>
  <c r="F114" i="2"/>
  <c r="F98" i="2"/>
  <c r="F74" i="2"/>
  <c r="F58" i="2"/>
  <c r="F34" i="2"/>
  <c r="F10" i="2"/>
  <c r="F283" i="2"/>
  <c r="F267" i="2"/>
  <c r="F251" i="2"/>
  <c r="F235" i="2"/>
  <c r="F211" i="2"/>
  <c r="F195" i="2"/>
  <c r="F171" i="2"/>
  <c r="F155" i="2"/>
  <c r="F139" i="2"/>
  <c r="F115" i="2"/>
  <c r="F99" i="2"/>
  <c r="F83" i="2"/>
  <c r="F59" i="2"/>
  <c r="F43" i="2"/>
  <c r="F19" i="2"/>
  <c r="F3" i="2"/>
  <c r="F298" i="2"/>
  <c r="F274" i="2"/>
  <c r="F258" i="2"/>
  <c r="F234" i="2"/>
  <c r="F218" i="2"/>
  <c r="F194" i="2"/>
  <c r="F170" i="2"/>
  <c r="F146" i="2"/>
  <c r="F130" i="2"/>
  <c r="F106" i="2"/>
  <c r="F90" i="2"/>
  <c r="F66" i="2"/>
  <c r="F42" i="2"/>
  <c r="F26" i="2"/>
  <c r="F295" i="2"/>
  <c r="F287" i="2"/>
  <c r="F279" i="2"/>
  <c r="F271" i="2"/>
  <c r="F263" i="2"/>
  <c r="F255" i="2"/>
  <c r="F247" i="2"/>
  <c r="F239" i="2"/>
  <c r="F231" i="2"/>
  <c r="F223" i="2"/>
  <c r="F215" i="2"/>
  <c r="F207" i="2"/>
  <c r="F199" i="2"/>
  <c r="F191" i="2"/>
  <c r="F183" i="2"/>
  <c r="F175" i="2"/>
  <c r="F167" i="2"/>
  <c r="F159" i="2"/>
  <c r="F151" i="2"/>
  <c r="F143" i="2"/>
  <c r="F135" i="2"/>
  <c r="F127" i="2"/>
  <c r="F119" i="2"/>
  <c r="F111" i="2"/>
  <c r="F103" i="2"/>
  <c r="F95" i="2"/>
  <c r="F87" i="2"/>
  <c r="F79" i="2"/>
  <c r="F71" i="2"/>
  <c r="F63" i="2"/>
  <c r="F55" i="2"/>
  <c r="F47" i="2"/>
  <c r="F39" i="2"/>
  <c r="F31" i="2"/>
  <c r="F23" i="2"/>
  <c r="F15" i="2"/>
  <c r="F7" i="2"/>
  <c r="F286" i="2"/>
  <c r="F270" i="2"/>
  <c r="F262" i="2"/>
  <c r="F246" i="2"/>
  <c r="F230" i="2"/>
  <c r="F214" i="2"/>
  <c r="F206" i="2"/>
  <c r="F190" i="2"/>
  <c r="F182" i="2"/>
  <c r="F166" i="2"/>
  <c r="F158" i="2"/>
  <c r="F142" i="2"/>
  <c r="F134" i="2"/>
  <c r="F118" i="2"/>
  <c r="F110" i="2"/>
  <c r="F94" i="2"/>
  <c r="F86" i="2"/>
  <c r="F70" i="2"/>
  <c r="F54" i="2"/>
  <c r="F38" i="2"/>
  <c r="F30" i="2"/>
  <c r="F14" i="2"/>
  <c r="F6" i="2"/>
  <c r="F285" i="2"/>
  <c r="F269" i="2"/>
  <c r="F253" i="2"/>
  <c r="F237" i="2"/>
  <c r="F221" i="2"/>
  <c r="F205" i="2"/>
  <c r="F189" i="2"/>
  <c r="F173" i="2"/>
  <c r="F157" i="2"/>
  <c r="F149" i="2"/>
  <c r="F133" i="2"/>
  <c r="F117" i="2"/>
  <c r="F101" i="2"/>
  <c r="F85" i="2"/>
  <c r="F69" i="2"/>
  <c r="F53" i="2"/>
  <c r="F37" i="2"/>
  <c r="F21" i="2"/>
  <c r="F5" i="2"/>
  <c r="F294" i="2"/>
  <c r="F278" i="2"/>
  <c r="F254" i="2"/>
  <c r="F238" i="2"/>
  <c r="F222" i="2"/>
  <c r="F198" i="2"/>
  <c r="F174" i="2"/>
  <c r="F150" i="2"/>
  <c r="F126" i="2"/>
  <c r="F102" i="2"/>
  <c r="F78" i="2"/>
  <c r="F62" i="2"/>
  <c r="F46" i="2"/>
  <c r="F22" i="2"/>
  <c r="F293" i="2"/>
  <c r="F277" i="2"/>
  <c r="F261" i="2"/>
  <c r="F245" i="2"/>
  <c r="F229" i="2"/>
  <c r="F213" i="2"/>
  <c r="F197" i="2"/>
  <c r="F181" i="2"/>
  <c r="F165" i="2"/>
  <c r="F141" i="2"/>
  <c r="F125" i="2"/>
  <c r="F109" i="2"/>
  <c r="F93" i="2"/>
  <c r="F77" i="2"/>
  <c r="F61" i="2"/>
  <c r="F45" i="2"/>
  <c r="F29" i="2"/>
  <c r="F13" i="2"/>
  <c r="F292" i="2"/>
  <c r="F276" i="2"/>
  <c r="F268" i="2"/>
  <c r="F252" i="2"/>
  <c r="F236" i="2"/>
  <c r="F220" i="2"/>
  <c r="F204" i="2"/>
  <c r="F188" i="2"/>
  <c r="F172" i="2"/>
  <c r="F156" i="2"/>
  <c r="F140" i="2"/>
  <c r="F124" i="2"/>
  <c r="F108" i="2"/>
  <c r="F92" i="2"/>
  <c r="F76" i="2"/>
  <c r="F60" i="2"/>
  <c r="F44" i="2"/>
  <c r="F36" i="2"/>
  <c r="F20" i="2"/>
  <c r="F4" i="2"/>
  <c r="F227" i="2"/>
  <c r="F131" i="2"/>
  <c r="F75" i="2"/>
  <c r="F35" i="2"/>
  <c r="F290" i="2"/>
  <c r="F250" i="2"/>
  <c r="F210" i="2"/>
  <c r="F186" i="2"/>
  <c r="F154" i="2"/>
  <c r="F122" i="2"/>
  <c r="F82" i="2"/>
  <c r="F50" i="2"/>
  <c r="F18" i="2"/>
  <c r="M43" i="3" l="1"/>
  <c r="L132" i="3"/>
  <c r="L299" i="3"/>
  <c r="L16" i="3"/>
  <c r="L296" i="3"/>
  <c r="M71" i="3"/>
  <c r="L107" i="3"/>
  <c r="L325" i="3"/>
  <c r="L143" i="3"/>
  <c r="M308" i="3"/>
  <c r="L261" i="3"/>
  <c r="M329" i="3"/>
  <c r="M108" i="3"/>
  <c r="L61" i="3"/>
  <c r="M129" i="3"/>
  <c r="L10" i="3"/>
  <c r="M48" i="3"/>
  <c r="L288" i="3"/>
  <c r="M61" i="3"/>
  <c r="M243" i="3"/>
  <c r="M176" i="3"/>
  <c r="L121" i="3"/>
  <c r="M193" i="3"/>
  <c r="L78" i="3"/>
  <c r="M236" i="3"/>
  <c r="L189" i="3"/>
  <c r="M265" i="3"/>
  <c r="L142" i="3"/>
  <c r="M4" i="3"/>
  <c r="M68" i="3"/>
  <c r="M120" i="3"/>
  <c r="M188" i="3"/>
  <c r="M256" i="3"/>
  <c r="M320" i="3"/>
  <c r="L191" i="3"/>
  <c r="M95" i="3"/>
  <c r="L100" i="3"/>
  <c r="L9" i="3"/>
  <c r="L73" i="3"/>
  <c r="L145" i="3"/>
  <c r="L209" i="3"/>
  <c r="L273" i="3"/>
  <c r="L341" i="3"/>
  <c r="L152" i="3"/>
  <c r="M13" i="3"/>
  <c r="M77" i="3"/>
  <c r="M149" i="3"/>
  <c r="M213" i="3"/>
  <c r="M277" i="3"/>
  <c r="L23" i="3"/>
  <c r="L195" i="3"/>
  <c r="L331" i="3"/>
  <c r="M123" i="3"/>
  <c r="M255" i="3"/>
  <c r="L26" i="3"/>
  <c r="L90" i="3"/>
  <c r="L158" i="3"/>
  <c r="L242" i="3"/>
  <c r="L326" i="3"/>
  <c r="L187" i="3"/>
  <c r="M163" i="3"/>
  <c r="L76" i="3"/>
  <c r="L308" i="3"/>
  <c r="M66" i="3"/>
  <c r="M166" i="3"/>
  <c r="M258" i="3"/>
  <c r="M12" i="3"/>
  <c r="M72" i="3"/>
  <c r="M132" i="3"/>
  <c r="M192" i="3"/>
  <c r="M268" i="3"/>
  <c r="M332" i="3"/>
  <c r="L203" i="3"/>
  <c r="M155" i="3"/>
  <c r="L116" i="3"/>
  <c r="L17" i="3"/>
  <c r="L81" i="3"/>
  <c r="L149" i="3"/>
  <c r="L217" i="3"/>
  <c r="L281" i="3"/>
  <c r="L36" i="3"/>
  <c r="L176" i="3"/>
  <c r="M21" i="3"/>
  <c r="M89" i="3"/>
  <c r="M153" i="3"/>
  <c r="M225" i="3"/>
  <c r="M285" i="3"/>
  <c r="L35" i="3"/>
  <c r="L215" i="3"/>
  <c r="L335" i="3"/>
  <c r="M139" i="3"/>
  <c r="M279" i="3"/>
  <c r="L30" i="3"/>
  <c r="L102" i="3"/>
  <c r="L174" i="3"/>
  <c r="L262" i="3"/>
  <c r="L342" i="3"/>
  <c r="L231" i="3"/>
  <c r="M203" i="3"/>
  <c r="L136" i="3"/>
  <c r="L332" i="3"/>
  <c r="M90" i="3"/>
  <c r="M178" i="3"/>
  <c r="M282" i="3"/>
  <c r="M56" i="3"/>
  <c r="M112" i="3"/>
  <c r="M184" i="3"/>
  <c r="M248" i="3"/>
  <c r="M316" i="3"/>
  <c r="L135" i="3"/>
  <c r="M63" i="3"/>
  <c r="L60" i="3"/>
  <c r="L328" i="3"/>
  <c r="L69" i="3"/>
  <c r="L137" i="3"/>
  <c r="L197" i="3"/>
  <c r="L269" i="3"/>
  <c r="L333" i="3"/>
  <c r="L144" i="3"/>
  <c r="M5" i="3"/>
  <c r="M65" i="3"/>
  <c r="M137" i="3"/>
  <c r="M201" i="3"/>
  <c r="M269" i="3"/>
  <c r="M341" i="3"/>
  <c r="L179" i="3"/>
  <c r="L323" i="3"/>
  <c r="M99" i="3"/>
  <c r="M251" i="3"/>
  <c r="L18" i="3"/>
  <c r="L82" i="3"/>
  <c r="L154" i="3"/>
  <c r="L238" i="3"/>
  <c r="L318" i="3"/>
  <c r="L171" i="3"/>
  <c r="M151" i="3"/>
  <c r="L68" i="3"/>
  <c r="L292" i="3"/>
  <c r="M62" i="3"/>
  <c r="M162" i="3"/>
  <c r="M254" i="3"/>
  <c r="L230" i="3"/>
  <c r="L310" i="3"/>
  <c r="L139" i="3"/>
  <c r="M103" i="3"/>
  <c r="L44" i="3"/>
  <c r="L276" i="3"/>
  <c r="M50" i="3"/>
  <c r="M142" i="3"/>
  <c r="M242" i="3"/>
  <c r="M20" i="3"/>
  <c r="M76" i="3"/>
  <c r="M144" i="3"/>
  <c r="M208" i="3"/>
  <c r="M272" i="3"/>
  <c r="M340" i="3"/>
  <c r="L219" i="3"/>
  <c r="M183" i="3"/>
  <c r="L156" i="3"/>
  <c r="L25" i="3"/>
  <c r="L89" i="3"/>
  <c r="L153" i="3"/>
  <c r="L229" i="3"/>
  <c r="L293" i="3"/>
  <c r="L48" i="3"/>
  <c r="L216" i="3"/>
  <c r="M25" i="3"/>
  <c r="M97" i="3"/>
  <c r="M161" i="3"/>
  <c r="M229" i="3"/>
  <c r="M297" i="3"/>
  <c r="L47" i="3"/>
  <c r="L239" i="3"/>
  <c r="M3" i="3"/>
  <c r="M159" i="3"/>
  <c r="M299" i="3"/>
  <c r="L42" i="3"/>
  <c r="L114" i="3"/>
  <c r="L186" i="3"/>
  <c r="L270" i="3"/>
  <c r="L15" i="3"/>
  <c r="L259" i="3"/>
  <c r="M259" i="3"/>
  <c r="L160" i="3"/>
  <c r="M2" i="3"/>
  <c r="M98" i="3"/>
  <c r="M198" i="3"/>
  <c r="M290" i="3"/>
  <c r="M28" i="3"/>
  <c r="M84" i="3"/>
  <c r="M148" i="3"/>
  <c r="M216" i="3"/>
  <c r="M280" i="3"/>
  <c r="L31" i="3"/>
  <c r="L251" i="3"/>
  <c r="M199" i="3"/>
  <c r="L188" i="3"/>
  <c r="L29" i="3"/>
  <c r="L105" i="3"/>
  <c r="L165" i="3"/>
  <c r="L233" i="3"/>
  <c r="L301" i="3"/>
  <c r="L56" i="3"/>
  <c r="L240" i="3"/>
  <c r="M37" i="3"/>
  <c r="M101" i="3"/>
  <c r="M169" i="3"/>
  <c r="M233" i="3"/>
  <c r="M309" i="3"/>
  <c r="L91" i="3"/>
  <c r="L263" i="3"/>
  <c r="M31" i="3"/>
  <c r="M171" i="3"/>
  <c r="M311" i="3"/>
  <c r="L50" i="3"/>
  <c r="L118" i="3"/>
  <c r="L198" i="3"/>
  <c r="L278" i="3"/>
  <c r="L51" i="3"/>
  <c r="L319" i="3"/>
  <c r="M287" i="3"/>
  <c r="L192" i="3"/>
  <c r="M14" i="3"/>
  <c r="M106" i="3"/>
  <c r="M206" i="3"/>
  <c r="M306" i="3"/>
  <c r="M36" i="3"/>
  <c r="M92" i="3"/>
  <c r="M152" i="3"/>
  <c r="M224" i="3"/>
  <c r="M288" i="3"/>
  <c r="L43" i="3"/>
  <c r="L327" i="3"/>
  <c r="M215" i="3"/>
  <c r="L236" i="3"/>
  <c r="L41" i="3"/>
  <c r="L109" i="3"/>
  <c r="L177" i="3"/>
  <c r="L237" i="3"/>
  <c r="L309" i="3"/>
  <c r="L72" i="3"/>
  <c r="L248" i="3"/>
  <c r="M45" i="3"/>
  <c r="M109" i="3"/>
  <c r="M185" i="3"/>
  <c r="M245" i="3"/>
  <c r="M313" i="3"/>
  <c r="L111" i="3"/>
  <c r="L271" i="3"/>
  <c r="M55" i="3"/>
  <c r="M187" i="3"/>
  <c r="M315" i="3"/>
  <c r="L58" i="3"/>
  <c r="L122" i="3"/>
  <c r="L202" i="3"/>
  <c r="L282" i="3"/>
  <c r="L67" i="3"/>
  <c r="M27" i="3"/>
  <c r="M303" i="3"/>
  <c r="L200" i="3"/>
  <c r="M18" i="3"/>
  <c r="M110" i="3"/>
  <c r="M210" i="3"/>
  <c r="M314" i="3"/>
  <c r="M40" i="3"/>
  <c r="M104" i="3"/>
  <c r="M160" i="3"/>
  <c r="M228" i="3"/>
  <c r="M300" i="3"/>
  <c r="L79" i="3"/>
  <c r="M23" i="3"/>
  <c r="M295" i="3"/>
  <c r="L252" i="3"/>
  <c r="L49" i="3"/>
  <c r="L113" i="3"/>
  <c r="L185" i="3"/>
  <c r="L249" i="3"/>
  <c r="L317" i="3"/>
  <c r="L92" i="3"/>
  <c r="L260" i="3"/>
  <c r="M57" i="3"/>
  <c r="M121" i="3"/>
  <c r="M189" i="3"/>
  <c r="M257" i="3"/>
  <c r="M317" i="3"/>
  <c r="L131" i="3"/>
  <c r="L283" i="3"/>
  <c r="M67" i="3"/>
  <c r="M219" i="3"/>
  <c r="M323" i="3"/>
  <c r="L70" i="3"/>
  <c r="L134" i="3"/>
  <c r="L214" i="3"/>
  <c r="L302" i="3"/>
  <c r="L103" i="3"/>
  <c r="M59" i="3"/>
  <c r="L24" i="3"/>
  <c r="L244" i="3"/>
  <c r="M34" i="3"/>
  <c r="M134" i="3"/>
  <c r="M234" i="3"/>
  <c r="M326" i="3"/>
  <c r="L166" i="3"/>
  <c r="L206" i="3"/>
  <c r="L246" i="3"/>
  <c r="L286" i="3"/>
  <c r="L334" i="3"/>
  <c r="L75" i="3"/>
  <c r="L199" i="3"/>
  <c r="M39" i="3"/>
  <c r="M175" i="3"/>
  <c r="M319" i="3"/>
  <c r="L96" i="3"/>
  <c r="L224" i="3"/>
  <c r="L312" i="3"/>
  <c r="M26" i="3"/>
  <c r="M70" i="3"/>
  <c r="M126" i="3"/>
  <c r="M170" i="3"/>
  <c r="M218" i="3"/>
  <c r="M270" i="3"/>
  <c r="M318" i="3"/>
  <c r="M8" i="3"/>
  <c r="M44" i="3"/>
  <c r="M80" i="3"/>
  <c r="M116" i="3"/>
  <c r="M156" i="3"/>
  <c r="M196" i="3"/>
  <c r="M244" i="3"/>
  <c r="M284" i="3"/>
  <c r="M324" i="3"/>
  <c r="L95" i="3"/>
  <c r="L235" i="3"/>
  <c r="M79" i="3"/>
  <c r="M247" i="3"/>
  <c r="L140" i="3"/>
  <c r="L304" i="3"/>
  <c r="L37" i="3"/>
  <c r="L77" i="3"/>
  <c r="L117" i="3"/>
  <c r="L157" i="3"/>
  <c r="L201" i="3"/>
  <c r="L245" i="3"/>
  <c r="L285" i="3"/>
  <c r="L329" i="3"/>
  <c r="L64" i="3"/>
  <c r="L164" i="3"/>
  <c r="L280" i="3"/>
  <c r="M29" i="3"/>
  <c r="M73" i="3"/>
  <c r="M117" i="3"/>
  <c r="M157" i="3"/>
  <c r="M197" i="3"/>
  <c r="M237" i="3"/>
  <c r="M281" i="3"/>
  <c r="M321" i="3"/>
  <c r="L71" i="3"/>
  <c r="L183" i="3"/>
  <c r="L279" i="3"/>
  <c r="L339" i="3"/>
  <c r="M91" i="3"/>
  <c r="M179" i="3"/>
  <c r="M263" i="3"/>
  <c r="L6" i="3"/>
  <c r="L46" i="3"/>
  <c r="L86" i="3"/>
  <c r="L126" i="3"/>
  <c r="L170" i="3"/>
  <c r="L210" i="3"/>
  <c r="L250" i="3"/>
  <c r="L298" i="3"/>
  <c r="L338" i="3"/>
  <c r="L87" i="3"/>
  <c r="L223" i="3"/>
  <c r="M51" i="3"/>
  <c r="M191" i="3"/>
  <c r="M335" i="3"/>
  <c r="L124" i="3"/>
  <c r="L232" i="3"/>
  <c r="L316" i="3"/>
  <c r="M30" i="3"/>
  <c r="M74" i="3"/>
  <c r="M130" i="3"/>
  <c r="M174" i="3"/>
  <c r="M222" i="3"/>
  <c r="M274" i="3"/>
  <c r="M322" i="3"/>
  <c r="M16" i="3"/>
  <c r="M52" i="3"/>
  <c r="M88" i="3"/>
  <c r="M124" i="3"/>
  <c r="M172" i="3"/>
  <c r="M212" i="3"/>
  <c r="M252" i="3"/>
  <c r="M292" i="3"/>
  <c r="M336" i="3"/>
  <c r="L119" i="3"/>
  <c r="L267" i="3"/>
  <c r="M143" i="3"/>
  <c r="M331" i="3"/>
  <c r="L172" i="3"/>
  <c r="L5" i="3"/>
  <c r="L45" i="3"/>
  <c r="L85" i="3"/>
  <c r="L125" i="3"/>
  <c r="L173" i="3"/>
  <c r="L213" i="3"/>
  <c r="L253" i="3"/>
  <c r="L297" i="3"/>
  <c r="L337" i="3"/>
  <c r="L84" i="3"/>
  <c r="L196" i="3"/>
  <c r="L2" i="3"/>
  <c r="M41" i="3"/>
  <c r="M85" i="3"/>
  <c r="M125" i="3"/>
  <c r="M165" i="3"/>
  <c r="M205" i="3"/>
  <c r="M249" i="3"/>
  <c r="M293" i="3"/>
  <c r="M333" i="3"/>
  <c r="L99" i="3"/>
  <c r="L207" i="3"/>
  <c r="L291" i="3"/>
  <c r="M19" i="3"/>
  <c r="M107" i="3"/>
  <c r="M207" i="3"/>
  <c r="M291" i="3"/>
  <c r="L14" i="3"/>
  <c r="L54" i="3"/>
  <c r="L94" i="3"/>
  <c r="L138" i="3"/>
  <c r="L178" i="3"/>
  <c r="L222" i="3"/>
  <c r="L266" i="3"/>
  <c r="L306" i="3"/>
  <c r="L3" i="3"/>
  <c r="L127" i="3"/>
  <c r="L243" i="3"/>
  <c r="M75" i="3"/>
  <c r="M239" i="3"/>
  <c r="L32" i="3"/>
  <c r="L148" i="3"/>
  <c r="L256" i="3"/>
  <c r="L336" i="3"/>
  <c r="M38" i="3"/>
  <c r="M94" i="3"/>
  <c r="M138" i="3"/>
  <c r="M186" i="3"/>
  <c r="M238" i="3"/>
  <c r="M286" i="3"/>
  <c r="M330" i="3"/>
  <c r="J94" i="3"/>
  <c r="M24" i="3"/>
  <c r="M60" i="3"/>
  <c r="M100" i="3"/>
  <c r="M140" i="3"/>
  <c r="M180" i="3"/>
  <c r="M220" i="3"/>
  <c r="M260" i="3"/>
  <c r="M304" i="3"/>
  <c r="L7" i="3"/>
  <c r="L163" i="3"/>
  <c r="M7" i="3"/>
  <c r="M167" i="3"/>
  <c r="L40" i="3"/>
  <c r="L220" i="3"/>
  <c r="L13" i="3"/>
  <c r="L53" i="3"/>
  <c r="L101" i="3"/>
  <c r="L141" i="3"/>
  <c r="L181" i="3"/>
  <c r="L221" i="3"/>
  <c r="L265" i="3"/>
  <c r="L305" i="3"/>
  <c r="L8" i="3"/>
  <c r="L120" i="3"/>
  <c r="L228" i="3"/>
  <c r="M9" i="3"/>
  <c r="M53" i="3"/>
  <c r="M93" i="3"/>
  <c r="M133" i="3"/>
  <c r="M173" i="3"/>
  <c r="M221" i="3"/>
  <c r="M261" i="3"/>
  <c r="M301" i="3"/>
  <c r="L11" i="3"/>
  <c r="L123" i="3"/>
  <c r="L227" i="3"/>
  <c r="L311" i="3"/>
  <c r="M47" i="3"/>
  <c r="M131" i="3"/>
  <c r="M235" i="3"/>
  <c r="M307" i="3"/>
  <c r="L22" i="3"/>
  <c r="L62" i="3"/>
  <c r="L106" i="3"/>
  <c r="L150" i="3"/>
  <c r="L190" i="3"/>
  <c r="L234" i="3"/>
  <c r="L274" i="3"/>
  <c r="L314" i="3"/>
  <c r="L39" i="3"/>
  <c r="L151" i="3"/>
  <c r="L295" i="3"/>
  <c r="M135" i="3"/>
  <c r="M275" i="3"/>
  <c r="L52" i="3"/>
  <c r="L168" i="3"/>
  <c r="L284" i="3"/>
  <c r="M6" i="3"/>
  <c r="M58" i="3"/>
  <c r="M102" i="3"/>
  <c r="M146" i="3"/>
  <c r="M202" i="3"/>
  <c r="M250" i="3"/>
  <c r="M294" i="3"/>
  <c r="J138" i="3"/>
  <c r="K304" i="3"/>
  <c r="J101" i="3"/>
  <c r="J293" i="3"/>
  <c r="K226" i="3"/>
  <c r="M42" i="3"/>
  <c r="M78" i="3"/>
  <c r="M114" i="3"/>
  <c r="M154" i="3"/>
  <c r="M190" i="3"/>
  <c r="M226" i="3"/>
  <c r="M262" i="3"/>
  <c r="M298" i="3"/>
  <c r="M334" i="3"/>
  <c r="M32" i="3"/>
  <c r="M64" i="3"/>
  <c r="M96" i="3"/>
  <c r="M128" i="3"/>
  <c r="M164" i="3"/>
  <c r="M204" i="3"/>
  <c r="M240" i="3"/>
  <c r="M276" i="3"/>
  <c r="M312" i="3"/>
  <c r="L19" i="3"/>
  <c r="L147" i="3"/>
  <c r="L287" i="3"/>
  <c r="M127" i="3"/>
  <c r="M267" i="3"/>
  <c r="L128" i="3"/>
  <c r="L268" i="3"/>
  <c r="L21" i="3"/>
  <c r="L57" i="3"/>
  <c r="L93" i="3"/>
  <c r="L133" i="3"/>
  <c r="L169" i="3"/>
  <c r="L205" i="3"/>
  <c r="L241" i="3"/>
  <c r="L277" i="3"/>
  <c r="L313" i="3"/>
  <c r="L20" i="3"/>
  <c r="L112" i="3"/>
  <c r="L208" i="3"/>
  <c r="L320" i="3"/>
  <c r="M33" i="3"/>
  <c r="M69" i="3"/>
  <c r="M105" i="3"/>
  <c r="M141" i="3"/>
  <c r="M181" i="3"/>
  <c r="M217" i="3"/>
  <c r="M253" i="3"/>
  <c r="M289" i="3"/>
  <c r="M325" i="3"/>
  <c r="L59" i="3"/>
  <c r="L155" i="3"/>
  <c r="L255" i="3"/>
  <c r="L315" i="3"/>
  <c r="M35" i="3"/>
  <c r="M115" i="3"/>
  <c r="M195" i="3"/>
  <c r="M271" i="3"/>
  <c r="M327" i="3"/>
  <c r="L38" i="3"/>
  <c r="L74" i="3"/>
  <c r="L110" i="3"/>
  <c r="L146" i="3"/>
  <c r="L182" i="3"/>
  <c r="L218" i="3"/>
  <c r="L254" i="3"/>
  <c r="L294" i="3"/>
  <c r="L330" i="3"/>
  <c r="L55" i="3"/>
  <c r="L159" i="3"/>
  <c r="L275" i="3"/>
  <c r="M87" i="3"/>
  <c r="M211" i="3"/>
  <c r="L12" i="3"/>
  <c r="L108" i="3"/>
  <c r="L212" i="3"/>
  <c r="L300" i="3"/>
  <c r="M10" i="3"/>
  <c r="M46" i="3"/>
  <c r="M82" i="3"/>
  <c r="M122" i="3"/>
  <c r="M158" i="3"/>
  <c r="M194" i="3"/>
  <c r="M230" i="3"/>
  <c r="M266" i="3"/>
  <c r="M302" i="3"/>
  <c r="M338" i="3"/>
  <c r="K274" i="3"/>
  <c r="J50" i="3"/>
  <c r="K330" i="3"/>
  <c r="J178" i="3"/>
  <c r="K201" i="3"/>
  <c r="K73" i="3"/>
  <c r="J222" i="3"/>
  <c r="K18" i="3"/>
  <c r="K205" i="3"/>
  <c r="J266" i="3"/>
  <c r="K74" i="3"/>
  <c r="K341" i="3"/>
  <c r="M136" i="3"/>
  <c r="M168" i="3"/>
  <c r="M200" i="3"/>
  <c r="M232" i="3"/>
  <c r="M264" i="3"/>
  <c r="M296" i="3"/>
  <c r="M328" i="3"/>
  <c r="L63" i="3"/>
  <c r="L175" i="3"/>
  <c r="L307" i="3"/>
  <c r="M111" i="3"/>
  <c r="M231" i="3"/>
  <c r="L80" i="3"/>
  <c r="L204" i="3"/>
  <c r="L340" i="3"/>
  <c r="L33" i="3"/>
  <c r="L65" i="3"/>
  <c r="L97" i="3"/>
  <c r="L129" i="3"/>
  <c r="L161" i="3"/>
  <c r="L193" i="3"/>
  <c r="L225" i="3"/>
  <c r="L257" i="3"/>
  <c r="L289" i="3"/>
  <c r="L321" i="3"/>
  <c r="L28" i="3"/>
  <c r="L104" i="3"/>
  <c r="L184" i="3"/>
  <c r="L272" i="3"/>
  <c r="M17" i="3"/>
  <c r="M49" i="3"/>
  <c r="M81" i="3"/>
  <c r="M113" i="3"/>
  <c r="M145" i="3"/>
  <c r="M177" i="3"/>
  <c r="M209" i="3"/>
  <c r="M241" i="3"/>
  <c r="M273" i="3"/>
  <c r="M305" i="3"/>
  <c r="M337" i="3"/>
  <c r="L83" i="3"/>
  <c r="L167" i="3"/>
  <c r="L247" i="3"/>
  <c r="L303" i="3"/>
  <c r="M11" i="3"/>
  <c r="M83" i="3"/>
  <c r="M147" i="3"/>
  <c r="M227" i="3"/>
  <c r="M283" i="3"/>
  <c r="M339" i="3"/>
  <c r="L34" i="3"/>
  <c r="L66" i="3"/>
  <c r="L98" i="3"/>
  <c r="L130" i="3"/>
  <c r="L162" i="3"/>
  <c r="L194" i="3"/>
  <c r="L226" i="3"/>
  <c r="L258" i="3"/>
  <c r="L290" i="3"/>
  <c r="L322" i="3"/>
  <c r="L27" i="3"/>
  <c r="L115" i="3"/>
  <c r="L211" i="3"/>
  <c r="M15" i="3"/>
  <c r="M119" i="3"/>
  <c r="M223" i="3"/>
  <c r="L4" i="3"/>
  <c r="L88" i="3"/>
  <c r="L180" i="3"/>
  <c r="L264" i="3"/>
  <c r="L324" i="3"/>
  <c r="M22" i="3"/>
  <c r="M54" i="3"/>
  <c r="M86" i="3"/>
  <c r="M118" i="3"/>
  <c r="M150" i="3"/>
  <c r="M182" i="3"/>
  <c r="M214" i="3"/>
  <c r="M246" i="3"/>
  <c r="M278" i="3"/>
  <c r="M310" i="3"/>
  <c r="J306" i="3"/>
  <c r="K118" i="3"/>
  <c r="J47" i="3"/>
  <c r="J10" i="3"/>
  <c r="K156" i="3"/>
  <c r="K174" i="3"/>
  <c r="J103" i="3"/>
  <c r="J147" i="3"/>
  <c r="J203" i="3"/>
  <c r="J255" i="3"/>
  <c r="J303" i="3"/>
  <c r="K40" i="3"/>
  <c r="K128" i="3"/>
  <c r="K284" i="3"/>
  <c r="J81" i="3"/>
  <c r="J189" i="3"/>
  <c r="J321" i="3"/>
  <c r="K68" i="3"/>
  <c r="K204" i="3"/>
  <c r="J9" i="3"/>
  <c r="J169" i="3"/>
  <c r="K17" i="3"/>
  <c r="K137" i="3"/>
  <c r="K281" i="3"/>
  <c r="K27" i="3"/>
  <c r="K75" i="3"/>
  <c r="K131" i="3"/>
  <c r="K175" i="3"/>
  <c r="K231" i="3"/>
  <c r="K283" i="3"/>
  <c r="K331" i="3"/>
  <c r="J48" i="3"/>
  <c r="J92" i="3"/>
  <c r="J148" i="3"/>
  <c r="J200" i="3"/>
  <c r="J248" i="3"/>
  <c r="J304" i="3"/>
  <c r="J14" i="3"/>
  <c r="J58" i="3"/>
  <c r="J102" i="3"/>
  <c r="J142" i="3"/>
  <c r="J186" i="3"/>
  <c r="J230" i="3"/>
  <c r="J270" i="3"/>
  <c r="J314" i="3"/>
  <c r="K188" i="3"/>
  <c r="K320" i="3"/>
  <c r="J145" i="3"/>
  <c r="J309" i="3"/>
  <c r="K237" i="3"/>
  <c r="K22" i="3"/>
  <c r="K78" i="3"/>
  <c r="K130" i="3"/>
  <c r="K178" i="3"/>
  <c r="K234" i="3"/>
  <c r="K278" i="3"/>
  <c r="K334" i="3"/>
  <c r="K97" i="3"/>
  <c r="K213" i="3"/>
  <c r="J7" i="3"/>
  <c r="J51" i="3"/>
  <c r="J107" i="3"/>
  <c r="J159" i="3"/>
  <c r="J207" i="3"/>
  <c r="J263" i="3"/>
  <c r="J307" i="3"/>
  <c r="K48" i="3"/>
  <c r="K152" i="3"/>
  <c r="K296" i="3"/>
  <c r="J105" i="3"/>
  <c r="J197" i="3"/>
  <c r="J333" i="3"/>
  <c r="K96" i="3"/>
  <c r="K216" i="3"/>
  <c r="J33" i="3"/>
  <c r="J185" i="3"/>
  <c r="K29" i="3"/>
  <c r="K169" i="3"/>
  <c r="K285" i="3"/>
  <c r="K35" i="3"/>
  <c r="K79" i="3"/>
  <c r="K135" i="3"/>
  <c r="K187" i="3"/>
  <c r="K235" i="3"/>
  <c r="K291" i="3"/>
  <c r="K335" i="3"/>
  <c r="J52" i="3"/>
  <c r="J104" i="3"/>
  <c r="J152" i="3"/>
  <c r="J208" i="3"/>
  <c r="J252" i="3"/>
  <c r="J308" i="3"/>
  <c r="J18" i="3"/>
  <c r="J62" i="3"/>
  <c r="J106" i="3"/>
  <c r="J146" i="3"/>
  <c r="J190" i="3"/>
  <c r="J234" i="3"/>
  <c r="J274" i="3"/>
  <c r="J318" i="3"/>
  <c r="K200" i="3"/>
  <c r="K332" i="3"/>
  <c r="J177" i="3"/>
  <c r="J329" i="3"/>
  <c r="K257" i="3"/>
  <c r="K34" i="3"/>
  <c r="K82" i="3"/>
  <c r="K138" i="3"/>
  <c r="K182" i="3"/>
  <c r="K238" i="3"/>
  <c r="K290" i="3"/>
  <c r="K338" i="3"/>
  <c r="K113" i="3"/>
  <c r="K225" i="3"/>
  <c r="J11" i="3"/>
  <c r="J63" i="3"/>
  <c r="J111" i="3"/>
  <c r="J167" i="3"/>
  <c r="J211" i="3"/>
  <c r="J267" i="3"/>
  <c r="J319" i="3"/>
  <c r="K56" i="3"/>
  <c r="K176" i="3"/>
  <c r="K308" i="3"/>
  <c r="J113" i="3"/>
  <c r="J233" i="3"/>
  <c r="J337" i="3"/>
  <c r="K116" i="3"/>
  <c r="K228" i="3"/>
  <c r="J45" i="3"/>
  <c r="J229" i="3"/>
  <c r="K37" i="3"/>
  <c r="K189" i="3"/>
  <c r="K297" i="3"/>
  <c r="K39" i="3"/>
  <c r="K91" i="3"/>
  <c r="K139" i="3"/>
  <c r="K195" i="3"/>
  <c r="K239" i="3"/>
  <c r="K295" i="3"/>
  <c r="J8" i="3"/>
  <c r="J56" i="3"/>
  <c r="J112" i="3"/>
  <c r="J156" i="3"/>
  <c r="J212" i="3"/>
  <c r="J264" i="3"/>
  <c r="J312" i="3"/>
  <c r="J26" i="3"/>
  <c r="J70" i="3"/>
  <c r="J110" i="3"/>
  <c r="J154" i="3"/>
  <c r="J198" i="3"/>
  <c r="J238" i="3"/>
  <c r="J282" i="3"/>
  <c r="J326" i="3"/>
  <c r="K212" i="3"/>
  <c r="J25" i="3"/>
  <c r="J193" i="3"/>
  <c r="K41" i="3"/>
  <c r="K273" i="3"/>
  <c r="K42" i="3"/>
  <c r="K86" i="3"/>
  <c r="K142" i="3"/>
  <c r="K194" i="3"/>
  <c r="K242" i="3"/>
  <c r="K298" i="3"/>
  <c r="K342" i="3"/>
  <c r="K125" i="3"/>
  <c r="K253" i="3"/>
  <c r="J15" i="3"/>
  <c r="J71" i="3"/>
  <c r="J115" i="3"/>
  <c r="J171" i="3"/>
  <c r="J223" i="3"/>
  <c r="J271" i="3"/>
  <c r="J327" i="3"/>
  <c r="K64" i="3"/>
  <c r="K184" i="3"/>
  <c r="K340" i="3"/>
  <c r="J121" i="3"/>
  <c r="J253" i="3"/>
  <c r="K4" i="3"/>
  <c r="K124" i="3"/>
  <c r="K264" i="3"/>
  <c r="J61" i="3"/>
  <c r="J257" i="3"/>
  <c r="K49" i="3"/>
  <c r="K197" i="3"/>
  <c r="K325" i="3"/>
  <c r="K43" i="3"/>
  <c r="K99" i="3"/>
  <c r="K143" i="3"/>
  <c r="K199" i="3"/>
  <c r="K251" i="3"/>
  <c r="K299" i="3"/>
  <c r="J16" i="3"/>
  <c r="J60" i="3"/>
  <c r="J116" i="3"/>
  <c r="J168" i="3"/>
  <c r="J216" i="3"/>
  <c r="J272" i="3"/>
  <c r="J316" i="3"/>
  <c r="J30" i="3"/>
  <c r="J74" i="3"/>
  <c r="J114" i="3"/>
  <c r="J158" i="3"/>
  <c r="J202" i="3"/>
  <c r="J242" i="3"/>
  <c r="J286" i="3"/>
  <c r="J330" i="3"/>
  <c r="K224" i="3"/>
  <c r="J37" i="3"/>
  <c r="J205" i="3"/>
  <c r="K77" i="3"/>
  <c r="K293" i="3"/>
  <c r="K46" i="3"/>
  <c r="K98" i="3"/>
  <c r="K146" i="3"/>
  <c r="K202" i="3"/>
  <c r="K246" i="3"/>
  <c r="K302" i="3"/>
  <c r="K21" i="3"/>
  <c r="K133" i="3"/>
  <c r="K277" i="3"/>
  <c r="J19" i="3"/>
  <c r="J75" i="3"/>
  <c r="J127" i="3"/>
  <c r="J175" i="3"/>
  <c r="J231" i="3"/>
  <c r="J275" i="3"/>
  <c r="J331" i="3"/>
  <c r="K92" i="3"/>
  <c r="K196" i="3"/>
  <c r="J17" i="3"/>
  <c r="J129" i="3"/>
  <c r="J265" i="3"/>
  <c r="K28" i="3"/>
  <c r="K132" i="3"/>
  <c r="K280" i="3"/>
  <c r="J73" i="3"/>
  <c r="J269" i="3"/>
  <c r="K81" i="3"/>
  <c r="K209" i="3"/>
  <c r="K3" i="3"/>
  <c r="K47" i="3"/>
  <c r="K103" i="3"/>
  <c r="K155" i="3"/>
  <c r="K203" i="3"/>
  <c r="K259" i="3"/>
  <c r="K303" i="3"/>
  <c r="J20" i="3"/>
  <c r="J72" i="3"/>
  <c r="J120" i="3"/>
  <c r="J176" i="3"/>
  <c r="J220" i="3"/>
  <c r="J276" i="3"/>
  <c r="J328" i="3"/>
  <c r="J38" i="3"/>
  <c r="J78" i="3"/>
  <c r="J122" i="3"/>
  <c r="J166" i="3"/>
  <c r="J206" i="3"/>
  <c r="J250" i="3"/>
  <c r="J294" i="3"/>
  <c r="J334" i="3"/>
  <c r="K248" i="3"/>
  <c r="J65" i="3"/>
  <c r="J213" i="3"/>
  <c r="K101" i="3"/>
  <c r="K2" i="3"/>
  <c r="K50" i="3"/>
  <c r="K106" i="3"/>
  <c r="K150" i="3"/>
  <c r="K206" i="3"/>
  <c r="K258" i="3"/>
  <c r="K306" i="3"/>
  <c r="K45" i="3"/>
  <c r="K145" i="3"/>
  <c r="K289" i="3"/>
  <c r="J31" i="3"/>
  <c r="J79" i="3"/>
  <c r="J135" i="3"/>
  <c r="J179" i="3"/>
  <c r="J235" i="3"/>
  <c r="J287" i="3"/>
  <c r="J335" i="3"/>
  <c r="K108" i="3"/>
  <c r="K208" i="3"/>
  <c r="J29" i="3"/>
  <c r="J153" i="3"/>
  <c r="J273" i="3"/>
  <c r="K44" i="3"/>
  <c r="K140" i="3"/>
  <c r="K288" i="3"/>
  <c r="J109" i="3"/>
  <c r="J285" i="3"/>
  <c r="K105" i="3"/>
  <c r="K217" i="3"/>
  <c r="K7" i="3"/>
  <c r="K59" i="3"/>
  <c r="K107" i="3"/>
  <c r="K163" i="3"/>
  <c r="K207" i="3"/>
  <c r="K263" i="3"/>
  <c r="K315" i="3"/>
  <c r="J24" i="3"/>
  <c r="J80" i="3"/>
  <c r="J124" i="3"/>
  <c r="J180" i="3"/>
  <c r="J232" i="3"/>
  <c r="J280" i="3"/>
  <c r="J336" i="3"/>
  <c r="J42" i="3"/>
  <c r="J82" i="3"/>
  <c r="J126" i="3"/>
  <c r="J170" i="3"/>
  <c r="J210" i="3"/>
  <c r="J254" i="3"/>
  <c r="J298" i="3"/>
  <c r="J338" i="3"/>
  <c r="K260" i="3"/>
  <c r="J77" i="3"/>
  <c r="J249" i="3"/>
  <c r="K121" i="3"/>
  <c r="K10" i="3"/>
  <c r="K54" i="3"/>
  <c r="K110" i="3"/>
  <c r="K162" i="3"/>
  <c r="K210" i="3"/>
  <c r="K266" i="3"/>
  <c r="K310" i="3"/>
  <c r="K53" i="3"/>
  <c r="K173" i="3"/>
  <c r="K301" i="3"/>
  <c r="J39" i="3"/>
  <c r="J83" i="3"/>
  <c r="J139" i="3"/>
  <c r="J191" i="3"/>
  <c r="J239" i="3"/>
  <c r="J295" i="3"/>
  <c r="J339" i="3"/>
  <c r="K112" i="3"/>
  <c r="K244" i="3"/>
  <c r="J41" i="3"/>
  <c r="J173" i="3"/>
  <c r="J281" i="3"/>
  <c r="K52" i="3"/>
  <c r="K168" i="3"/>
  <c r="K300" i="3"/>
  <c r="J141" i="3"/>
  <c r="J301" i="3"/>
  <c r="K117" i="3"/>
  <c r="K249" i="3"/>
  <c r="K11" i="3"/>
  <c r="K67" i="3"/>
  <c r="K111" i="3"/>
  <c r="K167" i="3"/>
  <c r="K219" i="3"/>
  <c r="K267" i="3"/>
  <c r="K323" i="3"/>
  <c r="J28" i="3"/>
  <c r="J84" i="3"/>
  <c r="J136" i="3"/>
  <c r="J184" i="3"/>
  <c r="J240" i="3"/>
  <c r="J284" i="3"/>
  <c r="J340" i="3"/>
  <c r="J6" i="3"/>
  <c r="J46" i="3"/>
  <c r="J90" i="3"/>
  <c r="J134" i="3"/>
  <c r="J174" i="3"/>
  <c r="J218" i="3"/>
  <c r="J262" i="3"/>
  <c r="J302" i="3"/>
  <c r="K88" i="3"/>
  <c r="K292" i="3"/>
  <c r="J89" i="3"/>
  <c r="J277" i="3"/>
  <c r="K141" i="3"/>
  <c r="K14" i="3"/>
  <c r="K66" i="3"/>
  <c r="K114" i="3"/>
  <c r="K170" i="3"/>
  <c r="K214" i="3"/>
  <c r="K270" i="3"/>
  <c r="K322" i="3"/>
  <c r="K65" i="3"/>
  <c r="K193" i="3"/>
  <c r="K309" i="3"/>
  <c r="J43" i="3"/>
  <c r="J95" i="3"/>
  <c r="J143" i="3"/>
  <c r="J199" i="3"/>
  <c r="J243" i="3"/>
  <c r="J299" i="3"/>
  <c r="K24" i="3"/>
  <c r="K120" i="3"/>
  <c r="K268" i="3"/>
  <c r="J49" i="3"/>
  <c r="J181" i="3"/>
  <c r="J305" i="3"/>
  <c r="K60" i="3"/>
  <c r="K192" i="3"/>
  <c r="K312" i="3"/>
  <c r="J157" i="3"/>
  <c r="J341" i="3"/>
  <c r="K129" i="3"/>
  <c r="K269" i="3"/>
  <c r="K15" i="3"/>
  <c r="K71" i="3"/>
  <c r="K123" i="3"/>
  <c r="K171" i="3"/>
  <c r="K227" i="3"/>
  <c r="K271" i="3"/>
  <c r="K327" i="3"/>
  <c r="J40" i="3"/>
  <c r="J88" i="3"/>
  <c r="J144" i="3"/>
  <c r="J188" i="3"/>
  <c r="J244" i="3"/>
  <c r="J332" i="3"/>
  <c r="J300" i="3"/>
  <c r="J268" i="3"/>
  <c r="J236" i="3"/>
  <c r="J204" i="3"/>
  <c r="J172" i="3"/>
  <c r="J140" i="3"/>
  <c r="J108" i="3"/>
  <c r="J76" i="3"/>
  <c r="J44" i="3"/>
  <c r="J12" i="3"/>
  <c r="K319" i="3"/>
  <c r="K287" i="3"/>
  <c r="K255" i="3"/>
  <c r="K223" i="3"/>
  <c r="K191" i="3"/>
  <c r="K159" i="3"/>
  <c r="K127" i="3"/>
  <c r="K95" i="3"/>
  <c r="K63" i="3"/>
  <c r="K31" i="3"/>
  <c r="K333" i="3"/>
  <c r="K261" i="3"/>
  <c r="K177" i="3"/>
  <c r="K93" i="3"/>
  <c r="K5" i="3"/>
  <c r="J245" i="3"/>
  <c r="J125" i="3"/>
  <c r="J21" i="3"/>
  <c r="K272" i="3"/>
  <c r="K180" i="3"/>
  <c r="K104" i="3"/>
  <c r="K36" i="3"/>
  <c r="J317" i="3"/>
  <c r="J241" i="3"/>
  <c r="J165" i="3"/>
  <c r="J93" i="3"/>
  <c r="J5" i="3"/>
  <c r="K256" i="3"/>
  <c r="K164" i="3"/>
  <c r="K100" i="3"/>
  <c r="K32" i="3"/>
  <c r="J323" i="3"/>
  <c r="J291" i="3"/>
  <c r="J259" i="3"/>
  <c r="J227" i="3"/>
  <c r="J195" i="3"/>
  <c r="J163" i="3"/>
  <c r="J131" i="3"/>
  <c r="J99" i="3"/>
  <c r="J67" i="3"/>
  <c r="J35" i="3"/>
  <c r="J3" i="3"/>
  <c r="K265" i="3"/>
  <c r="K185" i="3"/>
  <c r="K109" i="3"/>
  <c r="K33" i="3"/>
  <c r="K326" i="3"/>
  <c r="K294" i="3"/>
  <c r="K262" i="3"/>
  <c r="K230" i="3"/>
  <c r="K198" i="3"/>
  <c r="K166" i="3"/>
  <c r="K134" i="3"/>
  <c r="K102" i="3"/>
  <c r="K70" i="3"/>
  <c r="K38" i="3"/>
  <c r="K6" i="3"/>
  <c r="K221" i="3"/>
  <c r="K61" i="3"/>
  <c r="J261" i="3"/>
  <c r="J161" i="3"/>
  <c r="J53" i="3"/>
  <c r="K276" i="3"/>
  <c r="K172" i="3"/>
  <c r="J322" i="3"/>
  <c r="J290" i="3"/>
  <c r="J258" i="3"/>
  <c r="J226" i="3"/>
  <c r="J194" i="3"/>
  <c r="J162" i="3"/>
  <c r="J130" i="3"/>
  <c r="J98" i="3"/>
  <c r="J66" i="3"/>
  <c r="J34" i="3"/>
  <c r="J324" i="3"/>
  <c r="J292" i="3"/>
  <c r="J260" i="3"/>
  <c r="J228" i="3"/>
  <c r="J196" i="3"/>
  <c r="J164" i="3"/>
  <c r="J132" i="3"/>
  <c r="J100" i="3"/>
  <c r="J68" i="3"/>
  <c r="J36" i="3"/>
  <c r="J4" i="3"/>
  <c r="K311" i="3"/>
  <c r="K279" i="3"/>
  <c r="K247" i="3"/>
  <c r="K215" i="3"/>
  <c r="K183" i="3"/>
  <c r="K151" i="3"/>
  <c r="K119" i="3"/>
  <c r="K87" i="3"/>
  <c r="K55" i="3"/>
  <c r="K23" i="3"/>
  <c r="K317" i="3"/>
  <c r="K241" i="3"/>
  <c r="K157" i="3"/>
  <c r="K69" i="3"/>
  <c r="J325" i="3"/>
  <c r="J217" i="3"/>
  <c r="J97" i="3"/>
  <c r="K336" i="3"/>
  <c r="K252" i="3"/>
  <c r="K160" i="3"/>
  <c r="K84" i="3"/>
  <c r="K20" i="3"/>
  <c r="J297" i="3"/>
  <c r="J221" i="3"/>
  <c r="J149" i="3"/>
  <c r="J69" i="3"/>
  <c r="K328" i="3"/>
  <c r="K232" i="3"/>
  <c r="K144" i="3"/>
  <c r="K80" i="3"/>
  <c r="K16" i="3"/>
  <c r="J315" i="3"/>
  <c r="J283" i="3"/>
  <c r="J251" i="3"/>
  <c r="J219" i="3"/>
  <c r="J187" i="3"/>
  <c r="J155" i="3"/>
  <c r="J123" i="3"/>
  <c r="J91" i="3"/>
  <c r="J59" i="3"/>
  <c r="J27" i="3"/>
  <c r="K329" i="3"/>
  <c r="K245" i="3"/>
  <c r="K165" i="3"/>
  <c r="K89" i="3"/>
  <c r="K13" i="3"/>
  <c r="K318" i="3"/>
  <c r="K286" i="3"/>
  <c r="K254" i="3"/>
  <c r="K222" i="3"/>
  <c r="K190" i="3"/>
  <c r="K158" i="3"/>
  <c r="K126" i="3"/>
  <c r="K94" i="3"/>
  <c r="K62" i="3"/>
  <c r="K30" i="3"/>
  <c r="K337" i="3"/>
  <c r="K181" i="3"/>
  <c r="K25" i="3"/>
  <c r="J237" i="3"/>
  <c r="J133" i="3"/>
  <c r="J320" i="3"/>
  <c r="J288" i="3"/>
  <c r="J256" i="3"/>
  <c r="J224" i="3"/>
  <c r="J192" i="3"/>
  <c r="J160" i="3"/>
  <c r="J128" i="3"/>
  <c r="J96" i="3"/>
  <c r="J64" i="3"/>
  <c r="J32" i="3"/>
  <c r="K339" i="3"/>
  <c r="K307" i="3"/>
  <c r="K275" i="3"/>
  <c r="K243" i="3"/>
  <c r="K211" i="3"/>
  <c r="K179" i="3"/>
  <c r="K147" i="3"/>
  <c r="K115" i="3"/>
  <c r="K83" i="3"/>
  <c r="K51" i="3"/>
  <c r="K19" i="3"/>
  <c r="K305" i="3"/>
  <c r="K229" i="3"/>
  <c r="K149" i="3"/>
  <c r="K57" i="3"/>
  <c r="J313" i="3"/>
  <c r="J201" i="3"/>
  <c r="J85" i="3"/>
  <c r="K324" i="3"/>
  <c r="K240" i="3"/>
  <c r="K148" i="3"/>
  <c r="K76" i="3"/>
  <c r="K12" i="3"/>
  <c r="J289" i="3"/>
  <c r="J209" i="3"/>
  <c r="J137" i="3"/>
  <c r="J57" i="3"/>
  <c r="K316" i="3"/>
  <c r="K220" i="3"/>
  <c r="K136" i="3"/>
  <c r="K72" i="3"/>
  <c r="K8" i="3"/>
  <c r="J311" i="3"/>
  <c r="J279" i="3"/>
  <c r="J247" i="3"/>
  <c r="J215" i="3"/>
  <c r="J183" i="3"/>
  <c r="J151" i="3"/>
  <c r="J119" i="3"/>
  <c r="J87" i="3"/>
  <c r="J55" i="3"/>
  <c r="J23" i="3"/>
  <c r="K321" i="3"/>
  <c r="K233" i="3"/>
  <c r="K153" i="3"/>
  <c r="K85" i="3"/>
  <c r="J2" i="3"/>
  <c r="K314" i="3"/>
  <c r="K282" i="3"/>
  <c r="K250" i="3"/>
  <c r="K218" i="3"/>
  <c r="K186" i="3"/>
  <c r="K154" i="3"/>
  <c r="K122" i="3"/>
  <c r="K90" i="3"/>
  <c r="K58" i="3"/>
  <c r="K26" i="3"/>
  <c r="K313" i="3"/>
  <c r="K161" i="3"/>
  <c r="K9" i="3"/>
  <c r="J225" i="3"/>
  <c r="J117" i="3"/>
  <c r="J13" i="3"/>
  <c r="K236" i="3"/>
  <c r="J342" i="3"/>
  <c r="J310" i="3"/>
  <c r="J278" i="3"/>
  <c r="J246" i="3"/>
  <c r="J214" i="3"/>
  <c r="J182" i="3"/>
  <c r="J150" i="3"/>
  <c r="J118" i="3"/>
  <c r="J86" i="3"/>
  <c r="J54" i="3"/>
  <c r="J22" i="3"/>
  <c r="T2027" i="12"/>
  <c r="T1766" i="12"/>
  <c r="T1945" i="12"/>
  <c r="T1162" i="12"/>
  <c r="T1892" i="12"/>
  <c r="T717" i="12"/>
  <c r="T1805" i="12"/>
  <c r="T1933" i="12"/>
  <c r="T1974" i="12"/>
  <c r="T95" i="12"/>
  <c r="T671" i="12"/>
  <c r="T1672" i="12"/>
  <c r="T3" i="12"/>
  <c r="T579" i="12"/>
  <c r="T172" i="12"/>
  <c r="T341" i="12"/>
  <c r="T1813" i="12"/>
  <c r="T1406" i="12"/>
  <c r="T1982" i="12"/>
  <c r="T1981" i="12" s="1"/>
  <c r="T679" i="12"/>
  <c r="T1959" i="12"/>
  <c r="T208" i="12"/>
  <c r="T976" i="12"/>
  <c r="T817" i="12"/>
  <c r="T1905" i="12"/>
  <c r="T1039" i="12"/>
  <c r="T2013" i="12"/>
  <c r="T1816" i="12"/>
  <c r="T1698" i="12"/>
  <c r="T1235" i="12"/>
  <c r="T892" i="12"/>
  <c r="T1893" i="12"/>
  <c r="T1102" i="12"/>
  <c r="T1806" i="12"/>
  <c r="T1934" i="12"/>
  <c r="R2" i="12" a="1"/>
  <c r="S2" i="12" a="1"/>
  <c r="N2" i="12" a="1"/>
  <c r="M2" i="12" a="1"/>
  <c r="F2" i="12" a="1"/>
  <c r="D2" i="12" a="1"/>
  <c r="T4" i="12"/>
  <c r="T1901" i="12"/>
  <c r="T1576" i="12"/>
  <c r="T274" i="12"/>
  <c r="T1906" i="12"/>
  <c r="T1507" i="12"/>
  <c r="T1699" i="12"/>
  <c r="T117" i="12"/>
  <c r="T1374" i="12"/>
  <c r="T657" i="12"/>
  <c r="T1617" i="12"/>
  <c r="H335" i="2"/>
  <c r="H327" i="2"/>
  <c r="H319" i="2"/>
  <c r="H311" i="2"/>
  <c r="H303" i="2"/>
  <c r="H295" i="2"/>
  <c r="H287" i="2"/>
  <c r="H279" i="2"/>
  <c r="H271" i="2"/>
  <c r="H263" i="2"/>
  <c r="H255" i="2"/>
  <c r="H247" i="2"/>
  <c r="H239" i="2"/>
  <c r="H231" i="2"/>
  <c r="H223" i="2"/>
  <c r="H215" i="2"/>
  <c r="H207" i="2"/>
  <c r="H199" i="2"/>
  <c r="H191" i="2"/>
  <c r="H183" i="2"/>
  <c r="H175" i="2"/>
  <c r="H167" i="2"/>
  <c r="H159" i="2"/>
  <c r="H151" i="2"/>
  <c r="H143" i="2"/>
  <c r="H135" i="2"/>
  <c r="H127" i="2"/>
  <c r="H119" i="2"/>
  <c r="H111" i="2"/>
  <c r="H103" i="2"/>
  <c r="H95" i="2"/>
  <c r="H87" i="2"/>
  <c r="H79" i="2"/>
  <c r="H71" i="2"/>
  <c r="H63" i="2"/>
  <c r="H55" i="2"/>
  <c r="H47" i="2"/>
  <c r="H39" i="2"/>
  <c r="H31" i="2"/>
  <c r="H23" i="2"/>
  <c r="H15" i="2"/>
  <c r="H7" i="2"/>
  <c r="H342" i="2"/>
  <c r="H334" i="2"/>
  <c r="H326" i="2"/>
  <c r="H318" i="2"/>
  <c r="H310" i="2"/>
  <c r="H302" i="2"/>
  <c r="H294" i="2"/>
  <c r="H286" i="2"/>
  <c r="H278" i="2"/>
  <c r="H270" i="2"/>
  <c r="H262" i="2"/>
  <c r="H254" i="2"/>
  <c r="H246" i="2"/>
  <c r="H238" i="2"/>
  <c r="H230" i="2"/>
  <c r="H222" i="2"/>
  <c r="H214" i="2"/>
  <c r="H206" i="2"/>
  <c r="H198" i="2"/>
  <c r="H190" i="2"/>
  <c r="H182" i="2"/>
  <c r="H174" i="2"/>
  <c r="H166" i="2"/>
  <c r="H158" i="2"/>
  <c r="H150" i="2"/>
  <c r="H142" i="2"/>
  <c r="H134" i="2"/>
  <c r="H126" i="2"/>
  <c r="H118" i="2"/>
  <c r="H110" i="2"/>
  <c r="H102" i="2"/>
  <c r="H94" i="2"/>
  <c r="H86" i="2"/>
  <c r="H78" i="2"/>
  <c r="H70" i="2"/>
  <c r="H62" i="2"/>
  <c r="H54" i="2"/>
  <c r="H46" i="2"/>
  <c r="H38" i="2"/>
  <c r="H30" i="2"/>
  <c r="H22" i="2"/>
  <c r="H14" i="2"/>
  <c r="H6" i="2"/>
  <c r="H330" i="2"/>
  <c r="H314" i="2"/>
  <c r="H290" i="2"/>
  <c r="H274" i="2"/>
  <c r="H250" i="2"/>
  <c r="H234" i="2"/>
  <c r="H210" i="2"/>
  <c r="H194" i="2"/>
  <c r="H170" i="2"/>
  <c r="H154" i="2"/>
  <c r="H130" i="2"/>
  <c r="H106" i="2"/>
  <c r="H90" i="2"/>
  <c r="H66" i="2"/>
  <c r="H42" i="2"/>
  <c r="H10" i="2"/>
  <c r="H337" i="2"/>
  <c r="H321" i="2"/>
  <c r="H305" i="2"/>
  <c r="H297" i="2"/>
  <c r="H273" i="2"/>
  <c r="H249" i="2"/>
  <c r="H185" i="2"/>
  <c r="H145" i="2"/>
  <c r="H113" i="2"/>
  <c r="H81" i="2"/>
  <c r="H65" i="2"/>
  <c r="H49" i="2"/>
  <c r="H33" i="2"/>
  <c r="H17" i="2"/>
  <c r="H2" i="2"/>
  <c r="H256" i="2"/>
  <c r="H192" i="2"/>
  <c r="H152" i="2"/>
  <c r="H128" i="2"/>
  <c r="H104" i="2"/>
  <c r="H88" i="2"/>
  <c r="H64" i="2"/>
  <c r="H48" i="2"/>
  <c r="H24" i="2"/>
  <c r="H8" i="2"/>
  <c r="H313" i="2"/>
  <c r="H281" i="2"/>
  <c r="H257" i="2"/>
  <c r="H233" i="2"/>
  <c r="H209" i="2"/>
  <c r="H193" i="2"/>
  <c r="H169" i="2"/>
  <c r="H153" i="2"/>
  <c r="H129" i="2"/>
  <c r="H105" i="2"/>
  <c r="H89" i="2"/>
  <c r="H73" i="2"/>
  <c r="H41" i="2"/>
  <c r="H25" i="2"/>
  <c r="H9" i="2"/>
  <c r="H336" i="2"/>
  <c r="H328" i="2"/>
  <c r="H320" i="2"/>
  <c r="H312" i="2"/>
  <c r="H304" i="2"/>
  <c r="H296" i="2"/>
  <c r="H280" i="2"/>
  <c r="H272" i="2"/>
  <c r="H264" i="2"/>
  <c r="H240" i="2"/>
  <c r="H232" i="2"/>
  <c r="H216" i="2"/>
  <c r="H200" i="2"/>
  <c r="H176" i="2"/>
  <c r="H160" i="2"/>
  <c r="H136" i="2"/>
  <c r="H120" i="2"/>
  <c r="H96" i="2"/>
  <c r="H80" i="2"/>
  <c r="H56" i="2"/>
  <c r="H40" i="2"/>
  <c r="H16" i="2"/>
  <c r="H341" i="2"/>
  <c r="H333" i="2"/>
  <c r="H325" i="2"/>
  <c r="H317" i="2"/>
  <c r="H309" i="2"/>
  <c r="H301" i="2"/>
  <c r="H293" i="2"/>
  <c r="H285" i="2"/>
  <c r="H277" i="2"/>
  <c r="H269" i="2"/>
  <c r="H261" i="2"/>
  <c r="H253" i="2"/>
  <c r="H245" i="2"/>
  <c r="H237" i="2"/>
  <c r="H229" i="2"/>
  <c r="H221" i="2"/>
  <c r="H213" i="2"/>
  <c r="H205" i="2"/>
  <c r="H197" i="2"/>
  <c r="H189" i="2"/>
  <c r="H181" i="2"/>
  <c r="H173" i="2"/>
  <c r="H165" i="2"/>
  <c r="H157" i="2"/>
  <c r="H149" i="2"/>
  <c r="H141" i="2"/>
  <c r="H133" i="2"/>
  <c r="H125" i="2"/>
  <c r="H117" i="2"/>
  <c r="H109" i="2"/>
  <c r="H101" i="2"/>
  <c r="H93" i="2"/>
  <c r="H85" i="2"/>
  <c r="H77" i="2"/>
  <c r="H69" i="2"/>
  <c r="H61" i="2"/>
  <c r="H53" i="2"/>
  <c r="H45" i="2"/>
  <c r="H37" i="2"/>
  <c r="H29" i="2"/>
  <c r="H21" i="2"/>
  <c r="H13" i="2"/>
  <c r="H5" i="2"/>
  <c r="H340" i="2"/>
  <c r="H332" i="2"/>
  <c r="H316" i="2"/>
  <c r="H308" i="2"/>
  <c r="H300" i="2"/>
  <c r="H292" i="2"/>
  <c r="H284" i="2"/>
  <c r="H268" i="2"/>
  <c r="H260" i="2"/>
  <c r="H252" i="2"/>
  <c r="H236" i="2"/>
  <c r="H228" i="2"/>
  <c r="H212" i="2"/>
  <c r="H204" i="2"/>
  <c r="H188" i="2"/>
  <c r="H180" i="2"/>
  <c r="H164" i="2"/>
  <c r="H148" i="2"/>
  <c r="H140" i="2"/>
  <c r="H124" i="2"/>
  <c r="H116" i="2"/>
  <c r="H100" i="2"/>
  <c r="H92" i="2"/>
  <c r="H76" i="2"/>
  <c r="H68" i="2"/>
  <c r="H52" i="2"/>
  <c r="H44" i="2"/>
  <c r="H28" i="2"/>
  <c r="H20" i="2"/>
  <c r="H4" i="2"/>
  <c r="H315" i="2"/>
  <c r="H291" i="2"/>
  <c r="H275" i="2"/>
  <c r="H251" i="2"/>
  <c r="H227" i="2"/>
  <c r="H211" i="2"/>
  <c r="H195" i="2"/>
  <c r="H179" i="2"/>
  <c r="H163" i="2"/>
  <c r="H147" i="2"/>
  <c r="H131" i="2"/>
  <c r="H115" i="2"/>
  <c r="H99" i="2"/>
  <c r="H83" i="2"/>
  <c r="H67" i="2"/>
  <c r="H59" i="2"/>
  <c r="H43" i="2"/>
  <c r="H27" i="2"/>
  <c r="H11" i="2"/>
  <c r="H3" i="2"/>
  <c r="H338" i="2"/>
  <c r="H322" i="2"/>
  <c r="H298" i="2"/>
  <c r="H282" i="2"/>
  <c r="H258" i="2"/>
  <c r="H242" i="2"/>
  <c r="H218" i="2"/>
  <c r="H202" i="2"/>
  <c r="H178" i="2"/>
  <c r="H162" i="2"/>
  <c r="H138" i="2"/>
  <c r="H122" i="2"/>
  <c r="H98" i="2"/>
  <c r="H74" i="2"/>
  <c r="H50" i="2"/>
  <c r="H26" i="2"/>
  <c r="H324" i="2"/>
  <c r="H276" i="2"/>
  <c r="H244" i="2"/>
  <c r="H220" i="2"/>
  <c r="H196" i="2"/>
  <c r="H172" i="2"/>
  <c r="H156" i="2"/>
  <c r="H132" i="2"/>
  <c r="H108" i="2"/>
  <c r="H84" i="2"/>
  <c r="H60" i="2"/>
  <c r="H36" i="2"/>
  <c r="H12" i="2"/>
  <c r="H339" i="2"/>
  <c r="H331" i="2"/>
  <c r="H323" i="2"/>
  <c r="H307" i="2"/>
  <c r="H299" i="2"/>
  <c r="H283" i="2"/>
  <c r="H267" i="2"/>
  <c r="H259" i="2"/>
  <c r="H243" i="2"/>
  <c r="H235" i="2"/>
  <c r="H219" i="2"/>
  <c r="H203" i="2"/>
  <c r="H187" i="2"/>
  <c r="H171" i="2"/>
  <c r="H155" i="2"/>
  <c r="H139" i="2"/>
  <c r="H123" i="2"/>
  <c r="H107" i="2"/>
  <c r="H91" i="2"/>
  <c r="H75" i="2"/>
  <c r="H51" i="2"/>
  <c r="H35" i="2"/>
  <c r="H19" i="2"/>
  <c r="H306" i="2"/>
  <c r="H266" i="2"/>
  <c r="H226" i="2"/>
  <c r="H186" i="2"/>
  <c r="H146" i="2"/>
  <c r="H114" i="2"/>
  <c r="H82" i="2"/>
  <c r="H58" i="2"/>
  <c r="H34" i="2"/>
  <c r="H18" i="2"/>
  <c r="H329" i="2"/>
  <c r="H289" i="2"/>
  <c r="H265" i="2"/>
  <c r="H241" i="2"/>
  <c r="H225" i="2"/>
  <c r="H217" i="2"/>
  <c r="H201" i="2"/>
  <c r="H177" i="2"/>
  <c r="H161" i="2"/>
  <c r="H137" i="2"/>
  <c r="H121" i="2"/>
  <c r="H97" i="2"/>
  <c r="H57" i="2"/>
  <c r="H288" i="2"/>
  <c r="H248" i="2"/>
  <c r="H224" i="2"/>
  <c r="H208" i="2"/>
  <c r="H184" i="2"/>
  <c r="H168" i="2"/>
  <c r="H144" i="2"/>
  <c r="H112" i="2"/>
  <c r="H72" i="2"/>
  <c r="H32" i="2"/>
  <c r="T1254" i="12"/>
  <c r="T25" i="12"/>
  <c r="T1331" i="12"/>
  <c r="T1843" i="12"/>
  <c r="T1884" i="12"/>
  <c r="T69" i="12"/>
  <c r="T238" i="12"/>
  <c r="T1623" i="12"/>
  <c r="C27" i="1" l="1"/>
  <c r="D27" i="1" s="1"/>
  <c r="C30" i="1"/>
  <c r="D30" i="1" s="1"/>
  <c r="C29" i="1"/>
  <c r="D29" i="1" s="1"/>
  <c r="C28" i="1"/>
  <c r="D28" i="1" s="1"/>
  <c r="C26" i="1"/>
  <c r="D26" i="1" s="1"/>
  <c r="S2199" i="12"/>
  <c r="S2191" i="12"/>
  <c r="S2183" i="12"/>
  <c r="S2175" i="12"/>
  <c r="S2167" i="12"/>
  <c r="S2159" i="12"/>
  <c r="S2151" i="12"/>
  <c r="S2143" i="12"/>
  <c r="S2135" i="12"/>
  <c r="S2127" i="12"/>
  <c r="S2119" i="12"/>
  <c r="S2111" i="12"/>
  <c r="S2103" i="12"/>
  <c r="S2095" i="12"/>
  <c r="S2087" i="12"/>
  <c r="S2079" i="12"/>
  <c r="S2071" i="12"/>
  <c r="S2063" i="12"/>
  <c r="S2055" i="12"/>
  <c r="S2047" i="12"/>
  <c r="S2039" i="12"/>
  <c r="S2031" i="12"/>
  <c r="S2023" i="12"/>
  <c r="S2015" i="12"/>
  <c r="S2007" i="12"/>
  <c r="S1999" i="12"/>
  <c r="S1991" i="12"/>
  <c r="S1983" i="12"/>
  <c r="S1975" i="12"/>
  <c r="S1967" i="12"/>
  <c r="S1959" i="12"/>
  <c r="S1951" i="12"/>
  <c r="S1943" i="12"/>
  <c r="S1935" i="12"/>
  <c r="S1927" i="12"/>
  <c r="S1919" i="12"/>
  <c r="S1911" i="12"/>
  <c r="S1903" i="12"/>
  <c r="S1895" i="12"/>
  <c r="S1887" i="12"/>
  <c r="S1879" i="12"/>
  <c r="S1871" i="12"/>
  <c r="S1863" i="12"/>
  <c r="S1855" i="12"/>
  <c r="S1847" i="12"/>
  <c r="S1839" i="12"/>
  <c r="S1831" i="12"/>
  <c r="S1823" i="12"/>
  <c r="S1815" i="12"/>
  <c r="S1807" i="12"/>
  <c r="S1799" i="12"/>
  <c r="S1791" i="12"/>
  <c r="S1783" i="12"/>
  <c r="S1775" i="12"/>
  <c r="S1767" i="12"/>
  <c r="S1759" i="12"/>
  <c r="S1751" i="12"/>
  <c r="S1743" i="12"/>
  <c r="S1735" i="12"/>
  <c r="S1727" i="12"/>
  <c r="S1719" i="12"/>
  <c r="S1711" i="12"/>
  <c r="S1703" i="12"/>
  <c r="S1695" i="12"/>
  <c r="S1687" i="12"/>
  <c r="S1679" i="12"/>
  <c r="S1671" i="12"/>
  <c r="S1663" i="12"/>
  <c r="S1655" i="12"/>
  <c r="S1647" i="12"/>
  <c r="S1639" i="12"/>
  <c r="S1631" i="12"/>
  <c r="S1623" i="12"/>
  <c r="S1615" i="12"/>
  <c r="S1607" i="12"/>
  <c r="S1599" i="12"/>
  <c r="S1591" i="12"/>
  <c r="S1583" i="12"/>
  <c r="S1575" i="12"/>
  <c r="S1567" i="12"/>
  <c r="S1559" i="12"/>
  <c r="S1551" i="12"/>
  <c r="S1543" i="12"/>
  <c r="S1535" i="12"/>
  <c r="S1527" i="12"/>
  <c r="S1519" i="12"/>
  <c r="S1511" i="12"/>
  <c r="S1503" i="12"/>
  <c r="S1495" i="12"/>
  <c r="S1487" i="12"/>
  <c r="S1479" i="12"/>
  <c r="S1471" i="12"/>
  <c r="S1463" i="12"/>
  <c r="S1455" i="12"/>
  <c r="S1447" i="12"/>
  <c r="S1439" i="12"/>
  <c r="S1431" i="12"/>
  <c r="S1423" i="12"/>
  <c r="S1415" i="12"/>
  <c r="S1407" i="12"/>
  <c r="S1399" i="12"/>
  <c r="S1391" i="12"/>
  <c r="S1383" i="12"/>
  <c r="S1375" i="12"/>
  <c r="S1367" i="12"/>
  <c r="S1359" i="12"/>
  <c r="S1351" i="12"/>
  <c r="S1343" i="12"/>
  <c r="S1335" i="12"/>
  <c r="S1327" i="12"/>
  <c r="S1319" i="12"/>
  <c r="S1311" i="12"/>
  <c r="S1303" i="12"/>
  <c r="S1295" i="12"/>
  <c r="S1287" i="12"/>
  <c r="S1279" i="12"/>
  <c r="S1271" i="12"/>
  <c r="S1263" i="12"/>
  <c r="S1255" i="12"/>
  <c r="S1247" i="12"/>
  <c r="S1239" i="12"/>
  <c r="S1231" i="12"/>
  <c r="S1223" i="12"/>
  <c r="S1215" i="12"/>
  <c r="S1207" i="12"/>
  <c r="S1199" i="12"/>
  <c r="S1191" i="12"/>
  <c r="S1183" i="12"/>
  <c r="S1175" i="12"/>
  <c r="S1167" i="12"/>
  <c r="S1159" i="12"/>
  <c r="S1151" i="12"/>
  <c r="S1143" i="12"/>
  <c r="S1135" i="12"/>
  <c r="S1127" i="12"/>
  <c r="S1119" i="12"/>
  <c r="S1111" i="12"/>
  <c r="S1103" i="12"/>
  <c r="S1095" i="12"/>
  <c r="S1087" i="12"/>
  <c r="S1079" i="12"/>
  <c r="S1071" i="12"/>
  <c r="S1063" i="12"/>
  <c r="S1055" i="12"/>
  <c r="S1047" i="12"/>
  <c r="S1039" i="12"/>
  <c r="S1031" i="12"/>
  <c r="S1023" i="12"/>
  <c r="S1015" i="12"/>
  <c r="S1007" i="12"/>
  <c r="S2198" i="12"/>
  <c r="S2190" i="12"/>
  <c r="S2182" i="12"/>
  <c r="S2174" i="12"/>
  <c r="S2166" i="12"/>
  <c r="S2158" i="12"/>
  <c r="S2150" i="12"/>
  <c r="S2142" i="12"/>
  <c r="S2134" i="12"/>
  <c r="S2126" i="12"/>
  <c r="S2118" i="12"/>
  <c r="S2110" i="12"/>
  <c r="S2102" i="12"/>
  <c r="S2094" i="12"/>
  <c r="S2086" i="12"/>
  <c r="S2078" i="12"/>
  <c r="S2070" i="12"/>
  <c r="S2062" i="12"/>
  <c r="S2054" i="12"/>
  <c r="S2046" i="12"/>
  <c r="S2038" i="12"/>
  <c r="S2030" i="12"/>
  <c r="S2022" i="12"/>
  <c r="S2014" i="12"/>
  <c r="S2006" i="12"/>
  <c r="S1998" i="12"/>
  <c r="S1990" i="12"/>
  <c r="S1982" i="12"/>
  <c r="S1974" i="12"/>
  <c r="S1966" i="12"/>
  <c r="S1958" i="12"/>
  <c r="S1950" i="12"/>
  <c r="S1942" i="12"/>
  <c r="S1934" i="12"/>
  <c r="S1926" i="12"/>
  <c r="S1918" i="12"/>
  <c r="S1910" i="12"/>
  <c r="S1902" i="12"/>
  <c r="S1894" i="12"/>
  <c r="S1886" i="12"/>
  <c r="S1878" i="12"/>
  <c r="S1870" i="12"/>
  <c r="S1862" i="12"/>
  <c r="S1854" i="12"/>
  <c r="S1846" i="12"/>
  <c r="S1838" i="12"/>
  <c r="S1830" i="12"/>
  <c r="S1822" i="12"/>
  <c r="S1814" i="12"/>
  <c r="S1806" i="12"/>
  <c r="S1798" i="12"/>
  <c r="S1790" i="12"/>
  <c r="S1782" i="12"/>
  <c r="S1774" i="12"/>
  <c r="S1766" i="12"/>
  <c r="S1758" i="12"/>
  <c r="S1750" i="12"/>
  <c r="S1742" i="12"/>
  <c r="S1734" i="12"/>
  <c r="S1726" i="12"/>
  <c r="S1718" i="12"/>
  <c r="S1710" i="12"/>
  <c r="S1702" i="12"/>
  <c r="S1694" i="12"/>
  <c r="S1686" i="12"/>
  <c r="S1678" i="12"/>
  <c r="S1670" i="12"/>
  <c r="S1662" i="12"/>
  <c r="S1654" i="12"/>
  <c r="S1646" i="12"/>
  <c r="S1638" i="12"/>
  <c r="S1630" i="12"/>
  <c r="S1622" i="12"/>
  <c r="S1614" i="12"/>
  <c r="S1606" i="12"/>
  <c r="S1598" i="12"/>
  <c r="S1590" i="12"/>
  <c r="S1582" i="12"/>
  <c r="S1574" i="12"/>
  <c r="S1566" i="12"/>
  <c r="S1558" i="12"/>
  <c r="S1550" i="12"/>
  <c r="S1542" i="12"/>
  <c r="S1534" i="12"/>
  <c r="S1526" i="12"/>
  <c r="S1518" i="12"/>
  <c r="S1510" i="12"/>
  <c r="S1502" i="12"/>
  <c r="S1494" i="12"/>
  <c r="S1486" i="12"/>
  <c r="S1478" i="12"/>
  <c r="S1470" i="12"/>
  <c r="S1462" i="12"/>
  <c r="S1454" i="12"/>
  <c r="S1446" i="12"/>
  <c r="S1438" i="12"/>
  <c r="S1430" i="12"/>
  <c r="S1422" i="12"/>
  <c r="S1414" i="12"/>
  <c r="S1406" i="12"/>
  <c r="S1398" i="12"/>
  <c r="S1390" i="12"/>
  <c r="S1382" i="12"/>
  <c r="S1374" i="12"/>
  <c r="S1366" i="12"/>
  <c r="S1358" i="12"/>
  <c r="S1350" i="12"/>
  <c r="S1342" i="12"/>
  <c r="S1334" i="12"/>
  <c r="S1326" i="12"/>
  <c r="S1318" i="12"/>
  <c r="S1310" i="12"/>
  <c r="S1302" i="12"/>
  <c r="S1294" i="12"/>
  <c r="S1286" i="12"/>
  <c r="S1278" i="12"/>
  <c r="S1270" i="12"/>
  <c r="S1262" i="12"/>
  <c r="S1254" i="12"/>
  <c r="S1246" i="12"/>
  <c r="S1238" i="12"/>
  <c r="S1230" i="12"/>
  <c r="S1222" i="12"/>
  <c r="S1214" i="12"/>
  <c r="S1206" i="12"/>
  <c r="S1198" i="12"/>
  <c r="S1190" i="12"/>
  <c r="S1182" i="12"/>
  <c r="S1174" i="12"/>
  <c r="S1166" i="12"/>
  <c r="S1158" i="12"/>
  <c r="S1150" i="12"/>
  <c r="S1142" i="12"/>
  <c r="S1134" i="12"/>
  <c r="S1126" i="12"/>
  <c r="S1118" i="12"/>
  <c r="S1110" i="12"/>
  <c r="S1102" i="12"/>
  <c r="S1094" i="12"/>
  <c r="S1086" i="12"/>
  <c r="S1078" i="12"/>
  <c r="S1070" i="12"/>
  <c r="S1062" i="12"/>
  <c r="S1054" i="12"/>
  <c r="S1046" i="12"/>
  <c r="S1038" i="12"/>
  <c r="S1030" i="12"/>
  <c r="S1022" i="12"/>
  <c r="S1014" i="12"/>
  <c r="S1006" i="12"/>
  <c r="S2197" i="12"/>
  <c r="S2189" i="12"/>
  <c r="S2181" i="12"/>
  <c r="S2173" i="12"/>
  <c r="S2165" i="12"/>
  <c r="S2157" i="12"/>
  <c r="S2149" i="12"/>
  <c r="S2141" i="12"/>
  <c r="S2133" i="12"/>
  <c r="S2125" i="12"/>
  <c r="S2117" i="12"/>
  <c r="S2109" i="12"/>
  <c r="S2101" i="12"/>
  <c r="S2093" i="12"/>
  <c r="S2085" i="12"/>
  <c r="S2077" i="12"/>
  <c r="S2069" i="12"/>
  <c r="S2061" i="12"/>
  <c r="S2053" i="12"/>
  <c r="S2045" i="12"/>
  <c r="S2037" i="12"/>
  <c r="S2029" i="12"/>
  <c r="S2021" i="12"/>
  <c r="S2013" i="12"/>
  <c r="S2005" i="12"/>
  <c r="S1997" i="12"/>
  <c r="S1989" i="12"/>
  <c r="S1981" i="12"/>
  <c r="S1973" i="12"/>
  <c r="S1965" i="12"/>
  <c r="S1957" i="12"/>
  <c r="S1949" i="12"/>
  <c r="S1941" i="12"/>
  <c r="S1933" i="12"/>
  <c r="S1925" i="12"/>
  <c r="S1917" i="12"/>
  <c r="S1909" i="12"/>
  <c r="S1901" i="12"/>
  <c r="S1893" i="12"/>
  <c r="S1885" i="12"/>
  <c r="S1877" i="12"/>
  <c r="S1869" i="12"/>
  <c r="S1861" i="12"/>
  <c r="S1853" i="12"/>
  <c r="S1845" i="12"/>
  <c r="S1837" i="12"/>
  <c r="S1829" i="12"/>
  <c r="S1821" i="12"/>
  <c r="S1813" i="12"/>
  <c r="S1805" i="12"/>
  <c r="S1797" i="12"/>
  <c r="S1789" i="12"/>
  <c r="S1781" i="12"/>
  <c r="S1773" i="12"/>
  <c r="S1765" i="12"/>
  <c r="S1757" i="12"/>
  <c r="S1749" i="12"/>
  <c r="S1741" i="12"/>
  <c r="S1733" i="12"/>
  <c r="S1725" i="12"/>
  <c r="S1717" i="12"/>
  <c r="S1709" i="12"/>
  <c r="S1701" i="12"/>
  <c r="S1693" i="12"/>
  <c r="S1685" i="12"/>
  <c r="S1677" i="12"/>
  <c r="S1669" i="12"/>
  <c r="S1661" i="12"/>
  <c r="S1653" i="12"/>
  <c r="S1645" i="12"/>
  <c r="S1637" i="12"/>
  <c r="S1629" i="12"/>
  <c r="S1621" i="12"/>
  <c r="S1613" i="12"/>
  <c r="S1605" i="12"/>
  <c r="S1597" i="12"/>
  <c r="S1589" i="12"/>
  <c r="S1581" i="12"/>
  <c r="S1573" i="12"/>
  <c r="S1565" i="12"/>
  <c r="S1557" i="12"/>
  <c r="S1549" i="12"/>
  <c r="S1541" i="12"/>
  <c r="S1533" i="12"/>
  <c r="S1525" i="12"/>
  <c r="S1517" i="12"/>
  <c r="S1509" i="12"/>
  <c r="S1501" i="12"/>
  <c r="S1493" i="12"/>
  <c r="S1485" i="12"/>
  <c r="S1477" i="12"/>
  <c r="S1469" i="12"/>
  <c r="S1461" i="12"/>
  <c r="S1453" i="12"/>
  <c r="S1445" i="12"/>
  <c r="S1437" i="12"/>
  <c r="S1429" i="12"/>
  <c r="S1421" i="12"/>
  <c r="S1413" i="12"/>
  <c r="S1405" i="12"/>
  <c r="S1397" i="12"/>
  <c r="S1389" i="12"/>
  <c r="S1381" i="12"/>
  <c r="S1373" i="12"/>
  <c r="S1365" i="12"/>
  <c r="S1357" i="12"/>
  <c r="S1349" i="12"/>
  <c r="S1341" i="12"/>
  <c r="S1333" i="12"/>
  <c r="S1325" i="12"/>
  <c r="S1317" i="12"/>
  <c r="S1309" i="12"/>
  <c r="S1301" i="12"/>
  <c r="S1293" i="12"/>
  <c r="S1285" i="12"/>
  <c r="S1277" i="12"/>
  <c r="S1269" i="12"/>
  <c r="S1261" i="12"/>
  <c r="S1253" i="12"/>
  <c r="S1245" i="12"/>
  <c r="S1237" i="12"/>
  <c r="S1229" i="12"/>
  <c r="S1221" i="12"/>
  <c r="S1213" i="12"/>
  <c r="S1205" i="12"/>
  <c r="S1197" i="12"/>
  <c r="S1189" i="12"/>
  <c r="S1181" i="12"/>
  <c r="S1173" i="12"/>
  <c r="S1165" i="12"/>
  <c r="S1157" i="12"/>
  <c r="S1149" i="12"/>
  <c r="S1141" i="12"/>
  <c r="S1133" i="12"/>
  <c r="S1125" i="12"/>
  <c r="S1117" i="12"/>
  <c r="S1109" i="12"/>
  <c r="S1101" i="12"/>
  <c r="S1093" i="12"/>
  <c r="S1085" i="12"/>
  <c r="S1077" i="12"/>
  <c r="S1069" i="12"/>
  <c r="S1061" i="12"/>
  <c r="S1053" i="12"/>
  <c r="S1045" i="12"/>
  <c r="S1037" i="12"/>
  <c r="S1029" i="12"/>
  <c r="S1021" i="12"/>
  <c r="S1013" i="12"/>
  <c r="S1005" i="12"/>
  <c r="S2194" i="12"/>
  <c r="S2186" i="12"/>
  <c r="S2178" i="12"/>
  <c r="S2170" i="12"/>
  <c r="S2162" i="12"/>
  <c r="S2154" i="12"/>
  <c r="S2146" i="12"/>
  <c r="S2138" i="12"/>
  <c r="S2130" i="12"/>
  <c r="S2122" i="12"/>
  <c r="S2114" i="12"/>
  <c r="S2106" i="12"/>
  <c r="S2098" i="12"/>
  <c r="S2090" i="12"/>
  <c r="S2082" i="12"/>
  <c r="S2074" i="12"/>
  <c r="S2066" i="12"/>
  <c r="S2058" i="12"/>
  <c r="S2050" i="12"/>
  <c r="S2042" i="12"/>
  <c r="S2034" i="12"/>
  <c r="S2026" i="12"/>
  <c r="S2018" i="12"/>
  <c r="S2010" i="12"/>
  <c r="S2002" i="12"/>
  <c r="S1994" i="12"/>
  <c r="S1986" i="12"/>
  <c r="S1978" i="12"/>
  <c r="S1970" i="12"/>
  <c r="S1962" i="12"/>
  <c r="S1954" i="12"/>
  <c r="S1946" i="12"/>
  <c r="S1938" i="12"/>
  <c r="S1930" i="12"/>
  <c r="S1922" i="12"/>
  <c r="S1914" i="12"/>
  <c r="S1906" i="12"/>
  <c r="S1898" i="12"/>
  <c r="S1890" i="12"/>
  <c r="S1882" i="12"/>
  <c r="S1874" i="12"/>
  <c r="S1866" i="12"/>
  <c r="S1858" i="12"/>
  <c r="S1850" i="12"/>
  <c r="S1842" i="12"/>
  <c r="S1834" i="12"/>
  <c r="S1826" i="12"/>
  <c r="S1818" i="12"/>
  <c r="S1810" i="12"/>
  <c r="S1802" i="12"/>
  <c r="S1794" i="12"/>
  <c r="S1786" i="12"/>
  <c r="S1778" i="12"/>
  <c r="S1770" i="12"/>
  <c r="S1762" i="12"/>
  <c r="S1754" i="12"/>
  <c r="S1746" i="12"/>
  <c r="S1738" i="12"/>
  <c r="S1730" i="12"/>
  <c r="S1722" i="12"/>
  <c r="S1714" i="12"/>
  <c r="S1706" i="12"/>
  <c r="S1698" i="12"/>
  <c r="S1690" i="12"/>
  <c r="S1682" i="12"/>
  <c r="S1674" i="12"/>
  <c r="S1666" i="12"/>
  <c r="S1658" i="12"/>
  <c r="S1650" i="12"/>
  <c r="S1642" i="12"/>
  <c r="S1634" i="12"/>
  <c r="S1626" i="12"/>
  <c r="S1618" i="12"/>
  <c r="S1610" i="12"/>
  <c r="S1602" i="12"/>
  <c r="S1594" i="12"/>
  <c r="S1586" i="12"/>
  <c r="S1578" i="12"/>
  <c r="S1570" i="12"/>
  <c r="S1562" i="12"/>
  <c r="S1554" i="12"/>
  <c r="S1546" i="12"/>
  <c r="S1538" i="12"/>
  <c r="S1530" i="12"/>
  <c r="S1522" i="12"/>
  <c r="S1514" i="12"/>
  <c r="S1506" i="12"/>
  <c r="S1498" i="12"/>
  <c r="S1490" i="12"/>
  <c r="S1482" i="12"/>
  <c r="S1474" i="12"/>
  <c r="S1466" i="12"/>
  <c r="S1458" i="12"/>
  <c r="S1450" i="12"/>
  <c r="S1442" i="12"/>
  <c r="S1434" i="12"/>
  <c r="S1426" i="12"/>
  <c r="S1418" i="12"/>
  <c r="S1410" i="12"/>
  <c r="S1402" i="12"/>
  <c r="S1394" i="12"/>
  <c r="S1386" i="12"/>
  <c r="S1378" i="12"/>
  <c r="S1370" i="12"/>
  <c r="S1362" i="12"/>
  <c r="S1354" i="12"/>
  <c r="S1346" i="12"/>
  <c r="S1338" i="12"/>
  <c r="S1330" i="12"/>
  <c r="S1322" i="12"/>
  <c r="S1314" i="12"/>
  <c r="S1306" i="12"/>
  <c r="S1298" i="12"/>
  <c r="S1290" i="12"/>
  <c r="S1282" i="12"/>
  <c r="S1274" i="12"/>
  <c r="S1266" i="12"/>
  <c r="S1258" i="12"/>
  <c r="S1250" i="12"/>
  <c r="S1242" i="12"/>
  <c r="S1234" i="12"/>
  <c r="S1226" i="12"/>
  <c r="S1218" i="12"/>
  <c r="S1210" i="12"/>
  <c r="S1202" i="12"/>
  <c r="S1194" i="12"/>
  <c r="S1186" i="12"/>
  <c r="S1178" i="12"/>
  <c r="S1170" i="12"/>
  <c r="S1162" i="12"/>
  <c r="S1154" i="12"/>
  <c r="S1146" i="12"/>
  <c r="S1138" i="12"/>
  <c r="S1130" i="12"/>
  <c r="S1122" i="12"/>
  <c r="S1114" i="12"/>
  <c r="S1106" i="12"/>
  <c r="S1098" i="12"/>
  <c r="S1090" i="12"/>
  <c r="S1082" i="12"/>
  <c r="S1074" i="12"/>
  <c r="S1066" i="12"/>
  <c r="S1058" i="12"/>
  <c r="S1050" i="12"/>
  <c r="S1042" i="12"/>
  <c r="S1034" i="12"/>
  <c r="S1026" i="12"/>
  <c r="S1018" i="12"/>
  <c r="S1010" i="12"/>
  <c r="S2196" i="12"/>
  <c r="S2180" i="12"/>
  <c r="S2164" i="12"/>
  <c r="S2148" i="12"/>
  <c r="S2132" i="12"/>
  <c r="S2116" i="12"/>
  <c r="S2100" i="12"/>
  <c r="S2084" i="12"/>
  <c r="S2068" i="12"/>
  <c r="S2052" i="12"/>
  <c r="S2036" i="12"/>
  <c r="S2020" i="12"/>
  <c r="S2004" i="12"/>
  <c r="S1988" i="12"/>
  <c r="S1972" i="12"/>
  <c r="S1956" i="12"/>
  <c r="S1940" i="12"/>
  <c r="S1924" i="12"/>
  <c r="S1908" i="12"/>
  <c r="S1892" i="12"/>
  <c r="S1876" i="12"/>
  <c r="S1860" i="12"/>
  <c r="S1844" i="12"/>
  <c r="S1828" i="12"/>
  <c r="S1812" i="12"/>
  <c r="S1796" i="12"/>
  <c r="S1780" i="12"/>
  <c r="S1764" i="12"/>
  <c r="S1748" i="12"/>
  <c r="S1732" i="12"/>
  <c r="S1716" i="12"/>
  <c r="S1700" i="12"/>
  <c r="S1684" i="12"/>
  <c r="S1668" i="12"/>
  <c r="S1652" i="12"/>
  <c r="S1636" i="12"/>
  <c r="S1620" i="12"/>
  <c r="S1604" i="12"/>
  <c r="S1588" i="12"/>
  <c r="S1572" i="12"/>
  <c r="S1556" i="12"/>
  <c r="S1540" i="12"/>
  <c r="S1524" i="12"/>
  <c r="S1508" i="12"/>
  <c r="S1492" i="12"/>
  <c r="S1476" i="12"/>
  <c r="S1460" i="12"/>
  <c r="S1444" i="12"/>
  <c r="S1428" i="12"/>
  <c r="S1412" i="12"/>
  <c r="S1396" i="12"/>
  <c r="S1380" i="12"/>
  <c r="S1364" i="12"/>
  <c r="S1348" i="12"/>
  <c r="S1332" i="12"/>
  <c r="S1316" i="12"/>
  <c r="S1300" i="12"/>
  <c r="S1284" i="12"/>
  <c r="S1268" i="12"/>
  <c r="S1252" i="12"/>
  <c r="S1236" i="12"/>
  <c r="S1220" i="12"/>
  <c r="S1204" i="12"/>
  <c r="S1188" i="12"/>
  <c r="S1172" i="12"/>
  <c r="S1156" i="12"/>
  <c r="S1140" i="12"/>
  <c r="S1124" i="12"/>
  <c r="S1108" i="12"/>
  <c r="S1092" i="12"/>
  <c r="S1076" i="12"/>
  <c r="S1060" i="12"/>
  <c r="S1044" i="12"/>
  <c r="S1028" i="12"/>
  <c r="S1012" i="12"/>
  <c r="S1000" i="12"/>
  <c r="S992" i="12"/>
  <c r="S984" i="12"/>
  <c r="S976" i="12"/>
  <c r="S968" i="12"/>
  <c r="S960" i="12"/>
  <c r="S952" i="12"/>
  <c r="S944" i="12"/>
  <c r="S936" i="12"/>
  <c r="S928" i="12"/>
  <c r="S920" i="12"/>
  <c r="S912" i="12"/>
  <c r="S904" i="12"/>
  <c r="S896" i="12"/>
  <c r="S888" i="12"/>
  <c r="S880" i="12"/>
  <c r="S872" i="12"/>
  <c r="S864" i="12"/>
  <c r="S856" i="12"/>
  <c r="S848" i="12"/>
  <c r="S840" i="12"/>
  <c r="S832" i="12"/>
  <c r="S824" i="12"/>
  <c r="S816" i="12"/>
  <c r="S808" i="12"/>
  <c r="S800" i="12"/>
  <c r="S792" i="12"/>
  <c r="S784" i="12"/>
  <c r="S776" i="12"/>
  <c r="S768" i="12"/>
  <c r="S760" i="12"/>
  <c r="S752" i="12"/>
  <c r="S744" i="12"/>
  <c r="S736" i="12"/>
  <c r="S728" i="12"/>
  <c r="S720" i="12"/>
  <c r="S712" i="12"/>
  <c r="S704" i="12"/>
  <c r="S696" i="12"/>
  <c r="S688" i="12"/>
  <c r="S680" i="12"/>
  <c r="S672" i="12"/>
  <c r="S664" i="12"/>
  <c r="S656" i="12"/>
  <c r="S648" i="12"/>
  <c r="S640" i="12"/>
  <c r="S632" i="12"/>
  <c r="S624" i="12"/>
  <c r="S616" i="12"/>
  <c r="S608" i="12"/>
  <c r="S600" i="12"/>
  <c r="S592" i="12"/>
  <c r="S584" i="12"/>
  <c r="S576" i="12"/>
  <c r="S568" i="12"/>
  <c r="S560" i="12"/>
  <c r="S552" i="12"/>
  <c r="S544" i="12"/>
  <c r="S536" i="12"/>
  <c r="S528" i="12"/>
  <c r="S520" i="12"/>
  <c r="S512" i="12"/>
  <c r="S504" i="12"/>
  <c r="S496" i="12"/>
  <c r="S488" i="12"/>
  <c r="S480" i="12"/>
  <c r="S472" i="12"/>
  <c r="S464" i="12"/>
  <c r="S456" i="12"/>
  <c r="S448" i="12"/>
  <c r="S440" i="12"/>
  <c r="S432" i="12"/>
  <c r="S424" i="12"/>
  <c r="S416" i="12"/>
  <c r="S408" i="12"/>
  <c r="S400" i="12"/>
  <c r="S392" i="12"/>
  <c r="S384" i="12"/>
  <c r="S376" i="12"/>
  <c r="S368" i="12"/>
  <c r="S360" i="12"/>
  <c r="S352" i="12"/>
  <c r="S344" i="12"/>
  <c r="S336" i="12"/>
  <c r="S328" i="12"/>
  <c r="S320" i="12"/>
  <c r="S312" i="12"/>
  <c r="S304" i="12"/>
  <c r="S296" i="12"/>
  <c r="S288" i="12"/>
  <c r="S280" i="12"/>
  <c r="S272" i="12"/>
  <c r="S264" i="12"/>
  <c r="S256" i="12"/>
  <c r="S248" i="12"/>
  <c r="S240" i="12"/>
  <c r="S232" i="12"/>
  <c r="S224" i="12"/>
  <c r="S216" i="12"/>
  <c r="S208" i="12"/>
  <c r="S200" i="12"/>
  <c r="S192" i="12"/>
  <c r="S184" i="12"/>
  <c r="S176" i="12"/>
  <c r="S168" i="12"/>
  <c r="S160" i="12"/>
  <c r="S152" i="12"/>
  <c r="S144" i="12"/>
  <c r="S136" i="12"/>
  <c r="S128" i="12"/>
  <c r="S120" i="12"/>
  <c r="S112" i="12"/>
  <c r="S104" i="12"/>
  <c r="S96" i="12"/>
  <c r="S88" i="12"/>
  <c r="S80" i="12"/>
  <c r="S72" i="12"/>
  <c r="S64" i="12"/>
  <c r="S56" i="12"/>
  <c r="S48" i="12"/>
  <c r="S40" i="12"/>
  <c r="S32" i="12"/>
  <c r="S24" i="12"/>
  <c r="S16" i="12"/>
  <c r="S8" i="12"/>
  <c r="S2195" i="12"/>
  <c r="S2179" i="12"/>
  <c r="S2163" i="12"/>
  <c r="S2147" i="12"/>
  <c r="S2131" i="12"/>
  <c r="S2115" i="12"/>
  <c r="S2099" i="12"/>
  <c r="S2083" i="12"/>
  <c r="S2067" i="12"/>
  <c r="S2051" i="12"/>
  <c r="S2035" i="12"/>
  <c r="S2019" i="12"/>
  <c r="S2003" i="12"/>
  <c r="S1987" i="12"/>
  <c r="S1971" i="12"/>
  <c r="S1955" i="12"/>
  <c r="S1939" i="12"/>
  <c r="S1923" i="12"/>
  <c r="S1907" i="12"/>
  <c r="S1891" i="12"/>
  <c r="S1875" i="12"/>
  <c r="S1859" i="12"/>
  <c r="S1843" i="12"/>
  <c r="S1827" i="12"/>
  <c r="S1811" i="12"/>
  <c r="S1795" i="12"/>
  <c r="S1779" i="12"/>
  <c r="S1763" i="12"/>
  <c r="S1747" i="12"/>
  <c r="S1731" i="12"/>
  <c r="S1715" i="12"/>
  <c r="S1699" i="12"/>
  <c r="S1683" i="12"/>
  <c r="S1667" i="12"/>
  <c r="S1651" i="12"/>
  <c r="S1635" i="12"/>
  <c r="S1619" i="12"/>
  <c r="S1603" i="12"/>
  <c r="S1587" i="12"/>
  <c r="S1571" i="12"/>
  <c r="S1555" i="12"/>
  <c r="S1539" i="12"/>
  <c r="S1523" i="12"/>
  <c r="S1507" i="12"/>
  <c r="S1491" i="12"/>
  <c r="S1475" i="12"/>
  <c r="S1459" i="12"/>
  <c r="S1443" i="12"/>
  <c r="S1427" i="12"/>
  <c r="S1411" i="12"/>
  <c r="S1395" i="12"/>
  <c r="S1379" i="12"/>
  <c r="S1363" i="12"/>
  <c r="S1347" i="12"/>
  <c r="S1331" i="12"/>
  <c r="S1315" i="12"/>
  <c r="S1299" i="12"/>
  <c r="S1283" i="12"/>
  <c r="S1267" i="12"/>
  <c r="S1251" i="12"/>
  <c r="S1235" i="12"/>
  <c r="S1219" i="12"/>
  <c r="S1203" i="12"/>
  <c r="S1187" i="12"/>
  <c r="S1171" i="12"/>
  <c r="S1155" i="12"/>
  <c r="S1139" i="12"/>
  <c r="S1123" i="12"/>
  <c r="S1107" i="12"/>
  <c r="S1091" i="12"/>
  <c r="S1075" i="12"/>
  <c r="S1059" i="12"/>
  <c r="S1043" i="12"/>
  <c r="S1027" i="12"/>
  <c r="S1011" i="12"/>
  <c r="S999" i="12"/>
  <c r="S991" i="12"/>
  <c r="S983" i="12"/>
  <c r="S975" i="12"/>
  <c r="S967" i="12"/>
  <c r="S959" i="12"/>
  <c r="S951" i="12"/>
  <c r="S943" i="12"/>
  <c r="S935" i="12"/>
  <c r="S927" i="12"/>
  <c r="S919" i="12"/>
  <c r="S911" i="12"/>
  <c r="S903" i="12"/>
  <c r="S895" i="12"/>
  <c r="S887" i="12"/>
  <c r="S879" i="12"/>
  <c r="S871" i="12"/>
  <c r="S863" i="12"/>
  <c r="S855" i="12"/>
  <c r="S847" i="12"/>
  <c r="S839" i="12"/>
  <c r="S831" i="12"/>
  <c r="S823" i="12"/>
  <c r="S815" i="12"/>
  <c r="S807" i="12"/>
  <c r="S799" i="12"/>
  <c r="S791" i="12"/>
  <c r="S783" i="12"/>
  <c r="S775" i="12"/>
  <c r="S767" i="12"/>
  <c r="S759" i="12"/>
  <c r="S751" i="12"/>
  <c r="S743" i="12"/>
  <c r="S735" i="12"/>
  <c r="S727" i="12"/>
  <c r="S719" i="12"/>
  <c r="S711" i="12"/>
  <c r="S703" i="12"/>
  <c r="S695" i="12"/>
  <c r="S687" i="12"/>
  <c r="S679" i="12"/>
  <c r="S671" i="12"/>
  <c r="S663" i="12"/>
  <c r="S655" i="12"/>
  <c r="S647" i="12"/>
  <c r="S639" i="12"/>
  <c r="S631" i="12"/>
  <c r="S623" i="12"/>
  <c r="S615" i="12"/>
  <c r="S607" i="12"/>
  <c r="S599" i="12"/>
  <c r="S591" i="12"/>
  <c r="S583" i="12"/>
  <c r="S575" i="12"/>
  <c r="S567" i="12"/>
  <c r="S559" i="12"/>
  <c r="S551" i="12"/>
  <c r="S543" i="12"/>
  <c r="S535" i="12"/>
  <c r="S527" i="12"/>
  <c r="S519" i="12"/>
  <c r="S511" i="12"/>
  <c r="S503" i="12"/>
  <c r="S495" i="12"/>
  <c r="S487" i="12"/>
  <c r="S479" i="12"/>
  <c r="S471" i="12"/>
  <c r="S463" i="12"/>
  <c r="S455" i="12"/>
  <c r="S447" i="12"/>
  <c r="S439" i="12"/>
  <c r="S431" i="12"/>
  <c r="S423" i="12"/>
  <c r="S415" i="12"/>
  <c r="S407" i="12"/>
  <c r="S399" i="12"/>
  <c r="S391" i="12"/>
  <c r="S383" i="12"/>
  <c r="S375" i="12"/>
  <c r="S367" i="12"/>
  <c r="S359" i="12"/>
  <c r="S351" i="12"/>
  <c r="S343" i="12"/>
  <c r="S335" i="12"/>
  <c r="S327" i="12"/>
  <c r="S319" i="12"/>
  <c r="S311" i="12"/>
  <c r="S303" i="12"/>
  <c r="S295" i="12"/>
  <c r="S287" i="12"/>
  <c r="S279" i="12"/>
  <c r="S271" i="12"/>
  <c r="S263" i="12"/>
  <c r="S255" i="12"/>
  <c r="S247" i="12"/>
  <c r="S239" i="12"/>
  <c r="S231" i="12"/>
  <c r="S223" i="12"/>
  <c r="S215" i="12"/>
  <c r="S207" i="12"/>
  <c r="S199" i="12"/>
  <c r="S191" i="12"/>
  <c r="S183" i="12"/>
  <c r="S175" i="12"/>
  <c r="S167" i="12"/>
  <c r="S159" i="12"/>
  <c r="S151" i="12"/>
  <c r="S143" i="12"/>
  <c r="S135" i="12"/>
  <c r="S127" i="12"/>
  <c r="S119" i="12"/>
  <c r="S111" i="12"/>
  <c r="S103" i="12"/>
  <c r="S95" i="12"/>
  <c r="S87" i="12"/>
  <c r="S79" i="12"/>
  <c r="S71" i="12"/>
  <c r="S63" i="12"/>
  <c r="S55" i="12"/>
  <c r="S47" i="12"/>
  <c r="S39" i="12"/>
  <c r="S31" i="12"/>
  <c r="S23" i="12"/>
  <c r="S15" i="12"/>
  <c r="S7" i="12"/>
  <c r="S2193" i="12"/>
  <c r="S2177" i="12"/>
  <c r="S2161" i="12"/>
  <c r="S2145" i="12"/>
  <c r="S2129" i="12"/>
  <c r="S2113" i="12"/>
  <c r="S2097" i="12"/>
  <c r="S2081" i="12"/>
  <c r="S2065" i="12"/>
  <c r="S2049" i="12"/>
  <c r="S2033" i="12"/>
  <c r="S2017" i="12"/>
  <c r="S2001" i="12"/>
  <c r="S1985" i="12"/>
  <c r="S1969" i="12"/>
  <c r="S1953" i="12"/>
  <c r="S1937" i="12"/>
  <c r="S1921" i="12"/>
  <c r="S1905" i="12"/>
  <c r="S1889" i="12"/>
  <c r="S1873" i="12"/>
  <c r="S1857" i="12"/>
  <c r="S1841" i="12"/>
  <c r="S1825" i="12"/>
  <c r="S1809" i="12"/>
  <c r="S1793" i="12"/>
  <c r="S1777" i="12"/>
  <c r="S1761" i="12"/>
  <c r="S1745" i="12"/>
  <c r="S1729" i="12"/>
  <c r="S1713" i="12"/>
  <c r="S1697" i="12"/>
  <c r="S1681" i="12"/>
  <c r="S1665" i="12"/>
  <c r="S1649" i="12"/>
  <c r="S1633" i="12"/>
  <c r="S1617" i="12"/>
  <c r="S1601" i="12"/>
  <c r="S1585" i="12"/>
  <c r="S1569" i="12"/>
  <c r="S1553" i="12"/>
  <c r="S1537" i="12"/>
  <c r="S1521" i="12"/>
  <c r="S1505" i="12"/>
  <c r="S1489" i="12"/>
  <c r="S1473" i="12"/>
  <c r="S1457" i="12"/>
  <c r="S1441" i="12"/>
  <c r="S1425" i="12"/>
  <c r="S1409" i="12"/>
  <c r="S1393" i="12"/>
  <c r="S1377" i="12"/>
  <c r="S1361" i="12"/>
  <c r="S1345" i="12"/>
  <c r="S1329" i="12"/>
  <c r="S1313" i="12"/>
  <c r="S1297" i="12"/>
  <c r="S1281" i="12"/>
  <c r="S1265" i="12"/>
  <c r="S1249" i="12"/>
  <c r="S1233" i="12"/>
  <c r="S1217" i="12"/>
  <c r="S1201" i="12"/>
  <c r="S1185" i="12"/>
  <c r="S1169" i="12"/>
  <c r="S1153" i="12"/>
  <c r="S1137" i="12"/>
  <c r="S1121" i="12"/>
  <c r="S1105" i="12"/>
  <c r="S1089" i="12"/>
  <c r="S1073" i="12"/>
  <c r="S1057" i="12"/>
  <c r="S1041" i="12"/>
  <c r="S1025" i="12"/>
  <c r="S1009" i="12"/>
  <c r="S998" i="12"/>
  <c r="S990" i="12"/>
  <c r="S982" i="12"/>
  <c r="S974" i="12"/>
  <c r="S966" i="12"/>
  <c r="S958" i="12"/>
  <c r="S950" i="12"/>
  <c r="S942" i="12"/>
  <c r="S934" i="12"/>
  <c r="S926" i="12"/>
  <c r="S918" i="12"/>
  <c r="S910" i="12"/>
  <c r="S902" i="12"/>
  <c r="S894" i="12"/>
  <c r="S886" i="12"/>
  <c r="S878" i="12"/>
  <c r="S870" i="12"/>
  <c r="S862" i="12"/>
  <c r="S854" i="12"/>
  <c r="S846" i="12"/>
  <c r="S838" i="12"/>
  <c r="S830" i="12"/>
  <c r="S822" i="12"/>
  <c r="S814" i="12"/>
  <c r="S806" i="12"/>
  <c r="S798" i="12"/>
  <c r="S790" i="12"/>
  <c r="S782" i="12"/>
  <c r="S774" i="12"/>
  <c r="S766" i="12"/>
  <c r="S758" i="12"/>
  <c r="S750" i="12"/>
  <c r="S742" i="12"/>
  <c r="S734" i="12"/>
  <c r="S726" i="12"/>
  <c r="S718" i="12"/>
  <c r="S710" i="12"/>
  <c r="S702" i="12"/>
  <c r="S694" i="12"/>
  <c r="S686" i="12"/>
  <c r="S678" i="12"/>
  <c r="S670" i="12"/>
  <c r="S662" i="12"/>
  <c r="S654" i="12"/>
  <c r="S646" i="12"/>
  <c r="S638" i="12"/>
  <c r="S630" i="12"/>
  <c r="S622" i="12"/>
  <c r="S614" i="12"/>
  <c r="S606" i="12"/>
  <c r="S598" i="12"/>
  <c r="S590" i="12"/>
  <c r="S582" i="12"/>
  <c r="S574" i="12"/>
  <c r="S566" i="12"/>
  <c r="S558" i="12"/>
  <c r="S550" i="12"/>
  <c r="S542" i="12"/>
  <c r="S534" i="12"/>
  <c r="S526" i="12"/>
  <c r="S518" i="12"/>
  <c r="S510" i="12"/>
  <c r="S502" i="12"/>
  <c r="S494" i="12"/>
  <c r="S486" i="12"/>
  <c r="S478" i="12"/>
  <c r="S470" i="12"/>
  <c r="S462" i="12"/>
  <c r="S454" i="12"/>
  <c r="S446" i="12"/>
  <c r="S438" i="12"/>
  <c r="S430" i="12"/>
  <c r="S422" i="12"/>
  <c r="S414" i="12"/>
  <c r="S406" i="12"/>
  <c r="S398" i="12"/>
  <c r="S390" i="12"/>
  <c r="S382" i="12"/>
  <c r="S374" i="12"/>
  <c r="S366" i="12"/>
  <c r="S358" i="12"/>
  <c r="S350" i="12"/>
  <c r="S342" i="12"/>
  <c r="S334" i="12"/>
  <c r="S326" i="12"/>
  <c r="S318" i="12"/>
  <c r="S310" i="12"/>
  <c r="S302" i="12"/>
  <c r="S294" i="12"/>
  <c r="S286" i="12"/>
  <c r="S278" i="12"/>
  <c r="S270" i="12"/>
  <c r="S262" i="12"/>
  <c r="S254" i="12"/>
  <c r="S246" i="12"/>
  <c r="S238" i="12"/>
  <c r="S230" i="12"/>
  <c r="S222" i="12"/>
  <c r="S214" i="12"/>
  <c r="S206" i="12"/>
  <c r="S198" i="12"/>
  <c r="S190" i="12"/>
  <c r="S182" i="12"/>
  <c r="S174" i="12"/>
  <c r="S166" i="12"/>
  <c r="S158" i="12"/>
  <c r="S150" i="12"/>
  <c r="S142" i="12"/>
  <c r="S134" i="12"/>
  <c r="S126" i="12"/>
  <c r="S118" i="12"/>
  <c r="S110" i="12"/>
  <c r="S102" i="12"/>
  <c r="S94" i="12"/>
  <c r="S86" i="12"/>
  <c r="S78" i="12"/>
  <c r="S70" i="12"/>
  <c r="S62" i="12"/>
  <c r="S54" i="12"/>
  <c r="S46" i="12"/>
  <c r="S38" i="12"/>
  <c r="S30" i="12"/>
  <c r="S22" i="12"/>
  <c r="S14" i="12"/>
  <c r="S6" i="12"/>
  <c r="S2192" i="12"/>
  <c r="S2176" i="12"/>
  <c r="S2160" i="12"/>
  <c r="S2144" i="12"/>
  <c r="S2128" i="12"/>
  <c r="S2112" i="12"/>
  <c r="S2096" i="12"/>
  <c r="S2080" i="12"/>
  <c r="S2064" i="12"/>
  <c r="S2048" i="12"/>
  <c r="S2032" i="12"/>
  <c r="S2016" i="12"/>
  <c r="S2000" i="12"/>
  <c r="S1984" i="12"/>
  <c r="S1968" i="12"/>
  <c r="S1952" i="12"/>
  <c r="S1936" i="12"/>
  <c r="S1920" i="12"/>
  <c r="S1904" i="12"/>
  <c r="S1888" i="12"/>
  <c r="S1872" i="12"/>
  <c r="S1856" i="12"/>
  <c r="S1840" i="12"/>
  <c r="S1824" i="12"/>
  <c r="S1808" i="12"/>
  <c r="S1792" i="12"/>
  <c r="S1776" i="12"/>
  <c r="S1760" i="12"/>
  <c r="S1744" i="12"/>
  <c r="S1728" i="12"/>
  <c r="S1712" i="12"/>
  <c r="S1696" i="12"/>
  <c r="S1680" i="12"/>
  <c r="S1664" i="12"/>
  <c r="S1648" i="12"/>
  <c r="S1632" i="12"/>
  <c r="S1616" i="12"/>
  <c r="S1600" i="12"/>
  <c r="S1584" i="12"/>
  <c r="S1568" i="12"/>
  <c r="S1552" i="12"/>
  <c r="S1536" i="12"/>
  <c r="S1520" i="12"/>
  <c r="S1504" i="12"/>
  <c r="S1488" i="12"/>
  <c r="S1472" i="12"/>
  <c r="S1456" i="12"/>
  <c r="S1440" i="12"/>
  <c r="S1424" i="12"/>
  <c r="S1408" i="12"/>
  <c r="S1392" i="12"/>
  <c r="S1376" i="12"/>
  <c r="S1360" i="12"/>
  <c r="S1344" i="12"/>
  <c r="S1328" i="12"/>
  <c r="S1312" i="12"/>
  <c r="S1296" i="12"/>
  <c r="S1280" i="12"/>
  <c r="S1264" i="12"/>
  <c r="S1248" i="12"/>
  <c r="S1232" i="12"/>
  <c r="S1216" i="12"/>
  <c r="S1200" i="12"/>
  <c r="S1184" i="12"/>
  <c r="S1168" i="12"/>
  <c r="S1152" i="12"/>
  <c r="S1136" i="12"/>
  <c r="S1120" i="12"/>
  <c r="S1104" i="12"/>
  <c r="S1088" i="12"/>
  <c r="S1072" i="12"/>
  <c r="S1056" i="12"/>
  <c r="S1040" i="12"/>
  <c r="S1024" i="12"/>
  <c r="S1008" i="12"/>
  <c r="S997" i="12"/>
  <c r="S989" i="12"/>
  <c r="S981" i="12"/>
  <c r="S973" i="12"/>
  <c r="S965" i="12"/>
  <c r="S957" i="12"/>
  <c r="S949" i="12"/>
  <c r="S941" i="12"/>
  <c r="S933" i="12"/>
  <c r="S925" i="12"/>
  <c r="S917" i="12"/>
  <c r="S909" i="12"/>
  <c r="S901" i="12"/>
  <c r="S893" i="12"/>
  <c r="S885" i="12"/>
  <c r="S877" i="12"/>
  <c r="S869" i="12"/>
  <c r="S861" i="12"/>
  <c r="S853" i="12"/>
  <c r="S845" i="12"/>
  <c r="S837" i="12"/>
  <c r="S829" i="12"/>
  <c r="S821" i="12"/>
  <c r="S813" i="12"/>
  <c r="S805" i="12"/>
  <c r="S797" i="12"/>
  <c r="S789" i="12"/>
  <c r="S781" i="12"/>
  <c r="S773" i="12"/>
  <c r="S765" i="12"/>
  <c r="S757" i="12"/>
  <c r="S749" i="12"/>
  <c r="S741" i="12"/>
  <c r="S733" i="12"/>
  <c r="S725" i="12"/>
  <c r="S717" i="12"/>
  <c r="S709" i="12"/>
  <c r="S701" i="12"/>
  <c r="S693" i="12"/>
  <c r="S685" i="12"/>
  <c r="S677" i="12"/>
  <c r="S669" i="12"/>
  <c r="S661" i="12"/>
  <c r="S653" i="12"/>
  <c r="S645" i="12"/>
  <c r="S637" i="12"/>
  <c r="S629" i="12"/>
  <c r="S621" i="12"/>
  <c r="S613" i="12"/>
  <c r="S605" i="12"/>
  <c r="S597" i="12"/>
  <c r="S589" i="12"/>
  <c r="S581" i="12"/>
  <c r="S573" i="12"/>
  <c r="S565" i="12"/>
  <c r="S557" i="12"/>
  <c r="S549" i="12"/>
  <c r="S541" i="12"/>
  <c r="S533" i="12"/>
  <c r="S525" i="12"/>
  <c r="S517" i="12"/>
  <c r="S509" i="12"/>
  <c r="S501" i="12"/>
  <c r="S493" i="12"/>
  <c r="S485" i="12"/>
  <c r="S477" i="12"/>
  <c r="S469" i="12"/>
  <c r="S461" i="12"/>
  <c r="S453" i="12"/>
  <c r="S445" i="12"/>
  <c r="S437" i="12"/>
  <c r="S429" i="12"/>
  <c r="S421" i="12"/>
  <c r="S413" i="12"/>
  <c r="S405" i="12"/>
  <c r="S397" i="12"/>
  <c r="S389" i="12"/>
  <c r="S381" i="12"/>
  <c r="S373" i="12"/>
  <c r="S365" i="12"/>
  <c r="S357" i="12"/>
  <c r="S349" i="12"/>
  <c r="S341" i="12"/>
  <c r="S333" i="12"/>
  <c r="S325" i="12"/>
  <c r="S317" i="12"/>
  <c r="S309" i="12"/>
  <c r="S301" i="12"/>
  <c r="S293" i="12"/>
  <c r="S285" i="12"/>
  <c r="S277" i="12"/>
  <c r="S269" i="12"/>
  <c r="S261" i="12"/>
  <c r="S253" i="12"/>
  <c r="S245" i="12"/>
  <c r="S237" i="12"/>
  <c r="S229" i="12"/>
  <c r="S221" i="12"/>
  <c r="S213" i="12"/>
  <c r="S205" i="12"/>
  <c r="S197" i="12"/>
  <c r="S189" i="12"/>
  <c r="S181" i="12"/>
  <c r="S173" i="12"/>
  <c r="S165" i="12"/>
  <c r="S157" i="12"/>
  <c r="S149" i="12"/>
  <c r="S141" i="12"/>
  <c r="S133" i="12"/>
  <c r="S125" i="12"/>
  <c r="S117" i="12"/>
  <c r="S109" i="12"/>
  <c r="S101" i="12"/>
  <c r="S93" i="12"/>
  <c r="S85" i="12"/>
  <c r="S77" i="12"/>
  <c r="S69" i="12"/>
  <c r="S61" i="12"/>
  <c r="S53" i="12"/>
  <c r="S45" i="12"/>
  <c r="S37" i="12"/>
  <c r="S29" i="12"/>
  <c r="S21" i="12"/>
  <c r="S13" i="12"/>
  <c r="S5" i="12"/>
  <c r="S2188" i="12"/>
  <c r="S2172" i="12"/>
  <c r="S2156" i="12"/>
  <c r="S2140" i="12"/>
  <c r="S2124" i="12"/>
  <c r="S2108" i="12"/>
  <c r="S2092" i="12"/>
  <c r="S2076" i="12"/>
  <c r="S2060" i="12"/>
  <c r="S2044" i="12"/>
  <c r="S2028" i="12"/>
  <c r="S2012" i="12"/>
  <c r="S1996" i="12"/>
  <c r="S1980" i="12"/>
  <c r="S1964" i="12"/>
  <c r="S1948" i="12"/>
  <c r="S1932" i="12"/>
  <c r="S1916" i="12"/>
  <c r="S1900" i="12"/>
  <c r="S1884" i="12"/>
  <c r="S1868" i="12"/>
  <c r="S1852" i="12"/>
  <c r="S1836" i="12"/>
  <c r="S1820" i="12"/>
  <c r="S1804" i="12"/>
  <c r="S1788" i="12"/>
  <c r="S1772" i="12"/>
  <c r="S1756" i="12"/>
  <c r="S1740" i="12"/>
  <c r="S1724" i="12"/>
  <c r="S1708" i="12"/>
  <c r="S1692" i="12"/>
  <c r="S1676" i="12"/>
  <c r="S1660" i="12"/>
  <c r="S1644" i="12"/>
  <c r="S1628" i="12"/>
  <c r="S1612" i="12"/>
  <c r="S1596" i="12"/>
  <c r="S1580" i="12"/>
  <c r="S1564" i="12"/>
  <c r="S1548" i="12"/>
  <c r="S1532" i="12"/>
  <c r="S1516" i="12"/>
  <c r="S1500" i="12"/>
  <c r="S1484" i="12"/>
  <c r="S1468" i="12"/>
  <c r="S1452" i="12"/>
  <c r="S1436" i="12"/>
  <c r="S1420" i="12"/>
  <c r="S1404" i="12"/>
  <c r="S1388" i="12"/>
  <c r="S1372" i="12"/>
  <c r="S1356" i="12"/>
  <c r="S1340" i="12"/>
  <c r="S1324" i="12"/>
  <c r="S1308" i="12"/>
  <c r="S1292" i="12"/>
  <c r="S1276" i="12"/>
  <c r="S1260" i="12"/>
  <c r="S1244" i="12"/>
  <c r="S1228" i="12"/>
  <c r="S1212" i="12"/>
  <c r="S1196" i="12"/>
  <c r="S1180" i="12"/>
  <c r="S1164" i="12"/>
  <c r="S1148" i="12"/>
  <c r="S1132" i="12"/>
  <c r="S1116" i="12"/>
  <c r="S1100" i="12"/>
  <c r="S1084" i="12"/>
  <c r="S1068" i="12"/>
  <c r="S1052" i="12"/>
  <c r="S1036" i="12"/>
  <c r="S1020" i="12"/>
  <c r="S1004" i="12"/>
  <c r="S996" i="12"/>
  <c r="S988" i="12"/>
  <c r="S980" i="12"/>
  <c r="S972" i="12"/>
  <c r="S964" i="12"/>
  <c r="S956" i="12"/>
  <c r="S948" i="12"/>
  <c r="S940" i="12"/>
  <c r="S932" i="12"/>
  <c r="S924" i="12"/>
  <c r="S916" i="12"/>
  <c r="S908" i="12"/>
  <c r="S900" i="12"/>
  <c r="S892" i="12"/>
  <c r="S884" i="12"/>
  <c r="S876" i="12"/>
  <c r="S868" i="12"/>
  <c r="S860" i="12"/>
  <c r="S852" i="12"/>
  <c r="S844" i="12"/>
  <c r="S836" i="12"/>
  <c r="S828" i="12"/>
  <c r="S820" i="12"/>
  <c r="S812" i="12"/>
  <c r="S804" i="12"/>
  <c r="S796" i="12"/>
  <c r="S788" i="12"/>
  <c r="S780" i="12"/>
  <c r="S772" i="12"/>
  <c r="S764" i="12"/>
  <c r="S756" i="12"/>
  <c r="S748" i="12"/>
  <c r="S740" i="12"/>
  <c r="S732" i="12"/>
  <c r="S724" i="12"/>
  <c r="S716" i="12"/>
  <c r="S708" i="12"/>
  <c r="S700" i="12"/>
  <c r="S692" i="12"/>
  <c r="S684" i="12"/>
  <c r="S676" i="12"/>
  <c r="S668" i="12"/>
  <c r="S660" i="12"/>
  <c r="S652" i="12"/>
  <c r="S644" i="12"/>
  <c r="S636" i="12"/>
  <c r="S628" i="12"/>
  <c r="S620" i="12"/>
  <c r="S612" i="12"/>
  <c r="S604" i="12"/>
  <c r="S596" i="12"/>
  <c r="S588" i="12"/>
  <c r="S580" i="12"/>
  <c r="S572" i="12"/>
  <c r="S564" i="12"/>
  <c r="S556" i="12"/>
  <c r="S548" i="12"/>
  <c r="S540" i="12"/>
  <c r="S532" i="12"/>
  <c r="S524" i="12"/>
  <c r="S516" i="12"/>
  <c r="S508" i="12"/>
  <c r="S500" i="12"/>
  <c r="S492" i="12"/>
  <c r="S484" i="12"/>
  <c r="S476" i="12"/>
  <c r="S468" i="12"/>
  <c r="S460" i="12"/>
  <c r="S452" i="12"/>
  <c r="S444" i="12"/>
  <c r="S436" i="12"/>
  <c r="S428" i="12"/>
  <c r="S420" i="12"/>
  <c r="S412" i="12"/>
  <c r="S404" i="12"/>
  <c r="S396" i="12"/>
  <c r="S388" i="12"/>
  <c r="S380" i="12"/>
  <c r="S372" i="12"/>
  <c r="S364" i="12"/>
  <c r="S356" i="12"/>
  <c r="S348" i="12"/>
  <c r="S340" i="12"/>
  <c r="S332" i="12"/>
  <c r="S324" i="12"/>
  <c r="S316" i="12"/>
  <c r="S308" i="12"/>
  <c r="S300" i="12"/>
  <c r="S292" i="12"/>
  <c r="S284" i="12"/>
  <c r="S276" i="12"/>
  <c r="S268" i="12"/>
  <c r="S260" i="12"/>
  <c r="S252" i="12"/>
  <c r="S244" i="12"/>
  <c r="S236" i="12"/>
  <c r="S228" i="12"/>
  <c r="S220" i="12"/>
  <c r="S212" i="12"/>
  <c r="S204" i="12"/>
  <c r="S196" i="12"/>
  <c r="S188" i="12"/>
  <c r="S180" i="12"/>
  <c r="S172" i="12"/>
  <c r="S164" i="12"/>
  <c r="S156" i="12"/>
  <c r="S148" i="12"/>
  <c r="S140" i="12"/>
  <c r="S132" i="12"/>
  <c r="S124" i="12"/>
  <c r="S116" i="12"/>
  <c r="S108" i="12"/>
  <c r="S100" i="12"/>
  <c r="S92" i="12"/>
  <c r="S84" i="12"/>
  <c r="S76" i="12"/>
  <c r="S68" i="12"/>
  <c r="S60" i="12"/>
  <c r="S52" i="12"/>
  <c r="S44" i="12"/>
  <c r="S36" i="12"/>
  <c r="S28" i="12"/>
  <c r="S20" i="12"/>
  <c r="S12" i="12"/>
  <c r="S2185" i="12"/>
  <c r="S2139" i="12"/>
  <c r="S2104" i="12"/>
  <c r="S2057" i="12"/>
  <c r="S2011" i="12"/>
  <c r="S1976" i="12"/>
  <c r="S1929" i="12"/>
  <c r="S1883" i="12"/>
  <c r="S1848" i="12"/>
  <c r="S1801" i="12"/>
  <c r="S1755" i="12"/>
  <c r="S1720" i="12"/>
  <c r="S1673" i="12"/>
  <c r="S1627" i="12"/>
  <c r="S1592" i="12"/>
  <c r="S1545" i="12"/>
  <c r="S1499" i="12"/>
  <c r="S1464" i="12"/>
  <c r="S1417" i="12"/>
  <c r="S1371" i="12"/>
  <c r="S1336" i="12"/>
  <c r="S1289" i="12"/>
  <c r="S1243" i="12"/>
  <c r="S1208" i="12"/>
  <c r="S1161" i="12"/>
  <c r="S1115" i="12"/>
  <c r="S1080" i="12"/>
  <c r="S1033" i="12"/>
  <c r="S995" i="12"/>
  <c r="S977" i="12"/>
  <c r="S954" i="12"/>
  <c r="S931" i="12"/>
  <c r="S913" i="12"/>
  <c r="S890" i="12"/>
  <c r="S867" i="12"/>
  <c r="S849" i="12"/>
  <c r="S826" i="12"/>
  <c r="S803" i="12"/>
  <c r="S785" i="12"/>
  <c r="S762" i="12"/>
  <c r="S739" i="12"/>
  <c r="S721" i="12"/>
  <c r="S698" i="12"/>
  <c r="S675" i="12"/>
  <c r="S657" i="12"/>
  <c r="S634" i="12"/>
  <c r="S611" i="12"/>
  <c r="S593" i="12"/>
  <c r="S570" i="12"/>
  <c r="S547" i="12"/>
  <c r="S529" i="12"/>
  <c r="S506" i="12"/>
  <c r="S483" i="12"/>
  <c r="S465" i="12"/>
  <c r="S442" i="12"/>
  <c r="S419" i="12"/>
  <c r="S401" i="12"/>
  <c r="S378" i="12"/>
  <c r="S355" i="12"/>
  <c r="S337" i="12"/>
  <c r="S314" i="12"/>
  <c r="S291" i="12"/>
  <c r="S273" i="12"/>
  <c r="S250" i="12"/>
  <c r="S227" i="12"/>
  <c r="S209" i="12"/>
  <c r="S186" i="12"/>
  <c r="S163" i="12"/>
  <c r="S145" i="12"/>
  <c r="S122" i="12"/>
  <c r="S99" i="12"/>
  <c r="S81" i="12"/>
  <c r="S58" i="12"/>
  <c r="S35" i="12"/>
  <c r="S17" i="12"/>
  <c r="S2184" i="12"/>
  <c r="S2137" i="12"/>
  <c r="S2091" i="12"/>
  <c r="S2056" i="12"/>
  <c r="S2009" i="12"/>
  <c r="S1963" i="12"/>
  <c r="S1928" i="12"/>
  <c r="S1881" i="12"/>
  <c r="S1835" i="12"/>
  <c r="S1800" i="12"/>
  <c r="S1753" i="12"/>
  <c r="S1707" i="12"/>
  <c r="S1672" i="12"/>
  <c r="S1625" i="12"/>
  <c r="S1579" i="12"/>
  <c r="S1544" i="12"/>
  <c r="S1497" i="12"/>
  <c r="S1451" i="12"/>
  <c r="S1416" i="12"/>
  <c r="S1369" i="12"/>
  <c r="S1323" i="12"/>
  <c r="S1288" i="12"/>
  <c r="S1241" i="12"/>
  <c r="S1195" i="12"/>
  <c r="S1160" i="12"/>
  <c r="S1113" i="12"/>
  <c r="S1067" i="12"/>
  <c r="S1032" i="12"/>
  <c r="S994" i="12"/>
  <c r="S971" i="12"/>
  <c r="S953" i="12"/>
  <c r="S930" i="12"/>
  <c r="S907" i="12"/>
  <c r="S889" i="12"/>
  <c r="S866" i="12"/>
  <c r="S843" i="12"/>
  <c r="S825" i="12"/>
  <c r="S802" i="12"/>
  <c r="S779" i="12"/>
  <c r="S761" i="12"/>
  <c r="S738" i="12"/>
  <c r="S715" i="12"/>
  <c r="S697" i="12"/>
  <c r="S674" i="12"/>
  <c r="S651" i="12"/>
  <c r="S633" i="12"/>
  <c r="S610" i="12"/>
  <c r="S587" i="12"/>
  <c r="S569" i="12"/>
  <c r="S546" i="12"/>
  <c r="S523" i="12"/>
  <c r="S505" i="12"/>
  <c r="S482" i="12"/>
  <c r="S459" i="12"/>
  <c r="S441" i="12"/>
  <c r="S418" i="12"/>
  <c r="S395" i="12"/>
  <c r="S377" i="12"/>
  <c r="S354" i="12"/>
  <c r="S331" i="12"/>
  <c r="S313" i="12"/>
  <c r="S290" i="12"/>
  <c r="S267" i="12"/>
  <c r="S249" i="12"/>
  <c r="S226" i="12"/>
  <c r="S203" i="12"/>
  <c r="S185" i="12"/>
  <c r="S162" i="12"/>
  <c r="S139" i="12"/>
  <c r="S121" i="12"/>
  <c r="S98" i="12"/>
  <c r="S75" i="12"/>
  <c r="S57" i="12"/>
  <c r="S34" i="12"/>
  <c r="S11" i="12"/>
  <c r="S2171" i="12"/>
  <c r="S2136" i="12"/>
  <c r="S2089" i="12"/>
  <c r="S2043" i="12"/>
  <c r="S2008" i="12"/>
  <c r="S1961" i="12"/>
  <c r="S1915" i="12"/>
  <c r="S1880" i="12"/>
  <c r="S1833" i="12"/>
  <c r="S1787" i="12"/>
  <c r="S1752" i="12"/>
  <c r="S1705" i="12"/>
  <c r="S1659" i="12"/>
  <c r="S1624" i="12"/>
  <c r="S1577" i="12"/>
  <c r="S1531" i="12"/>
  <c r="S1496" i="12"/>
  <c r="S1449" i="12"/>
  <c r="S1403" i="12"/>
  <c r="S1368" i="12"/>
  <c r="S1321" i="12"/>
  <c r="S1275" i="12"/>
  <c r="S1240" i="12"/>
  <c r="S1193" i="12"/>
  <c r="S1147" i="12"/>
  <c r="S1112" i="12"/>
  <c r="S1065" i="12"/>
  <c r="S1019" i="12"/>
  <c r="S993" i="12"/>
  <c r="S970" i="12"/>
  <c r="S947" i="12"/>
  <c r="S929" i="12"/>
  <c r="S906" i="12"/>
  <c r="S883" i="12"/>
  <c r="S865" i="12"/>
  <c r="S842" i="12"/>
  <c r="S819" i="12"/>
  <c r="S801" i="12"/>
  <c r="S778" i="12"/>
  <c r="S755" i="12"/>
  <c r="S737" i="12"/>
  <c r="S714" i="12"/>
  <c r="S691" i="12"/>
  <c r="S673" i="12"/>
  <c r="S650" i="12"/>
  <c r="S627" i="12"/>
  <c r="S609" i="12"/>
  <c r="S586" i="12"/>
  <c r="S563" i="12"/>
  <c r="S545" i="12"/>
  <c r="S522" i="12"/>
  <c r="S499" i="12"/>
  <c r="S481" i="12"/>
  <c r="S458" i="12"/>
  <c r="S435" i="12"/>
  <c r="S417" i="12"/>
  <c r="S394" i="12"/>
  <c r="S371" i="12"/>
  <c r="S353" i="12"/>
  <c r="S330" i="12"/>
  <c r="S307" i="12"/>
  <c r="S289" i="12"/>
  <c r="S266" i="12"/>
  <c r="S243" i="12"/>
  <c r="S225" i="12"/>
  <c r="S202" i="12"/>
  <c r="S179" i="12"/>
  <c r="S161" i="12"/>
  <c r="S138" i="12"/>
  <c r="S115" i="12"/>
  <c r="S97" i="12"/>
  <c r="S74" i="12"/>
  <c r="S51" i="12"/>
  <c r="S33" i="12"/>
  <c r="S10" i="12"/>
  <c r="S2169" i="12"/>
  <c r="S2123" i="12"/>
  <c r="S2088" i="12"/>
  <c r="S2041" i="12"/>
  <c r="S1995" i="12"/>
  <c r="S1960" i="12"/>
  <c r="S1913" i="12"/>
  <c r="S1867" i="12"/>
  <c r="S1832" i="12"/>
  <c r="S1785" i="12"/>
  <c r="S1739" i="12"/>
  <c r="S1704" i="12"/>
  <c r="S1657" i="12"/>
  <c r="S1611" i="12"/>
  <c r="S1576" i="12"/>
  <c r="S1529" i="12"/>
  <c r="S1483" i="12"/>
  <c r="S1448" i="12"/>
  <c r="S1401" i="12"/>
  <c r="S1355" i="12"/>
  <c r="S1320" i="12"/>
  <c r="S1273" i="12"/>
  <c r="S1227" i="12"/>
  <c r="S1192" i="12"/>
  <c r="S1145" i="12"/>
  <c r="S1099" i="12"/>
  <c r="S1064" i="12"/>
  <c r="S1017" i="12"/>
  <c r="S987" i="12"/>
  <c r="S969" i="12"/>
  <c r="S946" i="12"/>
  <c r="S923" i="12"/>
  <c r="S905" i="12"/>
  <c r="S882" i="12"/>
  <c r="S859" i="12"/>
  <c r="S841" i="12"/>
  <c r="S818" i="12"/>
  <c r="S795" i="12"/>
  <c r="S777" i="12"/>
  <c r="S754" i="12"/>
  <c r="S731" i="12"/>
  <c r="S713" i="12"/>
  <c r="S690" i="12"/>
  <c r="S667" i="12"/>
  <c r="S649" i="12"/>
  <c r="S626" i="12"/>
  <c r="S603" i="12"/>
  <c r="S585" i="12"/>
  <c r="S562" i="12"/>
  <c r="S539" i="12"/>
  <c r="S521" i="12"/>
  <c r="S498" i="12"/>
  <c r="S475" i="12"/>
  <c r="S457" i="12"/>
  <c r="S434" i="12"/>
  <c r="S411" i="12"/>
  <c r="S393" i="12"/>
  <c r="S370" i="12"/>
  <c r="S347" i="12"/>
  <c r="S329" i="12"/>
  <c r="S306" i="12"/>
  <c r="S283" i="12"/>
  <c r="S265" i="12"/>
  <c r="S242" i="12"/>
  <c r="S219" i="12"/>
  <c r="S201" i="12"/>
  <c r="S178" i="12"/>
  <c r="S155" i="12"/>
  <c r="S137" i="12"/>
  <c r="S114" i="12"/>
  <c r="S91" i="12"/>
  <c r="S73" i="12"/>
  <c r="S50" i="12"/>
  <c r="S27" i="12"/>
  <c r="S9" i="12"/>
  <c r="S2168" i="12"/>
  <c r="S2121" i="12"/>
  <c r="S2075" i="12"/>
  <c r="S2040" i="12"/>
  <c r="S1993" i="12"/>
  <c r="S1947" i="12"/>
  <c r="S1912" i="12"/>
  <c r="S1865" i="12"/>
  <c r="S1819" i="12"/>
  <c r="S1784" i="12"/>
  <c r="S1737" i="12"/>
  <c r="S1691" i="12"/>
  <c r="S1656" i="12"/>
  <c r="S1609" i="12"/>
  <c r="S1563" i="12"/>
  <c r="S1528" i="12"/>
  <c r="S1481" i="12"/>
  <c r="S1435" i="12"/>
  <c r="S1400" i="12"/>
  <c r="S1353" i="12"/>
  <c r="S1307" i="12"/>
  <c r="S1272" i="12"/>
  <c r="S1225" i="12"/>
  <c r="S1179" i="12"/>
  <c r="S1144" i="12"/>
  <c r="S1097" i="12"/>
  <c r="S1051" i="12"/>
  <c r="S1016" i="12"/>
  <c r="S986" i="12"/>
  <c r="S963" i="12"/>
  <c r="S945" i="12"/>
  <c r="S922" i="12"/>
  <c r="S899" i="12"/>
  <c r="S881" i="12"/>
  <c r="S858" i="12"/>
  <c r="S835" i="12"/>
  <c r="S817" i="12"/>
  <c r="S794" i="12"/>
  <c r="S771" i="12"/>
  <c r="S753" i="12"/>
  <c r="S730" i="12"/>
  <c r="S707" i="12"/>
  <c r="S689" i="12"/>
  <c r="S666" i="12"/>
  <c r="S643" i="12"/>
  <c r="S625" i="12"/>
  <c r="S602" i="12"/>
  <c r="S579" i="12"/>
  <c r="S561" i="12"/>
  <c r="S538" i="12"/>
  <c r="S515" i="12"/>
  <c r="S497" i="12"/>
  <c r="S474" i="12"/>
  <c r="S451" i="12"/>
  <c r="S433" i="12"/>
  <c r="S410" i="12"/>
  <c r="S387" i="12"/>
  <c r="S369" i="12"/>
  <c r="S346" i="12"/>
  <c r="S323" i="12"/>
  <c r="S305" i="12"/>
  <c r="S282" i="12"/>
  <c r="S259" i="12"/>
  <c r="S241" i="12"/>
  <c r="S218" i="12"/>
  <c r="S195" i="12"/>
  <c r="S177" i="12"/>
  <c r="S154" i="12"/>
  <c r="S131" i="12"/>
  <c r="S113" i="12"/>
  <c r="S90" i="12"/>
  <c r="S67" i="12"/>
  <c r="S49" i="12"/>
  <c r="S26" i="12"/>
  <c r="S4" i="12"/>
  <c r="S2200" i="12"/>
  <c r="S2153" i="12"/>
  <c r="S2107" i="12"/>
  <c r="S2072" i="12"/>
  <c r="S2025" i="12"/>
  <c r="S1979" i="12"/>
  <c r="S1944" i="12"/>
  <c r="S1897" i="12"/>
  <c r="S1851" i="12"/>
  <c r="S1816" i="12"/>
  <c r="S1769" i="12"/>
  <c r="S1723" i="12"/>
  <c r="S1688" i="12"/>
  <c r="S1641" i="12"/>
  <c r="S1595" i="12"/>
  <c r="S1560" i="12"/>
  <c r="S1513" i="12"/>
  <c r="S1467" i="12"/>
  <c r="S1432" i="12"/>
  <c r="S1385" i="12"/>
  <c r="S1339" i="12"/>
  <c r="S1304" i="12"/>
  <c r="S1257" i="12"/>
  <c r="S1211" i="12"/>
  <c r="S1176" i="12"/>
  <c r="S1129" i="12"/>
  <c r="S1083" i="12"/>
  <c r="S1048" i="12"/>
  <c r="S1002" i="12"/>
  <c r="S979" i="12"/>
  <c r="S961" i="12"/>
  <c r="S938" i="12"/>
  <c r="S915" i="12"/>
  <c r="S897" i="12"/>
  <c r="S874" i="12"/>
  <c r="S851" i="12"/>
  <c r="S833" i="12"/>
  <c r="S810" i="12"/>
  <c r="S787" i="12"/>
  <c r="S769" i="12"/>
  <c r="S746" i="12"/>
  <c r="S723" i="12"/>
  <c r="S705" i="12"/>
  <c r="S682" i="12"/>
  <c r="S659" i="12"/>
  <c r="S641" i="12"/>
  <c r="S618" i="12"/>
  <c r="S595" i="12"/>
  <c r="S577" i="12"/>
  <c r="S554" i="12"/>
  <c r="S531" i="12"/>
  <c r="S513" i="12"/>
  <c r="S490" i="12"/>
  <c r="S467" i="12"/>
  <c r="S449" i="12"/>
  <c r="S426" i="12"/>
  <c r="S403" i="12"/>
  <c r="S385" i="12"/>
  <c r="S362" i="12"/>
  <c r="S339" i="12"/>
  <c r="S321" i="12"/>
  <c r="S298" i="12"/>
  <c r="S275" i="12"/>
  <c r="S257" i="12"/>
  <c r="S234" i="12"/>
  <c r="S211" i="12"/>
  <c r="S193" i="12"/>
  <c r="S170" i="12"/>
  <c r="S147" i="12"/>
  <c r="S129" i="12"/>
  <c r="S106" i="12"/>
  <c r="S83" i="12"/>
  <c r="S65" i="12"/>
  <c r="S42" i="12"/>
  <c r="S19" i="12"/>
  <c r="S2105" i="12"/>
  <c r="S1931" i="12"/>
  <c r="S1768" i="12"/>
  <c r="S1593" i="12"/>
  <c r="S1419" i="12"/>
  <c r="S1256" i="12"/>
  <c r="S1081" i="12"/>
  <c r="S955" i="12"/>
  <c r="S873" i="12"/>
  <c r="S786" i="12"/>
  <c r="S699" i="12"/>
  <c r="S617" i="12"/>
  <c r="S530" i="12"/>
  <c r="S443" i="12"/>
  <c r="S361" i="12"/>
  <c r="S274" i="12"/>
  <c r="S187" i="12"/>
  <c r="S105" i="12"/>
  <c r="S18" i="12"/>
  <c r="S2073" i="12"/>
  <c r="S1899" i="12"/>
  <c r="S1736" i="12"/>
  <c r="S1561" i="12"/>
  <c r="S1387" i="12"/>
  <c r="S1224" i="12"/>
  <c r="S1049" i="12"/>
  <c r="S939" i="12"/>
  <c r="S857" i="12"/>
  <c r="S770" i="12"/>
  <c r="S683" i="12"/>
  <c r="S601" i="12"/>
  <c r="S514" i="12"/>
  <c r="S427" i="12"/>
  <c r="S345" i="12"/>
  <c r="S258" i="12"/>
  <c r="S171" i="12"/>
  <c r="S89" i="12"/>
  <c r="S3" i="12"/>
  <c r="S2059" i="12"/>
  <c r="S1896" i="12"/>
  <c r="S1721" i="12"/>
  <c r="S1547" i="12"/>
  <c r="S1384" i="12"/>
  <c r="S1209" i="12"/>
  <c r="S1035" i="12"/>
  <c r="S937" i="12"/>
  <c r="S850" i="12"/>
  <c r="S763" i="12"/>
  <c r="S681" i="12"/>
  <c r="S594" i="12"/>
  <c r="S507" i="12"/>
  <c r="S425" i="12"/>
  <c r="S338" i="12"/>
  <c r="S251" i="12"/>
  <c r="S169" i="12"/>
  <c r="S82" i="12"/>
  <c r="S2" i="12"/>
  <c r="S2027" i="12"/>
  <c r="S1864" i="12"/>
  <c r="S1689" i="12"/>
  <c r="S1515" i="12"/>
  <c r="S1352" i="12"/>
  <c r="S1177" i="12"/>
  <c r="S1003" i="12"/>
  <c r="S921" i="12"/>
  <c r="S834" i="12"/>
  <c r="S747" i="12"/>
  <c r="S665" i="12"/>
  <c r="S578" i="12"/>
  <c r="S491" i="12"/>
  <c r="S409" i="12"/>
  <c r="S322" i="12"/>
  <c r="S235" i="12"/>
  <c r="S153" i="12"/>
  <c r="S66" i="12"/>
  <c r="S2187" i="12"/>
  <c r="S2024" i="12"/>
  <c r="S1849" i="12"/>
  <c r="S1675" i="12"/>
  <c r="S1512" i="12"/>
  <c r="S1337" i="12"/>
  <c r="S1163" i="12"/>
  <c r="S1001" i="12"/>
  <c r="S914" i="12"/>
  <c r="S827" i="12"/>
  <c r="S745" i="12"/>
  <c r="S658" i="12"/>
  <c r="S571" i="12"/>
  <c r="S489" i="12"/>
  <c r="S402" i="12"/>
  <c r="S315" i="12"/>
  <c r="S233" i="12"/>
  <c r="S146" i="12"/>
  <c r="S59" i="12"/>
  <c r="S2155" i="12"/>
  <c r="S1992" i="12"/>
  <c r="S1817" i="12"/>
  <c r="S1643" i="12"/>
  <c r="S1480" i="12"/>
  <c r="S1305" i="12"/>
  <c r="S1131" i="12"/>
  <c r="S985" i="12"/>
  <c r="S898" i="12"/>
  <c r="S811" i="12"/>
  <c r="S729" i="12"/>
  <c r="S642" i="12"/>
  <c r="S555" i="12"/>
  <c r="S473" i="12"/>
  <c r="S386" i="12"/>
  <c r="S299" i="12"/>
  <c r="S217" i="12"/>
  <c r="S130" i="12"/>
  <c r="S43" i="12"/>
  <c r="S2152" i="12"/>
  <c r="S1977" i="12"/>
  <c r="S1803" i="12"/>
  <c r="S1640" i="12"/>
  <c r="S1465" i="12"/>
  <c r="S1291" i="12"/>
  <c r="S1128" i="12"/>
  <c r="S978" i="12"/>
  <c r="S891" i="12"/>
  <c r="S809" i="12"/>
  <c r="S722" i="12"/>
  <c r="S635" i="12"/>
  <c r="S553" i="12"/>
  <c r="S466" i="12"/>
  <c r="S379" i="12"/>
  <c r="S297" i="12"/>
  <c r="S210" i="12"/>
  <c r="S123" i="12"/>
  <c r="S41" i="12"/>
  <c r="S1771" i="12"/>
  <c r="S706" i="12"/>
  <c r="S25" i="12"/>
  <c r="S1608" i="12"/>
  <c r="S619" i="12"/>
  <c r="S1433" i="12"/>
  <c r="S537" i="12"/>
  <c r="S1259" i="12"/>
  <c r="S450" i="12"/>
  <c r="S1096" i="12"/>
  <c r="S363" i="12"/>
  <c r="S962" i="12"/>
  <c r="S281" i="12"/>
  <c r="S2120" i="12"/>
  <c r="S875" i="12"/>
  <c r="S194" i="12"/>
  <c r="S1945" i="12"/>
  <c r="S793" i="12"/>
  <c r="S107" i="12"/>
  <c r="F2198" i="12"/>
  <c r="F2194" i="12"/>
  <c r="F2190" i="12"/>
  <c r="F2186" i="12"/>
  <c r="F2182" i="12"/>
  <c r="F2178" i="12"/>
  <c r="F2174" i="12"/>
  <c r="F2170" i="12"/>
  <c r="F2166" i="12"/>
  <c r="F2162" i="12"/>
  <c r="F2158" i="12"/>
  <c r="F2154" i="12"/>
  <c r="F2150" i="12"/>
  <c r="F2146" i="12"/>
  <c r="F2142" i="12"/>
  <c r="F2138" i="12"/>
  <c r="F2134" i="12"/>
  <c r="F2130" i="12"/>
  <c r="F2126" i="12"/>
  <c r="F2122" i="12"/>
  <c r="F2118" i="12"/>
  <c r="F2114" i="12"/>
  <c r="F2110" i="12"/>
  <c r="F2106" i="12"/>
  <c r="F2102" i="12"/>
  <c r="F2098" i="12"/>
  <c r="F2094" i="12"/>
  <c r="F2090" i="12"/>
  <c r="F2086" i="12"/>
  <c r="F2082" i="12"/>
  <c r="F2078" i="12"/>
  <c r="F2074" i="12"/>
  <c r="F2070" i="12"/>
  <c r="F2066" i="12"/>
  <c r="F2062" i="12"/>
  <c r="F2058" i="12"/>
  <c r="F2054" i="12"/>
  <c r="F2050" i="12"/>
  <c r="F2046" i="12"/>
  <c r="F2042" i="12"/>
  <c r="F2038" i="12"/>
  <c r="F2034" i="12"/>
  <c r="F2030" i="12"/>
  <c r="F2026" i="12"/>
  <c r="F2022" i="12"/>
  <c r="F2018" i="12"/>
  <c r="F2014" i="12"/>
  <c r="F2010" i="12"/>
  <c r="F2006" i="12"/>
  <c r="F2002" i="12"/>
  <c r="F1998" i="12"/>
  <c r="F1994" i="12"/>
  <c r="F1990" i="12"/>
  <c r="F1986" i="12"/>
  <c r="F1982" i="12"/>
  <c r="F1978" i="12"/>
  <c r="F1974" i="12"/>
  <c r="F1970" i="12"/>
  <c r="F1966" i="12"/>
  <c r="F1962" i="12"/>
  <c r="F1958" i="12"/>
  <c r="F1954" i="12"/>
  <c r="F1950" i="12"/>
  <c r="F1946" i="12"/>
  <c r="F1942" i="12"/>
  <c r="F1938" i="12"/>
  <c r="F1934" i="12"/>
  <c r="F1930" i="12"/>
  <c r="F1926" i="12"/>
  <c r="F1922" i="12"/>
  <c r="F1918" i="12"/>
  <c r="F1914" i="12"/>
  <c r="F1910" i="12"/>
  <c r="F1906" i="12"/>
  <c r="F1902" i="12"/>
  <c r="F1898" i="12"/>
  <c r="F1894" i="12"/>
  <c r="F1890" i="12"/>
  <c r="F1886" i="12"/>
  <c r="F1882" i="12"/>
  <c r="F1878" i="12"/>
  <c r="F1874" i="12"/>
  <c r="F1870" i="12"/>
  <c r="F1866" i="12"/>
  <c r="F1862" i="12"/>
  <c r="F1858" i="12"/>
  <c r="F1854" i="12"/>
  <c r="F1850" i="12"/>
  <c r="F1846" i="12"/>
  <c r="F1842" i="12"/>
  <c r="F1838" i="12"/>
  <c r="F1834" i="12"/>
  <c r="F1830" i="12"/>
  <c r="F1826" i="12"/>
  <c r="F1822" i="12"/>
  <c r="F1818" i="12"/>
  <c r="F1814" i="12"/>
  <c r="F1810" i="12"/>
  <c r="F1806" i="12"/>
  <c r="F1802" i="12"/>
  <c r="F1798" i="12"/>
  <c r="F1794" i="12"/>
  <c r="F1790" i="12"/>
  <c r="F1786" i="12"/>
  <c r="F1782" i="12"/>
  <c r="F1778" i="12"/>
  <c r="F1774" i="12"/>
  <c r="F1770" i="12"/>
  <c r="F1766" i="12"/>
  <c r="F1762" i="12"/>
  <c r="F1758" i="12"/>
  <c r="F1754" i="12"/>
  <c r="F1750" i="12"/>
  <c r="F1746" i="12"/>
  <c r="F1742" i="12"/>
  <c r="F1738" i="12"/>
  <c r="F1734" i="12"/>
  <c r="F1730" i="12"/>
  <c r="F1726" i="12"/>
  <c r="F1722" i="12"/>
  <c r="F1718" i="12"/>
  <c r="F1714" i="12"/>
  <c r="F1710" i="12"/>
  <c r="F1706" i="12"/>
  <c r="F1702" i="12"/>
  <c r="F1698" i="12"/>
  <c r="K1698" i="12" s="1"/>
  <c r="F1694" i="12"/>
  <c r="F1690" i="12"/>
  <c r="F1686" i="12"/>
  <c r="F1682" i="12"/>
  <c r="F1678" i="12"/>
  <c r="F1674" i="12"/>
  <c r="F1670" i="12"/>
  <c r="F1666" i="12"/>
  <c r="F1662" i="12"/>
  <c r="F1658" i="12"/>
  <c r="F1654" i="12"/>
  <c r="F1650" i="12"/>
  <c r="F1646" i="12"/>
  <c r="F1642" i="12"/>
  <c r="F1638" i="12"/>
  <c r="F1634" i="12"/>
  <c r="F1630" i="12"/>
  <c r="F1626" i="12"/>
  <c r="F1622" i="12"/>
  <c r="F1618" i="12"/>
  <c r="F1614" i="12"/>
  <c r="F1610" i="12"/>
  <c r="F1606" i="12"/>
  <c r="F1602" i="12"/>
  <c r="F1598" i="12"/>
  <c r="F1594" i="12"/>
  <c r="F1590" i="12"/>
  <c r="F1586" i="12"/>
  <c r="F1582" i="12"/>
  <c r="F1578" i="12"/>
  <c r="F1574" i="12"/>
  <c r="F1570" i="12"/>
  <c r="F1566" i="12"/>
  <c r="F1562" i="12"/>
  <c r="F1558" i="12"/>
  <c r="F1554" i="12"/>
  <c r="F1550" i="12"/>
  <c r="F1546" i="12"/>
  <c r="F1542" i="12"/>
  <c r="F1538" i="12"/>
  <c r="F1534" i="12"/>
  <c r="F1530" i="12"/>
  <c r="F1526" i="12"/>
  <c r="F1522" i="12"/>
  <c r="F1518" i="12"/>
  <c r="F1514" i="12"/>
  <c r="F1510" i="12"/>
  <c r="F1506" i="12"/>
  <c r="F1502" i="12"/>
  <c r="F1498" i="12"/>
  <c r="F1494" i="12"/>
  <c r="F1490" i="12"/>
  <c r="F1486" i="12"/>
  <c r="F1482" i="12"/>
  <c r="F1478" i="12"/>
  <c r="F1474" i="12"/>
  <c r="F1470" i="12"/>
  <c r="F1466" i="12"/>
  <c r="F1462" i="12"/>
  <c r="F1458" i="12"/>
  <c r="F1454" i="12"/>
  <c r="F1450" i="12"/>
  <c r="F1446" i="12"/>
  <c r="F1442" i="12"/>
  <c r="F1438" i="12"/>
  <c r="F1434" i="12"/>
  <c r="F1430" i="12"/>
  <c r="F1426" i="12"/>
  <c r="F1422" i="12"/>
  <c r="F1418" i="12"/>
  <c r="F1414" i="12"/>
  <c r="F1410" i="12"/>
  <c r="F1406" i="12"/>
  <c r="F1402" i="12"/>
  <c r="F1398" i="12"/>
  <c r="F1394" i="12"/>
  <c r="F1390" i="12"/>
  <c r="F1386" i="12"/>
  <c r="F1382" i="12"/>
  <c r="F1378" i="12"/>
  <c r="F1374" i="12"/>
  <c r="F1370" i="12"/>
  <c r="F1366" i="12"/>
  <c r="G2197" i="12"/>
  <c r="G2193" i="12"/>
  <c r="G2189" i="12"/>
  <c r="G2185" i="12"/>
  <c r="G2181" i="12"/>
  <c r="G2177" i="12"/>
  <c r="G2173" i="12"/>
  <c r="G2169" i="12"/>
  <c r="G2165" i="12"/>
  <c r="G2161" i="12"/>
  <c r="G2157" i="12"/>
  <c r="G2153" i="12"/>
  <c r="G2149" i="12"/>
  <c r="G2145" i="12"/>
  <c r="G2141" i="12"/>
  <c r="G2137" i="12"/>
  <c r="G2133" i="12"/>
  <c r="G2129" i="12"/>
  <c r="G2125" i="12"/>
  <c r="G2121" i="12"/>
  <c r="G2117" i="12"/>
  <c r="G2113" i="12"/>
  <c r="G2109" i="12"/>
  <c r="G2105" i="12"/>
  <c r="G2101" i="12"/>
  <c r="G2097" i="12"/>
  <c r="G2093" i="12"/>
  <c r="G2089" i="12"/>
  <c r="G2085" i="12"/>
  <c r="G2081" i="12"/>
  <c r="G2077" i="12"/>
  <c r="G2073" i="12"/>
  <c r="G2069" i="12"/>
  <c r="G2065" i="12"/>
  <c r="G2061" i="12"/>
  <c r="G2057" i="12"/>
  <c r="G2053" i="12"/>
  <c r="G2049" i="12"/>
  <c r="G2045" i="12"/>
  <c r="G2041" i="12"/>
  <c r="G2037" i="12"/>
  <c r="G2033" i="12"/>
  <c r="G2029" i="12"/>
  <c r="G2025" i="12"/>
  <c r="G2021" i="12"/>
  <c r="G2017" i="12"/>
  <c r="G2013" i="12"/>
  <c r="G2009" i="12"/>
  <c r="G2005" i="12"/>
  <c r="G2001" i="12"/>
  <c r="G1997" i="12"/>
  <c r="G1993" i="12"/>
  <c r="G1989" i="12"/>
  <c r="G1985" i="12"/>
  <c r="G1981" i="12"/>
  <c r="G1977" i="12"/>
  <c r="G1973" i="12"/>
  <c r="G1969" i="12"/>
  <c r="G1965" i="12"/>
  <c r="G1961" i="12"/>
  <c r="G1957" i="12"/>
  <c r="G1953" i="12"/>
  <c r="G1949" i="12"/>
  <c r="G1945" i="12"/>
  <c r="G1941" i="12"/>
  <c r="G1937" i="12"/>
  <c r="G1933" i="12"/>
  <c r="H1933" i="12" s="1"/>
  <c r="G1929" i="12"/>
  <c r="G1925" i="12"/>
  <c r="G1921" i="12"/>
  <c r="G1917" i="12"/>
  <c r="G1913" i="12"/>
  <c r="G1909" i="12"/>
  <c r="G1905" i="12"/>
  <c r="H1905" i="12" s="1"/>
  <c r="G1901" i="12"/>
  <c r="G1897" i="12"/>
  <c r="G1893" i="12"/>
  <c r="G1889" i="12"/>
  <c r="G1885" i="12"/>
  <c r="G1881" i="12"/>
  <c r="G1877" i="12"/>
  <c r="G1873" i="12"/>
  <c r="G1869" i="12"/>
  <c r="G1865" i="12"/>
  <c r="G1861" i="12"/>
  <c r="G1857" i="12"/>
  <c r="G1853" i="12"/>
  <c r="G1849" i="12"/>
  <c r="G1845" i="12"/>
  <c r="G1841" i="12"/>
  <c r="G1837" i="12"/>
  <c r="G1833" i="12"/>
  <c r="G1829" i="12"/>
  <c r="G1825" i="12"/>
  <c r="G1821" i="12"/>
  <c r="G1817" i="12"/>
  <c r="G1813" i="12"/>
  <c r="G1809" i="12"/>
  <c r="G1805" i="12"/>
  <c r="H1805" i="12" s="1"/>
  <c r="G1801" i="12"/>
  <c r="G1797" i="12"/>
  <c r="G1793" i="12"/>
  <c r="G1789" i="12"/>
  <c r="G1785" i="12"/>
  <c r="G1781" i="12"/>
  <c r="G1777" i="12"/>
  <c r="G1773" i="12"/>
  <c r="G1769" i="12"/>
  <c r="G1765" i="12"/>
  <c r="G1761" i="12"/>
  <c r="G1757" i="12"/>
  <c r="G1753" i="12"/>
  <c r="G1749" i="12"/>
  <c r="G1745" i="12"/>
  <c r="G1741" i="12"/>
  <c r="G1737" i="12"/>
  <c r="G1733" i="12"/>
  <c r="G1729" i="12"/>
  <c r="G1725" i="12"/>
  <c r="G1721" i="12"/>
  <c r="G1717" i="12"/>
  <c r="G1713" i="12"/>
  <c r="G1709" i="12"/>
  <c r="G1705" i="12"/>
  <c r="G1701" i="12"/>
  <c r="G1697" i="12"/>
  <c r="G1693" i="12"/>
  <c r="G1689" i="12"/>
  <c r="G1685" i="12"/>
  <c r="G1681" i="12"/>
  <c r="G1677" i="12"/>
  <c r="G1673" i="12"/>
  <c r="G1669" i="12"/>
  <c r="G1665" i="12"/>
  <c r="G1661" i="12"/>
  <c r="G1657" i="12"/>
  <c r="G1653" i="12"/>
  <c r="G1649" i="12"/>
  <c r="G1645" i="12"/>
  <c r="G1641" i="12"/>
  <c r="G1637" i="12"/>
  <c r="G1633" i="12"/>
  <c r="G1629" i="12"/>
  <c r="G1625" i="12"/>
  <c r="G1621" i="12"/>
  <c r="G1617" i="12"/>
  <c r="G1613" i="12"/>
  <c r="G1609" i="12"/>
  <c r="G1605" i="12"/>
  <c r="G1601" i="12"/>
  <c r="G1597" i="12"/>
  <c r="G1593" i="12"/>
  <c r="G1589" i="12"/>
  <c r="G1585" i="12"/>
  <c r="G1581" i="12"/>
  <c r="G1577" i="12"/>
  <c r="G1573" i="12"/>
  <c r="G1569" i="12"/>
  <c r="G1565" i="12"/>
  <c r="G1561" i="12"/>
  <c r="G1557" i="12"/>
  <c r="G1553" i="12"/>
  <c r="G1549" i="12"/>
  <c r="G1545" i="12"/>
  <c r="G1541" i="12"/>
  <c r="G1537" i="12"/>
  <c r="G1533" i="12"/>
  <c r="G1529" i="12"/>
  <c r="G1525" i="12"/>
  <c r="G1521" i="12"/>
  <c r="G1517" i="12"/>
  <c r="G1513" i="12"/>
  <c r="G1509" i="12"/>
  <c r="G1505" i="12"/>
  <c r="G1501" i="12"/>
  <c r="G1497" i="12"/>
  <c r="G1493" i="12"/>
  <c r="G1489" i="12"/>
  <c r="G1485" i="12"/>
  <c r="G1481" i="12"/>
  <c r="G1477" i="12"/>
  <c r="G1473" i="12"/>
  <c r="G1469" i="12"/>
  <c r="G1465" i="12"/>
  <c r="G1461" i="12"/>
  <c r="G1457" i="12"/>
  <c r="G1453" i="12"/>
  <c r="G1449" i="12"/>
  <c r="G1445" i="12"/>
  <c r="G1441" i="12"/>
  <c r="G1437" i="12"/>
  <c r="G1433" i="12"/>
  <c r="G1429" i="12"/>
  <c r="G1425" i="12"/>
  <c r="G1421" i="12"/>
  <c r="G1417" i="12"/>
  <c r="F2197" i="12"/>
  <c r="F2193" i="12"/>
  <c r="F2189" i="12"/>
  <c r="F2185" i="12"/>
  <c r="F2181" i="12"/>
  <c r="F2177" i="12"/>
  <c r="F2173" i="12"/>
  <c r="F2169" i="12"/>
  <c r="F2165" i="12"/>
  <c r="F2161" i="12"/>
  <c r="F2157" i="12"/>
  <c r="F2153" i="12"/>
  <c r="F2149" i="12"/>
  <c r="F2145" i="12"/>
  <c r="F2141" i="12"/>
  <c r="F2137" i="12"/>
  <c r="F2133" i="12"/>
  <c r="F2129" i="12"/>
  <c r="F2125" i="12"/>
  <c r="F2121" i="12"/>
  <c r="F2117" i="12"/>
  <c r="F2113" i="12"/>
  <c r="F2109" i="12"/>
  <c r="F2105" i="12"/>
  <c r="F2101" i="12"/>
  <c r="F2097" i="12"/>
  <c r="F2093" i="12"/>
  <c r="F2089" i="12"/>
  <c r="F2085" i="12"/>
  <c r="F2081" i="12"/>
  <c r="F2077" i="12"/>
  <c r="F2073" i="12"/>
  <c r="F2069" i="12"/>
  <c r="F2065" i="12"/>
  <c r="F2061" i="12"/>
  <c r="F2057" i="12"/>
  <c r="F2053" i="12"/>
  <c r="F2049" i="12"/>
  <c r="F2045" i="12"/>
  <c r="F2041" i="12"/>
  <c r="F2037" i="12"/>
  <c r="F2033" i="12"/>
  <c r="F2029" i="12"/>
  <c r="F2025" i="12"/>
  <c r="F2021" i="12"/>
  <c r="F2017" i="12"/>
  <c r="F2013" i="12"/>
  <c r="F2009" i="12"/>
  <c r="F2005" i="12"/>
  <c r="F2001" i="12"/>
  <c r="F1997" i="12"/>
  <c r="F1993" i="12"/>
  <c r="F1989" i="12"/>
  <c r="F1985" i="12"/>
  <c r="F1981" i="12"/>
  <c r="F1977" i="12"/>
  <c r="F1973" i="12"/>
  <c r="F1969" i="12"/>
  <c r="F1965" i="12"/>
  <c r="F1961" i="12"/>
  <c r="F1957" i="12"/>
  <c r="F1953" i="12"/>
  <c r="F1949" i="12"/>
  <c r="F1945" i="12"/>
  <c r="F1941" i="12"/>
  <c r="F1937" i="12"/>
  <c r="F1933" i="12"/>
  <c r="K1933" i="12" s="1"/>
  <c r="F1929" i="12"/>
  <c r="F1925" i="12"/>
  <c r="F1921" i="12"/>
  <c r="F1917" i="12"/>
  <c r="F1913" i="12"/>
  <c r="F1909" i="12"/>
  <c r="F1905" i="12"/>
  <c r="K1905" i="12" s="1"/>
  <c r="F1901" i="12"/>
  <c r="F1897" i="12"/>
  <c r="F1893" i="12"/>
  <c r="F1889" i="12"/>
  <c r="F1885" i="12"/>
  <c r="F1881" i="12"/>
  <c r="F1877" i="12"/>
  <c r="F1873" i="12"/>
  <c r="F1869" i="12"/>
  <c r="F1865" i="12"/>
  <c r="F1861" i="12"/>
  <c r="F1857" i="12"/>
  <c r="F1853" i="12"/>
  <c r="F1849" i="12"/>
  <c r="F1845" i="12"/>
  <c r="F1841" i="12"/>
  <c r="F1837" i="12"/>
  <c r="F1833" i="12"/>
  <c r="F1829" i="12"/>
  <c r="F1825" i="12"/>
  <c r="F1821" i="12"/>
  <c r="F1817" i="12"/>
  <c r="F1813" i="12"/>
  <c r="F1809" i="12"/>
  <c r="F1805" i="12"/>
  <c r="K1805" i="12" s="1"/>
  <c r="F1801" i="12"/>
  <c r="F1797" i="12"/>
  <c r="F1793" i="12"/>
  <c r="F1789" i="12"/>
  <c r="F1785" i="12"/>
  <c r="F1781" i="12"/>
  <c r="F1777" i="12"/>
  <c r="F1773" i="12"/>
  <c r="F1769" i="12"/>
  <c r="F1765" i="12"/>
  <c r="F1761" i="12"/>
  <c r="F1757" i="12"/>
  <c r="F1753" i="12"/>
  <c r="F1749" i="12"/>
  <c r="F1745" i="12"/>
  <c r="F1741" i="12"/>
  <c r="F1737" i="12"/>
  <c r="F1733" i="12"/>
  <c r="F1729" i="12"/>
  <c r="F1725" i="12"/>
  <c r="F1721" i="12"/>
  <c r="F1717" i="12"/>
  <c r="F1713" i="12"/>
  <c r="F1709" i="12"/>
  <c r="F1705" i="12"/>
  <c r="F1701" i="12"/>
  <c r="F1697" i="12"/>
  <c r="F1693" i="12"/>
  <c r="F1689" i="12"/>
  <c r="F1685" i="12"/>
  <c r="F1681" i="12"/>
  <c r="F1677" i="12"/>
  <c r="F1673" i="12"/>
  <c r="F1669" i="12"/>
  <c r="F1665" i="12"/>
  <c r="F1661" i="12"/>
  <c r="F1657" i="12"/>
  <c r="F1653" i="12"/>
  <c r="F1649" i="12"/>
  <c r="F1645" i="12"/>
  <c r="F1641" i="12"/>
  <c r="F1637" i="12"/>
  <c r="F1633" i="12"/>
  <c r="F1629" i="12"/>
  <c r="F1625" i="12"/>
  <c r="F1621" i="12"/>
  <c r="F1617" i="12"/>
  <c r="F1613" i="12"/>
  <c r="F1609" i="12"/>
  <c r="F1605" i="12"/>
  <c r="F1601" i="12"/>
  <c r="F1597" i="12"/>
  <c r="F1593" i="12"/>
  <c r="F1589" i="12"/>
  <c r="F1585" i="12"/>
  <c r="F1581" i="12"/>
  <c r="F1577" i="12"/>
  <c r="F1573" i="12"/>
  <c r="F1569" i="12"/>
  <c r="F1565" i="12"/>
  <c r="F1561" i="12"/>
  <c r="F1557" i="12"/>
  <c r="F1553" i="12"/>
  <c r="F1549" i="12"/>
  <c r="F1545" i="12"/>
  <c r="F1541" i="12"/>
  <c r="F1537" i="12"/>
  <c r="F1533" i="12"/>
  <c r="F1529" i="12"/>
  <c r="F1525" i="12"/>
  <c r="F1521" i="12"/>
  <c r="F1517" i="12"/>
  <c r="F1513" i="12"/>
  <c r="F1509" i="12"/>
  <c r="F1505" i="12"/>
  <c r="F1501" i="12"/>
  <c r="F1497" i="12"/>
  <c r="F1493" i="12"/>
  <c r="F1489" i="12"/>
  <c r="F1485" i="12"/>
  <c r="F1481" i="12"/>
  <c r="F1477" i="12"/>
  <c r="F1473" i="12"/>
  <c r="F1469" i="12"/>
  <c r="F1465" i="12"/>
  <c r="F1461" i="12"/>
  <c r="F1457" i="12"/>
  <c r="F1453" i="12"/>
  <c r="F1449" i="12"/>
  <c r="F1445" i="12"/>
  <c r="F1441" i="12"/>
  <c r="F1437" i="12"/>
  <c r="F1433" i="12"/>
  <c r="F1429" i="12"/>
  <c r="F1425" i="12"/>
  <c r="F1421" i="12"/>
  <c r="F1417" i="12"/>
  <c r="F1413" i="12"/>
  <c r="F1409" i="12"/>
  <c r="F1405" i="12"/>
  <c r="F1401" i="12"/>
  <c r="F1397" i="12"/>
  <c r="F1393" i="12"/>
  <c r="F1389" i="12"/>
  <c r="F1385" i="12"/>
  <c r="F1381" i="12"/>
  <c r="F1377" i="12"/>
  <c r="F1373" i="12"/>
  <c r="F1369" i="12"/>
  <c r="F1365" i="12"/>
  <c r="F1361" i="12"/>
  <c r="F1357" i="12"/>
  <c r="F1353" i="12"/>
  <c r="F1349" i="12"/>
  <c r="F1345" i="12"/>
  <c r="F1341" i="12"/>
  <c r="F1337" i="12"/>
  <c r="F1333" i="12"/>
  <c r="F1329" i="12"/>
  <c r="F1325" i="12"/>
  <c r="F1321" i="12"/>
  <c r="F1317" i="12"/>
  <c r="F1313" i="12"/>
  <c r="F1309" i="12"/>
  <c r="F1305" i="12"/>
  <c r="F1301" i="12"/>
  <c r="F1297" i="12"/>
  <c r="F1293" i="12"/>
  <c r="F1289" i="12"/>
  <c r="F1285" i="12"/>
  <c r="F1281" i="12"/>
  <c r="F1277" i="12"/>
  <c r="F1273" i="12"/>
  <c r="F1269" i="12"/>
  <c r="F1265" i="12"/>
  <c r="F1261" i="12"/>
  <c r="F1257" i="12"/>
  <c r="F1253" i="12"/>
  <c r="F1249" i="12"/>
  <c r="F1245" i="12"/>
  <c r="F1241" i="12"/>
  <c r="G2200" i="12"/>
  <c r="G2196" i="12"/>
  <c r="G2192" i="12"/>
  <c r="G2188" i="12"/>
  <c r="G2184" i="12"/>
  <c r="G2180" i="12"/>
  <c r="G2176" i="12"/>
  <c r="G2172" i="12"/>
  <c r="G2168" i="12"/>
  <c r="G2164" i="12"/>
  <c r="G2160" i="12"/>
  <c r="G2156" i="12"/>
  <c r="G2152" i="12"/>
  <c r="G2148" i="12"/>
  <c r="G2144" i="12"/>
  <c r="G2140" i="12"/>
  <c r="G2136" i="12"/>
  <c r="G2132" i="12"/>
  <c r="G2128" i="12"/>
  <c r="G2124" i="12"/>
  <c r="G2120" i="12"/>
  <c r="G2116" i="12"/>
  <c r="G2112" i="12"/>
  <c r="G2108" i="12"/>
  <c r="G2104" i="12"/>
  <c r="G2100" i="12"/>
  <c r="G2096" i="12"/>
  <c r="G2092" i="12"/>
  <c r="G2088" i="12"/>
  <c r="G2084" i="12"/>
  <c r="G2080" i="12"/>
  <c r="G2076" i="12"/>
  <c r="G2072" i="12"/>
  <c r="G2068" i="12"/>
  <c r="G2064" i="12"/>
  <c r="G2060" i="12"/>
  <c r="G2056" i="12"/>
  <c r="G2052" i="12"/>
  <c r="G2048" i="12"/>
  <c r="G2044" i="12"/>
  <c r="G2040" i="12"/>
  <c r="G2036" i="12"/>
  <c r="G2032" i="12"/>
  <c r="G2028" i="12"/>
  <c r="G2024" i="12"/>
  <c r="G2020" i="12"/>
  <c r="G2016" i="12"/>
  <c r="G2012" i="12"/>
  <c r="G2008" i="12"/>
  <c r="G2004" i="12"/>
  <c r="G2000" i="12"/>
  <c r="G1996" i="12"/>
  <c r="G1992" i="12"/>
  <c r="G1988" i="12"/>
  <c r="G1984" i="12"/>
  <c r="G1980" i="12"/>
  <c r="G1976" i="12"/>
  <c r="G1972" i="12"/>
  <c r="G1968" i="12"/>
  <c r="G1964" i="12"/>
  <c r="G1960" i="12"/>
  <c r="G1956" i="12"/>
  <c r="G1952" i="12"/>
  <c r="G1948" i="12"/>
  <c r="G1944" i="12"/>
  <c r="G1940" i="12"/>
  <c r="G1936" i="12"/>
  <c r="G1932" i="12"/>
  <c r="G1928" i="12"/>
  <c r="G1924" i="12"/>
  <c r="G1920" i="12"/>
  <c r="G1916" i="12"/>
  <c r="G1912" i="12"/>
  <c r="G1908" i="12"/>
  <c r="G1904" i="12"/>
  <c r="G1900" i="12"/>
  <c r="G1896" i="12"/>
  <c r="G1892" i="12"/>
  <c r="H1892" i="12" s="1"/>
  <c r="G1888" i="12"/>
  <c r="G1884" i="12"/>
  <c r="G1880" i="12"/>
  <c r="G1876" i="12"/>
  <c r="G1872" i="12"/>
  <c r="G1868" i="12"/>
  <c r="G1864" i="12"/>
  <c r="G1860" i="12"/>
  <c r="G1856" i="12"/>
  <c r="G1852" i="12"/>
  <c r="G1848" i="12"/>
  <c r="G1844" i="12"/>
  <c r="G1840" i="12"/>
  <c r="G1836" i="12"/>
  <c r="G1832" i="12"/>
  <c r="G1828" i="12"/>
  <c r="G1824" i="12"/>
  <c r="G1820" i="12"/>
  <c r="G1816" i="12"/>
  <c r="G1812" i="12"/>
  <c r="G1808" i="12"/>
  <c r="G1804" i="12"/>
  <c r="G1800" i="12"/>
  <c r="G1796" i="12"/>
  <c r="G1792" i="12"/>
  <c r="G1788" i="12"/>
  <c r="G1784" i="12"/>
  <c r="G1780" i="12"/>
  <c r="G1776" i="12"/>
  <c r="G1772" i="12"/>
  <c r="G1768" i="12"/>
  <c r="G1764" i="12"/>
  <c r="G1760" i="12"/>
  <c r="G1756" i="12"/>
  <c r="G1752" i="12"/>
  <c r="G1748" i="12"/>
  <c r="G1744" i="12"/>
  <c r="G1740" i="12"/>
  <c r="G1736" i="12"/>
  <c r="G1732" i="12"/>
  <c r="G1728" i="12"/>
  <c r="G1724" i="12"/>
  <c r="G1720" i="12"/>
  <c r="G1716" i="12"/>
  <c r="G1712" i="12"/>
  <c r="G1708" i="12"/>
  <c r="G1704" i="12"/>
  <c r="G1700" i="12"/>
  <c r="G1696" i="12"/>
  <c r="G1692" i="12"/>
  <c r="G1688" i="12"/>
  <c r="G1684" i="12"/>
  <c r="G1680" i="12"/>
  <c r="G1676" i="12"/>
  <c r="G1672" i="12"/>
  <c r="G1668" i="12"/>
  <c r="G1664" i="12"/>
  <c r="G1660" i="12"/>
  <c r="G1656" i="12"/>
  <c r="G1652" i="12"/>
  <c r="G1648" i="12"/>
  <c r="G1644" i="12"/>
  <c r="G1640" i="12"/>
  <c r="G1636" i="12"/>
  <c r="G1632" i="12"/>
  <c r="G1628" i="12"/>
  <c r="G1624" i="12"/>
  <c r="G1620" i="12"/>
  <c r="G1616" i="12"/>
  <c r="G1612" i="12"/>
  <c r="G1608" i="12"/>
  <c r="G1604" i="12"/>
  <c r="G1600" i="12"/>
  <c r="G1596" i="12"/>
  <c r="G1592" i="12"/>
  <c r="G1588" i="12"/>
  <c r="G1584" i="12"/>
  <c r="G1580" i="12"/>
  <c r="G1576" i="12"/>
  <c r="G1572" i="12"/>
  <c r="G1568" i="12"/>
  <c r="G1564" i="12"/>
  <c r="G1560" i="12"/>
  <c r="G1556" i="12"/>
  <c r="G1552" i="12"/>
  <c r="G1548" i="12"/>
  <c r="G1544" i="12"/>
  <c r="G1540" i="12"/>
  <c r="G1536" i="12"/>
  <c r="G1532" i="12"/>
  <c r="G1528" i="12"/>
  <c r="G1524" i="12"/>
  <c r="G1520" i="12"/>
  <c r="G1516" i="12"/>
  <c r="G1512" i="12"/>
  <c r="G1508" i="12"/>
  <c r="G1504" i="12"/>
  <c r="G1500" i="12"/>
  <c r="G1496" i="12"/>
  <c r="G1492" i="12"/>
  <c r="G1488" i="12"/>
  <c r="G1484" i="12"/>
  <c r="G1480" i="12"/>
  <c r="G1476" i="12"/>
  <c r="G1472" i="12"/>
  <c r="G1468" i="12"/>
  <c r="G1464" i="12"/>
  <c r="G1460" i="12"/>
  <c r="G1456" i="12"/>
  <c r="G1452" i="12"/>
  <c r="G1448" i="12"/>
  <c r="G1444" i="12"/>
  <c r="G1440" i="12"/>
  <c r="G1436" i="12"/>
  <c r="G1432" i="12"/>
  <c r="G1428" i="12"/>
  <c r="G1424" i="12"/>
  <c r="G1420" i="12"/>
  <c r="G1416" i="12"/>
  <c r="G1412" i="12"/>
  <c r="G1408" i="12"/>
  <c r="G1404" i="12"/>
  <c r="G1400" i="12"/>
  <c r="G1396" i="12"/>
  <c r="G1392" i="12"/>
  <c r="G1388" i="12"/>
  <c r="G1384" i="12"/>
  <c r="G1380" i="12"/>
  <c r="G1376" i="12"/>
  <c r="G1372" i="12"/>
  <c r="G1368" i="12"/>
  <c r="G1364" i="12"/>
  <c r="G1360" i="12"/>
  <c r="G1356" i="12"/>
  <c r="G1352" i="12"/>
  <c r="G1348" i="12"/>
  <c r="G1344" i="12"/>
  <c r="G1340" i="12"/>
  <c r="G1336" i="12"/>
  <c r="G1332" i="12"/>
  <c r="G1328" i="12"/>
  <c r="G1324" i="12"/>
  <c r="G1320" i="12"/>
  <c r="G1316" i="12"/>
  <c r="G1312" i="12"/>
  <c r="G1308" i="12"/>
  <c r="G1304" i="12"/>
  <c r="G1300" i="12"/>
  <c r="G1296" i="12"/>
  <c r="G1292" i="12"/>
  <c r="G1288" i="12"/>
  <c r="G1284" i="12"/>
  <c r="G1280" i="12"/>
  <c r="G1276" i="12"/>
  <c r="G1272" i="12"/>
  <c r="G1268" i="12"/>
  <c r="G1264" i="12"/>
  <c r="G1260" i="12"/>
  <c r="G1256" i="12"/>
  <c r="G1252" i="12"/>
  <c r="G1248" i="12"/>
  <c r="G1244" i="12"/>
  <c r="G1240" i="12"/>
  <c r="G1236" i="12"/>
  <c r="F2199" i="12"/>
  <c r="F2195" i="12"/>
  <c r="F2191" i="12"/>
  <c r="F2187" i="12"/>
  <c r="F2183" i="12"/>
  <c r="F2179" i="12"/>
  <c r="F2175" i="12"/>
  <c r="F2171" i="12"/>
  <c r="F2167" i="12"/>
  <c r="F2163" i="12"/>
  <c r="F2159" i="12"/>
  <c r="F2155" i="12"/>
  <c r="F2151" i="12"/>
  <c r="F2147" i="12"/>
  <c r="F2143" i="12"/>
  <c r="F2139" i="12"/>
  <c r="F2135" i="12"/>
  <c r="F2131" i="12"/>
  <c r="F2127" i="12"/>
  <c r="F2123" i="12"/>
  <c r="F2119" i="12"/>
  <c r="F2115" i="12"/>
  <c r="F2111" i="12"/>
  <c r="F2107" i="12"/>
  <c r="F2103" i="12"/>
  <c r="F2099" i="12"/>
  <c r="F2095" i="12"/>
  <c r="F2091" i="12"/>
  <c r="F2087" i="12"/>
  <c r="F2083" i="12"/>
  <c r="F2079" i="12"/>
  <c r="F2075" i="12"/>
  <c r="F2071" i="12"/>
  <c r="F2067" i="12"/>
  <c r="F2063" i="12"/>
  <c r="F2059" i="12"/>
  <c r="F2055" i="12"/>
  <c r="F2051" i="12"/>
  <c r="F2047" i="12"/>
  <c r="F2043" i="12"/>
  <c r="F2039" i="12"/>
  <c r="F2035" i="12"/>
  <c r="F2031" i="12"/>
  <c r="F2027" i="12"/>
  <c r="F2023" i="12"/>
  <c r="F2019" i="12"/>
  <c r="F2015" i="12"/>
  <c r="F2011" i="12"/>
  <c r="F2007" i="12"/>
  <c r="F2003" i="12"/>
  <c r="F1999" i="12"/>
  <c r="F1995" i="12"/>
  <c r="F1991" i="12"/>
  <c r="F1987" i="12"/>
  <c r="F1983" i="12"/>
  <c r="F1979" i="12"/>
  <c r="F1975" i="12"/>
  <c r="F1971" i="12"/>
  <c r="F1967" i="12"/>
  <c r="F1963" i="12"/>
  <c r="F1959" i="12"/>
  <c r="F1955" i="12"/>
  <c r="F1951" i="12"/>
  <c r="F1947" i="12"/>
  <c r="F1943" i="12"/>
  <c r="F1939" i="12"/>
  <c r="F1935" i="12"/>
  <c r="F1931" i="12"/>
  <c r="F1927" i="12"/>
  <c r="F1923" i="12"/>
  <c r="F1919" i="12"/>
  <c r="F1915" i="12"/>
  <c r="F1911" i="12"/>
  <c r="F1907" i="12"/>
  <c r="F1903" i="12"/>
  <c r="F1899" i="12"/>
  <c r="F1895" i="12"/>
  <c r="F1891" i="12"/>
  <c r="F1887" i="12"/>
  <c r="F1883" i="12"/>
  <c r="F1879" i="12"/>
  <c r="F1875" i="12"/>
  <c r="F1871" i="12"/>
  <c r="F1867" i="12"/>
  <c r="F1863" i="12"/>
  <c r="F1859" i="12"/>
  <c r="F1855" i="12"/>
  <c r="F1851" i="12"/>
  <c r="F1847" i="12"/>
  <c r="F1843" i="12"/>
  <c r="F1839" i="12"/>
  <c r="F1835" i="12"/>
  <c r="F1831" i="12"/>
  <c r="F1827" i="12"/>
  <c r="F1823" i="12"/>
  <c r="F1819" i="12"/>
  <c r="F1815" i="12"/>
  <c r="F1811" i="12"/>
  <c r="F1807" i="12"/>
  <c r="F1803" i="12"/>
  <c r="F1799" i="12"/>
  <c r="F1795" i="12"/>
  <c r="F1791" i="12"/>
  <c r="F1787" i="12"/>
  <c r="F1783" i="12"/>
  <c r="F1779" i="12"/>
  <c r="F1775" i="12"/>
  <c r="F1771" i="12"/>
  <c r="F1767" i="12"/>
  <c r="F1763" i="12"/>
  <c r="F1759" i="12"/>
  <c r="F1755" i="12"/>
  <c r="F1751" i="12"/>
  <c r="F1747" i="12"/>
  <c r="F1743" i="12"/>
  <c r="F1739" i="12"/>
  <c r="F1735" i="12"/>
  <c r="F1731" i="12"/>
  <c r="F1727" i="12"/>
  <c r="F1723" i="12"/>
  <c r="F1719" i="12"/>
  <c r="F1715" i="12"/>
  <c r="F1711" i="12"/>
  <c r="F1707" i="12"/>
  <c r="F1703" i="12"/>
  <c r="F1699" i="12"/>
  <c r="K1699" i="12" s="1"/>
  <c r="F1695" i="12"/>
  <c r="F1691" i="12"/>
  <c r="F1687" i="12"/>
  <c r="F1683" i="12"/>
  <c r="F1679" i="12"/>
  <c r="F1675" i="12"/>
  <c r="F1671" i="12"/>
  <c r="F1667" i="12"/>
  <c r="F1663" i="12"/>
  <c r="F1659" i="12"/>
  <c r="F1655" i="12"/>
  <c r="F1651" i="12"/>
  <c r="F1647" i="12"/>
  <c r="F1643" i="12"/>
  <c r="F1639" i="12"/>
  <c r="F1635" i="12"/>
  <c r="F1631" i="12"/>
  <c r="F1627" i="12"/>
  <c r="F1623" i="12"/>
  <c r="F1619" i="12"/>
  <c r="F1615" i="12"/>
  <c r="F1611" i="12"/>
  <c r="F1607" i="12"/>
  <c r="F1603" i="12"/>
  <c r="F1599" i="12"/>
  <c r="F1595" i="12"/>
  <c r="F1591" i="12"/>
  <c r="F1587" i="12"/>
  <c r="F1583" i="12"/>
  <c r="F1579" i="12"/>
  <c r="F1575" i="12"/>
  <c r="F1571" i="12"/>
  <c r="F1567" i="12"/>
  <c r="F1563" i="12"/>
  <c r="F1559" i="12"/>
  <c r="F1555" i="12"/>
  <c r="F1551" i="12"/>
  <c r="F1547" i="12"/>
  <c r="F1543" i="12"/>
  <c r="F1539" i="12"/>
  <c r="F1535" i="12"/>
  <c r="F1531" i="12"/>
  <c r="F1527" i="12"/>
  <c r="F1523" i="12"/>
  <c r="F1519" i="12"/>
  <c r="F1515" i="12"/>
  <c r="F1511" i="12"/>
  <c r="F1507" i="12"/>
  <c r="F1503" i="12"/>
  <c r="F1499" i="12"/>
  <c r="F1495" i="12"/>
  <c r="F1491" i="12"/>
  <c r="F1487" i="12"/>
  <c r="F1483" i="12"/>
  <c r="F1479" i="12"/>
  <c r="F1475" i="12"/>
  <c r="F1471" i="12"/>
  <c r="F1467" i="12"/>
  <c r="F1463" i="12"/>
  <c r="F1459" i="12"/>
  <c r="F1455" i="12"/>
  <c r="F1451" i="12"/>
  <c r="F1447" i="12"/>
  <c r="F1443" i="12"/>
  <c r="F1439" i="12"/>
  <c r="F1435" i="12"/>
  <c r="F1431" i="12"/>
  <c r="F1427" i="12"/>
  <c r="F1423" i="12"/>
  <c r="F1419" i="12"/>
  <c r="F1415" i="12"/>
  <c r="F1411" i="12"/>
  <c r="F1407" i="12"/>
  <c r="F1403" i="12"/>
  <c r="F1399" i="12"/>
  <c r="F1395" i="12"/>
  <c r="F1391" i="12"/>
  <c r="F1387" i="12"/>
  <c r="F1383" i="12"/>
  <c r="F1379" i="12"/>
  <c r="F1375" i="12"/>
  <c r="F1371" i="12"/>
  <c r="F1367" i="12"/>
  <c r="F1363" i="12"/>
  <c r="F1359" i="12"/>
  <c r="F1355" i="12"/>
  <c r="F1351" i="12"/>
  <c r="F1347" i="12"/>
  <c r="F1343" i="12"/>
  <c r="F1339" i="12"/>
  <c r="F1335" i="12"/>
  <c r="F1331" i="12"/>
  <c r="F1327" i="12"/>
  <c r="F1323" i="12"/>
  <c r="F1319" i="12"/>
  <c r="F1315" i="12"/>
  <c r="F1311" i="12"/>
  <c r="F1307" i="12"/>
  <c r="F1303" i="12"/>
  <c r="F1299" i="12"/>
  <c r="F1295" i="12"/>
  <c r="F1291" i="12"/>
  <c r="F1287" i="12"/>
  <c r="F1283" i="12"/>
  <c r="F1279" i="12"/>
  <c r="F1275" i="12"/>
  <c r="F1271" i="12"/>
  <c r="F1267" i="12"/>
  <c r="F1263" i="12"/>
  <c r="F1259" i="12"/>
  <c r="F1255" i="12"/>
  <c r="F1251" i="12"/>
  <c r="F1247" i="12"/>
  <c r="F1243" i="12"/>
  <c r="F1239" i="12"/>
  <c r="F2200" i="12"/>
  <c r="G2190" i="12"/>
  <c r="G2179" i="12"/>
  <c r="F2168" i="12"/>
  <c r="G2158" i="12"/>
  <c r="G2147" i="12"/>
  <c r="F2136" i="12"/>
  <c r="G2126" i="12"/>
  <c r="G2115" i="12"/>
  <c r="F2104" i="12"/>
  <c r="G2094" i="12"/>
  <c r="G2083" i="12"/>
  <c r="F2072" i="12"/>
  <c r="G2062" i="12"/>
  <c r="G2051" i="12"/>
  <c r="F2040" i="12"/>
  <c r="G2030" i="12"/>
  <c r="G2019" i="12"/>
  <c r="F2008" i="12"/>
  <c r="G1998" i="12"/>
  <c r="G1987" i="12"/>
  <c r="F1976" i="12"/>
  <c r="G1966" i="12"/>
  <c r="G1955" i="12"/>
  <c r="F1944" i="12"/>
  <c r="G1934" i="12"/>
  <c r="H1934" i="12" s="1"/>
  <c r="G1923" i="12"/>
  <c r="F1912" i="12"/>
  <c r="G1902" i="12"/>
  <c r="G1891" i="12"/>
  <c r="F1880" i="12"/>
  <c r="G1870" i="12"/>
  <c r="G1859" i="12"/>
  <c r="F1848" i="12"/>
  <c r="G1838" i="12"/>
  <c r="G1827" i="12"/>
  <c r="F1816" i="12"/>
  <c r="G1806" i="12"/>
  <c r="H1806" i="12" s="1"/>
  <c r="G1795" i="12"/>
  <c r="F1784" i="12"/>
  <c r="G1774" i="12"/>
  <c r="G1763" i="12"/>
  <c r="F1752" i="12"/>
  <c r="G1742" i="12"/>
  <c r="G1731" i="12"/>
  <c r="F1720" i="12"/>
  <c r="G1710" i="12"/>
  <c r="G1699" i="12"/>
  <c r="H1699" i="12" s="1"/>
  <c r="F1688" i="12"/>
  <c r="G1678" i="12"/>
  <c r="G1667" i="12"/>
  <c r="F1656" i="12"/>
  <c r="G1646" i="12"/>
  <c r="G1635" i="12"/>
  <c r="F1624" i="12"/>
  <c r="G1614" i="12"/>
  <c r="G1603" i="12"/>
  <c r="F1592" i="12"/>
  <c r="G1582" i="12"/>
  <c r="G1571" i="12"/>
  <c r="F1560" i="12"/>
  <c r="G1550" i="12"/>
  <c r="G1539" i="12"/>
  <c r="F1528" i="12"/>
  <c r="G1518" i="12"/>
  <c r="G1507" i="12"/>
  <c r="F1496" i="12"/>
  <c r="G1486" i="12"/>
  <c r="G1475" i="12"/>
  <c r="F1464" i="12"/>
  <c r="G1454" i="12"/>
  <c r="G1443" i="12"/>
  <c r="F1432" i="12"/>
  <c r="G1422" i="12"/>
  <c r="F1412" i="12"/>
  <c r="F1404" i="12"/>
  <c r="F1396" i="12"/>
  <c r="F1388" i="12"/>
  <c r="F1380" i="12"/>
  <c r="F1372" i="12"/>
  <c r="F1364" i="12"/>
  <c r="F1358" i="12"/>
  <c r="G1351" i="12"/>
  <c r="G1345" i="12"/>
  <c r="G1338" i="12"/>
  <c r="F1332" i="12"/>
  <c r="F1326" i="12"/>
  <c r="G1319" i="12"/>
  <c r="G1313" i="12"/>
  <c r="G1306" i="12"/>
  <c r="F1300" i="12"/>
  <c r="F1294" i="12"/>
  <c r="G1287" i="12"/>
  <c r="G1281" i="12"/>
  <c r="G1274" i="12"/>
  <c r="F1268" i="12"/>
  <c r="F1262" i="12"/>
  <c r="G1255" i="12"/>
  <c r="G1249" i="12"/>
  <c r="G1242" i="12"/>
  <c r="F1237" i="12"/>
  <c r="G1232" i="12"/>
  <c r="G1228" i="12"/>
  <c r="G1224" i="12"/>
  <c r="G1220" i="12"/>
  <c r="G1216" i="12"/>
  <c r="G1212" i="12"/>
  <c r="G1208" i="12"/>
  <c r="G1204" i="12"/>
  <c r="G1200" i="12"/>
  <c r="G1196" i="12"/>
  <c r="G1192" i="12"/>
  <c r="G1188" i="12"/>
  <c r="G1184" i="12"/>
  <c r="G1180" i="12"/>
  <c r="G1176" i="12"/>
  <c r="G1172" i="12"/>
  <c r="G1168" i="12"/>
  <c r="G1164" i="12"/>
  <c r="G1160" i="12"/>
  <c r="G1156" i="12"/>
  <c r="G1152" i="12"/>
  <c r="G1148" i="12"/>
  <c r="G1144" i="12"/>
  <c r="G1140" i="12"/>
  <c r="G1136" i="12"/>
  <c r="G1132" i="12"/>
  <c r="G1128" i="12"/>
  <c r="G1124" i="12"/>
  <c r="G1120" i="12"/>
  <c r="G1116" i="12"/>
  <c r="G1112" i="12"/>
  <c r="G1108" i="12"/>
  <c r="G1104" i="12"/>
  <c r="G1100" i="12"/>
  <c r="G1096" i="12"/>
  <c r="G1092" i="12"/>
  <c r="G1088" i="12"/>
  <c r="G1084" i="12"/>
  <c r="G1080" i="12"/>
  <c r="G1076" i="12"/>
  <c r="G1072" i="12"/>
  <c r="G1068" i="12"/>
  <c r="G1064" i="12"/>
  <c r="G1060" i="12"/>
  <c r="G1056" i="12"/>
  <c r="G1052" i="12"/>
  <c r="G1048" i="12"/>
  <c r="G1044" i="12"/>
  <c r="G1040" i="12"/>
  <c r="G1036" i="12"/>
  <c r="G1032" i="12"/>
  <c r="G1028" i="12"/>
  <c r="G1024" i="12"/>
  <c r="G1020" i="12"/>
  <c r="G1016" i="12"/>
  <c r="G1012" i="12"/>
  <c r="G1008" i="12"/>
  <c r="G1004" i="12"/>
  <c r="G1000" i="12"/>
  <c r="G996" i="12"/>
  <c r="G992" i="12"/>
  <c r="G988" i="12"/>
  <c r="G984" i="12"/>
  <c r="G980" i="12"/>
  <c r="G976" i="12"/>
  <c r="G972" i="12"/>
  <c r="G968" i="12"/>
  <c r="G964" i="12"/>
  <c r="G960" i="12"/>
  <c r="G956" i="12"/>
  <c r="G952" i="12"/>
  <c r="G948" i="12"/>
  <c r="G944" i="12"/>
  <c r="G940" i="12"/>
  <c r="G936" i="12"/>
  <c r="G932" i="12"/>
  <c r="G928" i="12"/>
  <c r="G924" i="12"/>
  <c r="G920" i="12"/>
  <c r="G916" i="12"/>
  <c r="G912" i="12"/>
  <c r="G908" i="12"/>
  <c r="G904" i="12"/>
  <c r="G900" i="12"/>
  <c r="G896" i="12"/>
  <c r="G892" i="12"/>
  <c r="G888" i="12"/>
  <c r="G884" i="12"/>
  <c r="G880" i="12"/>
  <c r="G876" i="12"/>
  <c r="G872" i="12"/>
  <c r="G868" i="12"/>
  <c r="G864" i="12"/>
  <c r="G860" i="12"/>
  <c r="G856" i="12"/>
  <c r="G852" i="12"/>
  <c r="G848" i="12"/>
  <c r="G844" i="12"/>
  <c r="G840" i="12"/>
  <c r="G836" i="12"/>
  <c r="G832" i="12"/>
  <c r="G828" i="12"/>
  <c r="G824" i="12"/>
  <c r="G820" i="12"/>
  <c r="G816" i="12"/>
  <c r="G812" i="12"/>
  <c r="G808" i="12"/>
  <c r="G804" i="12"/>
  <c r="G800" i="12"/>
  <c r="G796" i="12"/>
  <c r="G792" i="12"/>
  <c r="G788" i="12"/>
  <c r="G784" i="12"/>
  <c r="G780" i="12"/>
  <c r="G776" i="12"/>
  <c r="G772" i="12"/>
  <c r="G768" i="12"/>
  <c r="G764" i="12"/>
  <c r="G760" i="12"/>
  <c r="G756" i="12"/>
  <c r="G752" i="12"/>
  <c r="G748" i="12"/>
  <c r="G744" i="12"/>
  <c r="G740" i="12"/>
  <c r="G736" i="12"/>
  <c r="G732" i="12"/>
  <c r="G728" i="12"/>
  <c r="G724" i="12"/>
  <c r="G720" i="12"/>
  <c r="G716" i="12"/>
  <c r="G712" i="12"/>
  <c r="G708" i="12"/>
  <c r="G704" i="12"/>
  <c r="G700" i="12"/>
  <c r="G696" i="12"/>
  <c r="G692" i="12"/>
  <c r="G688" i="12"/>
  <c r="G684" i="12"/>
  <c r="G680" i="12"/>
  <c r="G676" i="12"/>
  <c r="G672" i="12"/>
  <c r="G668" i="12"/>
  <c r="G664" i="12"/>
  <c r="G660" i="12"/>
  <c r="G656" i="12"/>
  <c r="G652" i="12"/>
  <c r="G648" i="12"/>
  <c r="G644" i="12"/>
  <c r="G640" i="12"/>
  <c r="G636" i="12"/>
  <c r="G632" i="12"/>
  <c r="G628" i="12"/>
  <c r="G624" i="12"/>
  <c r="G620" i="12"/>
  <c r="G616" i="12"/>
  <c r="G612" i="12"/>
  <c r="G608" i="12"/>
  <c r="G604" i="12"/>
  <c r="G600" i="12"/>
  <c r="G596" i="12"/>
  <c r="G592" i="12"/>
  <c r="G588" i="12"/>
  <c r="G584" i="12"/>
  <c r="G580" i="12"/>
  <c r="G576" i="12"/>
  <c r="G572" i="12"/>
  <c r="G568" i="12"/>
  <c r="G564" i="12"/>
  <c r="G560" i="12"/>
  <c r="G556" i="12"/>
  <c r="G552" i="12"/>
  <c r="G548" i="12"/>
  <c r="G544" i="12"/>
  <c r="G540" i="12"/>
  <c r="G536" i="12"/>
  <c r="G532" i="12"/>
  <c r="G528" i="12"/>
  <c r="G524" i="12"/>
  <c r="G520" i="12"/>
  <c r="G516" i="12"/>
  <c r="G512" i="12"/>
  <c r="G508" i="12"/>
  <c r="G504" i="12"/>
  <c r="G500" i="12"/>
  <c r="G496" i="12"/>
  <c r="G492" i="12"/>
  <c r="G488" i="12"/>
  <c r="G484" i="12"/>
  <c r="G480" i="12"/>
  <c r="G476" i="12"/>
  <c r="G472" i="12"/>
  <c r="G468" i="12"/>
  <c r="G464" i="12"/>
  <c r="G460" i="12"/>
  <c r="G456" i="12"/>
  <c r="G452" i="12"/>
  <c r="G448" i="12"/>
  <c r="G444" i="12"/>
  <c r="G440" i="12"/>
  <c r="G436" i="12"/>
  <c r="G432" i="12"/>
  <c r="G428" i="12"/>
  <c r="G424" i="12"/>
  <c r="G420" i="12"/>
  <c r="G416" i="12"/>
  <c r="G412" i="12"/>
  <c r="G408" i="12"/>
  <c r="G404" i="12"/>
  <c r="G400" i="12"/>
  <c r="G396" i="12"/>
  <c r="G392" i="12"/>
  <c r="G388" i="12"/>
  <c r="G384" i="12"/>
  <c r="G380" i="12"/>
  <c r="G376" i="12"/>
  <c r="G372" i="12"/>
  <c r="G368" i="12"/>
  <c r="G364" i="12"/>
  <c r="G360" i="12"/>
  <c r="G356" i="12"/>
  <c r="G352" i="12"/>
  <c r="G348" i="12"/>
  <c r="G344" i="12"/>
  <c r="G340" i="12"/>
  <c r="G336" i="12"/>
  <c r="G332" i="12"/>
  <c r="G328" i="12"/>
  <c r="G324" i="12"/>
  <c r="G320" i="12"/>
  <c r="G316" i="12"/>
  <c r="G312" i="12"/>
  <c r="G308" i="12"/>
  <c r="G304" i="12"/>
  <c r="G300" i="12"/>
  <c r="G296" i="12"/>
  <c r="G292" i="12"/>
  <c r="G288" i="12"/>
  <c r="G284" i="12"/>
  <c r="G280" i="12"/>
  <c r="G276" i="12"/>
  <c r="G272" i="12"/>
  <c r="G268" i="12"/>
  <c r="G264" i="12"/>
  <c r="G260" i="12"/>
  <c r="G256" i="12"/>
  <c r="G252" i="12"/>
  <c r="G248" i="12"/>
  <c r="G244" i="12"/>
  <c r="G240" i="12"/>
  <c r="G236" i="12"/>
  <c r="G232" i="12"/>
  <c r="G228" i="12"/>
  <c r="G224" i="12"/>
  <c r="G220" i="12"/>
  <c r="G216" i="12"/>
  <c r="G212" i="12"/>
  <c r="G208" i="12"/>
  <c r="G204" i="12"/>
  <c r="G200" i="12"/>
  <c r="G196" i="12"/>
  <c r="G192" i="12"/>
  <c r="G188" i="12"/>
  <c r="G184" i="12"/>
  <c r="G180" i="12"/>
  <c r="G176" i="12"/>
  <c r="G172" i="12"/>
  <c r="G168" i="12"/>
  <c r="G164" i="12"/>
  <c r="G160" i="12"/>
  <c r="G156" i="12"/>
  <c r="G152" i="12"/>
  <c r="G148" i="12"/>
  <c r="G144" i="12"/>
  <c r="G140" i="12"/>
  <c r="G136" i="12"/>
  <c r="G132" i="12"/>
  <c r="G128" i="12"/>
  <c r="G124" i="12"/>
  <c r="G120" i="12"/>
  <c r="G116" i="12"/>
  <c r="G112" i="12"/>
  <c r="G108" i="12"/>
  <c r="G104" i="12"/>
  <c r="G100" i="12"/>
  <c r="G96" i="12"/>
  <c r="G92" i="12"/>
  <c r="G88" i="12"/>
  <c r="G84" i="12"/>
  <c r="G80" i="12"/>
  <c r="G76" i="12"/>
  <c r="G72" i="12"/>
  <c r="G68" i="12"/>
  <c r="G64" i="12"/>
  <c r="G60" i="12"/>
  <c r="G56" i="12"/>
  <c r="G52" i="12"/>
  <c r="G48" i="12"/>
  <c r="G44" i="12"/>
  <c r="G40" i="12"/>
  <c r="G36" i="12"/>
  <c r="G32" i="12"/>
  <c r="G28" i="12"/>
  <c r="G24" i="12"/>
  <c r="G20" i="12"/>
  <c r="G16" i="12"/>
  <c r="G12" i="12"/>
  <c r="G8" i="12"/>
  <c r="G4" i="12"/>
  <c r="G2199" i="12"/>
  <c r="F2188" i="12"/>
  <c r="G2178" i="12"/>
  <c r="G2167" i="12"/>
  <c r="F2156" i="12"/>
  <c r="G2146" i="12"/>
  <c r="G2135" i="12"/>
  <c r="F2124" i="12"/>
  <c r="G2114" i="12"/>
  <c r="G2103" i="12"/>
  <c r="F2092" i="12"/>
  <c r="G2082" i="12"/>
  <c r="G2071" i="12"/>
  <c r="F2060" i="12"/>
  <c r="G2050" i="12"/>
  <c r="G2039" i="12"/>
  <c r="F2028" i="12"/>
  <c r="G2018" i="12"/>
  <c r="G2007" i="12"/>
  <c r="F1996" i="12"/>
  <c r="G1986" i="12"/>
  <c r="G1975" i="12"/>
  <c r="F1964" i="12"/>
  <c r="G1954" i="12"/>
  <c r="G1943" i="12"/>
  <c r="F1932" i="12"/>
  <c r="G1922" i="12"/>
  <c r="G1911" i="12"/>
  <c r="F1900" i="12"/>
  <c r="G1890" i="12"/>
  <c r="G1879" i="12"/>
  <c r="F1868" i="12"/>
  <c r="G1858" i="12"/>
  <c r="G1847" i="12"/>
  <c r="F1836" i="12"/>
  <c r="G1826" i="12"/>
  <c r="G1815" i="12"/>
  <c r="F1804" i="12"/>
  <c r="G1794" i="12"/>
  <c r="G1783" i="12"/>
  <c r="F1772" i="12"/>
  <c r="G1762" i="12"/>
  <c r="G1751" i="12"/>
  <c r="F1740" i="12"/>
  <c r="G1730" i="12"/>
  <c r="G1719" i="12"/>
  <c r="F1708" i="12"/>
  <c r="G1698" i="12"/>
  <c r="H1698" i="12" s="1"/>
  <c r="G1687" i="12"/>
  <c r="F1676" i="12"/>
  <c r="G1666" i="12"/>
  <c r="G1655" i="12"/>
  <c r="F1644" i="12"/>
  <c r="G1634" i="12"/>
  <c r="G1623" i="12"/>
  <c r="F1612" i="12"/>
  <c r="G1602" i="12"/>
  <c r="G1591" i="12"/>
  <c r="F1580" i="12"/>
  <c r="G1570" i="12"/>
  <c r="G1559" i="12"/>
  <c r="F1548" i="12"/>
  <c r="G1538" i="12"/>
  <c r="G1527" i="12"/>
  <c r="F1516" i="12"/>
  <c r="G1506" i="12"/>
  <c r="G1495" i="12"/>
  <c r="F1484" i="12"/>
  <c r="G1474" i="12"/>
  <c r="G1463" i="12"/>
  <c r="F1452" i="12"/>
  <c r="G1442" i="12"/>
  <c r="G1431" i="12"/>
  <c r="F1420" i="12"/>
  <c r="G1411" i="12"/>
  <c r="G1403" i="12"/>
  <c r="G1395" i="12"/>
  <c r="G1387" i="12"/>
  <c r="G1379" i="12"/>
  <c r="G1371" i="12"/>
  <c r="G1363" i="12"/>
  <c r="G1357" i="12"/>
  <c r="G1350" i="12"/>
  <c r="F1344" i="12"/>
  <c r="F1338" i="12"/>
  <c r="G1331" i="12"/>
  <c r="G1325" i="12"/>
  <c r="G1318" i="12"/>
  <c r="F1312" i="12"/>
  <c r="F1306" i="12"/>
  <c r="G1299" i="12"/>
  <c r="G1293" i="12"/>
  <c r="G1286" i="12"/>
  <c r="F1280" i="12"/>
  <c r="F1274" i="12"/>
  <c r="G1267" i="12"/>
  <c r="G1261" i="12"/>
  <c r="G1254" i="12"/>
  <c r="F1248" i="12"/>
  <c r="F1242" i="12"/>
  <c r="F1236" i="12"/>
  <c r="F1232" i="12"/>
  <c r="F1228" i="12"/>
  <c r="F1224" i="12"/>
  <c r="F1220" i="12"/>
  <c r="F1216" i="12"/>
  <c r="F1212" i="12"/>
  <c r="F1208" i="12"/>
  <c r="F1204" i="12"/>
  <c r="F1200" i="12"/>
  <c r="F1196" i="12"/>
  <c r="F1192" i="12"/>
  <c r="F1188" i="12"/>
  <c r="F1184" i="12"/>
  <c r="F1180" i="12"/>
  <c r="F1176" i="12"/>
  <c r="F1172" i="12"/>
  <c r="F1168" i="12"/>
  <c r="F1164" i="12"/>
  <c r="F1160" i="12"/>
  <c r="F1156" i="12"/>
  <c r="F1152" i="12"/>
  <c r="F1148" i="12"/>
  <c r="F1144" i="12"/>
  <c r="F1140" i="12"/>
  <c r="F1136" i="12"/>
  <c r="F1132" i="12"/>
  <c r="F1128" i="12"/>
  <c r="F1124" i="12"/>
  <c r="F1120" i="12"/>
  <c r="F1116" i="12"/>
  <c r="F1112" i="12"/>
  <c r="F1108" i="12"/>
  <c r="F1104" i="12"/>
  <c r="F1100" i="12"/>
  <c r="F1096" i="12"/>
  <c r="F1092" i="12"/>
  <c r="F1088" i="12"/>
  <c r="F1084" i="12"/>
  <c r="F1080" i="12"/>
  <c r="F1076" i="12"/>
  <c r="F1072" i="12"/>
  <c r="F1068" i="12"/>
  <c r="F1064" i="12"/>
  <c r="F1060" i="12"/>
  <c r="F1056" i="12"/>
  <c r="F1052" i="12"/>
  <c r="F1048" i="12"/>
  <c r="F1044" i="12"/>
  <c r="F1040" i="12"/>
  <c r="F1036" i="12"/>
  <c r="F1032" i="12"/>
  <c r="F1028" i="12"/>
  <c r="F1024" i="12"/>
  <c r="F1020" i="12"/>
  <c r="F1016" i="12"/>
  <c r="F1012" i="12"/>
  <c r="F1008" i="12"/>
  <c r="F1004" i="12"/>
  <c r="F1000" i="12"/>
  <c r="F996" i="12"/>
  <c r="F992" i="12"/>
  <c r="F988" i="12"/>
  <c r="F984" i="12"/>
  <c r="F980" i="12"/>
  <c r="F976" i="12"/>
  <c r="F972" i="12"/>
  <c r="F968" i="12"/>
  <c r="F964" i="12"/>
  <c r="F960" i="12"/>
  <c r="F956" i="12"/>
  <c r="F952" i="12"/>
  <c r="F948" i="12"/>
  <c r="F944" i="12"/>
  <c r="F940" i="12"/>
  <c r="F936" i="12"/>
  <c r="F932" i="12"/>
  <c r="F928" i="12"/>
  <c r="F924" i="12"/>
  <c r="F920" i="12"/>
  <c r="F916" i="12"/>
  <c r="F912" i="12"/>
  <c r="F908" i="12"/>
  <c r="F904" i="12"/>
  <c r="F900" i="12"/>
  <c r="F896" i="12"/>
  <c r="F892" i="12"/>
  <c r="F888" i="12"/>
  <c r="F884" i="12"/>
  <c r="F880" i="12"/>
  <c r="F876" i="12"/>
  <c r="F872" i="12"/>
  <c r="F868" i="12"/>
  <c r="F864" i="12"/>
  <c r="F860" i="12"/>
  <c r="F856" i="12"/>
  <c r="F852" i="12"/>
  <c r="F848" i="12"/>
  <c r="F844" i="12"/>
  <c r="F840" i="12"/>
  <c r="F836" i="12"/>
  <c r="F832" i="12"/>
  <c r="F828" i="12"/>
  <c r="F824" i="12"/>
  <c r="F820" i="12"/>
  <c r="F816" i="12"/>
  <c r="F812" i="12"/>
  <c r="F808" i="12"/>
  <c r="F804" i="12"/>
  <c r="F800" i="12"/>
  <c r="F796" i="12"/>
  <c r="F792" i="12"/>
  <c r="F788" i="12"/>
  <c r="F784" i="12"/>
  <c r="F780" i="12"/>
  <c r="F776" i="12"/>
  <c r="F772" i="12"/>
  <c r="F768" i="12"/>
  <c r="F764" i="12"/>
  <c r="F760" i="12"/>
  <c r="F756" i="12"/>
  <c r="F752" i="12"/>
  <c r="F748" i="12"/>
  <c r="F744" i="12"/>
  <c r="F740" i="12"/>
  <c r="F736" i="12"/>
  <c r="F732" i="12"/>
  <c r="F728" i="12"/>
  <c r="F724" i="12"/>
  <c r="F720" i="12"/>
  <c r="F716" i="12"/>
  <c r="F712" i="12"/>
  <c r="F708" i="12"/>
  <c r="F704" i="12"/>
  <c r="F700" i="12"/>
  <c r="F696" i="12"/>
  <c r="F692" i="12"/>
  <c r="F688" i="12"/>
  <c r="F684" i="12"/>
  <c r="F680" i="12"/>
  <c r="F676" i="12"/>
  <c r="F672" i="12"/>
  <c r="F668" i="12"/>
  <c r="F664" i="12"/>
  <c r="F660" i="12"/>
  <c r="F656" i="12"/>
  <c r="F652" i="12"/>
  <c r="F648" i="12"/>
  <c r="F644" i="12"/>
  <c r="F640" i="12"/>
  <c r="F636" i="12"/>
  <c r="F632" i="12"/>
  <c r="F628" i="12"/>
  <c r="F624" i="12"/>
  <c r="F620" i="12"/>
  <c r="F616" i="12"/>
  <c r="F612" i="12"/>
  <c r="F608" i="12"/>
  <c r="F604" i="12"/>
  <c r="F600" i="12"/>
  <c r="F596" i="12"/>
  <c r="F592" i="12"/>
  <c r="F588" i="12"/>
  <c r="F584" i="12"/>
  <c r="F580" i="12"/>
  <c r="F576" i="12"/>
  <c r="F572" i="12"/>
  <c r="F568" i="12"/>
  <c r="F564" i="12"/>
  <c r="F560" i="12"/>
  <c r="F556" i="12"/>
  <c r="F552" i="12"/>
  <c r="F548" i="12"/>
  <c r="F544" i="12"/>
  <c r="F540" i="12"/>
  <c r="F536" i="12"/>
  <c r="F532" i="12"/>
  <c r="F528" i="12"/>
  <c r="F524" i="12"/>
  <c r="F520" i="12"/>
  <c r="F516" i="12"/>
  <c r="F512" i="12"/>
  <c r="F508" i="12"/>
  <c r="F504" i="12"/>
  <c r="F500" i="12"/>
  <c r="F496" i="12"/>
  <c r="F492" i="12"/>
  <c r="F488" i="12"/>
  <c r="F484" i="12"/>
  <c r="F480" i="12"/>
  <c r="F476" i="12"/>
  <c r="F472" i="12"/>
  <c r="F468" i="12"/>
  <c r="F464" i="12"/>
  <c r="F460" i="12"/>
  <c r="F456" i="12"/>
  <c r="F452" i="12"/>
  <c r="F448" i="12"/>
  <c r="F444" i="12"/>
  <c r="F440" i="12"/>
  <c r="F436" i="12"/>
  <c r="F432" i="12"/>
  <c r="F428" i="12"/>
  <c r="F424" i="12"/>
  <c r="F420" i="12"/>
  <c r="F416" i="12"/>
  <c r="F412" i="12"/>
  <c r="F408" i="12"/>
  <c r="F404" i="12"/>
  <c r="F400" i="12"/>
  <c r="F396" i="12"/>
  <c r="F392" i="12"/>
  <c r="F388" i="12"/>
  <c r="F384" i="12"/>
  <c r="F380" i="12"/>
  <c r="F376" i="12"/>
  <c r="F372" i="12"/>
  <c r="F368" i="12"/>
  <c r="F364" i="12"/>
  <c r="F360" i="12"/>
  <c r="F356" i="12"/>
  <c r="F352" i="12"/>
  <c r="F348" i="12"/>
  <c r="F344" i="12"/>
  <c r="F340" i="12"/>
  <c r="F336" i="12"/>
  <c r="F332" i="12"/>
  <c r="F328" i="12"/>
  <c r="F324" i="12"/>
  <c r="F320" i="12"/>
  <c r="F316" i="12"/>
  <c r="F312" i="12"/>
  <c r="F308" i="12"/>
  <c r="F304" i="12"/>
  <c r="F300" i="12"/>
  <c r="F296" i="12"/>
  <c r="F292" i="12"/>
  <c r="F288" i="12"/>
  <c r="F284" i="12"/>
  <c r="F280" i="12"/>
  <c r="F276" i="12"/>
  <c r="F272" i="12"/>
  <c r="F268" i="12"/>
  <c r="F264" i="12"/>
  <c r="F260" i="12"/>
  <c r="F256" i="12"/>
  <c r="F252" i="12"/>
  <c r="F248" i="12"/>
  <c r="F244" i="12"/>
  <c r="F240" i="12"/>
  <c r="F236" i="12"/>
  <c r="F232" i="12"/>
  <c r="F228" i="12"/>
  <c r="F224" i="12"/>
  <c r="F220" i="12"/>
  <c r="F216" i="12"/>
  <c r="F212" i="12"/>
  <c r="F208" i="12"/>
  <c r="F204" i="12"/>
  <c r="F200" i="12"/>
  <c r="F196" i="12"/>
  <c r="F192" i="12"/>
  <c r="F188" i="12"/>
  <c r="F184" i="12"/>
  <c r="F180" i="12"/>
  <c r="F176" i="12"/>
  <c r="F172" i="12"/>
  <c r="F168" i="12"/>
  <c r="F164" i="12"/>
  <c r="F160" i="12"/>
  <c r="F156" i="12"/>
  <c r="F152" i="12"/>
  <c r="F148" i="12"/>
  <c r="F144" i="12"/>
  <c r="F140" i="12"/>
  <c r="F136" i="12"/>
  <c r="F132" i="12"/>
  <c r="F128" i="12"/>
  <c r="F124" i="12"/>
  <c r="F120" i="12"/>
  <c r="F116" i="12"/>
  <c r="F112" i="12"/>
  <c r="F108" i="12"/>
  <c r="F104" i="12"/>
  <c r="F100" i="12"/>
  <c r="F96" i="12"/>
  <c r="F92" i="12"/>
  <c r="F88" i="12"/>
  <c r="F84" i="12"/>
  <c r="F80" i="12"/>
  <c r="F76" i="12"/>
  <c r="F72" i="12"/>
  <c r="F68" i="12"/>
  <c r="F64" i="12"/>
  <c r="F60" i="12"/>
  <c r="F56" i="12"/>
  <c r="F52" i="12"/>
  <c r="F48" i="12"/>
  <c r="F44" i="12"/>
  <c r="F40" i="12"/>
  <c r="F36" i="12"/>
  <c r="F32" i="12"/>
  <c r="F28" i="12"/>
  <c r="F24" i="12"/>
  <c r="F20" i="12"/>
  <c r="F16" i="12"/>
  <c r="F12" i="12"/>
  <c r="F8" i="12"/>
  <c r="F4" i="12"/>
  <c r="G2198" i="12"/>
  <c r="G2187" i="12"/>
  <c r="F2176" i="12"/>
  <c r="G2166" i="12"/>
  <c r="G2155" i="12"/>
  <c r="F2144" i="12"/>
  <c r="G2134" i="12"/>
  <c r="G2123" i="12"/>
  <c r="F2112" i="12"/>
  <c r="G2102" i="12"/>
  <c r="G2091" i="12"/>
  <c r="F2080" i="12"/>
  <c r="G2070" i="12"/>
  <c r="G2059" i="12"/>
  <c r="F2048" i="12"/>
  <c r="G2038" i="12"/>
  <c r="G2027" i="12"/>
  <c r="F2016" i="12"/>
  <c r="G2006" i="12"/>
  <c r="G1995" i="12"/>
  <c r="F1984" i="12"/>
  <c r="G1974" i="12"/>
  <c r="G1963" i="12"/>
  <c r="F1952" i="12"/>
  <c r="G1942" i="12"/>
  <c r="G1931" i="12"/>
  <c r="F1920" i="12"/>
  <c r="G1910" i="12"/>
  <c r="G1899" i="12"/>
  <c r="F1888" i="12"/>
  <c r="G1878" i="12"/>
  <c r="G1867" i="12"/>
  <c r="F1856" i="12"/>
  <c r="G1846" i="12"/>
  <c r="G1835" i="12"/>
  <c r="F1824" i="12"/>
  <c r="G1814" i="12"/>
  <c r="G1803" i="12"/>
  <c r="F1792" i="12"/>
  <c r="G1782" i="12"/>
  <c r="G1771" i="12"/>
  <c r="F1760" i="12"/>
  <c r="G1750" i="12"/>
  <c r="G1739" i="12"/>
  <c r="F1728" i="12"/>
  <c r="G1718" i="12"/>
  <c r="G1707" i="12"/>
  <c r="F1696" i="12"/>
  <c r="G1686" i="12"/>
  <c r="G1675" i="12"/>
  <c r="F1664" i="12"/>
  <c r="G1654" i="12"/>
  <c r="G1643" i="12"/>
  <c r="F1632" i="12"/>
  <c r="G1622" i="12"/>
  <c r="G1611" i="12"/>
  <c r="F1600" i="12"/>
  <c r="G1590" i="12"/>
  <c r="G1579" i="12"/>
  <c r="F1568" i="12"/>
  <c r="G1558" i="12"/>
  <c r="G1547" i="12"/>
  <c r="F1536" i="12"/>
  <c r="G1526" i="12"/>
  <c r="G1515" i="12"/>
  <c r="F1504" i="12"/>
  <c r="G1494" i="12"/>
  <c r="G1483" i="12"/>
  <c r="F1472" i="12"/>
  <c r="G1462" i="12"/>
  <c r="G1451" i="12"/>
  <c r="F1440" i="12"/>
  <c r="G1430" i="12"/>
  <c r="G1419" i="12"/>
  <c r="G1410" i="12"/>
  <c r="G1402" i="12"/>
  <c r="G1394" i="12"/>
  <c r="G1386" i="12"/>
  <c r="G1378" i="12"/>
  <c r="G1370" i="12"/>
  <c r="G1362" i="12"/>
  <c r="F1356" i="12"/>
  <c r="F1350" i="12"/>
  <c r="G1343" i="12"/>
  <c r="G1337" i="12"/>
  <c r="G1330" i="12"/>
  <c r="F1324" i="12"/>
  <c r="F1318" i="12"/>
  <c r="G1311" i="12"/>
  <c r="G1305" i="12"/>
  <c r="G1298" i="12"/>
  <c r="F1292" i="12"/>
  <c r="F1286" i="12"/>
  <c r="G1279" i="12"/>
  <c r="G1273" i="12"/>
  <c r="G1266" i="12"/>
  <c r="F1260" i="12"/>
  <c r="F1254" i="12"/>
  <c r="G1247" i="12"/>
  <c r="G1241" i="12"/>
  <c r="G1235" i="12"/>
  <c r="G1231" i="12"/>
  <c r="G1227" i="12"/>
  <c r="G1223" i="12"/>
  <c r="G1219" i="12"/>
  <c r="G1215" i="12"/>
  <c r="G1211" i="12"/>
  <c r="G1207" i="12"/>
  <c r="G1203" i="12"/>
  <c r="G1199" i="12"/>
  <c r="G1195" i="12"/>
  <c r="G1191" i="12"/>
  <c r="G1187" i="12"/>
  <c r="G1183" i="12"/>
  <c r="G1179" i="12"/>
  <c r="G1175" i="12"/>
  <c r="G1171" i="12"/>
  <c r="G1167" i="12"/>
  <c r="G1163" i="12"/>
  <c r="G1159" i="12"/>
  <c r="G1155" i="12"/>
  <c r="G1151" i="12"/>
  <c r="G1147" i="12"/>
  <c r="G1143" i="12"/>
  <c r="G1139" i="12"/>
  <c r="G1135" i="12"/>
  <c r="G1131" i="12"/>
  <c r="G1127" i="12"/>
  <c r="G1123" i="12"/>
  <c r="G1119" i="12"/>
  <c r="G1115" i="12"/>
  <c r="G1111" i="12"/>
  <c r="G1107" i="12"/>
  <c r="G1103" i="12"/>
  <c r="G1099" i="12"/>
  <c r="G1095" i="12"/>
  <c r="G1091" i="12"/>
  <c r="G1087" i="12"/>
  <c r="G1083" i="12"/>
  <c r="G1079" i="12"/>
  <c r="G1075" i="12"/>
  <c r="G1071" i="12"/>
  <c r="G1067" i="12"/>
  <c r="G1063" i="12"/>
  <c r="G1059" i="12"/>
  <c r="G1055" i="12"/>
  <c r="G1051" i="12"/>
  <c r="G1047" i="12"/>
  <c r="G1043" i="12"/>
  <c r="G1039" i="12"/>
  <c r="G1035" i="12"/>
  <c r="G1031" i="12"/>
  <c r="G1027" i="12"/>
  <c r="G1023" i="12"/>
  <c r="G1019" i="12"/>
  <c r="G1015" i="12"/>
  <c r="G1011" i="12"/>
  <c r="G1007" i="12"/>
  <c r="G1003" i="12"/>
  <c r="G999" i="12"/>
  <c r="G995" i="12"/>
  <c r="G991" i="12"/>
  <c r="G987" i="12"/>
  <c r="G983" i="12"/>
  <c r="G979" i="12"/>
  <c r="G975" i="12"/>
  <c r="G971" i="12"/>
  <c r="G967" i="12"/>
  <c r="G963" i="12"/>
  <c r="G959" i="12"/>
  <c r="G955" i="12"/>
  <c r="G951" i="12"/>
  <c r="G947" i="12"/>
  <c r="G943" i="12"/>
  <c r="G939" i="12"/>
  <c r="G935" i="12"/>
  <c r="G931" i="12"/>
  <c r="G927" i="12"/>
  <c r="G923" i="12"/>
  <c r="G919" i="12"/>
  <c r="G915" i="12"/>
  <c r="G911" i="12"/>
  <c r="G907" i="12"/>
  <c r="G903" i="12"/>
  <c r="G899" i="12"/>
  <c r="G895" i="12"/>
  <c r="G891" i="12"/>
  <c r="G887" i="12"/>
  <c r="G883" i="12"/>
  <c r="G879" i="12"/>
  <c r="G875" i="12"/>
  <c r="G871" i="12"/>
  <c r="G867" i="12"/>
  <c r="G863" i="12"/>
  <c r="G859" i="12"/>
  <c r="G855" i="12"/>
  <c r="G851" i="12"/>
  <c r="G847" i="12"/>
  <c r="G843" i="12"/>
  <c r="G839" i="12"/>
  <c r="G835" i="12"/>
  <c r="G831" i="12"/>
  <c r="G827" i="12"/>
  <c r="G823" i="12"/>
  <c r="G819" i="12"/>
  <c r="G815" i="12"/>
  <c r="G811" i="12"/>
  <c r="G807" i="12"/>
  <c r="G803" i="12"/>
  <c r="G799" i="12"/>
  <c r="G795" i="12"/>
  <c r="G791" i="12"/>
  <c r="G787" i="12"/>
  <c r="G783" i="12"/>
  <c r="G779" i="12"/>
  <c r="G775" i="12"/>
  <c r="G771" i="12"/>
  <c r="G767" i="12"/>
  <c r="G763" i="12"/>
  <c r="G759" i="12"/>
  <c r="G755" i="12"/>
  <c r="G751" i="12"/>
  <c r="G747" i="12"/>
  <c r="G743" i="12"/>
  <c r="G739" i="12"/>
  <c r="G735" i="12"/>
  <c r="G731" i="12"/>
  <c r="G727" i="12"/>
  <c r="G723" i="12"/>
  <c r="G719" i="12"/>
  <c r="G715" i="12"/>
  <c r="G711" i="12"/>
  <c r="G707" i="12"/>
  <c r="G703" i="12"/>
  <c r="G699" i="12"/>
  <c r="G695" i="12"/>
  <c r="G691" i="12"/>
  <c r="G687" i="12"/>
  <c r="G683" i="12"/>
  <c r="G679" i="12"/>
  <c r="G675" i="12"/>
  <c r="G671" i="12"/>
  <c r="G667" i="12"/>
  <c r="G663" i="12"/>
  <c r="G659" i="12"/>
  <c r="G655" i="12"/>
  <c r="G651" i="12"/>
  <c r="G647" i="12"/>
  <c r="G643" i="12"/>
  <c r="G639" i="12"/>
  <c r="G635" i="12"/>
  <c r="G631" i="12"/>
  <c r="G627" i="12"/>
  <c r="G623" i="12"/>
  <c r="G619" i="12"/>
  <c r="G615" i="12"/>
  <c r="G611" i="12"/>
  <c r="G607" i="12"/>
  <c r="G603" i="12"/>
  <c r="G599" i="12"/>
  <c r="G595" i="12"/>
  <c r="G591" i="12"/>
  <c r="G587" i="12"/>
  <c r="G583" i="12"/>
  <c r="G579" i="12"/>
  <c r="G575" i="12"/>
  <c r="G571" i="12"/>
  <c r="G567" i="12"/>
  <c r="G563" i="12"/>
  <c r="G559" i="12"/>
  <c r="G555" i="12"/>
  <c r="G551" i="12"/>
  <c r="G547" i="12"/>
  <c r="G543" i="12"/>
  <c r="G539" i="12"/>
  <c r="G535" i="12"/>
  <c r="G531" i="12"/>
  <c r="G527" i="12"/>
  <c r="G523" i="12"/>
  <c r="G519" i="12"/>
  <c r="G515" i="12"/>
  <c r="G511" i="12"/>
  <c r="G507" i="12"/>
  <c r="G503" i="12"/>
  <c r="G499" i="12"/>
  <c r="G495" i="12"/>
  <c r="G491" i="12"/>
  <c r="G487" i="12"/>
  <c r="G483" i="12"/>
  <c r="G479" i="12"/>
  <c r="G475" i="12"/>
  <c r="G471" i="12"/>
  <c r="G467" i="12"/>
  <c r="G463" i="12"/>
  <c r="G459" i="12"/>
  <c r="G455" i="12"/>
  <c r="G451" i="12"/>
  <c r="G447" i="12"/>
  <c r="G443" i="12"/>
  <c r="G439" i="12"/>
  <c r="G435" i="12"/>
  <c r="G431" i="12"/>
  <c r="G427" i="12"/>
  <c r="G423" i="12"/>
  <c r="G419" i="12"/>
  <c r="G415" i="12"/>
  <c r="G411" i="12"/>
  <c r="G407" i="12"/>
  <c r="G403" i="12"/>
  <c r="G399" i="12"/>
  <c r="G395" i="12"/>
  <c r="G391" i="12"/>
  <c r="G387" i="12"/>
  <c r="G383" i="12"/>
  <c r="G379" i="12"/>
  <c r="G375" i="12"/>
  <c r="G371" i="12"/>
  <c r="G367" i="12"/>
  <c r="G363" i="12"/>
  <c r="G359" i="12"/>
  <c r="G355" i="12"/>
  <c r="G351" i="12"/>
  <c r="G347" i="12"/>
  <c r="G343" i="12"/>
  <c r="G339" i="12"/>
  <c r="G335" i="12"/>
  <c r="G331" i="12"/>
  <c r="G327" i="12"/>
  <c r="G323" i="12"/>
  <c r="G319" i="12"/>
  <c r="G315" i="12"/>
  <c r="G311" i="12"/>
  <c r="G307" i="12"/>
  <c r="G303" i="12"/>
  <c r="G299" i="12"/>
  <c r="G295" i="12"/>
  <c r="G291" i="12"/>
  <c r="G287" i="12"/>
  <c r="G283" i="12"/>
  <c r="G279" i="12"/>
  <c r="G275" i="12"/>
  <c r="G271" i="12"/>
  <c r="G267" i="12"/>
  <c r="G263" i="12"/>
  <c r="G259" i="12"/>
  <c r="G255" i="12"/>
  <c r="G251" i="12"/>
  <c r="G247" i="12"/>
  <c r="G243" i="12"/>
  <c r="G239" i="12"/>
  <c r="G235" i="12"/>
  <c r="G231" i="12"/>
  <c r="G227" i="12"/>
  <c r="G223" i="12"/>
  <c r="G219" i="12"/>
  <c r="G215" i="12"/>
  <c r="G211" i="12"/>
  <c r="G207" i="12"/>
  <c r="G203" i="12"/>
  <c r="G199" i="12"/>
  <c r="G195" i="12"/>
  <c r="G191" i="12"/>
  <c r="G187" i="12"/>
  <c r="G183" i="12"/>
  <c r="G179" i="12"/>
  <c r="G175" i="12"/>
  <c r="G171" i="12"/>
  <c r="G167" i="12"/>
  <c r="G163" i="12"/>
  <c r="G159" i="12"/>
  <c r="G155" i="12"/>
  <c r="G151" i="12"/>
  <c r="G147" i="12"/>
  <c r="G143" i="12"/>
  <c r="G139" i="12"/>
  <c r="G135" i="12"/>
  <c r="G131" i="12"/>
  <c r="G127" i="12"/>
  <c r="G123" i="12"/>
  <c r="G119" i="12"/>
  <c r="G115" i="12"/>
  <c r="G111" i="12"/>
  <c r="G107" i="12"/>
  <c r="G103" i="12"/>
  <c r="G99" i="12"/>
  <c r="G95" i="12"/>
  <c r="G91" i="12"/>
  <c r="G87" i="12"/>
  <c r="G83" i="12"/>
  <c r="G79" i="12"/>
  <c r="G75" i="12"/>
  <c r="G71" i="12"/>
  <c r="G67" i="12"/>
  <c r="G63" i="12"/>
  <c r="G59" i="12"/>
  <c r="G55" i="12"/>
  <c r="G51" i="12"/>
  <c r="G47" i="12"/>
  <c r="G43" i="12"/>
  <c r="G39" i="12"/>
  <c r="G35" i="12"/>
  <c r="G31" i="12"/>
  <c r="G27" i="12"/>
  <c r="G23" i="12"/>
  <c r="G19" i="12"/>
  <c r="G15" i="12"/>
  <c r="G11" i="12"/>
  <c r="G7" i="12"/>
  <c r="G3" i="12"/>
  <c r="H3" i="12" s="1"/>
  <c r="F2196" i="12"/>
  <c r="G2186" i="12"/>
  <c r="G2175" i="12"/>
  <c r="F2164" i="12"/>
  <c r="G2154" i="12"/>
  <c r="G2143" i="12"/>
  <c r="F2132" i="12"/>
  <c r="G2122" i="12"/>
  <c r="G2111" i="12"/>
  <c r="F2100" i="12"/>
  <c r="G2090" i="12"/>
  <c r="G2079" i="12"/>
  <c r="F2068" i="12"/>
  <c r="G2058" i="12"/>
  <c r="G2047" i="12"/>
  <c r="F2036" i="12"/>
  <c r="G2026" i="12"/>
  <c r="G2015" i="12"/>
  <c r="F2004" i="12"/>
  <c r="G1994" i="12"/>
  <c r="G1983" i="12"/>
  <c r="F1972" i="12"/>
  <c r="G1962" i="12"/>
  <c r="G1951" i="12"/>
  <c r="F1940" i="12"/>
  <c r="G1930" i="12"/>
  <c r="G1919" i="12"/>
  <c r="F1908" i="12"/>
  <c r="G1898" i="12"/>
  <c r="G1887" i="12"/>
  <c r="F1876" i="12"/>
  <c r="G1866" i="12"/>
  <c r="G1855" i="12"/>
  <c r="F1844" i="12"/>
  <c r="G1834" i="12"/>
  <c r="G1823" i="12"/>
  <c r="F1812" i="12"/>
  <c r="G1802" i="12"/>
  <c r="G1791" i="12"/>
  <c r="F1780" i="12"/>
  <c r="G1770" i="12"/>
  <c r="G1759" i="12"/>
  <c r="F1748" i="12"/>
  <c r="G1738" i="12"/>
  <c r="G1727" i="12"/>
  <c r="F1716" i="12"/>
  <c r="G1706" i="12"/>
  <c r="G1695" i="12"/>
  <c r="F1684" i="12"/>
  <c r="G1674" i="12"/>
  <c r="G1663" i="12"/>
  <c r="F1652" i="12"/>
  <c r="G1642" i="12"/>
  <c r="G1631" i="12"/>
  <c r="F1620" i="12"/>
  <c r="G1610" i="12"/>
  <c r="G1599" i="12"/>
  <c r="F1588" i="12"/>
  <c r="G1578" i="12"/>
  <c r="G1567" i="12"/>
  <c r="F1556" i="12"/>
  <c r="G1546" i="12"/>
  <c r="G1535" i="12"/>
  <c r="F1524" i="12"/>
  <c r="G1514" i="12"/>
  <c r="G1503" i="12"/>
  <c r="F1492" i="12"/>
  <c r="G1482" i="12"/>
  <c r="G1471" i="12"/>
  <c r="F1460" i="12"/>
  <c r="G1450" i="12"/>
  <c r="G1439" i="12"/>
  <c r="F1428" i="12"/>
  <c r="G1418" i="12"/>
  <c r="G1409" i="12"/>
  <c r="G1401" i="12"/>
  <c r="G1393" i="12"/>
  <c r="G1385" i="12"/>
  <c r="G1377" i="12"/>
  <c r="G1369" i="12"/>
  <c r="F1362" i="12"/>
  <c r="G1355" i="12"/>
  <c r="G1349" i="12"/>
  <c r="G1342" i="12"/>
  <c r="F1336" i="12"/>
  <c r="F1330" i="12"/>
  <c r="G1323" i="12"/>
  <c r="G1317" i="12"/>
  <c r="G1310" i="12"/>
  <c r="F1304" i="12"/>
  <c r="F1298" i="12"/>
  <c r="G1291" i="12"/>
  <c r="G1285" i="12"/>
  <c r="G1278" i="12"/>
  <c r="F1272" i="12"/>
  <c r="F1266" i="12"/>
  <c r="G1259" i="12"/>
  <c r="G1253" i="12"/>
  <c r="G1246" i="12"/>
  <c r="F1240" i="12"/>
  <c r="F1235" i="12"/>
  <c r="F1231" i="12"/>
  <c r="F1227" i="12"/>
  <c r="F1223" i="12"/>
  <c r="F1219" i="12"/>
  <c r="F1215" i="12"/>
  <c r="F1211" i="12"/>
  <c r="F1207" i="12"/>
  <c r="F1203" i="12"/>
  <c r="F1199" i="12"/>
  <c r="F1195" i="12"/>
  <c r="F1191" i="12"/>
  <c r="F1187" i="12"/>
  <c r="F1183" i="12"/>
  <c r="F1179" i="12"/>
  <c r="F1175" i="12"/>
  <c r="F1171" i="12"/>
  <c r="F1167" i="12"/>
  <c r="F1163" i="12"/>
  <c r="F1159" i="12"/>
  <c r="F1155" i="12"/>
  <c r="F1151" i="12"/>
  <c r="F1147" i="12"/>
  <c r="F1143" i="12"/>
  <c r="F1139" i="12"/>
  <c r="F1135" i="12"/>
  <c r="F1131" i="12"/>
  <c r="F1127" i="12"/>
  <c r="F1123" i="12"/>
  <c r="F1119" i="12"/>
  <c r="F1115" i="12"/>
  <c r="F1111" i="12"/>
  <c r="F1107" i="12"/>
  <c r="F1103" i="12"/>
  <c r="F1099" i="12"/>
  <c r="F1095" i="12"/>
  <c r="F1091" i="12"/>
  <c r="F1087" i="12"/>
  <c r="F1083" i="12"/>
  <c r="F1079" i="12"/>
  <c r="F1075" i="12"/>
  <c r="F1071" i="12"/>
  <c r="F1067" i="12"/>
  <c r="F1063" i="12"/>
  <c r="F1059" i="12"/>
  <c r="F1055" i="12"/>
  <c r="F1051" i="12"/>
  <c r="F1047" i="12"/>
  <c r="F1043" i="12"/>
  <c r="F1039" i="12"/>
  <c r="F1035" i="12"/>
  <c r="F1031" i="12"/>
  <c r="F1027" i="12"/>
  <c r="F1023" i="12"/>
  <c r="F1019" i="12"/>
  <c r="F1015" i="12"/>
  <c r="F1011" i="12"/>
  <c r="F1007" i="12"/>
  <c r="F1003" i="12"/>
  <c r="F999" i="12"/>
  <c r="F995" i="12"/>
  <c r="F991" i="12"/>
  <c r="F987" i="12"/>
  <c r="F983" i="12"/>
  <c r="F979" i="12"/>
  <c r="F975" i="12"/>
  <c r="F971" i="12"/>
  <c r="F967" i="12"/>
  <c r="F963" i="12"/>
  <c r="F959" i="12"/>
  <c r="F955" i="12"/>
  <c r="F951" i="12"/>
  <c r="F947" i="12"/>
  <c r="F943" i="12"/>
  <c r="F939" i="12"/>
  <c r="F935" i="12"/>
  <c r="F931" i="12"/>
  <c r="F927" i="12"/>
  <c r="F923" i="12"/>
  <c r="F919" i="12"/>
  <c r="F915" i="12"/>
  <c r="F911" i="12"/>
  <c r="F907" i="12"/>
  <c r="F903" i="12"/>
  <c r="F899" i="12"/>
  <c r="F895" i="12"/>
  <c r="F891" i="12"/>
  <c r="F887" i="12"/>
  <c r="F883" i="12"/>
  <c r="F879" i="12"/>
  <c r="F875" i="12"/>
  <c r="F871" i="12"/>
  <c r="F867" i="12"/>
  <c r="F863" i="12"/>
  <c r="F859" i="12"/>
  <c r="F855" i="12"/>
  <c r="F851" i="12"/>
  <c r="F847" i="12"/>
  <c r="F843" i="12"/>
  <c r="F839" i="12"/>
  <c r="F835" i="12"/>
  <c r="F831" i="12"/>
  <c r="F827" i="12"/>
  <c r="F823" i="12"/>
  <c r="F819" i="12"/>
  <c r="F815" i="12"/>
  <c r="F811" i="12"/>
  <c r="F807" i="12"/>
  <c r="F803" i="12"/>
  <c r="F799" i="12"/>
  <c r="F795" i="12"/>
  <c r="F791" i="12"/>
  <c r="F787" i="12"/>
  <c r="F783" i="12"/>
  <c r="F779" i="12"/>
  <c r="F775" i="12"/>
  <c r="F771" i="12"/>
  <c r="F767" i="12"/>
  <c r="F763" i="12"/>
  <c r="F759" i="12"/>
  <c r="F755" i="12"/>
  <c r="F751" i="12"/>
  <c r="F747" i="12"/>
  <c r="F743" i="12"/>
  <c r="F739" i="12"/>
  <c r="F735" i="12"/>
  <c r="F731" i="12"/>
  <c r="F727" i="12"/>
  <c r="F723" i="12"/>
  <c r="F719" i="12"/>
  <c r="F715" i="12"/>
  <c r="F711" i="12"/>
  <c r="F707" i="12"/>
  <c r="F703" i="12"/>
  <c r="F699" i="12"/>
  <c r="F695" i="12"/>
  <c r="F691" i="12"/>
  <c r="F687" i="12"/>
  <c r="F683" i="12"/>
  <c r="F679" i="12"/>
  <c r="F675" i="12"/>
  <c r="F671" i="12"/>
  <c r="F667" i="12"/>
  <c r="F663" i="12"/>
  <c r="F659" i="12"/>
  <c r="F655" i="12"/>
  <c r="F651" i="12"/>
  <c r="F647" i="12"/>
  <c r="F643" i="12"/>
  <c r="F639" i="12"/>
  <c r="F635" i="12"/>
  <c r="F631" i="12"/>
  <c r="F627" i="12"/>
  <c r="F623" i="12"/>
  <c r="F619" i="12"/>
  <c r="F615" i="12"/>
  <c r="F611" i="12"/>
  <c r="F607" i="12"/>
  <c r="F603" i="12"/>
  <c r="F599" i="12"/>
  <c r="F595" i="12"/>
  <c r="F591" i="12"/>
  <c r="F587" i="12"/>
  <c r="F583" i="12"/>
  <c r="F579" i="12"/>
  <c r="F575" i="12"/>
  <c r="F571" i="12"/>
  <c r="F567" i="12"/>
  <c r="F563" i="12"/>
  <c r="F559" i="12"/>
  <c r="F555" i="12"/>
  <c r="F551" i="12"/>
  <c r="F547" i="12"/>
  <c r="F543" i="12"/>
  <c r="F539" i="12"/>
  <c r="F535" i="12"/>
  <c r="F531" i="12"/>
  <c r="F527" i="12"/>
  <c r="F523" i="12"/>
  <c r="F519" i="12"/>
  <c r="F515" i="12"/>
  <c r="F511" i="12"/>
  <c r="F507" i="12"/>
  <c r="F503" i="12"/>
  <c r="F499" i="12"/>
  <c r="F495" i="12"/>
  <c r="F491" i="12"/>
  <c r="F487" i="12"/>
  <c r="F483" i="12"/>
  <c r="F479" i="12"/>
  <c r="F475" i="12"/>
  <c r="F471" i="12"/>
  <c r="F467" i="12"/>
  <c r="F463" i="12"/>
  <c r="F459" i="12"/>
  <c r="F455" i="12"/>
  <c r="F451" i="12"/>
  <c r="F447" i="12"/>
  <c r="F443" i="12"/>
  <c r="F439" i="12"/>
  <c r="F435" i="12"/>
  <c r="F431" i="12"/>
  <c r="F427" i="12"/>
  <c r="F423" i="12"/>
  <c r="F419" i="12"/>
  <c r="F415" i="12"/>
  <c r="F411" i="12"/>
  <c r="F407" i="12"/>
  <c r="F403" i="12"/>
  <c r="F399" i="12"/>
  <c r="F395" i="12"/>
  <c r="F391" i="12"/>
  <c r="F387" i="12"/>
  <c r="F383" i="12"/>
  <c r="F379" i="12"/>
  <c r="F375" i="12"/>
  <c r="F371" i="12"/>
  <c r="F367" i="12"/>
  <c r="F363" i="12"/>
  <c r="F359" i="12"/>
  <c r="F355" i="12"/>
  <c r="F351" i="12"/>
  <c r="F347" i="12"/>
  <c r="F343" i="12"/>
  <c r="F339" i="12"/>
  <c r="F335" i="12"/>
  <c r="F331" i="12"/>
  <c r="F327" i="12"/>
  <c r="F323" i="12"/>
  <c r="F319" i="12"/>
  <c r="F315" i="12"/>
  <c r="F311" i="12"/>
  <c r="F307" i="12"/>
  <c r="F303" i="12"/>
  <c r="F299" i="12"/>
  <c r="F295" i="12"/>
  <c r="F291" i="12"/>
  <c r="F287" i="12"/>
  <c r="F283" i="12"/>
  <c r="F279" i="12"/>
  <c r="F275" i="12"/>
  <c r="F271" i="12"/>
  <c r="F267" i="12"/>
  <c r="F263" i="12"/>
  <c r="F259" i="12"/>
  <c r="F255" i="12"/>
  <c r="F251" i="12"/>
  <c r="F247" i="12"/>
  <c r="F243" i="12"/>
  <c r="F239" i="12"/>
  <c r="F235" i="12"/>
  <c r="F231" i="12"/>
  <c r="F227" i="12"/>
  <c r="F223" i="12"/>
  <c r="F219" i="12"/>
  <c r="F215" i="12"/>
  <c r="F211" i="12"/>
  <c r="F207" i="12"/>
  <c r="F203" i="12"/>
  <c r="F199" i="12"/>
  <c r="F195" i="12"/>
  <c r="F191" i="12"/>
  <c r="F187" i="12"/>
  <c r="F183" i="12"/>
  <c r="F179" i="12"/>
  <c r="F175" i="12"/>
  <c r="F171" i="12"/>
  <c r="F167" i="12"/>
  <c r="F163" i="12"/>
  <c r="F159" i="12"/>
  <c r="F155" i="12"/>
  <c r="F151" i="12"/>
  <c r="F147" i="12"/>
  <c r="F143" i="12"/>
  <c r="F139" i="12"/>
  <c r="F135" i="12"/>
  <c r="F131" i="12"/>
  <c r="F127" i="12"/>
  <c r="F123" i="12"/>
  <c r="F119" i="12"/>
  <c r="F115" i="12"/>
  <c r="F111" i="12"/>
  <c r="F107" i="12"/>
  <c r="F103" i="12"/>
  <c r="F99" i="12"/>
  <c r="F95" i="12"/>
  <c r="F91" i="12"/>
  <c r="F87" i="12"/>
  <c r="F83" i="12"/>
  <c r="F79" i="12"/>
  <c r="F75" i="12"/>
  <c r="F71" i="12"/>
  <c r="F67" i="12"/>
  <c r="F63" i="12"/>
  <c r="F59" i="12"/>
  <c r="F55" i="12"/>
  <c r="F51" i="12"/>
  <c r="F47" i="12"/>
  <c r="F43" i="12"/>
  <c r="F39" i="12"/>
  <c r="F35" i="12"/>
  <c r="F31" i="12"/>
  <c r="F27" i="12"/>
  <c r="F23" i="12"/>
  <c r="F19" i="12"/>
  <c r="F15" i="12"/>
  <c r="F11" i="12"/>
  <c r="F7" i="12"/>
  <c r="F3" i="12"/>
  <c r="K3" i="12" s="1"/>
  <c r="G2195" i="12"/>
  <c r="F2184" i="12"/>
  <c r="G2174" i="12"/>
  <c r="G2163" i="12"/>
  <c r="F2152" i="12"/>
  <c r="G2142" i="12"/>
  <c r="G2131" i="12"/>
  <c r="F2120" i="12"/>
  <c r="G2110" i="12"/>
  <c r="G2099" i="12"/>
  <c r="F2088" i="12"/>
  <c r="G2078" i="12"/>
  <c r="G2067" i="12"/>
  <c r="F2056" i="12"/>
  <c r="G2046" i="12"/>
  <c r="G2035" i="12"/>
  <c r="F2024" i="12"/>
  <c r="G2014" i="12"/>
  <c r="G2003" i="12"/>
  <c r="F1992" i="12"/>
  <c r="G1982" i="12"/>
  <c r="G1971" i="12"/>
  <c r="F1960" i="12"/>
  <c r="G1950" i="12"/>
  <c r="G1939" i="12"/>
  <c r="F1928" i="12"/>
  <c r="G1918" i="12"/>
  <c r="G1907" i="12"/>
  <c r="H1907" i="12" s="1"/>
  <c r="F1896" i="12"/>
  <c r="G1886" i="12"/>
  <c r="G1875" i="12"/>
  <c r="F1864" i="12"/>
  <c r="G1854" i="12"/>
  <c r="G1843" i="12"/>
  <c r="F1832" i="12"/>
  <c r="G1822" i="12"/>
  <c r="G1811" i="12"/>
  <c r="F1800" i="12"/>
  <c r="G1790" i="12"/>
  <c r="G1779" i="12"/>
  <c r="F1768" i="12"/>
  <c r="G1758" i="12"/>
  <c r="G1747" i="12"/>
  <c r="F1736" i="12"/>
  <c r="G1726" i="12"/>
  <c r="G1715" i="12"/>
  <c r="F1704" i="12"/>
  <c r="G1694" i="12"/>
  <c r="G1683" i="12"/>
  <c r="F1672" i="12"/>
  <c r="G1662" i="12"/>
  <c r="G1651" i="12"/>
  <c r="F1640" i="12"/>
  <c r="G1630" i="12"/>
  <c r="G1619" i="12"/>
  <c r="F1608" i="12"/>
  <c r="G1598" i="12"/>
  <c r="G1587" i="12"/>
  <c r="F1576" i="12"/>
  <c r="G1566" i="12"/>
  <c r="G1555" i="12"/>
  <c r="F1544" i="12"/>
  <c r="G1534" i="12"/>
  <c r="G1523" i="12"/>
  <c r="F1512" i="12"/>
  <c r="G1502" i="12"/>
  <c r="G1491" i="12"/>
  <c r="F1480" i="12"/>
  <c r="G1470" i="12"/>
  <c r="G1459" i="12"/>
  <c r="F1448" i="12"/>
  <c r="G1438" i="12"/>
  <c r="G1427" i="12"/>
  <c r="F1416" i="12"/>
  <c r="F1408" i="12"/>
  <c r="F1400" i="12"/>
  <c r="F1392" i="12"/>
  <c r="F1384" i="12"/>
  <c r="F1376" i="12"/>
  <c r="F1368" i="12"/>
  <c r="G1361" i="12"/>
  <c r="G1354" i="12"/>
  <c r="F1348" i="12"/>
  <c r="F1342" i="12"/>
  <c r="G1335" i="12"/>
  <c r="G1329" i="12"/>
  <c r="G1322" i="12"/>
  <c r="F1316" i="12"/>
  <c r="F1310" i="12"/>
  <c r="G1303" i="12"/>
  <c r="G1297" i="12"/>
  <c r="G1290" i="12"/>
  <c r="F1284" i="12"/>
  <c r="F1278" i="12"/>
  <c r="G1271" i="12"/>
  <c r="G1265" i="12"/>
  <c r="G1258" i="12"/>
  <c r="F1252" i="12"/>
  <c r="F1246" i="12"/>
  <c r="G1239" i="12"/>
  <c r="G1234" i="12"/>
  <c r="G1230" i="12"/>
  <c r="G1226" i="12"/>
  <c r="G1222" i="12"/>
  <c r="G1218" i="12"/>
  <c r="G1214" i="12"/>
  <c r="G1210" i="12"/>
  <c r="G1206" i="12"/>
  <c r="G1202" i="12"/>
  <c r="G1198" i="12"/>
  <c r="G1194" i="12"/>
  <c r="G1190" i="12"/>
  <c r="G1186" i="12"/>
  <c r="G1182" i="12"/>
  <c r="G1178" i="12"/>
  <c r="G1174" i="12"/>
  <c r="G1170" i="12"/>
  <c r="G1166" i="12"/>
  <c r="G1162" i="12"/>
  <c r="G1158" i="12"/>
  <c r="G1154" i="12"/>
  <c r="G1150" i="12"/>
  <c r="G1146" i="12"/>
  <c r="G1142" i="12"/>
  <c r="G1138" i="12"/>
  <c r="G1134" i="12"/>
  <c r="G1130" i="12"/>
  <c r="G1126" i="12"/>
  <c r="G1122" i="12"/>
  <c r="G1118" i="12"/>
  <c r="G1114" i="12"/>
  <c r="G1110" i="12"/>
  <c r="G1106" i="12"/>
  <c r="G1102" i="12"/>
  <c r="G1098" i="12"/>
  <c r="G1094" i="12"/>
  <c r="G1090" i="12"/>
  <c r="G1086" i="12"/>
  <c r="G1082" i="12"/>
  <c r="G1078" i="12"/>
  <c r="G1074" i="12"/>
  <c r="G1070" i="12"/>
  <c r="G1066" i="12"/>
  <c r="G1062" i="12"/>
  <c r="G1058" i="12"/>
  <c r="G1054" i="12"/>
  <c r="G1050" i="12"/>
  <c r="G1046" i="12"/>
  <c r="G1042" i="12"/>
  <c r="G1038" i="12"/>
  <c r="G1034" i="12"/>
  <c r="G1030" i="12"/>
  <c r="G1026" i="12"/>
  <c r="G1022" i="12"/>
  <c r="G1018" i="12"/>
  <c r="G1014" i="12"/>
  <c r="G1010" i="12"/>
  <c r="G1006" i="12"/>
  <c r="G1002" i="12"/>
  <c r="G998" i="12"/>
  <c r="G994" i="12"/>
  <c r="G990" i="12"/>
  <c r="G986" i="12"/>
  <c r="G982" i="12"/>
  <c r="G978" i="12"/>
  <c r="G974" i="12"/>
  <c r="G970" i="12"/>
  <c r="G966" i="12"/>
  <c r="G962" i="12"/>
  <c r="G958" i="12"/>
  <c r="G954" i="12"/>
  <c r="G950" i="12"/>
  <c r="G946" i="12"/>
  <c r="G942" i="12"/>
  <c r="G938" i="12"/>
  <c r="G934" i="12"/>
  <c r="G930" i="12"/>
  <c r="G926" i="12"/>
  <c r="G922" i="12"/>
  <c r="G918" i="12"/>
  <c r="G914" i="12"/>
  <c r="G910" i="12"/>
  <c r="G906" i="12"/>
  <c r="G902" i="12"/>
  <c r="G898" i="12"/>
  <c r="G894" i="12"/>
  <c r="G890" i="12"/>
  <c r="G886" i="12"/>
  <c r="G882" i="12"/>
  <c r="G878" i="12"/>
  <c r="G874" i="12"/>
  <c r="G870" i="12"/>
  <c r="G866" i="12"/>
  <c r="G862" i="12"/>
  <c r="G858" i="12"/>
  <c r="G854" i="12"/>
  <c r="G850" i="12"/>
  <c r="G846" i="12"/>
  <c r="G842" i="12"/>
  <c r="G838" i="12"/>
  <c r="G834" i="12"/>
  <c r="G830" i="12"/>
  <c r="G826" i="12"/>
  <c r="G822" i="12"/>
  <c r="G818" i="12"/>
  <c r="G814" i="12"/>
  <c r="G810" i="12"/>
  <c r="G806" i="12"/>
  <c r="G802" i="12"/>
  <c r="G798" i="12"/>
  <c r="G794" i="12"/>
  <c r="G790" i="12"/>
  <c r="G786" i="12"/>
  <c r="G782" i="12"/>
  <c r="G778" i="12"/>
  <c r="G774" i="12"/>
  <c r="G770" i="12"/>
  <c r="G766" i="12"/>
  <c r="G762" i="12"/>
  <c r="G758" i="12"/>
  <c r="G754" i="12"/>
  <c r="G750" i="12"/>
  <c r="G746" i="12"/>
  <c r="G742" i="12"/>
  <c r="G738" i="12"/>
  <c r="G734" i="12"/>
  <c r="G730" i="12"/>
  <c r="G726" i="12"/>
  <c r="G722" i="12"/>
  <c r="G718" i="12"/>
  <c r="G714" i="12"/>
  <c r="G710" i="12"/>
  <c r="G706" i="12"/>
  <c r="G702" i="12"/>
  <c r="G698" i="12"/>
  <c r="G694" i="12"/>
  <c r="G690" i="12"/>
  <c r="G686" i="12"/>
  <c r="G682" i="12"/>
  <c r="G678" i="12"/>
  <c r="G674" i="12"/>
  <c r="G670" i="12"/>
  <c r="G666" i="12"/>
  <c r="G662" i="12"/>
  <c r="G658" i="12"/>
  <c r="G654" i="12"/>
  <c r="G650" i="12"/>
  <c r="G646" i="12"/>
  <c r="G642" i="12"/>
  <c r="G638" i="12"/>
  <c r="G634" i="12"/>
  <c r="G630" i="12"/>
  <c r="G626" i="12"/>
  <c r="G622" i="12"/>
  <c r="G618" i="12"/>
  <c r="G614" i="12"/>
  <c r="G610" i="12"/>
  <c r="G606" i="12"/>
  <c r="G602" i="12"/>
  <c r="G598" i="12"/>
  <c r="G594" i="12"/>
  <c r="G590" i="12"/>
  <c r="G586" i="12"/>
  <c r="G582" i="12"/>
  <c r="G578" i="12"/>
  <c r="G574" i="12"/>
  <c r="G570" i="12"/>
  <c r="G566" i="12"/>
  <c r="G562" i="12"/>
  <c r="G558" i="12"/>
  <c r="G554" i="12"/>
  <c r="G550" i="12"/>
  <c r="G546" i="12"/>
  <c r="G542" i="12"/>
  <c r="G538" i="12"/>
  <c r="G534" i="12"/>
  <c r="G530" i="12"/>
  <c r="G526" i="12"/>
  <c r="G522" i="12"/>
  <c r="G518" i="12"/>
  <c r="G514" i="12"/>
  <c r="G510" i="12"/>
  <c r="G506" i="12"/>
  <c r="G502" i="12"/>
  <c r="G498" i="12"/>
  <c r="G494" i="12"/>
  <c r="G490" i="12"/>
  <c r="G486" i="12"/>
  <c r="G482" i="12"/>
  <c r="G478" i="12"/>
  <c r="G474" i="12"/>
  <c r="G470" i="12"/>
  <c r="G466" i="12"/>
  <c r="G462" i="12"/>
  <c r="G458" i="12"/>
  <c r="G454" i="12"/>
  <c r="G450" i="12"/>
  <c r="G446" i="12"/>
  <c r="G442" i="12"/>
  <c r="G438" i="12"/>
  <c r="G434" i="12"/>
  <c r="G430" i="12"/>
  <c r="G426" i="12"/>
  <c r="G422" i="12"/>
  <c r="G418" i="12"/>
  <c r="G414" i="12"/>
  <c r="G410" i="12"/>
  <c r="G406" i="12"/>
  <c r="G402" i="12"/>
  <c r="G398" i="12"/>
  <c r="G394" i="12"/>
  <c r="G390" i="12"/>
  <c r="G386" i="12"/>
  <c r="G382" i="12"/>
  <c r="G378" i="12"/>
  <c r="G374" i="12"/>
  <c r="G370" i="12"/>
  <c r="G366" i="12"/>
  <c r="G362" i="12"/>
  <c r="G358" i="12"/>
  <c r="G354" i="12"/>
  <c r="G350" i="12"/>
  <c r="G346" i="12"/>
  <c r="G342" i="12"/>
  <c r="G338" i="12"/>
  <c r="G334" i="12"/>
  <c r="G330" i="12"/>
  <c r="G326" i="12"/>
  <c r="G322" i="12"/>
  <c r="G318" i="12"/>
  <c r="G314" i="12"/>
  <c r="G310" i="12"/>
  <c r="G306" i="12"/>
  <c r="G302" i="12"/>
  <c r="G298" i="12"/>
  <c r="G294" i="12"/>
  <c r="G290" i="12"/>
  <c r="G286" i="12"/>
  <c r="G282" i="12"/>
  <c r="G278" i="12"/>
  <c r="G274" i="12"/>
  <c r="G270" i="12"/>
  <c r="G266" i="12"/>
  <c r="G262" i="12"/>
  <c r="G258" i="12"/>
  <c r="G254" i="12"/>
  <c r="G250" i="12"/>
  <c r="G246" i="12"/>
  <c r="G242" i="12"/>
  <c r="G238" i="12"/>
  <c r="G234" i="12"/>
  <c r="G230" i="12"/>
  <c r="G226" i="12"/>
  <c r="G222" i="12"/>
  <c r="G218" i="12"/>
  <c r="G214" i="12"/>
  <c r="G210" i="12"/>
  <c r="G206" i="12"/>
  <c r="G202" i="12"/>
  <c r="G198" i="12"/>
  <c r="G194" i="12"/>
  <c r="G190" i="12"/>
  <c r="G186" i="12"/>
  <c r="G182" i="12"/>
  <c r="G178" i="12"/>
  <c r="G174" i="12"/>
  <c r="G170" i="12"/>
  <c r="G166" i="12"/>
  <c r="G162" i="12"/>
  <c r="G158" i="12"/>
  <c r="G154" i="12"/>
  <c r="G150" i="12"/>
  <c r="G146" i="12"/>
  <c r="G142" i="12"/>
  <c r="G138" i="12"/>
  <c r="G134" i="12"/>
  <c r="G130" i="12"/>
  <c r="G126" i="12"/>
  <c r="G122" i="12"/>
  <c r="G118" i="12"/>
  <c r="G114" i="12"/>
  <c r="G110" i="12"/>
  <c r="G106" i="12"/>
  <c r="G102" i="12"/>
  <c r="G98" i="12"/>
  <c r="G94" i="12"/>
  <c r="G90" i="12"/>
  <c r="G86" i="12"/>
  <c r="G82" i="12"/>
  <c r="G78" i="12"/>
  <c r="G74" i="12"/>
  <c r="G70" i="12"/>
  <c r="G66" i="12"/>
  <c r="G62" i="12"/>
  <c r="G58" i="12"/>
  <c r="G54" i="12"/>
  <c r="G50" i="12"/>
  <c r="G46" i="12"/>
  <c r="G42" i="12"/>
  <c r="G38" i="12"/>
  <c r="G34" i="12"/>
  <c r="G30" i="12"/>
  <c r="G26" i="12"/>
  <c r="G22" i="12"/>
  <c r="G18" i="12"/>
  <c r="G14" i="12"/>
  <c r="G10" i="12"/>
  <c r="G6" i="12"/>
  <c r="G2" i="12"/>
  <c r="H2" i="12" s="1"/>
  <c r="G2194" i="12"/>
  <c r="G2183" i="12"/>
  <c r="F2172" i="12"/>
  <c r="G2162" i="12"/>
  <c r="G2151" i="12"/>
  <c r="F2140" i="12"/>
  <c r="G2130" i="12"/>
  <c r="G2119" i="12"/>
  <c r="F2108" i="12"/>
  <c r="G2098" i="12"/>
  <c r="G2087" i="12"/>
  <c r="F2076" i="12"/>
  <c r="G2066" i="12"/>
  <c r="G2055" i="12"/>
  <c r="F2044" i="12"/>
  <c r="G2034" i="12"/>
  <c r="G2023" i="12"/>
  <c r="F2012" i="12"/>
  <c r="G2002" i="12"/>
  <c r="G1991" i="12"/>
  <c r="F1980" i="12"/>
  <c r="G1970" i="12"/>
  <c r="G1959" i="12"/>
  <c r="F1948" i="12"/>
  <c r="G1938" i="12"/>
  <c r="G1927" i="12"/>
  <c r="F1916" i="12"/>
  <c r="G1906" i="12"/>
  <c r="H1906" i="12" s="1"/>
  <c r="G1895" i="12"/>
  <c r="F1884" i="12"/>
  <c r="G1874" i="12"/>
  <c r="G1863" i="12"/>
  <c r="F1852" i="12"/>
  <c r="G1842" i="12"/>
  <c r="G1831" i="12"/>
  <c r="F1820" i="12"/>
  <c r="G1810" i="12"/>
  <c r="G1799" i="12"/>
  <c r="F1788" i="12"/>
  <c r="G1778" i="12"/>
  <c r="G1767" i="12"/>
  <c r="F1756" i="12"/>
  <c r="G1746" i="12"/>
  <c r="G1735" i="12"/>
  <c r="F1724" i="12"/>
  <c r="G1714" i="12"/>
  <c r="G1703" i="12"/>
  <c r="F1692" i="12"/>
  <c r="G1682" i="12"/>
  <c r="G1671" i="12"/>
  <c r="F1660" i="12"/>
  <c r="G1650" i="12"/>
  <c r="G1639" i="12"/>
  <c r="F1628" i="12"/>
  <c r="G1618" i="12"/>
  <c r="G1607" i="12"/>
  <c r="F1596" i="12"/>
  <c r="G1586" i="12"/>
  <c r="G1575" i="12"/>
  <c r="F1564" i="12"/>
  <c r="G1554" i="12"/>
  <c r="G1543" i="12"/>
  <c r="F1532" i="12"/>
  <c r="G1522" i="12"/>
  <c r="G1511" i="12"/>
  <c r="F1500" i="12"/>
  <c r="G1490" i="12"/>
  <c r="G1479" i="12"/>
  <c r="F1468" i="12"/>
  <c r="G1458" i="12"/>
  <c r="G1447" i="12"/>
  <c r="F1436" i="12"/>
  <c r="G1426" i="12"/>
  <c r="G1415" i="12"/>
  <c r="G1407" i="12"/>
  <c r="G1399" i="12"/>
  <c r="G1391" i="12"/>
  <c r="G1383" i="12"/>
  <c r="G1375" i="12"/>
  <c r="G1367" i="12"/>
  <c r="F1360" i="12"/>
  <c r="F1354" i="12"/>
  <c r="G1347" i="12"/>
  <c r="G1341" i="12"/>
  <c r="G1334" i="12"/>
  <c r="F1328" i="12"/>
  <c r="F1322" i="12"/>
  <c r="G1315" i="12"/>
  <c r="G1309" i="12"/>
  <c r="G1302" i="12"/>
  <c r="F1296" i="12"/>
  <c r="F1290" i="12"/>
  <c r="G1283" i="12"/>
  <c r="G1277" i="12"/>
  <c r="G1270" i="12"/>
  <c r="F1264" i="12"/>
  <c r="F1258" i="12"/>
  <c r="G1251" i="12"/>
  <c r="G1245" i="12"/>
  <c r="G1238" i="12"/>
  <c r="F1234" i="12"/>
  <c r="F1230" i="12"/>
  <c r="F1226" i="12"/>
  <c r="F1222" i="12"/>
  <c r="F1218" i="12"/>
  <c r="F1214" i="12"/>
  <c r="F1210" i="12"/>
  <c r="F1206" i="12"/>
  <c r="F1202" i="12"/>
  <c r="F1198" i="12"/>
  <c r="F1194" i="12"/>
  <c r="F1190" i="12"/>
  <c r="F1186" i="12"/>
  <c r="F1182" i="12"/>
  <c r="F1178" i="12"/>
  <c r="F1174" i="12"/>
  <c r="F1170" i="12"/>
  <c r="F1166" i="12"/>
  <c r="F1162" i="12"/>
  <c r="F1158" i="12"/>
  <c r="F1154" i="12"/>
  <c r="F1150" i="12"/>
  <c r="F1146" i="12"/>
  <c r="F1142" i="12"/>
  <c r="F1138" i="12"/>
  <c r="F1134" i="12"/>
  <c r="F1130" i="12"/>
  <c r="F1126" i="12"/>
  <c r="F1122" i="12"/>
  <c r="F1118" i="12"/>
  <c r="F1114" i="12"/>
  <c r="F1110" i="12"/>
  <c r="F1106" i="12"/>
  <c r="F1102" i="12"/>
  <c r="F1098" i="12"/>
  <c r="F1094" i="12"/>
  <c r="F1090" i="12"/>
  <c r="F1086" i="12"/>
  <c r="F1082" i="12"/>
  <c r="F1078" i="12"/>
  <c r="F1074" i="12"/>
  <c r="F1070" i="12"/>
  <c r="F1066" i="12"/>
  <c r="F1062" i="12"/>
  <c r="F1058" i="12"/>
  <c r="F1054" i="12"/>
  <c r="F1050" i="12"/>
  <c r="F1046" i="12"/>
  <c r="F1042" i="12"/>
  <c r="F1038" i="12"/>
  <c r="F1034" i="12"/>
  <c r="F1030" i="12"/>
  <c r="F1026" i="12"/>
  <c r="F1022" i="12"/>
  <c r="F1018" i="12"/>
  <c r="F1014" i="12"/>
  <c r="F1010" i="12"/>
  <c r="F1006" i="12"/>
  <c r="F1002" i="12"/>
  <c r="F998" i="12"/>
  <c r="F994" i="12"/>
  <c r="F990" i="12"/>
  <c r="F986" i="12"/>
  <c r="F982" i="12"/>
  <c r="F978" i="12"/>
  <c r="F974" i="12"/>
  <c r="F970" i="12"/>
  <c r="F966" i="12"/>
  <c r="F962" i="12"/>
  <c r="F958" i="12"/>
  <c r="F954" i="12"/>
  <c r="F950" i="12"/>
  <c r="F946" i="12"/>
  <c r="F942" i="12"/>
  <c r="F938" i="12"/>
  <c r="F934" i="12"/>
  <c r="F930" i="12"/>
  <c r="F926" i="12"/>
  <c r="F922" i="12"/>
  <c r="F918" i="12"/>
  <c r="F914" i="12"/>
  <c r="F910" i="12"/>
  <c r="F906" i="12"/>
  <c r="F902" i="12"/>
  <c r="F898" i="12"/>
  <c r="F894" i="12"/>
  <c r="F890" i="12"/>
  <c r="F886" i="12"/>
  <c r="F882" i="12"/>
  <c r="F878" i="12"/>
  <c r="F874" i="12"/>
  <c r="F870" i="12"/>
  <c r="F866" i="12"/>
  <c r="F862" i="12"/>
  <c r="F858" i="12"/>
  <c r="F854" i="12"/>
  <c r="F850" i="12"/>
  <c r="F846" i="12"/>
  <c r="F842" i="12"/>
  <c r="F838" i="12"/>
  <c r="F834" i="12"/>
  <c r="F830" i="12"/>
  <c r="F826" i="12"/>
  <c r="F822" i="12"/>
  <c r="F818" i="12"/>
  <c r="F814" i="12"/>
  <c r="F810" i="12"/>
  <c r="F806" i="12"/>
  <c r="F802" i="12"/>
  <c r="F798" i="12"/>
  <c r="F794" i="12"/>
  <c r="F790" i="12"/>
  <c r="F786" i="12"/>
  <c r="F782" i="12"/>
  <c r="F778" i="12"/>
  <c r="F774" i="12"/>
  <c r="F770" i="12"/>
  <c r="F766" i="12"/>
  <c r="F762" i="12"/>
  <c r="F758" i="12"/>
  <c r="F754" i="12"/>
  <c r="F750" i="12"/>
  <c r="F746" i="12"/>
  <c r="F742" i="12"/>
  <c r="F738" i="12"/>
  <c r="F734" i="12"/>
  <c r="F730" i="12"/>
  <c r="F726" i="12"/>
  <c r="F722" i="12"/>
  <c r="F718" i="12"/>
  <c r="F714" i="12"/>
  <c r="F710" i="12"/>
  <c r="F706" i="12"/>
  <c r="F702" i="12"/>
  <c r="F698" i="12"/>
  <c r="F694" i="12"/>
  <c r="F690" i="12"/>
  <c r="F686" i="12"/>
  <c r="F682" i="12"/>
  <c r="F678" i="12"/>
  <c r="F674" i="12"/>
  <c r="F670" i="12"/>
  <c r="F666" i="12"/>
  <c r="F662" i="12"/>
  <c r="F658" i="12"/>
  <c r="F654" i="12"/>
  <c r="F650" i="12"/>
  <c r="F646" i="12"/>
  <c r="F642" i="12"/>
  <c r="F638" i="12"/>
  <c r="F634" i="12"/>
  <c r="F630" i="12"/>
  <c r="F626" i="12"/>
  <c r="F622" i="12"/>
  <c r="F618" i="12"/>
  <c r="F614" i="12"/>
  <c r="F610" i="12"/>
  <c r="F606" i="12"/>
  <c r="F602" i="12"/>
  <c r="F598" i="12"/>
  <c r="F594" i="12"/>
  <c r="F590" i="12"/>
  <c r="F586" i="12"/>
  <c r="F582" i="12"/>
  <c r="F578" i="12"/>
  <c r="F574" i="12"/>
  <c r="F570" i="12"/>
  <c r="F566" i="12"/>
  <c r="F562" i="12"/>
  <c r="F558" i="12"/>
  <c r="F554" i="12"/>
  <c r="F550" i="12"/>
  <c r="F546" i="12"/>
  <c r="F542" i="12"/>
  <c r="F538" i="12"/>
  <c r="F534" i="12"/>
  <c r="F530" i="12"/>
  <c r="F526" i="12"/>
  <c r="F522" i="12"/>
  <c r="F518" i="12"/>
  <c r="F514" i="12"/>
  <c r="F510" i="12"/>
  <c r="F506" i="12"/>
  <c r="F502" i="12"/>
  <c r="F498" i="12"/>
  <c r="F494" i="12"/>
  <c r="F490" i="12"/>
  <c r="F486" i="12"/>
  <c r="F482" i="12"/>
  <c r="F478" i="12"/>
  <c r="F474" i="12"/>
  <c r="F470" i="12"/>
  <c r="F466" i="12"/>
  <c r="F462" i="12"/>
  <c r="F458" i="12"/>
  <c r="F454" i="12"/>
  <c r="F450" i="12"/>
  <c r="F446" i="12"/>
  <c r="F442" i="12"/>
  <c r="F438" i="12"/>
  <c r="F434" i="12"/>
  <c r="F430" i="12"/>
  <c r="F426" i="12"/>
  <c r="F422" i="12"/>
  <c r="F418" i="12"/>
  <c r="F414" i="12"/>
  <c r="F410" i="12"/>
  <c r="F406" i="12"/>
  <c r="F402" i="12"/>
  <c r="F398" i="12"/>
  <c r="F394" i="12"/>
  <c r="F390" i="12"/>
  <c r="F386" i="12"/>
  <c r="F382" i="12"/>
  <c r="F378" i="12"/>
  <c r="F374" i="12"/>
  <c r="F370" i="12"/>
  <c r="F366" i="12"/>
  <c r="F362" i="12"/>
  <c r="F358" i="12"/>
  <c r="F354" i="12"/>
  <c r="F350" i="12"/>
  <c r="F346" i="12"/>
  <c r="F342" i="12"/>
  <c r="F338" i="12"/>
  <c r="F334" i="12"/>
  <c r="F330" i="12"/>
  <c r="F326" i="12"/>
  <c r="F322" i="12"/>
  <c r="F318" i="12"/>
  <c r="F314" i="12"/>
  <c r="F310" i="12"/>
  <c r="F306" i="12"/>
  <c r="F302" i="12"/>
  <c r="F298" i="12"/>
  <c r="F294" i="12"/>
  <c r="F290" i="12"/>
  <c r="F286" i="12"/>
  <c r="F282" i="12"/>
  <c r="F278" i="12"/>
  <c r="F274" i="12"/>
  <c r="F270" i="12"/>
  <c r="F266" i="12"/>
  <c r="F262" i="12"/>
  <c r="F258" i="12"/>
  <c r="F254" i="12"/>
  <c r="F250" i="12"/>
  <c r="F246" i="12"/>
  <c r="F242" i="12"/>
  <c r="F238" i="12"/>
  <c r="F234" i="12"/>
  <c r="F230" i="12"/>
  <c r="F226" i="12"/>
  <c r="F222" i="12"/>
  <c r="F218" i="12"/>
  <c r="F214" i="12"/>
  <c r="F210" i="12"/>
  <c r="F206" i="12"/>
  <c r="F202" i="12"/>
  <c r="F198" i="12"/>
  <c r="F194" i="12"/>
  <c r="F190" i="12"/>
  <c r="F186" i="12"/>
  <c r="F182" i="12"/>
  <c r="F178" i="12"/>
  <c r="F174" i="12"/>
  <c r="F170" i="12"/>
  <c r="F166" i="12"/>
  <c r="F162" i="12"/>
  <c r="F158" i="12"/>
  <c r="F154" i="12"/>
  <c r="F150" i="12"/>
  <c r="F146" i="12"/>
  <c r="F142" i="12"/>
  <c r="F138" i="12"/>
  <c r="F134" i="12"/>
  <c r="F130" i="12"/>
  <c r="F126" i="12"/>
  <c r="F122" i="12"/>
  <c r="F118" i="12"/>
  <c r="F114" i="12"/>
  <c r="F110" i="12"/>
  <c r="F106" i="12"/>
  <c r="F102" i="12"/>
  <c r="F98" i="12"/>
  <c r="F94" i="12"/>
  <c r="F90" i="12"/>
  <c r="F86" i="12"/>
  <c r="F82" i="12"/>
  <c r="F78" i="12"/>
  <c r="F74" i="12"/>
  <c r="F70" i="12"/>
  <c r="F66" i="12"/>
  <c r="F62" i="12"/>
  <c r="F58" i="12"/>
  <c r="F54" i="12"/>
  <c r="F50" i="12"/>
  <c r="F46" i="12"/>
  <c r="F42" i="12"/>
  <c r="F38" i="12"/>
  <c r="F34" i="12"/>
  <c r="F30" i="12"/>
  <c r="F26" i="12"/>
  <c r="F22" i="12"/>
  <c r="F18" i="12"/>
  <c r="F14" i="12"/>
  <c r="F10" i="12"/>
  <c r="F6" i="12"/>
  <c r="G2171" i="12"/>
  <c r="F2128" i="12"/>
  <c r="G2086" i="12"/>
  <c r="G2043" i="12"/>
  <c r="F2000" i="12"/>
  <c r="G1958" i="12"/>
  <c r="G1915" i="12"/>
  <c r="F1872" i="12"/>
  <c r="G1830" i="12"/>
  <c r="G1787" i="12"/>
  <c r="F1744" i="12"/>
  <c r="G1702" i="12"/>
  <c r="G1659" i="12"/>
  <c r="F1616" i="12"/>
  <c r="G1574" i="12"/>
  <c r="G1531" i="12"/>
  <c r="F1488" i="12"/>
  <c r="G1446" i="12"/>
  <c r="G1406" i="12"/>
  <c r="G1374" i="12"/>
  <c r="G1346" i="12"/>
  <c r="G1321" i="12"/>
  <c r="G1295" i="12"/>
  <c r="F1270" i="12"/>
  <c r="F1244" i="12"/>
  <c r="G1225" i="12"/>
  <c r="G1209" i="12"/>
  <c r="G1193" i="12"/>
  <c r="G1177" i="12"/>
  <c r="G1161" i="12"/>
  <c r="G1145" i="12"/>
  <c r="G1129" i="12"/>
  <c r="G1113" i="12"/>
  <c r="G1097" i="12"/>
  <c r="G1081" i="12"/>
  <c r="G1065" i="12"/>
  <c r="G1049" i="12"/>
  <c r="G1033" i="12"/>
  <c r="G1017" i="12"/>
  <c r="G1001" i="12"/>
  <c r="G985" i="12"/>
  <c r="G969" i="12"/>
  <c r="G953" i="12"/>
  <c r="G937" i="12"/>
  <c r="G921" i="12"/>
  <c r="G905" i="12"/>
  <c r="G889" i="12"/>
  <c r="G873" i="12"/>
  <c r="G857" i="12"/>
  <c r="G841" i="12"/>
  <c r="G825" i="12"/>
  <c r="G809" i="12"/>
  <c r="G793" i="12"/>
  <c r="G777" i="12"/>
  <c r="G761" i="12"/>
  <c r="G745" i="12"/>
  <c r="G729" i="12"/>
  <c r="G713" i="12"/>
  <c r="G697" i="12"/>
  <c r="G681" i="12"/>
  <c r="G665" i="12"/>
  <c r="G649" i="12"/>
  <c r="G633" i="12"/>
  <c r="G617" i="12"/>
  <c r="G601" i="12"/>
  <c r="G585" i="12"/>
  <c r="G569" i="12"/>
  <c r="G553" i="12"/>
  <c r="G537" i="12"/>
  <c r="G521" i="12"/>
  <c r="G505" i="12"/>
  <c r="G489" i="12"/>
  <c r="G473" i="12"/>
  <c r="G457" i="12"/>
  <c r="G441" i="12"/>
  <c r="G425" i="12"/>
  <c r="G409" i="12"/>
  <c r="G393" i="12"/>
  <c r="G377" i="12"/>
  <c r="G361" i="12"/>
  <c r="G345" i="12"/>
  <c r="G329" i="12"/>
  <c r="G313" i="12"/>
  <c r="G297" i="12"/>
  <c r="G281" i="12"/>
  <c r="G265" i="12"/>
  <c r="G249" i="12"/>
  <c r="G233" i="12"/>
  <c r="G217" i="12"/>
  <c r="G201" i="12"/>
  <c r="G185" i="12"/>
  <c r="G169" i="12"/>
  <c r="G153" i="12"/>
  <c r="G137" i="12"/>
  <c r="G121" i="12"/>
  <c r="G105" i="12"/>
  <c r="G89" i="12"/>
  <c r="G73" i="12"/>
  <c r="G57" i="12"/>
  <c r="G41" i="12"/>
  <c r="G25" i="12"/>
  <c r="G9" i="12"/>
  <c r="G2170" i="12"/>
  <c r="G2127" i="12"/>
  <c r="F2084" i="12"/>
  <c r="G2042" i="12"/>
  <c r="G1999" i="12"/>
  <c r="F1956" i="12"/>
  <c r="G1914" i="12"/>
  <c r="G1871" i="12"/>
  <c r="F1828" i="12"/>
  <c r="G1786" i="12"/>
  <c r="G1743" i="12"/>
  <c r="F1700" i="12"/>
  <c r="K1700" i="12" s="1"/>
  <c r="G1658" i="12"/>
  <c r="G1615" i="12"/>
  <c r="F1572" i="12"/>
  <c r="G1530" i="12"/>
  <c r="G1487" i="12"/>
  <c r="F1444" i="12"/>
  <c r="G1405" i="12"/>
  <c r="G1373" i="12"/>
  <c r="F1346" i="12"/>
  <c r="F1320" i="12"/>
  <c r="G1294" i="12"/>
  <c r="G1269" i="12"/>
  <c r="G1243" i="12"/>
  <c r="F1225" i="12"/>
  <c r="F1209" i="12"/>
  <c r="F1193" i="12"/>
  <c r="F1177" i="12"/>
  <c r="F1161" i="12"/>
  <c r="F1145" i="12"/>
  <c r="F1129" i="12"/>
  <c r="F1113" i="12"/>
  <c r="F1097" i="12"/>
  <c r="F1081" i="12"/>
  <c r="F1065" i="12"/>
  <c r="F1049" i="12"/>
  <c r="F1033" i="12"/>
  <c r="F1017" i="12"/>
  <c r="F1001" i="12"/>
  <c r="F985" i="12"/>
  <c r="F969" i="12"/>
  <c r="F953" i="12"/>
  <c r="F937" i="12"/>
  <c r="F921" i="12"/>
  <c r="F905" i="12"/>
  <c r="F889" i="12"/>
  <c r="F873" i="12"/>
  <c r="F857" i="12"/>
  <c r="F841" i="12"/>
  <c r="F825" i="12"/>
  <c r="F809" i="12"/>
  <c r="F793" i="12"/>
  <c r="F777" i="12"/>
  <c r="F761" i="12"/>
  <c r="F745" i="12"/>
  <c r="F729" i="12"/>
  <c r="F713" i="12"/>
  <c r="F697" i="12"/>
  <c r="F681" i="12"/>
  <c r="F665" i="12"/>
  <c r="F649" i="12"/>
  <c r="F633" i="12"/>
  <c r="F617" i="12"/>
  <c r="F601" i="12"/>
  <c r="F585" i="12"/>
  <c r="F569" i="12"/>
  <c r="F553" i="12"/>
  <c r="F537" i="12"/>
  <c r="F521" i="12"/>
  <c r="F505" i="12"/>
  <c r="F489" i="12"/>
  <c r="F473" i="12"/>
  <c r="F457" i="12"/>
  <c r="F441" i="12"/>
  <c r="F425" i="12"/>
  <c r="F409" i="12"/>
  <c r="F393" i="12"/>
  <c r="F377" i="12"/>
  <c r="F361" i="12"/>
  <c r="F345" i="12"/>
  <c r="F329" i="12"/>
  <c r="F313" i="12"/>
  <c r="F297" i="12"/>
  <c r="F281" i="12"/>
  <c r="F265" i="12"/>
  <c r="F249" i="12"/>
  <c r="F233" i="12"/>
  <c r="F217" i="12"/>
  <c r="F201" i="12"/>
  <c r="F185" i="12"/>
  <c r="F169" i="12"/>
  <c r="F153" i="12"/>
  <c r="F137" i="12"/>
  <c r="F121" i="12"/>
  <c r="F105" i="12"/>
  <c r="F89" i="12"/>
  <c r="F73" i="12"/>
  <c r="F57" i="12"/>
  <c r="F41" i="12"/>
  <c r="F25" i="12"/>
  <c r="F9" i="12"/>
  <c r="F2160" i="12"/>
  <c r="G2118" i="12"/>
  <c r="G2075" i="12"/>
  <c r="F2032" i="12"/>
  <c r="G1990" i="12"/>
  <c r="G1947" i="12"/>
  <c r="F1904" i="12"/>
  <c r="G1862" i="12"/>
  <c r="G1819" i="12"/>
  <c r="F1776" i="12"/>
  <c r="G1734" i="12"/>
  <c r="G1691" i="12"/>
  <c r="F1648" i="12"/>
  <c r="G1606" i="12"/>
  <c r="G1563" i="12"/>
  <c r="F1520" i="12"/>
  <c r="G1478" i="12"/>
  <c r="G1435" i="12"/>
  <c r="G1398" i="12"/>
  <c r="G1366" i="12"/>
  <c r="F1340" i="12"/>
  <c r="G1314" i="12"/>
  <c r="G1289" i="12"/>
  <c r="G1263" i="12"/>
  <c r="F1238" i="12"/>
  <c r="G1221" i="12"/>
  <c r="G1205" i="12"/>
  <c r="G1189" i="12"/>
  <c r="G1173" i="12"/>
  <c r="G1157" i="12"/>
  <c r="G1141" i="12"/>
  <c r="G1125" i="12"/>
  <c r="G1109" i="12"/>
  <c r="G1093" i="12"/>
  <c r="G1077" i="12"/>
  <c r="G1061" i="12"/>
  <c r="G1045" i="12"/>
  <c r="G1029" i="12"/>
  <c r="G1013" i="12"/>
  <c r="G997" i="12"/>
  <c r="G981" i="12"/>
  <c r="G965" i="12"/>
  <c r="G949" i="12"/>
  <c r="G933" i="12"/>
  <c r="G917" i="12"/>
  <c r="G901" i="12"/>
  <c r="G885" i="12"/>
  <c r="G869" i="12"/>
  <c r="G853" i="12"/>
  <c r="G837" i="12"/>
  <c r="G821" i="12"/>
  <c r="G805" i="12"/>
  <c r="G789" i="12"/>
  <c r="G773" i="12"/>
  <c r="G757" i="12"/>
  <c r="G741" i="12"/>
  <c r="G725" i="12"/>
  <c r="G709" i="12"/>
  <c r="G693" i="12"/>
  <c r="G677" i="12"/>
  <c r="G661" i="12"/>
  <c r="G645" i="12"/>
  <c r="G629" i="12"/>
  <c r="G613" i="12"/>
  <c r="G597" i="12"/>
  <c r="G581" i="12"/>
  <c r="G565" i="12"/>
  <c r="G549" i="12"/>
  <c r="G533" i="12"/>
  <c r="G517" i="12"/>
  <c r="G501" i="12"/>
  <c r="G485" i="12"/>
  <c r="G469" i="12"/>
  <c r="G453" i="12"/>
  <c r="G437" i="12"/>
  <c r="G421" i="12"/>
  <c r="G405" i="12"/>
  <c r="G389" i="12"/>
  <c r="G373" i="12"/>
  <c r="G357" i="12"/>
  <c r="G341" i="12"/>
  <c r="G325" i="12"/>
  <c r="G309" i="12"/>
  <c r="G293" i="12"/>
  <c r="G277" i="12"/>
  <c r="G261" i="12"/>
  <c r="G245" i="12"/>
  <c r="G229" i="12"/>
  <c r="G213" i="12"/>
  <c r="G197" i="12"/>
  <c r="G181" i="12"/>
  <c r="G165" i="12"/>
  <c r="G149" i="12"/>
  <c r="G133" i="12"/>
  <c r="G117" i="12"/>
  <c r="G101" i="12"/>
  <c r="G85" i="12"/>
  <c r="G69" i="12"/>
  <c r="G53" i="12"/>
  <c r="G37" i="12"/>
  <c r="G21" i="12"/>
  <c r="G5" i="12"/>
  <c r="G2159" i="12"/>
  <c r="F2116" i="12"/>
  <c r="G2074" i="12"/>
  <c r="G2031" i="12"/>
  <c r="F1988" i="12"/>
  <c r="G1946" i="12"/>
  <c r="G1903" i="12"/>
  <c r="F1860" i="12"/>
  <c r="G1818" i="12"/>
  <c r="G1775" i="12"/>
  <c r="F1732" i="12"/>
  <c r="G1690" i="12"/>
  <c r="G1647" i="12"/>
  <c r="F1604" i="12"/>
  <c r="G1562" i="12"/>
  <c r="G1519" i="12"/>
  <c r="F1476" i="12"/>
  <c r="G1434" i="12"/>
  <c r="G1397" i="12"/>
  <c r="G1365" i="12"/>
  <c r="G1339" i="12"/>
  <c r="F1314" i="12"/>
  <c r="F1288" i="12"/>
  <c r="G1262" i="12"/>
  <c r="G1237" i="12"/>
  <c r="F1221" i="12"/>
  <c r="F1205" i="12"/>
  <c r="F1189" i="12"/>
  <c r="F1173" i="12"/>
  <c r="F1157" i="12"/>
  <c r="F1141" i="12"/>
  <c r="F1125" i="12"/>
  <c r="F1109" i="12"/>
  <c r="F1093" i="12"/>
  <c r="F1077" i="12"/>
  <c r="F1061" i="12"/>
  <c r="F1045" i="12"/>
  <c r="F1029" i="12"/>
  <c r="F1013" i="12"/>
  <c r="F997" i="12"/>
  <c r="F981" i="12"/>
  <c r="F965" i="12"/>
  <c r="F949" i="12"/>
  <c r="F933" i="12"/>
  <c r="F917" i="12"/>
  <c r="F901" i="12"/>
  <c r="F885" i="12"/>
  <c r="F869" i="12"/>
  <c r="F853" i="12"/>
  <c r="F837" i="12"/>
  <c r="F821" i="12"/>
  <c r="F805" i="12"/>
  <c r="F789" i="12"/>
  <c r="F773" i="12"/>
  <c r="F757" i="12"/>
  <c r="F741" i="12"/>
  <c r="F725" i="12"/>
  <c r="F709" i="12"/>
  <c r="F693" i="12"/>
  <c r="F677" i="12"/>
  <c r="F661" i="12"/>
  <c r="F645" i="12"/>
  <c r="F629" i="12"/>
  <c r="F613" i="12"/>
  <c r="F597" i="12"/>
  <c r="F581" i="12"/>
  <c r="F565" i="12"/>
  <c r="F549" i="12"/>
  <c r="F533" i="12"/>
  <c r="F517" i="12"/>
  <c r="F501" i="12"/>
  <c r="F485" i="12"/>
  <c r="F469" i="12"/>
  <c r="F453" i="12"/>
  <c r="F437" i="12"/>
  <c r="F421" i="12"/>
  <c r="F405" i="12"/>
  <c r="F389" i="12"/>
  <c r="F373" i="12"/>
  <c r="F357" i="12"/>
  <c r="F341" i="12"/>
  <c r="F325" i="12"/>
  <c r="F309" i="12"/>
  <c r="F293" i="12"/>
  <c r="F277" i="12"/>
  <c r="F261" i="12"/>
  <c r="F245" i="12"/>
  <c r="F229" i="12"/>
  <c r="F213" i="12"/>
  <c r="F197" i="12"/>
  <c r="F181" i="12"/>
  <c r="F165" i="12"/>
  <c r="F149" i="12"/>
  <c r="F133" i="12"/>
  <c r="F117" i="12"/>
  <c r="F101" i="12"/>
  <c r="F85" i="12"/>
  <c r="F69" i="12"/>
  <c r="F53" i="12"/>
  <c r="F37" i="12"/>
  <c r="F21" i="12"/>
  <c r="F5" i="12"/>
  <c r="F2192" i="12"/>
  <c r="G2150" i="12"/>
  <c r="G2107" i="12"/>
  <c r="F2064" i="12"/>
  <c r="G2022" i="12"/>
  <c r="G1979" i="12"/>
  <c r="F1936" i="12"/>
  <c r="G1894" i="12"/>
  <c r="G1851" i="12"/>
  <c r="F1808" i="12"/>
  <c r="G1766" i="12"/>
  <c r="G1723" i="12"/>
  <c r="F1680" i="12"/>
  <c r="G1638" i="12"/>
  <c r="G1595" i="12"/>
  <c r="F1552" i="12"/>
  <c r="G1510" i="12"/>
  <c r="G1467" i="12"/>
  <c r="F1424" i="12"/>
  <c r="G1390" i="12"/>
  <c r="G1359" i="12"/>
  <c r="F1334" i="12"/>
  <c r="F1308" i="12"/>
  <c r="G1282" i="12"/>
  <c r="G1257" i="12"/>
  <c r="G1233" i="12"/>
  <c r="G1217" i="12"/>
  <c r="G1201" i="12"/>
  <c r="G1185" i="12"/>
  <c r="G1169" i="12"/>
  <c r="G1153" i="12"/>
  <c r="G1137" i="12"/>
  <c r="G1121" i="12"/>
  <c r="G1105" i="12"/>
  <c r="G1089" i="12"/>
  <c r="G1073" i="12"/>
  <c r="G1057" i="12"/>
  <c r="G1041" i="12"/>
  <c r="G1025" i="12"/>
  <c r="G1009" i="12"/>
  <c r="G993" i="12"/>
  <c r="G977" i="12"/>
  <c r="G961" i="12"/>
  <c r="G945" i="12"/>
  <c r="G929" i="12"/>
  <c r="G913" i="12"/>
  <c r="G897" i="12"/>
  <c r="G881" i="12"/>
  <c r="G865" i="12"/>
  <c r="G849" i="12"/>
  <c r="G833" i="12"/>
  <c r="G817" i="12"/>
  <c r="G801" i="12"/>
  <c r="G785" i="12"/>
  <c r="G769" i="12"/>
  <c r="G753" i="12"/>
  <c r="G737" i="12"/>
  <c r="G721" i="12"/>
  <c r="G705" i="12"/>
  <c r="G689" i="12"/>
  <c r="G673" i="12"/>
  <c r="G657" i="12"/>
  <c r="G641" i="12"/>
  <c r="G625" i="12"/>
  <c r="G609" i="12"/>
  <c r="G593" i="12"/>
  <c r="G577" i="12"/>
  <c r="G561" i="12"/>
  <c r="G545" i="12"/>
  <c r="G529" i="12"/>
  <c r="G513" i="12"/>
  <c r="G497" i="12"/>
  <c r="G481" i="12"/>
  <c r="G465" i="12"/>
  <c r="G449" i="12"/>
  <c r="G433" i="12"/>
  <c r="G417" i="12"/>
  <c r="G401" i="12"/>
  <c r="G385" i="12"/>
  <c r="G369" i="12"/>
  <c r="G353" i="12"/>
  <c r="G337" i="12"/>
  <c r="G321" i="12"/>
  <c r="G305" i="12"/>
  <c r="G289" i="12"/>
  <c r="G273" i="12"/>
  <c r="G257" i="12"/>
  <c r="G241" i="12"/>
  <c r="G225" i="12"/>
  <c r="G209" i="12"/>
  <c r="G193" i="12"/>
  <c r="G177" i="12"/>
  <c r="G161" i="12"/>
  <c r="G145" i="12"/>
  <c r="G129" i="12"/>
  <c r="G113" i="12"/>
  <c r="G97" i="12"/>
  <c r="G81" i="12"/>
  <c r="G65" i="12"/>
  <c r="G49" i="12"/>
  <c r="G33" i="12"/>
  <c r="G17" i="12"/>
  <c r="F2" i="12"/>
  <c r="K2" i="12" s="1"/>
  <c r="G2191" i="12"/>
  <c r="F2148" i="12"/>
  <c r="G2106" i="12"/>
  <c r="G2063" i="12"/>
  <c r="F2020" i="12"/>
  <c r="G1978" i="12"/>
  <c r="G1935" i="12"/>
  <c r="H1935" i="12" s="1"/>
  <c r="F1892" i="12"/>
  <c r="K1892" i="12" s="1"/>
  <c r="G1850" i="12"/>
  <c r="G1807" i="12"/>
  <c r="H1807" i="12" s="1"/>
  <c r="F1764" i="12"/>
  <c r="G1722" i="12"/>
  <c r="G1679" i="12"/>
  <c r="F1636" i="12"/>
  <c r="G1594" i="12"/>
  <c r="G1551" i="12"/>
  <c r="F1508" i="12"/>
  <c r="G1466" i="12"/>
  <c r="G1423" i="12"/>
  <c r="G1389" i="12"/>
  <c r="G1358" i="12"/>
  <c r="G1333" i="12"/>
  <c r="G1307" i="12"/>
  <c r="F1282" i="12"/>
  <c r="F1256" i="12"/>
  <c r="F1233" i="12"/>
  <c r="F1217" i="12"/>
  <c r="F1201" i="12"/>
  <c r="F1185" i="12"/>
  <c r="F1169" i="12"/>
  <c r="F1153" i="12"/>
  <c r="F1137" i="12"/>
  <c r="F1121" i="12"/>
  <c r="F1105" i="12"/>
  <c r="F1089" i="12"/>
  <c r="F1073" i="12"/>
  <c r="F1057" i="12"/>
  <c r="F1041" i="12"/>
  <c r="F1025" i="12"/>
  <c r="F1009" i="12"/>
  <c r="F993" i="12"/>
  <c r="F977" i="12"/>
  <c r="F961" i="12"/>
  <c r="F945" i="12"/>
  <c r="F929" i="12"/>
  <c r="F913" i="12"/>
  <c r="F897" i="12"/>
  <c r="F881" i="12"/>
  <c r="F865" i="12"/>
  <c r="F849" i="12"/>
  <c r="F833" i="12"/>
  <c r="F817" i="12"/>
  <c r="F801" i="12"/>
  <c r="F785" i="12"/>
  <c r="F769" i="12"/>
  <c r="F753" i="12"/>
  <c r="F737" i="12"/>
  <c r="F721" i="12"/>
  <c r="F705" i="12"/>
  <c r="F689" i="12"/>
  <c r="F673" i="12"/>
  <c r="F657" i="12"/>
  <c r="F641" i="12"/>
  <c r="F625" i="12"/>
  <c r="F609" i="12"/>
  <c r="F593" i="12"/>
  <c r="F577" i="12"/>
  <c r="F561" i="12"/>
  <c r="F545" i="12"/>
  <c r="F529" i="12"/>
  <c r="F513" i="12"/>
  <c r="F497" i="12"/>
  <c r="F481" i="12"/>
  <c r="F465" i="12"/>
  <c r="F449" i="12"/>
  <c r="F433" i="12"/>
  <c r="F417" i="12"/>
  <c r="F401" i="12"/>
  <c r="F385" i="12"/>
  <c r="F369" i="12"/>
  <c r="F353" i="12"/>
  <c r="F337" i="12"/>
  <c r="F321" i="12"/>
  <c r="F305" i="12"/>
  <c r="F289" i="12"/>
  <c r="F273" i="12"/>
  <c r="F257" i="12"/>
  <c r="F241" i="12"/>
  <c r="F225" i="12"/>
  <c r="F209" i="12"/>
  <c r="F193" i="12"/>
  <c r="F177" i="12"/>
  <c r="F161" i="12"/>
  <c r="F145" i="12"/>
  <c r="F129" i="12"/>
  <c r="F113" i="12"/>
  <c r="F97" i="12"/>
  <c r="F81" i="12"/>
  <c r="F65" i="12"/>
  <c r="F49" i="12"/>
  <c r="F33" i="12"/>
  <c r="F17" i="12"/>
  <c r="G2182" i="12"/>
  <c r="G2139" i="12"/>
  <c r="F2096" i="12"/>
  <c r="G2054" i="12"/>
  <c r="G2011" i="12"/>
  <c r="F1968" i="12"/>
  <c r="G1926" i="12"/>
  <c r="G1883" i="12"/>
  <c r="F1840" i="12"/>
  <c r="G1798" i="12"/>
  <c r="G1755" i="12"/>
  <c r="F1712" i="12"/>
  <c r="G1670" i="12"/>
  <c r="G1627" i="12"/>
  <c r="F1584" i="12"/>
  <c r="G1542" i="12"/>
  <c r="G1499" i="12"/>
  <c r="F1456" i="12"/>
  <c r="G1414" i="12"/>
  <c r="G1382" i="12"/>
  <c r="G1353" i="12"/>
  <c r="G1327" i="12"/>
  <c r="F1302" i="12"/>
  <c r="F1276" i="12"/>
  <c r="G1250" i="12"/>
  <c r="G1229" i="12"/>
  <c r="G1213" i="12"/>
  <c r="G1197" i="12"/>
  <c r="G1181" i="12"/>
  <c r="G1165" i="12"/>
  <c r="G1149" i="12"/>
  <c r="G1133" i="12"/>
  <c r="G1117" i="12"/>
  <c r="G1101" i="12"/>
  <c r="G1085" i="12"/>
  <c r="G1069" i="12"/>
  <c r="G1053" i="12"/>
  <c r="G1037" i="12"/>
  <c r="G1021" i="12"/>
  <c r="G1005" i="12"/>
  <c r="G989" i="12"/>
  <c r="G973" i="12"/>
  <c r="G957" i="12"/>
  <c r="G941" i="12"/>
  <c r="G925" i="12"/>
  <c r="G909" i="12"/>
  <c r="G893" i="12"/>
  <c r="G877" i="12"/>
  <c r="G861" i="12"/>
  <c r="G845" i="12"/>
  <c r="G829" i="12"/>
  <c r="G813" i="12"/>
  <c r="G797" i="12"/>
  <c r="G781" i="12"/>
  <c r="G765" i="12"/>
  <c r="G749" i="12"/>
  <c r="G733" i="12"/>
  <c r="G717" i="12"/>
  <c r="G701" i="12"/>
  <c r="G685" i="12"/>
  <c r="G669" i="12"/>
  <c r="G653" i="12"/>
  <c r="G637" i="12"/>
  <c r="G621" i="12"/>
  <c r="G605" i="12"/>
  <c r="G589" i="12"/>
  <c r="G573" i="12"/>
  <c r="G557" i="12"/>
  <c r="G541" i="12"/>
  <c r="G525" i="12"/>
  <c r="G509" i="12"/>
  <c r="G493" i="12"/>
  <c r="G477" i="12"/>
  <c r="G461" i="12"/>
  <c r="G445" i="12"/>
  <c r="G429" i="12"/>
  <c r="G413" i="12"/>
  <c r="G397" i="12"/>
  <c r="G381" i="12"/>
  <c r="G365" i="12"/>
  <c r="G349" i="12"/>
  <c r="G333" i="12"/>
  <c r="G317" i="12"/>
  <c r="G301" i="12"/>
  <c r="G285" i="12"/>
  <c r="G269" i="12"/>
  <c r="G253" i="12"/>
  <c r="G237" i="12"/>
  <c r="G221" i="12"/>
  <c r="G205" i="12"/>
  <c r="G189" i="12"/>
  <c r="G173" i="12"/>
  <c r="G157" i="12"/>
  <c r="G141" i="12"/>
  <c r="G125" i="12"/>
  <c r="G109" i="12"/>
  <c r="G93" i="12"/>
  <c r="G77" i="12"/>
  <c r="G61" i="12"/>
  <c r="G45" i="12"/>
  <c r="G29" i="12"/>
  <c r="G13" i="12"/>
  <c r="G2010" i="12"/>
  <c r="F1668" i="12"/>
  <c r="F1352" i="12"/>
  <c r="F1181" i="12"/>
  <c r="F1053" i="12"/>
  <c r="F925" i="12"/>
  <c r="F797" i="12"/>
  <c r="F669" i="12"/>
  <c r="F541" i="12"/>
  <c r="F413" i="12"/>
  <c r="F285" i="12"/>
  <c r="F157" i="12"/>
  <c r="F29" i="12"/>
  <c r="G1967" i="12"/>
  <c r="G1626" i="12"/>
  <c r="G1326" i="12"/>
  <c r="F1165" i="12"/>
  <c r="F1037" i="12"/>
  <c r="F909" i="12"/>
  <c r="F781" i="12"/>
  <c r="F653" i="12"/>
  <c r="F525" i="12"/>
  <c r="F397" i="12"/>
  <c r="F269" i="12"/>
  <c r="F141" i="12"/>
  <c r="F13" i="12"/>
  <c r="F1924" i="12"/>
  <c r="G1583" i="12"/>
  <c r="G1301" i="12"/>
  <c r="F1149" i="12"/>
  <c r="F1021" i="12"/>
  <c r="F893" i="12"/>
  <c r="F765" i="12"/>
  <c r="F637" i="12"/>
  <c r="F509" i="12"/>
  <c r="F381" i="12"/>
  <c r="F253" i="12"/>
  <c r="F125" i="12"/>
  <c r="G1882" i="12"/>
  <c r="F1540" i="12"/>
  <c r="G1275" i="12"/>
  <c r="F1133" i="12"/>
  <c r="F1005" i="12"/>
  <c r="F877" i="12"/>
  <c r="F749" i="12"/>
  <c r="F621" i="12"/>
  <c r="F493" i="12"/>
  <c r="F365" i="12"/>
  <c r="F237" i="12"/>
  <c r="F109" i="12"/>
  <c r="F2180" i="12"/>
  <c r="G1839" i="12"/>
  <c r="G1498" i="12"/>
  <c r="F1250" i="12"/>
  <c r="F1117" i="12"/>
  <c r="F989" i="12"/>
  <c r="F861" i="12"/>
  <c r="F733" i="12"/>
  <c r="F605" i="12"/>
  <c r="F477" i="12"/>
  <c r="F349" i="12"/>
  <c r="F221" i="12"/>
  <c r="F93" i="12"/>
  <c r="G2138" i="12"/>
  <c r="F1796" i="12"/>
  <c r="G1455" i="12"/>
  <c r="F1229" i="12"/>
  <c r="F1101" i="12"/>
  <c r="F973" i="12"/>
  <c r="F845" i="12"/>
  <c r="F717" i="12"/>
  <c r="F589" i="12"/>
  <c r="F461" i="12"/>
  <c r="F333" i="12"/>
  <c r="F205" i="12"/>
  <c r="F77" i="12"/>
  <c r="G2095" i="12"/>
  <c r="G1754" i="12"/>
  <c r="G1413" i="12"/>
  <c r="F1213" i="12"/>
  <c r="F1085" i="12"/>
  <c r="F957" i="12"/>
  <c r="F829" i="12"/>
  <c r="F701" i="12"/>
  <c r="F573" i="12"/>
  <c r="F445" i="12"/>
  <c r="F317" i="12"/>
  <c r="F189" i="12"/>
  <c r="F61" i="12"/>
  <c r="F2052" i="12"/>
  <c r="G1711" i="12"/>
  <c r="G1381" i="12"/>
  <c r="F1197" i="12"/>
  <c r="F1069" i="12"/>
  <c r="F941" i="12"/>
  <c r="F813" i="12"/>
  <c r="F685" i="12"/>
  <c r="F557" i="12"/>
  <c r="F429" i="12"/>
  <c r="F301" i="12"/>
  <c r="F173" i="12"/>
  <c r="F45" i="12"/>
  <c r="D2200" i="12"/>
  <c r="D2192" i="12"/>
  <c r="D2184" i="12"/>
  <c r="D2176" i="12"/>
  <c r="D2168" i="12"/>
  <c r="D2160" i="12"/>
  <c r="D2152" i="12"/>
  <c r="D2144" i="12"/>
  <c r="D2136" i="12"/>
  <c r="D2128" i="12"/>
  <c r="D2120" i="12"/>
  <c r="D2112" i="12"/>
  <c r="D2104" i="12"/>
  <c r="D2096" i="12"/>
  <c r="D2088" i="12"/>
  <c r="D2080" i="12"/>
  <c r="D2072" i="12"/>
  <c r="D2064" i="12"/>
  <c r="D2056" i="12"/>
  <c r="D2048" i="12"/>
  <c r="D2040" i="12"/>
  <c r="D2032" i="12"/>
  <c r="E2032" i="12" s="1"/>
  <c r="D2024" i="12"/>
  <c r="E2024" i="12" s="1"/>
  <c r="D2016" i="12"/>
  <c r="E2016" i="12" s="1"/>
  <c r="D2008" i="12"/>
  <c r="E2008" i="12" s="1"/>
  <c r="D2000" i="12"/>
  <c r="E2000" i="12" s="1"/>
  <c r="D1992" i="12"/>
  <c r="E1992" i="12" s="1"/>
  <c r="D1984" i="12"/>
  <c r="E1984" i="12" s="1"/>
  <c r="D1976" i="12"/>
  <c r="E1976" i="12" s="1"/>
  <c r="D1968" i="12"/>
  <c r="E1968" i="12" s="1"/>
  <c r="D1960" i="12"/>
  <c r="E1960" i="12" s="1"/>
  <c r="D1952" i="12"/>
  <c r="E1952" i="12" s="1"/>
  <c r="D1944" i="12"/>
  <c r="E1944" i="12" s="1"/>
  <c r="D1936" i="12"/>
  <c r="E1936" i="12" s="1"/>
  <c r="D1928" i="12"/>
  <c r="E1928" i="12" s="1"/>
  <c r="D1920" i="12"/>
  <c r="E1920" i="12" s="1"/>
  <c r="D1912" i="12"/>
  <c r="E1912" i="12" s="1"/>
  <c r="D1904" i="12"/>
  <c r="E1904" i="12" s="1"/>
  <c r="D1896" i="12"/>
  <c r="E1896" i="12" s="1"/>
  <c r="D1888" i="12"/>
  <c r="E1888" i="12" s="1"/>
  <c r="D1880" i="12"/>
  <c r="E1880" i="12" s="1"/>
  <c r="D1872" i="12"/>
  <c r="E1872" i="12" s="1"/>
  <c r="D1864" i="12"/>
  <c r="E1864" i="12" s="1"/>
  <c r="D1856" i="12"/>
  <c r="E1856" i="12" s="1"/>
  <c r="D1848" i="12"/>
  <c r="E1848" i="12" s="1"/>
  <c r="D1840" i="12"/>
  <c r="E1840" i="12" s="1"/>
  <c r="D1832" i="12"/>
  <c r="E1832" i="12" s="1"/>
  <c r="D1824" i="12"/>
  <c r="E1824" i="12" s="1"/>
  <c r="D1816" i="12"/>
  <c r="E1816" i="12" s="1"/>
  <c r="D1808" i="12"/>
  <c r="E1808" i="12" s="1"/>
  <c r="D1800" i="12"/>
  <c r="E1800" i="12" s="1"/>
  <c r="D1792" i="12"/>
  <c r="E1792" i="12" s="1"/>
  <c r="D1784" i="12"/>
  <c r="E1784" i="12" s="1"/>
  <c r="D1776" i="12"/>
  <c r="E1776" i="12" s="1"/>
  <c r="D1768" i="12"/>
  <c r="E1768" i="12" s="1"/>
  <c r="D1760" i="12"/>
  <c r="E1760" i="12" s="1"/>
  <c r="D1752" i="12"/>
  <c r="E1752" i="12" s="1"/>
  <c r="D1744" i="12"/>
  <c r="E1744" i="12" s="1"/>
  <c r="D1736" i="12"/>
  <c r="E1736" i="12" s="1"/>
  <c r="D1728" i="12"/>
  <c r="E1728" i="12" s="1"/>
  <c r="D1720" i="12"/>
  <c r="E1720" i="12" s="1"/>
  <c r="D1712" i="12"/>
  <c r="E1712" i="12" s="1"/>
  <c r="D1704" i="12"/>
  <c r="E1704" i="12" s="1"/>
  <c r="D1696" i="12"/>
  <c r="E1696" i="12" s="1"/>
  <c r="D1688" i="12"/>
  <c r="E1688" i="12" s="1"/>
  <c r="D1680" i="12"/>
  <c r="E1680" i="12" s="1"/>
  <c r="D1672" i="12"/>
  <c r="E1672" i="12" s="1"/>
  <c r="D1664" i="12"/>
  <c r="E1664" i="12" s="1"/>
  <c r="D1656" i="12"/>
  <c r="E1656" i="12" s="1"/>
  <c r="D1648" i="12"/>
  <c r="E1648" i="12" s="1"/>
  <c r="D1640" i="12"/>
  <c r="E1640" i="12" s="1"/>
  <c r="D1632" i="12"/>
  <c r="E1632" i="12" s="1"/>
  <c r="D1624" i="12"/>
  <c r="E1624" i="12" s="1"/>
  <c r="D1616" i="12"/>
  <c r="E1616" i="12" s="1"/>
  <c r="D1608" i="12"/>
  <c r="E1608" i="12" s="1"/>
  <c r="D1600" i="12"/>
  <c r="E1600" i="12" s="1"/>
  <c r="D1592" i="12"/>
  <c r="E1592" i="12" s="1"/>
  <c r="D1584" i="12"/>
  <c r="E1584" i="12" s="1"/>
  <c r="D1576" i="12"/>
  <c r="E1576" i="12" s="1"/>
  <c r="D1568" i="12"/>
  <c r="E1568" i="12" s="1"/>
  <c r="D1560" i="12"/>
  <c r="E1560" i="12" s="1"/>
  <c r="D1552" i="12"/>
  <c r="E1552" i="12" s="1"/>
  <c r="D1544" i="12"/>
  <c r="E1544" i="12" s="1"/>
  <c r="D1536" i="12"/>
  <c r="E1536" i="12" s="1"/>
  <c r="D1528" i="12"/>
  <c r="E1528" i="12" s="1"/>
  <c r="D1520" i="12"/>
  <c r="E1520" i="12" s="1"/>
  <c r="D2199" i="12"/>
  <c r="D2191" i="12"/>
  <c r="D2183" i="12"/>
  <c r="D2175" i="12"/>
  <c r="D2167" i="12"/>
  <c r="D2159" i="12"/>
  <c r="D2151" i="12"/>
  <c r="D2143" i="12"/>
  <c r="D2135" i="12"/>
  <c r="D2127" i="12"/>
  <c r="D2119" i="12"/>
  <c r="D2111" i="12"/>
  <c r="D2103" i="12"/>
  <c r="D2095" i="12"/>
  <c r="D2087" i="12"/>
  <c r="D2079" i="12"/>
  <c r="D2071" i="12"/>
  <c r="D2063" i="12"/>
  <c r="D2055" i="12"/>
  <c r="D2047" i="12"/>
  <c r="D2039" i="12"/>
  <c r="D2031" i="12"/>
  <c r="E2031" i="12" s="1"/>
  <c r="D2023" i="12"/>
  <c r="E2023" i="12" s="1"/>
  <c r="D2015" i="12"/>
  <c r="E2015" i="12" s="1"/>
  <c r="D2007" i="12"/>
  <c r="E2007" i="12" s="1"/>
  <c r="D1999" i="12"/>
  <c r="E1999" i="12" s="1"/>
  <c r="D1991" i="12"/>
  <c r="E1991" i="12" s="1"/>
  <c r="D1983" i="12"/>
  <c r="E1983" i="12" s="1"/>
  <c r="D1975" i="12"/>
  <c r="E1975" i="12" s="1"/>
  <c r="D1967" i="12"/>
  <c r="E1967" i="12" s="1"/>
  <c r="D1959" i="12"/>
  <c r="E1959" i="12" s="1"/>
  <c r="D1951" i="12"/>
  <c r="E1951" i="12" s="1"/>
  <c r="D1943" i="12"/>
  <c r="E1943" i="12" s="1"/>
  <c r="D1935" i="12"/>
  <c r="E1935" i="12" s="1"/>
  <c r="D1927" i="12"/>
  <c r="E1927" i="12" s="1"/>
  <c r="D1919" i="12"/>
  <c r="E1919" i="12" s="1"/>
  <c r="D1911" i="12"/>
  <c r="E1911" i="12" s="1"/>
  <c r="D1903" i="12"/>
  <c r="E1903" i="12" s="1"/>
  <c r="D1895" i="12"/>
  <c r="E1895" i="12" s="1"/>
  <c r="D1887" i="12"/>
  <c r="E1887" i="12" s="1"/>
  <c r="D1879" i="12"/>
  <c r="E1879" i="12" s="1"/>
  <c r="D1871" i="12"/>
  <c r="E1871" i="12" s="1"/>
  <c r="D1863" i="12"/>
  <c r="E1863" i="12" s="1"/>
  <c r="D1855" i="12"/>
  <c r="E1855" i="12" s="1"/>
  <c r="D1847" i="12"/>
  <c r="E1847" i="12" s="1"/>
  <c r="D1839" i="12"/>
  <c r="E1839" i="12" s="1"/>
  <c r="D1831" i="12"/>
  <c r="E1831" i="12" s="1"/>
  <c r="D1823" i="12"/>
  <c r="E1823" i="12" s="1"/>
  <c r="D1815" i="12"/>
  <c r="E1815" i="12" s="1"/>
  <c r="D1807" i="12"/>
  <c r="E1807" i="12" s="1"/>
  <c r="D1799" i="12"/>
  <c r="E1799" i="12" s="1"/>
  <c r="D1791" i="12"/>
  <c r="E1791" i="12" s="1"/>
  <c r="D1783" i="12"/>
  <c r="E1783" i="12" s="1"/>
  <c r="D1775" i="12"/>
  <c r="E1775" i="12" s="1"/>
  <c r="D1767" i="12"/>
  <c r="E1767" i="12" s="1"/>
  <c r="D1759" i="12"/>
  <c r="E1759" i="12" s="1"/>
  <c r="D1751" i="12"/>
  <c r="E1751" i="12" s="1"/>
  <c r="D1743" i="12"/>
  <c r="E1743" i="12" s="1"/>
  <c r="D1735" i="12"/>
  <c r="E1735" i="12" s="1"/>
  <c r="D1727" i="12"/>
  <c r="E1727" i="12" s="1"/>
  <c r="D1719" i="12"/>
  <c r="E1719" i="12" s="1"/>
  <c r="D1711" i="12"/>
  <c r="E1711" i="12" s="1"/>
  <c r="D1703" i="12"/>
  <c r="E1703" i="12" s="1"/>
  <c r="D1695" i="12"/>
  <c r="E1695" i="12" s="1"/>
  <c r="D1687" i="12"/>
  <c r="E1687" i="12" s="1"/>
  <c r="D1679" i="12"/>
  <c r="E1679" i="12" s="1"/>
  <c r="D1671" i="12"/>
  <c r="E1671" i="12" s="1"/>
  <c r="D1663" i="12"/>
  <c r="E1663" i="12" s="1"/>
  <c r="D1655" i="12"/>
  <c r="E1655" i="12" s="1"/>
  <c r="D1647" i="12"/>
  <c r="E1647" i="12" s="1"/>
  <c r="D1639" i="12"/>
  <c r="E1639" i="12" s="1"/>
  <c r="D1631" i="12"/>
  <c r="E1631" i="12" s="1"/>
  <c r="D1623" i="12"/>
  <c r="E1623" i="12" s="1"/>
  <c r="D1615" i="12"/>
  <c r="E1615" i="12" s="1"/>
  <c r="D1607" i="12"/>
  <c r="E1607" i="12" s="1"/>
  <c r="D1599" i="12"/>
  <c r="E1599" i="12" s="1"/>
  <c r="D1591" i="12"/>
  <c r="E1591" i="12" s="1"/>
  <c r="D1583" i="12"/>
  <c r="E1583" i="12" s="1"/>
  <c r="D1575" i="12"/>
  <c r="E1575" i="12" s="1"/>
  <c r="D1567" i="12"/>
  <c r="E1567" i="12" s="1"/>
  <c r="D1559" i="12"/>
  <c r="E1559" i="12" s="1"/>
  <c r="D1551" i="12"/>
  <c r="E1551" i="12" s="1"/>
  <c r="D1543" i="12"/>
  <c r="E1543" i="12" s="1"/>
  <c r="D1535" i="12"/>
  <c r="E1535" i="12" s="1"/>
  <c r="D1527" i="12"/>
  <c r="E1527" i="12" s="1"/>
  <c r="D1519" i="12"/>
  <c r="E1519" i="12" s="1"/>
  <c r="D1511" i="12"/>
  <c r="E1511" i="12" s="1"/>
  <c r="D1503" i="12"/>
  <c r="E1503" i="12" s="1"/>
  <c r="D1495" i="12"/>
  <c r="E1495" i="12" s="1"/>
  <c r="D1487" i="12"/>
  <c r="E1487" i="12" s="1"/>
  <c r="D1479" i="12"/>
  <c r="E1479" i="12" s="1"/>
  <c r="D1471" i="12"/>
  <c r="E1471" i="12" s="1"/>
  <c r="D1463" i="12"/>
  <c r="E1463" i="12" s="1"/>
  <c r="D1455" i="12"/>
  <c r="E1455" i="12" s="1"/>
  <c r="D1447" i="12"/>
  <c r="E1447" i="12" s="1"/>
  <c r="D1439" i="12"/>
  <c r="E1439" i="12" s="1"/>
  <c r="D1431" i="12"/>
  <c r="E1431" i="12" s="1"/>
  <c r="D1423" i="12"/>
  <c r="E1423" i="12" s="1"/>
  <c r="D1415" i="12"/>
  <c r="E1415" i="12" s="1"/>
  <c r="D1407" i="12"/>
  <c r="E1407" i="12" s="1"/>
  <c r="D1399" i="12"/>
  <c r="E1399" i="12" s="1"/>
  <c r="D1391" i="12"/>
  <c r="E1391" i="12" s="1"/>
  <c r="D1383" i="12"/>
  <c r="E1383" i="12" s="1"/>
  <c r="D1375" i="12"/>
  <c r="E1375" i="12" s="1"/>
  <c r="D1367" i="12"/>
  <c r="E1367" i="12" s="1"/>
  <c r="D1359" i="12"/>
  <c r="E1359" i="12" s="1"/>
  <c r="D1351" i="12"/>
  <c r="E1351" i="12" s="1"/>
  <c r="D1343" i="12"/>
  <c r="E1343" i="12" s="1"/>
  <c r="D1335" i="12"/>
  <c r="E1335" i="12" s="1"/>
  <c r="D1327" i="12"/>
  <c r="E1327" i="12" s="1"/>
  <c r="D1319" i="12"/>
  <c r="E1319" i="12" s="1"/>
  <c r="D1311" i="12"/>
  <c r="E1311" i="12" s="1"/>
  <c r="D1303" i="12"/>
  <c r="E1303" i="12" s="1"/>
  <c r="D1295" i="12"/>
  <c r="E1295" i="12" s="1"/>
  <c r="D1287" i="12"/>
  <c r="E1287" i="12" s="1"/>
  <c r="D1279" i="12"/>
  <c r="E1279" i="12" s="1"/>
  <c r="D1271" i="12"/>
  <c r="E1271" i="12" s="1"/>
  <c r="D1263" i="12"/>
  <c r="E1263" i="12" s="1"/>
  <c r="D1255" i="12"/>
  <c r="E1255" i="12" s="1"/>
  <c r="D1247" i="12"/>
  <c r="E1247" i="12" s="1"/>
  <c r="D1239" i="12"/>
  <c r="E1239" i="12" s="1"/>
  <c r="D1231" i="12"/>
  <c r="E1231" i="12" s="1"/>
  <c r="D1223" i="12"/>
  <c r="E1223" i="12" s="1"/>
  <c r="D1215" i="12"/>
  <c r="E1215" i="12" s="1"/>
  <c r="D1207" i="12"/>
  <c r="E1207" i="12" s="1"/>
  <c r="D1199" i="12"/>
  <c r="E1199" i="12" s="1"/>
  <c r="D1191" i="12"/>
  <c r="E1191" i="12" s="1"/>
  <c r="D1183" i="12"/>
  <c r="E1183" i="12" s="1"/>
  <c r="D1175" i="12"/>
  <c r="E1175" i="12" s="1"/>
  <c r="D1167" i="12"/>
  <c r="E1167" i="12" s="1"/>
  <c r="D1159" i="12"/>
  <c r="E1159" i="12" s="1"/>
  <c r="D1151" i="12"/>
  <c r="E1151" i="12" s="1"/>
  <c r="D1143" i="12"/>
  <c r="E1143" i="12" s="1"/>
  <c r="D1135" i="12"/>
  <c r="E1135" i="12" s="1"/>
  <c r="D1127" i="12"/>
  <c r="E1127" i="12" s="1"/>
  <c r="D1119" i="12"/>
  <c r="E1119" i="12" s="1"/>
  <c r="D1111" i="12"/>
  <c r="E1111" i="12" s="1"/>
  <c r="D1103" i="12"/>
  <c r="E1103" i="12" s="1"/>
  <c r="D1095" i="12"/>
  <c r="E1095" i="12" s="1"/>
  <c r="D1087" i="12"/>
  <c r="E1087" i="12" s="1"/>
  <c r="D1079" i="12"/>
  <c r="E1079" i="12" s="1"/>
  <c r="D1071" i="12"/>
  <c r="E1071" i="12" s="1"/>
  <c r="D1063" i="12"/>
  <c r="E1063" i="12" s="1"/>
  <c r="D1055" i="12"/>
  <c r="E1055" i="12" s="1"/>
  <c r="D1047" i="12"/>
  <c r="E1047" i="12" s="1"/>
  <c r="D1039" i="12"/>
  <c r="E1039" i="12" s="1"/>
  <c r="D1031" i="12"/>
  <c r="E1031" i="12" s="1"/>
  <c r="D1023" i="12"/>
  <c r="E1023" i="12" s="1"/>
  <c r="D1015" i="12"/>
  <c r="E1015" i="12" s="1"/>
  <c r="D1007" i="12"/>
  <c r="E1007" i="12" s="1"/>
  <c r="D999" i="12"/>
  <c r="E999" i="12" s="1"/>
  <c r="D991" i="12"/>
  <c r="E991" i="12" s="1"/>
  <c r="D983" i="12"/>
  <c r="E983" i="12" s="1"/>
  <c r="D975" i="12"/>
  <c r="E975" i="12" s="1"/>
  <c r="D967" i="12"/>
  <c r="E967" i="12" s="1"/>
  <c r="D959" i="12"/>
  <c r="E959" i="12" s="1"/>
  <c r="D951" i="12"/>
  <c r="E951" i="12" s="1"/>
  <c r="D943" i="12"/>
  <c r="E943" i="12" s="1"/>
  <c r="D935" i="12"/>
  <c r="E935" i="12" s="1"/>
  <c r="D927" i="12"/>
  <c r="E927" i="12" s="1"/>
  <c r="D919" i="12"/>
  <c r="E919" i="12" s="1"/>
  <c r="D911" i="12"/>
  <c r="E911" i="12" s="1"/>
  <c r="D903" i="12"/>
  <c r="E903" i="12" s="1"/>
  <c r="D895" i="12"/>
  <c r="E895" i="12" s="1"/>
  <c r="D887" i="12"/>
  <c r="E887" i="12" s="1"/>
  <c r="D879" i="12"/>
  <c r="E879" i="12" s="1"/>
  <c r="D871" i="12"/>
  <c r="E871" i="12" s="1"/>
  <c r="D863" i="12"/>
  <c r="E863" i="12" s="1"/>
  <c r="D855" i="12"/>
  <c r="E855" i="12" s="1"/>
  <c r="D847" i="12"/>
  <c r="E847" i="12" s="1"/>
  <c r="D839" i="12"/>
  <c r="E839" i="12" s="1"/>
  <c r="D831" i="12"/>
  <c r="E831" i="12" s="1"/>
  <c r="D823" i="12"/>
  <c r="E823" i="12" s="1"/>
  <c r="D815" i="12"/>
  <c r="E815" i="12" s="1"/>
  <c r="D807" i="12"/>
  <c r="E807" i="12" s="1"/>
  <c r="D799" i="12"/>
  <c r="E799" i="12" s="1"/>
  <c r="D791" i="12"/>
  <c r="E791" i="12" s="1"/>
  <c r="D783" i="12"/>
  <c r="E783" i="12" s="1"/>
  <c r="D775" i="12"/>
  <c r="E775" i="12" s="1"/>
  <c r="D767" i="12"/>
  <c r="E767" i="12" s="1"/>
  <c r="D759" i="12"/>
  <c r="E759" i="12" s="1"/>
  <c r="D751" i="12"/>
  <c r="E751" i="12" s="1"/>
  <c r="D743" i="12"/>
  <c r="E743" i="12" s="1"/>
  <c r="D735" i="12"/>
  <c r="E735" i="12" s="1"/>
  <c r="D727" i="12"/>
  <c r="E727" i="12" s="1"/>
  <c r="D719" i="12"/>
  <c r="E719" i="12" s="1"/>
  <c r="D711" i="12"/>
  <c r="E711" i="12" s="1"/>
  <c r="D703" i="12"/>
  <c r="E703" i="12" s="1"/>
  <c r="D695" i="12"/>
  <c r="E695" i="12" s="1"/>
  <c r="D687" i="12"/>
  <c r="E687" i="12" s="1"/>
  <c r="D679" i="12"/>
  <c r="E679" i="12" s="1"/>
  <c r="D671" i="12"/>
  <c r="E671" i="12" s="1"/>
  <c r="D663" i="12"/>
  <c r="E663" i="12" s="1"/>
  <c r="D655" i="12"/>
  <c r="E655" i="12" s="1"/>
  <c r="D647" i="12"/>
  <c r="E647" i="12" s="1"/>
  <c r="D639" i="12"/>
  <c r="E639" i="12" s="1"/>
  <c r="D631" i="12"/>
  <c r="E631" i="12" s="1"/>
  <c r="D623" i="12"/>
  <c r="E623" i="12" s="1"/>
  <c r="D615" i="12"/>
  <c r="E615" i="12" s="1"/>
  <c r="D607" i="12"/>
  <c r="E607" i="12" s="1"/>
  <c r="D599" i="12"/>
  <c r="E599" i="12" s="1"/>
  <c r="D591" i="12"/>
  <c r="E591" i="12" s="1"/>
  <c r="D583" i="12"/>
  <c r="E583" i="12" s="1"/>
  <c r="D575" i="12"/>
  <c r="E575" i="12" s="1"/>
  <c r="D567" i="12"/>
  <c r="E567" i="12" s="1"/>
  <c r="D559" i="12"/>
  <c r="E559" i="12" s="1"/>
  <c r="D551" i="12"/>
  <c r="E551" i="12" s="1"/>
  <c r="D543" i="12"/>
  <c r="E543" i="12" s="1"/>
  <c r="D535" i="12"/>
  <c r="E535" i="12" s="1"/>
  <c r="D527" i="12"/>
  <c r="E527" i="12" s="1"/>
  <c r="D519" i="12"/>
  <c r="E519" i="12" s="1"/>
  <c r="D511" i="12"/>
  <c r="E511" i="12" s="1"/>
  <c r="D503" i="12"/>
  <c r="E503" i="12" s="1"/>
  <c r="D495" i="12"/>
  <c r="E495" i="12" s="1"/>
  <c r="D487" i="12"/>
  <c r="E487" i="12" s="1"/>
  <c r="D2198" i="12"/>
  <c r="D2190" i="12"/>
  <c r="D2182" i="12"/>
  <c r="D2174" i="12"/>
  <c r="D2166" i="12"/>
  <c r="D2158" i="12"/>
  <c r="D2150" i="12"/>
  <c r="D2142" i="12"/>
  <c r="D2134" i="12"/>
  <c r="D2126" i="12"/>
  <c r="D2118" i="12"/>
  <c r="D2110" i="12"/>
  <c r="D2102" i="12"/>
  <c r="D2094" i="12"/>
  <c r="D2086" i="12"/>
  <c r="D2078" i="12"/>
  <c r="D2070" i="12"/>
  <c r="D2062" i="12"/>
  <c r="D2054" i="12"/>
  <c r="D2046" i="12"/>
  <c r="D2038" i="12"/>
  <c r="E2038" i="12" s="1"/>
  <c r="D2030" i="12"/>
  <c r="E2030" i="12" s="1"/>
  <c r="D2022" i="12"/>
  <c r="E2022" i="12" s="1"/>
  <c r="D2014" i="12"/>
  <c r="E2014" i="12" s="1"/>
  <c r="D2006" i="12"/>
  <c r="E2006" i="12" s="1"/>
  <c r="D1998" i="12"/>
  <c r="E1998" i="12" s="1"/>
  <c r="D1990" i="12"/>
  <c r="E1990" i="12" s="1"/>
  <c r="D1982" i="12"/>
  <c r="E1982" i="12" s="1"/>
  <c r="D1974" i="12"/>
  <c r="E1974" i="12" s="1"/>
  <c r="D1966" i="12"/>
  <c r="E1966" i="12" s="1"/>
  <c r="D1958" i="12"/>
  <c r="E1958" i="12" s="1"/>
  <c r="D1950" i="12"/>
  <c r="E1950" i="12" s="1"/>
  <c r="D1942" i="12"/>
  <c r="E1942" i="12" s="1"/>
  <c r="D1934" i="12"/>
  <c r="E1934" i="12" s="1"/>
  <c r="D1926" i="12"/>
  <c r="E1926" i="12" s="1"/>
  <c r="D1918" i="12"/>
  <c r="E1918" i="12" s="1"/>
  <c r="D1910" i="12"/>
  <c r="E1910" i="12" s="1"/>
  <c r="D1902" i="12"/>
  <c r="E1902" i="12" s="1"/>
  <c r="D1894" i="12"/>
  <c r="E1894" i="12" s="1"/>
  <c r="D1886" i="12"/>
  <c r="E1886" i="12" s="1"/>
  <c r="D1878" i="12"/>
  <c r="E1878" i="12" s="1"/>
  <c r="D1870" i="12"/>
  <c r="E1870" i="12" s="1"/>
  <c r="D1862" i="12"/>
  <c r="E1862" i="12" s="1"/>
  <c r="D1854" i="12"/>
  <c r="E1854" i="12" s="1"/>
  <c r="D1846" i="12"/>
  <c r="E1846" i="12" s="1"/>
  <c r="D1838" i="12"/>
  <c r="E1838" i="12" s="1"/>
  <c r="D1830" i="12"/>
  <c r="E1830" i="12" s="1"/>
  <c r="D1822" i="12"/>
  <c r="E1822" i="12" s="1"/>
  <c r="D1814" i="12"/>
  <c r="E1814" i="12" s="1"/>
  <c r="D1806" i="12"/>
  <c r="E1806" i="12" s="1"/>
  <c r="D1798" i="12"/>
  <c r="E1798" i="12" s="1"/>
  <c r="D1790" i="12"/>
  <c r="E1790" i="12" s="1"/>
  <c r="D1782" i="12"/>
  <c r="E1782" i="12" s="1"/>
  <c r="D1774" i="12"/>
  <c r="E1774" i="12" s="1"/>
  <c r="D1766" i="12"/>
  <c r="E1766" i="12" s="1"/>
  <c r="D1758" i="12"/>
  <c r="E1758" i="12" s="1"/>
  <c r="D1750" i="12"/>
  <c r="E1750" i="12" s="1"/>
  <c r="D1742" i="12"/>
  <c r="E1742" i="12" s="1"/>
  <c r="D1734" i="12"/>
  <c r="E1734" i="12" s="1"/>
  <c r="D1726" i="12"/>
  <c r="E1726" i="12" s="1"/>
  <c r="D1718" i="12"/>
  <c r="E1718" i="12" s="1"/>
  <c r="D1710" i="12"/>
  <c r="E1710" i="12" s="1"/>
  <c r="D1702" i="12"/>
  <c r="E1702" i="12" s="1"/>
  <c r="D1694" i="12"/>
  <c r="E1694" i="12" s="1"/>
  <c r="D1686" i="12"/>
  <c r="E1686" i="12" s="1"/>
  <c r="D1678" i="12"/>
  <c r="E1678" i="12" s="1"/>
  <c r="D1670" i="12"/>
  <c r="E1670" i="12" s="1"/>
  <c r="D1662" i="12"/>
  <c r="E1662" i="12" s="1"/>
  <c r="D1654" i="12"/>
  <c r="E1654" i="12" s="1"/>
  <c r="D1646" i="12"/>
  <c r="E1646" i="12" s="1"/>
  <c r="D1638" i="12"/>
  <c r="E1638" i="12" s="1"/>
  <c r="D1630" i="12"/>
  <c r="E1630" i="12" s="1"/>
  <c r="D1622" i="12"/>
  <c r="E1622" i="12" s="1"/>
  <c r="D1614" i="12"/>
  <c r="E1614" i="12" s="1"/>
  <c r="D1606" i="12"/>
  <c r="E1606" i="12" s="1"/>
  <c r="D1598" i="12"/>
  <c r="E1598" i="12" s="1"/>
  <c r="D1590" i="12"/>
  <c r="E1590" i="12" s="1"/>
  <c r="D1582" i="12"/>
  <c r="E1582" i="12" s="1"/>
  <c r="D1574" i="12"/>
  <c r="E1574" i="12" s="1"/>
  <c r="D1566" i="12"/>
  <c r="E1566" i="12" s="1"/>
  <c r="D1558" i="12"/>
  <c r="E1558" i="12" s="1"/>
  <c r="D1550" i="12"/>
  <c r="E1550" i="12" s="1"/>
  <c r="D1542" i="12"/>
  <c r="E1542" i="12" s="1"/>
  <c r="D1534" i="12"/>
  <c r="E1534" i="12" s="1"/>
  <c r="D1526" i="12"/>
  <c r="E1526" i="12" s="1"/>
  <c r="D1518" i="12"/>
  <c r="E1518" i="12" s="1"/>
  <c r="D1510" i="12"/>
  <c r="E1510" i="12" s="1"/>
  <c r="D1502" i="12"/>
  <c r="E1502" i="12" s="1"/>
  <c r="D1494" i="12"/>
  <c r="E1494" i="12" s="1"/>
  <c r="D1486" i="12"/>
  <c r="E1486" i="12" s="1"/>
  <c r="D1478" i="12"/>
  <c r="E1478" i="12" s="1"/>
  <c r="D1470" i="12"/>
  <c r="E1470" i="12" s="1"/>
  <c r="D1462" i="12"/>
  <c r="E1462" i="12" s="1"/>
  <c r="D1454" i="12"/>
  <c r="E1454" i="12" s="1"/>
  <c r="D1446" i="12"/>
  <c r="E1446" i="12" s="1"/>
  <c r="D1438" i="12"/>
  <c r="E1438" i="12" s="1"/>
  <c r="D1430" i="12"/>
  <c r="E1430" i="12" s="1"/>
  <c r="D1422" i="12"/>
  <c r="E1422" i="12" s="1"/>
  <c r="D1414" i="12"/>
  <c r="E1414" i="12" s="1"/>
  <c r="D1406" i="12"/>
  <c r="E1406" i="12" s="1"/>
  <c r="D1398" i="12"/>
  <c r="E1398" i="12" s="1"/>
  <c r="D1390" i="12"/>
  <c r="E1390" i="12" s="1"/>
  <c r="D1382" i="12"/>
  <c r="E1382" i="12" s="1"/>
  <c r="D1374" i="12"/>
  <c r="E1374" i="12" s="1"/>
  <c r="D1366" i="12"/>
  <c r="E1366" i="12" s="1"/>
  <c r="D1358" i="12"/>
  <c r="E1358" i="12" s="1"/>
  <c r="D1350" i="12"/>
  <c r="E1350" i="12" s="1"/>
  <c r="D1342" i="12"/>
  <c r="E1342" i="12" s="1"/>
  <c r="D1334" i="12"/>
  <c r="E1334" i="12" s="1"/>
  <c r="D1326" i="12"/>
  <c r="E1326" i="12" s="1"/>
  <c r="D1318" i="12"/>
  <c r="E1318" i="12" s="1"/>
  <c r="D1310" i="12"/>
  <c r="E1310" i="12" s="1"/>
  <c r="D1302" i="12"/>
  <c r="E1302" i="12" s="1"/>
  <c r="D1294" i="12"/>
  <c r="E1294" i="12" s="1"/>
  <c r="D1286" i="12"/>
  <c r="E1286" i="12" s="1"/>
  <c r="D1278" i="12"/>
  <c r="E1278" i="12" s="1"/>
  <c r="D1270" i="12"/>
  <c r="E1270" i="12" s="1"/>
  <c r="D1262" i="12"/>
  <c r="E1262" i="12" s="1"/>
  <c r="D1254" i="12"/>
  <c r="E1254" i="12" s="1"/>
  <c r="D1246" i="12"/>
  <c r="E1246" i="12" s="1"/>
  <c r="D1238" i="12"/>
  <c r="E1238" i="12" s="1"/>
  <c r="D1230" i="12"/>
  <c r="E1230" i="12" s="1"/>
  <c r="D1222" i="12"/>
  <c r="E1222" i="12" s="1"/>
  <c r="D1214" i="12"/>
  <c r="E1214" i="12" s="1"/>
  <c r="D1206" i="12"/>
  <c r="E1206" i="12" s="1"/>
  <c r="D1198" i="12"/>
  <c r="E1198" i="12" s="1"/>
  <c r="D1190" i="12"/>
  <c r="E1190" i="12" s="1"/>
  <c r="D1182" i="12"/>
  <c r="E1182" i="12" s="1"/>
  <c r="D1174" i="12"/>
  <c r="E1174" i="12" s="1"/>
  <c r="D1166" i="12"/>
  <c r="E1166" i="12" s="1"/>
  <c r="D1158" i="12"/>
  <c r="E1158" i="12" s="1"/>
  <c r="D1150" i="12"/>
  <c r="E1150" i="12" s="1"/>
  <c r="D1142" i="12"/>
  <c r="E1142" i="12" s="1"/>
  <c r="D1134" i="12"/>
  <c r="E1134" i="12" s="1"/>
  <c r="D1126" i="12"/>
  <c r="E1126" i="12" s="1"/>
  <c r="D1118" i="12"/>
  <c r="E1118" i="12" s="1"/>
  <c r="D1110" i="12"/>
  <c r="E1110" i="12" s="1"/>
  <c r="D1102" i="12"/>
  <c r="E1102" i="12" s="1"/>
  <c r="D1094" i="12"/>
  <c r="E1094" i="12" s="1"/>
  <c r="D1086" i="12"/>
  <c r="E1086" i="12" s="1"/>
  <c r="D1078" i="12"/>
  <c r="E1078" i="12" s="1"/>
  <c r="D1070" i="12"/>
  <c r="E1070" i="12" s="1"/>
  <c r="D1062" i="12"/>
  <c r="E1062" i="12" s="1"/>
  <c r="D1054" i="12"/>
  <c r="E1054" i="12" s="1"/>
  <c r="D1046" i="12"/>
  <c r="E1046" i="12" s="1"/>
  <c r="D1038" i="12"/>
  <c r="E1038" i="12" s="1"/>
  <c r="D1030" i="12"/>
  <c r="E1030" i="12" s="1"/>
  <c r="D1022" i="12"/>
  <c r="E1022" i="12" s="1"/>
  <c r="D1014" i="12"/>
  <c r="E1014" i="12" s="1"/>
  <c r="D1006" i="12"/>
  <c r="E1006" i="12" s="1"/>
  <c r="D998" i="12"/>
  <c r="E998" i="12" s="1"/>
  <c r="D990" i="12"/>
  <c r="E990" i="12" s="1"/>
  <c r="D982" i="12"/>
  <c r="E982" i="12" s="1"/>
  <c r="D974" i="12"/>
  <c r="E974" i="12" s="1"/>
  <c r="D966" i="12"/>
  <c r="E966" i="12" s="1"/>
  <c r="D958" i="12"/>
  <c r="E958" i="12" s="1"/>
  <c r="D950" i="12"/>
  <c r="E950" i="12" s="1"/>
  <c r="D942" i="12"/>
  <c r="E942" i="12" s="1"/>
  <c r="D934" i="12"/>
  <c r="E934" i="12" s="1"/>
  <c r="D926" i="12"/>
  <c r="E926" i="12" s="1"/>
  <c r="D918" i="12"/>
  <c r="E918" i="12" s="1"/>
  <c r="D910" i="12"/>
  <c r="E910" i="12" s="1"/>
  <c r="D902" i="12"/>
  <c r="E902" i="12" s="1"/>
  <c r="D894" i="12"/>
  <c r="E894" i="12" s="1"/>
  <c r="D886" i="12"/>
  <c r="E886" i="12" s="1"/>
  <c r="D878" i="12"/>
  <c r="E878" i="12" s="1"/>
  <c r="D870" i="12"/>
  <c r="E870" i="12" s="1"/>
  <c r="D862" i="12"/>
  <c r="E862" i="12" s="1"/>
  <c r="D854" i="12"/>
  <c r="E854" i="12" s="1"/>
  <c r="D846" i="12"/>
  <c r="E846" i="12" s="1"/>
  <c r="D838" i="12"/>
  <c r="E838" i="12" s="1"/>
  <c r="D830" i="12"/>
  <c r="E830" i="12" s="1"/>
  <c r="D822" i="12"/>
  <c r="E822" i="12" s="1"/>
  <c r="D814" i="12"/>
  <c r="E814" i="12" s="1"/>
  <c r="D806" i="12"/>
  <c r="E806" i="12" s="1"/>
  <c r="D798" i="12"/>
  <c r="E798" i="12" s="1"/>
  <c r="D790" i="12"/>
  <c r="E790" i="12" s="1"/>
  <c r="D782" i="12"/>
  <c r="E782" i="12" s="1"/>
  <c r="D774" i="12"/>
  <c r="E774" i="12" s="1"/>
  <c r="D766" i="12"/>
  <c r="E766" i="12" s="1"/>
  <c r="D758" i="12"/>
  <c r="E758" i="12" s="1"/>
  <c r="D750" i="12"/>
  <c r="E750" i="12" s="1"/>
  <c r="D742" i="12"/>
  <c r="E742" i="12" s="1"/>
  <c r="D734" i="12"/>
  <c r="E734" i="12" s="1"/>
  <c r="D726" i="12"/>
  <c r="E726" i="12" s="1"/>
  <c r="D718" i="12"/>
  <c r="E718" i="12" s="1"/>
  <c r="D710" i="12"/>
  <c r="E710" i="12" s="1"/>
  <c r="D702" i="12"/>
  <c r="E702" i="12" s="1"/>
  <c r="D694" i="12"/>
  <c r="E694" i="12" s="1"/>
  <c r="D686" i="12"/>
  <c r="E686" i="12" s="1"/>
  <c r="D678" i="12"/>
  <c r="E678" i="12" s="1"/>
  <c r="D670" i="12"/>
  <c r="E670" i="12" s="1"/>
  <c r="D662" i="12"/>
  <c r="E662" i="12" s="1"/>
  <c r="D654" i="12"/>
  <c r="E654" i="12" s="1"/>
  <c r="D646" i="12"/>
  <c r="E646" i="12" s="1"/>
  <c r="D638" i="12"/>
  <c r="E638" i="12" s="1"/>
  <c r="D630" i="12"/>
  <c r="E630" i="12" s="1"/>
  <c r="D622" i="12"/>
  <c r="E622" i="12" s="1"/>
  <c r="D614" i="12"/>
  <c r="E614" i="12" s="1"/>
  <c r="D606" i="12"/>
  <c r="E606" i="12" s="1"/>
  <c r="D598" i="12"/>
  <c r="E598" i="12" s="1"/>
  <c r="D590" i="12"/>
  <c r="E590" i="12" s="1"/>
  <c r="D582" i="12"/>
  <c r="E582" i="12" s="1"/>
  <c r="D574" i="12"/>
  <c r="E574" i="12" s="1"/>
  <c r="D566" i="12"/>
  <c r="E566" i="12" s="1"/>
  <c r="D558" i="12"/>
  <c r="E558" i="12" s="1"/>
  <c r="D550" i="12"/>
  <c r="E550" i="12" s="1"/>
  <c r="D542" i="12"/>
  <c r="E542" i="12" s="1"/>
  <c r="D534" i="12"/>
  <c r="E534" i="12" s="1"/>
  <c r="D526" i="12"/>
  <c r="E526" i="12" s="1"/>
  <c r="D518" i="12"/>
  <c r="E518" i="12" s="1"/>
  <c r="D510" i="12"/>
  <c r="E510" i="12" s="1"/>
  <c r="D502" i="12"/>
  <c r="E502" i="12" s="1"/>
  <c r="D494" i="12"/>
  <c r="E494" i="12" s="1"/>
  <c r="D486" i="12"/>
  <c r="E486" i="12" s="1"/>
  <c r="D2197" i="12"/>
  <c r="D2189" i="12"/>
  <c r="D2181" i="12"/>
  <c r="D2173" i="12"/>
  <c r="D2165" i="12"/>
  <c r="D2157" i="12"/>
  <c r="D2149" i="12"/>
  <c r="D2141" i="12"/>
  <c r="D2133" i="12"/>
  <c r="D2125" i="12"/>
  <c r="D2117" i="12"/>
  <c r="D2109" i="12"/>
  <c r="D2101" i="12"/>
  <c r="D2093" i="12"/>
  <c r="D2085" i="12"/>
  <c r="D2077" i="12"/>
  <c r="D2069" i="12"/>
  <c r="D2061" i="12"/>
  <c r="D2053" i="12"/>
  <c r="D2045" i="12"/>
  <c r="D2037" i="12"/>
  <c r="E2037" i="12" s="1"/>
  <c r="D2029" i="12"/>
  <c r="E2029" i="12" s="1"/>
  <c r="D2021" i="12"/>
  <c r="E2021" i="12" s="1"/>
  <c r="D2013" i="12"/>
  <c r="E2013" i="12" s="1"/>
  <c r="D2005" i="12"/>
  <c r="E2005" i="12" s="1"/>
  <c r="D1997" i="12"/>
  <c r="E1997" i="12" s="1"/>
  <c r="D1989" i="12"/>
  <c r="E1989" i="12" s="1"/>
  <c r="D1981" i="12"/>
  <c r="E1981" i="12" s="1"/>
  <c r="D1973" i="12"/>
  <c r="E1973" i="12" s="1"/>
  <c r="D1965" i="12"/>
  <c r="E1965" i="12" s="1"/>
  <c r="D1957" i="12"/>
  <c r="E1957" i="12" s="1"/>
  <c r="D1949" i="12"/>
  <c r="E1949" i="12" s="1"/>
  <c r="D1941" i="12"/>
  <c r="E1941" i="12" s="1"/>
  <c r="D1933" i="12"/>
  <c r="E1933" i="12" s="1"/>
  <c r="D1925" i="12"/>
  <c r="E1925" i="12" s="1"/>
  <c r="D1917" i="12"/>
  <c r="E1917" i="12" s="1"/>
  <c r="D1909" i="12"/>
  <c r="E1909" i="12" s="1"/>
  <c r="D1901" i="12"/>
  <c r="E1901" i="12" s="1"/>
  <c r="D1893" i="12"/>
  <c r="E1893" i="12" s="1"/>
  <c r="D1885" i="12"/>
  <c r="E1885" i="12" s="1"/>
  <c r="D1877" i="12"/>
  <c r="E1877" i="12" s="1"/>
  <c r="D1869" i="12"/>
  <c r="E1869" i="12" s="1"/>
  <c r="D1861" i="12"/>
  <c r="E1861" i="12" s="1"/>
  <c r="D1853" i="12"/>
  <c r="E1853" i="12" s="1"/>
  <c r="D1845" i="12"/>
  <c r="E1845" i="12" s="1"/>
  <c r="D1837" i="12"/>
  <c r="E1837" i="12" s="1"/>
  <c r="D1829" i="12"/>
  <c r="E1829" i="12" s="1"/>
  <c r="D1821" i="12"/>
  <c r="E1821" i="12" s="1"/>
  <c r="D1813" i="12"/>
  <c r="E1813" i="12" s="1"/>
  <c r="D1805" i="12"/>
  <c r="E1805" i="12" s="1"/>
  <c r="D1797" i="12"/>
  <c r="E1797" i="12" s="1"/>
  <c r="D1789" i="12"/>
  <c r="E1789" i="12" s="1"/>
  <c r="D1781" i="12"/>
  <c r="E1781" i="12" s="1"/>
  <c r="D1773" i="12"/>
  <c r="E1773" i="12" s="1"/>
  <c r="D1765" i="12"/>
  <c r="E1765" i="12" s="1"/>
  <c r="D1757" i="12"/>
  <c r="E1757" i="12" s="1"/>
  <c r="D1749" i="12"/>
  <c r="E1749" i="12" s="1"/>
  <c r="D1741" i="12"/>
  <c r="E1741" i="12" s="1"/>
  <c r="D1733" i="12"/>
  <c r="E1733" i="12" s="1"/>
  <c r="D1725" i="12"/>
  <c r="E1725" i="12" s="1"/>
  <c r="D1717" i="12"/>
  <c r="E1717" i="12" s="1"/>
  <c r="D1709" i="12"/>
  <c r="E1709" i="12" s="1"/>
  <c r="D1701" i="12"/>
  <c r="E1701" i="12" s="1"/>
  <c r="D1693" i="12"/>
  <c r="E1693" i="12" s="1"/>
  <c r="D1685" i="12"/>
  <c r="E1685" i="12" s="1"/>
  <c r="D1677" i="12"/>
  <c r="E1677" i="12" s="1"/>
  <c r="D1669" i="12"/>
  <c r="E1669" i="12" s="1"/>
  <c r="D1661" i="12"/>
  <c r="E1661" i="12" s="1"/>
  <c r="D1653" i="12"/>
  <c r="E1653" i="12" s="1"/>
  <c r="D1645" i="12"/>
  <c r="E1645" i="12" s="1"/>
  <c r="D1637" i="12"/>
  <c r="E1637" i="12" s="1"/>
  <c r="D1629" i="12"/>
  <c r="E1629" i="12" s="1"/>
  <c r="D1621" i="12"/>
  <c r="E1621" i="12" s="1"/>
  <c r="D1613" i="12"/>
  <c r="E1613" i="12" s="1"/>
  <c r="D1605" i="12"/>
  <c r="E1605" i="12" s="1"/>
  <c r="D1597" i="12"/>
  <c r="E1597" i="12" s="1"/>
  <c r="D1589" i="12"/>
  <c r="E1589" i="12" s="1"/>
  <c r="D1581" i="12"/>
  <c r="E1581" i="12" s="1"/>
  <c r="D1573" i="12"/>
  <c r="E1573" i="12" s="1"/>
  <c r="D1565" i="12"/>
  <c r="E1565" i="12" s="1"/>
  <c r="D1557" i="12"/>
  <c r="E1557" i="12" s="1"/>
  <c r="D1549" i="12"/>
  <c r="E1549" i="12" s="1"/>
  <c r="D1541" i="12"/>
  <c r="E1541" i="12" s="1"/>
  <c r="D1533" i="12"/>
  <c r="E1533" i="12" s="1"/>
  <c r="D1525" i="12"/>
  <c r="E1525" i="12" s="1"/>
  <c r="D1517" i="12"/>
  <c r="E1517" i="12" s="1"/>
  <c r="D1509" i="12"/>
  <c r="E1509" i="12" s="1"/>
  <c r="D1501" i="12"/>
  <c r="E1501" i="12" s="1"/>
  <c r="D1493" i="12"/>
  <c r="E1493" i="12" s="1"/>
  <c r="D1485" i="12"/>
  <c r="E1485" i="12" s="1"/>
  <c r="D1477" i="12"/>
  <c r="E1477" i="12" s="1"/>
  <c r="D1469" i="12"/>
  <c r="E1469" i="12" s="1"/>
  <c r="D1461" i="12"/>
  <c r="E1461" i="12" s="1"/>
  <c r="D1453" i="12"/>
  <c r="E1453" i="12" s="1"/>
  <c r="D1445" i="12"/>
  <c r="E1445" i="12" s="1"/>
  <c r="D1437" i="12"/>
  <c r="E1437" i="12" s="1"/>
  <c r="D1429" i="12"/>
  <c r="E1429" i="12" s="1"/>
  <c r="D1421" i="12"/>
  <c r="E1421" i="12" s="1"/>
  <c r="D1413" i="12"/>
  <c r="E1413" i="12" s="1"/>
  <c r="D1405" i="12"/>
  <c r="E1405" i="12" s="1"/>
  <c r="D1397" i="12"/>
  <c r="E1397" i="12" s="1"/>
  <c r="D1389" i="12"/>
  <c r="E1389" i="12" s="1"/>
  <c r="D1381" i="12"/>
  <c r="E1381" i="12" s="1"/>
  <c r="D1373" i="12"/>
  <c r="E1373" i="12" s="1"/>
  <c r="D1365" i="12"/>
  <c r="E1365" i="12" s="1"/>
  <c r="D1357" i="12"/>
  <c r="E1357" i="12" s="1"/>
  <c r="D1349" i="12"/>
  <c r="E1349" i="12" s="1"/>
  <c r="D1341" i="12"/>
  <c r="E1341" i="12" s="1"/>
  <c r="D1333" i="12"/>
  <c r="E1333" i="12" s="1"/>
  <c r="D1325" i="12"/>
  <c r="E1325" i="12" s="1"/>
  <c r="D1317" i="12"/>
  <c r="E1317" i="12" s="1"/>
  <c r="D1309" i="12"/>
  <c r="E1309" i="12" s="1"/>
  <c r="D1301" i="12"/>
  <c r="E1301" i="12" s="1"/>
  <c r="D1293" i="12"/>
  <c r="E1293" i="12" s="1"/>
  <c r="D1285" i="12"/>
  <c r="E1285" i="12" s="1"/>
  <c r="D1277" i="12"/>
  <c r="E1277" i="12" s="1"/>
  <c r="D1269" i="12"/>
  <c r="E1269" i="12" s="1"/>
  <c r="D1261" i="12"/>
  <c r="E1261" i="12" s="1"/>
  <c r="D1253" i="12"/>
  <c r="E1253" i="12" s="1"/>
  <c r="D1245" i="12"/>
  <c r="E1245" i="12" s="1"/>
  <c r="D1237" i="12"/>
  <c r="E1237" i="12" s="1"/>
  <c r="D1229" i="12"/>
  <c r="E1229" i="12" s="1"/>
  <c r="D1221" i="12"/>
  <c r="E1221" i="12" s="1"/>
  <c r="D1213" i="12"/>
  <c r="E1213" i="12" s="1"/>
  <c r="D1205" i="12"/>
  <c r="E1205" i="12" s="1"/>
  <c r="D1197" i="12"/>
  <c r="E1197" i="12" s="1"/>
  <c r="D1189" i="12"/>
  <c r="E1189" i="12" s="1"/>
  <c r="D1181" i="12"/>
  <c r="E1181" i="12" s="1"/>
  <c r="D1173" i="12"/>
  <c r="E1173" i="12" s="1"/>
  <c r="D1165" i="12"/>
  <c r="E1165" i="12" s="1"/>
  <c r="D1157" i="12"/>
  <c r="E1157" i="12" s="1"/>
  <c r="D1149" i="12"/>
  <c r="E1149" i="12" s="1"/>
  <c r="D1141" i="12"/>
  <c r="E1141" i="12" s="1"/>
  <c r="D1133" i="12"/>
  <c r="E1133" i="12" s="1"/>
  <c r="D1125" i="12"/>
  <c r="E1125" i="12" s="1"/>
  <c r="D1117" i="12"/>
  <c r="E1117" i="12" s="1"/>
  <c r="D1109" i="12"/>
  <c r="E1109" i="12" s="1"/>
  <c r="D1101" i="12"/>
  <c r="E1101" i="12" s="1"/>
  <c r="D1093" i="12"/>
  <c r="E1093" i="12" s="1"/>
  <c r="D1085" i="12"/>
  <c r="E1085" i="12" s="1"/>
  <c r="D1077" i="12"/>
  <c r="E1077" i="12" s="1"/>
  <c r="D1069" i="12"/>
  <c r="E1069" i="12" s="1"/>
  <c r="D1061" i="12"/>
  <c r="E1061" i="12" s="1"/>
  <c r="D1053" i="12"/>
  <c r="E1053" i="12" s="1"/>
  <c r="D1045" i="12"/>
  <c r="E1045" i="12" s="1"/>
  <c r="D1037" i="12"/>
  <c r="E1037" i="12" s="1"/>
  <c r="D1029" i="12"/>
  <c r="E1029" i="12" s="1"/>
  <c r="D1021" i="12"/>
  <c r="E1021" i="12" s="1"/>
  <c r="D1013" i="12"/>
  <c r="E1013" i="12" s="1"/>
  <c r="D1005" i="12"/>
  <c r="E1005" i="12" s="1"/>
  <c r="D997" i="12"/>
  <c r="E997" i="12" s="1"/>
  <c r="D989" i="12"/>
  <c r="E989" i="12" s="1"/>
  <c r="D981" i="12"/>
  <c r="E981" i="12" s="1"/>
  <c r="D973" i="12"/>
  <c r="E973" i="12" s="1"/>
  <c r="D965" i="12"/>
  <c r="E965" i="12" s="1"/>
  <c r="D957" i="12"/>
  <c r="E957" i="12" s="1"/>
  <c r="D949" i="12"/>
  <c r="E949" i="12" s="1"/>
  <c r="D941" i="12"/>
  <c r="E941" i="12" s="1"/>
  <c r="D933" i="12"/>
  <c r="E933" i="12" s="1"/>
  <c r="D925" i="12"/>
  <c r="E925" i="12" s="1"/>
  <c r="D917" i="12"/>
  <c r="E917" i="12" s="1"/>
  <c r="D909" i="12"/>
  <c r="E909" i="12" s="1"/>
  <c r="D901" i="12"/>
  <c r="E901" i="12" s="1"/>
  <c r="D893" i="12"/>
  <c r="E893" i="12" s="1"/>
  <c r="D885" i="12"/>
  <c r="E885" i="12" s="1"/>
  <c r="D877" i="12"/>
  <c r="E877" i="12" s="1"/>
  <c r="D869" i="12"/>
  <c r="E869" i="12" s="1"/>
  <c r="D861" i="12"/>
  <c r="E861" i="12" s="1"/>
  <c r="D853" i="12"/>
  <c r="E853" i="12" s="1"/>
  <c r="D845" i="12"/>
  <c r="E845" i="12" s="1"/>
  <c r="D837" i="12"/>
  <c r="E837" i="12" s="1"/>
  <c r="D829" i="12"/>
  <c r="E829" i="12" s="1"/>
  <c r="D821" i="12"/>
  <c r="E821" i="12" s="1"/>
  <c r="D813" i="12"/>
  <c r="E813" i="12" s="1"/>
  <c r="D805" i="12"/>
  <c r="E805" i="12" s="1"/>
  <c r="D797" i="12"/>
  <c r="E797" i="12" s="1"/>
  <c r="D789" i="12"/>
  <c r="E789" i="12" s="1"/>
  <c r="D781" i="12"/>
  <c r="E781" i="12" s="1"/>
  <c r="D773" i="12"/>
  <c r="E773" i="12" s="1"/>
  <c r="D765" i="12"/>
  <c r="E765" i="12" s="1"/>
  <c r="D757" i="12"/>
  <c r="E757" i="12" s="1"/>
  <c r="D749" i="12"/>
  <c r="E749" i="12" s="1"/>
  <c r="D741" i="12"/>
  <c r="E741" i="12" s="1"/>
  <c r="D733" i="12"/>
  <c r="E733" i="12" s="1"/>
  <c r="D725" i="12"/>
  <c r="E725" i="12" s="1"/>
  <c r="D717" i="12"/>
  <c r="E717" i="12" s="1"/>
  <c r="D709" i="12"/>
  <c r="E709" i="12" s="1"/>
  <c r="D701" i="12"/>
  <c r="E701" i="12" s="1"/>
  <c r="D693" i="12"/>
  <c r="E693" i="12" s="1"/>
  <c r="D685" i="12"/>
  <c r="E685" i="12" s="1"/>
  <c r="D677" i="12"/>
  <c r="E677" i="12" s="1"/>
  <c r="D669" i="12"/>
  <c r="E669" i="12" s="1"/>
  <c r="D661" i="12"/>
  <c r="E661" i="12" s="1"/>
  <c r="D653" i="12"/>
  <c r="E653" i="12" s="1"/>
  <c r="D645" i="12"/>
  <c r="E645" i="12" s="1"/>
  <c r="D637" i="12"/>
  <c r="E637" i="12" s="1"/>
  <c r="D629" i="12"/>
  <c r="E629" i="12" s="1"/>
  <c r="D621" i="12"/>
  <c r="E621" i="12" s="1"/>
  <c r="D613" i="12"/>
  <c r="E613" i="12" s="1"/>
  <c r="D605" i="12"/>
  <c r="E605" i="12" s="1"/>
  <c r="D597" i="12"/>
  <c r="E597" i="12" s="1"/>
  <c r="D589" i="12"/>
  <c r="E589" i="12" s="1"/>
  <c r="D581" i="12"/>
  <c r="E581" i="12" s="1"/>
  <c r="D573" i="12"/>
  <c r="E573" i="12" s="1"/>
  <c r="D565" i="12"/>
  <c r="E565" i="12" s="1"/>
  <c r="D557" i="12"/>
  <c r="E557" i="12" s="1"/>
  <c r="D549" i="12"/>
  <c r="E549" i="12" s="1"/>
  <c r="D541" i="12"/>
  <c r="E541" i="12" s="1"/>
  <c r="D533" i="12"/>
  <c r="E533" i="12" s="1"/>
  <c r="D525" i="12"/>
  <c r="E525" i="12" s="1"/>
  <c r="D517" i="12"/>
  <c r="E517" i="12" s="1"/>
  <c r="D509" i="12"/>
  <c r="E509" i="12" s="1"/>
  <c r="D501" i="12"/>
  <c r="E501" i="12" s="1"/>
  <c r="D493" i="12"/>
  <c r="E493" i="12" s="1"/>
  <c r="D485" i="12"/>
  <c r="E485" i="12" s="1"/>
  <c r="D477" i="12"/>
  <c r="E477" i="12" s="1"/>
  <c r="D2196" i="12"/>
  <c r="D2188" i="12"/>
  <c r="D2180" i="12"/>
  <c r="D2172" i="12"/>
  <c r="D2164" i="12"/>
  <c r="D2156" i="12"/>
  <c r="D2148" i="12"/>
  <c r="D2140" i="12"/>
  <c r="D2132" i="12"/>
  <c r="D2124" i="12"/>
  <c r="D2116" i="12"/>
  <c r="D2108" i="12"/>
  <c r="D2100" i="12"/>
  <c r="D2092" i="12"/>
  <c r="D2084" i="12"/>
  <c r="D2076" i="12"/>
  <c r="D2068" i="12"/>
  <c r="D2060" i="12"/>
  <c r="D2052" i="12"/>
  <c r="D2044" i="12"/>
  <c r="D2036" i="12"/>
  <c r="E2036" i="12" s="1"/>
  <c r="D2028" i="12"/>
  <c r="E2028" i="12" s="1"/>
  <c r="D2020" i="12"/>
  <c r="E2020" i="12" s="1"/>
  <c r="D2012" i="12"/>
  <c r="E2012" i="12" s="1"/>
  <c r="D2004" i="12"/>
  <c r="E2004" i="12" s="1"/>
  <c r="D1996" i="12"/>
  <c r="E1996" i="12" s="1"/>
  <c r="D1988" i="12"/>
  <c r="E1988" i="12" s="1"/>
  <c r="D1980" i="12"/>
  <c r="E1980" i="12" s="1"/>
  <c r="D1972" i="12"/>
  <c r="E1972" i="12" s="1"/>
  <c r="D1964" i="12"/>
  <c r="E1964" i="12" s="1"/>
  <c r="D1956" i="12"/>
  <c r="E1956" i="12" s="1"/>
  <c r="D1948" i="12"/>
  <c r="E1948" i="12" s="1"/>
  <c r="D1940" i="12"/>
  <c r="E1940" i="12" s="1"/>
  <c r="D1932" i="12"/>
  <c r="E1932" i="12" s="1"/>
  <c r="D1924" i="12"/>
  <c r="E1924" i="12" s="1"/>
  <c r="D1916" i="12"/>
  <c r="E1916" i="12" s="1"/>
  <c r="D1908" i="12"/>
  <c r="E1908" i="12" s="1"/>
  <c r="D1900" i="12"/>
  <c r="E1900" i="12" s="1"/>
  <c r="D1892" i="12"/>
  <c r="E1892" i="12" s="1"/>
  <c r="D1884" i="12"/>
  <c r="E1884" i="12" s="1"/>
  <c r="D1876" i="12"/>
  <c r="E1876" i="12" s="1"/>
  <c r="D1868" i="12"/>
  <c r="E1868" i="12" s="1"/>
  <c r="D1860" i="12"/>
  <c r="E1860" i="12" s="1"/>
  <c r="D1852" i="12"/>
  <c r="E1852" i="12" s="1"/>
  <c r="D1844" i="12"/>
  <c r="E1844" i="12" s="1"/>
  <c r="D1836" i="12"/>
  <c r="E1836" i="12" s="1"/>
  <c r="D1828" i="12"/>
  <c r="E1828" i="12" s="1"/>
  <c r="D1820" i="12"/>
  <c r="E1820" i="12" s="1"/>
  <c r="D1812" i="12"/>
  <c r="E1812" i="12" s="1"/>
  <c r="D1804" i="12"/>
  <c r="E1804" i="12" s="1"/>
  <c r="D1796" i="12"/>
  <c r="E1796" i="12" s="1"/>
  <c r="D1788" i="12"/>
  <c r="E1788" i="12" s="1"/>
  <c r="D1780" i="12"/>
  <c r="E1780" i="12" s="1"/>
  <c r="D1772" i="12"/>
  <c r="E1772" i="12" s="1"/>
  <c r="D1764" i="12"/>
  <c r="E1764" i="12" s="1"/>
  <c r="D1756" i="12"/>
  <c r="E1756" i="12" s="1"/>
  <c r="D1748" i="12"/>
  <c r="E1748" i="12" s="1"/>
  <c r="D1740" i="12"/>
  <c r="E1740" i="12" s="1"/>
  <c r="D1732" i="12"/>
  <c r="E1732" i="12" s="1"/>
  <c r="D1724" i="12"/>
  <c r="E1724" i="12" s="1"/>
  <c r="D1716" i="12"/>
  <c r="E1716" i="12" s="1"/>
  <c r="D1708" i="12"/>
  <c r="E1708" i="12" s="1"/>
  <c r="D1700" i="12"/>
  <c r="E1700" i="12" s="1"/>
  <c r="D1692" i="12"/>
  <c r="E1692" i="12" s="1"/>
  <c r="D1684" i="12"/>
  <c r="E1684" i="12" s="1"/>
  <c r="D1676" i="12"/>
  <c r="E1676" i="12" s="1"/>
  <c r="D1668" i="12"/>
  <c r="E1668" i="12" s="1"/>
  <c r="D1660" i="12"/>
  <c r="E1660" i="12" s="1"/>
  <c r="D1652" i="12"/>
  <c r="E1652" i="12" s="1"/>
  <c r="D1644" i="12"/>
  <c r="E1644" i="12" s="1"/>
  <c r="D1636" i="12"/>
  <c r="E1636" i="12" s="1"/>
  <c r="D1628" i="12"/>
  <c r="E1628" i="12" s="1"/>
  <c r="D1620" i="12"/>
  <c r="E1620" i="12" s="1"/>
  <c r="D1612" i="12"/>
  <c r="E1612" i="12" s="1"/>
  <c r="D1604" i="12"/>
  <c r="E1604" i="12" s="1"/>
  <c r="D1596" i="12"/>
  <c r="E1596" i="12" s="1"/>
  <c r="D1588" i="12"/>
  <c r="E1588" i="12" s="1"/>
  <c r="D1580" i="12"/>
  <c r="E1580" i="12" s="1"/>
  <c r="D1572" i="12"/>
  <c r="E1572" i="12" s="1"/>
  <c r="D1564" i="12"/>
  <c r="E1564" i="12" s="1"/>
  <c r="D1556" i="12"/>
  <c r="E1556" i="12" s="1"/>
  <c r="D1548" i="12"/>
  <c r="E1548" i="12" s="1"/>
  <c r="D1540" i="12"/>
  <c r="E1540" i="12" s="1"/>
  <c r="D1532" i="12"/>
  <c r="E1532" i="12" s="1"/>
  <c r="D1524" i="12"/>
  <c r="E1524" i="12" s="1"/>
  <c r="D1516" i="12"/>
  <c r="E1516" i="12" s="1"/>
  <c r="D1508" i="12"/>
  <c r="E1508" i="12" s="1"/>
  <c r="D1500" i="12"/>
  <c r="E1500" i="12" s="1"/>
  <c r="D1492" i="12"/>
  <c r="E1492" i="12" s="1"/>
  <c r="D1484" i="12"/>
  <c r="E1484" i="12" s="1"/>
  <c r="D1476" i="12"/>
  <c r="E1476" i="12" s="1"/>
  <c r="D1468" i="12"/>
  <c r="E1468" i="12" s="1"/>
  <c r="D1460" i="12"/>
  <c r="E1460" i="12" s="1"/>
  <c r="D1452" i="12"/>
  <c r="E1452" i="12" s="1"/>
  <c r="D1444" i="12"/>
  <c r="E1444" i="12" s="1"/>
  <c r="D1436" i="12"/>
  <c r="E1436" i="12" s="1"/>
  <c r="D1428" i="12"/>
  <c r="E1428" i="12" s="1"/>
  <c r="D1420" i="12"/>
  <c r="E1420" i="12" s="1"/>
  <c r="D1412" i="12"/>
  <c r="E1412" i="12" s="1"/>
  <c r="D1404" i="12"/>
  <c r="E1404" i="12" s="1"/>
  <c r="D1396" i="12"/>
  <c r="E1396" i="12" s="1"/>
  <c r="D1388" i="12"/>
  <c r="E1388" i="12" s="1"/>
  <c r="D1380" i="12"/>
  <c r="E1380" i="12" s="1"/>
  <c r="D1372" i="12"/>
  <c r="E1372" i="12" s="1"/>
  <c r="D1364" i="12"/>
  <c r="E1364" i="12" s="1"/>
  <c r="D1356" i="12"/>
  <c r="E1356" i="12" s="1"/>
  <c r="D1348" i="12"/>
  <c r="E1348" i="12" s="1"/>
  <c r="D1340" i="12"/>
  <c r="E1340" i="12" s="1"/>
  <c r="D1332" i="12"/>
  <c r="E1332" i="12" s="1"/>
  <c r="D1324" i="12"/>
  <c r="E1324" i="12" s="1"/>
  <c r="D1316" i="12"/>
  <c r="E1316" i="12" s="1"/>
  <c r="D1308" i="12"/>
  <c r="E1308" i="12" s="1"/>
  <c r="D1300" i="12"/>
  <c r="E1300" i="12" s="1"/>
  <c r="D1292" i="12"/>
  <c r="E1292" i="12" s="1"/>
  <c r="D1284" i="12"/>
  <c r="E1284" i="12" s="1"/>
  <c r="D1276" i="12"/>
  <c r="E1276" i="12" s="1"/>
  <c r="D1268" i="12"/>
  <c r="E1268" i="12" s="1"/>
  <c r="D1260" i="12"/>
  <c r="E1260" i="12" s="1"/>
  <c r="D1252" i="12"/>
  <c r="E1252" i="12" s="1"/>
  <c r="D1244" i="12"/>
  <c r="E1244" i="12" s="1"/>
  <c r="D1236" i="12"/>
  <c r="E1236" i="12" s="1"/>
  <c r="D1228" i="12"/>
  <c r="E1228" i="12" s="1"/>
  <c r="D1220" i="12"/>
  <c r="E1220" i="12" s="1"/>
  <c r="D1212" i="12"/>
  <c r="E1212" i="12" s="1"/>
  <c r="D1204" i="12"/>
  <c r="E1204" i="12" s="1"/>
  <c r="D1196" i="12"/>
  <c r="E1196" i="12" s="1"/>
  <c r="D1188" i="12"/>
  <c r="E1188" i="12" s="1"/>
  <c r="D1180" i="12"/>
  <c r="E1180" i="12" s="1"/>
  <c r="D1172" i="12"/>
  <c r="E1172" i="12" s="1"/>
  <c r="D1164" i="12"/>
  <c r="E1164" i="12" s="1"/>
  <c r="D1156" i="12"/>
  <c r="E1156" i="12" s="1"/>
  <c r="D1148" i="12"/>
  <c r="E1148" i="12" s="1"/>
  <c r="D1140" i="12"/>
  <c r="E1140" i="12" s="1"/>
  <c r="D1132" i="12"/>
  <c r="E1132" i="12" s="1"/>
  <c r="D1124" i="12"/>
  <c r="E1124" i="12" s="1"/>
  <c r="D1116" i="12"/>
  <c r="E1116" i="12" s="1"/>
  <c r="D1108" i="12"/>
  <c r="E1108" i="12" s="1"/>
  <c r="D1100" i="12"/>
  <c r="E1100" i="12" s="1"/>
  <c r="D1092" i="12"/>
  <c r="E1092" i="12" s="1"/>
  <c r="D1084" i="12"/>
  <c r="E1084" i="12" s="1"/>
  <c r="D1076" i="12"/>
  <c r="E1076" i="12" s="1"/>
  <c r="D1068" i="12"/>
  <c r="E1068" i="12" s="1"/>
  <c r="D1060" i="12"/>
  <c r="E1060" i="12" s="1"/>
  <c r="D1052" i="12"/>
  <c r="E1052" i="12" s="1"/>
  <c r="D1044" i="12"/>
  <c r="E1044" i="12" s="1"/>
  <c r="D1036" i="12"/>
  <c r="E1036" i="12" s="1"/>
  <c r="D1028" i="12"/>
  <c r="E1028" i="12" s="1"/>
  <c r="D1020" i="12"/>
  <c r="E1020" i="12" s="1"/>
  <c r="D1012" i="12"/>
  <c r="E1012" i="12" s="1"/>
  <c r="D1004" i="12"/>
  <c r="E1004" i="12" s="1"/>
  <c r="D996" i="12"/>
  <c r="E996" i="12" s="1"/>
  <c r="D988" i="12"/>
  <c r="E988" i="12" s="1"/>
  <c r="D980" i="12"/>
  <c r="E980" i="12" s="1"/>
  <c r="D2193" i="12"/>
  <c r="D2170" i="12"/>
  <c r="D2147" i="12"/>
  <c r="D2129" i="12"/>
  <c r="D2106" i="12"/>
  <c r="D2083" i="12"/>
  <c r="D2065" i="12"/>
  <c r="D2042" i="12"/>
  <c r="D2019" i="12"/>
  <c r="E2019" i="12" s="1"/>
  <c r="D2001" i="12"/>
  <c r="E2001" i="12" s="1"/>
  <c r="D1978" i="12"/>
  <c r="E1978" i="12" s="1"/>
  <c r="D1955" i="12"/>
  <c r="E1955" i="12" s="1"/>
  <c r="D1937" i="12"/>
  <c r="E1937" i="12" s="1"/>
  <c r="D1914" i="12"/>
  <c r="E1914" i="12" s="1"/>
  <c r="D1891" i="12"/>
  <c r="E1891" i="12" s="1"/>
  <c r="D1873" i="12"/>
  <c r="E1873" i="12" s="1"/>
  <c r="D1850" i="12"/>
  <c r="E1850" i="12" s="1"/>
  <c r="D1827" i="12"/>
  <c r="E1827" i="12" s="1"/>
  <c r="D1809" i="12"/>
  <c r="E1809" i="12" s="1"/>
  <c r="D1786" i="12"/>
  <c r="E1786" i="12" s="1"/>
  <c r="D1763" i="12"/>
  <c r="E1763" i="12" s="1"/>
  <c r="D1745" i="12"/>
  <c r="E1745" i="12" s="1"/>
  <c r="D1722" i="12"/>
  <c r="E1722" i="12" s="1"/>
  <c r="D1699" i="12"/>
  <c r="E1699" i="12" s="1"/>
  <c r="D1681" i="12"/>
  <c r="E1681" i="12" s="1"/>
  <c r="D1658" i="12"/>
  <c r="E1658" i="12" s="1"/>
  <c r="D1635" i="12"/>
  <c r="E1635" i="12" s="1"/>
  <c r="D1617" i="12"/>
  <c r="E1617" i="12" s="1"/>
  <c r="D1594" i="12"/>
  <c r="E1594" i="12" s="1"/>
  <c r="D1571" i="12"/>
  <c r="E1571" i="12" s="1"/>
  <c r="D1553" i="12"/>
  <c r="E1553" i="12" s="1"/>
  <c r="D1530" i="12"/>
  <c r="E1530" i="12" s="1"/>
  <c r="D1512" i="12"/>
  <c r="E1512" i="12" s="1"/>
  <c r="D1496" i="12"/>
  <c r="E1496" i="12" s="1"/>
  <c r="D1480" i="12"/>
  <c r="E1480" i="12" s="1"/>
  <c r="D1464" i="12"/>
  <c r="E1464" i="12" s="1"/>
  <c r="D1448" i="12"/>
  <c r="E1448" i="12" s="1"/>
  <c r="D1432" i="12"/>
  <c r="E1432" i="12" s="1"/>
  <c r="D1416" i="12"/>
  <c r="E1416" i="12" s="1"/>
  <c r="D1400" i="12"/>
  <c r="E1400" i="12" s="1"/>
  <c r="D1384" i="12"/>
  <c r="E1384" i="12" s="1"/>
  <c r="D1368" i="12"/>
  <c r="E1368" i="12" s="1"/>
  <c r="D1352" i="12"/>
  <c r="E1352" i="12" s="1"/>
  <c r="D1336" i="12"/>
  <c r="E1336" i="12" s="1"/>
  <c r="D1320" i="12"/>
  <c r="E1320" i="12" s="1"/>
  <c r="D1304" i="12"/>
  <c r="E1304" i="12" s="1"/>
  <c r="D1288" i="12"/>
  <c r="E1288" i="12" s="1"/>
  <c r="D1272" i="12"/>
  <c r="E1272" i="12" s="1"/>
  <c r="D1256" i="12"/>
  <c r="E1256" i="12" s="1"/>
  <c r="D1240" i="12"/>
  <c r="E1240" i="12" s="1"/>
  <c r="D1224" i="12"/>
  <c r="E1224" i="12" s="1"/>
  <c r="D1208" i="12"/>
  <c r="E1208" i="12" s="1"/>
  <c r="D1192" i="12"/>
  <c r="E1192" i="12" s="1"/>
  <c r="D1176" i="12"/>
  <c r="E1176" i="12" s="1"/>
  <c r="D1160" i="12"/>
  <c r="E1160" i="12" s="1"/>
  <c r="D1144" i="12"/>
  <c r="E1144" i="12" s="1"/>
  <c r="D1128" i="12"/>
  <c r="E1128" i="12" s="1"/>
  <c r="D1112" i="12"/>
  <c r="E1112" i="12" s="1"/>
  <c r="D1096" i="12"/>
  <c r="E1096" i="12" s="1"/>
  <c r="D1080" i="12"/>
  <c r="E1080" i="12" s="1"/>
  <c r="D1064" i="12"/>
  <c r="E1064" i="12" s="1"/>
  <c r="D1048" i="12"/>
  <c r="E1048" i="12" s="1"/>
  <c r="D1032" i="12"/>
  <c r="E1032" i="12" s="1"/>
  <c r="D1016" i="12"/>
  <c r="E1016" i="12" s="1"/>
  <c r="D1000" i="12"/>
  <c r="E1000" i="12" s="1"/>
  <c r="D984" i="12"/>
  <c r="E984" i="12" s="1"/>
  <c r="D969" i="12"/>
  <c r="E969" i="12" s="1"/>
  <c r="D955" i="12"/>
  <c r="E955" i="12" s="1"/>
  <c r="D944" i="12"/>
  <c r="E944" i="12" s="1"/>
  <c r="D930" i="12"/>
  <c r="E930" i="12" s="1"/>
  <c r="D916" i="12"/>
  <c r="E916" i="12" s="1"/>
  <c r="D905" i="12"/>
  <c r="E905" i="12" s="1"/>
  <c r="D891" i="12"/>
  <c r="E891" i="12" s="1"/>
  <c r="D880" i="12"/>
  <c r="E880" i="12" s="1"/>
  <c r="D866" i="12"/>
  <c r="E866" i="12" s="1"/>
  <c r="D852" i="12"/>
  <c r="E852" i="12" s="1"/>
  <c r="D841" i="12"/>
  <c r="E841" i="12" s="1"/>
  <c r="D827" i="12"/>
  <c r="E827" i="12" s="1"/>
  <c r="D816" i="12"/>
  <c r="E816" i="12" s="1"/>
  <c r="D802" i="12"/>
  <c r="E802" i="12" s="1"/>
  <c r="D788" i="12"/>
  <c r="E788" i="12" s="1"/>
  <c r="D777" i="12"/>
  <c r="E777" i="12" s="1"/>
  <c r="D763" i="12"/>
  <c r="E763" i="12" s="1"/>
  <c r="D752" i="12"/>
  <c r="E752" i="12" s="1"/>
  <c r="D738" i="12"/>
  <c r="E738" i="12" s="1"/>
  <c r="D724" i="12"/>
  <c r="E724" i="12" s="1"/>
  <c r="D713" i="12"/>
  <c r="E713" i="12" s="1"/>
  <c r="D699" i="12"/>
  <c r="E699" i="12" s="1"/>
  <c r="D688" i="12"/>
  <c r="E688" i="12" s="1"/>
  <c r="D674" i="12"/>
  <c r="E674" i="12" s="1"/>
  <c r="D660" i="12"/>
  <c r="E660" i="12" s="1"/>
  <c r="D649" i="12"/>
  <c r="E649" i="12" s="1"/>
  <c r="D635" i="12"/>
  <c r="E635" i="12" s="1"/>
  <c r="D624" i="12"/>
  <c r="E624" i="12" s="1"/>
  <c r="D610" i="12"/>
  <c r="E610" i="12" s="1"/>
  <c r="D596" i="12"/>
  <c r="E596" i="12" s="1"/>
  <c r="D585" i="12"/>
  <c r="E585" i="12" s="1"/>
  <c r="D571" i="12"/>
  <c r="E571" i="12" s="1"/>
  <c r="D560" i="12"/>
  <c r="E560" i="12" s="1"/>
  <c r="D546" i="12"/>
  <c r="E546" i="12" s="1"/>
  <c r="D532" i="12"/>
  <c r="E532" i="12" s="1"/>
  <c r="D521" i="12"/>
  <c r="E521" i="12" s="1"/>
  <c r="D507" i="12"/>
  <c r="E507" i="12" s="1"/>
  <c r="D496" i="12"/>
  <c r="E496" i="12" s="1"/>
  <c r="D482" i="12"/>
  <c r="E482" i="12" s="1"/>
  <c r="D473" i="12"/>
  <c r="E473" i="12" s="1"/>
  <c r="D465" i="12"/>
  <c r="E465" i="12" s="1"/>
  <c r="D457" i="12"/>
  <c r="E457" i="12" s="1"/>
  <c r="D449" i="12"/>
  <c r="E449" i="12" s="1"/>
  <c r="D441" i="12"/>
  <c r="E441" i="12" s="1"/>
  <c r="D433" i="12"/>
  <c r="E433" i="12" s="1"/>
  <c r="D425" i="12"/>
  <c r="E425" i="12" s="1"/>
  <c r="D417" i="12"/>
  <c r="E417" i="12" s="1"/>
  <c r="D409" i="12"/>
  <c r="E409" i="12" s="1"/>
  <c r="D401" i="12"/>
  <c r="E401" i="12" s="1"/>
  <c r="D393" i="12"/>
  <c r="E393" i="12" s="1"/>
  <c r="D385" i="12"/>
  <c r="E385" i="12" s="1"/>
  <c r="D377" i="12"/>
  <c r="E377" i="12" s="1"/>
  <c r="D369" i="12"/>
  <c r="E369" i="12" s="1"/>
  <c r="D361" i="12"/>
  <c r="E361" i="12" s="1"/>
  <c r="D353" i="12"/>
  <c r="E353" i="12" s="1"/>
  <c r="D345" i="12"/>
  <c r="E345" i="12" s="1"/>
  <c r="D337" i="12"/>
  <c r="E337" i="12" s="1"/>
  <c r="D329" i="12"/>
  <c r="E329" i="12" s="1"/>
  <c r="D321" i="12"/>
  <c r="E321" i="12" s="1"/>
  <c r="D313" i="12"/>
  <c r="E313" i="12" s="1"/>
  <c r="D305" i="12"/>
  <c r="E305" i="12" s="1"/>
  <c r="D297" i="12"/>
  <c r="E297" i="12" s="1"/>
  <c r="D289" i="12"/>
  <c r="E289" i="12" s="1"/>
  <c r="D281" i="12"/>
  <c r="E281" i="12" s="1"/>
  <c r="D273" i="12"/>
  <c r="E273" i="12" s="1"/>
  <c r="D265" i="12"/>
  <c r="E265" i="12" s="1"/>
  <c r="D257" i="12"/>
  <c r="E257" i="12" s="1"/>
  <c r="D249" i="12"/>
  <c r="E249" i="12" s="1"/>
  <c r="D241" i="12"/>
  <c r="E241" i="12" s="1"/>
  <c r="D233" i="12"/>
  <c r="E233" i="12" s="1"/>
  <c r="D225" i="12"/>
  <c r="E225" i="12" s="1"/>
  <c r="D217" i="12"/>
  <c r="E217" i="12" s="1"/>
  <c r="D209" i="12"/>
  <c r="E209" i="12" s="1"/>
  <c r="D201" i="12"/>
  <c r="E201" i="12" s="1"/>
  <c r="D193" i="12"/>
  <c r="E193" i="12" s="1"/>
  <c r="D185" i="12"/>
  <c r="E185" i="12" s="1"/>
  <c r="D177" i="12"/>
  <c r="E177" i="12" s="1"/>
  <c r="D169" i="12"/>
  <c r="E169" i="12" s="1"/>
  <c r="D161" i="12"/>
  <c r="E161" i="12" s="1"/>
  <c r="D153" i="12"/>
  <c r="E153" i="12" s="1"/>
  <c r="D145" i="12"/>
  <c r="E145" i="12" s="1"/>
  <c r="D137" i="12"/>
  <c r="E137" i="12" s="1"/>
  <c r="D129" i="12"/>
  <c r="E129" i="12" s="1"/>
  <c r="D121" i="12"/>
  <c r="E121" i="12" s="1"/>
  <c r="D113" i="12"/>
  <c r="E113" i="12" s="1"/>
  <c r="D105" i="12"/>
  <c r="E105" i="12" s="1"/>
  <c r="D97" i="12"/>
  <c r="E97" i="12" s="1"/>
  <c r="D89" i="12"/>
  <c r="E89" i="12" s="1"/>
  <c r="D81" i="12"/>
  <c r="E81" i="12" s="1"/>
  <c r="D73" i="12"/>
  <c r="E73" i="12" s="1"/>
  <c r="D65" i="12"/>
  <c r="E65" i="12" s="1"/>
  <c r="D57" i="12"/>
  <c r="E57" i="12" s="1"/>
  <c r="D49" i="12"/>
  <c r="E49" i="12" s="1"/>
  <c r="D41" i="12"/>
  <c r="E41" i="12" s="1"/>
  <c r="D33" i="12"/>
  <c r="E33" i="12" s="1"/>
  <c r="D25" i="12"/>
  <c r="E25" i="12" s="1"/>
  <c r="D17" i="12"/>
  <c r="E17" i="12" s="1"/>
  <c r="D9" i="12"/>
  <c r="E9" i="12" s="1"/>
  <c r="D2" i="12"/>
  <c r="E2" i="12" s="1"/>
  <c r="D2187" i="12"/>
  <c r="D2169" i="12"/>
  <c r="D2146" i="12"/>
  <c r="D2123" i="12"/>
  <c r="D2105" i="12"/>
  <c r="D2082" i="12"/>
  <c r="D2059" i="12"/>
  <c r="D2041" i="12"/>
  <c r="D2018" i="12"/>
  <c r="E2018" i="12" s="1"/>
  <c r="D1995" i="12"/>
  <c r="E1995" i="12" s="1"/>
  <c r="D1977" i="12"/>
  <c r="E1977" i="12" s="1"/>
  <c r="D1954" i="12"/>
  <c r="E1954" i="12" s="1"/>
  <c r="D1931" i="12"/>
  <c r="E1931" i="12" s="1"/>
  <c r="D1913" i="12"/>
  <c r="E1913" i="12" s="1"/>
  <c r="D1890" i="12"/>
  <c r="E1890" i="12" s="1"/>
  <c r="D1867" i="12"/>
  <c r="E1867" i="12" s="1"/>
  <c r="D1849" i="12"/>
  <c r="E1849" i="12" s="1"/>
  <c r="D1826" i="12"/>
  <c r="E1826" i="12" s="1"/>
  <c r="D1803" i="12"/>
  <c r="E1803" i="12" s="1"/>
  <c r="D1785" i="12"/>
  <c r="E1785" i="12" s="1"/>
  <c r="D1762" i="12"/>
  <c r="E1762" i="12" s="1"/>
  <c r="D1739" i="12"/>
  <c r="E1739" i="12" s="1"/>
  <c r="D1721" i="12"/>
  <c r="E1721" i="12" s="1"/>
  <c r="D1698" i="12"/>
  <c r="E1698" i="12" s="1"/>
  <c r="D1675" i="12"/>
  <c r="E1675" i="12" s="1"/>
  <c r="D1657" i="12"/>
  <c r="E1657" i="12" s="1"/>
  <c r="D1634" i="12"/>
  <c r="E1634" i="12" s="1"/>
  <c r="D1611" i="12"/>
  <c r="E1611" i="12" s="1"/>
  <c r="D1593" i="12"/>
  <c r="E1593" i="12" s="1"/>
  <c r="D1570" i="12"/>
  <c r="E1570" i="12" s="1"/>
  <c r="D1547" i="12"/>
  <c r="E1547" i="12" s="1"/>
  <c r="D1529" i="12"/>
  <c r="E1529" i="12" s="1"/>
  <c r="D1507" i="12"/>
  <c r="E1507" i="12" s="1"/>
  <c r="D1491" i="12"/>
  <c r="E1491" i="12" s="1"/>
  <c r="D1475" i="12"/>
  <c r="E1475" i="12" s="1"/>
  <c r="D1459" i="12"/>
  <c r="E1459" i="12" s="1"/>
  <c r="D1443" i="12"/>
  <c r="E1443" i="12" s="1"/>
  <c r="D1427" i="12"/>
  <c r="E1427" i="12" s="1"/>
  <c r="D1411" i="12"/>
  <c r="E1411" i="12" s="1"/>
  <c r="D1395" i="12"/>
  <c r="E1395" i="12" s="1"/>
  <c r="D1379" i="12"/>
  <c r="E1379" i="12" s="1"/>
  <c r="D1363" i="12"/>
  <c r="E1363" i="12" s="1"/>
  <c r="D1347" i="12"/>
  <c r="E1347" i="12" s="1"/>
  <c r="D1331" i="12"/>
  <c r="E1331" i="12" s="1"/>
  <c r="D1315" i="12"/>
  <c r="E1315" i="12" s="1"/>
  <c r="D1299" i="12"/>
  <c r="E1299" i="12" s="1"/>
  <c r="D1283" i="12"/>
  <c r="E1283" i="12" s="1"/>
  <c r="D1267" i="12"/>
  <c r="E1267" i="12" s="1"/>
  <c r="D1251" i="12"/>
  <c r="E1251" i="12" s="1"/>
  <c r="D1235" i="12"/>
  <c r="E1235" i="12" s="1"/>
  <c r="D1219" i="12"/>
  <c r="E1219" i="12" s="1"/>
  <c r="D1203" i="12"/>
  <c r="E1203" i="12" s="1"/>
  <c r="D1187" i="12"/>
  <c r="E1187" i="12" s="1"/>
  <c r="D1171" i="12"/>
  <c r="E1171" i="12" s="1"/>
  <c r="D1155" i="12"/>
  <c r="E1155" i="12" s="1"/>
  <c r="D1139" i="12"/>
  <c r="E1139" i="12" s="1"/>
  <c r="D1123" i="12"/>
  <c r="E1123" i="12" s="1"/>
  <c r="D1107" i="12"/>
  <c r="E1107" i="12" s="1"/>
  <c r="D1091" i="12"/>
  <c r="E1091" i="12" s="1"/>
  <c r="D1075" i="12"/>
  <c r="E1075" i="12" s="1"/>
  <c r="D1059" i="12"/>
  <c r="E1059" i="12" s="1"/>
  <c r="D1043" i="12"/>
  <c r="E1043" i="12" s="1"/>
  <c r="D1027" i="12"/>
  <c r="E1027" i="12" s="1"/>
  <c r="D1011" i="12"/>
  <c r="E1011" i="12" s="1"/>
  <c r="D995" i="12"/>
  <c r="E995" i="12" s="1"/>
  <c r="D979" i="12"/>
  <c r="E979" i="12" s="1"/>
  <c r="D968" i="12"/>
  <c r="E968" i="12" s="1"/>
  <c r="D954" i="12"/>
  <c r="E954" i="12" s="1"/>
  <c r="D940" i="12"/>
  <c r="E940" i="12" s="1"/>
  <c r="D929" i="12"/>
  <c r="E929" i="12" s="1"/>
  <c r="D915" i="12"/>
  <c r="E915" i="12" s="1"/>
  <c r="D904" i="12"/>
  <c r="E904" i="12" s="1"/>
  <c r="D890" i="12"/>
  <c r="E890" i="12" s="1"/>
  <c r="D876" i="12"/>
  <c r="E876" i="12" s="1"/>
  <c r="D865" i="12"/>
  <c r="E865" i="12" s="1"/>
  <c r="D851" i="12"/>
  <c r="E851" i="12" s="1"/>
  <c r="D840" i="12"/>
  <c r="E840" i="12" s="1"/>
  <c r="D826" i="12"/>
  <c r="E826" i="12" s="1"/>
  <c r="D812" i="12"/>
  <c r="E812" i="12" s="1"/>
  <c r="D801" i="12"/>
  <c r="E801" i="12" s="1"/>
  <c r="D787" i="12"/>
  <c r="E787" i="12" s="1"/>
  <c r="D776" i="12"/>
  <c r="E776" i="12" s="1"/>
  <c r="D762" i="12"/>
  <c r="E762" i="12" s="1"/>
  <c r="D748" i="12"/>
  <c r="E748" i="12" s="1"/>
  <c r="D737" i="12"/>
  <c r="E737" i="12" s="1"/>
  <c r="D723" i="12"/>
  <c r="E723" i="12" s="1"/>
  <c r="D712" i="12"/>
  <c r="E712" i="12" s="1"/>
  <c r="D698" i="12"/>
  <c r="E698" i="12" s="1"/>
  <c r="D684" i="12"/>
  <c r="E684" i="12" s="1"/>
  <c r="D673" i="12"/>
  <c r="E673" i="12" s="1"/>
  <c r="D659" i="12"/>
  <c r="E659" i="12" s="1"/>
  <c r="D648" i="12"/>
  <c r="E648" i="12" s="1"/>
  <c r="D634" i="12"/>
  <c r="E634" i="12" s="1"/>
  <c r="D620" i="12"/>
  <c r="E620" i="12" s="1"/>
  <c r="D609" i="12"/>
  <c r="E609" i="12" s="1"/>
  <c r="D595" i="12"/>
  <c r="E595" i="12" s="1"/>
  <c r="D584" i="12"/>
  <c r="E584" i="12" s="1"/>
  <c r="D570" i="12"/>
  <c r="E570" i="12" s="1"/>
  <c r="D556" i="12"/>
  <c r="E556" i="12" s="1"/>
  <c r="D545" i="12"/>
  <c r="E545" i="12" s="1"/>
  <c r="D531" i="12"/>
  <c r="E531" i="12" s="1"/>
  <c r="D520" i="12"/>
  <c r="E520" i="12" s="1"/>
  <c r="D506" i="12"/>
  <c r="E506" i="12" s="1"/>
  <c r="D492" i="12"/>
  <c r="E492" i="12" s="1"/>
  <c r="D481" i="12"/>
  <c r="E481" i="12" s="1"/>
  <c r="D472" i="12"/>
  <c r="E472" i="12" s="1"/>
  <c r="D464" i="12"/>
  <c r="E464" i="12" s="1"/>
  <c r="D456" i="12"/>
  <c r="E456" i="12" s="1"/>
  <c r="D448" i="12"/>
  <c r="E448" i="12" s="1"/>
  <c r="D440" i="12"/>
  <c r="E440" i="12" s="1"/>
  <c r="D432" i="12"/>
  <c r="E432" i="12" s="1"/>
  <c r="D424" i="12"/>
  <c r="E424" i="12" s="1"/>
  <c r="D416" i="12"/>
  <c r="E416" i="12" s="1"/>
  <c r="D408" i="12"/>
  <c r="E408" i="12" s="1"/>
  <c r="D400" i="12"/>
  <c r="E400" i="12" s="1"/>
  <c r="D392" i="12"/>
  <c r="E392" i="12" s="1"/>
  <c r="D384" i="12"/>
  <c r="E384" i="12" s="1"/>
  <c r="D376" i="12"/>
  <c r="E376" i="12" s="1"/>
  <c r="D368" i="12"/>
  <c r="E368" i="12" s="1"/>
  <c r="D360" i="12"/>
  <c r="E360" i="12" s="1"/>
  <c r="D352" i="12"/>
  <c r="E352" i="12" s="1"/>
  <c r="D344" i="12"/>
  <c r="E344" i="12" s="1"/>
  <c r="D336" i="12"/>
  <c r="E336" i="12" s="1"/>
  <c r="D328" i="12"/>
  <c r="E328" i="12" s="1"/>
  <c r="D320" i="12"/>
  <c r="E320" i="12" s="1"/>
  <c r="D312" i="12"/>
  <c r="E312" i="12" s="1"/>
  <c r="D304" i="12"/>
  <c r="E304" i="12" s="1"/>
  <c r="D296" i="12"/>
  <c r="E296" i="12" s="1"/>
  <c r="D288" i="12"/>
  <c r="E288" i="12" s="1"/>
  <c r="D280" i="12"/>
  <c r="E280" i="12" s="1"/>
  <c r="D272" i="12"/>
  <c r="E272" i="12" s="1"/>
  <c r="D264" i="12"/>
  <c r="E264" i="12" s="1"/>
  <c r="D256" i="12"/>
  <c r="E256" i="12" s="1"/>
  <c r="D248" i="12"/>
  <c r="E248" i="12" s="1"/>
  <c r="D240" i="12"/>
  <c r="E240" i="12" s="1"/>
  <c r="D232" i="12"/>
  <c r="E232" i="12" s="1"/>
  <c r="D224" i="12"/>
  <c r="E224" i="12" s="1"/>
  <c r="D216" i="12"/>
  <c r="E216" i="12" s="1"/>
  <c r="D208" i="12"/>
  <c r="E208" i="12" s="1"/>
  <c r="D200" i="12"/>
  <c r="E200" i="12" s="1"/>
  <c r="D192" i="12"/>
  <c r="E192" i="12" s="1"/>
  <c r="D184" i="12"/>
  <c r="E184" i="12" s="1"/>
  <c r="D176" i="12"/>
  <c r="E176" i="12" s="1"/>
  <c r="D168" i="12"/>
  <c r="E168" i="12" s="1"/>
  <c r="D160" i="12"/>
  <c r="E160" i="12" s="1"/>
  <c r="D152" i="12"/>
  <c r="E152" i="12" s="1"/>
  <c r="D144" i="12"/>
  <c r="E144" i="12" s="1"/>
  <c r="D136" i="12"/>
  <c r="E136" i="12" s="1"/>
  <c r="D128" i="12"/>
  <c r="E128" i="12" s="1"/>
  <c r="D120" i="12"/>
  <c r="E120" i="12" s="1"/>
  <c r="D112" i="12"/>
  <c r="E112" i="12" s="1"/>
  <c r="D104" i="12"/>
  <c r="E104" i="12" s="1"/>
  <c r="D96" i="12"/>
  <c r="E96" i="12" s="1"/>
  <c r="D88" i="12"/>
  <c r="E88" i="12" s="1"/>
  <c r="D80" i="12"/>
  <c r="E80" i="12" s="1"/>
  <c r="D72" i="12"/>
  <c r="E72" i="12" s="1"/>
  <c r="D64" i="12"/>
  <c r="E64" i="12" s="1"/>
  <c r="D56" i="12"/>
  <c r="E56" i="12" s="1"/>
  <c r="D48" i="12"/>
  <c r="E48" i="12" s="1"/>
  <c r="D40" i="12"/>
  <c r="E40" i="12" s="1"/>
  <c r="D32" i="12"/>
  <c r="E32" i="12" s="1"/>
  <c r="D24" i="12"/>
  <c r="E24" i="12" s="1"/>
  <c r="D16" i="12"/>
  <c r="E16" i="12" s="1"/>
  <c r="D8" i="12"/>
  <c r="E8" i="12" s="1"/>
  <c r="D2186" i="12"/>
  <c r="D2163" i="12"/>
  <c r="D2145" i="12"/>
  <c r="D2122" i="12"/>
  <c r="D2099" i="12"/>
  <c r="D2081" i="12"/>
  <c r="D2058" i="12"/>
  <c r="D2035" i="12"/>
  <c r="E2035" i="12" s="1"/>
  <c r="D2017" i="12"/>
  <c r="E2017" i="12" s="1"/>
  <c r="D1994" i="12"/>
  <c r="E1994" i="12" s="1"/>
  <c r="D1971" i="12"/>
  <c r="E1971" i="12" s="1"/>
  <c r="D1953" i="12"/>
  <c r="E1953" i="12" s="1"/>
  <c r="D1930" i="12"/>
  <c r="E1930" i="12" s="1"/>
  <c r="D1907" i="12"/>
  <c r="E1907" i="12" s="1"/>
  <c r="D1889" i="12"/>
  <c r="E1889" i="12" s="1"/>
  <c r="D1866" i="12"/>
  <c r="E1866" i="12" s="1"/>
  <c r="D1843" i="12"/>
  <c r="E1843" i="12" s="1"/>
  <c r="D1825" i="12"/>
  <c r="E1825" i="12" s="1"/>
  <c r="D1802" i="12"/>
  <c r="E1802" i="12" s="1"/>
  <c r="D1779" i="12"/>
  <c r="E1779" i="12" s="1"/>
  <c r="D1761" i="12"/>
  <c r="E1761" i="12" s="1"/>
  <c r="D1738" i="12"/>
  <c r="E1738" i="12" s="1"/>
  <c r="D1715" i="12"/>
  <c r="E1715" i="12" s="1"/>
  <c r="D1697" i="12"/>
  <c r="E1697" i="12" s="1"/>
  <c r="D1674" i="12"/>
  <c r="E1674" i="12" s="1"/>
  <c r="D1651" i="12"/>
  <c r="E1651" i="12" s="1"/>
  <c r="D1633" i="12"/>
  <c r="E1633" i="12" s="1"/>
  <c r="D1610" i="12"/>
  <c r="E1610" i="12" s="1"/>
  <c r="D1587" i="12"/>
  <c r="E1587" i="12" s="1"/>
  <c r="D1569" i="12"/>
  <c r="E1569" i="12" s="1"/>
  <c r="D1546" i="12"/>
  <c r="E1546" i="12" s="1"/>
  <c r="D1523" i="12"/>
  <c r="E1523" i="12" s="1"/>
  <c r="D1506" i="12"/>
  <c r="E1506" i="12" s="1"/>
  <c r="D1490" i="12"/>
  <c r="E1490" i="12" s="1"/>
  <c r="D1474" i="12"/>
  <c r="E1474" i="12" s="1"/>
  <c r="D1458" i="12"/>
  <c r="E1458" i="12" s="1"/>
  <c r="D1442" i="12"/>
  <c r="E1442" i="12" s="1"/>
  <c r="D1426" i="12"/>
  <c r="E1426" i="12" s="1"/>
  <c r="D1410" i="12"/>
  <c r="E1410" i="12" s="1"/>
  <c r="D1394" i="12"/>
  <c r="E1394" i="12" s="1"/>
  <c r="D1378" i="12"/>
  <c r="E1378" i="12" s="1"/>
  <c r="D1362" i="12"/>
  <c r="E1362" i="12" s="1"/>
  <c r="D1346" i="12"/>
  <c r="E1346" i="12" s="1"/>
  <c r="D1330" i="12"/>
  <c r="E1330" i="12" s="1"/>
  <c r="D1314" i="12"/>
  <c r="E1314" i="12" s="1"/>
  <c r="D1298" i="12"/>
  <c r="E1298" i="12" s="1"/>
  <c r="D1282" i="12"/>
  <c r="E1282" i="12" s="1"/>
  <c r="D1266" i="12"/>
  <c r="E1266" i="12" s="1"/>
  <c r="D1250" i="12"/>
  <c r="E1250" i="12" s="1"/>
  <c r="D1234" i="12"/>
  <c r="E1234" i="12" s="1"/>
  <c r="D1218" i="12"/>
  <c r="E1218" i="12" s="1"/>
  <c r="D1202" i="12"/>
  <c r="E1202" i="12" s="1"/>
  <c r="D1186" i="12"/>
  <c r="E1186" i="12" s="1"/>
  <c r="D1170" i="12"/>
  <c r="E1170" i="12" s="1"/>
  <c r="D1154" i="12"/>
  <c r="E1154" i="12" s="1"/>
  <c r="D1138" i="12"/>
  <c r="E1138" i="12" s="1"/>
  <c r="D1122" i="12"/>
  <c r="E1122" i="12" s="1"/>
  <c r="D1106" i="12"/>
  <c r="E1106" i="12" s="1"/>
  <c r="D1090" i="12"/>
  <c r="E1090" i="12" s="1"/>
  <c r="D1074" i="12"/>
  <c r="E1074" i="12" s="1"/>
  <c r="D1058" i="12"/>
  <c r="E1058" i="12" s="1"/>
  <c r="D1042" i="12"/>
  <c r="E1042" i="12" s="1"/>
  <c r="D1026" i="12"/>
  <c r="E1026" i="12" s="1"/>
  <c r="D1010" i="12"/>
  <c r="E1010" i="12" s="1"/>
  <c r="D994" i="12"/>
  <c r="E994" i="12" s="1"/>
  <c r="D978" i="12"/>
  <c r="E978" i="12" s="1"/>
  <c r="D964" i="12"/>
  <c r="E964" i="12" s="1"/>
  <c r="D953" i="12"/>
  <c r="E953" i="12" s="1"/>
  <c r="D939" i="12"/>
  <c r="E939" i="12" s="1"/>
  <c r="D928" i="12"/>
  <c r="E928" i="12" s="1"/>
  <c r="D914" i="12"/>
  <c r="E914" i="12" s="1"/>
  <c r="D900" i="12"/>
  <c r="E900" i="12" s="1"/>
  <c r="D889" i="12"/>
  <c r="E889" i="12" s="1"/>
  <c r="D875" i="12"/>
  <c r="E875" i="12" s="1"/>
  <c r="D864" i="12"/>
  <c r="E864" i="12" s="1"/>
  <c r="D850" i="12"/>
  <c r="E850" i="12" s="1"/>
  <c r="D836" i="12"/>
  <c r="E836" i="12" s="1"/>
  <c r="D825" i="12"/>
  <c r="E825" i="12" s="1"/>
  <c r="D811" i="12"/>
  <c r="E811" i="12" s="1"/>
  <c r="D800" i="12"/>
  <c r="E800" i="12" s="1"/>
  <c r="D786" i="12"/>
  <c r="E786" i="12" s="1"/>
  <c r="D772" i="12"/>
  <c r="E772" i="12" s="1"/>
  <c r="D761" i="12"/>
  <c r="E761" i="12" s="1"/>
  <c r="D747" i="12"/>
  <c r="E747" i="12" s="1"/>
  <c r="D736" i="12"/>
  <c r="E736" i="12" s="1"/>
  <c r="D722" i="12"/>
  <c r="E722" i="12" s="1"/>
  <c r="D708" i="12"/>
  <c r="E708" i="12" s="1"/>
  <c r="D697" i="12"/>
  <c r="E697" i="12" s="1"/>
  <c r="D683" i="12"/>
  <c r="E683" i="12" s="1"/>
  <c r="D672" i="12"/>
  <c r="E672" i="12" s="1"/>
  <c r="D658" i="12"/>
  <c r="E658" i="12" s="1"/>
  <c r="D644" i="12"/>
  <c r="E644" i="12" s="1"/>
  <c r="D633" i="12"/>
  <c r="E633" i="12" s="1"/>
  <c r="D619" i="12"/>
  <c r="E619" i="12" s="1"/>
  <c r="D608" i="12"/>
  <c r="E608" i="12" s="1"/>
  <c r="D594" i="12"/>
  <c r="E594" i="12" s="1"/>
  <c r="D580" i="12"/>
  <c r="E580" i="12" s="1"/>
  <c r="D569" i="12"/>
  <c r="E569" i="12" s="1"/>
  <c r="D555" i="12"/>
  <c r="E555" i="12" s="1"/>
  <c r="D544" i="12"/>
  <c r="E544" i="12" s="1"/>
  <c r="D530" i="12"/>
  <c r="E530" i="12" s="1"/>
  <c r="D516" i="12"/>
  <c r="E516" i="12" s="1"/>
  <c r="D505" i="12"/>
  <c r="E505" i="12" s="1"/>
  <c r="D491" i="12"/>
  <c r="E491" i="12" s="1"/>
  <c r="D480" i="12"/>
  <c r="E480" i="12" s="1"/>
  <c r="D471" i="12"/>
  <c r="E471" i="12" s="1"/>
  <c r="D463" i="12"/>
  <c r="E463" i="12" s="1"/>
  <c r="D455" i="12"/>
  <c r="E455" i="12" s="1"/>
  <c r="D447" i="12"/>
  <c r="E447" i="12" s="1"/>
  <c r="D439" i="12"/>
  <c r="E439" i="12" s="1"/>
  <c r="D431" i="12"/>
  <c r="E431" i="12" s="1"/>
  <c r="D423" i="12"/>
  <c r="E423" i="12" s="1"/>
  <c r="D415" i="12"/>
  <c r="E415" i="12" s="1"/>
  <c r="D407" i="12"/>
  <c r="E407" i="12" s="1"/>
  <c r="D399" i="12"/>
  <c r="E399" i="12" s="1"/>
  <c r="D391" i="12"/>
  <c r="E391" i="12" s="1"/>
  <c r="D383" i="12"/>
  <c r="E383" i="12" s="1"/>
  <c r="D375" i="12"/>
  <c r="E375" i="12" s="1"/>
  <c r="D367" i="12"/>
  <c r="E367" i="12" s="1"/>
  <c r="D359" i="12"/>
  <c r="E359" i="12" s="1"/>
  <c r="D351" i="12"/>
  <c r="E351" i="12" s="1"/>
  <c r="D343" i="12"/>
  <c r="E343" i="12" s="1"/>
  <c r="D335" i="12"/>
  <c r="E335" i="12" s="1"/>
  <c r="D327" i="12"/>
  <c r="E327" i="12" s="1"/>
  <c r="D319" i="12"/>
  <c r="E319" i="12" s="1"/>
  <c r="D311" i="12"/>
  <c r="E311" i="12" s="1"/>
  <c r="D303" i="12"/>
  <c r="E303" i="12" s="1"/>
  <c r="D295" i="12"/>
  <c r="E295" i="12" s="1"/>
  <c r="D287" i="12"/>
  <c r="E287" i="12" s="1"/>
  <c r="D279" i="12"/>
  <c r="E279" i="12" s="1"/>
  <c r="D271" i="12"/>
  <c r="E271" i="12" s="1"/>
  <c r="D263" i="12"/>
  <c r="E263" i="12" s="1"/>
  <c r="D255" i="12"/>
  <c r="E255" i="12" s="1"/>
  <c r="D247" i="12"/>
  <c r="E247" i="12" s="1"/>
  <c r="D239" i="12"/>
  <c r="E239" i="12" s="1"/>
  <c r="D231" i="12"/>
  <c r="E231" i="12" s="1"/>
  <c r="D223" i="12"/>
  <c r="E223" i="12" s="1"/>
  <c r="D215" i="12"/>
  <c r="E215" i="12" s="1"/>
  <c r="D207" i="12"/>
  <c r="E207" i="12" s="1"/>
  <c r="D199" i="12"/>
  <c r="E199" i="12" s="1"/>
  <c r="D191" i="12"/>
  <c r="E191" i="12" s="1"/>
  <c r="D183" i="12"/>
  <c r="E183" i="12" s="1"/>
  <c r="D175" i="12"/>
  <c r="E175" i="12" s="1"/>
  <c r="D167" i="12"/>
  <c r="E167" i="12" s="1"/>
  <c r="D159" i="12"/>
  <c r="E159" i="12" s="1"/>
  <c r="D151" i="12"/>
  <c r="E151" i="12" s="1"/>
  <c r="D143" i="12"/>
  <c r="E143" i="12" s="1"/>
  <c r="D135" i="12"/>
  <c r="E135" i="12" s="1"/>
  <c r="D127" i="12"/>
  <c r="E127" i="12" s="1"/>
  <c r="D119" i="12"/>
  <c r="E119" i="12" s="1"/>
  <c r="D111" i="12"/>
  <c r="E111" i="12" s="1"/>
  <c r="D103" i="12"/>
  <c r="E103" i="12" s="1"/>
  <c r="D95" i="12"/>
  <c r="E95" i="12" s="1"/>
  <c r="D87" i="12"/>
  <c r="E87" i="12" s="1"/>
  <c r="D79" i="12"/>
  <c r="E79" i="12" s="1"/>
  <c r="D71" i="12"/>
  <c r="E71" i="12" s="1"/>
  <c r="D63" i="12"/>
  <c r="E63" i="12" s="1"/>
  <c r="D55" i="12"/>
  <c r="E55" i="12" s="1"/>
  <c r="D47" i="12"/>
  <c r="E47" i="12" s="1"/>
  <c r="D39" i="12"/>
  <c r="E39" i="12" s="1"/>
  <c r="D31" i="12"/>
  <c r="E31" i="12" s="1"/>
  <c r="D23" i="12"/>
  <c r="E23" i="12" s="1"/>
  <c r="D15" i="12"/>
  <c r="E15" i="12" s="1"/>
  <c r="D7" i="12"/>
  <c r="E7" i="12" s="1"/>
  <c r="D2185" i="12"/>
  <c r="D2162" i="12"/>
  <c r="D2139" i="12"/>
  <c r="D2121" i="12"/>
  <c r="D2098" i="12"/>
  <c r="D2075" i="12"/>
  <c r="D2057" i="12"/>
  <c r="D2034" i="12"/>
  <c r="E2034" i="12" s="1"/>
  <c r="D2011" i="12"/>
  <c r="E2011" i="12" s="1"/>
  <c r="D1993" i="12"/>
  <c r="E1993" i="12" s="1"/>
  <c r="D1970" i="12"/>
  <c r="E1970" i="12" s="1"/>
  <c r="D1947" i="12"/>
  <c r="E1947" i="12" s="1"/>
  <c r="D1929" i="12"/>
  <c r="E1929" i="12" s="1"/>
  <c r="D1906" i="12"/>
  <c r="E1906" i="12" s="1"/>
  <c r="D1883" i="12"/>
  <c r="E1883" i="12" s="1"/>
  <c r="D1865" i="12"/>
  <c r="E1865" i="12" s="1"/>
  <c r="D1842" i="12"/>
  <c r="E1842" i="12" s="1"/>
  <c r="D1819" i="12"/>
  <c r="E1819" i="12" s="1"/>
  <c r="D1801" i="12"/>
  <c r="E1801" i="12" s="1"/>
  <c r="D1778" i="12"/>
  <c r="E1778" i="12" s="1"/>
  <c r="D1755" i="12"/>
  <c r="E1755" i="12" s="1"/>
  <c r="D1737" i="12"/>
  <c r="E1737" i="12" s="1"/>
  <c r="D1714" i="12"/>
  <c r="E1714" i="12" s="1"/>
  <c r="D1691" i="12"/>
  <c r="E1691" i="12" s="1"/>
  <c r="D1673" i="12"/>
  <c r="E1673" i="12" s="1"/>
  <c r="D1650" i="12"/>
  <c r="E1650" i="12" s="1"/>
  <c r="D1627" i="12"/>
  <c r="E1627" i="12" s="1"/>
  <c r="D1609" i="12"/>
  <c r="E1609" i="12" s="1"/>
  <c r="D1586" i="12"/>
  <c r="E1586" i="12" s="1"/>
  <c r="D1563" i="12"/>
  <c r="E1563" i="12" s="1"/>
  <c r="D1545" i="12"/>
  <c r="E1545" i="12" s="1"/>
  <c r="D1522" i="12"/>
  <c r="E1522" i="12" s="1"/>
  <c r="D1505" i="12"/>
  <c r="E1505" i="12" s="1"/>
  <c r="D1489" i="12"/>
  <c r="E1489" i="12" s="1"/>
  <c r="D1473" i="12"/>
  <c r="E1473" i="12" s="1"/>
  <c r="D1457" i="12"/>
  <c r="E1457" i="12" s="1"/>
  <c r="D1441" i="12"/>
  <c r="E1441" i="12" s="1"/>
  <c r="D1425" i="12"/>
  <c r="E1425" i="12" s="1"/>
  <c r="D1409" i="12"/>
  <c r="E1409" i="12" s="1"/>
  <c r="D1393" i="12"/>
  <c r="E1393" i="12" s="1"/>
  <c r="D1377" i="12"/>
  <c r="E1377" i="12" s="1"/>
  <c r="D1361" i="12"/>
  <c r="E1361" i="12" s="1"/>
  <c r="D1345" i="12"/>
  <c r="E1345" i="12" s="1"/>
  <c r="D1329" i="12"/>
  <c r="E1329" i="12" s="1"/>
  <c r="D1313" i="12"/>
  <c r="E1313" i="12" s="1"/>
  <c r="D1297" i="12"/>
  <c r="E1297" i="12" s="1"/>
  <c r="D1281" i="12"/>
  <c r="E1281" i="12" s="1"/>
  <c r="D1265" i="12"/>
  <c r="E1265" i="12" s="1"/>
  <c r="D1249" i="12"/>
  <c r="E1249" i="12" s="1"/>
  <c r="D1233" i="12"/>
  <c r="E1233" i="12" s="1"/>
  <c r="D1217" i="12"/>
  <c r="E1217" i="12" s="1"/>
  <c r="D1201" i="12"/>
  <c r="E1201" i="12" s="1"/>
  <c r="D1185" i="12"/>
  <c r="E1185" i="12" s="1"/>
  <c r="D1169" i="12"/>
  <c r="E1169" i="12" s="1"/>
  <c r="D1153" i="12"/>
  <c r="E1153" i="12" s="1"/>
  <c r="D1137" i="12"/>
  <c r="E1137" i="12" s="1"/>
  <c r="D1121" i="12"/>
  <c r="E1121" i="12" s="1"/>
  <c r="D1105" i="12"/>
  <c r="E1105" i="12" s="1"/>
  <c r="D1089" i="12"/>
  <c r="E1089" i="12" s="1"/>
  <c r="D1073" i="12"/>
  <c r="E1073" i="12" s="1"/>
  <c r="D1057" i="12"/>
  <c r="E1057" i="12" s="1"/>
  <c r="D1041" i="12"/>
  <c r="E1041" i="12" s="1"/>
  <c r="D1025" i="12"/>
  <c r="E1025" i="12" s="1"/>
  <c r="D1009" i="12"/>
  <c r="E1009" i="12" s="1"/>
  <c r="D993" i="12"/>
  <c r="E993" i="12" s="1"/>
  <c r="D977" i="12"/>
  <c r="E977" i="12" s="1"/>
  <c r="D963" i="12"/>
  <c r="E963" i="12" s="1"/>
  <c r="D952" i="12"/>
  <c r="E952" i="12" s="1"/>
  <c r="D938" i="12"/>
  <c r="E938" i="12" s="1"/>
  <c r="D924" i="12"/>
  <c r="E924" i="12" s="1"/>
  <c r="D913" i="12"/>
  <c r="E913" i="12" s="1"/>
  <c r="D899" i="12"/>
  <c r="E899" i="12" s="1"/>
  <c r="D888" i="12"/>
  <c r="E888" i="12" s="1"/>
  <c r="D874" i="12"/>
  <c r="E874" i="12" s="1"/>
  <c r="D860" i="12"/>
  <c r="E860" i="12" s="1"/>
  <c r="D849" i="12"/>
  <c r="E849" i="12" s="1"/>
  <c r="D835" i="12"/>
  <c r="E835" i="12" s="1"/>
  <c r="D824" i="12"/>
  <c r="E824" i="12" s="1"/>
  <c r="D810" i="12"/>
  <c r="E810" i="12" s="1"/>
  <c r="D796" i="12"/>
  <c r="E796" i="12" s="1"/>
  <c r="D785" i="12"/>
  <c r="E785" i="12" s="1"/>
  <c r="D771" i="12"/>
  <c r="E771" i="12" s="1"/>
  <c r="D760" i="12"/>
  <c r="E760" i="12" s="1"/>
  <c r="D746" i="12"/>
  <c r="E746" i="12" s="1"/>
  <c r="D732" i="12"/>
  <c r="E732" i="12" s="1"/>
  <c r="D721" i="12"/>
  <c r="E721" i="12" s="1"/>
  <c r="D707" i="12"/>
  <c r="E707" i="12" s="1"/>
  <c r="D696" i="12"/>
  <c r="E696" i="12" s="1"/>
  <c r="D682" i="12"/>
  <c r="E682" i="12" s="1"/>
  <c r="D668" i="12"/>
  <c r="E668" i="12" s="1"/>
  <c r="D657" i="12"/>
  <c r="E657" i="12" s="1"/>
  <c r="D643" i="12"/>
  <c r="E643" i="12" s="1"/>
  <c r="D632" i="12"/>
  <c r="E632" i="12" s="1"/>
  <c r="D618" i="12"/>
  <c r="E618" i="12" s="1"/>
  <c r="D604" i="12"/>
  <c r="E604" i="12" s="1"/>
  <c r="D593" i="12"/>
  <c r="E593" i="12" s="1"/>
  <c r="D579" i="12"/>
  <c r="E579" i="12" s="1"/>
  <c r="D568" i="12"/>
  <c r="E568" i="12" s="1"/>
  <c r="D554" i="12"/>
  <c r="E554" i="12" s="1"/>
  <c r="D540" i="12"/>
  <c r="E540" i="12" s="1"/>
  <c r="D529" i="12"/>
  <c r="E529" i="12" s="1"/>
  <c r="D515" i="12"/>
  <c r="E515" i="12" s="1"/>
  <c r="D504" i="12"/>
  <c r="E504" i="12" s="1"/>
  <c r="D490" i="12"/>
  <c r="E490" i="12" s="1"/>
  <c r="D479" i="12"/>
  <c r="E479" i="12" s="1"/>
  <c r="D470" i="12"/>
  <c r="E470" i="12" s="1"/>
  <c r="D462" i="12"/>
  <c r="E462" i="12" s="1"/>
  <c r="D454" i="12"/>
  <c r="E454" i="12" s="1"/>
  <c r="D446" i="12"/>
  <c r="E446" i="12" s="1"/>
  <c r="D438" i="12"/>
  <c r="E438" i="12" s="1"/>
  <c r="D430" i="12"/>
  <c r="E430" i="12" s="1"/>
  <c r="D422" i="12"/>
  <c r="E422" i="12" s="1"/>
  <c r="D414" i="12"/>
  <c r="E414" i="12" s="1"/>
  <c r="D406" i="12"/>
  <c r="E406" i="12" s="1"/>
  <c r="D398" i="12"/>
  <c r="E398" i="12" s="1"/>
  <c r="D390" i="12"/>
  <c r="E390" i="12" s="1"/>
  <c r="D382" i="12"/>
  <c r="E382" i="12" s="1"/>
  <c r="D374" i="12"/>
  <c r="E374" i="12" s="1"/>
  <c r="D366" i="12"/>
  <c r="E366" i="12" s="1"/>
  <c r="D358" i="12"/>
  <c r="E358" i="12" s="1"/>
  <c r="D350" i="12"/>
  <c r="E350" i="12" s="1"/>
  <c r="D342" i="12"/>
  <c r="E342" i="12" s="1"/>
  <c r="D334" i="12"/>
  <c r="E334" i="12" s="1"/>
  <c r="D326" i="12"/>
  <c r="E326" i="12" s="1"/>
  <c r="D318" i="12"/>
  <c r="E318" i="12" s="1"/>
  <c r="D310" i="12"/>
  <c r="E310" i="12" s="1"/>
  <c r="D302" i="12"/>
  <c r="E302" i="12" s="1"/>
  <c r="D294" i="12"/>
  <c r="E294" i="12" s="1"/>
  <c r="D286" i="12"/>
  <c r="E286" i="12" s="1"/>
  <c r="D278" i="12"/>
  <c r="E278" i="12" s="1"/>
  <c r="D270" i="12"/>
  <c r="E270" i="12" s="1"/>
  <c r="D262" i="12"/>
  <c r="E262" i="12" s="1"/>
  <c r="D254" i="12"/>
  <c r="E254" i="12" s="1"/>
  <c r="D246" i="12"/>
  <c r="E246" i="12" s="1"/>
  <c r="D238" i="12"/>
  <c r="E238" i="12" s="1"/>
  <c r="D230" i="12"/>
  <c r="E230" i="12" s="1"/>
  <c r="D222" i="12"/>
  <c r="E222" i="12" s="1"/>
  <c r="D214" i="12"/>
  <c r="E214" i="12" s="1"/>
  <c r="D206" i="12"/>
  <c r="E206" i="12" s="1"/>
  <c r="D198" i="12"/>
  <c r="E198" i="12" s="1"/>
  <c r="D190" i="12"/>
  <c r="E190" i="12" s="1"/>
  <c r="D182" i="12"/>
  <c r="E182" i="12" s="1"/>
  <c r="D174" i="12"/>
  <c r="E174" i="12" s="1"/>
  <c r="D166" i="12"/>
  <c r="E166" i="12" s="1"/>
  <c r="D158" i="12"/>
  <c r="E158" i="12" s="1"/>
  <c r="D150" i="12"/>
  <c r="E150" i="12" s="1"/>
  <c r="D142" i="12"/>
  <c r="E142" i="12" s="1"/>
  <c r="D134" i="12"/>
  <c r="E134" i="12" s="1"/>
  <c r="D126" i="12"/>
  <c r="E126" i="12" s="1"/>
  <c r="D118" i="12"/>
  <c r="E118" i="12" s="1"/>
  <c r="D110" i="12"/>
  <c r="E110" i="12" s="1"/>
  <c r="D102" i="12"/>
  <c r="E102" i="12" s="1"/>
  <c r="D94" i="12"/>
  <c r="E94" i="12" s="1"/>
  <c r="D86" i="12"/>
  <c r="E86" i="12" s="1"/>
  <c r="D78" i="12"/>
  <c r="E78" i="12" s="1"/>
  <c r="D70" i="12"/>
  <c r="E70" i="12" s="1"/>
  <c r="D62" i="12"/>
  <c r="E62" i="12" s="1"/>
  <c r="D54" i="12"/>
  <c r="E54" i="12" s="1"/>
  <c r="D46" i="12"/>
  <c r="E46" i="12" s="1"/>
  <c r="D38" i="12"/>
  <c r="E38" i="12" s="1"/>
  <c r="D30" i="12"/>
  <c r="E30" i="12" s="1"/>
  <c r="D22" i="12"/>
  <c r="E22" i="12" s="1"/>
  <c r="D14" i="12"/>
  <c r="E14" i="12" s="1"/>
  <c r="D6" i="12"/>
  <c r="E6" i="12" s="1"/>
  <c r="D2179" i="12"/>
  <c r="D2161" i="12"/>
  <c r="D2138" i="12"/>
  <c r="D2115" i="12"/>
  <c r="D2097" i="12"/>
  <c r="D2074" i="12"/>
  <c r="D2051" i="12"/>
  <c r="D2033" i="12"/>
  <c r="E2033" i="12" s="1"/>
  <c r="D2010" i="12"/>
  <c r="E2010" i="12" s="1"/>
  <c r="D1987" i="12"/>
  <c r="E1987" i="12" s="1"/>
  <c r="D1969" i="12"/>
  <c r="E1969" i="12" s="1"/>
  <c r="D1946" i="12"/>
  <c r="E1946" i="12" s="1"/>
  <c r="D1923" i="12"/>
  <c r="E1923" i="12" s="1"/>
  <c r="D1905" i="12"/>
  <c r="E1905" i="12" s="1"/>
  <c r="D1882" i="12"/>
  <c r="E1882" i="12" s="1"/>
  <c r="D1859" i="12"/>
  <c r="E1859" i="12" s="1"/>
  <c r="D1841" i="12"/>
  <c r="E1841" i="12" s="1"/>
  <c r="D1818" i="12"/>
  <c r="E1818" i="12" s="1"/>
  <c r="D1795" i="12"/>
  <c r="E1795" i="12" s="1"/>
  <c r="D1777" i="12"/>
  <c r="E1777" i="12" s="1"/>
  <c r="D1754" i="12"/>
  <c r="E1754" i="12" s="1"/>
  <c r="D1731" i="12"/>
  <c r="E1731" i="12" s="1"/>
  <c r="D1713" i="12"/>
  <c r="E1713" i="12" s="1"/>
  <c r="D1690" i="12"/>
  <c r="E1690" i="12" s="1"/>
  <c r="D1667" i="12"/>
  <c r="E1667" i="12" s="1"/>
  <c r="D1649" i="12"/>
  <c r="E1649" i="12" s="1"/>
  <c r="D1626" i="12"/>
  <c r="E1626" i="12" s="1"/>
  <c r="D1603" i="12"/>
  <c r="E1603" i="12" s="1"/>
  <c r="D1585" i="12"/>
  <c r="E1585" i="12" s="1"/>
  <c r="D1562" i="12"/>
  <c r="E1562" i="12" s="1"/>
  <c r="D1539" i="12"/>
  <c r="E1539" i="12" s="1"/>
  <c r="D1521" i="12"/>
  <c r="E1521" i="12" s="1"/>
  <c r="D1504" i="12"/>
  <c r="E1504" i="12" s="1"/>
  <c r="D1488" i="12"/>
  <c r="E1488" i="12" s="1"/>
  <c r="D1472" i="12"/>
  <c r="E1472" i="12" s="1"/>
  <c r="D1456" i="12"/>
  <c r="E1456" i="12" s="1"/>
  <c r="D1440" i="12"/>
  <c r="E1440" i="12" s="1"/>
  <c r="D1424" i="12"/>
  <c r="E1424" i="12" s="1"/>
  <c r="D1408" i="12"/>
  <c r="E1408" i="12" s="1"/>
  <c r="D1392" i="12"/>
  <c r="E1392" i="12" s="1"/>
  <c r="D1376" i="12"/>
  <c r="E1376" i="12" s="1"/>
  <c r="D1360" i="12"/>
  <c r="E1360" i="12" s="1"/>
  <c r="D1344" i="12"/>
  <c r="E1344" i="12" s="1"/>
  <c r="D1328" i="12"/>
  <c r="E1328" i="12" s="1"/>
  <c r="D1312" i="12"/>
  <c r="E1312" i="12" s="1"/>
  <c r="D1296" i="12"/>
  <c r="E1296" i="12" s="1"/>
  <c r="D1280" i="12"/>
  <c r="E1280" i="12" s="1"/>
  <c r="D1264" i="12"/>
  <c r="E1264" i="12" s="1"/>
  <c r="D1248" i="12"/>
  <c r="E1248" i="12" s="1"/>
  <c r="D1232" i="12"/>
  <c r="E1232" i="12" s="1"/>
  <c r="D1216" i="12"/>
  <c r="E1216" i="12" s="1"/>
  <c r="D1200" i="12"/>
  <c r="E1200" i="12" s="1"/>
  <c r="D1184" i="12"/>
  <c r="E1184" i="12" s="1"/>
  <c r="D1168" i="12"/>
  <c r="E1168" i="12" s="1"/>
  <c r="D1152" i="12"/>
  <c r="E1152" i="12" s="1"/>
  <c r="D1136" i="12"/>
  <c r="E1136" i="12" s="1"/>
  <c r="D1120" i="12"/>
  <c r="E1120" i="12" s="1"/>
  <c r="D1104" i="12"/>
  <c r="E1104" i="12" s="1"/>
  <c r="D1088" i="12"/>
  <c r="E1088" i="12" s="1"/>
  <c r="D1072" i="12"/>
  <c r="E1072" i="12" s="1"/>
  <c r="D1056" i="12"/>
  <c r="E1056" i="12" s="1"/>
  <c r="D1040" i="12"/>
  <c r="E1040" i="12" s="1"/>
  <c r="D1024" i="12"/>
  <c r="E1024" i="12" s="1"/>
  <c r="D1008" i="12"/>
  <c r="E1008" i="12" s="1"/>
  <c r="D992" i="12"/>
  <c r="E992" i="12" s="1"/>
  <c r="D976" i="12"/>
  <c r="E976" i="12" s="1"/>
  <c r="D962" i="12"/>
  <c r="E962" i="12" s="1"/>
  <c r="D948" i="12"/>
  <c r="E948" i="12" s="1"/>
  <c r="D937" i="12"/>
  <c r="E937" i="12" s="1"/>
  <c r="D923" i="12"/>
  <c r="E923" i="12" s="1"/>
  <c r="D912" i="12"/>
  <c r="E912" i="12" s="1"/>
  <c r="D898" i="12"/>
  <c r="E898" i="12" s="1"/>
  <c r="D884" i="12"/>
  <c r="E884" i="12" s="1"/>
  <c r="D873" i="12"/>
  <c r="E873" i="12" s="1"/>
  <c r="D859" i="12"/>
  <c r="E859" i="12" s="1"/>
  <c r="D848" i="12"/>
  <c r="E848" i="12" s="1"/>
  <c r="D834" i="12"/>
  <c r="E834" i="12" s="1"/>
  <c r="D820" i="12"/>
  <c r="E820" i="12" s="1"/>
  <c r="D809" i="12"/>
  <c r="E809" i="12" s="1"/>
  <c r="D795" i="12"/>
  <c r="E795" i="12" s="1"/>
  <c r="D784" i="12"/>
  <c r="E784" i="12" s="1"/>
  <c r="D770" i="12"/>
  <c r="E770" i="12" s="1"/>
  <c r="D756" i="12"/>
  <c r="E756" i="12" s="1"/>
  <c r="D745" i="12"/>
  <c r="E745" i="12" s="1"/>
  <c r="D731" i="12"/>
  <c r="E731" i="12" s="1"/>
  <c r="D720" i="12"/>
  <c r="E720" i="12" s="1"/>
  <c r="D706" i="12"/>
  <c r="E706" i="12" s="1"/>
  <c r="D692" i="12"/>
  <c r="E692" i="12" s="1"/>
  <c r="D681" i="12"/>
  <c r="E681" i="12" s="1"/>
  <c r="D667" i="12"/>
  <c r="E667" i="12" s="1"/>
  <c r="D656" i="12"/>
  <c r="E656" i="12" s="1"/>
  <c r="D642" i="12"/>
  <c r="E642" i="12" s="1"/>
  <c r="D628" i="12"/>
  <c r="E628" i="12" s="1"/>
  <c r="D617" i="12"/>
  <c r="E617" i="12" s="1"/>
  <c r="D603" i="12"/>
  <c r="E603" i="12" s="1"/>
  <c r="D592" i="12"/>
  <c r="E592" i="12" s="1"/>
  <c r="D578" i="12"/>
  <c r="E578" i="12" s="1"/>
  <c r="D564" i="12"/>
  <c r="E564" i="12" s="1"/>
  <c r="D553" i="12"/>
  <c r="E553" i="12" s="1"/>
  <c r="D539" i="12"/>
  <c r="E539" i="12" s="1"/>
  <c r="D528" i="12"/>
  <c r="E528" i="12" s="1"/>
  <c r="D514" i="12"/>
  <c r="E514" i="12" s="1"/>
  <c r="D500" i="12"/>
  <c r="E500" i="12" s="1"/>
  <c r="D489" i="12"/>
  <c r="E489" i="12" s="1"/>
  <c r="D478" i="12"/>
  <c r="E478" i="12" s="1"/>
  <c r="D469" i="12"/>
  <c r="E469" i="12" s="1"/>
  <c r="D461" i="12"/>
  <c r="E461" i="12" s="1"/>
  <c r="D453" i="12"/>
  <c r="E453" i="12" s="1"/>
  <c r="D445" i="12"/>
  <c r="E445" i="12" s="1"/>
  <c r="D437" i="12"/>
  <c r="E437" i="12" s="1"/>
  <c r="D429" i="12"/>
  <c r="E429" i="12" s="1"/>
  <c r="D421" i="12"/>
  <c r="E421" i="12" s="1"/>
  <c r="D413" i="12"/>
  <c r="E413" i="12" s="1"/>
  <c r="D405" i="12"/>
  <c r="E405" i="12" s="1"/>
  <c r="D397" i="12"/>
  <c r="E397" i="12" s="1"/>
  <c r="D389" i="12"/>
  <c r="E389" i="12" s="1"/>
  <c r="D381" i="12"/>
  <c r="E381" i="12" s="1"/>
  <c r="D373" i="12"/>
  <c r="E373" i="12" s="1"/>
  <c r="D365" i="12"/>
  <c r="E365" i="12" s="1"/>
  <c r="D357" i="12"/>
  <c r="E357" i="12" s="1"/>
  <c r="D349" i="12"/>
  <c r="E349" i="12" s="1"/>
  <c r="D341" i="12"/>
  <c r="E341" i="12" s="1"/>
  <c r="D333" i="12"/>
  <c r="E333" i="12" s="1"/>
  <c r="D325" i="12"/>
  <c r="E325" i="12" s="1"/>
  <c r="D317" i="12"/>
  <c r="E317" i="12" s="1"/>
  <c r="D309" i="12"/>
  <c r="E309" i="12" s="1"/>
  <c r="D301" i="12"/>
  <c r="E301" i="12" s="1"/>
  <c r="D293" i="12"/>
  <c r="E293" i="12" s="1"/>
  <c r="D285" i="12"/>
  <c r="E285" i="12" s="1"/>
  <c r="D277" i="12"/>
  <c r="E277" i="12" s="1"/>
  <c r="D269" i="12"/>
  <c r="E269" i="12" s="1"/>
  <c r="D261" i="12"/>
  <c r="E261" i="12" s="1"/>
  <c r="D253" i="12"/>
  <c r="E253" i="12" s="1"/>
  <c r="D245" i="12"/>
  <c r="E245" i="12" s="1"/>
  <c r="D237" i="12"/>
  <c r="E237" i="12" s="1"/>
  <c r="D229" i="12"/>
  <c r="E229" i="12" s="1"/>
  <c r="D221" i="12"/>
  <c r="E221" i="12" s="1"/>
  <c r="D213" i="12"/>
  <c r="E213" i="12" s="1"/>
  <c r="D205" i="12"/>
  <c r="E205" i="12" s="1"/>
  <c r="D197" i="12"/>
  <c r="E197" i="12" s="1"/>
  <c r="D189" i="12"/>
  <c r="E189" i="12" s="1"/>
  <c r="D181" i="12"/>
  <c r="E181" i="12" s="1"/>
  <c r="D173" i="12"/>
  <c r="E173" i="12" s="1"/>
  <c r="D165" i="12"/>
  <c r="E165" i="12" s="1"/>
  <c r="D157" i="12"/>
  <c r="E157" i="12" s="1"/>
  <c r="D149" i="12"/>
  <c r="E149" i="12" s="1"/>
  <c r="D141" i="12"/>
  <c r="E141" i="12" s="1"/>
  <c r="D133" i="12"/>
  <c r="E133" i="12" s="1"/>
  <c r="D125" i="12"/>
  <c r="E125" i="12" s="1"/>
  <c r="D117" i="12"/>
  <c r="E117" i="12" s="1"/>
  <c r="D109" i="12"/>
  <c r="E109" i="12" s="1"/>
  <c r="D101" i="12"/>
  <c r="E101" i="12" s="1"/>
  <c r="D93" i="12"/>
  <c r="E93" i="12" s="1"/>
  <c r="D85" i="12"/>
  <c r="E85" i="12" s="1"/>
  <c r="D77" i="12"/>
  <c r="E77" i="12" s="1"/>
  <c r="D69" i="12"/>
  <c r="E69" i="12" s="1"/>
  <c r="D61" i="12"/>
  <c r="E61" i="12" s="1"/>
  <c r="D53" i="12"/>
  <c r="E53" i="12" s="1"/>
  <c r="D45" i="12"/>
  <c r="E45" i="12" s="1"/>
  <c r="D37" i="12"/>
  <c r="E37" i="12" s="1"/>
  <c r="D29" i="12"/>
  <c r="E29" i="12" s="1"/>
  <c r="D21" i="12"/>
  <c r="E21" i="12" s="1"/>
  <c r="D13" i="12"/>
  <c r="E13" i="12" s="1"/>
  <c r="D5" i="12"/>
  <c r="E5" i="12" s="1"/>
  <c r="D2178" i="12"/>
  <c r="D2155" i="12"/>
  <c r="D2137" i="12"/>
  <c r="D2114" i="12"/>
  <c r="D2091" i="12"/>
  <c r="D2073" i="12"/>
  <c r="D2050" i="12"/>
  <c r="D2027" i="12"/>
  <c r="E2027" i="12" s="1"/>
  <c r="D2009" i="12"/>
  <c r="E2009" i="12" s="1"/>
  <c r="D1986" i="12"/>
  <c r="E1986" i="12" s="1"/>
  <c r="D1963" i="12"/>
  <c r="E1963" i="12" s="1"/>
  <c r="D1945" i="12"/>
  <c r="E1945" i="12" s="1"/>
  <c r="D1922" i="12"/>
  <c r="E1922" i="12" s="1"/>
  <c r="D1899" i="12"/>
  <c r="E1899" i="12" s="1"/>
  <c r="D1881" i="12"/>
  <c r="E1881" i="12" s="1"/>
  <c r="D1858" i="12"/>
  <c r="E1858" i="12" s="1"/>
  <c r="D1835" i="12"/>
  <c r="E1835" i="12" s="1"/>
  <c r="D1817" i="12"/>
  <c r="E1817" i="12" s="1"/>
  <c r="D1794" i="12"/>
  <c r="E1794" i="12" s="1"/>
  <c r="D1771" i="12"/>
  <c r="E1771" i="12" s="1"/>
  <c r="D1753" i="12"/>
  <c r="E1753" i="12" s="1"/>
  <c r="D1730" i="12"/>
  <c r="E1730" i="12" s="1"/>
  <c r="D1707" i="12"/>
  <c r="E1707" i="12" s="1"/>
  <c r="D1689" i="12"/>
  <c r="E1689" i="12" s="1"/>
  <c r="D1666" i="12"/>
  <c r="E1666" i="12" s="1"/>
  <c r="D1643" i="12"/>
  <c r="E1643" i="12" s="1"/>
  <c r="D1625" i="12"/>
  <c r="E1625" i="12" s="1"/>
  <c r="D1602" i="12"/>
  <c r="E1602" i="12" s="1"/>
  <c r="D1579" i="12"/>
  <c r="E1579" i="12" s="1"/>
  <c r="D1561" i="12"/>
  <c r="E1561" i="12" s="1"/>
  <c r="D1538" i="12"/>
  <c r="E1538" i="12" s="1"/>
  <c r="D1515" i="12"/>
  <c r="E1515" i="12" s="1"/>
  <c r="D1499" i="12"/>
  <c r="E1499" i="12" s="1"/>
  <c r="D1483" i="12"/>
  <c r="E1483" i="12" s="1"/>
  <c r="D1467" i="12"/>
  <c r="E1467" i="12" s="1"/>
  <c r="D1451" i="12"/>
  <c r="E1451" i="12" s="1"/>
  <c r="D1435" i="12"/>
  <c r="E1435" i="12" s="1"/>
  <c r="D1419" i="12"/>
  <c r="E1419" i="12" s="1"/>
  <c r="D1403" i="12"/>
  <c r="E1403" i="12" s="1"/>
  <c r="D1387" i="12"/>
  <c r="E1387" i="12" s="1"/>
  <c r="D1371" i="12"/>
  <c r="E1371" i="12" s="1"/>
  <c r="D1355" i="12"/>
  <c r="E1355" i="12" s="1"/>
  <c r="D1339" i="12"/>
  <c r="E1339" i="12" s="1"/>
  <c r="D1323" i="12"/>
  <c r="E1323" i="12" s="1"/>
  <c r="D1307" i="12"/>
  <c r="E1307" i="12" s="1"/>
  <c r="D1291" i="12"/>
  <c r="E1291" i="12" s="1"/>
  <c r="D1275" i="12"/>
  <c r="E1275" i="12" s="1"/>
  <c r="D1259" i="12"/>
  <c r="E1259" i="12" s="1"/>
  <c r="D1243" i="12"/>
  <c r="E1243" i="12" s="1"/>
  <c r="D1227" i="12"/>
  <c r="E1227" i="12" s="1"/>
  <c r="D1211" i="12"/>
  <c r="E1211" i="12" s="1"/>
  <c r="D1195" i="12"/>
  <c r="E1195" i="12" s="1"/>
  <c r="D1179" i="12"/>
  <c r="E1179" i="12" s="1"/>
  <c r="D1163" i="12"/>
  <c r="E1163" i="12" s="1"/>
  <c r="D1147" i="12"/>
  <c r="E1147" i="12" s="1"/>
  <c r="D1131" i="12"/>
  <c r="E1131" i="12" s="1"/>
  <c r="D1115" i="12"/>
  <c r="E1115" i="12" s="1"/>
  <c r="D1099" i="12"/>
  <c r="E1099" i="12" s="1"/>
  <c r="D1083" i="12"/>
  <c r="E1083" i="12" s="1"/>
  <c r="D1067" i="12"/>
  <c r="E1067" i="12" s="1"/>
  <c r="D1051" i="12"/>
  <c r="E1051" i="12" s="1"/>
  <c r="D1035" i="12"/>
  <c r="E1035" i="12" s="1"/>
  <c r="D1019" i="12"/>
  <c r="E1019" i="12" s="1"/>
  <c r="D1003" i="12"/>
  <c r="E1003" i="12" s="1"/>
  <c r="D987" i="12"/>
  <c r="E987" i="12" s="1"/>
  <c r="D972" i="12"/>
  <c r="E972" i="12" s="1"/>
  <c r="D961" i="12"/>
  <c r="E961" i="12" s="1"/>
  <c r="D947" i="12"/>
  <c r="E947" i="12" s="1"/>
  <c r="D936" i="12"/>
  <c r="E936" i="12" s="1"/>
  <c r="D922" i="12"/>
  <c r="E922" i="12" s="1"/>
  <c r="D908" i="12"/>
  <c r="E908" i="12" s="1"/>
  <c r="D897" i="12"/>
  <c r="E897" i="12" s="1"/>
  <c r="D883" i="12"/>
  <c r="E883" i="12" s="1"/>
  <c r="D872" i="12"/>
  <c r="E872" i="12" s="1"/>
  <c r="D858" i="12"/>
  <c r="E858" i="12" s="1"/>
  <c r="D844" i="12"/>
  <c r="E844" i="12" s="1"/>
  <c r="D833" i="12"/>
  <c r="E833" i="12" s="1"/>
  <c r="D819" i="12"/>
  <c r="E819" i="12" s="1"/>
  <c r="D808" i="12"/>
  <c r="E808" i="12" s="1"/>
  <c r="D794" i="12"/>
  <c r="E794" i="12" s="1"/>
  <c r="D780" i="12"/>
  <c r="E780" i="12" s="1"/>
  <c r="D769" i="12"/>
  <c r="E769" i="12" s="1"/>
  <c r="D755" i="12"/>
  <c r="E755" i="12" s="1"/>
  <c r="D744" i="12"/>
  <c r="E744" i="12" s="1"/>
  <c r="D730" i="12"/>
  <c r="E730" i="12" s="1"/>
  <c r="D716" i="12"/>
  <c r="E716" i="12" s="1"/>
  <c r="D705" i="12"/>
  <c r="E705" i="12" s="1"/>
  <c r="D691" i="12"/>
  <c r="E691" i="12" s="1"/>
  <c r="D680" i="12"/>
  <c r="E680" i="12" s="1"/>
  <c r="D666" i="12"/>
  <c r="E666" i="12" s="1"/>
  <c r="D652" i="12"/>
  <c r="E652" i="12" s="1"/>
  <c r="D641" i="12"/>
  <c r="E641" i="12" s="1"/>
  <c r="D627" i="12"/>
  <c r="E627" i="12" s="1"/>
  <c r="D616" i="12"/>
  <c r="E616" i="12" s="1"/>
  <c r="D602" i="12"/>
  <c r="E602" i="12" s="1"/>
  <c r="D588" i="12"/>
  <c r="E588" i="12" s="1"/>
  <c r="D577" i="12"/>
  <c r="E577" i="12" s="1"/>
  <c r="D563" i="12"/>
  <c r="E563" i="12" s="1"/>
  <c r="D552" i="12"/>
  <c r="E552" i="12" s="1"/>
  <c r="D538" i="12"/>
  <c r="E538" i="12" s="1"/>
  <c r="D524" i="12"/>
  <c r="E524" i="12" s="1"/>
  <c r="D513" i="12"/>
  <c r="E513" i="12" s="1"/>
  <c r="D499" i="12"/>
  <c r="E499" i="12" s="1"/>
  <c r="D488" i="12"/>
  <c r="E488" i="12" s="1"/>
  <c r="D476" i="12"/>
  <c r="E476" i="12" s="1"/>
  <c r="D468" i="12"/>
  <c r="E468" i="12" s="1"/>
  <c r="D460" i="12"/>
  <c r="E460" i="12" s="1"/>
  <c r="D452" i="12"/>
  <c r="E452" i="12" s="1"/>
  <c r="D444" i="12"/>
  <c r="E444" i="12" s="1"/>
  <c r="D436" i="12"/>
  <c r="E436" i="12" s="1"/>
  <c r="D428" i="12"/>
  <c r="E428" i="12" s="1"/>
  <c r="D420" i="12"/>
  <c r="E420" i="12" s="1"/>
  <c r="D412" i="12"/>
  <c r="E412" i="12" s="1"/>
  <c r="D404" i="12"/>
  <c r="E404" i="12" s="1"/>
  <c r="D396" i="12"/>
  <c r="E396" i="12" s="1"/>
  <c r="D388" i="12"/>
  <c r="E388" i="12" s="1"/>
  <c r="D380" i="12"/>
  <c r="E380" i="12" s="1"/>
  <c r="D372" i="12"/>
  <c r="E372" i="12" s="1"/>
  <c r="D364" i="12"/>
  <c r="E364" i="12" s="1"/>
  <c r="D356" i="12"/>
  <c r="E356" i="12" s="1"/>
  <c r="D348" i="12"/>
  <c r="E348" i="12" s="1"/>
  <c r="D340" i="12"/>
  <c r="E340" i="12" s="1"/>
  <c r="D332" i="12"/>
  <c r="E332" i="12" s="1"/>
  <c r="D324" i="12"/>
  <c r="E324" i="12" s="1"/>
  <c r="D316" i="12"/>
  <c r="E316" i="12" s="1"/>
  <c r="D308" i="12"/>
  <c r="E308" i="12" s="1"/>
  <c r="D300" i="12"/>
  <c r="E300" i="12" s="1"/>
  <c r="D292" i="12"/>
  <c r="E292" i="12" s="1"/>
  <c r="D284" i="12"/>
  <c r="E284" i="12" s="1"/>
  <c r="D276" i="12"/>
  <c r="E276" i="12" s="1"/>
  <c r="D268" i="12"/>
  <c r="E268" i="12" s="1"/>
  <c r="D260" i="12"/>
  <c r="E260" i="12" s="1"/>
  <c r="D252" i="12"/>
  <c r="E252" i="12" s="1"/>
  <c r="D244" i="12"/>
  <c r="E244" i="12" s="1"/>
  <c r="D236" i="12"/>
  <c r="E236" i="12" s="1"/>
  <c r="D228" i="12"/>
  <c r="E228" i="12" s="1"/>
  <c r="D220" i="12"/>
  <c r="E220" i="12" s="1"/>
  <c r="D212" i="12"/>
  <c r="E212" i="12" s="1"/>
  <c r="D204" i="12"/>
  <c r="E204" i="12" s="1"/>
  <c r="D196" i="12"/>
  <c r="E196" i="12" s="1"/>
  <c r="D188" i="12"/>
  <c r="E188" i="12" s="1"/>
  <c r="D180" i="12"/>
  <c r="E180" i="12" s="1"/>
  <c r="D172" i="12"/>
  <c r="E172" i="12" s="1"/>
  <c r="D164" i="12"/>
  <c r="E164" i="12" s="1"/>
  <c r="D156" i="12"/>
  <c r="E156" i="12" s="1"/>
  <c r="D148" i="12"/>
  <c r="E148" i="12" s="1"/>
  <c r="D140" i="12"/>
  <c r="E140" i="12" s="1"/>
  <c r="D132" i="12"/>
  <c r="E132" i="12" s="1"/>
  <c r="D124" i="12"/>
  <c r="E124" i="12" s="1"/>
  <c r="D116" i="12"/>
  <c r="E116" i="12" s="1"/>
  <c r="D108" i="12"/>
  <c r="E108" i="12" s="1"/>
  <c r="D100" i="12"/>
  <c r="E100" i="12" s="1"/>
  <c r="D92" i="12"/>
  <c r="E92" i="12" s="1"/>
  <c r="D84" i="12"/>
  <c r="E84" i="12" s="1"/>
  <c r="D76" i="12"/>
  <c r="E76" i="12" s="1"/>
  <c r="D68" i="12"/>
  <c r="E68" i="12" s="1"/>
  <c r="D60" i="12"/>
  <c r="E60" i="12" s="1"/>
  <c r="D52" i="12"/>
  <c r="E52" i="12" s="1"/>
  <c r="D44" i="12"/>
  <c r="E44" i="12" s="1"/>
  <c r="D36" i="12"/>
  <c r="E36" i="12" s="1"/>
  <c r="D28" i="12"/>
  <c r="E28" i="12" s="1"/>
  <c r="D20" i="12"/>
  <c r="E20" i="12" s="1"/>
  <c r="D12" i="12"/>
  <c r="E12" i="12" s="1"/>
  <c r="D4" i="12"/>
  <c r="E4" i="12" s="1"/>
  <c r="D2195" i="12"/>
  <c r="D2177" i="12"/>
  <c r="D2154" i="12"/>
  <c r="D2131" i="12"/>
  <c r="D2113" i="12"/>
  <c r="D2090" i="12"/>
  <c r="D2067" i="12"/>
  <c r="D2049" i="12"/>
  <c r="D2026" i="12"/>
  <c r="E2026" i="12" s="1"/>
  <c r="D2003" i="12"/>
  <c r="E2003" i="12" s="1"/>
  <c r="D1985" i="12"/>
  <c r="E1985" i="12" s="1"/>
  <c r="D1962" i="12"/>
  <c r="E1962" i="12" s="1"/>
  <c r="D1939" i="12"/>
  <c r="E1939" i="12" s="1"/>
  <c r="D1921" i="12"/>
  <c r="E1921" i="12" s="1"/>
  <c r="D1898" i="12"/>
  <c r="E1898" i="12" s="1"/>
  <c r="D1875" i="12"/>
  <c r="E1875" i="12" s="1"/>
  <c r="D1857" i="12"/>
  <c r="E1857" i="12" s="1"/>
  <c r="D1834" i="12"/>
  <c r="E1834" i="12" s="1"/>
  <c r="D1811" i="12"/>
  <c r="E1811" i="12" s="1"/>
  <c r="D1793" i="12"/>
  <c r="E1793" i="12" s="1"/>
  <c r="D1770" i="12"/>
  <c r="E1770" i="12" s="1"/>
  <c r="D1747" i="12"/>
  <c r="E1747" i="12" s="1"/>
  <c r="D1729" i="12"/>
  <c r="E1729" i="12" s="1"/>
  <c r="D1706" i="12"/>
  <c r="E1706" i="12" s="1"/>
  <c r="D1683" i="12"/>
  <c r="E1683" i="12" s="1"/>
  <c r="D1665" i="12"/>
  <c r="E1665" i="12" s="1"/>
  <c r="D1642" i="12"/>
  <c r="E1642" i="12" s="1"/>
  <c r="D1619" i="12"/>
  <c r="E1619" i="12" s="1"/>
  <c r="D1601" i="12"/>
  <c r="E1601" i="12" s="1"/>
  <c r="D1578" i="12"/>
  <c r="E1578" i="12" s="1"/>
  <c r="D1555" i="12"/>
  <c r="E1555" i="12" s="1"/>
  <c r="D1537" i="12"/>
  <c r="E1537" i="12" s="1"/>
  <c r="D1514" i="12"/>
  <c r="E1514" i="12" s="1"/>
  <c r="D1498" i="12"/>
  <c r="E1498" i="12" s="1"/>
  <c r="D1482" i="12"/>
  <c r="E1482" i="12" s="1"/>
  <c r="D1466" i="12"/>
  <c r="E1466" i="12" s="1"/>
  <c r="D1450" i="12"/>
  <c r="E1450" i="12" s="1"/>
  <c r="D1434" i="12"/>
  <c r="E1434" i="12" s="1"/>
  <c r="D1418" i="12"/>
  <c r="E1418" i="12" s="1"/>
  <c r="D1402" i="12"/>
  <c r="E1402" i="12" s="1"/>
  <c r="D1386" i="12"/>
  <c r="E1386" i="12" s="1"/>
  <c r="D1370" i="12"/>
  <c r="E1370" i="12" s="1"/>
  <c r="D1354" i="12"/>
  <c r="E1354" i="12" s="1"/>
  <c r="D1338" i="12"/>
  <c r="E1338" i="12" s="1"/>
  <c r="D1322" i="12"/>
  <c r="E1322" i="12" s="1"/>
  <c r="D1306" i="12"/>
  <c r="E1306" i="12" s="1"/>
  <c r="D1290" i="12"/>
  <c r="E1290" i="12" s="1"/>
  <c r="D1274" i="12"/>
  <c r="E1274" i="12" s="1"/>
  <c r="D1258" i="12"/>
  <c r="E1258" i="12" s="1"/>
  <c r="D1242" i="12"/>
  <c r="E1242" i="12" s="1"/>
  <c r="D1226" i="12"/>
  <c r="E1226" i="12" s="1"/>
  <c r="D1210" i="12"/>
  <c r="E1210" i="12" s="1"/>
  <c r="D1194" i="12"/>
  <c r="E1194" i="12" s="1"/>
  <c r="D1178" i="12"/>
  <c r="E1178" i="12" s="1"/>
  <c r="D1162" i="12"/>
  <c r="E1162" i="12" s="1"/>
  <c r="D1146" i="12"/>
  <c r="E1146" i="12" s="1"/>
  <c r="D1130" i="12"/>
  <c r="E1130" i="12" s="1"/>
  <c r="D1114" i="12"/>
  <c r="E1114" i="12" s="1"/>
  <c r="D1098" i="12"/>
  <c r="E1098" i="12" s="1"/>
  <c r="D1082" i="12"/>
  <c r="E1082" i="12" s="1"/>
  <c r="D1066" i="12"/>
  <c r="E1066" i="12" s="1"/>
  <c r="D1050" i="12"/>
  <c r="E1050" i="12" s="1"/>
  <c r="D1034" i="12"/>
  <c r="E1034" i="12" s="1"/>
  <c r="D1018" i="12"/>
  <c r="E1018" i="12" s="1"/>
  <c r="D1002" i="12"/>
  <c r="E1002" i="12" s="1"/>
  <c r="D986" i="12"/>
  <c r="E986" i="12" s="1"/>
  <c r="D971" i="12"/>
  <c r="E971" i="12" s="1"/>
  <c r="D960" i="12"/>
  <c r="E960" i="12" s="1"/>
  <c r="D946" i="12"/>
  <c r="E946" i="12" s="1"/>
  <c r="D932" i="12"/>
  <c r="E932" i="12" s="1"/>
  <c r="D921" i="12"/>
  <c r="E921" i="12" s="1"/>
  <c r="D907" i="12"/>
  <c r="E907" i="12" s="1"/>
  <c r="D896" i="12"/>
  <c r="E896" i="12" s="1"/>
  <c r="D882" i="12"/>
  <c r="E882" i="12" s="1"/>
  <c r="D868" i="12"/>
  <c r="E868" i="12" s="1"/>
  <c r="D857" i="12"/>
  <c r="E857" i="12" s="1"/>
  <c r="D843" i="12"/>
  <c r="E843" i="12" s="1"/>
  <c r="D832" i="12"/>
  <c r="E832" i="12" s="1"/>
  <c r="D818" i="12"/>
  <c r="E818" i="12" s="1"/>
  <c r="D804" i="12"/>
  <c r="E804" i="12" s="1"/>
  <c r="D793" i="12"/>
  <c r="E793" i="12" s="1"/>
  <c r="D779" i="12"/>
  <c r="E779" i="12" s="1"/>
  <c r="D768" i="12"/>
  <c r="E768" i="12" s="1"/>
  <c r="D754" i="12"/>
  <c r="E754" i="12" s="1"/>
  <c r="D740" i="12"/>
  <c r="E740" i="12" s="1"/>
  <c r="D729" i="12"/>
  <c r="E729" i="12" s="1"/>
  <c r="D715" i="12"/>
  <c r="E715" i="12" s="1"/>
  <c r="D704" i="12"/>
  <c r="E704" i="12" s="1"/>
  <c r="D690" i="12"/>
  <c r="E690" i="12" s="1"/>
  <c r="D676" i="12"/>
  <c r="E676" i="12" s="1"/>
  <c r="D665" i="12"/>
  <c r="E665" i="12" s="1"/>
  <c r="D651" i="12"/>
  <c r="E651" i="12" s="1"/>
  <c r="D640" i="12"/>
  <c r="E640" i="12" s="1"/>
  <c r="D626" i="12"/>
  <c r="E626" i="12" s="1"/>
  <c r="D612" i="12"/>
  <c r="E612" i="12" s="1"/>
  <c r="D601" i="12"/>
  <c r="E601" i="12" s="1"/>
  <c r="D587" i="12"/>
  <c r="E587" i="12" s="1"/>
  <c r="D576" i="12"/>
  <c r="E576" i="12" s="1"/>
  <c r="D562" i="12"/>
  <c r="E562" i="12" s="1"/>
  <c r="D548" i="12"/>
  <c r="E548" i="12" s="1"/>
  <c r="D537" i="12"/>
  <c r="E537" i="12" s="1"/>
  <c r="D523" i="12"/>
  <c r="E523" i="12" s="1"/>
  <c r="D512" i="12"/>
  <c r="E512" i="12" s="1"/>
  <c r="D498" i="12"/>
  <c r="E498" i="12" s="1"/>
  <c r="D484" i="12"/>
  <c r="E484" i="12" s="1"/>
  <c r="D475" i="12"/>
  <c r="E475" i="12" s="1"/>
  <c r="D467" i="12"/>
  <c r="E467" i="12" s="1"/>
  <c r="D459" i="12"/>
  <c r="E459" i="12" s="1"/>
  <c r="D451" i="12"/>
  <c r="E451" i="12" s="1"/>
  <c r="D443" i="12"/>
  <c r="E443" i="12" s="1"/>
  <c r="D435" i="12"/>
  <c r="E435" i="12" s="1"/>
  <c r="D427" i="12"/>
  <c r="E427" i="12" s="1"/>
  <c r="D419" i="12"/>
  <c r="E419" i="12" s="1"/>
  <c r="D411" i="12"/>
  <c r="E411" i="12" s="1"/>
  <c r="D403" i="12"/>
  <c r="E403" i="12" s="1"/>
  <c r="D395" i="12"/>
  <c r="E395" i="12" s="1"/>
  <c r="D387" i="12"/>
  <c r="E387" i="12" s="1"/>
  <c r="D379" i="12"/>
  <c r="E379" i="12" s="1"/>
  <c r="D371" i="12"/>
  <c r="E371" i="12" s="1"/>
  <c r="D363" i="12"/>
  <c r="E363" i="12" s="1"/>
  <c r="D355" i="12"/>
  <c r="E355" i="12" s="1"/>
  <c r="D347" i="12"/>
  <c r="E347" i="12" s="1"/>
  <c r="D339" i="12"/>
  <c r="E339" i="12" s="1"/>
  <c r="D331" i="12"/>
  <c r="E331" i="12" s="1"/>
  <c r="D323" i="12"/>
  <c r="E323" i="12" s="1"/>
  <c r="D315" i="12"/>
  <c r="E315" i="12" s="1"/>
  <c r="D307" i="12"/>
  <c r="E307" i="12" s="1"/>
  <c r="D299" i="12"/>
  <c r="E299" i="12" s="1"/>
  <c r="D291" i="12"/>
  <c r="E291" i="12" s="1"/>
  <c r="D283" i="12"/>
  <c r="E283" i="12" s="1"/>
  <c r="D275" i="12"/>
  <c r="E275" i="12" s="1"/>
  <c r="D267" i="12"/>
  <c r="E267" i="12" s="1"/>
  <c r="D259" i="12"/>
  <c r="E259" i="12" s="1"/>
  <c r="D251" i="12"/>
  <c r="E251" i="12" s="1"/>
  <c r="D243" i="12"/>
  <c r="E243" i="12" s="1"/>
  <c r="D235" i="12"/>
  <c r="E235" i="12" s="1"/>
  <c r="D227" i="12"/>
  <c r="E227" i="12" s="1"/>
  <c r="D219" i="12"/>
  <c r="E219" i="12" s="1"/>
  <c r="D211" i="12"/>
  <c r="E211" i="12" s="1"/>
  <c r="D203" i="12"/>
  <c r="E203" i="12" s="1"/>
  <c r="D195" i="12"/>
  <c r="E195" i="12" s="1"/>
  <c r="D187" i="12"/>
  <c r="E187" i="12" s="1"/>
  <c r="D179" i="12"/>
  <c r="E179" i="12" s="1"/>
  <c r="D171" i="12"/>
  <c r="E171" i="12" s="1"/>
  <c r="D163" i="12"/>
  <c r="E163" i="12" s="1"/>
  <c r="D155" i="12"/>
  <c r="E155" i="12" s="1"/>
  <c r="D147" i="12"/>
  <c r="E147" i="12" s="1"/>
  <c r="D139" i="12"/>
  <c r="E139" i="12" s="1"/>
  <c r="D131" i="12"/>
  <c r="E131" i="12" s="1"/>
  <c r="D123" i="12"/>
  <c r="E123" i="12" s="1"/>
  <c r="D115" i="12"/>
  <c r="E115" i="12" s="1"/>
  <c r="D107" i="12"/>
  <c r="E107" i="12" s="1"/>
  <c r="D99" i="12"/>
  <c r="E99" i="12" s="1"/>
  <c r="D91" i="12"/>
  <c r="E91" i="12" s="1"/>
  <c r="D83" i="12"/>
  <c r="E83" i="12" s="1"/>
  <c r="D75" i="12"/>
  <c r="E75" i="12" s="1"/>
  <c r="D67" i="12"/>
  <c r="E67" i="12" s="1"/>
  <c r="D59" i="12"/>
  <c r="E59" i="12" s="1"/>
  <c r="D51" i="12"/>
  <c r="E51" i="12" s="1"/>
  <c r="D43" i="12"/>
  <c r="E43" i="12" s="1"/>
  <c r="D35" i="12"/>
  <c r="E35" i="12" s="1"/>
  <c r="D27" i="12"/>
  <c r="E27" i="12" s="1"/>
  <c r="D19" i="12"/>
  <c r="E19" i="12" s="1"/>
  <c r="D11" i="12"/>
  <c r="E11" i="12" s="1"/>
  <c r="D3" i="12"/>
  <c r="E3" i="12" s="1"/>
  <c r="D2066" i="12"/>
  <c r="D1897" i="12"/>
  <c r="E1897" i="12" s="1"/>
  <c r="D1723" i="12"/>
  <c r="E1723" i="12" s="1"/>
  <c r="D1554" i="12"/>
  <c r="E1554" i="12" s="1"/>
  <c r="D1417" i="12"/>
  <c r="E1417" i="12" s="1"/>
  <c r="D1289" i="12"/>
  <c r="E1289" i="12" s="1"/>
  <c r="D1161" i="12"/>
  <c r="E1161" i="12" s="1"/>
  <c r="D1033" i="12"/>
  <c r="E1033" i="12" s="1"/>
  <c r="D920" i="12"/>
  <c r="E920" i="12" s="1"/>
  <c r="D817" i="12"/>
  <c r="E817" i="12" s="1"/>
  <c r="D714" i="12"/>
  <c r="E714" i="12" s="1"/>
  <c r="D611" i="12"/>
  <c r="E611" i="12" s="1"/>
  <c r="D508" i="12"/>
  <c r="E508" i="12" s="1"/>
  <c r="D434" i="12"/>
  <c r="E434" i="12" s="1"/>
  <c r="D370" i="12"/>
  <c r="E370" i="12" s="1"/>
  <c r="D306" i="12"/>
  <c r="E306" i="12" s="1"/>
  <c r="D242" i="12"/>
  <c r="E242" i="12" s="1"/>
  <c r="D178" i="12"/>
  <c r="E178" i="12" s="1"/>
  <c r="D114" i="12"/>
  <c r="E114" i="12" s="1"/>
  <c r="D50" i="12"/>
  <c r="E50" i="12" s="1"/>
  <c r="D2043" i="12"/>
  <c r="D1874" i="12"/>
  <c r="E1874" i="12" s="1"/>
  <c r="D1705" i="12"/>
  <c r="E1705" i="12" s="1"/>
  <c r="D1531" i="12"/>
  <c r="E1531" i="12" s="1"/>
  <c r="D1401" i="12"/>
  <c r="E1401" i="12" s="1"/>
  <c r="D1273" i="12"/>
  <c r="E1273" i="12" s="1"/>
  <c r="D1145" i="12"/>
  <c r="E1145" i="12" s="1"/>
  <c r="D1017" i="12"/>
  <c r="E1017" i="12" s="1"/>
  <c r="D906" i="12"/>
  <c r="E906" i="12" s="1"/>
  <c r="D803" i="12"/>
  <c r="E803" i="12" s="1"/>
  <c r="D700" i="12"/>
  <c r="E700" i="12" s="1"/>
  <c r="D600" i="12"/>
  <c r="E600" i="12" s="1"/>
  <c r="D497" i="12"/>
  <c r="E497" i="12" s="1"/>
  <c r="D426" i="12"/>
  <c r="E426" i="12" s="1"/>
  <c r="D362" i="12"/>
  <c r="E362" i="12" s="1"/>
  <c r="D298" i="12"/>
  <c r="E298" i="12" s="1"/>
  <c r="D234" i="12"/>
  <c r="E234" i="12" s="1"/>
  <c r="D170" i="12"/>
  <c r="E170" i="12" s="1"/>
  <c r="D106" i="12"/>
  <c r="E106" i="12" s="1"/>
  <c r="D42" i="12"/>
  <c r="E42" i="12" s="1"/>
  <c r="D2194" i="12"/>
  <c r="D2025" i="12"/>
  <c r="E2025" i="12" s="1"/>
  <c r="D1851" i="12"/>
  <c r="E1851" i="12" s="1"/>
  <c r="D1682" i="12"/>
  <c r="E1682" i="12" s="1"/>
  <c r="D1513" i="12"/>
  <c r="E1513" i="12" s="1"/>
  <c r="D1385" i="12"/>
  <c r="E1385" i="12" s="1"/>
  <c r="D1257" i="12"/>
  <c r="E1257" i="12" s="1"/>
  <c r="D1129" i="12"/>
  <c r="E1129" i="12" s="1"/>
  <c r="D1001" i="12"/>
  <c r="E1001" i="12" s="1"/>
  <c r="D892" i="12"/>
  <c r="E892" i="12" s="1"/>
  <c r="D792" i="12"/>
  <c r="E792" i="12" s="1"/>
  <c r="D689" i="12"/>
  <c r="E689" i="12" s="1"/>
  <c r="D586" i="12"/>
  <c r="E586" i="12" s="1"/>
  <c r="D483" i="12"/>
  <c r="E483" i="12" s="1"/>
  <c r="D418" i="12"/>
  <c r="E418" i="12" s="1"/>
  <c r="D354" i="12"/>
  <c r="E354" i="12" s="1"/>
  <c r="D290" i="12"/>
  <c r="E290" i="12" s="1"/>
  <c r="D226" i="12"/>
  <c r="E226" i="12" s="1"/>
  <c r="D162" i="12"/>
  <c r="E162" i="12" s="1"/>
  <c r="D98" i="12"/>
  <c r="E98" i="12" s="1"/>
  <c r="D34" i="12"/>
  <c r="E34" i="12" s="1"/>
  <c r="D2171" i="12"/>
  <c r="D2002" i="12"/>
  <c r="E2002" i="12" s="1"/>
  <c r="D1833" i="12"/>
  <c r="E1833" i="12" s="1"/>
  <c r="D1659" i="12"/>
  <c r="E1659" i="12" s="1"/>
  <c r="D1497" i="12"/>
  <c r="E1497" i="12" s="1"/>
  <c r="D1369" i="12"/>
  <c r="E1369" i="12" s="1"/>
  <c r="D1241" i="12"/>
  <c r="E1241" i="12" s="1"/>
  <c r="D1113" i="12"/>
  <c r="E1113" i="12" s="1"/>
  <c r="D985" i="12"/>
  <c r="E985" i="12" s="1"/>
  <c r="D881" i="12"/>
  <c r="E881" i="12" s="1"/>
  <c r="D778" i="12"/>
  <c r="E778" i="12" s="1"/>
  <c r="D675" i="12"/>
  <c r="E675" i="12" s="1"/>
  <c r="D572" i="12"/>
  <c r="E572" i="12" s="1"/>
  <c r="D474" i="12"/>
  <c r="E474" i="12" s="1"/>
  <c r="D410" i="12"/>
  <c r="E410" i="12" s="1"/>
  <c r="D346" i="12"/>
  <c r="E346" i="12" s="1"/>
  <c r="D282" i="12"/>
  <c r="E282" i="12" s="1"/>
  <c r="D218" i="12"/>
  <c r="E218" i="12" s="1"/>
  <c r="D154" i="12"/>
  <c r="E154" i="12" s="1"/>
  <c r="D90" i="12"/>
  <c r="E90" i="12" s="1"/>
  <c r="D26" i="12"/>
  <c r="E26" i="12" s="1"/>
  <c r="D2153" i="12"/>
  <c r="D1979" i="12"/>
  <c r="E1979" i="12" s="1"/>
  <c r="D1810" i="12"/>
  <c r="E1810" i="12" s="1"/>
  <c r="D1641" i="12"/>
  <c r="E1641" i="12" s="1"/>
  <c r="D1481" i="12"/>
  <c r="E1481" i="12" s="1"/>
  <c r="D1353" i="12"/>
  <c r="E1353" i="12" s="1"/>
  <c r="D1225" i="12"/>
  <c r="E1225" i="12" s="1"/>
  <c r="D1097" i="12"/>
  <c r="E1097" i="12" s="1"/>
  <c r="D970" i="12"/>
  <c r="E970" i="12" s="1"/>
  <c r="D867" i="12"/>
  <c r="E867" i="12" s="1"/>
  <c r="D764" i="12"/>
  <c r="E764" i="12" s="1"/>
  <c r="D664" i="12"/>
  <c r="E664" i="12" s="1"/>
  <c r="D561" i="12"/>
  <c r="E561" i="12" s="1"/>
  <c r="D466" i="12"/>
  <c r="E466" i="12" s="1"/>
  <c r="D402" i="12"/>
  <c r="E402" i="12" s="1"/>
  <c r="D338" i="12"/>
  <c r="E338" i="12" s="1"/>
  <c r="D274" i="12"/>
  <c r="E274" i="12" s="1"/>
  <c r="D210" i="12"/>
  <c r="E210" i="12" s="1"/>
  <c r="D146" i="12"/>
  <c r="E146" i="12" s="1"/>
  <c r="D82" i="12"/>
  <c r="E82" i="12" s="1"/>
  <c r="D18" i="12"/>
  <c r="E18" i="12" s="1"/>
  <c r="D2130" i="12"/>
  <c r="D1961" i="12"/>
  <c r="E1961" i="12" s="1"/>
  <c r="D1787" i="12"/>
  <c r="E1787" i="12" s="1"/>
  <c r="D1618" i="12"/>
  <c r="E1618" i="12" s="1"/>
  <c r="D1465" i="12"/>
  <c r="E1465" i="12" s="1"/>
  <c r="D1337" i="12"/>
  <c r="E1337" i="12" s="1"/>
  <c r="D1209" i="12"/>
  <c r="E1209" i="12" s="1"/>
  <c r="D1081" i="12"/>
  <c r="E1081" i="12" s="1"/>
  <c r="D956" i="12"/>
  <c r="E956" i="12" s="1"/>
  <c r="D856" i="12"/>
  <c r="E856" i="12" s="1"/>
  <c r="D753" i="12"/>
  <c r="E753" i="12" s="1"/>
  <c r="D650" i="12"/>
  <c r="E650" i="12" s="1"/>
  <c r="D547" i="12"/>
  <c r="E547" i="12" s="1"/>
  <c r="D458" i="12"/>
  <c r="E458" i="12" s="1"/>
  <c r="D394" i="12"/>
  <c r="E394" i="12" s="1"/>
  <c r="D330" i="12"/>
  <c r="E330" i="12" s="1"/>
  <c r="D266" i="12"/>
  <c r="E266" i="12" s="1"/>
  <c r="D202" i="12"/>
  <c r="E202" i="12" s="1"/>
  <c r="D138" i="12"/>
  <c r="E138" i="12" s="1"/>
  <c r="D74" i="12"/>
  <c r="E74" i="12" s="1"/>
  <c r="D10" i="12"/>
  <c r="E10" i="12" s="1"/>
  <c r="D2107" i="12"/>
  <c r="D1938" i="12"/>
  <c r="E1938" i="12" s="1"/>
  <c r="D1769" i="12"/>
  <c r="E1769" i="12" s="1"/>
  <c r="D1595" i="12"/>
  <c r="E1595" i="12" s="1"/>
  <c r="D1449" i="12"/>
  <c r="E1449" i="12" s="1"/>
  <c r="D1321" i="12"/>
  <c r="E1321" i="12" s="1"/>
  <c r="D1193" i="12"/>
  <c r="E1193" i="12" s="1"/>
  <c r="D1065" i="12"/>
  <c r="E1065" i="12" s="1"/>
  <c r="D945" i="12"/>
  <c r="E945" i="12" s="1"/>
  <c r="D842" i="12"/>
  <c r="E842" i="12" s="1"/>
  <c r="D739" i="12"/>
  <c r="E739" i="12" s="1"/>
  <c r="D636" i="12"/>
  <c r="E636" i="12" s="1"/>
  <c r="D536" i="12"/>
  <c r="E536" i="12" s="1"/>
  <c r="D450" i="12"/>
  <c r="E450" i="12" s="1"/>
  <c r="D386" i="12"/>
  <c r="E386" i="12" s="1"/>
  <c r="D322" i="12"/>
  <c r="E322" i="12" s="1"/>
  <c r="D258" i="12"/>
  <c r="E258" i="12" s="1"/>
  <c r="D194" i="12"/>
  <c r="E194" i="12" s="1"/>
  <c r="D130" i="12"/>
  <c r="E130" i="12" s="1"/>
  <c r="D66" i="12"/>
  <c r="E66" i="12" s="1"/>
  <c r="D2089" i="12"/>
  <c r="D1915" i="12"/>
  <c r="E1915" i="12" s="1"/>
  <c r="D1746" i="12"/>
  <c r="E1746" i="12" s="1"/>
  <c r="D1577" i="12"/>
  <c r="E1577" i="12" s="1"/>
  <c r="D1433" i="12"/>
  <c r="E1433" i="12" s="1"/>
  <c r="D1305" i="12"/>
  <c r="E1305" i="12" s="1"/>
  <c r="D1177" i="12"/>
  <c r="E1177" i="12" s="1"/>
  <c r="D1049" i="12"/>
  <c r="E1049" i="12" s="1"/>
  <c r="D931" i="12"/>
  <c r="E931" i="12" s="1"/>
  <c r="D828" i="12"/>
  <c r="E828" i="12" s="1"/>
  <c r="D728" i="12"/>
  <c r="E728" i="12" s="1"/>
  <c r="D625" i="12"/>
  <c r="E625" i="12" s="1"/>
  <c r="D522" i="12"/>
  <c r="E522" i="12" s="1"/>
  <c r="D442" i="12"/>
  <c r="E442" i="12" s="1"/>
  <c r="D378" i="12"/>
  <c r="E378" i="12" s="1"/>
  <c r="D314" i="12"/>
  <c r="E314" i="12" s="1"/>
  <c r="D250" i="12"/>
  <c r="E250" i="12" s="1"/>
  <c r="D186" i="12"/>
  <c r="E186" i="12" s="1"/>
  <c r="D122" i="12"/>
  <c r="E122" i="12" s="1"/>
  <c r="D58" i="12"/>
  <c r="E58" i="12" s="1"/>
  <c r="N2199" i="12"/>
  <c r="N2191" i="12"/>
  <c r="N2183" i="12"/>
  <c r="N2175" i="12"/>
  <c r="N2167" i="12"/>
  <c r="N2159" i="12"/>
  <c r="N2151" i="12"/>
  <c r="N2143" i="12"/>
  <c r="N2135" i="12"/>
  <c r="N2127" i="12"/>
  <c r="N2119" i="12"/>
  <c r="N2111" i="12"/>
  <c r="N2103" i="12"/>
  <c r="N2095" i="12"/>
  <c r="N2087" i="12"/>
  <c r="N2079" i="12"/>
  <c r="N2071" i="12"/>
  <c r="N2063" i="12"/>
  <c r="N2055" i="12"/>
  <c r="N2047" i="12"/>
  <c r="N2039" i="12"/>
  <c r="N2031" i="12"/>
  <c r="N2023" i="12"/>
  <c r="N2015" i="12"/>
  <c r="N2007" i="12"/>
  <c r="N1999" i="12"/>
  <c r="N1991" i="12"/>
  <c r="N1983" i="12"/>
  <c r="N1975" i="12"/>
  <c r="N1967" i="12"/>
  <c r="N1959" i="12"/>
  <c r="N1951" i="12"/>
  <c r="N1943" i="12"/>
  <c r="N1935" i="12"/>
  <c r="N1927" i="12"/>
  <c r="N1919" i="12"/>
  <c r="N1911" i="12"/>
  <c r="N1903" i="12"/>
  <c r="N1895" i="12"/>
  <c r="N1887" i="12"/>
  <c r="N1879" i="12"/>
  <c r="N1871" i="12"/>
  <c r="N1863" i="12"/>
  <c r="N1855" i="12"/>
  <c r="N1847" i="12"/>
  <c r="N1839" i="12"/>
  <c r="N1831" i="12"/>
  <c r="N1823" i="12"/>
  <c r="N1815" i="12"/>
  <c r="N1807" i="12"/>
  <c r="N1799" i="12"/>
  <c r="N1791" i="12"/>
  <c r="N1783" i="12"/>
  <c r="N1775" i="12"/>
  <c r="N1767" i="12"/>
  <c r="N1759" i="12"/>
  <c r="N1751" i="12"/>
  <c r="N1743" i="12"/>
  <c r="N1735" i="12"/>
  <c r="N1727" i="12"/>
  <c r="N1719" i="12"/>
  <c r="N1711" i="12"/>
  <c r="N1703" i="12"/>
  <c r="N1695" i="12"/>
  <c r="N1687" i="12"/>
  <c r="N1679" i="12"/>
  <c r="N1671" i="12"/>
  <c r="N1663" i="12"/>
  <c r="N1655" i="12"/>
  <c r="N1647" i="12"/>
  <c r="N1639" i="12"/>
  <c r="N1631" i="12"/>
  <c r="N1623" i="12"/>
  <c r="N1615" i="12"/>
  <c r="N1607" i="12"/>
  <c r="N1599" i="12"/>
  <c r="N1591" i="12"/>
  <c r="N1583" i="12"/>
  <c r="N1575" i="12"/>
  <c r="N1567" i="12"/>
  <c r="N1559" i="12"/>
  <c r="N1551" i="12"/>
  <c r="N1543" i="12"/>
  <c r="N1535" i="12"/>
  <c r="N1527" i="12"/>
  <c r="N1519" i="12"/>
  <c r="N1511" i="12"/>
  <c r="N1503" i="12"/>
  <c r="N1495" i="12"/>
  <c r="N1487" i="12"/>
  <c r="N1479" i="12"/>
  <c r="N1471" i="12"/>
  <c r="N1463" i="12"/>
  <c r="N1455" i="12"/>
  <c r="N1447" i="12"/>
  <c r="N1439" i="12"/>
  <c r="N1431" i="12"/>
  <c r="N1423" i="12"/>
  <c r="N1415" i="12"/>
  <c r="N1407" i="12"/>
  <c r="N1399" i="12"/>
  <c r="N1391" i="12"/>
  <c r="N1383" i="12"/>
  <c r="N1375" i="12"/>
  <c r="N2198" i="12"/>
  <c r="N2190" i="12"/>
  <c r="N2182" i="12"/>
  <c r="N2174" i="12"/>
  <c r="N2166" i="12"/>
  <c r="N2158" i="12"/>
  <c r="N2150" i="12"/>
  <c r="N2142" i="12"/>
  <c r="N2134" i="12"/>
  <c r="N2126" i="12"/>
  <c r="N2118" i="12"/>
  <c r="N2110" i="12"/>
  <c r="N2102" i="12"/>
  <c r="N2094" i="12"/>
  <c r="N2086" i="12"/>
  <c r="N2078" i="12"/>
  <c r="N2070" i="12"/>
  <c r="N2062" i="12"/>
  <c r="N2054" i="12"/>
  <c r="N2046" i="12"/>
  <c r="N2038" i="12"/>
  <c r="N2030" i="12"/>
  <c r="N2022" i="12"/>
  <c r="N2014" i="12"/>
  <c r="N2006" i="12"/>
  <c r="N1998" i="12"/>
  <c r="N1990" i="12"/>
  <c r="N1982" i="12"/>
  <c r="N1974" i="12"/>
  <c r="N1966" i="12"/>
  <c r="N1958" i="12"/>
  <c r="N1950" i="12"/>
  <c r="N1942" i="12"/>
  <c r="N1934" i="12"/>
  <c r="N1926" i="12"/>
  <c r="N1918" i="12"/>
  <c r="N1910" i="12"/>
  <c r="N1902" i="12"/>
  <c r="N1894" i="12"/>
  <c r="N1886" i="12"/>
  <c r="N1878" i="12"/>
  <c r="N1870" i="12"/>
  <c r="N1862" i="12"/>
  <c r="N1854" i="12"/>
  <c r="N1846" i="12"/>
  <c r="N1838" i="12"/>
  <c r="N1830" i="12"/>
  <c r="N1822" i="12"/>
  <c r="N1814" i="12"/>
  <c r="N1806" i="12"/>
  <c r="N1798" i="12"/>
  <c r="N1790" i="12"/>
  <c r="N1782" i="12"/>
  <c r="N1774" i="12"/>
  <c r="N1766" i="12"/>
  <c r="N1758" i="12"/>
  <c r="N1750" i="12"/>
  <c r="N1742" i="12"/>
  <c r="N1734" i="12"/>
  <c r="N1726" i="12"/>
  <c r="N1718" i="12"/>
  <c r="N1710" i="12"/>
  <c r="N1702" i="12"/>
  <c r="N1694" i="12"/>
  <c r="N1686" i="12"/>
  <c r="N1678" i="12"/>
  <c r="N1670" i="12"/>
  <c r="N1662" i="12"/>
  <c r="N1654" i="12"/>
  <c r="N1646" i="12"/>
  <c r="N1638" i="12"/>
  <c r="N1630" i="12"/>
  <c r="N1622" i="12"/>
  <c r="N1614" i="12"/>
  <c r="N1606" i="12"/>
  <c r="N1598" i="12"/>
  <c r="N1590" i="12"/>
  <c r="N1582" i="12"/>
  <c r="N1574" i="12"/>
  <c r="N1566" i="12"/>
  <c r="N1558" i="12"/>
  <c r="N1550" i="12"/>
  <c r="N1542" i="12"/>
  <c r="N1534" i="12"/>
  <c r="N1526" i="12"/>
  <c r="N1518" i="12"/>
  <c r="N1510" i="12"/>
  <c r="N1502" i="12"/>
  <c r="N1494" i="12"/>
  <c r="N1486" i="12"/>
  <c r="N1478" i="12"/>
  <c r="N1470" i="12"/>
  <c r="N1462" i="12"/>
  <c r="N1454" i="12"/>
  <c r="N1446" i="12"/>
  <c r="N1438" i="12"/>
  <c r="N1430" i="12"/>
  <c r="N1422" i="12"/>
  <c r="N1414" i="12"/>
  <c r="N1406" i="12"/>
  <c r="N1398" i="12"/>
  <c r="N1390" i="12"/>
  <c r="N2197" i="12"/>
  <c r="N2189" i="12"/>
  <c r="N2181" i="12"/>
  <c r="N2173" i="12"/>
  <c r="N2165" i="12"/>
  <c r="N2157" i="12"/>
  <c r="N2149" i="12"/>
  <c r="N2141" i="12"/>
  <c r="N2133" i="12"/>
  <c r="N2125" i="12"/>
  <c r="N2117" i="12"/>
  <c r="N2109" i="12"/>
  <c r="N2101" i="12"/>
  <c r="N2093" i="12"/>
  <c r="N2085" i="12"/>
  <c r="N2077" i="12"/>
  <c r="N2069" i="12"/>
  <c r="N2061" i="12"/>
  <c r="N2053" i="12"/>
  <c r="N2045" i="12"/>
  <c r="N2037" i="12"/>
  <c r="N2029" i="12"/>
  <c r="N2021" i="12"/>
  <c r="N2013" i="12"/>
  <c r="N2005" i="12"/>
  <c r="N1997" i="12"/>
  <c r="N1989" i="12"/>
  <c r="N1981" i="12"/>
  <c r="N1973" i="12"/>
  <c r="N1965" i="12"/>
  <c r="N1957" i="12"/>
  <c r="N1949" i="12"/>
  <c r="N1941" i="12"/>
  <c r="N1933" i="12"/>
  <c r="N1925" i="12"/>
  <c r="N1917" i="12"/>
  <c r="N1909" i="12"/>
  <c r="N1901" i="12"/>
  <c r="N1893" i="12"/>
  <c r="N1885" i="12"/>
  <c r="N1877" i="12"/>
  <c r="N1869" i="12"/>
  <c r="N1861" i="12"/>
  <c r="N1853" i="12"/>
  <c r="N1845" i="12"/>
  <c r="N1837" i="12"/>
  <c r="N1829" i="12"/>
  <c r="N1821" i="12"/>
  <c r="N1813" i="12"/>
  <c r="N1805" i="12"/>
  <c r="N1797" i="12"/>
  <c r="N1789" i="12"/>
  <c r="N1781" i="12"/>
  <c r="N1773" i="12"/>
  <c r="N1765" i="12"/>
  <c r="N1757" i="12"/>
  <c r="N1749" i="12"/>
  <c r="N1741" i="12"/>
  <c r="N1733" i="12"/>
  <c r="N1725" i="12"/>
  <c r="N1717" i="12"/>
  <c r="N1709" i="12"/>
  <c r="N1701" i="12"/>
  <c r="N1693" i="12"/>
  <c r="N1685" i="12"/>
  <c r="N1677" i="12"/>
  <c r="N1669" i="12"/>
  <c r="N1661" i="12"/>
  <c r="N1653" i="12"/>
  <c r="N1645" i="12"/>
  <c r="N1637" i="12"/>
  <c r="N1629" i="12"/>
  <c r="N1621" i="12"/>
  <c r="N1613" i="12"/>
  <c r="N1605" i="12"/>
  <c r="N1597" i="12"/>
  <c r="N1589" i="12"/>
  <c r="N1581" i="12"/>
  <c r="N1573" i="12"/>
  <c r="N1565" i="12"/>
  <c r="N1557" i="12"/>
  <c r="N1549" i="12"/>
  <c r="N1541" i="12"/>
  <c r="N1533" i="12"/>
  <c r="N1525" i="12"/>
  <c r="N1517" i="12"/>
  <c r="N1509" i="12"/>
  <c r="N1501" i="12"/>
  <c r="N1493" i="12"/>
  <c r="N1485" i="12"/>
  <c r="N1477" i="12"/>
  <c r="N1469" i="12"/>
  <c r="N1461" i="12"/>
  <c r="N1453" i="12"/>
  <c r="N1445" i="12"/>
  <c r="N1437" i="12"/>
  <c r="N1429" i="12"/>
  <c r="N1421" i="12"/>
  <c r="N1413" i="12"/>
  <c r="N1405" i="12"/>
  <c r="N1397" i="12"/>
  <c r="N1389" i="12"/>
  <c r="N1381" i="12"/>
  <c r="N2196" i="12"/>
  <c r="N2188" i="12"/>
  <c r="N2180" i="12"/>
  <c r="N2172" i="12"/>
  <c r="N2164" i="12"/>
  <c r="N2156" i="12"/>
  <c r="N2148" i="12"/>
  <c r="N2140" i="12"/>
  <c r="N2132" i="12"/>
  <c r="N2124" i="12"/>
  <c r="N2116" i="12"/>
  <c r="N2108" i="12"/>
  <c r="N2100" i="12"/>
  <c r="N2092" i="12"/>
  <c r="N2084" i="12"/>
  <c r="N2076" i="12"/>
  <c r="N2068" i="12"/>
  <c r="N2060" i="12"/>
  <c r="N2052" i="12"/>
  <c r="N2044" i="12"/>
  <c r="N2036" i="12"/>
  <c r="N2028" i="12"/>
  <c r="N2020" i="12"/>
  <c r="N2012" i="12"/>
  <c r="N2004" i="12"/>
  <c r="N1996" i="12"/>
  <c r="N1988" i="12"/>
  <c r="N1980" i="12"/>
  <c r="N1972" i="12"/>
  <c r="N1964" i="12"/>
  <c r="N1956" i="12"/>
  <c r="N1948" i="12"/>
  <c r="N1940" i="12"/>
  <c r="N1932" i="12"/>
  <c r="N1924" i="12"/>
  <c r="N1916" i="12"/>
  <c r="N1908" i="12"/>
  <c r="N1900" i="12"/>
  <c r="N1892" i="12"/>
  <c r="N1884" i="12"/>
  <c r="N1876" i="12"/>
  <c r="N1868" i="12"/>
  <c r="N1860" i="12"/>
  <c r="N1852" i="12"/>
  <c r="N1844" i="12"/>
  <c r="N1836" i="12"/>
  <c r="N1828" i="12"/>
  <c r="N1820" i="12"/>
  <c r="N1812" i="12"/>
  <c r="N1804" i="12"/>
  <c r="N1796" i="12"/>
  <c r="N1788" i="12"/>
  <c r="N1780" i="12"/>
  <c r="N1772" i="12"/>
  <c r="N1764" i="12"/>
  <c r="N1756" i="12"/>
  <c r="N1748" i="12"/>
  <c r="N1740" i="12"/>
  <c r="N1732" i="12"/>
  <c r="N1724" i="12"/>
  <c r="N1716" i="12"/>
  <c r="N1708" i="12"/>
  <c r="N1700" i="12"/>
  <c r="N1692" i="12"/>
  <c r="N1684" i="12"/>
  <c r="N1676" i="12"/>
  <c r="N1668" i="12"/>
  <c r="N1660" i="12"/>
  <c r="N1652" i="12"/>
  <c r="N1644" i="12"/>
  <c r="N1636" i="12"/>
  <c r="N1628" i="12"/>
  <c r="N1620" i="12"/>
  <c r="N1612" i="12"/>
  <c r="N1604" i="12"/>
  <c r="N1596" i="12"/>
  <c r="N1588" i="12"/>
  <c r="N1580" i="12"/>
  <c r="N1572" i="12"/>
  <c r="N1564" i="12"/>
  <c r="N1556" i="12"/>
  <c r="N1548" i="12"/>
  <c r="N1540" i="12"/>
  <c r="N1532" i="12"/>
  <c r="N1524" i="12"/>
  <c r="N1516" i="12"/>
  <c r="N1508" i="12"/>
  <c r="N1500" i="12"/>
  <c r="N1492" i="12"/>
  <c r="N1484" i="12"/>
  <c r="N1476" i="12"/>
  <c r="N1468" i="12"/>
  <c r="N1460" i="12"/>
  <c r="N1452" i="12"/>
  <c r="N1444" i="12"/>
  <c r="N1436" i="12"/>
  <c r="N1428" i="12"/>
  <c r="N1420" i="12"/>
  <c r="N1412" i="12"/>
  <c r="N1404" i="12"/>
  <c r="N1396" i="12"/>
  <c r="N1388" i="12"/>
  <c r="N1380" i="12"/>
  <c r="N2193" i="12"/>
  <c r="N2185" i="12"/>
  <c r="N2177" i="12"/>
  <c r="N2169" i="12"/>
  <c r="N2161" i="12"/>
  <c r="N2153" i="12"/>
  <c r="N2145" i="12"/>
  <c r="N2137" i="12"/>
  <c r="N2129" i="12"/>
  <c r="N2121" i="12"/>
  <c r="N2113" i="12"/>
  <c r="N2105" i="12"/>
  <c r="N2097" i="12"/>
  <c r="N2089" i="12"/>
  <c r="N2081" i="12"/>
  <c r="N2073" i="12"/>
  <c r="N2065" i="12"/>
  <c r="N2057" i="12"/>
  <c r="N2049" i="12"/>
  <c r="N2041" i="12"/>
  <c r="N2033" i="12"/>
  <c r="N2025" i="12"/>
  <c r="N2017" i="12"/>
  <c r="N2009" i="12"/>
  <c r="N2001" i="12"/>
  <c r="N1993" i="12"/>
  <c r="N1985" i="12"/>
  <c r="N1977" i="12"/>
  <c r="N1969" i="12"/>
  <c r="N1961" i="12"/>
  <c r="N1953" i="12"/>
  <c r="N1945" i="12"/>
  <c r="N1937" i="12"/>
  <c r="N1929" i="12"/>
  <c r="N1921" i="12"/>
  <c r="N1913" i="12"/>
  <c r="N1905" i="12"/>
  <c r="N1897" i="12"/>
  <c r="N1889" i="12"/>
  <c r="N1881" i="12"/>
  <c r="N1873" i="12"/>
  <c r="N1865" i="12"/>
  <c r="N1857" i="12"/>
  <c r="N1849" i="12"/>
  <c r="N1841" i="12"/>
  <c r="N1833" i="12"/>
  <c r="N1825" i="12"/>
  <c r="N1817" i="12"/>
  <c r="N1809" i="12"/>
  <c r="N1801" i="12"/>
  <c r="N1793" i="12"/>
  <c r="N1785" i="12"/>
  <c r="N1777" i="12"/>
  <c r="N1769" i="12"/>
  <c r="N1761" i="12"/>
  <c r="N1753" i="12"/>
  <c r="N1745" i="12"/>
  <c r="N1737" i="12"/>
  <c r="N1729" i="12"/>
  <c r="N1721" i="12"/>
  <c r="N1713" i="12"/>
  <c r="N1705" i="12"/>
  <c r="N1697" i="12"/>
  <c r="N1689" i="12"/>
  <c r="N1681" i="12"/>
  <c r="N1673" i="12"/>
  <c r="N1665" i="12"/>
  <c r="N1657" i="12"/>
  <c r="N1649" i="12"/>
  <c r="N1641" i="12"/>
  <c r="N1633" i="12"/>
  <c r="N1625" i="12"/>
  <c r="N1617" i="12"/>
  <c r="N1609" i="12"/>
  <c r="N1601" i="12"/>
  <c r="N1593" i="12"/>
  <c r="N1585" i="12"/>
  <c r="N1577" i="12"/>
  <c r="N1569" i="12"/>
  <c r="N1561" i="12"/>
  <c r="N1553" i="12"/>
  <c r="N1545" i="12"/>
  <c r="N1537" i="12"/>
  <c r="N1529" i="12"/>
  <c r="N1521" i="12"/>
  <c r="N1513" i="12"/>
  <c r="N1505" i="12"/>
  <c r="N1497" i="12"/>
  <c r="N1489" i="12"/>
  <c r="N1481" i="12"/>
  <c r="N1473" i="12"/>
  <c r="N1465" i="12"/>
  <c r="N1457" i="12"/>
  <c r="N1449" i="12"/>
  <c r="N1441" i="12"/>
  <c r="N1433" i="12"/>
  <c r="N1425" i="12"/>
  <c r="N1417" i="12"/>
  <c r="N1409" i="12"/>
  <c r="N1401" i="12"/>
  <c r="N1393" i="12"/>
  <c r="N1385" i="12"/>
  <c r="N1377" i="12"/>
  <c r="N2184" i="12"/>
  <c r="N2162" i="12"/>
  <c r="N2139" i="12"/>
  <c r="N2120" i="12"/>
  <c r="N2098" i="12"/>
  <c r="N2075" i="12"/>
  <c r="N2056" i="12"/>
  <c r="N2034" i="12"/>
  <c r="N2011" i="12"/>
  <c r="N1992" i="12"/>
  <c r="N1970" i="12"/>
  <c r="N1947" i="12"/>
  <c r="N1928" i="12"/>
  <c r="N1906" i="12"/>
  <c r="N1883" i="12"/>
  <c r="N1864" i="12"/>
  <c r="N1842" i="12"/>
  <c r="N1819" i="12"/>
  <c r="N1800" i="12"/>
  <c r="N1778" i="12"/>
  <c r="N1755" i="12"/>
  <c r="N1736" i="12"/>
  <c r="N1714" i="12"/>
  <c r="N1691" i="12"/>
  <c r="N1672" i="12"/>
  <c r="N1650" i="12"/>
  <c r="N1627" i="12"/>
  <c r="N1608" i="12"/>
  <c r="N1586" i="12"/>
  <c r="N1563" i="12"/>
  <c r="N1544" i="12"/>
  <c r="N1522" i="12"/>
  <c r="N1499" i="12"/>
  <c r="N1480" i="12"/>
  <c r="N1458" i="12"/>
  <c r="N1435" i="12"/>
  <c r="N1416" i="12"/>
  <c r="N1394" i="12"/>
  <c r="N1376" i="12"/>
  <c r="N1367" i="12"/>
  <c r="N1359" i="12"/>
  <c r="N1351" i="12"/>
  <c r="N1343" i="12"/>
  <c r="N1335" i="12"/>
  <c r="N1327" i="12"/>
  <c r="N1319" i="12"/>
  <c r="N1311" i="12"/>
  <c r="N1303" i="12"/>
  <c r="N1295" i="12"/>
  <c r="N1287" i="12"/>
  <c r="N1279" i="12"/>
  <c r="N1271" i="12"/>
  <c r="N1263" i="12"/>
  <c r="N1255" i="12"/>
  <c r="N1247" i="12"/>
  <c r="N1239" i="12"/>
  <c r="N1231" i="12"/>
  <c r="N1223" i="12"/>
  <c r="N1215" i="12"/>
  <c r="N1207" i="12"/>
  <c r="N1199" i="12"/>
  <c r="N1191" i="12"/>
  <c r="N1183" i="12"/>
  <c r="N1175" i="12"/>
  <c r="N1167" i="12"/>
  <c r="N1159" i="12"/>
  <c r="N1151" i="12"/>
  <c r="N1143" i="12"/>
  <c r="N1135" i="12"/>
  <c r="N1127" i="12"/>
  <c r="N1119" i="12"/>
  <c r="N1111" i="12"/>
  <c r="N1103" i="12"/>
  <c r="N1095" i="12"/>
  <c r="N1087" i="12"/>
  <c r="N1079" i="12"/>
  <c r="N1071" i="12"/>
  <c r="N1063" i="12"/>
  <c r="N1055" i="12"/>
  <c r="N1047" i="12"/>
  <c r="N1039" i="12"/>
  <c r="N1031" i="12"/>
  <c r="N1023" i="12"/>
  <c r="N1015" i="12"/>
  <c r="N1007" i="12"/>
  <c r="N999" i="12"/>
  <c r="N991" i="12"/>
  <c r="N983" i="12"/>
  <c r="N975" i="12"/>
  <c r="N967" i="12"/>
  <c r="N959" i="12"/>
  <c r="N951" i="12"/>
  <c r="N943" i="12"/>
  <c r="N935" i="12"/>
  <c r="N927" i="12"/>
  <c r="N919" i="12"/>
  <c r="N911" i="12"/>
  <c r="N903" i="12"/>
  <c r="N895" i="12"/>
  <c r="N887" i="12"/>
  <c r="N879" i="12"/>
  <c r="N871" i="12"/>
  <c r="N863" i="12"/>
  <c r="N855" i="12"/>
  <c r="N847" i="12"/>
  <c r="N839" i="12"/>
  <c r="N831" i="12"/>
  <c r="N823" i="12"/>
  <c r="N815" i="12"/>
  <c r="N807" i="12"/>
  <c r="N799" i="12"/>
  <c r="N791" i="12"/>
  <c r="N783" i="12"/>
  <c r="N775" i="12"/>
  <c r="N767" i="12"/>
  <c r="N759" i="12"/>
  <c r="N751" i="12"/>
  <c r="N743" i="12"/>
  <c r="N735" i="12"/>
  <c r="N727" i="12"/>
  <c r="N719" i="12"/>
  <c r="N711" i="12"/>
  <c r="N703" i="12"/>
  <c r="N695" i="12"/>
  <c r="N687" i="12"/>
  <c r="N679" i="12"/>
  <c r="N671" i="12"/>
  <c r="N663" i="12"/>
  <c r="N655" i="12"/>
  <c r="N647" i="12"/>
  <c r="N639" i="12"/>
  <c r="N631" i="12"/>
  <c r="N623" i="12"/>
  <c r="N615" i="12"/>
  <c r="N607" i="12"/>
  <c r="N599" i="12"/>
  <c r="N591" i="12"/>
  <c r="N583" i="12"/>
  <c r="N575" i="12"/>
  <c r="N567" i="12"/>
  <c r="N559" i="12"/>
  <c r="N551" i="12"/>
  <c r="N543" i="12"/>
  <c r="N535" i="12"/>
  <c r="N527" i="12"/>
  <c r="N519" i="12"/>
  <c r="N511" i="12"/>
  <c r="N503" i="12"/>
  <c r="N495" i="12"/>
  <c r="N487" i="12"/>
  <c r="N479" i="12"/>
  <c r="N471" i="12"/>
  <c r="N463" i="12"/>
  <c r="N455" i="12"/>
  <c r="N447" i="12"/>
  <c r="N439" i="12"/>
  <c r="N431" i="12"/>
  <c r="N423" i="12"/>
  <c r="N415" i="12"/>
  <c r="N407" i="12"/>
  <c r="N399" i="12"/>
  <c r="N391" i="12"/>
  <c r="N383" i="12"/>
  <c r="N375" i="12"/>
  <c r="N367" i="12"/>
  <c r="N359" i="12"/>
  <c r="N351" i="12"/>
  <c r="N343" i="12"/>
  <c r="N335" i="12"/>
  <c r="N327" i="12"/>
  <c r="N319" i="12"/>
  <c r="N311" i="12"/>
  <c r="N303" i="12"/>
  <c r="N295" i="12"/>
  <c r="N287" i="12"/>
  <c r="N279" i="12"/>
  <c r="N271" i="12"/>
  <c r="N263" i="12"/>
  <c r="N255" i="12"/>
  <c r="N247" i="12"/>
  <c r="N239" i="12"/>
  <c r="N231" i="12"/>
  <c r="N223" i="12"/>
  <c r="N215" i="12"/>
  <c r="N207" i="12"/>
  <c r="N199" i="12"/>
  <c r="N191" i="12"/>
  <c r="N183" i="12"/>
  <c r="N175" i="12"/>
  <c r="N167" i="12"/>
  <c r="N159" i="12"/>
  <c r="N151" i="12"/>
  <c r="N143" i="12"/>
  <c r="N135" i="12"/>
  <c r="N127" i="12"/>
  <c r="N119" i="12"/>
  <c r="N111" i="12"/>
  <c r="N103" i="12"/>
  <c r="N95" i="12"/>
  <c r="N87" i="12"/>
  <c r="N79" i="12"/>
  <c r="N71" i="12"/>
  <c r="N63" i="12"/>
  <c r="N55" i="12"/>
  <c r="N47" i="12"/>
  <c r="N39" i="12"/>
  <c r="N31" i="12"/>
  <c r="N23" i="12"/>
  <c r="N15" i="12"/>
  <c r="N7" i="12"/>
  <c r="N2200" i="12"/>
  <c r="N2178" i="12"/>
  <c r="N2155" i="12"/>
  <c r="N2136" i="12"/>
  <c r="N2114" i="12"/>
  <c r="N2091" i="12"/>
  <c r="N2072" i="12"/>
  <c r="N2050" i="12"/>
  <c r="N2027" i="12"/>
  <c r="N2008" i="12"/>
  <c r="N1986" i="12"/>
  <c r="N1963" i="12"/>
  <c r="N1944" i="12"/>
  <c r="N1922" i="12"/>
  <c r="N1899" i="12"/>
  <c r="N1880" i="12"/>
  <c r="N1858" i="12"/>
  <c r="N1835" i="12"/>
  <c r="N1816" i="12"/>
  <c r="N1794" i="12"/>
  <c r="N1771" i="12"/>
  <c r="N1752" i="12"/>
  <c r="N1730" i="12"/>
  <c r="N1707" i="12"/>
  <c r="N1688" i="12"/>
  <c r="N1666" i="12"/>
  <c r="N1643" i="12"/>
  <c r="N1624" i="12"/>
  <c r="N1602" i="12"/>
  <c r="N1579" i="12"/>
  <c r="N1560" i="12"/>
  <c r="N1538" i="12"/>
  <c r="N1515" i="12"/>
  <c r="N1496" i="12"/>
  <c r="N1474" i="12"/>
  <c r="N1451" i="12"/>
  <c r="N1432" i="12"/>
  <c r="N1410" i="12"/>
  <c r="N1387" i="12"/>
  <c r="N1373" i="12"/>
  <c r="N1365" i="12"/>
  <c r="N1357" i="12"/>
  <c r="N1349" i="12"/>
  <c r="N1341" i="12"/>
  <c r="N1333" i="12"/>
  <c r="N1325" i="12"/>
  <c r="N1317" i="12"/>
  <c r="N1309" i="12"/>
  <c r="N1301" i="12"/>
  <c r="N1293" i="12"/>
  <c r="N1285" i="12"/>
  <c r="N1277" i="12"/>
  <c r="N1269" i="12"/>
  <c r="N1261" i="12"/>
  <c r="N1253" i="12"/>
  <c r="N1245" i="12"/>
  <c r="N1237" i="12"/>
  <c r="N1229" i="12"/>
  <c r="N1221" i="12"/>
  <c r="N1213" i="12"/>
  <c r="N1205" i="12"/>
  <c r="N1197" i="12"/>
  <c r="N1189" i="12"/>
  <c r="N1181" i="12"/>
  <c r="N1173" i="12"/>
  <c r="N1165" i="12"/>
  <c r="N1157" i="12"/>
  <c r="N1149" i="12"/>
  <c r="N1141" i="12"/>
  <c r="N1133" i="12"/>
  <c r="N1125" i="12"/>
  <c r="N1117" i="12"/>
  <c r="N1109" i="12"/>
  <c r="N1101" i="12"/>
  <c r="N1093" i="12"/>
  <c r="N1085" i="12"/>
  <c r="N1077" i="12"/>
  <c r="N1069" i="12"/>
  <c r="N1061" i="12"/>
  <c r="N1053" i="12"/>
  <c r="N1045" i="12"/>
  <c r="N1037" i="12"/>
  <c r="N1029" i="12"/>
  <c r="N1021" i="12"/>
  <c r="N1013" i="12"/>
  <c r="N1005" i="12"/>
  <c r="N997" i="12"/>
  <c r="N989" i="12"/>
  <c r="N981" i="12"/>
  <c r="N973" i="12"/>
  <c r="N965" i="12"/>
  <c r="N957" i="12"/>
  <c r="N949" i="12"/>
  <c r="N941" i="12"/>
  <c r="N933" i="12"/>
  <c r="N925" i="12"/>
  <c r="N917" i="12"/>
  <c r="N909" i="12"/>
  <c r="N901" i="12"/>
  <c r="N893" i="12"/>
  <c r="N885" i="12"/>
  <c r="N877" i="12"/>
  <c r="N869" i="12"/>
  <c r="N861" i="12"/>
  <c r="N853" i="12"/>
  <c r="N845" i="12"/>
  <c r="N837" i="12"/>
  <c r="N829" i="12"/>
  <c r="N821" i="12"/>
  <c r="N813" i="12"/>
  <c r="N805" i="12"/>
  <c r="N797" i="12"/>
  <c r="N789" i="12"/>
  <c r="N781" i="12"/>
  <c r="N773" i="12"/>
  <c r="N765" i="12"/>
  <c r="N757" i="12"/>
  <c r="N749" i="12"/>
  <c r="N741" i="12"/>
  <c r="N733" i="12"/>
  <c r="N725" i="12"/>
  <c r="N717" i="12"/>
  <c r="N709" i="12"/>
  <c r="N701" i="12"/>
  <c r="N693" i="12"/>
  <c r="N685" i="12"/>
  <c r="N677" i="12"/>
  <c r="N669" i="12"/>
  <c r="N661" i="12"/>
  <c r="N653" i="12"/>
  <c r="N645" i="12"/>
  <c r="N637" i="12"/>
  <c r="N629" i="12"/>
  <c r="N621" i="12"/>
  <c r="N613" i="12"/>
  <c r="N605" i="12"/>
  <c r="N597" i="12"/>
  <c r="N589" i="12"/>
  <c r="N581" i="12"/>
  <c r="N573" i="12"/>
  <c r="N565" i="12"/>
  <c r="N557" i="12"/>
  <c r="N549" i="12"/>
  <c r="N541" i="12"/>
  <c r="N533" i="12"/>
  <c r="N525" i="12"/>
  <c r="N517" i="12"/>
  <c r="N509" i="12"/>
  <c r="N501" i="12"/>
  <c r="N493" i="12"/>
  <c r="N485" i="12"/>
  <c r="N477" i="12"/>
  <c r="N469" i="12"/>
  <c r="N461" i="12"/>
  <c r="N453" i="12"/>
  <c r="N445" i="12"/>
  <c r="N437" i="12"/>
  <c r="N429" i="12"/>
  <c r="N421" i="12"/>
  <c r="N413" i="12"/>
  <c r="N405" i="12"/>
  <c r="N397" i="12"/>
  <c r="N389" i="12"/>
  <c r="N381" i="12"/>
  <c r="N373" i="12"/>
  <c r="N365" i="12"/>
  <c r="N357" i="12"/>
  <c r="N349" i="12"/>
  <c r="N341" i="12"/>
  <c r="N333" i="12"/>
  <c r="N325" i="12"/>
  <c r="N317" i="12"/>
  <c r="N309" i="12"/>
  <c r="N301" i="12"/>
  <c r="N293" i="12"/>
  <c r="N285" i="12"/>
  <c r="N277" i="12"/>
  <c r="N269" i="12"/>
  <c r="N261" i="12"/>
  <c r="N253" i="12"/>
  <c r="N245" i="12"/>
  <c r="N237" i="12"/>
  <c r="N229" i="12"/>
  <c r="N221" i="12"/>
  <c r="N213" i="12"/>
  <c r="N205" i="12"/>
  <c r="N197" i="12"/>
  <c r="N189" i="12"/>
  <c r="N181" i="12"/>
  <c r="N173" i="12"/>
  <c r="N165" i="12"/>
  <c r="N157" i="12"/>
  <c r="N149" i="12"/>
  <c r="N141" i="12"/>
  <c r="N133" i="12"/>
  <c r="N125" i="12"/>
  <c r="N117" i="12"/>
  <c r="N109" i="12"/>
  <c r="N101" i="12"/>
  <c r="N93" i="12"/>
  <c r="N85" i="12"/>
  <c r="N77" i="12"/>
  <c r="N69" i="12"/>
  <c r="N61" i="12"/>
  <c r="N53" i="12"/>
  <c r="N45" i="12"/>
  <c r="N37" i="12"/>
  <c r="N29" i="12"/>
  <c r="N21" i="12"/>
  <c r="N13" i="12"/>
  <c r="N5" i="12"/>
  <c r="N2195" i="12"/>
  <c r="N2176" i="12"/>
  <c r="N2154" i="12"/>
  <c r="N2131" i="12"/>
  <c r="N2112" i="12"/>
  <c r="N2090" i="12"/>
  <c r="N2067" i="12"/>
  <c r="N2048" i="12"/>
  <c r="N2026" i="12"/>
  <c r="N2003" i="12"/>
  <c r="N1984" i="12"/>
  <c r="N1962" i="12"/>
  <c r="N1939" i="12"/>
  <c r="N1920" i="12"/>
  <c r="N1898" i="12"/>
  <c r="N1875" i="12"/>
  <c r="N1856" i="12"/>
  <c r="N1834" i="12"/>
  <c r="N1811" i="12"/>
  <c r="N1792" i="12"/>
  <c r="N1770" i="12"/>
  <c r="N1747" i="12"/>
  <c r="N1728" i="12"/>
  <c r="N1706" i="12"/>
  <c r="N1683" i="12"/>
  <c r="N1664" i="12"/>
  <c r="N1642" i="12"/>
  <c r="N1619" i="12"/>
  <c r="N1600" i="12"/>
  <c r="N1578" i="12"/>
  <c r="N1555" i="12"/>
  <c r="N1536" i="12"/>
  <c r="N1514" i="12"/>
  <c r="N1491" i="12"/>
  <c r="N1472" i="12"/>
  <c r="N1450" i="12"/>
  <c r="N1427" i="12"/>
  <c r="N1408" i="12"/>
  <c r="N1386" i="12"/>
  <c r="N1372" i="12"/>
  <c r="N1364" i="12"/>
  <c r="N1356" i="12"/>
  <c r="N1348" i="12"/>
  <c r="N1340" i="12"/>
  <c r="N1332" i="12"/>
  <c r="N1324" i="12"/>
  <c r="N1316" i="12"/>
  <c r="N1308" i="12"/>
  <c r="N1300" i="12"/>
  <c r="N1292" i="12"/>
  <c r="N1284" i="12"/>
  <c r="N1276" i="12"/>
  <c r="N1268" i="12"/>
  <c r="N1260" i="12"/>
  <c r="N1252" i="12"/>
  <c r="N1244" i="12"/>
  <c r="N1236" i="12"/>
  <c r="N1228" i="12"/>
  <c r="N1220" i="12"/>
  <c r="N1212" i="12"/>
  <c r="N1204" i="12"/>
  <c r="N1196" i="12"/>
  <c r="N1188" i="12"/>
  <c r="N1180" i="12"/>
  <c r="N1172" i="12"/>
  <c r="N1164" i="12"/>
  <c r="N1156" i="12"/>
  <c r="N1148" i="12"/>
  <c r="N1140" i="12"/>
  <c r="N1132" i="12"/>
  <c r="N1124" i="12"/>
  <c r="N1116" i="12"/>
  <c r="N1108" i="12"/>
  <c r="N1100" i="12"/>
  <c r="N1092" i="12"/>
  <c r="N1084" i="12"/>
  <c r="N1076" i="12"/>
  <c r="N1068" i="12"/>
  <c r="N1060" i="12"/>
  <c r="N1052" i="12"/>
  <c r="N1044" i="12"/>
  <c r="N1036" i="12"/>
  <c r="N1028" i="12"/>
  <c r="N1020" i="12"/>
  <c r="N1012" i="12"/>
  <c r="N1004" i="12"/>
  <c r="N996" i="12"/>
  <c r="N988" i="12"/>
  <c r="N980" i="12"/>
  <c r="N972" i="12"/>
  <c r="N964" i="12"/>
  <c r="N956" i="12"/>
  <c r="N948" i="12"/>
  <c r="N940" i="12"/>
  <c r="N932" i="12"/>
  <c r="N924" i="12"/>
  <c r="N916" i="12"/>
  <c r="N908" i="12"/>
  <c r="N900" i="12"/>
  <c r="N892" i="12"/>
  <c r="N884" i="12"/>
  <c r="N876" i="12"/>
  <c r="N868" i="12"/>
  <c r="N860" i="12"/>
  <c r="N852" i="12"/>
  <c r="N844" i="12"/>
  <c r="N836" i="12"/>
  <c r="N828" i="12"/>
  <c r="N820" i="12"/>
  <c r="N812" i="12"/>
  <c r="N804" i="12"/>
  <c r="N796" i="12"/>
  <c r="N788" i="12"/>
  <c r="N780" i="12"/>
  <c r="N772" i="12"/>
  <c r="N764" i="12"/>
  <c r="N756" i="12"/>
  <c r="N748" i="12"/>
  <c r="N740" i="12"/>
  <c r="N732" i="12"/>
  <c r="N724" i="12"/>
  <c r="N716" i="12"/>
  <c r="N708" i="12"/>
  <c r="N700" i="12"/>
  <c r="N692" i="12"/>
  <c r="N684" i="12"/>
  <c r="N676" i="12"/>
  <c r="N668" i="12"/>
  <c r="N660" i="12"/>
  <c r="N652" i="12"/>
  <c r="N644" i="12"/>
  <c r="N636" i="12"/>
  <c r="N628" i="12"/>
  <c r="N620" i="12"/>
  <c r="N612" i="12"/>
  <c r="N604" i="12"/>
  <c r="N596" i="12"/>
  <c r="N588" i="12"/>
  <c r="N580" i="12"/>
  <c r="N572" i="12"/>
  <c r="N564" i="12"/>
  <c r="N556" i="12"/>
  <c r="N548" i="12"/>
  <c r="N540" i="12"/>
  <c r="N532" i="12"/>
  <c r="N524" i="12"/>
  <c r="N516" i="12"/>
  <c r="N508" i="12"/>
  <c r="N500" i="12"/>
  <c r="N492" i="12"/>
  <c r="N484" i="12"/>
  <c r="N476" i="12"/>
  <c r="N468" i="12"/>
  <c r="N460" i="12"/>
  <c r="N452" i="12"/>
  <c r="N444" i="12"/>
  <c r="N436" i="12"/>
  <c r="N428" i="12"/>
  <c r="N420" i="12"/>
  <c r="N412" i="12"/>
  <c r="N404" i="12"/>
  <c r="N396" i="12"/>
  <c r="N388" i="12"/>
  <c r="N380" i="12"/>
  <c r="N372" i="12"/>
  <c r="N364" i="12"/>
  <c r="N356" i="12"/>
  <c r="N348" i="12"/>
  <c r="N340" i="12"/>
  <c r="N332" i="12"/>
  <c r="N324" i="12"/>
  <c r="N316" i="12"/>
  <c r="N308" i="12"/>
  <c r="N300" i="12"/>
  <c r="N292" i="12"/>
  <c r="N284" i="12"/>
  <c r="N276" i="12"/>
  <c r="N268" i="12"/>
  <c r="N260" i="12"/>
  <c r="N252" i="12"/>
  <c r="N244" i="12"/>
  <c r="N236" i="12"/>
  <c r="N228" i="12"/>
  <c r="N220" i="12"/>
  <c r="N212" i="12"/>
  <c r="N204" i="12"/>
  <c r="N196" i="12"/>
  <c r="N188" i="12"/>
  <c r="N180" i="12"/>
  <c r="N172" i="12"/>
  <c r="N164" i="12"/>
  <c r="N156" i="12"/>
  <c r="N148" i="12"/>
  <c r="N140" i="12"/>
  <c r="N132" i="12"/>
  <c r="N124" i="12"/>
  <c r="N116" i="12"/>
  <c r="N108" i="12"/>
  <c r="N100" i="12"/>
  <c r="N92" i="12"/>
  <c r="N84" i="12"/>
  <c r="N76" i="12"/>
  <c r="N68" i="12"/>
  <c r="N60" i="12"/>
  <c r="N52" i="12"/>
  <c r="N44" i="12"/>
  <c r="N36" i="12"/>
  <c r="N28" i="12"/>
  <c r="N20" i="12"/>
  <c r="N12" i="12"/>
  <c r="N4" i="12"/>
  <c r="N2194" i="12"/>
  <c r="N2171" i="12"/>
  <c r="N2152" i="12"/>
  <c r="N2130" i="12"/>
  <c r="N2107" i="12"/>
  <c r="N2088" i="12"/>
  <c r="N2066" i="12"/>
  <c r="N2043" i="12"/>
  <c r="N2024" i="12"/>
  <c r="N2002" i="12"/>
  <c r="N1979" i="12"/>
  <c r="N1960" i="12"/>
  <c r="N1938" i="12"/>
  <c r="N1915" i="12"/>
  <c r="N1896" i="12"/>
  <c r="N1874" i="12"/>
  <c r="N1851" i="12"/>
  <c r="N1832" i="12"/>
  <c r="N1810" i="12"/>
  <c r="N1787" i="12"/>
  <c r="N1768" i="12"/>
  <c r="N1746" i="12"/>
  <c r="N1723" i="12"/>
  <c r="N1704" i="12"/>
  <c r="N1682" i="12"/>
  <c r="N1659" i="12"/>
  <c r="N1640" i="12"/>
  <c r="N1618" i="12"/>
  <c r="N1595" i="12"/>
  <c r="N1576" i="12"/>
  <c r="N1554" i="12"/>
  <c r="N1531" i="12"/>
  <c r="N1512" i="12"/>
  <c r="N1490" i="12"/>
  <c r="N1467" i="12"/>
  <c r="N1448" i="12"/>
  <c r="N1426" i="12"/>
  <c r="N1403" i="12"/>
  <c r="N1384" i="12"/>
  <c r="N1371" i="12"/>
  <c r="N1363" i="12"/>
  <c r="N1355" i="12"/>
  <c r="N1347" i="12"/>
  <c r="N1339" i="12"/>
  <c r="N1331" i="12"/>
  <c r="N1323" i="12"/>
  <c r="N1315" i="12"/>
  <c r="N1307" i="12"/>
  <c r="N1299" i="12"/>
  <c r="N1291" i="12"/>
  <c r="N1283" i="12"/>
  <c r="N1275" i="12"/>
  <c r="N1267" i="12"/>
  <c r="N1259" i="12"/>
  <c r="N1251" i="12"/>
  <c r="N1243" i="12"/>
  <c r="N1235" i="12"/>
  <c r="N1227" i="12"/>
  <c r="N1219" i="12"/>
  <c r="N1211" i="12"/>
  <c r="N1203" i="12"/>
  <c r="N1195" i="12"/>
  <c r="N1187" i="12"/>
  <c r="N1179" i="12"/>
  <c r="N1171" i="12"/>
  <c r="N1163" i="12"/>
  <c r="N1155" i="12"/>
  <c r="N1147" i="12"/>
  <c r="N1139" i="12"/>
  <c r="N1131" i="12"/>
  <c r="N1123" i="12"/>
  <c r="N1115" i="12"/>
  <c r="N1107" i="12"/>
  <c r="N1099" i="12"/>
  <c r="N1091" i="12"/>
  <c r="N1083" i="12"/>
  <c r="N1075" i="12"/>
  <c r="N1067" i="12"/>
  <c r="N1059" i="12"/>
  <c r="N1051" i="12"/>
  <c r="N1043" i="12"/>
  <c r="N1035" i="12"/>
  <c r="N1027" i="12"/>
  <c r="N1019" i="12"/>
  <c r="N1011" i="12"/>
  <c r="N1003" i="12"/>
  <c r="N995" i="12"/>
  <c r="N987" i="12"/>
  <c r="N979" i="12"/>
  <c r="N971" i="12"/>
  <c r="N963" i="12"/>
  <c r="N955" i="12"/>
  <c r="N947" i="12"/>
  <c r="N939" i="12"/>
  <c r="N931" i="12"/>
  <c r="N923" i="12"/>
  <c r="N915" i="12"/>
  <c r="N907" i="12"/>
  <c r="N899" i="12"/>
  <c r="N891" i="12"/>
  <c r="N883" i="12"/>
  <c r="N875" i="12"/>
  <c r="N867" i="12"/>
  <c r="N859" i="12"/>
  <c r="N851" i="12"/>
  <c r="N843" i="12"/>
  <c r="N835" i="12"/>
  <c r="N827" i="12"/>
  <c r="N819" i="12"/>
  <c r="N811" i="12"/>
  <c r="N803" i="12"/>
  <c r="N795" i="12"/>
  <c r="N787" i="12"/>
  <c r="N779" i="12"/>
  <c r="N771" i="12"/>
  <c r="N763" i="12"/>
  <c r="N755" i="12"/>
  <c r="N747" i="12"/>
  <c r="N739" i="12"/>
  <c r="N731" i="12"/>
  <c r="N723" i="12"/>
  <c r="N715" i="12"/>
  <c r="N707" i="12"/>
  <c r="N699" i="12"/>
  <c r="N691" i="12"/>
  <c r="N683" i="12"/>
  <c r="N675" i="12"/>
  <c r="N667" i="12"/>
  <c r="N659" i="12"/>
  <c r="N651" i="12"/>
  <c r="N643" i="12"/>
  <c r="N635" i="12"/>
  <c r="N627" i="12"/>
  <c r="N619" i="12"/>
  <c r="N611" i="12"/>
  <c r="N603" i="12"/>
  <c r="N595" i="12"/>
  <c r="N587" i="12"/>
  <c r="N579" i="12"/>
  <c r="N571" i="12"/>
  <c r="N563" i="12"/>
  <c r="N555" i="12"/>
  <c r="N547" i="12"/>
  <c r="N539" i="12"/>
  <c r="N531" i="12"/>
  <c r="N523" i="12"/>
  <c r="N515" i="12"/>
  <c r="N507" i="12"/>
  <c r="N499" i="12"/>
  <c r="N491" i="12"/>
  <c r="N483" i="12"/>
  <c r="N475" i="12"/>
  <c r="N467" i="12"/>
  <c r="N459" i="12"/>
  <c r="N451" i="12"/>
  <c r="N443" i="12"/>
  <c r="N435" i="12"/>
  <c r="N427" i="12"/>
  <c r="N419" i="12"/>
  <c r="N411" i="12"/>
  <c r="N403" i="12"/>
  <c r="N395" i="12"/>
  <c r="N387" i="12"/>
  <c r="N379" i="12"/>
  <c r="N371" i="12"/>
  <c r="N363" i="12"/>
  <c r="N355" i="12"/>
  <c r="N347" i="12"/>
  <c r="N339" i="12"/>
  <c r="N331" i="12"/>
  <c r="N323" i="12"/>
  <c r="N315" i="12"/>
  <c r="N307" i="12"/>
  <c r="N299" i="12"/>
  <c r="N291" i="12"/>
  <c r="N283" i="12"/>
  <c r="N275" i="12"/>
  <c r="N267" i="12"/>
  <c r="N259" i="12"/>
  <c r="N251" i="12"/>
  <c r="N243" i="12"/>
  <c r="N235" i="12"/>
  <c r="N227" i="12"/>
  <c r="N219" i="12"/>
  <c r="N211" i="12"/>
  <c r="N203" i="12"/>
  <c r="N195" i="12"/>
  <c r="N187" i="12"/>
  <c r="N179" i="12"/>
  <c r="N171" i="12"/>
  <c r="N163" i="12"/>
  <c r="N155" i="12"/>
  <c r="N147" i="12"/>
  <c r="N139" i="12"/>
  <c r="N131" i="12"/>
  <c r="N123" i="12"/>
  <c r="N115" i="12"/>
  <c r="N107" i="12"/>
  <c r="N99" i="12"/>
  <c r="N91" i="12"/>
  <c r="N83" i="12"/>
  <c r="N75" i="12"/>
  <c r="N67" i="12"/>
  <c r="N59" i="12"/>
  <c r="N51" i="12"/>
  <c r="N43" i="12"/>
  <c r="N35" i="12"/>
  <c r="N27" i="12"/>
  <c r="N19" i="12"/>
  <c r="N11" i="12"/>
  <c r="N3" i="12"/>
  <c r="N2192" i="12"/>
  <c r="N2170" i="12"/>
  <c r="N2147" i="12"/>
  <c r="N2128" i="12"/>
  <c r="N2106" i="12"/>
  <c r="N2083" i="12"/>
  <c r="N2064" i="12"/>
  <c r="N2042" i="12"/>
  <c r="N2019" i="12"/>
  <c r="N2000" i="12"/>
  <c r="N1978" i="12"/>
  <c r="N1955" i="12"/>
  <c r="N1936" i="12"/>
  <c r="N1914" i="12"/>
  <c r="N1891" i="12"/>
  <c r="N1872" i="12"/>
  <c r="N1850" i="12"/>
  <c r="N1827" i="12"/>
  <c r="N1808" i="12"/>
  <c r="N1786" i="12"/>
  <c r="N1763" i="12"/>
  <c r="N1744" i="12"/>
  <c r="N1722" i="12"/>
  <c r="N1699" i="12"/>
  <c r="N1680" i="12"/>
  <c r="N1658" i="12"/>
  <c r="N1635" i="12"/>
  <c r="N1616" i="12"/>
  <c r="N1594" i="12"/>
  <c r="N1571" i="12"/>
  <c r="N1552" i="12"/>
  <c r="N1530" i="12"/>
  <c r="N1507" i="12"/>
  <c r="N1488" i="12"/>
  <c r="N1466" i="12"/>
  <c r="N1443" i="12"/>
  <c r="N1424" i="12"/>
  <c r="N1402" i="12"/>
  <c r="N1382" i="12"/>
  <c r="N1370" i="12"/>
  <c r="N1362" i="12"/>
  <c r="N1354" i="12"/>
  <c r="N1346" i="12"/>
  <c r="N1338" i="12"/>
  <c r="N1330" i="12"/>
  <c r="N1322" i="12"/>
  <c r="N1314" i="12"/>
  <c r="N1306" i="12"/>
  <c r="N1298" i="12"/>
  <c r="N1290" i="12"/>
  <c r="N1282" i="12"/>
  <c r="N1274" i="12"/>
  <c r="N1266" i="12"/>
  <c r="N1258" i="12"/>
  <c r="N1250" i="12"/>
  <c r="N1242" i="12"/>
  <c r="N1234" i="12"/>
  <c r="N1226" i="12"/>
  <c r="N1218" i="12"/>
  <c r="N1210" i="12"/>
  <c r="N1202" i="12"/>
  <c r="N1194" i="12"/>
  <c r="N1186" i="12"/>
  <c r="N1178" i="12"/>
  <c r="N1170" i="12"/>
  <c r="N1162" i="12"/>
  <c r="N1154" i="12"/>
  <c r="N1146" i="12"/>
  <c r="N1138" i="12"/>
  <c r="N1130" i="12"/>
  <c r="N1122" i="12"/>
  <c r="N1114" i="12"/>
  <c r="N1106" i="12"/>
  <c r="N1098" i="12"/>
  <c r="N1090" i="12"/>
  <c r="N1082" i="12"/>
  <c r="N1074" i="12"/>
  <c r="N1066" i="12"/>
  <c r="N1058" i="12"/>
  <c r="N1050" i="12"/>
  <c r="N1042" i="12"/>
  <c r="N1034" i="12"/>
  <c r="N1026" i="12"/>
  <c r="N1018" i="12"/>
  <c r="N1010" i="12"/>
  <c r="N1002" i="12"/>
  <c r="N994" i="12"/>
  <c r="N986" i="12"/>
  <c r="N978" i="12"/>
  <c r="N970" i="12"/>
  <c r="N962" i="12"/>
  <c r="N954" i="12"/>
  <c r="N946" i="12"/>
  <c r="N938" i="12"/>
  <c r="N930" i="12"/>
  <c r="N922" i="12"/>
  <c r="N914" i="12"/>
  <c r="N906" i="12"/>
  <c r="N898" i="12"/>
  <c r="N890" i="12"/>
  <c r="N882" i="12"/>
  <c r="N874" i="12"/>
  <c r="N866" i="12"/>
  <c r="N858" i="12"/>
  <c r="N850" i="12"/>
  <c r="N842" i="12"/>
  <c r="N834" i="12"/>
  <c r="N826" i="12"/>
  <c r="N818" i="12"/>
  <c r="N810" i="12"/>
  <c r="N802" i="12"/>
  <c r="N794" i="12"/>
  <c r="N786" i="12"/>
  <c r="N778" i="12"/>
  <c r="N770" i="12"/>
  <c r="N762" i="12"/>
  <c r="N754" i="12"/>
  <c r="N746" i="12"/>
  <c r="N738" i="12"/>
  <c r="N730" i="12"/>
  <c r="N722" i="12"/>
  <c r="N714" i="12"/>
  <c r="N706" i="12"/>
  <c r="N698" i="12"/>
  <c r="N690" i="12"/>
  <c r="N682" i="12"/>
  <c r="N674" i="12"/>
  <c r="N666" i="12"/>
  <c r="N658" i="12"/>
  <c r="N650" i="12"/>
  <c r="N642" i="12"/>
  <c r="N634" i="12"/>
  <c r="N626" i="12"/>
  <c r="N618" i="12"/>
  <c r="N610" i="12"/>
  <c r="N602" i="12"/>
  <c r="N594" i="12"/>
  <c r="N586" i="12"/>
  <c r="N578" i="12"/>
  <c r="N570" i="12"/>
  <c r="N562" i="12"/>
  <c r="N554" i="12"/>
  <c r="N546" i="12"/>
  <c r="N538" i="12"/>
  <c r="N530" i="12"/>
  <c r="N522" i="12"/>
  <c r="N514" i="12"/>
  <c r="N506" i="12"/>
  <c r="N498" i="12"/>
  <c r="N490" i="12"/>
  <c r="N482" i="12"/>
  <c r="N474" i="12"/>
  <c r="N466" i="12"/>
  <c r="N458" i="12"/>
  <c r="N450" i="12"/>
  <c r="N442" i="12"/>
  <c r="N434" i="12"/>
  <c r="N426" i="12"/>
  <c r="N418" i="12"/>
  <c r="N410" i="12"/>
  <c r="N402" i="12"/>
  <c r="N394" i="12"/>
  <c r="N386" i="12"/>
  <c r="N378" i="12"/>
  <c r="N370" i="12"/>
  <c r="N362" i="12"/>
  <c r="N354" i="12"/>
  <c r="N346" i="12"/>
  <c r="N338" i="12"/>
  <c r="N330" i="12"/>
  <c r="N322" i="12"/>
  <c r="N314" i="12"/>
  <c r="N306" i="12"/>
  <c r="N298" i="12"/>
  <c r="N290" i="12"/>
  <c r="N282" i="12"/>
  <c r="N274" i="12"/>
  <c r="N266" i="12"/>
  <c r="N258" i="12"/>
  <c r="N250" i="12"/>
  <c r="N242" i="12"/>
  <c r="N234" i="12"/>
  <c r="N226" i="12"/>
  <c r="N218" i="12"/>
  <c r="N210" i="12"/>
  <c r="N202" i="12"/>
  <c r="N194" i="12"/>
  <c r="N186" i="12"/>
  <c r="N178" i="12"/>
  <c r="N170" i="12"/>
  <c r="N162" i="12"/>
  <c r="N154" i="12"/>
  <c r="N146" i="12"/>
  <c r="N138" i="12"/>
  <c r="N130" i="12"/>
  <c r="N122" i="12"/>
  <c r="N114" i="12"/>
  <c r="N106" i="12"/>
  <c r="N98" i="12"/>
  <c r="N90" i="12"/>
  <c r="N82" i="12"/>
  <c r="N74" i="12"/>
  <c r="N66" i="12"/>
  <c r="N58" i="12"/>
  <c r="N50" i="12"/>
  <c r="N42" i="12"/>
  <c r="N34" i="12"/>
  <c r="N26" i="12"/>
  <c r="N18" i="12"/>
  <c r="N10" i="12"/>
  <c r="N2187" i="12"/>
  <c r="N2168" i="12"/>
  <c r="N2146" i="12"/>
  <c r="N2123" i="12"/>
  <c r="N2104" i="12"/>
  <c r="N2082" i="12"/>
  <c r="N2059" i="12"/>
  <c r="N2040" i="12"/>
  <c r="N2018" i="12"/>
  <c r="N1995" i="12"/>
  <c r="N1976" i="12"/>
  <c r="N1954" i="12"/>
  <c r="N1931" i="12"/>
  <c r="N1912" i="12"/>
  <c r="N1890" i="12"/>
  <c r="N1867" i="12"/>
  <c r="N1848" i="12"/>
  <c r="N1826" i="12"/>
  <c r="N1803" i="12"/>
  <c r="N1784" i="12"/>
  <c r="N1762" i="12"/>
  <c r="N1739" i="12"/>
  <c r="N1720" i="12"/>
  <c r="N1698" i="12"/>
  <c r="N1675" i="12"/>
  <c r="N1656" i="12"/>
  <c r="N1634" i="12"/>
  <c r="N1611" i="12"/>
  <c r="N1592" i="12"/>
  <c r="N1570" i="12"/>
  <c r="N1547" i="12"/>
  <c r="N1528" i="12"/>
  <c r="N1506" i="12"/>
  <c r="N1483" i="12"/>
  <c r="N1464" i="12"/>
  <c r="N1442" i="12"/>
  <c r="N1419" i="12"/>
  <c r="N1400" i="12"/>
  <c r="N1379" i="12"/>
  <c r="N1369" i="12"/>
  <c r="N1361" i="12"/>
  <c r="N1353" i="12"/>
  <c r="N1345" i="12"/>
  <c r="N1337" i="12"/>
  <c r="N1329" i="12"/>
  <c r="N1321" i="12"/>
  <c r="N1313" i="12"/>
  <c r="N1305" i="12"/>
  <c r="N1297" i="12"/>
  <c r="N1289" i="12"/>
  <c r="N1281" i="12"/>
  <c r="N1273" i="12"/>
  <c r="N1265" i="12"/>
  <c r="N1257" i="12"/>
  <c r="N1249" i="12"/>
  <c r="N1241" i="12"/>
  <c r="N1233" i="12"/>
  <c r="N1225" i="12"/>
  <c r="N1217" i="12"/>
  <c r="N1209" i="12"/>
  <c r="N1201" i="12"/>
  <c r="N1193" i="12"/>
  <c r="N1185" i="12"/>
  <c r="N1177" i="12"/>
  <c r="N1169" i="12"/>
  <c r="N1161" i="12"/>
  <c r="N1153" i="12"/>
  <c r="N1145" i="12"/>
  <c r="N1137" i="12"/>
  <c r="N1129" i="12"/>
  <c r="N1121" i="12"/>
  <c r="N1113" i="12"/>
  <c r="N1105" i="12"/>
  <c r="N1097" i="12"/>
  <c r="N1089" i="12"/>
  <c r="N1081" i="12"/>
  <c r="N1073" i="12"/>
  <c r="N1065" i="12"/>
  <c r="N1057" i="12"/>
  <c r="N1049" i="12"/>
  <c r="N1041" i="12"/>
  <c r="N1033" i="12"/>
  <c r="N1025" i="12"/>
  <c r="N1017" i="12"/>
  <c r="N1009" i="12"/>
  <c r="N1001" i="12"/>
  <c r="N993" i="12"/>
  <c r="N985" i="12"/>
  <c r="N977" i="12"/>
  <c r="N969" i="12"/>
  <c r="N961" i="12"/>
  <c r="N953" i="12"/>
  <c r="N945" i="12"/>
  <c r="N937" i="12"/>
  <c r="N929" i="12"/>
  <c r="N921" i="12"/>
  <c r="N913" i="12"/>
  <c r="N905" i="12"/>
  <c r="N897" i="12"/>
  <c r="N889" i="12"/>
  <c r="N881" i="12"/>
  <c r="N873" i="12"/>
  <c r="N865" i="12"/>
  <c r="N857" i="12"/>
  <c r="N849" i="12"/>
  <c r="N841" i="12"/>
  <c r="N833" i="12"/>
  <c r="N825" i="12"/>
  <c r="N817" i="12"/>
  <c r="N809" i="12"/>
  <c r="N801" i="12"/>
  <c r="N793" i="12"/>
  <c r="N785" i="12"/>
  <c r="N777" i="12"/>
  <c r="N769" i="12"/>
  <c r="N761" i="12"/>
  <c r="N753" i="12"/>
  <c r="N745" i="12"/>
  <c r="N737" i="12"/>
  <c r="N729" i="12"/>
  <c r="N721" i="12"/>
  <c r="N713" i="12"/>
  <c r="N705" i="12"/>
  <c r="N697" i="12"/>
  <c r="N689" i="12"/>
  <c r="N681" i="12"/>
  <c r="N673" i="12"/>
  <c r="N665" i="12"/>
  <c r="N657" i="12"/>
  <c r="N649" i="12"/>
  <c r="N641" i="12"/>
  <c r="N633" i="12"/>
  <c r="N625" i="12"/>
  <c r="N617" i="12"/>
  <c r="N609" i="12"/>
  <c r="N601" i="12"/>
  <c r="N593" i="12"/>
  <c r="N585" i="12"/>
  <c r="N577" i="12"/>
  <c r="N569" i="12"/>
  <c r="N561" i="12"/>
  <c r="N553" i="12"/>
  <c r="N545" i="12"/>
  <c r="N537" i="12"/>
  <c r="N529" i="12"/>
  <c r="N521" i="12"/>
  <c r="N513" i="12"/>
  <c r="N505" i="12"/>
  <c r="N497" i="12"/>
  <c r="N489" i="12"/>
  <c r="N481" i="12"/>
  <c r="N473" i="12"/>
  <c r="N465" i="12"/>
  <c r="N457" i="12"/>
  <c r="N449" i="12"/>
  <c r="N441" i="12"/>
  <c r="N433" i="12"/>
  <c r="N425" i="12"/>
  <c r="N417" i="12"/>
  <c r="N409" i="12"/>
  <c r="N401" i="12"/>
  <c r="N393" i="12"/>
  <c r="N385" i="12"/>
  <c r="N377" i="12"/>
  <c r="N369" i="12"/>
  <c r="N361" i="12"/>
  <c r="N353" i="12"/>
  <c r="N345" i="12"/>
  <c r="N337" i="12"/>
  <c r="N329" i="12"/>
  <c r="N321" i="12"/>
  <c r="N313" i="12"/>
  <c r="N305" i="12"/>
  <c r="N297" i="12"/>
  <c r="N289" i="12"/>
  <c r="N281" i="12"/>
  <c r="N273" i="12"/>
  <c r="N265" i="12"/>
  <c r="N257" i="12"/>
  <c r="N249" i="12"/>
  <c r="N241" i="12"/>
  <c r="N233" i="12"/>
  <c r="N225" i="12"/>
  <c r="N217" i="12"/>
  <c r="N209" i="12"/>
  <c r="N201" i="12"/>
  <c r="N193" i="12"/>
  <c r="N185" i="12"/>
  <c r="N177" i="12"/>
  <c r="N169" i="12"/>
  <c r="N161" i="12"/>
  <c r="N153" i="12"/>
  <c r="N145" i="12"/>
  <c r="N137" i="12"/>
  <c r="N129" i="12"/>
  <c r="N121" i="12"/>
  <c r="N113" i="12"/>
  <c r="N105" i="12"/>
  <c r="N97" i="12"/>
  <c r="N89" i="12"/>
  <c r="N81" i="12"/>
  <c r="N73" i="12"/>
  <c r="N65" i="12"/>
  <c r="N57" i="12"/>
  <c r="N49" i="12"/>
  <c r="N41" i="12"/>
  <c r="N33" i="12"/>
  <c r="N25" i="12"/>
  <c r="N17" i="12"/>
  <c r="N9" i="12"/>
  <c r="N2" i="12"/>
  <c r="N2138" i="12"/>
  <c r="N2051" i="12"/>
  <c r="N1968" i="12"/>
  <c r="N1882" i="12"/>
  <c r="N1795" i="12"/>
  <c r="N1712" i="12"/>
  <c r="N1626" i="12"/>
  <c r="N1539" i="12"/>
  <c r="N1456" i="12"/>
  <c r="N1374" i="12"/>
  <c r="N1342" i="12"/>
  <c r="N1310" i="12"/>
  <c r="N1278" i="12"/>
  <c r="N1246" i="12"/>
  <c r="N1214" i="12"/>
  <c r="N1182" i="12"/>
  <c r="N1150" i="12"/>
  <c r="N1118" i="12"/>
  <c r="N1086" i="12"/>
  <c r="N1054" i="12"/>
  <c r="N1022" i="12"/>
  <c r="N990" i="12"/>
  <c r="N958" i="12"/>
  <c r="N926" i="12"/>
  <c r="N894" i="12"/>
  <c r="N862" i="12"/>
  <c r="N830" i="12"/>
  <c r="N798" i="12"/>
  <c r="N766" i="12"/>
  <c r="N734" i="12"/>
  <c r="N702" i="12"/>
  <c r="N670" i="12"/>
  <c r="N638" i="12"/>
  <c r="N606" i="12"/>
  <c r="N574" i="12"/>
  <c r="N542" i="12"/>
  <c r="N510" i="12"/>
  <c r="N478" i="12"/>
  <c r="N446" i="12"/>
  <c r="N414" i="12"/>
  <c r="N382" i="12"/>
  <c r="N350" i="12"/>
  <c r="N318" i="12"/>
  <c r="N286" i="12"/>
  <c r="N254" i="12"/>
  <c r="N222" i="12"/>
  <c r="N190" i="12"/>
  <c r="N158" i="12"/>
  <c r="N126" i="12"/>
  <c r="N94" i="12"/>
  <c r="N62" i="12"/>
  <c r="N30" i="12"/>
  <c r="N2122" i="12"/>
  <c r="N2035" i="12"/>
  <c r="N1952" i="12"/>
  <c r="N1866" i="12"/>
  <c r="N1779" i="12"/>
  <c r="N1696" i="12"/>
  <c r="N1610" i="12"/>
  <c r="N1523" i="12"/>
  <c r="N1440" i="12"/>
  <c r="N1368" i="12"/>
  <c r="N1336" i="12"/>
  <c r="N1304" i="12"/>
  <c r="N1272" i="12"/>
  <c r="N1240" i="12"/>
  <c r="N1208" i="12"/>
  <c r="N1176" i="12"/>
  <c r="N1144" i="12"/>
  <c r="N1112" i="12"/>
  <c r="N1080" i="12"/>
  <c r="N1048" i="12"/>
  <c r="N1016" i="12"/>
  <c r="N984" i="12"/>
  <c r="N952" i="12"/>
  <c r="N920" i="12"/>
  <c r="N888" i="12"/>
  <c r="N856" i="12"/>
  <c r="N824" i="12"/>
  <c r="N792" i="12"/>
  <c r="N760" i="12"/>
  <c r="N728" i="12"/>
  <c r="N696" i="12"/>
  <c r="N664" i="12"/>
  <c r="N632" i="12"/>
  <c r="N600" i="12"/>
  <c r="N568" i="12"/>
  <c r="N536" i="12"/>
  <c r="N504" i="12"/>
  <c r="N472" i="12"/>
  <c r="N440" i="12"/>
  <c r="N408" i="12"/>
  <c r="N376" i="12"/>
  <c r="N344" i="12"/>
  <c r="N312" i="12"/>
  <c r="N280" i="12"/>
  <c r="N248" i="12"/>
  <c r="N216" i="12"/>
  <c r="N184" i="12"/>
  <c r="N152" i="12"/>
  <c r="N120" i="12"/>
  <c r="N88" i="12"/>
  <c r="N56" i="12"/>
  <c r="N24" i="12"/>
  <c r="N2115" i="12"/>
  <c r="N2032" i="12"/>
  <c r="N1946" i="12"/>
  <c r="N1859" i="12"/>
  <c r="N1776" i="12"/>
  <c r="N1690" i="12"/>
  <c r="N1603" i="12"/>
  <c r="N1520" i="12"/>
  <c r="N1434" i="12"/>
  <c r="N1366" i="12"/>
  <c r="N1334" i="12"/>
  <c r="N1302" i="12"/>
  <c r="N1270" i="12"/>
  <c r="N1238" i="12"/>
  <c r="N1206" i="12"/>
  <c r="N1174" i="12"/>
  <c r="N1142" i="12"/>
  <c r="N1110" i="12"/>
  <c r="N1078" i="12"/>
  <c r="N1046" i="12"/>
  <c r="N1014" i="12"/>
  <c r="N982" i="12"/>
  <c r="N950" i="12"/>
  <c r="N918" i="12"/>
  <c r="N886" i="12"/>
  <c r="N854" i="12"/>
  <c r="N822" i="12"/>
  <c r="N790" i="12"/>
  <c r="N758" i="12"/>
  <c r="N726" i="12"/>
  <c r="N694" i="12"/>
  <c r="N662" i="12"/>
  <c r="N630" i="12"/>
  <c r="N598" i="12"/>
  <c r="N566" i="12"/>
  <c r="N534" i="12"/>
  <c r="N502" i="12"/>
  <c r="N470" i="12"/>
  <c r="N438" i="12"/>
  <c r="N406" i="12"/>
  <c r="N374" i="12"/>
  <c r="N342" i="12"/>
  <c r="N310" i="12"/>
  <c r="N278" i="12"/>
  <c r="N246" i="12"/>
  <c r="N214" i="12"/>
  <c r="N182" i="12"/>
  <c r="N150" i="12"/>
  <c r="N118" i="12"/>
  <c r="N86" i="12"/>
  <c r="N54" i="12"/>
  <c r="N22" i="12"/>
  <c r="N2186" i="12"/>
  <c r="N2099" i="12"/>
  <c r="N2016" i="12"/>
  <c r="N1930" i="12"/>
  <c r="N1843" i="12"/>
  <c r="N1760" i="12"/>
  <c r="N1674" i="12"/>
  <c r="N1587" i="12"/>
  <c r="N1504" i="12"/>
  <c r="N1418" i="12"/>
  <c r="N1360" i="12"/>
  <c r="N1328" i="12"/>
  <c r="N1296" i="12"/>
  <c r="N1264" i="12"/>
  <c r="N1232" i="12"/>
  <c r="N1200" i="12"/>
  <c r="N1168" i="12"/>
  <c r="N1136" i="12"/>
  <c r="N1104" i="12"/>
  <c r="N1072" i="12"/>
  <c r="N1040" i="12"/>
  <c r="N1008" i="12"/>
  <c r="N976" i="12"/>
  <c r="N944" i="12"/>
  <c r="N912" i="12"/>
  <c r="N880" i="12"/>
  <c r="N848" i="12"/>
  <c r="N816" i="12"/>
  <c r="N784" i="12"/>
  <c r="N752" i="12"/>
  <c r="N720" i="12"/>
  <c r="N688" i="12"/>
  <c r="N656" i="12"/>
  <c r="N624" i="12"/>
  <c r="N592" i="12"/>
  <c r="N560" i="12"/>
  <c r="N528" i="12"/>
  <c r="N496" i="12"/>
  <c r="N464" i="12"/>
  <c r="N432" i="12"/>
  <c r="N400" i="12"/>
  <c r="N368" i="12"/>
  <c r="N336" i="12"/>
  <c r="N304" i="12"/>
  <c r="N272" i="12"/>
  <c r="N240" i="12"/>
  <c r="N208" i="12"/>
  <c r="N176" i="12"/>
  <c r="N144" i="12"/>
  <c r="N112" i="12"/>
  <c r="N80" i="12"/>
  <c r="N48" i="12"/>
  <c r="N16" i="12"/>
  <c r="N2179" i="12"/>
  <c r="N2096" i="12"/>
  <c r="N2010" i="12"/>
  <c r="N1923" i="12"/>
  <c r="N1840" i="12"/>
  <c r="N1754" i="12"/>
  <c r="N1667" i="12"/>
  <c r="N1584" i="12"/>
  <c r="N1498" i="12"/>
  <c r="N1411" i="12"/>
  <c r="N1358" i="12"/>
  <c r="N1326" i="12"/>
  <c r="N1294" i="12"/>
  <c r="N1262" i="12"/>
  <c r="N1230" i="12"/>
  <c r="N1198" i="12"/>
  <c r="N1166" i="12"/>
  <c r="N1134" i="12"/>
  <c r="N1102" i="12"/>
  <c r="N1070" i="12"/>
  <c r="N1038" i="12"/>
  <c r="N1006" i="12"/>
  <c r="N974" i="12"/>
  <c r="N942" i="12"/>
  <c r="N910" i="12"/>
  <c r="N878" i="12"/>
  <c r="N846" i="12"/>
  <c r="N814" i="12"/>
  <c r="N782" i="12"/>
  <c r="N750" i="12"/>
  <c r="N718" i="12"/>
  <c r="N686" i="12"/>
  <c r="N654" i="12"/>
  <c r="N622" i="12"/>
  <c r="N590" i="12"/>
  <c r="N558" i="12"/>
  <c r="N526" i="12"/>
  <c r="N494" i="12"/>
  <c r="N462" i="12"/>
  <c r="N430" i="12"/>
  <c r="N398" i="12"/>
  <c r="N366" i="12"/>
  <c r="N334" i="12"/>
  <c r="N302" i="12"/>
  <c r="N270" i="12"/>
  <c r="N238" i="12"/>
  <c r="N206" i="12"/>
  <c r="N174" i="12"/>
  <c r="N142" i="12"/>
  <c r="N110" i="12"/>
  <c r="N78" i="12"/>
  <c r="N46" i="12"/>
  <c r="N14" i="12"/>
  <c r="N2163" i="12"/>
  <c r="N2080" i="12"/>
  <c r="N1994" i="12"/>
  <c r="N1907" i="12"/>
  <c r="N1824" i="12"/>
  <c r="N1738" i="12"/>
  <c r="N1651" i="12"/>
  <c r="N1568" i="12"/>
  <c r="N1482" i="12"/>
  <c r="N1395" i="12"/>
  <c r="N1352" i="12"/>
  <c r="N1320" i="12"/>
  <c r="N1288" i="12"/>
  <c r="N1256" i="12"/>
  <c r="N1224" i="12"/>
  <c r="N1192" i="12"/>
  <c r="N1160" i="12"/>
  <c r="N1128" i="12"/>
  <c r="N1096" i="12"/>
  <c r="N1064" i="12"/>
  <c r="N1032" i="12"/>
  <c r="N1000" i="12"/>
  <c r="N968" i="12"/>
  <c r="N936" i="12"/>
  <c r="N904" i="12"/>
  <c r="N872" i="12"/>
  <c r="N840" i="12"/>
  <c r="N808" i="12"/>
  <c r="N776" i="12"/>
  <c r="N744" i="12"/>
  <c r="N712" i="12"/>
  <c r="N680" i="12"/>
  <c r="N648" i="12"/>
  <c r="N616" i="12"/>
  <c r="N584" i="12"/>
  <c r="N552" i="12"/>
  <c r="N520" i="12"/>
  <c r="N488" i="12"/>
  <c r="N456" i="12"/>
  <c r="N424" i="12"/>
  <c r="N392" i="12"/>
  <c r="N360" i="12"/>
  <c r="N328" i="12"/>
  <c r="N296" i="12"/>
  <c r="N264" i="12"/>
  <c r="N232" i="12"/>
  <c r="N200" i="12"/>
  <c r="N168" i="12"/>
  <c r="N136" i="12"/>
  <c r="N104" i="12"/>
  <c r="N72" i="12"/>
  <c r="N40" i="12"/>
  <c r="N8" i="12"/>
  <c r="N2160" i="12"/>
  <c r="N2074" i="12"/>
  <c r="N1987" i="12"/>
  <c r="N1904" i="12"/>
  <c r="N1818" i="12"/>
  <c r="N1731" i="12"/>
  <c r="N1648" i="12"/>
  <c r="N1562" i="12"/>
  <c r="N1475" i="12"/>
  <c r="N1392" i="12"/>
  <c r="N1350" i="12"/>
  <c r="N1318" i="12"/>
  <c r="N1286" i="12"/>
  <c r="N1254" i="12"/>
  <c r="N1222" i="12"/>
  <c r="N1190" i="12"/>
  <c r="N1158" i="12"/>
  <c r="N1126" i="12"/>
  <c r="N1094" i="12"/>
  <c r="N1062" i="12"/>
  <c r="N1030" i="12"/>
  <c r="N998" i="12"/>
  <c r="N966" i="12"/>
  <c r="N934" i="12"/>
  <c r="N902" i="12"/>
  <c r="N870" i="12"/>
  <c r="N838" i="12"/>
  <c r="N806" i="12"/>
  <c r="N774" i="12"/>
  <c r="N742" i="12"/>
  <c r="N710" i="12"/>
  <c r="N678" i="12"/>
  <c r="N646" i="12"/>
  <c r="N614" i="12"/>
  <c r="N582" i="12"/>
  <c r="N550" i="12"/>
  <c r="N518" i="12"/>
  <c r="N486" i="12"/>
  <c r="N454" i="12"/>
  <c r="N422" i="12"/>
  <c r="N390" i="12"/>
  <c r="N358" i="12"/>
  <c r="N326" i="12"/>
  <c r="N294" i="12"/>
  <c r="N262" i="12"/>
  <c r="N230" i="12"/>
  <c r="N198" i="12"/>
  <c r="N166" i="12"/>
  <c r="N134" i="12"/>
  <c r="N102" i="12"/>
  <c r="N70" i="12"/>
  <c r="N38" i="12"/>
  <c r="N6" i="12"/>
  <c r="N1546" i="12"/>
  <c r="N1184" i="12"/>
  <c r="N928" i="12"/>
  <c r="N672" i="12"/>
  <c r="N416" i="12"/>
  <c r="N160" i="12"/>
  <c r="N2144" i="12"/>
  <c r="N1459" i="12"/>
  <c r="N1152" i="12"/>
  <c r="N896" i="12"/>
  <c r="N640" i="12"/>
  <c r="N384" i="12"/>
  <c r="N128" i="12"/>
  <c r="N2058" i="12"/>
  <c r="N1378" i="12"/>
  <c r="N1120" i="12"/>
  <c r="N864" i="12"/>
  <c r="N608" i="12"/>
  <c r="N352" i="12"/>
  <c r="N96" i="12"/>
  <c r="N1971" i="12"/>
  <c r="N1344" i="12"/>
  <c r="N1088" i="12"/>
  <c r="N832" i="12"/>
  <c r="N576" i="12"/>
  <c r="N320" i="12"/>
  <c r="N64" i="12"/>
  <c r="N1888" i="12"/>
  <c r="N1312" i="12"/>
  <c r="N1056" i="12"/>
  <c r="N800" i="12"/>
  <c r="N544" i="12"/>
  <c r="N288" i="12"/>
  <c r="N32" i="12"/>
  <c r="N1802" i="12"/>
  <c r="N1280" i="12"/>
  <c r="N1024" i="12"/>
  <c r="N768" i="12"/>
  <c r="N512" i="12"/>
  <c r="N256" i="12"/>
  <c r="N1715" i="12"/>
  <c r="N1248" i="12"/>
  <c r="N992" i="12"/>
  <c r="N736" i="12"/>
  <c r="N480" i="12"/>
  <c r="N224" i="12"/>
  <c r="N192" i="12"/>
  <c r="N1632" i="12"/>
  <c r="N1216" i="12"/>
  <c r="N960" i="12"/>
  <c r="N704" i="12"/>
  <c r="N448" i="12"/>
  <c r="R2200" i="12"/>
  <c r="R2192" i="12"/>
  <c r="R2184" i="12"/>
  <c r="R2176" i="12"/>
  <c r="R2168" i="12"/>
  <c r="R2160" i="12"/>
  <c r="R2152" i="12"/>
  <c r="R2144" i="12"/>
  <c r="R2136" i="12"/>
  <c r="R2128" i="12"/>
  <c r="R2120" i="12"/>
  <c r="R2112" i="12"/>
  <c r="R2104" i="12"/>
  <c r="R2096" i="12"/>
  <c r="R2088" i="12"/>
  <c r="R2080" i="12"/>
  <c r="R2072" i="12"/>
  <c r="R2064" i="12"/>
  <c r="R2056" i="12"/>
  <c r="R2048" i="12"/>
  <c r="R2040" i="12"/>
  <c r="R2032" i="12"/>
  <c r="R2024" i="12"/>
  <c r="R2016" i="12"/>
  <c r="R2008" i="12"/>
  <c r="R2000" i="12"/>
  <c r="R1992" i="12"/>
  <c r="R1984" i="12"/>
  <c r="R1976" i="12"/>
  <c r="R1968" i="12"/>
  <c r="R1960" i="12"/>
  <c r="R1952" i="12"/>
  <c r="R1944" i="12"/>
  <c r="R1936" i="12"/>
  <c r="R1928" i="12"/>
  <c r="R1920" i="12"/>
  <c r="R1912" i="12"/>
  <c r="R1904" i="12"/>
  <c r="R1896" i="12"/>
  <c r="R1888" i="12"/>
  <c r="R1880" i="12"/>
  <c r="R1872" i="12"/>
  <c r="R1864" i="12"/>
  <c r="R1856" i="12"/>
  <c r="R1848" i="12"/>
  <c r="R1840" i="12"/>
  <c r="R1832" i="12"/>
  <c r="R1824" i="12"/>
  <c r="R1816" i="12"/>
  <c r="R1808" i="12"/>
  <c r="R1800" i="12"/>
  <c r="R1792" i="12"/>
  <c r="R1784" i="12"/>
  <c r="R1776" i="12"/>
  <c r="R1768" i="12"/>
  <c r="R2199" i="12"/>
  <c r="R2191" i="12"/>
  <c r="R2183" i="12"/>
  <c r="R2175" i="12"/>
  <c r="R2167" i="12"/>
  <c r="R2159" i="12"/>
  <c r="R2151" i="12"/>
  <c r="R2143" i="12"/>
  <c r="R2135" i="12"/>
  <c r="R2127" i="12"/>
  <c r="R2119" i="12"/>
  <c r="R2111" i="12"/>
  <c r="R2103" i="12"/>
  <c r="R2095" i="12"/>
  <c r="R2087" i="12"/>
  <c r="R2079" i="12"/>
  <c r="R2071" i="12"/>
  <c r="R2063" i="12"/>
  <c r="R2055" i="12"/>
  <c r="R2047" i="12"/>
  <c r="R2039" i="12"/>
  <c r="R2031" i="12"/>
  <c r="R2023" i="12"/>
  <c r="R2015" i="12"/>
  <c r="R2007" i="12"/>
  <c r="R1999" i="12"/>
  <c r="R1991" i="12"/>
  <c r="R1983" i="12"/>
  <c r="R1975" i="12"/>
  <c r="R1967" i="12"/>
  <c r="R1959" i="12"/>
  <c r="R1951" i="12"/>
  <c r="R1943" i="12"/>
  <c r="R1935" i="12"/>
  <c r="R1927" i="12"/>
  <c r="R1919" i="12"/>
  <c r="R1911" i="12"/>
  <c r="R1903" i="12"/>
  <c r="R1895" i="12"/>
  <c r="R1887" i="12"/>
  <c r="R1879" i="12"/>
  <c r="R1871" i="12"/>
  <c r="R1863" i="12"/>
  <c r="R1855" i="12"/>
  <c r="R1847" i="12"/>
  <c r="R1839" i="12"/>
  <c r="R1831" i="12"/>
  <c r="R1823" i="12"/>
  <c r="R1815" i="12"/>
  <c r="R1807" i="12"/>
  <c r="R1799" i="12"/>
  <c r="R2198" i="12"/>
  <c r="R2190" i="12"/>
  <c r="R2182" i="12"/>
  <c r="R2174" i="12"/>
  <c r="R2166" i="12"/>
  <c r="R2158" i="12"/>
  <c r="R2150" i="12"/>
  <c r="R2142" i="12"/>
  <c r="R2134" i="12"/>
  <c r="R2126" i="12"/>
  <c r="R2118" i="12"/>
  <c r="R2110" i="12"/>
  <c r="R2102" i="12"/>
  <c r="R2094" i="12"/>
  <c r="R2086" i="12"/>
  <c r="R2078" i="12"/>
  <c r="R2070" i="12"/>
  <c r="R2062" i="12"/>
  <c r="R2054" i="12"/>
  <c r="R2046" i="12"/>
  <c r="R2038" i="12"/>
  <c r="R2030" i="12"/>
  <c r="R2022" i="12"/>
  <c r="R2014" i="12"/>
  <c r="R2006" i="12"/>
  <c r="R1998" i="12"/>
  <c r="R1990" i="12"/>
  <c r="R1982" i="12"/>
  <c r="R1974" i="12"/>
  <c r="R1966" i="12"/>
  <c r="R1958" i="12"/>
  <c r="R1950" i="12"/>
  <c r="R1942" i="12"/>
  <c r="R1934" i="12"/>
  <c r="R1926" i="12"/>
  <c r="R1918" i="12"/>
  <c r="R1910" i="12"/>
  <c r="R1902" i="12"/>
  <c r="R1894" i="12"/>
  <c r="R1886" i="12"/>
  <c r="R1878" i="12"/>
  <c r="R1870" i="12"/>
  <c r="R1862" i="12"/>
  <c r="R1854" i="12"/>
  <c r="R1846" i="12"/>
  <c r="R1838" i="12"/>
  <c r="R1830" i="12"/>
  <c r="R1822" i="12"/>
  <c r="R1814" i="12"/>
  <c r="R1806" i="12"/>
  <c r="R1798" i="12"/>
  <c r="R1790" i="12"/>
  <c r="R1782" i="12"/>
  <c r="R2197" i="12"/>
  <c r="R2189" i="12"/>
  <c r="R2181" i="12"/>
  <c r="R2173" i="12"/>
  <c r="R2165" i="12"/>
  <c r="R2157" i="12"/>
  <c r="R2149" i="12"/>
  <c r="R2141" i="12"/>
  <c r="R2133" i="12"/>
  <c r="R2125" i="12"/>
  <c r="R2117" i="12"/>
  <c r="R2109" i="12"/>
  <c r="R2101" i="12"/>
  <c r="R2093" i="12"/>
  <c r="R2085" i="12"/>
  <c r="R2077" i="12"/>
  <c r="R2069" i="12"/>
  <c r="R2061" i="12"/>
  <c r="R2053" i="12"/>
  <c r="R2045" i="12"/>
  <c r="R2037" i="12"/>
  <c r="R2029" i="12"/>
  <c r="R2021" i="12"/>
  <c r="R2013" i="12"/>
  <c r="R2005" i="12"/>
  <c r="R1997" i="12"/>
  <c r="R1989" i="12"/>
  <c r="R1981" i="12"/>
  <c r="R1973" i="12"/>
  <c r="R1965" i="12"/>
  <c r="R1957" i="12"/>
  <c r="R1949" i="12"/>
  <c r="R1941" i="12"/>
  <c r="R1933" i="12"/>
  <c r="R1925" i="12"/>
  <c r="R1917" i="12"/>
  <c r="R1909" i="12"/>
  <c r="R1901" i="12"/>
  <c r="R1893" i="12"/>
  <c r="R1885" i="12"/>
  <c r="R1877" i="12"/>
  <c r="R1869" i="12"/>
  <c r="R1861" i="12"/>
  <c r="R1853" i="12"/>
  <c r="R1845" i="12"/>
  <c r="R1837" i="12"/>
  <c r="R1829" i="12"/>
  <c r="R1821" i="12"/>
  <c r="R1813" i="12"/>
  <c r="R1805" i="12"/>
  <c r="R1797" i="12"/>
  <c r="R1789" i="12"/>
  <c r="R1781" i="12"/>
  <c r="R1773" i="12"/>
  <c r="R2196" i="12"/>
  <c r="R2180" i="12"/>
  <c r="R2164" i="12"/>
  <c r="R2148" i="12"/>
  <c r="R2132" i="12"/>
  <c r="R2116" i="12"/>
  <c r="R2100" i="12"/>
  <c r="R2084" i="12"/>
  <c r="R2068" i="12"/>
  <c r="R2052" i="12"/>
  <c r="R2036" i="12"/>
  <c r="R2020" i="12"/>
  <c r="R2004" i="12"/>
  <c r="R1988" i="12"/>
  <c r="R1972" i="12"/>
  <c r="R1956" i="12"/>
  <c r="R1940" i="12"/>
  <c r="R1924" i="12"/>
  <c r="R1908" i="12"/>
  <c r="R1892" i="12"/>
  <c r="R1876" i="12"/>
  <c r="R1860" i="12"/>
  <c r="R1844" i="12"/>
  <c r="R1828" i="12"/>
  <c r="R1812" i="12"/>
  <c r="R1796" i="12"/>
  <c r="R1785" i="12"/>
  <c r="R1772" i="12"/>
  <c r="R1763" i="12"/>
  <c r="R1755" i="12"/>
  <c r="R1747" i="12"/>
  <c r="R1739" i="12"/>
  <c r="R1731" i="12"/>
  <c r="R1723" i="12"/>
  <c r="R1715" i="12"/>
  <c r="R1707" i="12"/>
  <c r="R1699" i="12"/>
  <c r="R1691" i="12"/>
  <c r="R1683" i="12"/>
  <c r="R1675" i="12"/>
  <c r="R1667" i="12"/>
  <c r="R1659" i="12"/>
  <c r="R1651" i="12"/>
  <c r="R1643" i="12"/>
  <c r="R1635" i="12"/>
  <c r="R1627" i="12"/>
  <c r="R1619" i="12"/>
  <c r="R1611" i="12"/>
  <c r="R1603" i="12"/>
  <c r="R1595" i="12"/>
  <c r="R1587" i="12"/>
  <c r="R1579" i="12"/>
  <c r="R1571" i="12"/>
  <c r="R1563" i="12"/>
  <c r="R1555" i="12"/>
  <c r="R1547" i="12"/>
  <c r="R1539" i="12"/>
  <c r="R1531" i="12"/>
  <c r="R1523" i="12"/>
  <c r="R1515" i="12"/>
  <c r="R1507" i="12"/>
  <c r="R1499" i="12"/>
  <c r="R1491" i="12"/>
  <c r="R1483" i="12"/>
  <c r="R1475" i="12"/>
  <c r="R1467" i="12"/>
  <c r="R1459" i="12"/>
  <c r="R1451" i="12"/>
  <c r="R1443" i="12"/>
  <c r="R1435" i="12"/>
  <c r="R1427" i="12"/>
  <c r="R1419" i="12"/>
  <c r="R1411" i="12"/>
  <c r="R1403" i="12"/>
  <c r="R1395" i="12"/>
  <c r="R1387" i="12"/>
  <c r="R1379" i="12"/>
  <c r="R1371" i="12"/>
  <c r="R1363" i="12"/>
  <c r="R1355" i="12"/>
  <c r="R1347" i="12"/>
  <c r="R1339" i="12"/>
  <c r="R1331" i="12"/>
  <c r="R1323" i="12"/>
  <c r="R1315" i="12"/>
  <c r="R1307" i="12"/>
  <c r="R1299" i="12"/>
  <c r="R1291" i="12"/>
  <c r="R1283" i="12"/>
  <c r="R1275" i="12"/>
  <c r="R1267" i="12"/>
  <c r="R1259" i="12"/>
  <c r="R1251" i="12"/>
  <c r="R1243" i="12"/>
  <c r="R1235" i="12"/>
  <c r="R1227" i="12"/>
  <c r="R1219" i="12"/>
  <c r="R1211" i="12"/>
  <c r="R1203" i="12"/>
  <c r="R1195" i="12"/>
  <c r="R1187" i="12"/>
  <c r="R1179" i="12"/>
  <c r="R1171" i="12"/>
  <c r="R1163" i="12"/>
  <c r="R1155" i="12"/>
  <c r="R1147" i="12"/>
  <c r="R1139" i="12"/>
  <c r="R1131" i="12"/>
  <c r="R1123" i="12"/>
  <c r="R1115" i="12"/>
  <c r="R1107" i="12"/>
  <c r="R1099" i="12"/>
  <c r="R1091" i="12"/>
  <c r="R1083" i="12"/>
  <c r="R1075" i="12"/>
  <c r="R1067" i="12"/>
  <c r="R1059" i="12"/>
  <c r="R1051" i="12"/>
  <c r="R1043" i="12"/>
  <c r="R1035" i="12"/>
  <c r="R1027" i="12"/>
  <c r="R1019" i="12"/>
  <c r="R1011" i="12"/>
  <c r="R1003" i="12"/>
  <c r="R995" i="12"/>
  <c r="R987" i="12"/>
  <c r="R979" i="12"/>
  <c r="R971" i="12"/>
  <c r="R963" i="12"/>
  <c r="R955" i="12"/>
  <c r="R947" i="12"/>
  <c r="R939" i="12"/>
  <c r="R931" i="12"/>
  <c r="R923" i="12"/>
  <c r="R915" i="12"/>
  <c r="R907" i="12"/>
  <c r="R899" i="12"/>
  <c r="R891" i="12"/>
  <c r="R883" i="12"/>
  <c r="R875" i="12"/>
  <c r="R867" i="12"/>
  <c r="R859" i="12"/>
  <c r="R851" i="12"/>
  <c r="R843" i="12"/>
  <c r="R835" i="12"/>
  <c r="R827" i="12"/>
  <c r="R819" i="12"/>
  <c r="R811" i="12"/>
  <c r="R803" i="12"/>
  <c r="R795" i="12"/>
  <c r="R787" i="12"/>
  <c r="R779" i="12"/>
  <c r="R771" i="12"/>
  <c r="R763" i="12"/>
  <c r="R755" i="12"/>
  <c r="R747" i="12"/>
  <c r="R739" i="12"/>
  <c r="R731" i="12"/>
  <c r="R723" i="12"/>
  <c r="R715" i="12"/>
  <c r="R707" i="12"/>
  <c r="R699" i="12"/>
  <c r="R691" i="12"/>
  <c r="R683" i="12"/>
  <c r="R675" i="12"/>
  <c r="R667" i="12"/>
  <c r="R659" i="12"/>
  <c r="R651" i="12"/>
  <c r="R643" i="12"/>
  <c r="R635" i="12"/>
  <c r="R627" i="12"/>
  <c r="R619" i="12"/>
  <c r="R611" i="12"/>
  <c r="R603" i="12"/>
  <c r="R595" i="12"/>
  <c r="R587" i="12"/>
  <c r="R579" i="12"/>
  <c r="R571" i="12"/>
  <c r="R563" i="12"/>
  <c r="R555" i="12"/>
  <c r="R547" i="12"/>
  <c r="R539" i="12"/>
  <c r="R531" i="12"/>
  <c r="R523" i="12"/>
  <c r="R515" i="12"/>
  <c r="R507" i="12"/>
  <c r="R499" i="12"/>
  <c r="R491" i="12"/>
  <c r="R483" i="12"/>
  <c r="R475" i="12"/>
  <c r="R467" i="12"/>
  <c r="R459" i="12"/>
  <c r="R451" i="12"/>
  <c r="R443" i="12"/>
  <c r="R435" i="12"/>
  <c r="R427" i="12"/>
  <c r="R419" i="12"/>
  <c r="R411" i="12"/>
  <c r="R403" i="12"/>
  <c r="R395" i="12"/>
  <c r="R387" i="12"/>
  <c r="R379" i="12"/>
  <c r="R371" i="12"/>
  <c r="R363" i="12"/>
  <c r="R355" i="12"/>
  <c r="R347" i="12"/>
  <c r="R339" i="12"/>
  <c r="R331" i="12"/>
  <c r="R323" i="12"/>
  <c r="R315" i="12"/>
  <c r="R307" i="12"/>
  <c r="R299" i="12"/>
  <c r="R291" i="12"/>
  <c r="R283" i="12"/>
  <c r="R275" i="12"/>
  <c r="R267" i="12"/>
  <c r="R259" i="12"/>
  <c r="R251" i="12"/>
  <c r="R243" i="12"/>
  <c r="R235" i="12"/>
  <c r="R227" i="12"/>
  <c r="R219" i="12"/>
  <c r="R211" i="12"/>
  <c r="R203" i="12"/>
  <c r="R195" i="12"/>
  <c r="R187" i="12"/>
  <c r="R179" i="12"/>
  <c r="R171" i="12"/>
  <c r="R163" i="12"/>
  <c r="R155" i="12"/>
  <c r="R147" i="12"/>
  <c r="R139" i="12"/>
  <c r="R131" i="12"/>
  <c r="R123" i="12"/>
  <c r="R115" i="12"/>
  <c r="R107" i="12"/>
  <c r="R99" i="12"/>
  <c r="R91" i="12"/>
  <c r="R83" i="12"/>
  <c r="R75" i="12"/>
  <c r="R67" i="12"/>
  <c r="R59" i="12"/>
  <c r="R51" i="12"/>
  <c r="R43" i="12"/>
  <c r="R35" i="12"/>
  <c r="R27" i="12"/>
  <c r="R2195" i="12"/>
  <c r="R2179" i="12"/>
  <c r="R2163" i="12"/>
  <c r="R2147" i="12"/>
  <c r="R2131" i="12"/>
  <c r="R2115" i="12"/>
  <c r="R2099" i="12"/>
  <c r="R2083" i="12"/>
  <c r="R2067" i="12"/>
  <c r="R2051" i="12"/>
  <c r="R2035" i="12"/>
  <c r="R2019" i="12"/>
  <c r="R2003" i="12"/>
  <c r="R1987" i="12"/>
  <c r="R1971" i="12"/>
  <c r="R1955" i="12"/>
  <c r="R1939" i="12"/>
  <c r="R1923" i="12"/>
  <c r="R1907" i="12"/>
  <c r="R1891" i="12"/>
  <c r="R1875" i="12"/>
  <c r="R1859" i="12"/>
  <c r="R1843" i="12"/>
  <c r="R1827" i="12"/>
  <c r="R1811" i="12"/>
  <c r="R1795" i="12"/>
  <c r="R1783" i="12"/>
  <c r="R1771" i="12"/>
  <c r="R1762" i="12"/>
  <c r="R1754" i="12"/>
  <c r="R1746" i="12"/>
  <c r="R1738" i="12"/>
  <c r="R1730" i="12"/>
  <c r="R1722" i="12"/>
  <c r="R1714" i="12"/>
  <c r="R1706" i="12"/>
  <c r="R1698" i="12"/>
  <c r="R1690" i="12"/>
  <c r="R1682" i="12"/>
  <c r="R1674" i="12"/>
  <c r="R1666" i="12"/>
  <c r="R1658" i="12"/>
  <c r="R1650" i="12"/>
  <c r="R1642" i="12"/>
  <c r="R1634" i="12"/>
  <c r="R1626" i="12"/>
  <c r="R1618" i="12"/>
  <c r="R1610" i="12"/>
  <c r="R1602" i="12"/>
  <c r="R1594" i="12"/>
  <c r="R1586" i="12"/>
  <c r="R1578" i="12"/>
  <c r="R1570" i="12"/>
  <c r="R1562" i="12"/>
  <c r="R1554" i="12"/>
  <c r="R1546" i="12"/>
  <c r="R1538" i="12"/>
  <c r="R1530" i="12"/>
  <c r="R1522" i="12"/>
  <c r="R1514" i="12"/>
  <c r="R1506" i="12"/>
  <c r="R1498" i="12"/>
  <c r="R1490" i="12"/>
  <c r="R1482" i="12"/>
  <c r="R1474" i="12"/>
  <c r="R1466" i="12"/>
  <c r="R1458" i="12"/>
  <c r="R1450" i="12"/>
  <c r="R1442" i="12"/>
  <c r="R1434" i="12"/>
  <c r="R1426" i="12"/>
  <c r="R1418" i="12"/>
  <c r="R1410" i="12"/>
  <c r="R1402" i="12"/>
  <c r="R1394" i="12"/>
  <c r="R1386" i="12"/>
  <c r="R1378" i="12"/>
  <c r="R1370" i="12"/>
  <c r="R1362" i="12"/>
  <c r="R1354" i="12"/>
  <c r="R1346" i="12"/>
  <c r="R1338" i="12"/>
  <c r="R1330" i="12"/>
  <c r="R1322" i="12"/>
  <c r="R1314" i="12"/>
  <c r="R1306" i="12"/>
  <c r="R1298" i="12"/>
  <c r="R1290" i="12"/>
  <c r="R1282" i="12"/>
  <c r="R1274" i="12"/>
  <c r="R1266" i="12"/>
  <c r="R1258" i="12"/>
  <c r="R1250" i="12"/>
  <c r="R1242" i="12"/>
  <c r="R1234" i="12"/>
  <c r="R1226" i="12"/>
  <c r="R1218" i="12"/>
  <c r="R1210" i="12"/>
  <c r="R1202" i="12"/>
  <c r="R1194" i="12"/>
  <c r="R1186" i="12"/>
  <c r="R1178" i="12"/>
  <c r="R1170" i="12"/>
  <c r="R1162" i="12"/>
  <c r="R1154" i="12"/>
  <c r="R1146" i="12"/>
  <c r="R1138" i="12"/>
  <c r="R1130" i="12"/>
  <c r="R1122" i="12"/>
  <c r="R1114" i="12"/>
  <c r="R1106" i="12"/>
  <c r="R1098" i="12"/>
  <c r="R1090" i="12"/>
  <c r="R1082" i="12"/>
  <c r="R1074" i="12"/>
  <c r="R1066" i="12"/>
  <c r="R1058" i="12"/>
  <c r="R1050" i="12"/>
  <c r="R1042" i="12"/>
  <c r="R1034" i="12"/>
  <c r="R1026" i="12"/>
  <c r="R1018" i="12"/>
  <c r="R1010" i="12"/>
  <c r="R1002" i="12"/>
  <c r="R994" i="12"/>
  <c r="R986" i="12"/>
  <c r="R978" i="12"/>
  <c r="R970" i="12"/>
  <c r="R962" i="12"/>
  <c r="R954" i="12"/>
  <c r="R946" i="12"/>
  <c r="R938" i="12"/>
  <c r="R930" i="12"/>
  <c r="R922" i="12"/>
  <c r="R914" i="12"/>
  <c r="R906" i="12"/>
  <c r="R898" i="12"/>
  <c r="R890" i="12"/>
  <c r="R882" i="12"/>
  <c r="R874" i="12"/>
  <c r="R866" i="12"/>
  <c r="R858" i="12"/>
  <c r="R850" i="12"/>
  <c r="R842" i="12"/>
  <c r="R834" i="12"/>
  <c r="R826" i="12"/>
  <c r="R818" i="12"/>
  <c r="R810" i="12"/>
  <c r="R802" i="12"/>
  <c r="R794" i="12"/>
  <c r="R786" i="12"/>
  <c r="R778" i="12"/>
  <c r="R770" i="12"/>
  <c r="R762" i="12"/>
  <c r="R754" i="12"/>
  <c r="R746" i="12"/>
  <c r="R738" i="12"/>
  <c r="R730" i="12"/>
  <c r="R722" i="12"/>
  <c r="R714" i="12"/>
  <c r="R706" i="12"/>
  <c r="R698" i="12"/>
  <c r="R690" i="12"/>
  <c r="R682" i="12"/>
  <c r="R674" i="12"/>
  <c r="R666" i="12"/>
  <c r="R658" i="12"/>
  <c r="R650" i="12"/>
  <c r="R642" i="12"/>
  <c r="R634" i="12"/>
  <c r="R626" i="12"/>
  <c r="R618" i="12"/>
  <c r="R610" i="12"/>
  <c r="R602" i="12"/>
  <c r="R594" i="12"/>
  <c r="R586" i="12"/>
  <c r="R578" i="12"/>
  <c r="R570" i="12"/>
  <c r="R562" i="12"/>
  <c r="R554" i="12"/>
  <c r="R546" i="12"/>
  <c r="R538" i="12"/>
  <c r="R530" i="12"/>
  <c r="R522" i="12"/>
  <c r="R514" i="12"/>
  <c r="R506" i="12"/>
  <c r="R498" i="12"/>
  <c r="R490" i="12"/>
  <c r="R482" i="12"/>
  <c r="R474" i="12"/>
  <c r="R466" i="12"/>
  <c r="R458" i="12"/>
  <c r="R450" i="12"/>
  <c r="R442" i="12"/>
  <c r="R434" i="12"/>
  <c r="R426" i="12"/>
  <c r="R418" i="12"/>
  <c r="R410" i="12"/>
  <c r="R402" i="12"/>
  <c r="R394" i="12"/>
  <c r="R386" i="12"/>
  <c r="R378" i="12"/>
  <c r="R370" i="12"/>
  <c r="R362" i="12"/>
  <c r="R354" i="12"/>
  <c r="R346" i="12"/>
  <c r="R338" i="12"/>
  <c r="R330" i="12"/>
  <c r="R322" i="12"/>
  <c r="R314" i="12"/>
  <c r="R306" i="12"/>
  <c r="R298" i="12"/>
  <c r="R290" i="12"/>
  <c r="R282" i="12"/>
  <c r="R274" i="12"/>
  <c r="R266" i="12"/>
  <c r="R258" i="12"/>
  <c r="R250" i="12"/>
  <c r="R242" i="12"/>
  <c r="R234" i="12"/>
  <c r="R226" i="12"/>
  <c r="R218" i="12"/>
  <c r="R210" i="12"/>
  <c r="R202" i="12"/>
  <c r="R194" i="12"/>
  <c r="R186" i="12"/>
  <c r="R178" i="12"/>
  <c r="R170" i="12"/>
  <c r="R162" i="12"/>
  <c r="R154" i="12"/>
  <c r="R146" i="12"/>
  <c r="R138" i="12"/>
  <c r="R130" i="12"/>
  <c r="R122" i="12"/>
  <c r="R114" i="12"/>
  <c r="R106" i="12"/>
  <c r="R98" i="12"/>
  <c r="R90" i="12"/>
  <c r="R82" i="12"/>
  <c r="R74" i="12"/>
  <c r="R66" i="12"/>
  <c r="R58" i="12"/>
  <c r="R50" i="12"/>
  <c r="R42" i="12"/>
  <c r="R34" i="12"/>
  <c r="R26" i="12"/>
  <c r="R18" i="12"/>
  <c r="R10" i="12"/>
  <c r="R2194" i="12"/>
  <c r="R2178" i="12"/>
  <c r="R2162" i="12"/>
  <c r="R2146" i="12"/>
  <c r="R2130" i="12"/>
  <c r="R2114" i="12"/>
  <c r="R2098" i="12"/>
  <c r="R2082" i="12"/>
  <c r="R2066" i="12"/>
  <c r="R2050" i="12"/>
  <c r="R2034" i="12"/>
  <c r="R2018" i="12"/>
  <c r="R2002" i="12"/>
  <c r="R1986" i="12"/>
  <c r="R1970" i="12"/>
  <c r="R1954" i="12"/>
  <c r="R1938" i="12"/>
  <c r="R1922" i="12"/>
  <c r="R1906" i="12"/>
  <c r="R1890" i="12"/>
  <c r="R1874" i="12"/>
  <c r="R1858" i="12"/>
  <c r="R1842" i="12"/>
  <c r="R1826" i="12"/>
  <c r="R1810" i="12"/>
  <c r="R1794" i="12"/>
  <c r="R1780" i="12"/>
  <c r="R1770" i="12"/>
  <c r="R1761" i="12"/>
  <c r="R1753" i="12"/>
  <c r="R1745" i="12"/>
  <c r="R1737" i="12"/>
  <c r="R1729" i="12"/>
  <c r="R1721" i="12"/>
  <c r="R1713" i="12"/>
  <c r="R1705" i="12"/>
  <c r="R1697" i="12"/>
  <c r="R1689" i="12"/>
  <c r="R1681" i="12"/>
  <c r="R1673" i="12"/>
  <c r="R1665" i="12"/>
  <c r="R1657" i="12"/>
  <c r="R1649" i="12"/>
  <c r="R1641" i="12"/>
  <c r="R1633" i="12"/>
  <c r="R1625" i="12"/>
  <c r="R1617" i="12"/>
  <c r="R1609" i="12"/>
  <c r="R1601" i="12"/>
  <c r="R1593" i="12"/>
  <c r="R1585" i="12"/>
  <c r="R1577" i="12"/>
  <c r="R1569" i="12"/>
  <c r="R1561" i="12"/>
  <c r="R1553" i="12"/>
  <c r="R1545" i="12"/>
  <c r="R1537" i="12"/>
  <c r="R1529" i="12"/>
  <c r="R1521" i="12"/>
  <c r="R1513" i="12"/>
  <c r="R1505" i="12"/>
  <c r="R1497" i="12"/>
  <c r="R1489" i="12"/>
  <c r="R1481" i="12"/>
  <c r="R1473" i="12"/>
  <c r="R1465" i="12"/>
  <c r="R1457" i="12"/>
  <c r="R1449" i="12"/>
  <c r="R1441" i="12"/>
  <c r="R1433" i="12"/>
  <c r="R1425" i="12"/>
  <c r="R1417" i="12"/>
  <c r="R1409" i="12"/>
  <c r="R1401" i="12"/>
  <c r="R1393" i="12"/>
  <c r="R1385" i="12"/>
  <c r="R1377" i="12"/>
  <c r="R1369" i="12"/>
  <c r="R1361" i="12"/>
  <c r="R1353" i="12"/>
  <c r="R1345" i="12"/>
  <c r="R1337" i="12"/>
  <c r="R1329" i="12"/>
  <c r="R1321" i="12"/>
  <c r="R1313" i="12"/>
  <c r="R1305" i="12"/>
  <c r="R1297" i="12"/>
  <c r="R1289" i="12"/>
  <c r="R1281" i="12"/>
  <c r="R1273" i="12"/>
  <c r="R1265" i="12"/>
  <c r="R1257" i="12"/>
  <c r="R1249" i="12"/>
  <c r="R1241" i="12"/>
  <c r="R1233" i="12"/>
  <c r="R1225" i="12"/>
  <c r="R1217" i="12"/>
  <c r="R1209" i="12"/>
  <c r="R1201" i="12"/>
  <c r="R1193" i="12"/>
  <c r="R1185" i="12"/>
  <c r="R1177" i="12"/>
  <c r="R1169" i="12"/>
  <c r="R1161" i="12"/>
  <c r="R1153" i="12"/>
  <c r="R1145" i="12"/>
  <c r="R1137" i="12"/>
  <c r="R1129" i="12"/>
  <c r="R1121" i="12"/>
  <c r="R1113" i="12"/>
  <c r="R1105" i="12"/>
  <c r="R1097" i="12"/>
  <c r="R1089" i="12"/>
  <c r="R1081" i="12"/>
  <c r="R1073" i="12"/>
  <c r="R1065" i="12"/>
  <c r="R1057" i="12"/>
  <c r="R1049" i="12"/>
  <c r="R1041" i="12"/>
  <c r="R1033" i="12"/>
  <c r="R1025" i="12"/>
  <c r="R1017" i="12"/>
  <c r="R1009" i="12"/>
  <c r="R1001" i="12"/>
  <c r="R993" i="12"/>
  <c r="R985" i="12"/>
  <c r="R977" i="12"/>
  <c r="R969" i="12"/>
  <c r="R961" i="12"/>
  <c r="R953" i="12"/>
  <c r="R945" i="12"/>
  <c r="R937" i="12"/>
  <c r="R929" i="12"/>
  <c r="R921" i="12"/>
  <c r="R913" i="12"/>
  <c r="R905" i="12"/>
  <c r="R897" i="12"/>
  <c r="R889" i="12"/>
  <c r="R881" i="12"/>
  <c r="R873" i="12"/>
  <c r="R865" i="12"/>
  <c r="R857" i="12"/>
  <c r="R849" i="12"/>
  <c r="R841" i="12"/>
  <c r="R833" i="12"/>
  <c r="R825" i="12"/>
  <c r="R817" i="12"/>
  <c r="R809" i="12"/>
  <c r="R801" i="12"/>
  <c r="R793" i="12"/>
  <c r="R785" i="12"/>
  <c r="R777" i="12"/>
  <c r="R769" i="12"/>
  <c r="R761" i="12"/>
  <c r="R753" i="12"/>
  <c r="R745" i="12"/>
  <c r="R737" i="12"/>
  <c r="R729" i="12"/>
  <c r="R721" i="12"/>
  <c r="R713" i="12"/>
  <c r="R705" i="12"/>
  <c r="R697" i="12"/>
  <c r="R689" i="12"/>
  <c r="R681" i="12"/>
  <c r="R673" i="12"/>
  <c r="R665" i="12"/>
  <c r="R657" i="12"/>
  <c r="R649" i="12"/>
  <c r="R641" i="12"/>
  <c r="R633" i="12"/>
  <c r="R625" i="12"/>
  <c r="R617" i="12"/>
  <c r="R609" i="12"/>
  <c r="R601" i="12"/>
  <c r="R593" i="12"/>
  <c r="R585" i="12"/>
  <c r="R577" i="12"/>
  <c r="R569" i="12"/>
  <c r="R561" i="12"/>
  <c r="R553" i="12"/>
  <c r="R545" i="12"/>
  <c r="R537" i="12"/>
  <c r="R529" i="12"/>
  <c r="R521" i="12"/>
  <c r="R513" i="12"/>
  <c r="R505" i="12"/>
  <c r="R497" i="12"/>
  <c r="R489" i="12"/>
  <c r="R481" i="12"/>
  <c r="R473" i="12"/>
  <c r="R465" i="12"/>
  <c r="R457" i="12"/>
  <c r="R449" i="12"/>
  <c r="R441" i="12"/>
  <c r="R433" i="12"/>
  <c r="R425" i="12"/>
  <c r="R417" i="12"/>
  <c r="R409" i="12"/>
  <c r="R401" i="12"/>
  <c r="R393" i="12"/>
  <c r="R385" i="12"/>
  <c r="R377" i="12"/>
  <c r="R369" i="12"/>
  <c r="R361" i="12"/>
  <c r="R353" i="12"/>
  <c r="R345" i="12"/>
  <c r="R337" i="12"/>
  <c r="R329" i="12"/>
  <c r="R321" i="12"/>
  <c r="R313" i="12"/>
  <c r="R305" i="12"/>
  <c r="R297" i="12"/>
  <c r="R289" i="12"/>
  <c r="R281" i="12"/>
  <c r="R273" i="12"/>
  <c r="R265" i="12"/>
  <c r="R257" i="12"/>
  <c r="R249" i="12"/>
  <c r="R241" i="12"/>
  <c r="R233" i="12"/>
  <c r="R225" i="12"/>
  <c r="R217" i="12"/>
  <c r="R209" i="12"/>
  <c r="R201" i="12"/>
  <c r="R193" i="12"/>
  <c r="R185" i="12"/>
  <c r="R177" i="12"/>
  <c r="R169" i="12"/>
  <c r="R161" i="12"/>
  <c r="R153" i="12"/>
  <c r="R145" i="12"/>
  <c r="R137" i="12"/>
  <c r="R129" i="12"/>
  <c r="R121" i="12"/>
  <c r="R113" i="12"/>
  <c r="R105" i="12"/>
  <c r="R97" i="12"/>
  <c r="R89" i="12"/>
  <c r="R81" i="12"/>
  <c r="R73" i="12"/>
  <c r="R65" i="12"/>
  <c r="R57" i="12"/>
  <c r="R49" i="12"/>
  <c r="R41" i="12"/>
  <c r="R33" i="12"/>
  <c r="R25" i="12"/>
  <c r="R17" i="12"/>
  <c r="R9" i="12"/>
  <c r="R2" i="12"/>
  <c r="R2193" i="12"/>
  <c r="R2177" i="12"/>
  <c r="R2161" i="12"/>
  <c r="R2145" i="12"/>
  <c r="R2129" i="12"/>
  <c r="R2113" i="12"/>
  <c r="R2097" i="12"/>
  <c r="R2081" i="12"/>
  <c r="R2065" i="12"/>
  <c r="R2049" i="12"/>
  <c r="R2033" i="12"/>
  <c r="R2017" i="12"/>
  <c r="R2001" i="12"/>
  <c r="R1985" i="12"/>
  <c r="R1969" i="12"/>
  <c r="R1953" i="12"/>
  <c r="R1937" i="12"/>
  <c r="R1921" i="12"/>
  <c r="R1905" i="12"/>
  <c r="R1889" i="12"/>
  <c r="R1873" i="12"/>
  <c r="R1857" i="12"/>
  <c r="R1841" i="12"/>
  <c r="R1825" i="12"/>
  <c r="R1809" i="12"/>
  <c r="R1793" i="12"/>
  <c r="R1779" i="12"/>
  <c r="R1769" i="12"/>
  <c r="R1760" i="12"/>
  <c r="R1752" i="12"/>
  <c r="R1744" i="12"/>
  <c r="R1736" i="12"/>
  <c r="R1728" i="12"/>
  <c r="R1720" i="12"/>
  <c r="R1712" i="12"/>
  <c r="R1704" i="12"/>
  <c r="R1696" i="12"/>
  <c r="R1688" i="12"/>
  <c r="R1680" i="12"/>
  <c r="R1672" i="12"/>
  <c r="R1664" i="12"/>
  <c r="R1656" i="12"/>
  <c r="R1648" i="12"/>
  <c r="R1640" i="12"/>
  <c r="R1632" i="12"/>
  <c r="R1624" i="12"/>
  <c r="R1616" i="12"/>
  <c r="R1608" i="12"/>
  <c r="R1600" i="12"/>
  <c r="R1592" i="12"/>
  <c r="R1584" i="12"/>
  <c r="R1576" i="12"/>
  <c r="R1568" i="12"/>
  <c r="R1560" i="12"/>
  <c r="R1552" i="12"/>
  <c r="R1544" i="12"/>
  <c r="R1536" i="12"/>
  <c r="R1528" i="12"/>
  <c r="R1520" i="12"/>
  <c r="R1512" i="12"/>
  <c r="R1504" i="12"/>
  <c r="R1496" i="12"/>
  <c r="R1488" i="12"/>
  <c r="R1480" i="12"/>
  <c r="R1472" i="12"/>
  <c r="R1464" i="12"/>
  <c r="R1456" i="12"/>
  <c r="R1448" i="12"/>
  <c r="R1440" i="12"/>
  <c r="R1432" i="12"/>
  <c r="R1424" i="12"/>
  <c r="R1416" i="12"/>
  <c r="R1408" i="12"/>
  <c r="R1400" i="12"/>
  <c r="R1392" i="12"/>
  <c r="R1384" i="12"/>
  <c r="R1376" i="12"/>
  <c r="R1368" i="12"/>
  <c r="R1360" i="12"/>
  <c r="R1352" i="12"/>
  <c r="R1344" i="12"/>
  <c r="R1336" i="12"/>
  <c r="R1328" i="12"/>
  <c r="R1320" i="12"/>
  <c r="R1312" i="12"/>
  <c r="R1304" i="12"/>
  <c r="R1296" i="12"/>
  <c r="R1288" i="12"/>
  <c r="R1280" i="12"/>
  <c r="R1272" i="12"/>
  <c r="R1264" i="12"/>
  <c r="R1256" i="12"/>
  <c r="R1248" i="12"/>
  <c r="R1240" i="12"/>
  <c r="R1232" i="12"/>
  <c r="R1224" i="12"/>
  <c r="R1216" i="12"/>
  <c r="R1208" i="12"/>
  <c r="R1200" i="12"/>
  <c r="R1192" i="12"/>
  <c r="R1184" i="12"/>
  <c r="R1176" i="12"/>
  <c r="R1168" i="12"/>
  <c r="R1160" i="12"/>
  <c r="R1152" i="12"/>
  <c r="R1144" i="12"/>
  <c r="R1136" i="12"/>
  <c r="R1128" i="12"/>
  <c r="R1120" i="12"/>
  <c r="R1112" i="12"/>
  <c r="R1104" i="12"/>
  <c r="R1096" i="12"/>
  <c r="R1088" i="12"/>
  <c r="R1080" i="12"/>
  <c r="R1072" i="12"/>
  <c r="R1064" i="12"/>
  <c r="R1056" i="12"/>
  <c r="R1048" i="12"/>
  <c r="R1040" i="12"/>
  <c r="R1032" i="12"/>
  <c r="R1024" i="12"/>
  <c r="R1016" i="12"/>
  <c r="R1008" i="12"/>
  <c r="R1000" i="12"/>
  <c r="R992" i="12"/>
  <c r="R984" i="12"/>
  <c r="R976" i="12"/>
  <c r="R968" i="12"/>
  <c r="R960" i="12"/>
  <c r="R952" i="12"/>
  <c r="R944" i="12"/>
  <c r="R936" i="12"/>
  <c r="R928" i="12"/>
  <c r="R920" i="12"/>
  <c r="R912" i="12"/>
  <c r="R904" i="12"/>
  <c r="R896" i="12"/>
  <c r="R888" i="12"/>
  <c r="R880" i="12"/>
  <c r="R872" i="12"/>
  <c r="R864" i="12"/>
  <c r="R856" i="12"/>
  <c r="R848" i="12"/>
  <c r="R840" i="12"/>
  <c r="R832" i="12"/>
  <c r="R824" i="12"/>
  <c r="R816" i="12"/>
  <c r="R808" i="12"/>
  <c r="R800" i="12"/>
  <c r="R792" i="12"/>
  <c r="R784" i="12"/>
  <c r="R776" i="12"/>
  <c r="R768" i="12"/>
  <c r="R760" i="12"/>
  <c r="R752" i="12"/>
  <c r="R744" i="12"/>
  <c r="R736" i="12"/>
  <c r="R728" i="12"/>
  <c r="R720" i="12"/>
  <c r="R712" i="12"/>
  <c r="R704" i="12"/>
  <c r="R696" i="12"/>
  <c r="R688" i="12"/>
  <c r="R680" i="12"/>
  <c r="R672" i="12"/>
  <c r="R664" i="12"/>
  <c r="R656" i="12"/>
  <c r="R648" i="12"/>
  <c r="R640" i="12"/>
  <c r="R632" i="12"/>
  <c r="R624" i="12"/>
  <c r="R616" i="12"/>
  <c r="R608" i="12"/>
  <c r="R600" i="12"/>
  <c r="R592" i="12"/>
  <c r="R584" i="12"/>
  <c r="R576" i="12"/>
  <c r="R568" i="12"/>
  <c r="R560" i="12"/>
  <c r="R552" i="12"/>
  <c r="R544" i="12"/>
  <c r="R536" i="12"/>
  <c r="R528" i="12"/>
  <c r="R520" i="12"/>
  <c r="R512" i="12"/>
  <c r="R504" i="12"/>
  <c r="R496" i="12"/>
  <c r="R488" i="12"/>
  <c r="R480" i="12"/>
  <c r="R472" i="12"/>
  <c r="R464" i="12"/>
  <c r="R456" i="12"/>
  <c r="R448" i="12"/>
  <c r="R440" i="12"/>
  <c r="R432" i="12"/>
  <c r="R424" i="12"/>
  <c r="R416" i="12"/>
  <c r="R408" i="12"/>
  <c r="R400" i="12"/>
  <c r="R392" i="12"/>
  <c r="R384" i="12"/>
  <c r="R376" i="12"/>
  <c r="R368" i="12"/>
  <c r="R360" i="12"/>
  <c r="R352" i="12"/>
  <c r="R344" i="12"/>
  <c r="R336" i="12"/>
  <c r="R328" i="12"/>
  <c r="R320" i="12"/>
  <c r="R312" i="12"/>
  <c r="R304" i="12"/>
  <c r="R296" i="12"/>
  <c r="R288" i="12"/>
  <c r="R280" i="12"/>
  <c r="R272" i="12"/>
  <c r="R264" i="12"/>
  <c r="R256" i="12"/>
  <c r="R248" i="12"/>
  <c r="R240" i="12"/>
  <c r="R232" i="12"/>
  <c r="R224" i="12"/>
  <c r="R216" i="12"/>
  <c r="R208" i="12"/>
  <c r="R200" i="12"/>
  <c r="R192" i="12"/>
  <c r="R184" i="12"/>
  <c r="R176" i="12"/>
  <c r="R168" i="12"/>
  <c r="R160" i="12"/>
  <c r="R152" i="12"/>
  <c r="R144" i="12"/>
  <c r="R136" i="12"/>
  <c r="R128" i="12"/>
  <c r="R120" i="12"/>
  <c r="R112" i="12"/>
  <c r="R104" i="12"/>
  <c r="R96" i="12"/>
  <c r="R88" i="12"/>
  <c r="R80" i="12"/>
  <c r="R72" i="12"/>
  <c r="R64" i="12"/>
  <c r="R56" i="12"/>
  <c r="R48" i="12"/>
  <c r="R40" i="12"/>
  <c r="R32" i="12"/>
  <c r="R24" i="12"/>
  <c r="R16" i="12"/>
  <c r="R8" i="12"/>
  <c r="R2188" i="12"/>
  <c r="R2172" i="12"/>
  <c r="R2156" i="12"/>
  <c r="R2140" i="12"/>
  <c r="R2124" i="12"/>
  <c r="R2108" i="12"/>
  <c r="R2092" i="12"/>
  <c r="R2076" i="12"/>
  <c r="R2060" i="12"/>
  <c r="R2044" i="12"/>
  <c r="R2028" i="12"/>
  <c r="R2012" i="12"/>
  <c r="R1996" i="12"/>
  <c r="R1980" i="12"/>
  <c r="R1964" i="12"/>
  <c r="R1948" i="12"/>
  <c r="R1932" i="12"/>
  <c r="R1916" i="12"/>
  <c r="R1900" i="12"/>
  <c r="R1884" i="12"/>
  <c r="R1868" i="12"/>
  <c r="R1852" i="12"/>
  <c r="R1836" i="12"/>
  <c r="R1820" i="12"/>
  <c r="R1804" i="12"/>
  <c r="R1791" i="12"/>
  <c r="R1778" i="12"/>
  <c r="R1767" i="12"/>
  <c r="R1759" i="12"/>
  <c r="R1751" i="12"/>
  <c r="R1743" i="12"/>
  <c r="R1735" i="12"/>
  <c r="R1727" i="12"/>
  <c r="R1719" i="12"/>
  <c r="R1711" i="12"/>
  <c r="R1703" i="12"/>
  <c r="R1695" i="12"/>
  <c r="R1687" i="12"/>
  <c r="R1679" i="12"/>
  <c r="R1671" i="12"/>
  <c r="R1663" i="12"/>
  <c r="R1655" i="12"/>
  <c r="R1647" i="12"/>
  <c r="R1639" i="12"/>
  <c r="R1631" i="12"/>
  <c r="R1623" i="12"/>
  <c r="R1615" i="12"/>
  <c r="R1607" i="12"/>
  <c r="R1599" i="12"/>
  <c r="R1591" i="12"/>
  <c r="R1583" i="12"/>
  <c r="R1575" i="12"/>
  <c r="R1567" i="12"/>
  <c r="R1559" i="12"/>
  <c r="R1551" i="12"/>
  <c r="R1543" i="12"/>
  <c r="R1535" i="12"/>
  <c r="R1527" i="12"/>
  <c r="R1519" i="12"/>
  <c r="R1511" i="12"/>
  <c r="R1503" i="12"/>
  <c r="R1495" i="12"/>
  <c r="R1487" i="12"/>
  <c r="R1479" i="12"/>
  <c r="R1471" i="12"/>
  <c r="R1463" i="12"/>
  <c r="R1455" i="12"/>
  <c r="R1447" i="12"/>
  <c r="R1439" i="12"/>
  <c r="R1431" i="12"/>
  <c r="R1423" i="12"/>
  <c r="R1415" i="12"/>
  <c r="R1407" i="12"/>
  <c r="R1399" i="12"/>
  <c r="R1391" i="12"/>
  <c r="R1383" i="12"/>
  <c r="R1375" i="12"/>
  <c r="R1367" i="12"/>
  <c r="R1359" i="12"/>
  <c r="R1351" i="12"/>
  <c r="R1343" i="12"/>
  <c r="R1335" i="12"/>
  <c r="R1327" i="12"/>
  <c r="R1319" i="12"/>
  <c r="R1311" i="12"/>
  <c r="R1303" i="12"/>
  <c r="R1295" i="12"/>
  <c r="R1287" i="12"/>
  <c r="R1279" i="12"/>
  <c r="R1271" i="12"/>
  <c r="R1263" i="12"/>
  <c r="R1255" i="12"/>
  <c r="R1247" i="12"/>
  <c r="R1239" i="12"/>
  <c r="R1231" i="12"/>
  <c r="R1223" i="12"/>
  <c r="R1215" i="12"/>
  <c r="R1207" i="12"/>
  <c r="R1199" i="12"/>
  <c r="R1191" i="12"/>
  <c r="R1183" i="12"/>
  <c r="R1175" i="12"/>
  <c r="R1167" i="12"/>
  <c r="R1159" i="12"/>
  <c r="R1151" i="12"/>
  <c r="R1143" i="12"/>
  <c r="R1135" i="12"/>
  <c r="R1127" i="12"/>
  <c r="R1119" i="12"/>
  <c r="R1111" i="12"/>
  <c r="R1103" i="12"/>
  <c r="R1095" i="12"/>
  <c r="R1087" i="12"/>
  <c r="R1079" i="12"/>
  <c r="R1071" i="12"/>
  <c r="R1063" i="12"/>
  <c r="R1055" i="12"/>
  <c r="R1047" i="12"/>
  <c r="R1039" i="12"/>
  <c r="R1031" i="12"/>
  <c r="R1023" i="12"/>
  <c r="R1015" i="12"/>
  <c r="R1007" i="12"/>
  <c r="R999" i="12"/>
  <c r="R991" i="12"/>
  <c r="R983" i="12"/>
  <c r="R975" i="12"/>
  <c r="R967" i="12"/>
  <c r="R959" i="12"/>
  <c r="R951" i="12"/>
  <c r="R943" i="12"/>
  <c r="R935" i="12"/>
  <c r="R927" i="12"/>
  <c r="R919" i="12"/>
  <c r="R911" i="12"/>
  <c r="R903" i="12"/>
  <c r="R895" i="12"/>
  <c r="R887" i="12"/>
  <c r="R879" i="12"/>
  <c r="R871" i="12"/>
  <c r="R863" i="12"/>
  <c r="R855" i="12"/>
  <c r="R847" i="12"/>
  <c r="R839" i="12"/>
  <c r="R831" i="12"/>
  <c r="R823" i="12"/>
  <c r="R815" i="12"/>
  <c r="R807" i="12"/>
  <c r="R799" i="12"/>
  <c r="R791" i="12"/>
  <c r="R783" i="12"/>
  <c r="R775" i="12"/>
  <c r="R767" i="12"/>
  <c r="R759" i="12"/>
  <c r="R751" i="12"/>
  <c r="R743" i="12"/>
  <c r="R735" i="12"/>
  <c r="R727" i="12"/>
  <c r="R719" i="12"/>
  <c r="R711" i="12"/>
  <c r="R703" i="12"/>
  <c r="R695" i="12"/>
  <c r="R687" i="12"/>
  <c r="R679" i="12"/>
  <c r="R671" i="12"/>
  <c r="R663" i="12"/>
  <c r="R655" i="12"/>
  <c r="R647" i="12"/>
  <c r="R639" i="12"/>
  <c r="R631" i="12"/>
  <c r="R623" i="12"/>
  <c r="R615" i="12"/>
  <c r="R607" i="12"/>
  <c r="R599" i="12"/>
  <c r="R591" i="12"/>
  <c r="R583" i="12"/>
  <c r="R575" i="12"/>
  <c r="R567" i="12"/>
  <c r="R559" i="12"/>
  <c r="R551" i="12"/>
  <c r="R543" i="12"/>
  <c r="R535" i="12"/>
  <c r="R527" i="12"/>
  <c r="R519" i="12"/>
  <c r="R511" i="12"/>
  <c r="R503" i="12"/>
  <c r="R495" i="12"/>
  <c r="R487" i="12"/>
  <c r="R479" i="12"/>
  <c r="R471" i="12"/>
  <c r="R463" i="12"/>
  <c r="R455" i="12"/>
  <c r="R447" i="12"/>
  <c r="R439" i="12"/>
  <c r="R431" i="12"/>
  <c r="R423" i="12"/>
  <c r="R415" i="12"/>
  <c r="R407" i="12"/>
  <c r="R399" i="12"/>
  <c r="R391" i="12"/>
  <c r="R383" i="12"/>
  <c r="R375" i="12"/>
  <c r="R367" i="12"/>
  <c r="R359" i="12"/>
  <c r="R351" i="12"/>
  <c r="R343" i="12"/>
  <c r="R335" i="12"/>
  <c r="R327" i="12"/>
  <c r="R319" i="12"/>
  <c r="R311" i="12"/>
  <c r="R303" i="12"/>
  <c r="R295" i="12"/>
  <c r="R287" i="12"/>
  <c r="R279" i="12"/>
  <c r="R271" i="12"/>
  <c r="R263" i="12"/>
  <c r="R255" i="12"/>
  <c r="R247" i="12"/>
  <c r="R239" i="12"/>
  <c r="R231" i="12"/>
  <c r="R223" i="12"/>
  <c r="R215" i="12"/>
  <c r="R207" i="12"/>
  <c r="R199" i="12"/>
  <c r="R191" i="12"/>
  <c r="R183" i="12"/>
  <c r="R175" i="12"/>
  <c r="R167" i="12"/>
  <c r="R159" i="12"/>
  <c r="R151" i="12"/>
  <c r="R143" i="12"/>
  <c r="R135" i="12"/>
  <c r="R127" i="12"/>
  <c r="R119" i="12"/>
  <c r="R111" i="12"/>
  <c r="R103" i="12"/>
  <c r="R95" i="12"/>
  <c r="R87" i="12"/>
  <c r="R79" i="12"/>
  <c r="R71" i="12"/>
  <c r="R63" i="12"/>
  <c r="R55" i="12"/>
  <c r="R47" i="12"/>
  <c r="R39" i="12"/>
  <c r="R2169" i="12"/>
  <c r="R2122" i="12"/>
  <c r="R2075" i="12"/>
  <c r="R2041" i="12"/>
  <c r="R1994" i="12"/>
  <c r="R1947" i="12"/>
  <c r="R1913" i="12"/>
  <c r="R1866" i="12"/>
  <c r="R1819" i="12"/>
  <c r="R1786" i="12"/>
  <c r="R1757" i="12"/>
  <c r="R1734" i="12"/>
  <c r="R1716" i="12"/>
  <c r="R1693" i="12"/>
  <c r="R1670" i="12"/>
  <c r="R1652" i="12"/>
  <c r="R1629" i="12"/>
  <c r="R1606" i="12"/>
  <c r="R1588" i="12"/>
  <c r="R1565" i="12"/>
  <c r="R1542" i="12"/>
  <c r="R1524" i="12"/>
  <c r="R1501" i="12"/>
  <c r="R1478" i="12"/>
  <c r="R1460" i="12"/>
  <c r="R1437" i="12"/>
  <c r="R1414" i="12"/>
  <c r="R1396" i="12"/>
  <c r="R1373" i="12"/>
  <c r="R1350" i="12"/>
  <c r="R1332" i="12"/>
  <c r="R1309" i="12"/>
  <c r="R1286" i="12"/>
  <c r="R1268" i="12"/>
  <c r="R1245" i="12"/>
  <c r="R1222" i="12"/>
  <c r="R1204" i="12"/>
  <c r="R1181" i="12"/>
  <c r="R1158" i="12"/>
  <c r="R1140" i="12"/>
  <c r="R1117" i="12"/>
  <c r="R1094" i="12"/>
  <c r="R1076" i="12"/>
  <c r="R1053" i="12"/>
  <c r="R1030" i="12"/>
  <c r="R1012" i="12"/>
  <c r="R989" i="12"/>
  <c r="R966" i="12"/>
  <c r="R948" i="12"/>
  <c r="R925" i="12"/>
  <c r="R902" i="12"/>
  <c r="R884" i="12"/>
  <c r="R861" i="12"/>
  <c r="R838" i="12"/>
  <c r="R820" i="12"/>
  <c r="R797" i="12"/>
  <c r="R774" i="12"/>
  <c r="R756" i="12"/>
  <c r="R733" i="12"/>
  <c r="R710" i="12"/>
  <c r="R692" i="12"/>
  <c r="R669" i="12"/>
  <c r="R646" i="12"/>
  <c r="R628" i="12"/>
  <c r="R605" i="12"/>
  <c r="R582" i="12"/>
  <c r="R564" i="12"/>
  <c r="R541" i="12"/>
  <c r="R518" i="12"/>
  <c r="R500" i="12"/>
  <c r="R477" i="12"/>
  <c r="R454" i="12"/>
  <c r="R436" i="12"/>
  <c r="R413" i="12"/>
  <c r="R390" i="12"/>
  <c r="R372" i="12"/>
  <c r="R349" i="12"/>
  <c r="R326" i="12"/>
  <c r="R308" i="12"/>
  <c r="R285" i="12"/>
  <c r="R262" i="12"/>
  <c r="R244" i="12"/>
  <c r="R221" i="12"/>
  <c r="R198" i="12"/>
  <c r="R180" i="12"/>
  <c r="R157" i="12"/>
  <c r="R134" i="12"/>
  <c r="R116" i="12"/>
  <c r="R93" i="12"/>
  <c r="R70" i="12"/>
  <c r="R52" i="12"/>
  <c r="R30" i="12"/>
  <c r="R15" i="12"/>
  <c r="R4" i="12"/>
  <c r="R2155" i="12"/>
  <c r="R2121" i="12"/>
  <c r="R2074" i="12"/>
  <c r="R2027" i="12"/>
  <c r="R1993" i="12"/>
  <c r="R1946" i="12"/>
  <c r="R1899" i="12"/>
  <c r="R1865" i="12"/>
  <c r="R1818" i="12"/>
  <c r="R1777" i="12"/>
  <c r="R1756" i="12"/>
  <c r="R1733" i="12"/>
  <c r="R1710" i="12"/>
  <c r="R1692" i="12"/>
  <c r="R1669" i="12"/>
  <c r="R1646" i="12"/>
  <c r="R1628" i="12"/>
  <c r="R1605" i="12"/>
  <c r="R1582" i="12"/>
  <c r="R1564" i="12"/>
  <c r="R1541" i="12"/>
  <c r="R1518" i="12"/>
  <c r="R1500" i="12"/>
  <c r="R1477" i="12"/>
  <c r="R1454" i="12"/>
  <c r="R1436" i="12"/>
  <c r="R1413" i="12"/>
  <c r="R1390" i="12"/>
  <c r="R1372" i="12"/>
  <c r="R1349" i="12"/>
  <c r="R1326" i="12"/>
  <c r="R1308" i="12"/>
  <c r="R1285" i="12"/>
  <c r="R1262" i="12"/>
  <c r="R1244" i="12"/>
  <c r="R1221" i="12"/>
  <c r="R1198" i="12"/>
  <c r="R1180" i="12"/>
  <c r="R1157" i="12"/>
  <c r="R1134" i="12"/>
  <c r="R1116" i="12"/>
  <c r="R1093" i="12"/>
  <c r="R1070" i="12"/>
  <c r="R1052" i="12"/>
  <c r="R1029" i="12"/>
  <c r="R1006" i="12"/>
  <c r="R988" i="12"/>
  <c r="R965" i="12"/>
  <c r="R942" i="12"/>
  <c r="R924" i="12"/>
  <c r="R901" i="12"/>
  <c r="R878" i="12"/>
  <c r="R860" i="12"/>
  <c r="R837" i="12"/>
  <c r="R814" i="12"/>
  <c r="R796" i="12"/>
  <c r="R773" i="12"/>
  <c r="R750" i="12"/>
  <c r="R732" i="12"/>
  <c r="R709" i="12"/>
  <c r="R686" i="12"/>
  <c r="R668" i="12"/>
  <c r="R645" i="12"/>
  <c r="R622" i="12"/>
  <c r="R604" i="12"/>
  <c r="R581" i="12"/>
  <c r="R558" i="12"/>
  <c r="R540" i="12"/>
  <c r="R517" i="12"/>
  <c r="R494" i="12"/>
  <c r="R476" i="12"/>
  <c r="R453" i="12"/>
  <c r="R430" i="12"/>
  <c r="R412" i="12"/>
  <c r="R389" i="12"/>
  <c r="R366" i="12"/>
  <c r="R348" i="12"/>
  <c r="R325" i="12"/>
  <c r="R302" i="12"/>
  <c r="R284" i="12"/>
  <c r="R261" i="12"/>
  <c r="R238" i="12"/>
  <c r="R220" i="12"/>
  <c r="R197" i="12"/>
  <c r="R174" i="12"/>
  <c r="R156" i="12"/>
  <c r="R133" i="12"/>
  <c r="R110" i="12"/>
  <c r="R92" i="12"/>
  <c r="R69" i="12"/>
  <c r="R46" i="12"/>
  <c r="R29" i="12"/>
  <c r="R14" i="12"/>
  <c r="R3" i="12"/>
  <c r="R2154" i="12"/>
  <c r="R2107" i="12"/>
  <c r="R2073" i="12"/>
  <c r="R2026" i="12"/>
  <c r="R1979" i="12"/>
  <c r="R1945" i="12"/>
  <c r="R1898" i="12"/>
  <c r="R1851" i="12"/>
  <c r="R1817" i="12"/>
  <c r="R1775" i="12"/>
  <c r="R1750" i="12"/>
  <c r="R1732" i="12"/>
  <c r="R1709" i="12"/>
  <c r="R1686" i="12"/>
  <c r="R1668" i="12"/>
  <c r="R1645" i="12"/>
  <c r="R1622" i="12"/>
  <c r="R1604" i="12"/>
  <c r="R1581" i="12"/>
  <c r="R1558" i="12"/>
  <c r="R1540" i="12"/>
  <c r="R1517" i="12"/>
  <c r="R1494" i="12"/>
  <c r="R1476" i="12"/>
  <c r="R1453" i="12"/>
  <c r="R1430" i="12"/>
  <c r="R1412" i="12"/>
  <c r="R1389" i="12"/>
  <c r="R1366" i="12"/>
  <c r="R1348" i="12"/>
  <c r="R1325" i="12"/>
  <c r="R1302" i="12"/>
  <c r="R1284" i="12"/>
  <c r="R1261" i="12"/>
  <c r="R1238" i="12"/>
  <c r="R1220" i="12"/>
  <c r="R1197" i="12"/>
  <c r="R1174" i="12"/>
  <c r="R1156" i="12"/>
  <c r="R1133" i="12"/>
  <c r="R1110" i="12"/>
  <c r="R1092" i="12"/>
  <c r="R1069" i="12"/>
  <c r="R1046" i="12"/>
  <c r="R1028" i="12"/>
  <c r="R1005" i="12"/>
  <c r="R982" i="12"/>
  <c r="R964" i="12"/>
  <c r="R941" i="12"/>
  <c r="R918" i="12"/>
  <c r="R900" i="12"/>
  <c r="R877" i="12"/>
  <c r="R854" i="12"/>
  <c r="R836" i="12"/>
  <c r="R813" i="12"/>
  <c r="R790" i="12"/>
  <c r="R772" i="12"/>
  <c r="R749" i="12"/>
  <c r="R726" i="12"/>
  <c r="R708" i="12"/>
  <c r="R685" i="12"/>
  <c r="R662" i="12"/>
  <c r="R644" i="12"/>
  <c r="R621" i="12"/>
  <c r="R598" i="12"/>
  <c r="R580" i="12"/>
  <c r="R557" i="12"/>
  <c r="R534" i="12"/>
  <c r="R516" i="12"/>
  <c r="R493" i="12"/>
  <c r="R470" i="12"/>
  <c r="R452" i="12"/>
  <c r="R429" i="12"/>
  <c r="R406" i="12"/>
  <c r="R388" i="12"/>
  <c r="R365" i="12"/>
  <c r="R342" i="12"/>
  <c r="R324" i="12"/>
  <c r="R301" i="12"/>
  <c r="R278" i="12"/>
  <c r="R260" i="12"/>
  <c r="R237" i="12"/>
  <c r="R214" i="12"/>
  <c r="R196" i="12"/>
  <c r="R173" i="12"/>
  <c r="R150" i="12"/>
  <c r="R132" i="12"/>
  <c r="R109" i="12"/>
  <c r="R86" i="12"/>
  <c r="R68" i="12"/>
  <c r="R45" i="12"/>
  <c r="R28" i="12"/>
  <c r="R13" i="12"/>
  <c r="R2187" i="12"/>
  <c r="R2153" i="12"/>
  <c r="R2106" i="12"/>
  <c r="R2059" i="12"/>
  <c r="R2025" i="12"/>
  <c r="R1978" i="12"/>
  <c r="R1931" i="12"/>
  <c r="R1897" i="12"/>
  <c r="R1850" i="12"/>
  <c r="R1803" i="12"/>
  <c r="R1774" i="12"/>
  <c r="R1749" i="12"/>
  <c r="R1726" i="12"/>
  <c r="R1708" i="12"/>
  <c r="R1685" i="12"/>
  <c r="R1662" i="12"/>
  <c r="R1644" i="12"/>
  <c r="R1621" i="12"/>
  <c r="R1598" i="12"/>
  <c r="R1580" i="12"/>
  <c r="R1557" i="12"/>
  <c r="R1534" i="12"/>
  <c r="R1516" i="12"/>
  <c r="R1493" i="12"/>
  <c r="R1470" i="12"/>
  <c r="R1452" i="12"/>
  <c r="R1429" i="12"/>
  <c r="R1406" i="12"/>
  <c r="R1388" i="12"/>
  <c r="R1365" i="12"/>
  <c r="R1342" i="12"/>
  <c r="R1324" i="12"/>
  <c r="R1301" i="12"/>
  <c r="R1278" i="12"/>
  <c r="R1260" i="12"/>
  <c r="R1237" i="12"/>
  <c r="R1214" i="12"/>
  <c r="R1196" i="12"/>
  <c r="R1173" i="12"/>
  <c r="R1150" i="12"/>
  <c r="R1132" i="12"/>
  <c r="R1109" i="12"/>
  <c r="R1086" i="12"/>
  <c r="R1068" i="12"/>
  <c r="R1045" i="12"/>
  <c r="R1022" i="12"/>
  <c r="R1004" i="12"/>
  <c r="R981" i="12"/>
  <c r="R958" i="12"/>
  <c r="R940" i="12"/>
  <c r="R917" i="12"/>
  <c r="R894" i="12"/>
  <c r="R876" i="12"/>
  <c r="R853" i="12"/>
  <c r="R830" i="12"/>
  <c r="R812" i="12"/>
  <c r="R789" i="12"/>
  <c r="R766" i="12"/>
  <c r="R748" i="12"/>
  <c r="R725" i="12"/>
  <c r="R702" i="12"/>
  <c r="R684" i="12"/>
  <c r="R661" i="12"/>
  <c r="R638" i="12"/>
  <c r="R620" i="12"/>
  <c r="R597" i="12"/>
  <c r="R574" i="12"/>
  <c r="R556" i="12"/>
  <c r="R533" i="12"/>
  <c r="R510" i="12"/>
  <c r="R492" i="12"/>
  <c r="R469" i="12"/>
  <c r="R446" i="12"/>
  <c r="R428" i="12"/>
  <c r="R405" i="12"/>
  <c r="R382" i="12"/>
  <c r="R364" i="12"/>
  <c r="R341" i="12"/>
  <c r="R318" i="12"/>
  <c r="R300" i="12"/>
  <c r="R277" i="12"/>
  <c r="R254" i="12"/>
  <c r="R236" i="12"/>
  <c r="R213" i="12"/>
  <c r="R190" i="12"/>
  <c r="R172" i="12"/>
  <c r="R149" i="12"/>
  <c r="R126" i="12"/>
  <c r="R108" i="12"/>
  <c r="R85" i="12"/>
  <c r="R62" i="12"/>
  <c r="R44" i="12"/>
  <c r="R23" i="12"/>
  <c r="R12" i="12"/>
  <c r="R2186" i="12"/>
  <c r="R2139" i="12"/>
  <c r="R2105" i="12"/>
  <c r="R2058" i="12"/>
  <c r="R2011" i="12"/>
  <c r="R1977" i="12"/>
  <c r="R1930" i="12"/>
  <c r="R1883" i="12"/>
  <c r="R1849" i="12"/>
  <c r="R1802" i="12"/>
  <c r="R1766" i="12"/>
  <c r="R1748" i="12"/>
  <c r="R1725" i="12"/>
  <c r="R1702" i="12"/>
  <c r="R1684" i="12"/>
  <c r="R1661" i="12"/>
  <c r="R1638" i="12"/>
  <c r="R1620" i="12"/>
  <c r="R1597" i="12"/>
  <c r="R1574" i="12"/>
  <c r="R1556" i="12"/>
  <c r="R1533" i="12"/>
  <c r="R1510" i="12"/>
  <c r="R1492" i="12"/>
  <c r="R1469" i="12"/>
  <c r="R1446" i="12"/>
  <c r="R1428" i="12"/>
  <c r="R1405" i="12"/>
  <c r="R1382" i="12"/>
  <c r="R1364" i="12"/>
  <c r="R1341" i="12"/>
  <c r="R1318" i="12"/>
  <c r="R1300" i="12"/>
  <c r="R1277" i="12"/>
  <c r="R1254" i="12"/>
  <c r="R1236" i="12"/>
  <c r="R1213" i="12"/>
  <c r="R1190" i="12"/>
  <c r="R1172" i="12"/>
  <c r="R1149" i="12"/>
  <c r="R1126" i="12"/>
  <c r="R1108" i="12"/>
  <c r="R1085" i="12"/>
  <c r="R1062" i="12"/>
  <c r="R1044" i="12"/>
  <c r="R1021" i="12"/>
  <c r="R998" i="12"/>
  <c r="R980" i="12"/>
  <c r="R957" i="12"/>
  <c r="R934" i="12"/>
  <c r="R916" i="12"/>
  <c r="R893" i="12"/>
  <c r="R870" i="12"/>
  <c r="R852" i="12"/>
  <c r="R829" i="12"/>
  <c r="R806" i="12"/>
  <c r="R788" i="12"/>
  <c r="R765" i="12"/>
  <c r="R742" i="12"/>
  <c r="R724" i="12"/>
  <c r="R701" i="12"/>
  <c r="R678" i="12"/>
  <c r="R660" i="12"/>
  <c r="R637" i="12"/>
  <c r="R614" i="12"/>
  <c r="R596" i="12"/>
  <c r="R573" i="12"/>
  <c r="R550" i="12"/>
  <c r="R532" i="12"/>
  <c r="R509" i="12"/>
  <c r="R486" i="12"/>
  <c r="R468" i="12"/>
  <c r="R445" i="12"/>
  <c r="R422" i="12"/>
  <c r="R404" i="12"/>
  <c r="R381" i="12"/>
  <c r="R358" i="12"/>
  <c r="R340" i="12"/>
  <c r="R317" i="12"/>
  <c r="R294" i="12"/>
  <c r="R276" i="12"/>
  <c r="R253" i="12"/>
  <c r="R230" i="12"/>
  <c r="R212" i="12"/>
  <c r="R189" i="12"/>
  <c r="R166" i="12"/>
  <c r="R148" i="12"/>
  <c r="R125" i="12"/>
  <c r="R102" i="12"/>
  <c r="R84" i="12"/>
  <c r="R61" i="12"/>
  <c r="R38" i="12"/>
  <c r="R22" i="12"/>
  <c r="R11" i="12"/>
  <c r="R2185" i="12"/>
  <c r="R2138" i="12"/>
  <c r="R2091" i="12"/>
  <c r="R2057" i="12"/>
  <c r="R2010" i="12"/>
  <c r="R1963" i="12"/>
  <c r="R1929" i="12"/>
  <c r="R1882" i="12"/>
  <c r="R1835" i="12"/>
  <c r="R1801" i="12"/>
  <c r="R1765" i="12"/>
  <c r="R1742" i="12"/>
  <c r="R1724" i="12"/>
  <c r="R1701" i="12"/>
  <c r="R1678" i="12"/>
  <c r="R1660" i="12"/>
  <c r="R1637" i="12"/>
  <c r="R1614" i="12"/>
  <c r="R1596" i="12"/>
  <c r="R1573" i="12"/>
  <c r="R1550" i="12"/>
  <c r="R1532" i="12"/>
  <c r="R1509" i="12"/>
  <c r="R1486" i="12"/>
  <c r="R1468" i="12"/>
  <c r="R1445" i="12"/>
  <c r="R1422" i="12"/>
  <c r="R1404" i="12"/>
  <c r="R1381" i="12"/>
  <c r="R1358" i="12"/>
  <c r="R1340" i="12"/>
  <c r="R1317" i="12"/>
  <c r="R1294" i="12"/>
  <c r="R1276" i="12"/>
  <c r="R1253" i="12"/>
  <c r="R1230" i="12"/>
  <c r="R1212" i="12"/>
  <c r="R1189" i="12"/>
  <c r="R1166" i="12"/>
  <c r="R1148" i="12"/>
  <c r="R1125" i="12"/>
  <c r="R1102" i="12"/>
  <c r="R1084" i="12"/>
  <c r="R1061" i="12"/>
  <c r="R1038" i="12"/>
  <c r="R1020" i="12"/>
  <c r="R997" i="12"/>
  <c r="R974" i="12"/>
  <c r="R956" i="12"/>
  <c r="R933" i="12"/>
  <c r="R910" i="12"/>
  <c r="R892" i="12"/>
  <c r="R869" i="12"/>
  <c r="R846" i="12"/>
  <c r="R828" i="12"/>
  <c r="R805" i="12"/>
  <c r="R782" i="12"/>
  <c r="R764" i="12"/>
  <c r="R741" i="12"/>
  <c r="R718" i="12"/>
  <c r="R700" i="12"/>
  <c r="R677" i="12"/>
  <c r="R654" i="12"/>
  <c r="R636" i="12"/>
  <c r="R613" i="12"/>
  <c r="R590" i="12"/>
  <c r="R572" i="12"/>
  <c r="R549" i="12"/>
  <c r="R526" i="12"/>
  <c r="R508" i="12"/>
  <c r="R485" i="12"/>
  <c r="R462" i="12"/>
  <c r="R444" i="12"/>
  <c r="R421" i="12"/>
  <c r="R398" i="12"/>
  <c r="R380" i="12"/>
  <c r="R357" i="12"/>
  <c r="R334" i="12"/>
  <c r="R316" i="12"/>
  <c r="R293" i="12"/>
  <c r="R270" i="12"/>
  <c r="R252" i="12"/>
  <c r="R229" i="12"/>
  <c r="R206" i="12"/>
  <c r="R188" i="12"/>
  <c r="R165" i="12"/>
  <c r="R142" i="12"/>
  <c r="R124" i="12"/>
  <c r="R101" i="12"/>
  <c r="R78" i="12"/>
  <c r="R60" i="12"/>
  <c r="R37" i="12"/>
  <c r="R21" i="12"/>
  <c r="R7" i="12"/>
  <c r="R2171" i="12"/>
  <c r="R2137" i="12"/>
  <c r="R2090" i="12"/>
  <c r="R2043" i="12"/>
  <c r="R2009" i="12"/>
  <c r="R1962" i="12"/>
  <c r="R1915" i="12"/>
  <c r="R1881" i="12"/>
  <c r="R1834" i="12"/>
  <c r="R1788" i="12"/>
  <c r="R1764" i="12"/>
  <c r="R1741" i="12"/>
  <c r="R1718" i="12"/>
  <c r="R1700" i="12"/>
  <c r="R1677" i="12"/>
  <c r="R1654" i="12"/>
  <c r="R1636" i="12"/>
  <c r="R1613" i="12"/>
  <c r="R1590" i="12"/>
  <c r="R1572" i="12"/>
  <c r="R1549" i="12"/>
  <c r="R1526" i="12"/>
  <c r="R1508" i="12"/>
  <c r="R1485" i="12"/>
  <c r="R1462" i="12"/>
  <c r="R1444" i="12"/>
  <c r="R1421" i="12"/>
  <c r="R1398" i="12"/>
  <c r="R1380" i="12"/>
  <c r="R1357" i="12"/>
  <c r="R1334" i="12"/>
  <c r="R1316" i="12"/>
  <c r="R1293" i="12"/>
  <c r="R1270" i="12"/>
  <c r="R1252" i="12"/>
  <c r="R1229" i="12"/>
  <c r="R1206" i="12"/>
  <c r="R1188" i="12"/>
  <c r="R1165" i="12"/>
  <c r="R1142" i="12"/>
  <c r="R1124" i="12"/>
  <c r="R1101" i="12"/>
  <c r="R1078" i="12"/>
  <c r="R1060" i="12"/>
  <c r="R1037" i="12"/>
  <c r="R1014" i="12"/>
  <c r="R996" i="12"/>
  <c r="R973" i="12"/>
  <c r="R950" i="12"/>
  <c r="R932" i="12"/>
  <c r="R909" i="12"/>
  <c r="R886" i="12"/>
  <c r="R868" i="12"/>
  <c r="R845" i="12"/>
  <c r="R822" i="12"/>
  <c r="R804" i="12"/>
  <c r="R781" i="12"/>
  <c r="R758" i="12"/>
  <c r="R740" i="12"/>
  <c r="R717" i="12"/>
  <c r="R694" i="12"/>
  <c r="R676" i="12"/>
  <c r="R653" i="12"/>
  <c r="R630" i="12"/>
  <c r="R612" i="12"/>
  <c r="R589" i="12"/>
  <c r="R566" i="12"/>
  <c r="R548" i="12"/>
  <c r="R525" i="12"/>
  <c r="R502" i="12"/>
  <c r="R484" i="12"/>
  <c r="R461" i="12"/>
  <c r="R438" i="12"/>
  <c r="R420" i="12"/>
  <c r="R397" i="12"/>
  <c r="R374" i="12"/>
  <c r="R356" i="12"/>
  <c r="R333" i="12"/>
  <c r="R310" i="12"/>
  <c r="R292" i="12"/>
  <c r="R269" i="12"/>
  <c r="R246" i="12"/>
  <c r="R228" i="12"/>
  <c r="R205" i="12"/>
  <c r="R182" i="12"/>
  <c r="R164" i="12"/>
  <c r="R141" i="12"/>
  <c r="R118" i="12"/>
  <c r="R100" i="12"/>
  <c r="R77" i="12"/>
  <c r="R54" i="12"/>
  <c r="R36" i="12"/>
  <c r="R20" i="12"/>
  <c r="R6" i="12"/>
  <c r="R1867" i="12"/>
  <c r="R1653" i="12"/>
  <c r="R1484" i="12"/>
  <c r="R1310" i="12"/>
  <c r="R1141" i="12"/>
  <c r="R972" i="12"/>
  <c r="R798" i="12"/>
  <c r="R629" i="12"/>
  <c r="R460" i="12"/>
  <c r="R286" i="12"/>
  <c r="R117" i="12"/>
  <c r="R2170" i="12"/>
  <c r="R1833" i="12"/>
  <c r="R1630" i="12"/>
  <c r="R1461" i="12"/>
  <c r="R1292" i="12"/>
  <c r="R1118" i="12"/>
  <c r="R949" i="12"/>
  <c r="R780" i="12"/>
  <c r="R606" i="12"/>
  <c r="R437" i="12"/>
  <c r="R268" i="12"/>
  <c r="R94" i="12"/>
  <c r="R2123" i="12"/>
  <c r="R1787" i="12"/>
  <c r="R1612" i="12"/>
  <c r="R1438" i="12"/>
  <c r="R1269" i="12"/>
  <c r="R1100" i="12"/>
  <c r="R926" i="12"/>
  <c r="R757" i="12"/>
  <c r="R588" i="12"/>
  <c r="R414" i="12"/>
  <c r="R245" i="12"/>
  <c r="R76" i="12"/>
  <c r="R2089" i="12"/>
  <c r="R1758" i="12"/>
  <c r="R1589" i="12"/>
  <c r="R1420" i="12"/>
  <c r="R1246" i="12"/>
  <c r="R1077" i="12"/>
  <c r="R908" i="12"/>
  <c r="R734" i="12"/>
  <c r="R565" i="12"/>
  <c r="R396" i="12"/>
  <c r="R222" i="12"/>
  <c r="R53" i="12"/>
  <c r="R2042" i="12"/>
  <c r="R1740" i="12"/>
  <c r="R1566" i="12"/>
  <c r="R1397" i="12"/>
  <c r="R1228" i="12"/>
  <c r="R1054" i="12"/>
  <c r="R885" i="12"/>
  <c r="R716" i="12"/>
  <c r="R542" i="12"/>
  <c r="R373" i="12"/>
  <c r="R204" i="12"/>
  <c r="R31" i="12"/>
  <c r="R1995" i="12"/>
  <c r="R1717" i="12"/>
  <c r="R1548" i="12"/>
  <c r="R1374" i="12"/>
  <c r="R1205" i="12"/>
  <c r="R1036" i="12"/>
  <c r="R862" i="12"/>
  <c r="R693" i="12"/>
  <c r="R524" i="12"/>
  <c r="R350" i="12"/>
  <c r="R181" i="12"/>
  <c r="R19" i="12"/>
  <c r="R1961" i="12"/>
  <c r="R1694" i="12"/>
  <c r="R1525" i="12"/>
  <c r="R1356" i="12"/>
  <c r="R1182" i="12"/>
  <c r="R1013" i="12"/>
  <c r="R844" i="12"/>
  <c r="R670" i="12"/>
  <c r="R501" i="12"/>
  <c r="R332" i="12"/>
  <c r="R158" i="12"/>
  <c r="R5" i="12"/>
  <c r="R1164" i="12"/>
  <c r="R990" i="12"/>
  <c r="R821" i="12"/>
  <c r="R652" i="12"/>
  <c r="R1914" i="12"/>
  <c r="R478" i="12"/>
  <c r="R1676" i="12"/>
  <c r="R309" i="12"/>
  <c r="R1502" i="12"/>
  <c r="R140" i="12"/>
  <c r="R1333" i="12"/>
  <c r="M2199" i="12"/>
  <c r="M2191" i="12"/>
  <c r="M2183" i="12"/>
  <c r="M2175" i="12"/>
  <c r="M2167" i="12"/>
  <c r="M2159" i="12"/>
  <c r="M2151" i="12"/>
  <c r="M2143" i="12"/>
  <c r="M2135" i="12"/>
  <c r="M2127" i="12"/>
  <c r="M2119" i="12"/>
  <c r="M2111" i="12"/>
  <c r="M2103" i="12"/>
  <c r="M2095" i="12"/>
  <c r="M2087" i="12"/>
  <c r="M2079" i="12"/>
  <c r="M2071" i="12"/>
  <c r="M2063" i="12"/>
  <c r="M2055" i="12"/>
  <c r="M2047" i="12"/>
  <c r="M2039" i="12"/>
  <c r="M2031" i="12"/>
  <c r="M2023" i="12"/>
  <c r="M2015" i="12"/>
  <c r="M2007" i="12"/>
  <c r="M1999" i="12"/>
  <c r="M1991" i="12"/>
  <c r="M1983" i="12"/>
  <c r="M1975" i="12"/>
  <c r="M1967" i="12"/>
  <c r="M1959" i="12"/>
  <c r="M1951" i="12"/>
  <c r="M1943" i="12"/>
  <c r="M1935" i="12"/>
  <c r="M1927" i="12"/>
  <c r="M1919" i="12"/>
  <c r="M1911" i="12"/>
  <c r="M1903" i="12"/>
  <c r="M1895" i="12"/>
  <c r="M1887" i="12"/>
  <c r="M1879" i="12"/>
  <c r="M1871" i="12"/>
  <c r="M1863" i="12"/>
  <c r="M1855" i="12"/>
  <c r="M1847" i="12"/>
  <c r="M1839" i="12"/>
  <c r="M1831" i="12"/>
  <c r="M1823" i="12"/>
  <c r="M1815" i="12"/>
  <c r="M1807" i="12"/>
  <c r="M1799" i="12"/>
  <c r="M1791" i="12"/>
  <c r="M1783" i="12"/>
  <c r="M1775" i="12"/>
  <c r="M1767" i="12"/>
  <c r="M1759" i="12"/>
  <c r="M1751" i="12"/>
  <c r="M1743" i="12"/>
  <c r="M1735" i="12"/>
  <c r="M1727" i="12"/>
  <c r="M1719" i="12"/>
  <c r="M1711" i="12"/>
  <c r="M1703" i="12"/>
  <c r="M1695" i="12"/>
  <c r="M1687" i="12"/>
  <c r="M1679" i="12"/>
  <c r="M1671" i="12"/>
  <c r="M2197" i="12"/>
  <c r="M2189" i="12"/>
  <c r="M2181" i="12"/>
  <c r="M2173" i="12"/>
  <c r="M2165" i="12"/>
  <c r="M2157" i="12"/>
  <c r="M2149" i="12"/>
  <c r="M2141" i="12"/>
  <c r="M2133" i="12"/>
  <c r="M2125" i="12"/>
  <c r="M2117" i="12"/>
  <c r="M2109" i="12"/>
  <c r="M2101" i="12"/>
  <c r="M2093" i="12"/>
  <c r="M2085" i="12"/>
  <c r="M2077" i="12"/>
  <c r="M2069" i="12"/>
  <c r="M2061" i="12"/>
  <c r="M2053" i="12"/>
  <c r="M2045" i="12"/>
  <c r="M2037" i="12"/>
  <c r="M2029" i="12"/>
  <c r="M2021" i="12"/>
  <c r="M2013" i="12"/>
  <c r="M2005" i="12"/>
  <c r="M1997" i="12"/>
  <c r="M1989" i="12"/>
  <c r="M1981" i="12"/>
  <c r="M1973" i="12"/>
  <c r="M1965" i="12"/>
  <c r="M1957" i="12"/>
  <c r="M1949" i="12"/>
  <c r="M1941" i="12"/>
  <c r="M1933" i="12"/>
  <c r="M1925" i="12"/>
  <c r="M1917" i="12"/>
  <c r="M1909" i="12"/>
  <c r="M1901" i="12"/>
  <c r="M1893" i="12"/>
  <c r="M1885" i="12"/>
  <c r="M1877" i="12"/>
  <c r="M1869" i="12"/>
  <c r="M1861" i="12"/>
  <c r="M1853" i="12"/>
  <c r="M1845" i="12"/>
  <c r="M1837" i="12"/>
  <c r="M1829" i="12"/>
  <c r="M1821" i="12"/>
  <c r="M1813" i="12"/>
  <c r="M1805" i="12"/>
  <c r="M1797" i="12"/>
  <c r="M1789" i="12"/>
  <c r="M1781" i="12"/>
  <c r="M1773" i="12"/>
  <c r="M1765" i="12"/>
  <c r="M1757" i="12"/>
  <c r="M1749" i="12"/>
  <c r="M1741" i="12"/>
  <c r="M1733" i="12"/>
  <c r="M1725" i="12"/>
  <c r="M1717" i="12"/>
  <c r="M1709" i="12"/>
  <c r="M1701" i="12"/>
  <c r="M1693" i="12"/>
  <c r="M1685" i="12"/>
  <c r="M1677" i="12"/>
  <c r="M1669" i="12"/>
  <c r="M1661" i="12"/>
  <c r="M1653" i="12"/>
  <c r="M1645" i="12"/>
  <c r="M1637" i="12"/>
  <c r="M1629" i="12"/>
  <c r="M1621" i="12"/>
  <c r="M1613" i="12"/>
  <c r="M1605" i="12"/>
  <c r="M1597" i="12"/>
  <c r="M1589" i="12"/>
  <c r="M1581" i="12"/>
  <c r="M1573" i="12"/>
  <c r="M1565" i="12"/>
  <c r="M1557" i="12"/>
  <c r="M1549" i="12"/>
  <c r="M1541" i="12"/>
  <c r="M1533" i="12"/>
  <c r="M1525" i="12"/>
  <c r="M1517" i="12"/>
  <c r="M1509" i="12"/>
  <c r="M1501" i="12"/>
  <c r="M1493" i="12"/>
  <c r="M1485" i="12"/>
  <c r="M1477" i="12"/>
  <c r="M1469" i="12"/>
  <c r="M1461" i="12"/>
  <c r="M1453" i="12"/>
  <c r="M1445" i="12"/>
  <c r="M1437" i="12"/>
  <c r="M1429" i="12"/>
  <c r="M1421" i="12"/>
  <c r="M1413" i="12"/>
  <c r="M1405" i="12"/>
  <c r="M1397" i="12"/>
  <c r="M1389" i="12"/>
  <c r="M1381" i="12"/>
  <c r="M1373" i="12"/>
  <c r="M1365" i="12"/>
  <c r="M1357" i="12"/>
  <c r="M1349" i="12"/>
  <c r="M1341" i="12"/>
  <c r="M1333" i="12"/>
  <c r="M1325" i="12"/>
  <c r="M1317" i="12"/>
  <c r="M1309" i="12"/>
  <c r="M1301" i="12"/>
  <c r="M1293" i="12"/>
  <c r="M1285" i="12"/>
  <c r="M1277" i="12"/>
  <c r="M1269" i="12"/>
  <c r="M1261" i="12"/>
  <c r="M1253" i="12"/>
  <c r="M1245" i="12"/>
  <c r="M1237" i="12"/>
  <c r="M1229" i="12"/>
  <c r="M1221" i="12"/>
  <c r="M1213" i="12"/>
  <c r="M1205" i="12"/>
  <c r="M1197" i="12"/>
  <c r="M1189" i="12"/>
  <c r="M1181" i="12"/>
  <c r="M1173" i="12"/>
  <c r="M1165" i="12"/>
  <c r="M1157" i="12"/>
  <c r="M1149" i="12"/>
  <c r="M1141" i="12"/>
  <c r="M1133" i="12"/>
  <c r="M1125" i="12"/>
  <c r="M1117" i="12"/>
  <c r="M1109" i="12"/>
  <c r="M1101" i="12"/>
  <c r="M1093" i="12"/>
  <c r="M1085" i="12"/>
  <c r="M1077" i="12"/>
  <c r="M1069" i="12"/>
  <c r="M1061" i="12"/>
  <c r="M1053" i="12"/>
  <c r="M1045" i="12"/>
  <c r="M1037" i="12"/>
  <c r="M1029" i="12"/>
  <c r="M1021" i="12"/>
  <c r="M1013" i="12"/>
  <c r="M1005" i="12"/>
  <c r="M997" i="12"/>
  <c r="M989" i="12"/>
  <c r="M981" i="12"/>
  <c r="M973" i="12"/>
  <c r="M965" i="12"/>
  <c r="M957" i="12"/>
  <c r="M949" i="12"/>
  <c r="M941" i="12"/>
  <c r="M933" i="12"/>
  <c r="M925" i="12"/>
  <c r="M917" i="12"/>
  <c r="M909" i="12"/>
  <c r="M901" i="12"/>
  <c r="M893" i="12"/>
  <c r="M885" i="12"/>
  <c r="M877" i="12"/>
  <c r="M869" i="12"/>
  <c r="M861" i="12"/>
  <c r="M853" i="12"/>
  <c r="M845" i="12"/>
  <c r="M837" i="12"/>
  <c r="M829" i="12"/>
  <c r="M821" i="12"/>
  <c r="M813" i="12"/>
  <c r="M805" i="12"/>
  <c r="M797" i="12"/>
  <c r="M789" i="12"/>
  <c r="M781" i="12"/>
  <c r="M773" i="12"/>
  <c r="M765" i="12"/>
  <c r="M757" i="12"/>
  <c r="M749" i="12"/>
  <c r="M741" i="12"/>
  <c r="M733" i="12"/>
  <c r="M725" i="12"/>
  <c r="M717" i="12"/>
  <c r="M709" i="12"/>
  <c r="M701" i="12"/>
  <c r="M693" i="12"/>
  <c r="M685" i="12"/>
  <c r="M677" i="12"/>
  <c r="M669" i="12"/>
  <c r="M661" i="12"/>
  <c r="M653" i="12"/>
  <c r="M645" i="12"/>
  <c r="M637" i="12"/>
  <c r="M629" i="12"/>
  <c r="M621" i="12"/>
  <c r="M613" i="12"/>
  <c r="M605" i="12"/>
  <c r="M597" i="12"/>
  <c r="M589" i="12"/>
  <c r="M581" i="12"/>
  <c r="M573" i="12"/>
  <c r="M565" i="12"/>
  <c r="M557" i="12"/>
  <c r="M549" i="12"/>
  <c r="M541" i="12"/>
  <c r="M533" i="12"/>
  <c r="M525" i="12"/>
  <c r="M517" i="12"/>
  <c r="M509" i="12"/>
  <c r="M501" i="12"/>
  <c r="M493" i="12"/>
  <c r="M485" i="12"/>
  <c r="M477" i="12"/>
  <c r="M469" i="12"/>
  <c r="M461" i="12"/>
  <c r="M453" i="12"/>
  <c r="M445" i="12"/>
  <c r="M437" i="12"/>
  <c r="M429" i="12"/>
  <c r="M421" i="12"/>
  <c r="M413" i="12"/>
  <c r="M405" i="12"/>
  <c r="M397" i="12"/>
  <c r="M389" i="12"/>
  <c r="M381" i="12"/>
  <c r="M373" i="12"/>
  <c r="M365" i="12"/>
  <c r="M357" i="12"/>
  <c r="M349" i="12"/>
  <c r="M341" i="12"/>
  <c r="M333" i="12"/>
  <c r="M325" i="12"/>
  <c r="M317" i="12"/>
  <c r="M309" i="12"/>
  <c r="M301" i="12"/>
  <c r="M293" i="12"/>
  <c r="M285" i="12"/>
  <c r="M277" i="12"/>
  <c r="M269" i="12"/>
  <c r="M261" i="12"/>
  <c r="M253" i="12"/>
  <c r="M245" i="12"/>
  <c r="M237" i="12"/>
  <c r="M229" i="12"/>
  <c r="M221" i="12"/>
  <c r="M213" i="12"/>
  <c r="M205" i="12"/>
  <c r="M197" i="12"/>
  <c r="M189" i="12"/>
  <c r="M181" i="12"/>
  <c r="M173" i="12"/>
  <c r="M165" i="12"/>
  <c r="M157" i="12"/>
  <c r="M149" i="12"/>
  <c r="M141" i="12"/>
  <c r="M133" i="12"/>
  <c r="M125" i="12"/>
  <c r="M117" i="12"/>
  <c r="M109" i="12"/>
  <c r="M101" i="12"/>
  <c r="M93" i="12"/>
  <c r="M85" i="12"/>
  <c r="M77" i="12"/>
  <c r="M69" i="12"/>
  <c r="M61" i="12"/>
  <c r="M53" i="12"/>
  <c r="M45" i="12"/>
  <c r="M37" i="12"/>
  <c r="M29" i="12"/>
  <c r="M21" i="12"/>
  <c r="M13" i="12"/>
  <c r="M5" i="12"/>
  <c r="M2196" i="12"/>
  <c r="M2188" i="12"/>
  <c r="M2180" i="12"/>
  <c r="M2172" i="12"/>
  <c r="M2164" i="12"/>
  <c r="M2156" i="12"/>
  <c r="M2148" i="12"/>
  <c r="M2140" i="12"/>
  <c r="M2132" i="12"/>
  <c r="M2124" i="12"/>
  <c r="M2116" i="12"/>
  <c r="M2108" i="12"/>
  <c r="M2100" i="12"/>
  <c r="M2092" i="12"/>
  <c r="M2084" i="12"/>
  <c r="M2076" i="12"/>
  <c r="M2068" i="12"/>
  <c r="M2060" i="12"/>
  <c r="M2052" i="12"/>
  <c r="M2044" i="12"/>
  <c r="M2036" i="12"/>
  <c r="M2028" i="12"/>
  <c r="M2020" i="12"/>
  <c r="M2012" i="12"/>
  <c r="M2004" i="12"/>
  <c r="M1996" i="12"/>
  <c r="M1988" i="12"/>
  <c r="M1980" i="12"/>
  <c r="M1972" i="12"/>
  <c r="M1964" i="12"/>
  <c r="M1956" i="12"/>
  <c r="M1948" i="12"/>
  <c r="M1940" i="12"/>
  <c r="M1932" i="12"/>
  <c r="M1924" i="12"/>
  <c r="M1916" i="12"/>
  <c r="M1908" i="12"/>
  <c r="M1900" i="12"/>
  <c r="M1892" i="12"/>
  <c r="M1884" i="12"/>
  <c r="M1876" i="12"/>
  <c r="M1868" i="12"/>
  <c r="M1860" i="12"/>
  <c r="M1852" i="12"/>
  <c r="M1844" i="12"/>
  <c r="M1836" i="12"/>
  <c r="M1828" i="12"/>
  <c r="M1820" i="12"/>
  <c r="M1812" i="12"/>
  <c r="M1804" i="12"/>
  <c r="M1796" i="12"/>
  <c r="M1788" i="12"/>
  <c r="M1780" i="12"/>
  <c r="M1772" i="12"/>
  <c r="M1764" i="12"/>
  <c r="M1756" i="12"/>
  <c r="M1748" i="12"/>
  <c r="M1740" i="12"/>
  <c r="M1732" i="12"/>
  <c r="M1724" i="12"/>
  <c r="M1716" i="12"/>
  <c r="M1708" i="12"/>
  <c r="M1700" i="12"/>
  <c r="M1692" i="12"/>
  <c r="M1684" i="12"/>
  <c r="M1676" i="12"/>
  <c r="M1668" i="12"/>
  <c r="M1660" i="12"/>
  <c r="M1652" i="12"/>
  <c r="M1644" i="12"/>
  <c r="M1636" i="12"/>
  <c r="M1628" i="12"/>
  <c r="M1620" i="12"/>
  <c r="M1612" i="12"/>
  <c r="M1604" i="12"/>
  <c r="M1596" i="12"/>
  <c r="M1588" i="12"/>
  <c r="M1580" i="12"/>
  <c r="M1572" i="12"/>
  <c r="M1564" i="12"/>
  <c r="M1556" i="12"/>
  <c r="M1548" i="12"/>
  <c r="M1540" i="12"/>
  <c r="M1532" i="12"/>
  <c r="M1524" i="12"/>
  <c r="M1516" i="12"/>
  <c r="M1508" i="12"/>
  <c r="M1500" i="12"/>
  <c r="M1492" i="12"/>
  <c r="M1484" i="12"/>
  <c r="M1476" i="12"/>
  <c r="M1468" i="12"/>
  <c r="M1460" i="12"/>
  <c r="M1452" i="12"/>
  <c r="M1444" i="12"/>
  <c r="M1436" i="12"/>
  <c r="M1428" i="12"/>
  <c r="M1420" i="12"/>
  <c r="M1412" i="12"/>
  <c r="M1404" i="12"/>
  <c r="M1396" i="12"/>
  <c r="M1388" i="12"/>
  <c r="M1380" i="12"/>
  <c r="M1372" i="12"/>
  <c r="M1364" i="12"/>
  <c r="M1356" i="12"/>
  <c r="M1348" i="12"/>
  <c r="M1340" i="12"/>
  <c r="M1332" i="12"/>
  <c r="M1324" i="12"/>
  <c r="M1316" i="12"/>
  <c r="M1308" i="12"/>
  <c r="M1300" i="12"/>
  <c r="M1292" i="12"/>
  <c r="M1284" i="12"/>
  <c r="M1276" i="12"/>
  <c r="M1268" i="12"/>
  <c r="M1260" i="12"/>
  <c r="M1252" i="12"/>
  <c r="M1244" i="12"/>
  <c r="M1236" i="12"/>
  <c r="M1228" i="12"/>
  <c r="M1220" i="12"/>
  <c r="M1212" i="12"/>
  <c r="M1204" i="12"/>
  <c r="M1196" i="12"/>
  <c r="M1188" i="12"/>
  <c r="M1180" i="12"/>
  <c r="M1172" i="12"/>
  <c r="M1164" i="12"/>
  <c r="M1156" i="12"/>
  <c r="M1148" i="12"/>
  <c r="M1140" i="12"/>
  <c r="M1132" i="12"/>
  <c r="M1124" i="12"/>
  <c r="M1116" i="12"/>
  <c r="M1108" i="12"/>
  <c r="M1100" i="12"/>
  <c r="M1092" i="12"/>
  <c r="M1084" i="12"/>
  <c r="M1076" i="12"/>
  <c r="M1068" i="12"/>
  <c r="M1060" i="12"/>
  <c r="M1052" i="12"/>
  <c r="M1044" i="12"/>
  <c r="M1036" i="12"/>
  <c r="M1028" i="12"/>
  <c r="M1020" i="12"/>
  <c r="M1012" i="12"/>
  <c r="M1004" i="12"/>
  <c r="M996" i="12"/>
  <c r="M988" i="12"/>
  <c r="M980" i="12"/>
  <c r="M972" i="12"/>
  <c r="M964" i="12"/>
  <c r="M956" i="12"/>
  <c r="M948" i="12"/>
  <c r="M940" i="12"/>
  <c r="M932" i="12"/>
  <c r="M924" i="12"/>
  <c r="M916" i="12"/>
  <c r="M908" i="12"/>
  <c r="M900" i="12"/>
  <c r="M892" i="12"/>
  <c r="M884" i="12"/>
  <c r="M876" i="12"/>
  <c r="M868" i="12"/>
  <c r="M860" i="12"/>
  <c r="M852" i="12"/>
  <c r="M844" i="12"/>
  <c r="M836" i="12"/>
  <c r="M828" i="12"/>
  <c r="M820" i="12"/>
  <c r="M812" i="12"/>
  <c r="M804" i="12"/>
  <c r="M796" i="12"/>
  <c r="M788" i="12"/>
  <c r="M780" i="12"/>
  <c r="M772" i="12"/>
  <c r="M764" i="12"/>
  <c r="M756" i="12"/>
  <c r="M748" i="12"/>
  <c r="M740" i="12"/>
  <c r="M732" i="12"/>
  <c r="M724" i="12"/>
  <c r="M716" i="12"/>
  <c r="M708" i="12"/>
  <c r="M700" i="12"/>
  <c r="M692" i="12"/>
  <c r="M684" i="12"/>
  <c r="M676" i="12"/>
  <c r="M668" i="12"/>
  <c r="M660" i="12"/>
  <c r="M652" i="12"/>
  <c r="M644" i="12"/>
  <c r="M636" i="12"/>
  <c r="M628" i="12"/>
  <c r="M620" i="12"/>
  <c r="M612" i="12"/>
  <c r="M604" i="12"/>
  <c r="M596" i="12"/>
  <c r="M588" i="12"/>
  <c r="M580" i="12"/>
  <c r="M572" i="12"/>
  <c r="M564" i="12"/>
  <c r="M556" i="12"/>
  <c r="M548" i="12"/>
  <c r="M540" i="12"/>
  <c r="M532" i="12"/>
  <c r="M524" i="12"/>
  <c r="M516" i="12"/>
  <c r="M508" i="12"/>
  <c r="M500" i="12"/>
  <c r="M492" i="12"/>
  <c r="M484" i="12"/>
  <c r="M476" i="12"/>
  <c r="M468" i="12"/>
  <c r="M460" i="12"/>
  <c r="M452" i="12"/>
  <c r="M444" i="12"/>
  <c r="M436" i="12"/>
  <c r="M428" i="12"/>
  <c r="M420" i="12"/>
  <c r="M412" i="12"/>
  <c r="M404" i="12"/>
  <c r="M396" i="12"/>
  <c r="M388" i="12"/>
  <c r="M380" i="12"/>
  <c r="M372" i="12"/>
  <c r="M364" i="12"/>
  <c r="M356" i="12"/>
  <c r="M348" i="12"/>
  <c r="M340" i="12"/>
  <c r="M332" i="12"/>
  <c r="M324" i="12"/>
  <c r="M316" i="12"/>
  <c r="M308" i="12"/>
  <c r="M300" i="12"/>
  <c r="M292" i="12"/>
  <c r="M284" i="12"/>
  <c r="M276" i="12"/>
  <c r="M268" i="12"/>
  <c r="M260" i="12"/>
  <c r="M252" i="12"/>
  <c r="M244" i="12"/>
  <c r="M236" i="12"/>
  <c r="M228" i="12"/>
  <c r="M220" i="12"/>
  <c r="M212" i="12"/>
  <c r="M204" i="12"/>
  <c r="M196" i="12"/>
  <c r="M188" i="12"/>
  <c r="M180" i="12"/>
  <c r="M172" i="12"/>
  <c r="M164" i="12"/>
  <c r="M156" i="12"/>
  <c r="M148" i="12"/>
  <c r="M140" i="12"/>
  <c r="M132" i="12"/>
  <c r="M124" i="12"/>
  <c r="M116" i="12"/>
  <c r="M108" i="12"/>
  <c r="M100" i="12"/>
  <c r="M92" i="12"/>
  <c r="M84" i="12"/>
  <c r="M76" i="12"/>
  <c r="M68" i="12"/>
  <c r="M60" i="12"/>
  <c r="M52" i="12"/>
  <c r="M44" i="12"/>
  <c r="M36" i="12"/>
  <c r="M28" i="12"/>
  <c r="M20" i="12"/>
  <c r="M12" i="12"/>
  <c r="M4" i="12"/>
  <c r="M2195" i="12"/>
  <c r="M2187" i="12"/>
  <c r="M2179" i="12"/>
  <c r="M2171" i="12"/>
  <c r="M2163" i="12"/>
  <c r="M2155" i="12"/>
  <c r="M2147" i="12"/>
  <c r="M2139" i="12"/>
  <c r="M2131" i="12"/>
  <c r="M2123" i="12"/>
  <c r="M2115" i="12"/>
  <c r="M2107" i="12"/>
  <c r="M2099" i="12"/>
  <c r="M2091" i="12"/>
  <c r="M2083" i="12"/>
  <c r="M2075" i="12"/>
  <c r="M2067" i="12"/>
  <c r="M2059" i="12"/>
  <c r="M2051" i="12"/>
  <c r="M2043" i="12"/>
  <c r="M2035" i="12"/>
  <c r="M2027" i="12"/>
  <c r="M2019" i="12"/>
  <c r="M2011" i="12"/>
  <c r="M2003" i="12"/>
  <c r="M1995" i="12"/>
  <c r="M1987" i="12"/>
  <c r="M1979" i="12"/>
  <c r="M1971" i="12"/>
  <c r="M1963" i="12"/>
  <c r="M1955" i="12"/>
  <c r="M1947" i="12"/>
  <c r="M1939" i="12"/>
  <c r="M1931" i="12"/>
  <c r="M1923" i="12"/>
  <c r="M1915" i="12"/>
  <c r="M1907" i="12"/>
  <c r="M1899" i="12"/>
  <c r="M1891" i="12"/>
  <c r="M1883" i="12"/>
  <c r="M1875" i="12"/>
  <c r="M1867" i="12"/>
  <c r="M1859" i="12"/>
  <c r="M1851" i="12"/>
  <c r="M1843" i="12"/>
  <c r="M1835" i="12"/>
  <c r="M1827" i="12"/>
  <c r="M1819" i="12"/>
  <c r="M1811" i="12"/>
  <c r="M1803" i="12"/>
  <c r="M1795" i="12"/>
  <c r="M1787" i="12"/>
  <c r="M1779" i="12"/>
  <c r="M1771" i="12"/>
  <c r="M1763" i="12"/>
  <c r="M1755" i="12"/>
  <c r="M1747" i="12"/>
  <c r="M1739" i="12"/>
  <c r="M1731" i="12"/>
  <c r="M1723" i="12"/>
  <c r="M1715" i="12"/>
  <c r="M1707" i="12"/>
  <c r="M1699" i="12"/>
  <c r="M1691" i="12"/>
  <c r="M1683" i="12"/>
  <c r="M1675" i="12"/>
  <c r="M1667" i="12"/>
  <c r="M1659" i="12"/>
  <c r="M1651" i="12"/>
  <c r="M1643" i="12"/>
  <c r="M1635" i="12"/>
  <c r="M1627" i="12"/>
  <c r="M1619" i="12"/>
  <c r="M1611" i="12"/>
  <c r="M1603" i="12"/>
  <c r="M1595" i="12"/>
  <c r="M1587" i="12"/>
  <c r="M1579" i="12"/>
  <c r="M1571" i="12"/>
  <c r="M1563" i="12"/>
  <c r="M1555" i="12"/>
  <c r="M1547" i="12"/>
  <c r="M1539" i="12"/>
  <c r="M1531" i="12"/>
  <c r="M1523" i="12"/>
  <c r="M1515" i="12"/>
  <c r="M1507" i="12"/>
  <c r="M1499" i="12"/>
  <c r="M1491" i="12"/>
  <c r="M1483" i="12"/>
  <c r="M1475" i="12"/>
  <c r="M1467" i="12"/>
  <c r="M1459" i="12"/>
  <c r="M1451" i="12"/>
  <c r="M1443" i="12"/>
  <c r="M1435" i="12"/>
  <c r="M1427" i="12"/>
  <c r="M1419" i="12"/>
  <c r="M1411" i="12"/>
  <c r="M1403" i="12"/>
  <c r="M1395" i="12"/>
  <c r="M1387" i="12"/>
  <c r="M1379" i="12"/>
  <c r="M1371" i="12"/>
  <c r="M1363" i="12"/>
  <c r="M1355" i="12"/>
  <c r="M1347" i="12"/>
  <c r="M1339" i="12"/>
  <c r="M1331" i="12"/>
  <c r="M1323" i="12"/>
  <c r="M1315" i="12"/>
  <c r="M1307" i="12"/>
  <c r="M1299" i="12"/>
  <c r="M1291" i="12"/>
  <c r="M1283" i="12"/>
  <c r="M1275" i="12"/>
  <c r="M1267" i="12"/>
  <c r="M1259" i="12"/>
  <c r="M1251" i="12"/>
  <c r="M1243" i="12"/>
  <c r="M1235" i="12"/>
  <c r="M1227" i="12"/>
  <c r="M1219" i="12"/>
  <c r="M1211" i="12"/>
  <c r="M1203" i="12"/>
  <c r="M1195" i="12"/>
  <c r="M1187" i="12"/>
  <c r="M1179" i="12"/>
  <c r="M1171" i="12"/>
  <c r="M1163" i="12"/>
  <c r="M1155" i="12"/>
  <c r="M1147" i="12"/>
  <c r="M1139" i="12"/>
  <c r="M1131" i="12"/>
  <c r="M1123" i="12"/>
  <c r="M1115" i="12"/>
  <c r="M1107" i="12"/>
  <c r="M1099" i="12"/>
  <c r="M1091" i="12"/>
  <c r="M1083" i="12"/>
  <c r="M1075" i="12"/>
  <c r="M1067" i="12"/>
  <c r="M1059" i="12"/>
  <c r="M1051" i="12"/>
  <c r="M1043" i="12"/>
  <c r="M1035" i="12"/>
  <c r="M1027" i="12"/>
  <c r="M1019" i="12"/>
  <c r="M1011" i="12"/>
  <c r="M1003" i="12"/>
  <c r="M995" i="12"/>
  <c r="M987" i="12"/>
  <c r="M979" i="12"/>
  <c r="M971" i="12"/>
  <c r="M963" i="12"/>
  <c r="M955" i="12"/>
  <c r="M947" i="12"/>
  <c r="M939" i="12"/>
  <c r="M931" i="12"/>
  <c r="M923" i="12"/>
  <c r="M915" i="12"/>
  <c r="M907" i="12"/>
  <c r="M899" i="12"/>
  <c r="M891" i="12"/>
  <c r="M883" i="12"/>
  <c r="M875" i="12"/>
  <c r="M867" i="12"/>
  <c r="M859" i="12"/>
  <c r="M851" i="12"/>
  <c r="M843" i="12"/>
  <c r="M835" i="12"/>
  <c r="M827" i="12"/>
  <c r="M819" i="12"/>
  <c r="M811" i="12"/>
  <c r="M803" i="12"/>
  <c r="M795" i="12"/>
  <c r="M787" i="12"/>
  <c r="M779" i="12"/>
  <c r="M771" i="12"/>
  <c r="M763" i="12"/>
  <c r="M755" i="12"/>
  <c r="M747" i="12"/>
  <c r="M739" i="12"/>
  <c r="M731" i="12"/>
  <c r="M723" i="12"/>
  <c r="M715" i="12"/>
  <c r="M707" i="12"/>
  <c r="M699" i="12"/>
  <c r="M691" i="12"/>
  <c r="M683" i="12"/>
  <c r="M675" i="12"/>
  <c r="M667" i="12"/>
  <c r="M659" i="12"/>
  <c r="M651" i="12"/>
  <c r="M643" i="12"/>
  <c r="M635" i="12"/>
  <c r="M627" i="12"/>
  <c r="M619" i="12"/>
  <c r="M611" i="12"/>
  <c r="M603" i="12"/>
  <c r="M595" i="12"/>
  <c r="M587" i="12"/>
  <c r="M579" i="12"/>
  <c r="M571" i="12"/>
  <c r="M563" i="12"/>
  <c r="M555" i="12"/>
  <c r="M547" i="12"/>
  <c r="M539" i="12"/>
  <c r="M531" i="12"/>
  <c r="M523" i="12"/>
  <c r="M515" i="12"/>
  <c r="M507" i="12"/>
  <c r="M499" i="12"/>
  <c r="M491" i="12"/>
  <c r="M483" i="12"/>
  <c r="M475" i="12"/>
  <c r="M467" i="12"/>
  <c r="M459" i="12"/>
  <c r="M451" i="12"/>
  <c r="M443" i="12"/>
  <c r="M435" i="12"/>
  <c r="M427" i="12"/>
  <c r="M419" i="12"/>
  <c r="M411" i="12"/>
  <c r="M403" i="12"/>
  <c r="M395" i="12"/>
  <c r="M387" i="12"/>
  <c r="M379" i="12"/>
  <c r="M371" i="12"/>
  <c r="M363" i="12"/>
  <c r="M355" i="12"/>
  <c r="M347" i="12"/>
  <c r="M339" i="12"/>
  <c r="M331" i="12"/>
  <c r="M323" i="12"/>
  <c r="M315" i="12"/>
  <c r="M307" i="12"/>
  <c r="M299" i="12"/>
  <c r="M291" i="12"/>
  <c r="M283" i="12"/>
  <c r="M275" i="12"/>
  <c r="M267" i="12"/>
  <c r="M259" i="12"/>
  <c r="M251" i="12"/>
  <c r="M243" i="12"/>
  <c r="M235" i="12"/>
  <c r="M227" i="12"/>
  <c r="M219" i="12"/>
  <c r="M211" i="12"/>
  <c r="M203" i="12"/>
  <c r="M195" i="12"/>
  <c r="M187" i="12"/>
  <c r="M179" i="12"/>
  <c r="M171" i="12"/>
  <c r="M163" i="12"/>
  <c r="M155" i="12"/>
  <c r="M147" i="12"/>
  <c r="M139" i="12"/>
  <c r="M131" i="12"/>
  <c r="M123" i="12"/>
  <c r="M115" i="12"/>
  <c r="M107" i="12"/>
  <c r="M99" i="12"/>
  <c r="M91" i="12"/>
  <c r="M83" i="12"/>
  <c r="M75" i="12"/>
  <c r="M67" i="12"/>
  <c r="M59" i="12"/>
  <c r="M51" i="12"/>
  <c r="M43" i="12"/>
  <c r="M35" i="12"/>
  <c r="M27" i="12"/>
  <c r="M19" i="12"/>
  <c r="M11" i="12"/>
  <c r="M3" i="12"/>
  <c r="M2193" i="12"/>
  <c r="M2185" i="12"/>
  <c r="M2177" i="12"/>
  <c r="M2169" i="12"/>
  <c r="M2161" i="12"/>
  <c r="M2153" i="12"/>
  <c r="M2145" i="12"/>
  <c r="M2137" i="12"/>
  <c r="M2129" i="12"/>
  <c r="M2121" i="12"/>
  <c r="M2113" i="12"/>
  <c r="M2105" i="12"/>
  <c r="M2097" i="12"/>
  <c r="M2089" i="12"/>
  <c r="M2081" i="12"/>
  <c r="M2073" i="12"/>
  <c r="M2065" i="12"/>
  <c r="M2057" i="12"/>
  <c r="M2049" i="12"/>
  <c r="M2041" i="12"/>
  <c r="M2033" i="12"/>
  <c r="M2025" i="12"/>
  <c r="M2017" i="12"/>
  <c r="M2009" i="12"/>
  <c r="M2001" i="12"/>
  <c r="M1993" i="12"/>
  <c r="M1985" i="12"/>
  <c r="M1977" i="12"/>
  <c r="M1969" i="12"/>
  <c r="M1961" i="12"/>
  <c r="M1953" i="12"/>
  <c r="M1945" i="12"/>
  <c r="M1937" i="12"/>
  <c r="M1929" i="12"/>
  <c r="M1921" i="12"/>
  <c r="M1913" i="12"/>
  <c r="M1905" i="12"/>
  <c r="M1897" i="12"/>
  <c r="M1889" i="12"/>
  <c r="M1881" i="12"/>
  <c r="M1873" i="12"/>
  <c r="M1865" i="12"/>
  <c r="M1857" i="12"/>
  <c r="M1849" i="12"/>
  <c r="M1841" i="12"/>
  <c r="M1833" i="12"/>
  <c r="M1825" i="12"/>
  <c r="M1817" i="12"/>
  <c r="M1809" i="12"/>
  <c r="M1801" i="12"/>
  <c r="M1793" i="12"/>
  <c r="M1785" i="12"/>
  <c r="M1777" i="12"/>
  <c r="M1769" i="12"/>
  <c r="M1761" i="12"/>
  <c r="M1753" i="12"/>
  <c r="M1745" i="12"/>
  <c r="M1737" i="12"/>
  <c r="M1729" i="12"/>
  <c r="M1721" i="12"/>
  <c r="M1713" i="12"/>
  <c r="M1705" i="12"/>
  <c r="M1697" i="12"/>
  <c r="M1689" i="12"/>
  <c r="M1681" i="12"/>
  <c r="M1673" i="12"/>
  <c r="M1665" i="12"/>
  <c r="M1657" i="12"/>
  <c r="M1649" i="12"/>
  <c r="M1641" i="12"/>
  <c r="M1633" i="12"/>
  <c r="M1625" i="12"/>
  <c r="M1617" i="12"/>
  <c r="M1609" i="12"/>
  <c r="M1601" i="12"/>
  <c r="M1593" i="12"/>
  <c r="M1585" i="12"/>
  <c r="M1577" i="12"/>
  <c r="M1569" i="12"/>
  <c r="M1561" i="12"/>
  <c r="M1553" i="12"/>
  <c r="M1545" i="12"/>
  <c r="M1537" i="12"/>
  <c r="M1529" i="12"/>
  <c r="M1521" i="12"/>
  <c r="M1513" i="12"/>
  <c r="M1505" i="12"/>
  <c r="M1497" i="12"/>
  <c r="M1489" i="12"/>
  <c r="M1481" i="12"/>
  <c r="M1473" i="12"/>
  <c r="M1465" i="12"/>
  <c r="M1457" i="12"/>
  <c r="M1449" i="12"/>
  <c r="M1441" i="12"/>
  <c r="M1433" i="12"/>
  <c r="M1425" i="12"/>
  <c r="M1417" i="12"/>
  <c r="M1409" i="12"/>
  <c r="M1401" i="12"/>
  <c r="M1393" i="12"/>
  <c r="M1385" i="12"/>
  <c r="M1377" i="12"/>
  <c r="M1369" i="12"/>
  <c r="M1361" i="12"/>
  <c r="M1353" i="12"/>
  <c r="M1345" i="12"/>
  <c r="M1337" i="12"/>
  <c r="M1329" i="12"/>
  <c r="M1321" i="12"/>
  <c r="M1313" i="12"/>
  <c r="M1305" i="12"/>
  <c r="M1297" i="12"/>
  <c r="M1289" i="12"/>
  <c r="M1281" i="12"/>
  <c r="M1273" i="12"/>
  <c r="M1265" i="12"/>
  <c r="M1257" i="12"/>
  <c r="M1249" i="12"/>
  <c r="M1241" i="12"/>
  <c r="M1233" i="12"/>
  <c r="M1225" i="12"/>
  <c r="M1217" i="12"/>
  <c r="M1209" i="12"/>
  <c r="M1201" i="12"/>
  <c r="M1193" i="12"/>
  <c r="M1185" i="12"/>
  <c r="M1177" i="12"/>
  <c r="M1169" i="12"/>
  <c r="M1161" i="12"/>
  <c r="M1153" i="12"/>
  <c r="M1145" i="12"/>
  <c r="M1137" i="12"/>
  <c r="M1129" i="12"/>
  <c r="M1121" i="12"/>
  <c r="M1113" i="12"/>
  <c r="M1105" i="12"/>
  <c r="M1097" i="12"/>
  <c r="M1089" i="12"/>
  <c r="M1081" i="12"/>
  <c r="M1073" i="12"/>
  <c r="M1065" i="12"/>
  <c r="M1057" i="12"/>
  <c r="M1049" i="12"/>
  <c r="M1041" i="12"/>
  <c r="M1033" i="12"/>
  <c r="M1025" i="12"/>
  <c r="M1017" i="12"/>
  <c r="M1009" i="12"/>
  <c r="M1001" i="12"/>
  <c r="M993" i="12"/>
  <c r="M985" i="12"/>
  <c r="M977" i="12"/>
  <c r="M969" i="12"/>
  <c r="M961" i="12"/>
  <c r="M953" i="12"/>
  <c r="M945" i="12"/>
  <c r="M937" i="12"/>
  <c r="M929" i="12"/>
  <c r="M921" i="12"/>
  <c r="M913" i="12"/>
  <c r="M905" i="12"/>
  <c r="M897" i="12"/>
  <c r="M889" i="12"/>
  <c r="M881" i="12"/>
  <c r="M873" i="12"/>
  <c r="M865" i="12"/>
  <c r="M857" i="12"/>
  <c r="M849" i="12"/>
  <c r="M841" i="12"/>
  <c r="M833" i="12"/>
  <c r="M825" i="12"/>
  <c r="M817" i="12"/>
  <c r="M809" i="12"/>
  <c r="M801" i="12"/>
  <c r="M793" i="12"/>
  <c r="M785" i="12"/>
  <c r="M777" i="12"/>
  <c r="M769" i="12"/>
  <c r="M761" i="12"/>
  <c r="M753" i="12"/>
  <c r="M745" i="12"/>
  <c r="M737" i="12"/>
  <c r="M729" i="12"/>
  <c r="M721" i="12"/>
  <c r="M713" i="12"/>
  <c r="M705" i="12"/>
  <c r="M697" i="12"/>
  <c r="M689" i="12"/>
  <c r="M681" i="12"/>
  <c r="M673" i="12"/>
  <c r="M665" i="12"/>
  <c r="M657" i="12"/>
  <c r="M649" i="12"/>
  <c r="M641" i="12"/>
  <c r="M633" i="12"/>
  <c r="M625" i="12"/>
  <c r="M617" i="12"/>
  <c r="M609" i="12"/>
  <c r="M601" i="12"/>
  <c r="M593" i="12"/>
  <c r="M585" i="12"/>
  <c r="M577" i="12"/>
  <c r="M569" i="12"/>
  <c r="M561" i="12"/>
  <c r="M553" i="12"/>
  <c r="M545" i="12"/>
  <c r="M537" i="12"/>
  <c r="M529" i="12"/>
  <c r="M521" i="12"/>
  <c r="M513" i="12"/>
  <c r="M505" i="12"/>
  <c r="M497" i="12"/>
  <c r="M489" i="12"/>
  <c r="M481" i="12"/>
  <c r="M473" i="12"/>
  <c r="M465" i="12"/>
  <c r="M457" i="12"/>
  <c r="M449" i="12"/>
  <c r="M441" i="12"/>
  <c r="M433" i="12"/>
  <c r="M425" i="12"/>
  <c r="M417" i="12"/>
  <c r="M409" i="12"/>
  <c r="M401" i="12"/>
  <c r="M393" i="12"/>
  <c r="M385" i="12"/>
  <c r="M377" i="12"/>
  <c r="M369" i="12"/>
  <c r="M361" i="12"/>
  <c r="M353" i="12"/>
  <c r="M345" i="12"/>
  <c r="M337" i="12"/>
  <c r="M329" i="12"/>
  <c r="M321" i="12"/>
  <c r="M313" i="12"/>
  <c r="M305" i="12"/>
  <c r="M297" i="12"/>
  <c r="M289" i="12"/>
  <c r="M281" i="12"/>
  <c r="M273" i="12"/>
  <c r="M265" i="12"/>
  <c r="M257" i="12"/>
  <c r="M249" i="12"/>
  <c r="M241" i="12"/>
  <c r="M233" i="12"/>
  <c r="M225" i="12"/>
  <c r="M217" i="12"/>
  <c r="M209" i="12"/>
  <c r="M201" i="12"/>
  <c r="M193" i="12"/>
  <c r="M185" i="12"/>
  <c r="M177" i="12"/>
  <c r="M169" i="12"/>
  <c r="M161" i="12"/>
  <c r="M153" i="12"/>
  <c r="M145" i="12"/>
  <c r="M137" i="12"/>
  <c r="M129" i="12"/>
  <c r="M121" i="12"/>
  <c r="M113" i="12"/>
  <c r="M105" i="12"/>
  <c r="M97" i="12"/>
  <c r="M89" i="12"/>
  <c r="M81" i="12"/>
  <c r="M73" i="12"/>
  <c r="M65" i="12"/>
  <c r="M57" i="12"/>
  <c r="M49" i="12"/>
  <c r="M41" i="12"/>
  <c r="M33" i="12"/>
  <c r="M25" i="12"/>
  <c r="M17" i="12"/>
  <c r="M9" i="12"/>
  <c r="M2" i="12"/>
  <c r="M2198" i="12"/>
  <c r="M2176" i="12"/>
  <c r="M2154" i="12"/>
  <c r="M2134" i="12"/>
  <c r="M2112" i="12"/>
  <c r="M2090" i="12"/>
  <c r="M2070" i="12"/>
  <c r="M2048" i="12"/>
  <c r="M2026" i="12"/>
  <c r="M2006" i="12"/>
  <c r="M1984" i="12"/>
  <c r="M1962" i="12"/>
  <c r="M1942" i="12"/>
  <c r="M1920" i="12"/>
  <c r="M1898" i="12"/>
  <c r="M1878" i="12"/>
  <c r="M1856" i="12"/>
  <c r="M1834" i="12"/>
  <c r="M1814" i="12"/>
  <c r="M1792" i="12"/>
  <c r="M1770" i="12"/>
  <c r="M1750" i="12"/>
  <c r="M1728" i="12"/>
  <c r="M1706" i="12"/>
  <c r="M1686" i="12"/>
  <c r="M1664" i="12"/>
  <c r="M1648" i="12"/>
  <c r="M1632" i="12"/>
  <c r="M1616" i="12"/>
  <c r="M1600" i="12"/>
  <c r="M1584" i="12"/>
  <c r="M1568" i="12"/>
  <c r="M1552" i="12"/>
  <c r="M1536" i="12"/>
  <c r="M1520" i="12"/>
  <c r="M1504" i="12"/>
  <c r="M1488" i="12"/>
  <c r="M1472" i="12"/>
  <c r="M1456" i="12"/>
  <c r="M1440" i="12"/>
  <c r="M1424" i="12"/>
  <c r="M1408" i="12"/>
  <c r="M1392" i="12"/>
  <c r="M1376" i="12"/>
  <c r="M1360" i="12"/>
  <c r="M1344" i="12"/>
  <c r="M1328" i="12"/>
  <c r="M1312" i="12"/>
  <c r="M1296" i="12"/>
  <c r="M1280" i="12"/>
  <c r="M1264" i="12"/>
  <c r="M1248" i="12"/>
  <c r="M1232" i="12"/>
  <c r="M1216" i="12"/>
  <c r="M1200" i="12"/>
  <c r="M1184" i="12"/>
  <c r="M1168" i="12"/>
  <c r="M1152" i="12"/>
  <c r="M1136" i="12"/>
  <c r="M1120" i="12"/>
  <c r="M1104" i="12"/>
  <c r="M1088" i="12"/>
  <c r="M1072" i="12"/>
  <c r="M1056" i="12"/>
  <c r="M1040" i="12"/>
  <c r="M1024" i="12"/>
  <c r="M1008" i="12"/>
  <c r="M992" i="12"/>
  <c r="M976" i="12"/>
  <c r="M960" i="12"/>
  <c r="M944" i="12"/>
  <c r="M928" i="12"/>
  <c r="M912" i="12"/>
  <c r="M896" i="12"/>
  <c r="M880" i="12"/>
  <c r="M864" i="12"/>
  <c r="M848" i="12"/>
  <c r="M832" i="12"/>
  <c r="M816" i="12"/>
  <c r="M800" i="12"/>
  <c r="M784" i="12"/>
  <c r="M768" i="12"/>
  <c r="M752" i="12"/>
  <c r="M736" i="12"/>
  <c r="M720" i="12"/>
  <c r="M704" i="12"/>
  <c r="M688" i="12"/>
  <c r="M672" i="12"/>
  <c r="M656" i="12"/>
  <c r="M640" i="12"/>
  <c r="M624" i="12"/>
  <c r="M608" i="12"/>
  <c r="M592" i="12"/>
  <c r="M576" i="12"/>
  <c r="M560" i="12"/>
  <c r="M544" i="12"/>
  <c r="M528" i="12"/>
  <c r="M512" i="12"/>
  <c r="M496" i="12"/>
  <c r="M480" i="12"/>
  <c r="M464" i="12"/>
  <c r="M448" i="12"/>
  <c r="M432" i="12"/>
  <c r="M416" i="12"/>
  <c r="M400" i="12"/>
  <c r="M384" i="12"/>
  <c r="M368" i="12"/>
  <c r="M352" i="12"/>
  <c r="M336" i="12"/>
  <c r="M320" i="12"/>
  <c r="M304" i="12"/>
  <c r="M288" i="12"/>
  <c r="M272" i="12"/>
  <c r="M256" i="12"/>
  <c r="M240" i="12"/>
  <c r="M224" i="12"/>
  <c r="M208" i="12"/>
  <c r="M192" i="12"/>
  <c r="M176" i="12"/>
  <c r="M160" i="12"/>
  <c r="M144" i="12"/>
  <c r="M128" i="12"/>
  <c r="M112" i="12"/>
  <c r="M96" i="12"/>
  <c r="M80" i="12"/>
  <c r="M64" i="12"/>
  <c r="M48" i="12"/>
  <c r="M32" i="12"/>
  <c r="M16" i="12"/>
  <c r="M2194" i="12"/>
  <c r="M2174" i="12"/>
  <c r="M2152" i="12"/>
  <c r="M2130" i="12"/>
  <c r="M2110" i="12"/>
  <c r="M2088" i="12"/>
  <c r="M2066" i="12"/>
  <c r="M2046" i="12"/>
  <c r="M2024" i="12"/>
  <c r="M2002" i="12"/>
  <c r="M1982" i="12"/>
  <c r="M1960" i="12"/>
  <c r="M1938" i="12"/>
  <c r="M1918" i="12"/>
  <c r="M1896" i="12"/>
  <c r="M1874" i="12"/>
  <c r="M1854" i="12"/>
  <c r="M1832" i="12"/>
  <c r="M1810" i="12"/>
  <c r="M1790" i="12"/>
  <c r="M1768" i="12"/>
  <c r="M1746" i="12"/>
  <c r="M1726" i="12"/>
  <c r="M1704" i="12"/>
  <c r="M1682" i="12"/>
  <c r="M1663" i="12"/>
  <c r="M1647" i="12"/>
  <c r="M1631" i="12"/>
  <c r="M1615" i="12"/>
  <c r="M1599" i="12"/>
  <c r="M1583" i="12"/>
  <c r="M1567" i="12"/>
  <c r="M1551" i="12"/>
  <c r="M1535" i="12"/>
  <c r="M1519" i="12"/>
  <c r="M1503" i="12"/>
  <c r="M1487" i="12"/>
  <c r="M1471" i="12"/>
  <c r="M1455" i="12"/>
  <c r="M1439" i="12"/>
  <c r="M1423" i="12"/>
  <c r="M1407" i="12"/>
  <c r="M1391" i="12"/>
  <c r="M1375" i="12"/>
  <c r="M1359" i="12"/>
  <c r="M1343" i="12"/>
  <c r="M1327" i="12"/>
  <c r="M1311" i="12"/>
  <c r="M1295" i="12"/>
  <c r="M1279" i="12"/>
  <c r="M1263" i="12"/>
  <c r="M1247" i="12"/>
  <c r="M1231" i="12"/>
  <c r="M1215" i="12"/>
  <c r="M1199" i="12"/>
  <c r="M1183" i="12"/>
  <c r="M1167" i="12"/>
  <c r="M1151" i="12"/>
  <c r="M1135" i="12"/>
  <c r="M1119" i="12"/>
  <c r="M1103" i="12"/>
  <c r="M1087" i="12"/>
  <c r="M1071" i="12"/>
  <c r="M1055" i="12"/>
  <c r="M1039" i="12"/>
  <c r="M1023" i="12"/>
  <c r="M1007" i="12"/>
  <c r="M991" i="12"/>
  <c r="M975" i="12"/>
  <c r="M959" i="12"/>
  <c r="M943" i="12"/>
  <c r="M927" i="12"/>
  <c r="M911" i="12"/>
  <c r="M895" i="12"/>
  <c r="M879" i="12"/>
  <c r="M863" i="12"/>
  <c r="M847" i="12"/>
  <c r="M831" i="12"/>
  <c r="M815" i="12"/>
  <c r="M799" i="12"/>
  <c r="M783" i="12"/>
  <c r="M767" i="12"/>
  <c r="M751" i="12"/>
  <c r="M735" i="12"/>
  <c r="M719" i="12"/>
  <c r="M703" i="12"/>
  <c r="M687" i="12"/>
  <c r="M671" i="12"/>
  <c r="M655" i="12"/>
  <c r="M639" i="12"/>
  <c r="M623" i="12"/>
  <c r="M607" i="12"/>
  <c r="M591" i="12"/>
  <c r="M575" i="12"/>
  <c r="M559" i="12"/>
  <c r="M543" i="12"/>
  <c r="M527" i="12"/>
  <c r="M511" i="12"/>
  <c r="M495" i="12"/>
  <c r="M479" i="12"/>
  <c r="M463" i="12"/>
  <c r="M447" i="12"/>
  <c r="M431" i="12"/>
  <c r="M415" i="12"/>
  <c r="M399" i="12"/>
  <c r="M383" i="12"/>
  <c r="M367" i="12"/>
  <c r="M351" i="12"/>
  <c r="M335" i="12"/>
  <c r="M319" i="12"/>
  <c r="M303" i="12"/>
  <c r="M287" i="12"/>
  <c r="M271" i="12"/>
  <c r="M255" i="12"/>
  <c r="M239" i="12"/>
  <c r="M223" i="12"/>
  <c r="M207" i="12"/>
  <c r="M191" i="12"/>
  <c r="M175" i="12"/>
  <c r="M159" i="12"/>
  <c r="M143" i="12"/>
  <c r="M127" i="12"/>
  <c r="M111" i="12"/>
  <c r="M95" i="12"/>
  <c r="M79" i="12"/>
  <c r="M63" i="12"/>
  <c r="M47" i="12"/>
  <c r="M31" i="12"/>
  <c r="M15" i="12"/>
  <c r="M2192" i="12"/>
  <c r="M2170" i="12"/>
  <c r="M2150" i="12"/>
  <c r="M2128" i="12"/>
  <c r="M2106" i="12"/>
  <c r="M2086" i="12"/>
  <c r="M2064" i="12"/>
  <c r="M2042" i="12"/>
  <c r="M2022" i="12"/>
  <c r="M2000" i="12"/>
  <c r="M1978" i="12"/>
  <c r="M1958" i="12"/>
  <c r="M1936" i="12"/>
  <c r="M1914" i="12"/>
  <c r="M1894" i="12"/>
  <c r="M1872" i="12"/>
  <c r="M1850" i="12"/>
  <c r="M1830" i="12"/>
  <c r="M1808" i="12"/>
  <c r="M1786" i="12"/>
  <c r="M1766" i="12"/>
  <c r="M1744" i="12"/>
  <c r="M1722" i="12"/>
  <c r="M1702" i="12"/>
  <c r="M1680" i="12"/>
  <c r="M1662" i="12"/>
  <c r="M1646" i="12"/>
  <c r="M1630" i="12"/>
  <c r="M1614" i="12"/>
  <c r="M1598" i="12"/>
  <c r="M1582" i="12"/>
  <c r="M1566" i="12"/>
  <c r="M1550" i="12"/>
  <c r="M1534" i="12"/>
  <c r="M1518" i="12"/>
  <c r="M1502" i="12"/>
  <c r="M1486" i="12"/>
  <c r="M1470" i="12"/>
  <c r="M1454" i="12"/>
  <c r="M1438" i="12"/>
  <c r="M1422" i="12"/>
  <c r="M1406" i="12"/>
  <c r="M1390" i="12"/>
  <c r="M1374" i="12"/>
  <c r="M1358" i="12"/>
  <c r="M1342" i="12"/>
  <c r="M1326" i="12"/>
  <c r="M1310" i="12"/>
  <c r="M1294" i="12"/>
  <c r="M1278" i="12"/>
  <c r="M1262" i="12"/>
  <c r="M1246" i="12"/>
  <c r="M1230" i="12"/>
  <c r="M1214" i="12"/>
  <c r="M1198" i="12"/>
  <c r="M1182" i="12"/>
  <c r="M1166" i="12"/>
  <c r="M1150" i="12"/>
  <c r="M1134" i="12"/>
  <c r="M1118" i="12"/>
  <c r="M1102" i="12"/>
  <c r="M1086" i="12"/>
  <c r="M1070" i="12"/>
  <c r="M1054" i="12"/>
  <c r="M1038" i="12"/>
  <c r="M1022" i="12"/>
  <c r="M1006" i="12"/>
  <c r="M990" i="12"/>
  <c r="M974" i="12"/>
  <c r="M958" i="12"/>
  <c r="M942" i="12"/>
  <c r="M926" i="12"/>
  <c r="M910" i="12"/>
  <c r="M894" i="12"/>
  <c r="M878" i="12"/>
  <c r="M862" i="12"/>
  <c r="M846" i="12"/>
  <c r="M830" i="12"/>
  <c r="M814" i="12"/>
  <c r="M798" i="12"/>
  <c r="M782" i="12"/>
  <c r="M766" i="12"/>
  <c r="M750" i="12"/>
  <c r="M734" i="12"/>
  <c r="M718" i="12"/>
  <c r="M702" i="12"/>
  <c r="M686" i="12"/>
  <c r="M670" i="12"/>
  <c r="M654" i="12"/>
  <c r="M638" i="12"/>
  <c r="M622" i="12"/>
  <c r="M606" i="12"/>
  <c r="M590" i="12"/>
  <c r="M574" i="12"/>
  <c r="M558" i="12"/>
  <c r="M542" i="12"/>
  <c r="M526" i="12"/>
  <c r="M510" i="12"/>
  <c r="M494" i="12"/>
  <c r="M478" i="12"/>
  <c r="M462" i="12"/>
  <c r="M446" i="12"/>
  <c r="M430" i="12"/>
  <c r="M414" i="12"/>
  <c r="M398" i="12"/>
  <c r="M382" i="12"/>
  <c r="M366" i="12"/>
  <c r="M350" i="12"/>
  <c r="M334" i="12"/>
  <c r="M318" i="12"/>
  <c r="M302" i="12"/>
  <c r="M286" i="12"/>
  <c r="M270" i="12"/>
  <c r="M254" i="12"/>
  <c r="M238" i="12"/>
  <c r="M222" i="12"/>
  <c r="M206" i="12"/>
  <c r="M190" i="12"/>
  <c r="M174" i="12"/>
  <c r="M158" i="12"/>
  <c r="M142" i="12"/>
  <c r="M126" i="12"/>
  <c r="M110" i="12"/>
  <c r="M94" i="12"/>
  <c r="M78" i="12"/>
  <c r="M62" i="12"/>
  <c r="M46" i="12"/>
  <c r="M30" i="12"/>
  <c r="M14" i="12"/>
  <c r="M2190" i="12"/>
  <c r="M2168" i="12"/>
  <c r="M2146" i="12"/>
  <c r="M2126" i="12"/>
  <c r="M2104" i="12"/>
  <c r="M2082" i="12"/>
  <c r="M2062" i="12"/>
  <c r="M2040" i="12"/>
  <c r="M2018" i="12"/>
  <c r="M1998" i="12"/>
  <c r="M1976" i="12"/>
  <c r="M1954" i="12"/>
  <c r="M1934" i="12"/>
  <c r="M1912" i="12"/>
  <c r="M1890" i="12"/>
  <c r="M1870" i="12"/>
  <c r="M1848" i="12"/>
  <c r="M1826" i="12"/>
  <c r="M1806" i="12"/>
  <c r="M1784" i="12"/>
  <c r="M1762" i="12"/>
  <c r="M1742" i="12"/>
  <c r="M1720" i="12"/>
  <c r="M1698" i="12"/>
  <c r="M1678" i="12"/>
  <c r="M1658" i="12"/>
  <c r="M1642" i="12"/>
  <c r="M1626" i="12"/>
  <c r="M1610" i="12"/>
  <c r="M1594" i="12"/>
  <c r="M1578" i="12"/>
  <c r="M1562" i="12"/>
  <c r="M1546" i="12"/>
  <c r="M1530" i="12"/>
  <c r="M1514" i="12"/>
  <c r="M1498" i="12"/>
  <c r="M1482" i="12"/>
  <c r="M1466" i="12"/>
  <c r="M1450" i="12"/>
  <c r="M1434" i="12"/>
  <c r="M1418" i="12"/>
  <c r="M1402" i="12"/>
  <c r="M1386" i="12"/>
  <c r="M1370" i="12"/>
  <c r="M1354" i="12"/>
  <c r="M1338" i="12"/>
  <c r="M1322" i="12"/>
  <c r="M1306" i="12"/>
  <c r="M1290" i="12"/>
  <c r="M1274" i="12"/>
  <c r="M1258" i="12"/>
  <c r="M1242" i="12"/>
  <c r="M1226" i="12"/>
  <c r="M1210" i="12"/>
  <c r="M1194" i="12"/>
  <c r="M1178" i="12"/>
  <c r="M1162" i="12"/>
  <c r="M1146" i="12"/>
  <c r="M1130" i="12"/>
  <c r="M1114" i="12"/>
  <c r="M1098" i="12"/>
  <c r="M1082" i="12"/>
  <c r="M1066" i="12"/>
  <c r="M1050" i="12"/>
  <c r="M1034" i="12"/>
  <c r="M1018" i="12"/>
  <c r="M1002" i="12"/>
  <c r="M986" i="12"/>
  <c r="M970" i="12"/>
  <c r="M954" i="12"/>
  <c r="M938" i="12"/>
  <c r="M922" i="12"/>
  <c r="M906" i="12"/>
  <c r="M890" i="12"/>
  <c r="M874" i="12"/>
  <c r="M858" i="12"/>
  <c r="M842" i="12"/>
  <c r="M826" i="12"/>
  <c r="M810" i="12"/>
  <c r="M794" i="12"/>
  <c r="M778" i="12"/>
  <c r="M762" i="12"/>
  <c r="M746" i="12"/>
  <c r="M730" i="12"/>
  <c r="M714" i="12"/>
  <c r="M698" i="12"/>
  <c r="M682" i="12"/>
  <c r="M666" i="12"/>
  <c r="M650" i="12"/>
  <c r="M634" i="12"/>
  <c r="M618" i="12"/>
  <c r="M602" i="12"/>
  <c r="M586" i="12"/>
  <c r="M570" i="12"/>
  <c r="M554" i="12"/>
  <c r="M538" i="12"/>
  <c r="M522" i="12"/>
  <c r="M506" i="12"/>
  <c r="M490" i="12"/>
  <c r="M474" i="12"/>
  <c r="M458" i="12"/>
  <c r="M442" i="12"/>
  <c r="M426" i="12"/>
  <c r="M410" i="12"/>
  <c r="M394" i="12"/>
  <c r="M378" i="12"/>
  <c r="M362" i="12"/>
  <c r="M346" i="12"/>
  <c r="M330" i="12"/>
  <c r="M314" i="12"/>
  <c r="M298" i="12"/>
  <c r="M282" i="12"/>
  <c r="M266" i="12"/>
  <c r="M250" i="12"/>
  <c r="M234" i="12"/>
  <c r="M218" i="12"/>
  <c r="M202" i="12"/>
  <c r="M186" i="12"/>
  <c r="M170" i="12"/>
  <c r="M154" i="12"/>
  <c r="M138" i="12"/>
  <c r="M122" i="12"/>
  <c r="M106" i="12"/>
  <c r="M90" i="12"/>
  <c r="M74" i="12"/>
  <c r="M58" i="12"/>
  <c r="M42" i="12"/>
  <c r="M26" i="12"/>
  <c r="M10" i="12"/>
  <c r="M2186" i="12"/>
  <c r="M2166" i="12"/>
  <c r="M2144" i="12"/>
  <c r="M2122" i="12"/>
  <c r="M2102" i="12"/>
  <c r="M2080" i="12"/>
  <c r="M2058" i="12"/>
  <c r="M2038" i="12"/>
  <c r="M2016" i="12"/>
  <c r="M1994" i="12"/>
  <c r="M1974" i="12"/>
  <c r="M1952" i="12"/>
  <c r="M1930" i="12"/>
  <c r="M1910" i="12"/>
  <c r="M1888" i="12"/>
  <c r="M1866" i="12"/>
  <c r="M1846" i="12"/>
  <c r="M1824" i="12"/>
  <c r="M1802" i="12"/>
  <c r="M1782" i="12"/>
  <c r="M1760" i="12"/>
  <c r="M1738" i="12"/>
  <c r="M1718" i="12"/>
  <c r="M1696" i="12"/>
  <c r="M1674" i="12"/>
  <c r="M1656" i="12"/>
  <c r="M1640" i="12"/>
  <c r="M1624" i="12"/>
  <c r="M1608" i="12"/>
  <c r="M1592" i="12"/>
  <c r="M1576" i="12"/>
  <c r="M1560" i="12"/>
  <c r="M1544" i="12"/>
  <c r="M1528" i="12"/>
  <c r="M1512" i="12"/>
  <c r="M1496" i="12"/>
  <c r="M1480" i="12"/>
  <c r="M1464" i="12"/>
  <c r="M1448" i="12"/>
  <c r="M1432" i="12"/>
  <c r="M1416" i="12"/>
  <c r="M1400" i="12"/>
  <c r="M1384" i="12"/>
  <c r="M1368" i="12"/>
  <c r="M1352" i="12"/>
  <c r="M1336" i="12"/>
  <c r="M1320" i="12"/>
  <c r="M1304" i="12"/>
  <c r="M1288" i="12"/>
  <c r="M1272" i="12"/>
  <c r="M1256" i="12"/>
  <c r="M1240" i="12"/>
  <c r="M1224" i="12"/>
  <c r="M1208" i="12"/>
  <c r="M1192" i="12"/>
  <c r="M1176" i="12"/>
  <c r="M1160" i="12"/>
  <c r="M1144" i="12"/>
  <c r="M1128" i="12"/>
  <c r="M1112" i="12"/>
  <c r="M1096" i="12"/>
  <c r="M1080" i="12"/>
  <c r="M1064" i="12"/>
  <c r="M1048" i="12"/>
  <c r="M1032" i="12"/>
  <c r="M1016" i="12"/>
  <c r="M1000" i="12"/>
  <c r="M984" i="12"/>
  <c r="M968" i="12"/>
  <c r="M952" i="12"/>
  <c r="M936" i="12"/>
  <c r="M920" i="12"/>
  <c r="M904" i="12"/>
  <c r="M888" i="12"/>
  <c r="M872" i="12"/>
  <c r="M856" i="12"/>
  <c r="M840" i="12"/>
  <c r="M824" i="12"/>
  <c r="M808" i="12"/>
  <c r="M792" i="12"/>
  <c r="M776" i="12"/>
  <c r="M760" i="12"/>
  <c r="M744" i="12"/>
  <c r="M728" i="12"/>
  <c r="M712" i="12"/>
  <c r="M696" i="12"/>
  <c r="M680" i="12"/>
  <c r="M664" i="12"/>
  <c r="M648" i="12"/>
  <c r="M632" i="12"/>
  <c r="M616" i="12"/>
  <c r="M600" i="12"/>
  <c r="M584" i="12"/>
  <c r="M568" i="12"/>
  <c r="M552" i="12"/>
  <c r="M536" i="12"/>
  <c r="M520" i="12"/>
  <c r="M504" i="12"/>
  <c r="M488" i="12"/>
  <c r="M472" i="12"/>
  <c r="M456" i="12"/>
  <c r="M440" i="12"/>
  <c r="M424" i="12"/>
  <c r="M408" i="12"/>
  <c r="M392" i="12"/>
  <c r="M376" i="12"/>
  <c r="M360" i="12"/>
  <c r="M344" i="12"/>
  <c r="M328" i="12"/>
  <c r="M312" i="12"/>
  <c r="M296" i="12"/>
  <c r="M280" i="12"/>
  <c r="M264" i="12"/>
  <c r="M248" i="12"/>
  <c r="M232" i="12"/>
  <c r="M216" i="12"/>
  <c r="M200" i="12"/>
  <c r="M184" i="12"/>
  <c r="M168" i="12"/>
  <c r="M152" i="12"/>
  <c r="M136" i="12"/>
  <c r="M120" i="12"/>
  <c r="M104" i="12"/>
  <c r="M88" i="12"/>
  <c r="M72" i="12"/>
  <c r="M56" i="12"/>
  <c r="M40" i="12"/>
  <c r="M24" i="12"/>
  <c r="M8" i="12"/>
  <c r="M2184" i="12"/>
  <c r="M2162" i="12"/>
  <c r="M2142" i="12"/>
  <c r="M2120" i="12"/>
  <c r="M2098" i="12"/>
  <c r="M2078" i="12"/>
  <c r="M2056" i="12"/>
  <c r="M2034" i="12"/>
  <c r="M2014" i="12"/>
  <c r="M1992" i="12"/>
  <c r="M1970" i="12"/>
  <c r="M1950" i="12"/>
  <c r="M1928" i="12"/>
  <c r="M1906" i="12"/>
  <c r="M1886" i="12"/>
  <c r="M1864" i="12"/>
  <c r="M1842" i="12"/>
  <c r="M1822" i="12"/>
  <c r="M1800" i="12"/>
  <c r="M1778" i="12"/>
  <c r="M1758" i="12"/>
  <c r="M1736" i="12"/>
  <c r="M1714" i="12"/>
  <c r="M1694" i="12"/>
  <c r="M1672" i="12"/>
  <c r="M1655" i="12"/>
  <c r="M1639" i="12"/>
  <c r="M1623" i="12"/>
  <c r="M1607" i="12"/>
  <c r="M1591" i="12"/>
  <c r="M1575" i="12"/>
  <c r="M1559" i="12"/>
  <c r="M1543" i="12"/>
  <c r="M1527" i="12"/>
  <c r="M1511" i="12"/>
  <c r="M1495" i="12"/>
  <c r="M1479" i="12"/>
  <c r="M1463" i="12"/>
  <c r="M1447" i="12"/>
  <c r="M1431" i="12"/>
  <c r="M1415" i="12"/>
  <c r="M1399" i="12"/>
  <c r="M1383" i="12"/>
  <c r="M1367" i="12"/>
  <c r="M1351" i="12"/>
  <c r="M1335" i="12"/>
  <c r="M1319" i="12"/>
  <c r="M1303" i="12"/>
  <c r="M1287" i="12"/>
  <c r="M1271" i="12"/>
  <c r="M1255" i="12"/>
  <c r="M1239" i="12"/>
  <c r="M1223" i="12"/>
  <c r="M1207" i="12"/>
  <c r="M1191" i="12"/>
  <c r="M1175" i="12"/>
  <c r="M1159" i="12"/>
  <c r="M1143" i="12"/>
  <c r="M1127" i="12"/>
  <c r="M1111" i="12"/>
  <c r="M1095" i="12"/>
  <c r="M1079" i="12"/>
  <c r="M1063" i="12"/>
  <c r="M1047" i="12"/>
  <c r="M1031" i="12"/>
  <c r="M1015" i="12"/>
  <c r="M999" i="12"/>
  <c r="M983" i="12"/>
  <c r="M967" i="12"/>
  <c r="M951" i="12"/>
  <c r="M935" i="12"/>
  <c r="M919" i="12"/>
  <c r="M903" i="12"/>
  <c r="M887" i="12"/>
  <c r="M871" i="12"/>
  <c r="M855" i="12"/>
  <c r="M839" i="12"/>
  <c r="M823" i="12"/>
  <c r="M807" i="12"/>
  <c r="M791" i="12"/>
  <c r="M775" i="12"/>
  <c r="M759" i="12"/>
  <c r="M743" i="12"/>
  <c r="M727" i="12"/>
  <c r="M711" i="12"/>
  <c r="M695" i="12"/>
  <c r="M679" i="12"/>
  <c r="M663" i="12"/>
  <c r="M647" i="12"/>
  <c r="M631" i="12"/>
  <c r="M615" i="12"/>
  <c r="M599" i="12"/>
  <c r="M583" i="12"/>
  <c r="M567" i="12"/>
  <c r="M551" i="12"/>
  <c r="M535" i="12"/>
  <c r="M519" i="12"/>
  <c r="M503" i="12"/>
  <c r="M487" i="12"/>
  <c r="M471" i="12"/>
  <c r="M455" i="12"/>
  <c r="M439" i="12"/>
  <c r="M423" i="12"/>
  <c r="M407" i="12"/>
  <c r="M391" i="12"/>
  <c r="M375" i="12"/>
  <c r="M359" i="12"/>
  <c r="M343" i="12"/>
  <c r="M327" i="12"/>
  <c r="M311" i="12"/>
  <c r="M295" i="12"/>
  <c r="M279" i="12"/>
  <c r="M263" i="12"/>
  <c r="M247" i="12"/>
  <c r="M231" i="12"/>
  <c r="M215" i="12"/>
  <c r="M199" i="12"/>
  <c r="M183" i="12"/>
  <c r="M167" i="12"/>
  <c r="M151" i="12"/>
  <c r="M135" i="12"/>
  <c r="M119" i="12"/>
  <c r="M103" i="12"/>
  <c r="M87" i="12"/>
  <c r="M71" i="12"/>
  <c r="M55" i="12"/>
  <c r="M39" i="12"/>
  <c r="M23" i="12"/>
  <c r="M7" i="12"/>
  <c r="M2182" i="12"/>
  <c r="M2160" i="12"/>
  <c r="M2138" i="12"/>
  <c r="M2118" i="12"/>
  <c r="M2096" i="12"/>
  <c r="M2074" i="12"/>
  <c r="M2054" i="12"/>
  <c r="M2032" i="12"/>
  <c r="M2010" i="12"/>
  <c r="M1990" i="12"/>
  <c r="M1968" i="12"/>
  <c r="M1946" i="12"/>
  <c r="M1926" i="12"/>
  <c r="M1904" i="12"/>
  <c r="M1882" i="12"/>
  <c r="M1862" i="12"/>
  <c r="M1840" i="12"/>
  <c r="M1818" i="12"/>
  <c r="M1798" i="12"/>
  <c r="M1776" i="12"/>
  <c r="M1754" i="12"/>
  <c r="M1734" i="12"/>
  <c r="M1712" i="12"/>
  <c r="M1690" i="12"/>
  <c r="M1670" i="12"/>
  <c r="M1654" i="12"/>
  <c r="M1638" i="12"/>
  <c r="M1622" i="12"/>
  <c r="M1606" i="12"/>
  <c r="M1590" i="12"/>
  <c r="M1574" i="12"/>
  <c r="M1558" i="12"/>
  <c r="M1542" i="12"/>
  <c r="M1526" i="12"/>
  <c r="M1510" i="12"/>
  <c r="M1494" i="12"/>
  <c r="M1478" i="12"/>
  <c r="M1462" i="12"/>
  <c r="M1446" i="12"/>
  <c r="M1430" i="12"/>
  <c r="M1414" i="12"/>
  <c r="M1398" i="12"/>
  <c r="M1382" i="12"/>
  <c r="M1366" i="12"/>
  <c r="M1350" i="12"/>
  <c r="M1334" i="12"/>
  <c r="M1318" i="12"/>
  <c r="M1302" i="12"/>
  <c r="M1286" i="12"/>
  <c r="M1270" i="12"/>
  <c r="M1254" i="12"/>
  <c r="M1238" i="12"/>
  <c r="M1222" i="12"/>
  <c r="M1206" i="12"/>
  <c r="M1190" i="12"/>
  <c r="M1174" i="12"/>
  <c r="M1158" i="12"/>
  <c r="M1142" i="12"/>
  <c r="M1126" i="12"/>
  <c r="M1110" i="12"/>
  <c r="M1094" i="12"/>
  <c r="M1078" i="12"/>
  <c r="M1062" i="12"/>
  <c r="M1046" i="12"/>
  <c r="M1030" i="12"/>
  <c r="M1014" i="12"/>
  <c r="M998" i="12"/>
  <c r="M982" i="12"/>
  <c r="M966" i="12"/>
  <c r="M950" i="12"/>
  <c r="M934" i="12"/>
  <c r="M918" i="12"/>
  <c r="M902" i="12"/>
  <c r="M886" i="12"/>
  <c r="M870" i="12"/>
  <c r="M854" i="12"/>
  <c r="M838" i="12"/>
  <c r="M822" i="12"/>
  <c r="M806" i="12"/>
  <c r="M790" i="12"/>
  <c r="M774" i="12"/>
  <c r="M758" i="12"/>
  <c r="M742" i="12"/>
  <c r="M726" i="12"/>
  <c r="M710" i="12"/>
  <c r="M694" i="12"/>
  <c r="M678" i="12"/>
  <c r="M662" i="12"/>
  <c r="M646" i="12"/>
  <c r="M630" i="12"/>
  <c r="M614" i="12"/>
  <c r="M598" i="12"/>
  <c r="M582" i="12"/>
  <c r="M566" i="12"/>
  <c r="M550" i="12"/>
  <c r="M534" i="12"/>
  <c r="M518" i="12"/>
  <c r="M502" i="12"/>
  <c r="M486" i="12"/>
  <c r="M470" i="12"/>
  <c r="M454" i="12"/>
  <c r="M438" i="12"/>
  <c r="M422" i="12"/>
  <c r="M406" i="12"/>
  <c r="M390" i="12"/>
  <c r="M374" i="12"/>
  <c r="M358" i="12"/>
  <c r="M342" i="12"/>
  <c r="M326" i="12"/>
  <c r="M310" i="12"/>
  <c r="M294" i="12"/>
  <c r="M278" i="12"/>
  <c r="M262" i="12"/>
  <c r="M246" i="12"/>
  <c r="M230" i="12"/>
  <c r="M214" i="12"/>
  <c r="M198" i="12"/>
  <c r="M182" i="12"/>
  <c r="M166" i="12"/>
  <c r="M150" i="12"/>
  <c r="M134" i="12"/>
  <c r="M118" i="12"/>
  <c r="M102" i="12"/>
  <c r="M86" i="12"/>
  <c r="M70" i="12"/>
  <c r="M54" i="12"/>
  <c r="M38" i="12"/>
  <c r="M22" i="12"/>
  <c r="M6" i="12"/>
  <c r="M2136" i="12"/>
  <c r="M1966" i="12"/>
  <c r="M1794" i="12"/>
  <c r="M1634" i="12"/>
  <c r="M1506" i="12"/>
  <c r="M1378" i="12"/>
  <c r="M1250" i="12"/>
  <c r="M1122" i="12"/>
  <c r="M994" i="12"/>
  <c r="M866" i="12"/>
  <c r="M738" i="12"/>
  <c r="M610" i="12"/>
  <c r="M482" i="12"/>
  <c r="M354" i="12"/>
  <c r="M226" i="12"/>
  <c r="M98" i="12"/>
  <c r="M2114" i="12"/>
  <c r="M1944" i="12"/>
  <c r="M1774" i="12"/>
  <c r="M1618" i="12"/>
  <c r="M1490" i="12"/>
  <c r="M1362" i="12"/>
  <c r="M1234" i="12"/>
  <c r="M1106" i="12"/>
  <c r="M978" i="12"/>
  <c r="M850" i="12"/>
  <c r="M722" i="12"/>
  <c r="M594" i="12"/>
  <c r="M466" i="12"/>
  <c r="M338" i="12"/>
  <c r="M210" i="12"/>
  <c r="M82" i="12"/>
  <c r="M2094" i="12"/>
  <c r="M1922" i="12"/>
  <c r="M1752" i="12"/>
  <c r="M1602" i="12"/>
  <c r="M1474" i="12"/>
  <c r="M1346" i="12"/>
  <c r="M1218" i="12"/>
  <c r="M1090" i="12"/>
  <c r="M962" i="12"/>
  <c r="M834" i="12"/>
  <c r="M706" i="12"/>
  <c r="M578" i="12"/>
  <c r="M450" i="12"/>
  <c r="M322" i="12"/>
  <c r="M194" i="12"/>
  <c r="M66" i="12"/>
  <c r="M2072" i="12"/>
  <c r="M1902" i="12"/>
  <c r="M1730" i="12"/>
  <c r="M1586" i="12"/>
  <c r="M1458" i="12"/>
  <c r="M1330" i="12"/>
  <c r="M1202" i="12"/>
  <c r="M1074" i="12"/>
  <c r="M946" i="12"/>
  <c r="M818" i="12"/>
  <c r="M690" i="12"/>
  <c r="M562" i="12"/>
  <c r="M434" i="12"/>
  <c r="M306" i="12"/>
  <c r="M178" i="12"/>
  <c r="M50" i="12"/>
  <c r="M2050" i="12"/>
  <c r="M1880" i="12"/>
  <c r="M1710" i="12"/>
  <c r="M1570" i="12"/>
  <c r="M1442" i="12"/>
  <c r="M1314" i="12"/>
  <c r="M1186" i="12"/>
  <c r="M1058" i="12"/>
  <c r="M930" i="12"/>
  <c r="M802" i="12"/>
  <c r="M674" i="12"/>
  <c r="M546" i="12"/>
  <c r="M418" i="12"/>
  <c r="M290" i="12"/>
  <c r="M162" i="12"/>
  <c r="M34" i="12"/>
  <c r="M2200" i="12"/>
  <c r="M2030" i="12"/>
  <c r="M1858" i="12"/>
  <c r="M1688" i="12"/>
  <c r="M1554" i="12"/>
  <c r="M1426" i="12"/>
  <c r="M1298" i="12"/>
  <c r="M1170" i="12"/>
  <c r="M1042" i="12"/>
  <c r="M914" i="12"/>
  <c r="M786" i="12"/>
  <c r="M658" i="12"/>
  <c r="M530" i="12"/>
  <c r="M402" i="12"/>
  <c r="M274" i="12"/>
  <c r="M146" i="12"/>
  <c r="M18" i="12"/>
  <c r="M2178" i="12"/>
  <c r="M2008" i="12"/>
  <c r="M1838" i="12"/>
  <c r="M1666" i="12"/>
  <c r="M1538" i="12"/>
  <c r="M1410" i="12"/>
  <c r="M1282" i="12"/>
  <c r="M1154" i="12"/>
  <c r="M1026" i="12"/>
  <c r="M898" i="12"/>
  <c r="M770" i="12"/>
  <c r="M642" i="12"/>
  <c r="M514" i="12"/>
  <c r="M386" i="12"/>
  <c r="M258" i="12"/>
  <c r="M130" i="12"/>
  <c r="M1138" i="12"/>
  <c r="M114" i="12"/>
  <c r="M2158" i="12"/>
  <c r="M1010" i="12"/>
  <c r="M1986" i="12"/>
  <c r="M882" i="12"/>
  <c r="M1816" i="12"/>
  <c r="M754" i="12"/>
  <c r="M1650" i="12"/>
  <c r="M626" i="12"/>
  <c r="M1522" i="12"/>
  <c r="M498" i="12"/>
  <c r="M1394" i="12"/>
  <c r="M370" i="12"/>
  <c r="M1266" i="12"/>
  <c r="M242" i="12"/>
  <c r="E2039" i="12" l="1"/>
  <c r="E2040" i="12" s="1"/>
  <c r="E2041" i="12" s="1"/>
  <c r="E2042" i="12" s="1"/>
  <c r="E2043" i="12" s="1"/>
  <c r="E2044" i="12" s="1"/>
  <c r="E2045" i="12" s="1"/>
  <c r="E2046" i="12" s="1"/>
  <c r="E2047" i="12" s="1"/>
  <c r="E2048" i="12" s="1"/>
  <c r="E2049" i="12" s="1"/>
  <c r="E2050" i="12" s="1"/>
  <c r="E2051" i="12" s="1"/>
  <c r="E2052" i="12" s="1"/>
  <c r="E2053" i="12" s="1"/>
  <c r="E2054" i="12" s="1"/>
  <c r="E2055" i="12" s="1"/>
  <c r="E2056" i="12" s="1"/>
  <c r="E2057" i="12" s="1"/>
  <c r="E2058" i="12" s="1"/>
  <c r="E2059" i="12" s="1"/>
  <c r="E2060" i="12" s="1"/>
  <c r="E2061" i="12" s="1"/>
  <c r="E2062" i="12" s="1"/>
  <c r="E2063" i="12" s="1"/>
  <c r="E2064" i="12" s="1"/>
  <c r="E2065" i="12" s="1"/>
  <c r="E2066" i="12" s="1"/>
  <c r="E2067" i="12" s="1"/>
  <c r="E2068" i="12" s="1"/>
  <c r="E2069" i="12" s="1"/>
  <c r="E2070" i="12" s="1"/>
  <c r="E2071" i="12" s="1"/>
  <c r="E2072" i="12" s="1"/>
  <c r="E2073" i="12" s="1"/>
  <c r="E2074" i="12" s="1"/>
  <c r="E2075" i="12" s="1"/>
  <c r="E2076" i="12" s="1"/>
  <c r="E2077" i="12" s="1"/>
  <c r="E2078" i="12" s="1"/>
  <c r="E2079" i="12" s="1"/>
  <c r="E2080" i="12" s="1"/>
  <c r="E2081" i="12" s="1"/>
  <c r="E2082" i="12" s="1"/>
  <c r="E2083" i="12" s="1"/>
  <c r="E2084" i="12" s="1"/>
  <c r="E2085" i="12" s="1"/>
  <c r="E2086" i="12" s="1"/>
  <c r="E2087" i="12" s="1"/>
  <c r="E2088" i="12" s="1"/>
  <c r="E2089" i="12" s="1"/>
  <c r="E2090" i="12" s="1"/>
  <c r="E2091" i="12" s="1"/>
  <c r="E2092" i="12" s="1"/>
  <c r="E2093" i="12" s="1"/>
  <c r="E2094" i="12" s="1"/>
  <c r="E2095" i="12" s="1"/>
  <c r="E2096" i="12" s="1"/>
  <c r="E2097" i="12" s="1"/>
  <c r="E2098" i="12" s="1"/>
  <c r="E2099" i="12" s="1"/>
  <c r="E2100" i="12" s="1"/>
  <c r="E2101" i="12" s="1"/>
  <c r="E2102" i="12" s="1"/>
  <c r="E2103" i="12" s="1"/>
  <c r="E2104" i="12" s="1"/>
  <c r="E2105" i="12" s="1"/>
  <c r="E2106" i="12" s="1"/>
  <c r="E2107" i="12" s="1"/>
  <c r="E2108" i="12" s="1"/>
  <c r="E2109" i="12" s="1"/>
  <c r="E2110" i="12" s="1"/>
  <c r="E2111" i="12" s="1"/>
  <c r="E2112" i="12" s="1"/>
  <c r="E2113" i="12" s="1"/>
  <c r="E2114" i="12" s="1"/>
  <c r="E2115" i="12" s="1"/>
  <c r="E2116" i="12" s="1"/>
  <c r="E2117" i="12" s="1"/>
  <c r="E2118" i="12" s="1"/>
  <c r="E2119" i="12" s="1"/>
  <c r="E2120" i="12" s="1"/>
  <c r="E2121" i="12" s="1"/>
  <c r="E2122" i="12" s="1"/>
  <c r="E2123" i="12" s="1"/>
  <c r="E2124" i="12" s="1"/>
  <c r="E2125" i="12" s="1"/>
  <c r="E2126" i="12" s="1"/>
  <c r="E2127" i="12" s="1"/>
  <c r="E2128" i="12" s="1"/>
  <c r="E2129" i="12" s="1"/>
  <c r="E2130" i="12" s="1"/>
  <c r="E2131" i="12" s="1"/>
  <c r="E2132" i="12" s="1"/>
  <c r="E2133" i="12" s="1"/>
  <c r="E2134" i="12" s="1"/>
  <c r="E2135" i="12" s="1"/>
  <c r="E2136" i="12" s="1"/>
  <c r="E2137" i="12" s="1"/>
  <c r="E2138" i="12" s="1"/>
  <c r="E2139" i="12" s="1"/>
  <c r="E2140" i="12" s="1"/>
  <c r="E2141" i="12" s="1"/>
  <c r="E2142" i="12" s="1"/>
  <c r="E2143" i="12" s="1"/>
  <c r="E2144" i="12" s="1"/>
  <c r="E2145" i="12" s="1"/>
  <c r="E2146" i="12" s="1"/>
  <c r="E2147" i="12" s="1"/>
  <c r="E2148" i="12" s="1"/>
  <c r="E2149" i="12" s="1"/>
  <c r="E2150" i="12" s="1"/>
  <c r="E2151" i="12" s="1"/>
  <c r="E2152" i="12" s="1"/>
  <c r="E2153" i="12" s="1"/>
  <c r="E2154" i="12" s="1"/>
  <c r="E2155" i="12" s="1"/>
  <c r="E2156" i="12" s="1"/>
  <c r="E2157" i="12" s="1"/>
  <c r="E2158" i="12" s="1"/>
  <c r="E2159" i="12" s="1"/>
  <c r="E2160" i="12" s="1"/>
  <c r="E2161" i="12" s="1"/>
  <c r="E2162" i="12" s="1"/>
  <c r="E2163" i="12" s="1"/>
  <c r="E2164" i="12" s="1"/>
  <c r="E2165" i="12" s="1"/>
  <c r="E2166" i="12" s="1"/>
  <c r="E2167" i="12" s="1"/>
  <c r="E2168" i="12" s="1"/>
  <c r="E2169" i="12" s="1"/>
  <c r="E2170" i="12" s="1"/>
  <c r="E2171" i="12" s="1"/>
  <c r="E2172" i="12" s="1"/>
  <c r="E2173" i="12" s="1"/>
  <c r="E2174" i="12" s="1"/>
  <c r="E2175" i="12" s="1"/>
  <c r="E2176" i="12" s="1"/>
  <c r="E2177" i="12" s="1"/>
  <c r="E2178" i="12" s="1"/>
  <c r="E2179" i="12" s="1"/>
  <c r="E2180" i="12" s="1"/>
  <c r="E2181" i="12" s="1"/>
  <c r="E2182" i="12" s="1"/>
  <c r="E2183" i="12" s="1"/>
  <c r="E2184" i="12" s="1"/>
  <c r="E2185" i="12" s="1"/>
  <c r="E2186" i="12" s="1"/>
  <c r="E2187" i="12" s="1"/>
  <c r="E2188" i="12" s="1"/>
  <c r="E2189" i="12" s="1"/>
  <c r="E2190" i="12" s="1"/>
  <c r="E2191" i="12" s="1"/>
  <c r="E2192" i="12" s="1"/>
  <c r="E2193" i="12" s="1"/>
  <c r="E2194" i="12" s="1"/>
  <c r="E2195" i="12" s="1"/>
  <c r="E2196" i="12" s="1"/>
  <c r="E2197" i="12" s="1"/>
  <c r="E2198" i="12" s="1"/>
  <c r="E2199" i="12" s="1"/>
  <c r="E2200" i="12" s="1"/>
  <c r="H5" i="12"/>
  <c r="H1938" i="12"/>
  <c r="I1698" i="12"/>
  <c r="H4" i="12"/>
  <c r="I1699" i="12"/>
  <c r="J1699" i="12" s="1"/>
  <c r="H1808" i="12"/>
  <c r="H1936" i="12"/>
  <c r="H1908" i="12"/>
  <c r="H1910" i="12"/>
  <c r="H1893" i="12"/>
  <c r="I1893" i="12" s="1"/>
  <c r="J1893" i="12" s="1"/>
  <c r="I2" i="12"/>
  <c r="J2" i="12" s="1"/>
  <c r="H1939" i="12"/>
  <c r="K1940" i="12"/>
  <c r="K1941" i="12" s="1"/>
  <c r="K1942" i="12" s="1"/>
  <c r="K1943" i="12" s="1"/>
  <c r="K1944" i="12" s="1"/>
  <c r="K1945" i="12" s="1"/>
  <c r="K1946" i="12" s="1"/>
  <c r="K1947" i="12" s="1"/>
  <c r="K1948" i="12" s="1"/>
  <c r="K1949" i="12" s="1"/>
  <c r="K1950" i="12" s="1"/>
  <c r="K1951" i="12" s="1"/>
  <c r="K1952" i="12" s="1"/>
  <c r="K1953" i="12" s="1"/>
  <c r="K1954" i="12" s="1"/>
  <c r="K1955" i="12" s="1"/>
  <c r="K1956" i="12" s="1"/>
  <c r="K1957" i="12" s="1"/>
  <c r="K1958" i="12" s="1"/>
  <c r="K1959" i="12" s="1"/>
  <c r="K1960" i="12" s="1"/>
  <c r="K1961" i="12" s="1"/>
  <c r="K1962" i="12" s="1"/>
  <c r="K1963" i="12" s="1"/>
  <c r="K1964" i="12" s="1"/>
  <c r="K1965" i="12" s="1"/>
  <c r="K1966" i="12" s="1"/>
  <c r="K1967" i="12" s="1"/>
  <c r="K1968" i="12" s="1"/>
  <c r="K1969" i="12" s="1"/>
  <c r="K1970" i="12" s="1"/>
  <c r="K1971" i="12" s="1"/>
  <c r="K1972" i="12" s="1"/>
  <c r="K1973" i="12" s="1"/>
  <c r="K1974" i="12" s="1"/>
  <c r="K1975" i="12" s="1"/>
  <c r="K1976" i="12" s="1"/>
  <c r="K1977" i="12" s="1"/>
  <c r="K1978" i="12" s="1"/>
  <c r="K1979" i="12" s="1"/>
  <c r="K1980" i="12" s="1"/>
  <c r="K1981" i="12" s="1"/>
  <c r="K1982" i="12" s="1"/>
  <c r="K1983" i="12" s="1"/>
  <c r="K1984" i="12" s="1"/>
  <c r="K1985" i="12" s="1"/>
  <c r="K1986" i="12" s="1"/>
  <c r="K1987" i="12" s="1"/>
  <c r="K1988" i="12" s="1"/>
  <c r="K1989" i="12" s="1"/>
  <c r="K1990" i="12" s="1"/>
  <c r="K1991" i="12" s="1"/>
  <c r="K1992" i="12" s="1"/>
  <c r="K1993" i="12" s="1"/>
  <c r="K1994" i="12" s="1"/>
  <c r="K1995" i="12" s="1"/>
  <c r="K1996" i="12" s="1"/>
  <c r="K1997" i="12" s="1"/>
  <c r="K1998" i="12" s="1"/>
  <c r="K1999" i="12" s="1"/>
  <c r="K2000" i="12" s="1"/>
  <c r="K2001" i="12" s="1"/>
  <c r="K2002" i="12" s="1"/>
  <c r="K2003" i="12" s="1"/>
  <c r="K2004" i="12" s="1"/>
  <c r="K2005" i="12" s="1"/>
  <c r="K2006" i="12" s="1"/>
  <c r="K2007" i="12" s="1"/>
  <c r="K2008" i="12" s="1"/>
  <c r="K2009" i="12" s="1"/>
  <c r="K2010" i="12" s="1"/>
  <c r="K2011" i="12" s="1"/>
  <c r="K2012" i="12" s="1"/>
  <c r="K2013" i="12" s="1"/>
  <c r="K2014" i="12" s="1"/>
  <c r="K2015" i="12" s="1"/>
  <c r="K2016" i="12" s="1"/>
  <c r="K2017" i="12" s="1"/>
  <c r="K2018" i="12" s="1"/>
  <c r="K2019" i="12" s="1"/>
  <c r="K2020" i="12" s="1"/>
  <c r="K2021" i="12" s="1"/>
  <c r="K2022" i="12" s="1"/>
  <c r="K2023" i="12" s="1"/>
  <c r="K2024" i="12" s="1"/>
  <c r="K2025" i="12" s="1"/>
  <c r="K2026" i="12" s="1"/>
  <c r="K2027" i="12" s="1"/>
  <c r="K2028" i="12" s="1"/>
  <c r="K2029" i="12" s="1"/>
  <c r="K2030" i="12" s="1"/>
  <c r="K2031" i="12" s="1"/>
  <c r="K2032" i="12" s="1"/>
  <c r="K2033" i="12" s="1"/>
  <c r="K2034" i="12" s="1"/>
  <c r="K2035" i="12" s="1"/>
  <c r="K2036" i="12" s="1"/>
  <c r="K2037" i="12" s="1"/>
  <c r="K2038" i="12" s="1"/>
  <c r="K2039" i="12" s="1"/>
  <c r="K2040" i="12" s="1"/>
  <c r="K2041" i="12" s="1"/>
  <c r="K2042" i="12" s="1"/>
  <c r="K2043" i="12" s="1"/>
  <c r="K2044" i="12" s="1"/>
  <c r="K2045" i="12" s="1"/>
  <c r="K2046" i="12" s="1"/>
  <c r="K2047" i="12" s="1"/>
  <c r="K2048" i="12" s="1"/>
  <c r="K2049" i="12" s="1"/>
  <c r="K2050" i="12" s="1"/>
  <c r="K2051" i="12" s="1"/>
  <c r="K2052" i="12" s="1"/>
  <c r="K2053" i="12" s="1"/>
  <c r="K2054" i="12" s="1"/>
  <c r="K2055" i="12" s="1"/>
  <c r="K2056" i="12" s="1"/>
  <c r="K2057" i="12" s="1"/>
  <c r="K2058" i="12" s="1"/>
  <c r="K2059" i="12" s="1"/>
  <c r="K2060" i="12" s="1"/>
  <c r="K2061" i="12" s="1"/>
  <c r="K2062" i="12" s="1"/>
  <c r="K2063" i="12" s="1"/>
  <c r="K2064" i="12" s="1"/>
  <c r="K2065" i="12" s="1"/>
  <c r="K2066" i="12" s="1"/>
  <c r="K2067" i="12" s="1"/>
  <c r="K2068" i="12" s="1"/>
  <c r="K2069" i="12" s="1"/>
  <c r="K2070" i="12" s="1"/>
  <c r="K2071" i="12" s="1"/>
  <c r="K2072" i="12" s="1"/>
  <c r="K2073" i="12" s="1"/>
  <c r="K2074" i="12" s="1"/>
  <c r="K2075" i="12" s="1"/>
  <c r="K2076" i="12" s="1"/>
  <c r="K2077" i="12" s="1"/>
  <c r="K2078" i="12" s="1"/>
  <c r="K2079" i="12" s="1"/>
  <c r="K2080" i="12" s="1"/>
  <c r="K2081" i="12" s="1"/>
  <c r="K2082" i="12" s="1"/>
  <c r="K2083" i="12" s="1"/>
  <c r="K2084" i="12" s="1"/>
  <c r="K2085" i="12" s="1"/>
  <c r="K2086" i="12" s="1"/>
  <c r="K2087" i="12" s="1"/>
  <c r="K2088" i="12" s="1"/>
  <c r="K2089" i="12" s="1"/>
  <c r="K2090" i="12" s="1"/>
  <c r="K2091" i="12" s="1"/>
  <c r="K2092" i="12" s="1"/>
  <c r="K2093" i="12" s="1"/>
  <c r="K2094" i="12" s="1"/>
  <c r="K2095" i="12" s="1"/>
  <c r="K2096" i="12" s="1"/>
  <c r="K2097" i="12" s="1"/>
  <c r="K2098" i="12" s="1"/>
  <c r="K2099" i="12" s="1"/>
  <c r="K2100" i="12" s="1"/>
  <c r="K2101" i="12" s="1"/>
  <c r="K2102" i="12" s="1"/>
  <c r="K2103" i="12" s="1"/>
  <c r="K2104" i="12" s="1"/>
  <c r="K2105" i="12" s="1"/>
  <c r="K2106" i="12" s="1"/>
  <c r="K2107" i="12" s="1"/>
  <c r="K2108" i="12" s="1"/>
  <c r="K2109" i="12" s="1"/>
  <c r="K2110" i="12" s="1"/>
  <c r="K2111" i="12" s="1"/>
  <c r="K2112" i="12" s="1"/>
  <c r="K2113" i="12" s="1"/>
  <c r="K2114" i="12" s="1"/>
  <c r="K2115" i="12" s="1"/>
  <c r="K2116" i="12" s="1"/>
  <c r="K2117" i="12" s="1"/>
  <c r="K2118" i="12" s="1"/>
  <c r="K2119" i="12" s="1"/>
  <c r="K2120" i="12" s="1"/>
  <c r="K2121" i="12" s="1"/>
  <c r="K2122" i="12" s="1"/>
  <c r="K2123" i="12" s="1"/>
  <c r="K2124" i="12" s="1"/>
  <c r="K2125" i="12" s="1"/>
  <c r="K2126" i="12" s="1"/>
  <c r="K2127" i="12" s="1"/>
  <c r="K2128" i="12" s="1"/>
  <c r="K2129" i="12" s="1"/>
  <c r="K2130" i="12" s="1"/>
  <c r="K2131" i="12" s="1"/>
  <c r="K2132" i="12" s="1"/>
  <c r="K2133" i="12" s="1"/>
  <c r="K2134" i="12" s="1"/>
  <c r="K2135" i="12" s="1"/>
  <c r="K2136" i="12" s="1"/>
  <c r="K2137" i="12" s="1"/>
  <c r="K2138" i="12" s="1"/>
  <c r="K2139" i="12" s="1"/>
  <c r="K2140" i="12" s="1"/>
  <c r="K2141" i="12" s="1"/>
  <c r="K2142" i="12" s="1"/>
  <c r="K2143" i="12" s="1"/>
  <c r="K2144" i="12" s="1"/>
  <c r="K2145" i="12" s="1"/>
  <c r="K2146" i="12" s="1"/>
  <c r="K2147" i="12" s="1"/>
  <c r="K2148" i="12" s="1"/>
  <c r="K2149" i="12" s="1"/>
  <c r="K2150" i="12" s="1"/>
  <c r="K2151" i="12" s="1"/>
  <c r="K2152" i="12" s="1"/>
  <c r="K2153" i="12" s="1"/>
  <c r="K2154" i="12" s="1"/>
  <c r="K2155" i="12" s="1"/>
  <c r="K2156" i="12" s="1"/>
  <c r="K2157" i="12" s="1"/>
  <c r="K2158" i="12" s="1"/>
  <c r="K2159" i="12" s="1"/>
  <c r="K2160" i="12" s="1"/>
  <c r="K2161" i="12" s="1"/>
  <c r="K2162" i="12" s="1"/>
  <c r="K2163" i="12" s="1"/>
  <c r="K2164" i="12" s="1"/>
  <c r="K2165" i="12" s="1"/>
  <c r="K2166" i="12" s="1"/>
  <c r="K2167" i="12" s="1"/>
  <c r="K2168" i="12" s="1"/>
  <c r="K2169" i="12" s="1"/>
  <c r="K2170" i="12" s="1"/>
  <c r="K2171" i="12" s="1"/>
  <c r="K2172" i="12" s="1"/>
  <c r="K2173" i="12" s="1"/>
  <c r="K2174" i="12" s="1"/>
  <c r="K2175" i="12" s="1"/>
  <c r="K2176" i="12" s="1"/>
  <c r="K2177" i="12" s="1"/>
  <c r="K2178" i="12" s="1"/>
  <c r="K2179" i="12" s="1"/>
  <c r="K2180" i="12" s="1"/>
  <c r="K2181" i="12" s="1"/>
  <c r="K2182" i="12" s="1"/>
  <c r="K2183" i="12" s="1"/>
  <c r="K2184" i="12" s="1"/>
  <c r="K2185" i="12" s="1"/>
  <c r="K2186" i="12" s="1"/>
  <c r="K2187" i="12" s="1"/>
  <c r="K2188" i="12" s="1"/>
  <c r="K2189" i="12" s="1"/>
  <c r="K2190" i="12" s="1"/>
  <c r="K2191" i="12" s="1"/>
  <c r="K2192" i="12" s="1"/>
  <c r="K2193" i="12" s="1"/>
  <c r="K2194" i="12" s="1"/>
  <c r="K2195" i="12" s="1"/>
  <c r="K2196" i="12" s="1"/>
  <c r="K2197" i="12" s="1"/>
  <c r="K2198" i="12" s="1"/>
  <c r="K2199" i="12" s="1"/>
  <c r="K2200" i="12" s="1"/>
  <c r="I1805" i="12"/>
  <c r="I1933" i="12"/>
  <c r="K1706" i="12"/>
  <c r="K1707" i="12" s="1"/>
  <c r="K1708" i="12" s="1"/>
  <c r="K1709" i="12" s="1"/>
  <c r="K1710" i="12" s="1"/>
  <c r="K1711" i="12" s="1"/>
  <c r="K1712" i="12" s="1"/>
  <c r="K1713" i="12" s="1"/>
  <c r="K1714" i="12" s="1"/>
  <c r="K1715" i="12" s="1"/>
  <c r="K1716" i="12" s="1"/>
  <c r="K1717" i="12" s="1"/>
  <c r="K1718" i="12" s="1"/>
  <c r="K1719" i="12" s="1"/>
  <c r="K1720" i="12" s="1"/>
  <c r="K1721" i="12" s="1"/>
  <c r="K1722" i="12" s="1"/>
  <c r="K1723" i="12" s="1"/>
  <c r="K1724" i="12" s="1"/>
  <c r="K1725" i="12" s="1"/>
  <c r="K1726" i="12" s="1"/>
  <c r="K1727" i="12" s="1"/>
  <c r="K1728" i="12" s="1"/>
  <c r="K1729" i="12" s="1"/>
  <c r="K1730" i="12" s="1"/>
  <c r="K1731" i="12" s="1"/>
  <c r="K1732" i="12" s="1"/>
  <c r="K1733" i="12" s="1"/>
  <c r="K1734" i="12" s="1"/>
  <c r="K1735" i="12" s="1"/>
  <c r="K1736" i="12" s="1"/>
  <c r="K1737" i="12" s="1"/>
  <c r="K1738" i="12" s="1"/>
  <c r="K1739" i="12" s="1"/>
  <c r="K1740" i="12" s="1"/>
  <c r="K1741" i="12" s="1"/>
  <c r="K1742" i="12" s="1"/>
  <c r="K1743" i="12" s="1"/>
  <c r="K1744" i="12" s="1"/>
  <c r="K1745" i="12" s="1"/>
  <c r="K1746" i="12" s="1"/>
  <c r="K1747" i="12" s="1"/>
  <c r="K1748" i="12" s="1"/>
  <c r="K1749" i="12" s="1"/>
  <c r="K1750" i="12" s="1"/>
  <c r="K1751" i="12" s="1"/>
  <c r="K1752" i="12" s="1"/>
  <c r="K1753" i="12" s="1"/>
  <c r="K1754" i="12" s="1"/>
  <c r="K1755" i="12" s="1"/>
  <c r="K1756" i="12" s="1"/>
  <c r="K1757" i="12" s="1"/>
  <c r="K1758" i="12" s="1"/>
  <c r="K1759" i="12" s="1"/>
  <c r="K1760" i="12" s="1"/>
  <c r="K1761" i="12" s="1"/>
  <c r="K1762" i="12" s="1"/>
  <c r="K1763" i="12" s="1"/>
  <c r="K1764" i="12" s="1"/>
  <c r="K1765" i="12" s="1"/>
  <c r="K1766" i="12" s="1"/>
  <c r="K1767" i="12" s="1"/>
  <c r="K1768" i="12" s="1"/>
  <c r="K1769" i="12" s="1"/>
  <c r="K1770" i="12" s="1"/>
  <c r="K1771" i="12" s="1"/>
  <c r="K1772" i="12" s="1"/>
  <c r="K1773" i="12" s="1"/>
  <c r="K1774" i="12" s="1"/>
  <c r="K1775" i="12" s="1"/>
  <c r="K1776" i="12" s="1"/>
  <c r="K1777" i="12" s="1"/>
  <c r="K1778" i="12" s="1"/>
  <c r="K1779" i="12" s="1"/>
  <c r="K1780" i="12" s="1"/>
  <c r="K1781" i="12" s="1"/>
  <c r="K1782" i="12" s="1"/>
  <c r="K1783" i="12" s="1"/>
  <c r="K1784" i="12" s="1"/>
  <c r="K1785" i="12" s="1"/>
  <c r="K1786" i="12" s="1"/>
  <c r="K1787" i="12" s="1"/>
  <c r="K1788" i="12" s="1"/>
  <c r="K1789" i="12" s="1"/>
  <c r="K1790" i="12" s="1"/>
  <c r="K1791" i="12" s="1"/>
  <c r="K1792" i="12" s="1"/>
  <c r="K1793" i="12" s="1"/>
  <c r="K1794" i="12" s="1"/>
  <c r="K1795" i="12" s="1"/>
  <c r="K1796" i="12" s="1"/>
  <c r="K1797" i="12" s="1"/>
  <c r="K1798" i="12" s="1"/>
  <c r="K1799" i="12" s="1"/>
  <c r="K1800" i="12" s="1"/>
  <c r="K1801" i="12" s="1"/>
  <c r="K1802" i="12" s="1"/>
  <c r="K1803" i="12" s="1"/>
  <c r="K1804" i="12" s="1"/>
  <c r="I3" i="12"/>
  <c r="H1700" i="12"/>
  <c r="I1892" i="12"/>
  <c r="H1809" i="12"/>
  <c r="I1905" i="12"/>
  <c r="H1937" i="12"/>
  <c r="K1806" i="12"/>
  <c r="K1807" i="12" s="1"/>
  <c r="K1808" i="12" s="1"/>
  <c r="K1809" i="12" s="1"/>
  <c r="K1810" i="12" s="1"/>
  <c r="K1811" i="12" s="1"/>
  <c r="K1812" i="12" s="1"/>
  <c r="K1813" i="12" s="1"/>
  <c r="K1814" i="12" s="1"/>
  <c r="K1815" i="12" s="1"/>
  <c r="K1816" i="12" s="1"/>
  <c r="K1817" i="12" s="1"/>
  <c r="K1818" i="12" s="1"/>
  <c r="K1819" i="12" s="1"/>
  <c r="K1820" i="12" s="1"/>
  <c r="K1821" i="12" s="1"/>
  <c r="K1822" i="12" s="1"/>
  <c r="K1823" i="12" s="1"/>
  <c r="K1824" i="12" s="1"/>
  <c r="K1825" i="12" s="1"/>
  <c r="K1826" i="12" s="1"/>
  <c r="K1827" i="12" s="1"/>
  <c r="K1828" i="12" s="1"/>
  <c r="K1829" i="12" s="1"/>
  <c r="K1830" i="12" s="1"/>
  <c r="K1831" i="12" s="1"/>
  <c r="K1832" i="12" s="1"/>
  <c r="K1833" i="12" s="1"/>
  <c r="K1834" i="12" s="1"/>
  <c r="K1835" i="12" s="1"/>
  <c r="K1836" i="12" s="1"/>
  <c r="K1837" i="12" s="1"/>
  <c r="K1838" i="12" s="1"/>
  <c r="K1839" i="12" s="1"/>
  <c r="K1840" i="12" s="1"/>
  <c r="K1841" i="12" s="1"/>
  <c r="K1842" i="12" s="1"/>
  <c r="K1843" i="12" s="1"/>
  <c r="K1844" i="12" s="1"/>
  <c r="K1845" i="12" s="1"/>
  <c r="K1846" i="12" s="1"/>
  <c r="K1847" i="12" s="1"/>
  <c r="K1848" i="12" s="1"/>
  <c r="K1849" i="12" s="1"/>
  <c r="K1850" i="12" s="1"/>
  <c r="K1851" i="12" s="1"/>
  <c r="K1852" i="12" s="1"/>
  <c r="K1853" i="12" s="1"/>
  <c r="K1854" i="12" s="1"/>
  <c r="K1855" i="12" s="1"/>
  <c r="K1856" i="12" s="1"/>
  <c r="K1857" i="12" s="1"/>
  <c r="K1858" i="12" s="1"/>
  <c r="K1859" i="12" s="1"/>
  <c r="K1860" i="12" s="1"/>
  <c r="K1861" i="12" s="1"/>
  <c r="K1862" i="12" s="1"/>
  <c r="K1863" i="12" s="1"/>
  <c r="K1864" i="12" s="1"/>
  <c r="K1865" i="12" s="1"/>
  <c r="K1866" i="12" s="1"/>
  <c r="K1867" i="12" s="1"/>
  <c r="K1868" i="12" s="1"/>
  <c r="K1869" i="12" s="1"/>
  <c r="K1870" i="12" s="1"/>
  <c r="K1871" i="12" s="1"/>
  <c r="K1872" i="12" s="1"/>
  <c r="K1873" i="12" s="1"/>
  <c r="K1874" i="12" s="1"/>
  <c r="K1875" i="12" s="1"/>
  <c r="K1876" i="12" s="1"/>
  <c r="K1877" i="12" s="1"/>
  <c r="K1878" i="12" s="1"/>
  <c r="K1879" i="12" s="1"/>
  <c r="K1880" i="12" s="1"/>
  <c r="K1881" i="12" s="1"/>
  <c r="K1882" i="12" s="1"/>
  <c r="K1883" i="12" s="1"/>
  <c r="K1884" i="12" s="1"/>
  <c r="K1885" i="12" s="1"/>
  <c r="K1886" i="12" s="1"/>
  <c r="K1887" i="12" s="1"/>
  <c r="K1888" i="12" s="1"/>
  <c r="K1889" i="12" s="1"/>
  <c r="K1890" i="12" s="1"/>
  <c r="K1891" i="12" s="1"/>
  <c r="K1934" i="12"/>
  <c r="H1810" i="12"/>
  <c r="H1811" i="12" s="1"/>
  <c r="K4" i="12"/>
  <c r="K5" i="12" s="1"/>
  <c r="I1934" i="12"/>
  <c r="J1934" i="12" s="1"/>
  <c r="K1935" i="12"/>
  <c r="K1936" i="12" s="1"/>
  <c r="K1937" i="12" s="1"/>
  <c r="K1938" i="12" s="1"/>
  <c r="K1939" i="12" s="1"/>
  <c r="K1701" i="12"/>
  <c r="K1702" i="12" s="1"/>
  <c r="K1703" i="12" s="1"/>
  <c r="K1704" i="12" s="1"/>
  <c r="K1705" i="12" s="1"/>
  <c r="K1893" i="12"/>
  <c r="K1894" i="12" s="1"/>
  <c r="K1895" i="12" s="1"/>
  <c r="K1896" i="12" s="1"/>
  <c r="K1897" i="12" s="1"/>
  <c r="K1898" i="12" s="1"/>
  <c r="K1899" i="12" s="1"/>
  <c r="K1900" i="12" s="1"/>
  <c r="K1901" i="12" s="1"/>
  <c r="K1902" i="12" s="1"/>
  <c r="K1903" i="12" s="1"/>
  <c r="K1904" i="12" s="1"/>
  <c r="H1909" i="12"/>
  <c r="K1906" i="12"/>
  <c r="K1907" i="12" s="1"/>
  <c r="K1908" i="12" s="1"/>
  <c r="K1909" i="12" s="1"/>
  <c r="K1910" i="12" s="1"/>
  <c r="K1911" i="12" s="1"/>
  <c r="K1912" i="12" s="1"/>
  <c r="K1913" i="12" s="1"/>
  <c r="K1914" i="12" s="1"/>
  <c r="K1915" i="12" s="1"/>
  <c r="K1916" i="12" s="1"/>
  <c r="K1917" i="12" s="1"/>
  <c r="K1918" i="12" s="1"/>
  <c r="K1919" i="12" s="1"/>
  <c r="K1920" i="12" s="1"/>
  <c r="K1921" i="12" s="1"/>
  <c r="K1922" i="12" s="1"/>
  <c r="K1923" i="12" s="1"/>
  <c r="K1924" i="12" s="1"/>
  <c r="K1925" i="12" s="1"/>
  <c r="K1926" i="12" s="1"/>
  <c r="K1927" i="12" s="1"/>
  <c r="K1928" i="12" s="1"/>
  <c r="K1929" i="12" s="1"/>
  <c r="K1930" i="12" s="1"/>
  <c r="K1931" i="12" s="1"/>
  <c r="K1932" i="12" s="1"/>
  <c r="K6" i="12" l="1"/>
  <c r="K7" i="12" s="1"/>
  <c r="K8" i="12" s="1"/>
  <c r="K9" i="12" s="1"/>
  <c r="K10" i="12" s="1"/>
  <c r="K11" i="12" s="1"/>
  <c r="K12" i="12" s="1"/>
  <c r="K13" i="12" s="1"/>
  <c r="K14" i="12" s="1"/>
  <c r="K15" i="12" s="1"/>
  <c r="K16" i="12" s="1"/>
  <c r="K17" i="12" s="1"/>
  <c r="K18" i="12" s="1"/>
  <c r="K19" i="12" s="1"/>
  <c r="K20" i="12" s="1"/>
  <c r="K21" i="12" s="1"/>
  <c r="K22" i="12" s="1"/>
  <c r="K23" i="12" s="1"/>
  <c r="K24" i="12" s="1"/>
  <c r="K25" i="12" s="1"/>
  <c r="K26" i="12" s="1"/>
  <c r="K27" i="12" s="1"/>
  <c r="K28" i="12" s="1"/>
  <c r="K29" i="12" s="1"/>
  <c r="K30" i="12" s="1"/>
  <c r="K31" i="12" s="1"/>
  <c r="K32" i="12" s="1"/>
  <c r="K33" i="12" s="1"/>
  <c r="K34" i="12" s="1"/>
  <c r="K35" i="12" s="1"/>
  <c r="K36" i="12" s="1"/>
  <c r="K37" i="12" s="1"/>
  <c r="K38" i="12" s="1"/>
  <c r="K39" i="12" s="1"/>
  <c r="K40" i="12" s="1"/>
  <c r="K41" i="12" s="1"/>
  <c r="K42" i="12" s="1"/>
  <c r="K43" i="12" s="1"/>
  <c r="K44" i="12" s="1"/>
  <c r="K45" i="12" s="1"/>
  <c r="K46" i="12" s="1"/>
  <c r="K47" i="12" s="1"/>
  <c r="K48" i="12" s="1"/>
  <c r="K49" i="12" s="1"/>
  <c r="K50" i="12" s="1"/>
  <c r="K51" i="12" s="1"/>
  <c r="K52" i="12" s="1"/>
  <c r="K53" i="12" s="1"/>
  <c r="K54" i="12" s="1"/>
  <c r="K55" i="12" s="1"/>
  <c r="K56" i="12" s="1"/>
  <c r="K57" i="12" s="1"/>
  <c r="K58" i="12" s="1"/>
  <c r="K59" i="12" s="1"/>
  <c r="K60" i="12" s="1"/>
  <c r="K61" i="12" s="1"/>
  <c r="K62" i="12" s="1"/>
  <c r="K63" i="12" s="1"/>
  <c r="K64" i="12" s="1"/>
  <c r="K65" i="12" s="1"/>
  <c r="K66" i="12" s="1"/>
  <c r="K67" i="12" s="1"/>
  <c r="K68" i="12" s="1"/>
  <c r="K69" i="12" s="1"/>
  <c r="K70" i="12" s="1"/>
  <c r="K71" i="12" s="1"/>
  <c r="K72" i="12" s="1"/>
  <c r="K73" i="12" s="1"/>
  <c r="K74" i="12" s="1"/>
  <c r="K75" i="12" s="1"/>
  <c r="K76" i="12" s="1"/>
  <c r="K77" i="12" s="1"/>
  <c r="K78" i="12" s="1"/>
  <c r="K79" i="12" s="1"/>
  <c r="K80" i="12" s="1"/>
  <c r="K81" i="12" s="1"/>
  <c r="K82" i="12" s="1"/>
  <c r="K83" i="12" s="1"/>
  <c r="K84" i="12" s="1"/>
  <c r="K85" i="12" s="1"/>
  <c r="K86" i="12" s="1"/>
  <c r="K87" i="12" s="1"/>
  <c r="K88" i="12" s="1"/>
  <c r="K89" i="12" s="1"/>
  <c r="K90" i="12" s="1"/>
  <c r="K91" i="12" s="1"/>
  <c r="K92" i="12" s="1"/>
  <c r="K93" i="12" s="1"/>
  <c r="K94" i="12" s="1"/>
  <c r="K95" i="12" s="1"/>
  <c r="K96" i="12" s="1"/>
  <c r="K97" i="12" s="1"/>
  <c r="K98" i="12" s="1"/>
  <c r="K99" i="12" s="1"/>
  <c r="K100" i="12" s="1"/>
  <c r="K101" i="12" s="1"/>
  <c r="K102" i="12" s="1"/>
  <c r="K103" i="12" s="1"/>
  <c r="K104" i="12" s="1"/>
  <c r="K105" i="12" s="1"/>
  <c r="K106" i="12" s="1"/>
  <c r="K107" i="12" s="1"/>
  <c r="K108" i="12" s="1"/>
  <c r="K109" i="12" s="1"/>
  <c r="K110" i="12" s="1"/>
  <c r="K111" i="12" s="1"/>
  <c r="K112" i="12" s="1"/>
  <c r="K113" i="12" s="1"/>
  <c r="K114" i="12" s="1"/>
  <c r="K115" i="12" s="1"/>
  <c r="K116" i="12" s="1"/>
  <c r="K117" i="12" s="1"/>
  <c r="K118" i="12" s="1"/>
  <c r="K119" i="12" s="1"/>
  <c r="K120" i="12" s="1"/>
  <c r="K121" i="12" s="1"/>
  <c r="K122" i="12" s="1"/>
  <c r="K123" i="12" s="1"/>
  <c r="K124" i="12" s="1"/>
  <c r="K125" i="12" s="1"/>
  <c r="K126" i="12" s="1"/>
  <c r="K127" i="12" s="1"/>
  <c r="K128" i="12" s="1"/>
  <c r="K129" i="12" s="1"/>
  <c r="K130" i="12" s="1"/>
  <c r="K131" i="12" s="1"/>
  <c r="K132" i="12" s="1"/>
  <c r="K133" i="12" s="1"/>
  <c r="K134" i="12" s="1"/>
  <c r="K135" i="12" s="1"/>
  <c r="K136" i="12" s="1"/>
  <c r="K137" i="12" s="1"/>
  <c r="K138" i="12" s="1"/>
  <c r="K139" i="12" s="1"/>
  <c r="K140" i="12" s="1"/>
  <c r="K141" i="12" s="1"/>
  <c r="K142" i="12" s="1"/>
  <c r="K143" i="12" s="1"/>
  <c r="K144" i="12" s="1"/>
  <c r="K145" i="12" s="1"/>
  <c r="K146" i="12" s="1"/>
  <c r="K147" i="12" s="1"/>
  <c r="K148" i="12" s="1"/>
  <c r="K149" i="12" s="1"/>
  <c r="K150" i="12" s="1"/>
  <c r="K151" i="12" s="1"/>
  <c r="K152" i="12" s="1"/>
  <c r="K153" i="12" s="1"/>
  <c r="K154" i="12" s="1"/>
  <c r="K155" i="12" s="1"/>
  <c r="K156" i="12" s="1"/>
  <c r="K157" i="12" s="1"/>
  <c r="K158" i="12" s="1"/>
  <c r="K159" i="12" s="1"/>
  <c r="K160" i="12" s="1"/>
  <c r="K161" i="12" s="1"/>
  <c r="K162" i="12" s="1"/>
  <c r="K163" i="12" s="1"/>
  <c r="K164" i="12" s="1"/>
  <c r="K165" i="12" s="1"/>
  <c r="K166" i="12" s="1"/>
  <c r="K167" i="12" s="1"/>
  <c r="K168" i="12" s="1"/>
  <c r="K169" i="12" s="1"/>
  <c r="K170" i="12" s="1"/>
  <c r="K171" i="12" s="1"/>
  <c r="K172" i="12" s="1"/>
  <c r="K173" i="12" s="1"/>
  <c r="K174" i="12" s="1"/>
  <c r="K175" i="12" s="1"/>
  <c r="K176" i="12" s="1"/>
  <c r="K177" i="12" s="1"/>
  <c r="K178" i="12" s="1"/>
  <c r="K179" i="12" s="1"/>
  <c r="K180" i="12" s="1"/>
  <c r="K181" i="12" s="1"/>
  <c r="K182" i="12" s="1"/>
  <c r="K183" i="12" s="1"/>
  <c r="K184" i="12" s="1"/>
  <c r="K185" i="12" s="1"/>
  <c r="K186" i="12" s="1"/>
  <c r="K187" i="12" s="1"/>
  <c r="K188" i="12" s="1"/>
  <c r="K189" i="12" s="1"/>
  <c r="K190" i="12" s="1"/>
  <c r="K191" i="12" s="1"/>
  <c r="K192" i="12" s="1"/>
  <c r="K193" i="12" s="1"/>
  <c r="K194" i="12" s="1"/>
  <c r="K195" i="12" s="1"/>
  <c r="K196" i="12" s="1"/>
  <c r="K197" i="12" s="1"/>
  <c r="K198" i="12" s="1"/>
  <c r="K199" i="12" s="1"/>
  <c r="K200" i="12" s="1"/>
  <c r="K201" i="12" s="1"/>
  <c r="K202" i="12" s="1"/>
  <c r="K203" i="12" s="1"/>
  <c r="K204" i="12" s="1"/>
  <c r="K205" i="12" s="1"/>
  <c r="K206" i="12" s="1"/>
  <c r="K207" i="12" s="1"/>
  <c r="K208" i="12" s="1"/>
  <c r="K209" i="12" s="1"/>
  <c r="K210" i="12" s="1"/>
  <c r="K211" i="12" s="1"/>
  <c r="K212" i="12" s="1"/>
  <c r="K213" i="12" s="1"/>
  <c r="K214" i="12" s="1"/>
  <c r="K215" i="12" s="1"/>
  <c r="K216" i="12" s="1"/>
  <c r="K217" i="12" s="1"/>
  <c r="K218" i="12" s="1"/>
  <c r="K219" i="12" s="1"/>
  <c r="K220" i="12" s="1"/>
  <c r="K221" i="12" s="1"/>
  <c r="K222" i="12" s="1"/>
  <c r="K223" i="12" s="1"/>
  <c r="K224" i="12" s="1"/>
  <c r="K225" i="12" s="1"/>
  <c r="K226" i="12" s="1"/>
  <c r="K227" i="12" s="1"/>
  <c r="K228" i="12" s="1"/>
  <c r="K229" i="12" s="1"/>
  <c r="K230" i="12" s="1"/>
  <c r="K231" i="12" s="1"/>
  <c r="K232" i="12" s="1"/>
  <c r="K233" i="12" s="1"/>
  <c r="K234" i="12" s="1"/>
  <c r="K235" i="12" s="1"/>
  <c r="K236" i="12" s="1"/>
  <c r="K237" i="12" s="1"/>
  <c r="K238" i="12" s="1"/>
  <c r="K239" i="12" s="1"/>
  <c r="K240" i="12" s="1"/>
  <c r="K241" i="12" s="1"/>
  <c r="K242" i="12" s="1"/>
  <c r="K243" i="12" s="1"/>
  <c r="K244" i="12" s="1"/>
  <c r="K245" i="12" s="1"/>
  <c r="K246" i="12" s="1"/>
  <c r="K247" i="12" s="1"/>
  <c r="K248" i="12" s="1"/>
  <c r="K249" i="12" s="1"/>
  <c r="K250" i="12" s="1"/>
  <c r="K251" i="12" s="1"/>
  <c r="K252" i="12" s="1"/>
  <c r="K253" i="12" s="1"/>
  <c r="K254" i="12" s="1"/>
  <c r="K255" i="12" s="1"/>
  <c r="K256" i="12" s="1"/>
  <c r="K257" i="12" s="1"/>
  <c r="K258" i="12" s="1"/>
  <c r="K259" i="12" s="1"/>
  <c r="K260" i="12" s="1"/>
  <c r="K261" i="12" s="1"/>
  <c r="K262" i="12" s="1"/>
  <c r="K263" i="12" s="1"/>
  <c r="K264" i="12" s="1"/>
  <c r="K265" i="12" s="1"/>
  <c r="K266" i="12" s="1"/>
  <c r="K267" i="12" s="1"/>
  <c r="K268" i="12" s="1"/>
  <c r="K269" i="12" s="1"/>
  <c r="K270" i="12" s="1"/>
  <c r="K271" i="12" s="1"/>
  <c r="K272" i="12" s="1"/>
  <c r="K273" i="12" s="1"/>
  <c r="K274" i="12" s="1"/>
  <c r="K275" i="12" s="1"/>
  <c r="K276" i="12" s="1"/>
  <c r="K277" i="12" s="1"/>
  <c r="K278" i="12" s="1"/>
  <c r="K279" i="12" s="1"/>
  <c r="K280" i="12" s="1"/>
  <c r="K281" i="12" s="1"/>
  <c r="K282" i="12" s="1"/>
  <c r="K283" i="12" s="1"/>
  <c r="K284" i="12" s="1"/>
  <c r="K285" i="12" s="1"/>
  <c r="K286" i="12" s="1"/>
  <c r="K287" i="12" s="1"/>
  <c r="K288" i="12" s="1"/>
  <c r="K289" i="12" s="1"/>
  <c r="K290" i="12" s="1"/>
  <c r="K291" i="12" s="1"/>
  <c r="K292" i="12" s="1"/>
  <c r="K293" i="12" s="1"/>
  <c r="K294" i="12" s="1"/>
  <c r="K295" i="12" s="1"/>
  <c r="K296" i="12" s="1"/>
  <c r="K297" i="12" s="1"/>
  <c r="K298" i="12" s="1"/>
  <c r="K299" i="12" s="1"/>
  <c r="K300" i="12" s="1"/>
  <c r="K301" i="12" s="1"/>
  <c r="K302" i="12" s="1"/>
  <c r="K303" i="12" s="1"/>
  <c r="K304" i="12" s="1"/>
  <c r="K305" i="12" s="1"/>
  <c r="K306" i="12" s="1"/>
  <c r="K307" i="12" s="1"/>
  <c r="K308" i="12" s="1"/>
  <c r="K309" i="12" s="1"/>
  <c r="K310" i="12" s="1"/>
  <c r="K311" i="12" s="1"/>
  <c r="K312" i="12" s="1"/>
  <c r="K313" i="12" s="1"/>
  <c r="K314" i="12" s="1"/>
  <c r="K315" i="12" s="1"/>
  <c r="K316" i="12" s="1"/>
  <c r="K317" i="12" s="1"/>
  <c r="K318" i="12" s="1"/>
  <c r="K319" i="12" s="1"/>
  <c r="K320" i="12" s="1"/>
  <c r="K321" i="12" s="1"/>
  <c r="K322" i="12" s="1"/>
  <c r="K323" i="12" s="1"/>
  <c r="K324" i="12" s="1"/>
  <c r="K325" i="12" s="1"/>
  <c r="K326" i="12" s="1"/>
  <c r="K327" i="12" s="1"/>
  <c r="K328" i="12" s="1"/>
  <c r="K329" i="12" s="1"/>
  <c r="K330" i="12" s="1"/>
  <c r="K331" i="12" s="1"/>
  <c r="K332" i="12" s="1"/>
  <c r="K333" i="12" s="1"/>
  <c r="K334" i="12" s="1"/>
  <c r="K335" i="12" s="1"/>
  <c r="K336" i="12" s="1"/>
  <c r="K337" i="12" s="1"/>
  <c r="K338" i="12" s="1"/>
  <c r="K339" i="12" s="1"/>
  <c r="K340" i="12" s="1"/>
  <c r="K341" i="12" s="1"/>
  <c r="K342" i="12" s="1"/>
  <c r="K343" i="12" s="1"/>
  <c r="K344" i="12" s="1"/>
  <c r="K345" i="12" s="1"/>
  <c r="K346" i="12" s="1"/>
  <c r="K347" i="12" s="1"/>
  <c r="K348" i="12" s="1"/>
  <c r="K349" i="12" s="1"/>
  <c r="K350" i="12" s="1"/>
  <c r="K351" i="12" s="1"/>
  <c r="K352" i="12" s="1"/>
  <c r="K353" i="12" s="1"/>
  <c r="K354" i="12" s="1"/>
  <c r="K355" i="12" s="1"/>
  <c r="K356" i="12" s="1"/>
  <c r="K357" i="12" s="1"/>
  <c r="K358" i="12" s="1"/>
  <c r="K359" i="12" s="1"/>
  <c r="K360" i="12" s="1"/>
  <c r="K361" i="12" s="1"/>
  <c r="K362" i="12" s="1"/>
  <c r="K363" i="12" s="1"/>
  <c r="K364" i="12" s="1"/>
  <c r="K365" i="12" s="1"/>
  <c r="K366" i="12" s="1"/>
  <c r="K367" i="12" s="1"/>
  <c r="K368" i="12" s="1"/>
  <c r="K369" i="12" s="1"/>
  <c r="K370" i="12" s="1"/>
  <c r="K371" i="12" s="1"/>
  <c r="K372" i="12" s="1"/>
  <c r="K373" i="12" s="1"/>
  <c r="K374" i="12" s="1"/>
  <c r="K375" i="12" s="1"/>
  <c r="K376" i="12" s="1"/>
  <c r="K377" i="12" s="1"/>
  <c r="K378" i="12" s="1"/>
  <c r="K379" i="12" s="1"/>
  <c r="K380" i="12" s="1"/>
  <c r="K381" i="12" s="1"/>
  <c r="K382" i="12" s="1"/>
  <c r="K383" i="12" s="1"/>
  <c r="K384" i="12" s="1"/>
  <c r="K385" i="12" s="1"/>
  <c r="K386" i="12" s="1"/>
  <c r="K387" i="12" s="1"/>
  <c r="K388" i="12" s="1"/>
  <c r="K389" i="12" s="1"/>
  <c r="K390" i="12" s="1"/>
  <c r="K391" i="12" s="1"/>
  <c r="K392" i="12" s="1"/>
  <c r="K393" i="12" s="1"/>
  <c r="K394" i="12" s="1"/>
  <c r="K395" i="12" s="1"/>
  <c r="K396" i="12" s="1"/>
  <c r="K397" i="12" s="1"/>
  <c r="K398" i="12" s="1"/>
  <c r="K399" i="12" s="1"/>
  <c r="K400" i="12" s="1"/>
  <c r="K401" i="12" s="1"/>
  <c r="K402" i="12" s="1"/>
  <c r="K403" i="12" s="1"/>
  <c r="K404" i="12" s="1"/>
  <c r="K405" i="12" s="1"/>
  <c r="K406" i="12" s="1"/>
  <c r="K407" i="12" s="1"/>
  <c r="K408" i="12" s="1"/>
  <c r="K409" i="12" s="1"/>
  <c r="K410" i="12" s="1"/>
  <c r="K411" i="12" s="1"/>
  <c r="K412" i="12" s="1"/>
  <c r="K413" i="12" s="1"/>
  <c r="K414" i="12" s="1"/>
  <c r="K415" i="12" s="1"/>
  <c r="K416" i="12" s="1"/>
  <c r="K417" i="12" s="1"/>
  <c r="K418" i="12" s="1"/>
  <c r="K419" i="12" s="1"/>
  <c r="K420" i="12" s="1"/>
  <c r="K421" i="12" s="1"/>
  <c r="K422" i="12" s="1"/>
  <c r="K423" i="12" s="1"/>
  <c r="K424" i="12" s="1"/>
  <c r="K425" i="12" s="1"/>
  <c r="K426" i="12" s="1"/>
  <c r="K427" i="12" s="1"/>
  <c r="K428" i="12" s="1"/>
  <c r="K429" i="12" s="1"/>
  <c r="K430" i="12" s="1"/>
  <c r="K431" i="12" s="1"/>
  <c r="K432" i="12" s="1"/>
  <c r="K433" i="12" s="1"/>
  <c r="K434" i="12" s="1"/>
  <c r="K435" i="12" s="1"/>
  <c r="K436" i="12" s="1"/>
  <c r="K437" i="12" s="1"/>
  <c r="K438" i="12" s="1"/>
  <c r="K439" i="12" s="1"/>
  <c r="K440" i="12" s="1"/>
  <c r="K441" i="12" s="1"/>
  <c r="K442" i="12" s="1"/>
  <c r="K443" i="12" s="1"/>
  <c r="K444" i="12" s="1"/>
  <c r="K445" i="12" s="1"/>
  <c r="K446" i="12" s="1"/>
  <c r="K447" i="12" s="1"/>
  <c r="K448" i="12" s="1"/>
  <c r="K449" i="12" s="1"/>
  <c r="K450" i="12" s="1"/>
  <c r="K451" i="12" s="1"/>
  <c r="K452" i="12" s="1"/>
  <c r="K453" i="12" s="1"/>
  <c r="K454" i="12" s="1"/>
  <c r="K455" i="12" s="1"/>
  <c r="K456" i="12" s="1"/>
  <c r="K457" i="12" s="1"/>
  <c r="K458" i="12" s="1"/>
  <c r="K459" i="12" s="1"/>
  <c r="K460" i="12" s="1"/>
  <c r="K461" i="12" s="1"/>
  <c r="K462" i="12" s="1"/>
  <c r="K463" i="12" s="1"/>
  <c r="K464" i="12" s="1"/>
  <c r="K465" i="12" s="1"/>
  <c r="K466" i="12" s="1"/>
  <c r="K467" i="12" s="1"/>
  <c r="K468" i="12" s="1"/>
  <c r="K469" i="12" s="1"/>
  <c r="K470" i="12" s="1"/>
  <c r="K471" i="12" s="1"/>
  <c r="K472" i="12" s="1"/>
  <c r="K473" i="12" s="1"/>
  <c r="K474" i="12" s="1"/>
  <c r="K475" i="12" s="1"/>
  <c r="K476" i="12" s="1"/>
  <c r="K477" i="12" s="1"/>
  <c r="K478" i="12" s="1"/>
  <c r="K479" i="12" s="1"/>
  <c r="K480" i="12" s="1"/>
  <c r="K481" i="12" s="1"/>
  <c r="K482" i="12" s="1"/>
  <c r="K483" i="12" s="1"/>
  <c r="K484" i="12" s="1"/>
  <c r="K485" i="12" s="1"/>
  <c r="K486" i="12" s="1"/>
  <c r="K487" i="12" s="1"/>
  <c r="K488" i="12" s="1"/>
  <c r="K489" i="12" s="1"/>
  <c r="K490" i="12" s="1"/>
  <c r="K491" i="12" s="1"/>
  <c r="K492" i="12" s="1"/>
  <c r="K493" i="12" s="1"/>
  <c r="K494" i="12" s="1"/>
  <c r="K495" i="12" s="1"/>
  <c r="K496" i="12" s="1"/>
  <c r="K497" i="12" s="1"/>
  <c r="K498" i="12" s="1"/>
  <c r="K499" i="12" s="1"/>
  <c r="K500" i="12" s="1"/>
  <c r="K501" i="12" s="1"/>
  <c r="K502" i="12" s="1"/>
  <c r="K503" i="12" s="1"/>
  <c r="K504" i="12" s="1"/>
  <c r="K505" i="12" s="1"/>
  <c r="K506" i="12" s="1"/>
  <c r="K507" i="12" s="1"/>
  <c r="K508" i="12" s="1"/>
  <c r="K509" i="12" s="1"/>
  <c r="K510" i="12" s="1"/>
  <c r="K511" i="12" s="1"/>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610" i="12" s="1"/>
  <c r="K611" i="12" s="1"/>
  <c r="K612" i="12" s="1"/>
  <c r="K613" i="12" s="1"/>
  <c r="K614" i="12" s="1"/>
  <c r="K615" i="12" s="1"/>
  <c r="K616" i="12" s="1"/>
  <c r="K617" i="12" s="1"/>
  <c r="K618" i="12" s="1"/>
  <c r="K619" i="12" s="1"/>
  <c r="K620" i="12" s="1"/>
  <c r="K621" i="12" s="1"/>
  <c r="K622" i="12" s="1"/>
  <c r="K623" i="12" s="1"/>
  <c r="K624" i="12" s="1"/>
  <c r="K625" i="12" s="1"/>
  <c r="K626" i="12" s="1"/>
  <c r="K627" i="12" s="1"/>
  <c r="K628" i="12" s="1"/>
  <c r="K629" i="12" s="1"/>
  <c r="K630" i="12" s="1"/>
  <c r="K631" i="12" s="1"/>
  <c r="K632" i="12" s="1"/>
  <c r="K633" i="12" s="1"/>
  <c r="K634" i="12" s="1"/>
  <c r="K635" i="12" s="1"/>
  <c r="K636" i="12" s="1"/>
  <c r="K637" i="12" s="1"/>
  <c r="K638" i="12" s="1"/>
  <c r="K639" i="12" s="1"/>
  <c r="K640" i="12" s="1"/>
  <c r="K641" i="12" s="1"/>
  <c r="K642" i="12" s="1"/>
  <c r="K643" i="12" s="1"/>
  <c r="K644" i="12" s="1"/>
  <c r="K645" i="12" s="1"/>
  <c r="K646" i="12" s="1"/>
  <c r="K647" i="12" s="1"/>
  <c r="K648" i="12" s="1"/>
  <c r="K649" i="12" s="1"/>
  <c r="K650" i="12" s="1"/>
  <c r="K651" i="12" s="1"/>
  <c r="K652" i="12" s="1"/>
  <c r="K653" i="12" s="1"/>
  <c r="K654" i="12" s="1"/>
  <c r="K655" i="12" s="1"/>
  <c r="K656" i="12" s="1"/>
  <c r="K657" i="12" s="1"/>
  <c r="K658" i="12" s="1"/>
  <c r="K659" i="12" s="1"/>
  <c r="K660" i="12" s="1"/>
  <c r="K661" i="12" s="1"/>
  <c r="K662" i="12" s="1"/>
  <c r="K663" i="12" s="1"/>
  <c r="K664" i="12" s="1"/>
  <c r="K665" i="12" s="1"/>
  <c r="K666" i="12" s="1"/>
  <c r="K667" i="12" s="1"/>
  <c r="K668" i="12" s="1"/>
  <c r="K669" i="12" s="1"/>
  <c r="K670" i="12" s="1"/>
  <c r="K671" i="12" s="1"/>
  <c r="K672" i="12" s="1"/>
  <c r="K673" i="12" s="1"/>
  <c r="K674" i="12" s="1"/>
  <c r="K675" i="12" s="1"/>
  <c r="K676" i="12" s="1"/>
  <c r="K677" i="12" s="1"/>
  <c r="K678" i="12" s="1"/>
  <c r="K679" i="12" s="1"/>
  <c r="K680" i="12" s="1"/>
  <c r="K681" i="12" s="1"/>
  <c r="K682" i="12" s="1"/>
  <c r="K683" i="12" s="1"/>
  <c r="K684" i="12" s="1"/>
  <c r="K685" i="12" s="1"/>
  <c r="K686" i="12" s="1"/>
  <c r="K687" i="12" s="1"/>
  <c r="K688" i="12" s="1"/>
  <c r="K689" i="12" s="1"/>
  <c r="K690" i="12" s="1"/>
  <c r="K691" i="12" s="1"/>
  <c r="K692" i="12" s="1"/>
  <c r="K693" i="12" s="1"/>
  <c r="K694" i="12" s="1"/>
  <c r="K695" i="12" s="1"/>
  <c r="K696" i="12" s="1"/>
  <c r="K697" i="12" s="1"/>
  <c r="K698" i="12" s="1"/>
  <c r="K699" i="12" s="1"/>
  <c r="K700" i="12" s="1"/>
  <c r="K701" i="12" s="1"/>
  <c r="K702" i="12" s="1"/>
  <c r="K703" i="12" s="1"/>
  <c r="K704" i="12" s="1"/>
  <c r="K705" i="12" s="1"/>
  <c r="K706" i="12" s="1"/>
  <c r="K707" i="12" s="1"/>
  <c r="K708" i="12" s="1"/>
  <c r="K709" i="12" s="1"/>
  <c r="K710" i="12" s="1"/>
  <c r="K711" i="12" s="1"/>
  <c r="K712" i="12" s="1"/>
  <c r="K713" i="12" s="1"/>
  <c r="K714" i="12" s="1"/>
  <c r="K715" i="12" s="1"/>
  <c r="K716" i="12" s="1"/>
  <c r="K717" i="12" s="1"/>
  <c r="K718" i="12" s="1"/>
  <c r="K719" i="12" s="1"/>
  <c r="K720" i="12" s="1"/>
  <c r="K721" i="12" s="1"/>
  <c r="K722" i="12" s="1"/>
  <c r="K723" i="12" s="1"/>
  <c r="K724" i="12" s="1"/>
  <c r="K725" i="12" s="1"/>
  <c r="K726" i="12" s="1"/>
  <c r="K727" i="12" s="1"/>
  <c r="K728" i="12" s="1"/>
  <c r="K729" i="12" s="1"/>
  <c r="K730" i="12" s="1"/>
  <c r="K731" i="12" s="1"/>
  <c r="K732" i="12" s="1"/>
  <c r="K733" i="12" s="1"/>
  <c r="K734" i="12" s="1"/>
  <c r="K735" i="12" s="1"/>
  <c r="K736" i="12" s="1"/>
  <c r="K737" i="12" s="1"/>
  <c r="K738" i="12" s="1"/>
  <c r="K739" i="12" s="1"/>
  <c r="K740" i="12" s="1"/>
  <c r="K741" i="12" s="1"/>
  <c r="K742" i="12" s="1"/>
  <c r="K743" i="12" s="1"/>
  <c r="K744" i="12" s="1"/>
  <c r="K745" i="12" s="1"/>
  <c r="K746" i="12" s="1"/>
  <c r="K747" i="12" s="1"/>
  <c r="K748" i="12" s="1"/>
  <c r="K749" i="12" s="1"/>
  <c r="K750" i="12" s="1"/>
  <c r="K751" i="12" s="1"/>
  <c r="K752" i="12" s="1"/>
  <c r="K753" i="12" s="1"/>
  <c r="K754" i="12" s="1"/>
  <c r="K755" i="12" s="1"/>
  <c r="K756" i="12" s="1"/>
  <c r="K757" i="12" s="1"/>
  <c r="K758" i="12" s="1"/>
  <c r="K759" i="12" s="1"/>
  <c r="K760" i="12" s="1"/>
  <c r="K761" i="12" s="1"/>
  <c r="K762" i="12" s="1"/>
  <c r="K763" i="12" s="1"/>
  <c r="K764" i="12" s="1"/>
  <c r="K765" i="12" s="1"/>
  <c r="K766" i="12" s="1"/>
  <c r="K767" i="12" s="1"/>
  <c r="K768" i="12" s="1"/>
  <c r="K769" i="12" s="1"/>
  <c r="K770" i="12" s="1"/>
  <c r="K771" i="12" s="1"/>
  <c r="K772" i="12" s="1"/>
  <c r="K773" i="12" s="1"/>
  <c r="K774" i="12" s="1"/>
  <c r="K775" i="12" s="1"/>
  <c r="K776" i="12" s="1"/>
  <c r="K777" i="12" s="1"/>
  <c r="K778" i="12" s="1"/>
  <c r="K779" i="12" s="1"/>
  <c r="K780" i="12" s="1"/>
  <c r="K781" i="12" s="1"/>
  <c r="K782" i="12" s="1"/>
  <c r="K783" i="12" s="1"/>
  <c r="K784" i="12" s="1"/>
  <c r="K785" i="12" s="1"/>
  <c r="K786" i="12" s="1"/>
  <c r="K787" i="12" s="1"/>
  <c r="K788" i="12" s="1"/>
  <c r="K789" i="12" s="1"/>
  <c r="K790" i="12" s="1"/>
  <c r="K791" i="12" s="1"/>
  <c r="K792" i="12" s="1"/>
  <c r="K793" i="12" s="1"/>
  <c r="K794" i="12" s="1"/>
  <c r="K795" i="12" s="1"/>
  <c r="K796" i="12" s="1"/>
  <c r="K797" i="12" s="1"/>
  <c r="K798" i="12" s="1"/>
  <c r="K799" i="12" s="1"/>
  <c r="K800" i="12" s="1"/>
  <c r="K801" i="12" s="1"/>
  <c r="K802" i="12" s="1"/>
  <c r="K803" i="12" s="1"/>
  <c r="K804" i="12" s="1"/>
  <c r="K805" i="12" s="1"/>
  <c r="K806" i="12" s="1"/>
  <c r="K807" i="12" s="1"/>
  <c r="K808" i="12" s="1"/>
  <c r="K809" i="12" s="1"/>
  <c r="K810" i="12" s="1"/>
  <c r="K811" i="12" s="1"/>
  <c r="K812" i="12" s="1"/>
  <c r="K813" i="12" s="1"/>
  <c r="K814" i="12" s="1"/>
  <c r="K815" i="12" s="1"/>
  <c r="K816" i="12" s="1"/>
  <c r="K817" i="12" s="1"/>
  <c r="K818" i="12" s="1"/>
  <c r="K819" i="12" s="1"/>
  <c r="K820" i="12" s="1"/>
  <c r="K821" i="12" s="1"/>
  <c r="K822" i="12" s="1"/>
  <c r="K823" i="12" s="1"/>
  <c r="K824" i="12" s="1"/>
  <c r="K825" i="12" s="1"/>
  <c r="K826" i="12" s="1"/>
  <c r="K827" i="12" s="1"/>
  <c r="K828" i="12" s="1"/>
  <c r="K829" i="12" s="1"/>
  <c r="K830" i="12" s="1"/>
  <c r="K831" i="12" s="1"/>
  <c r="K832" i="12" s="1"/>
  <c r="K833" i="12" s="1"/>
  <c r="K834" i="12" s="1"/>
  <c r="K835" i="12" s="1"/>
  <c r="K836" i="12" s="1"/>
  <c r="K837" i="12" s="1"/>
  <c r="K838" i="12" s="1"/>
  <c r="K839" i="12" s="1"/>
  <c r="K840" i="12" s="1"/>
  <c r="K841" i="12" s="1"/>
  <c r="K842" i="12" s="1"/>
  <c r="K843" i="12" s="1"/>
  <c r="K844" i="12" s="1"/>
  <c r="K845" i="12" s="1"/>
  <c r="K846" i="12" s="1"/>
  <c r="K847" i="12" s="1"/>
  <c r="K848" i="12" s="1"/>
  <c r="K849" i="12" s="1"/>
  <c r="K850" i="12" s="1"/>
  <c r="K851" i="12" s="1"/>
  <c r="K852" i="12" s="1"/>
  <c r="K853" i="12" s="1"/>
  <c r="K854" i="12" s="1"/>
  <c r="K855" i="12" s="1"/>
  <c r="K856" i="12" s="1"/>
  <c r="K857" i="12" s="1"/>
  <c r="K858" i="12" s="1"/>
  <c r="K859" i="12" s="1"/>
  <c r="K860" i="12" s="1"/>
  <c r="K861" i="12" s="1"/>
  <c r="K862" i="12" s="1"/>
  <c r="K863" i="12" s="1"/>
  <c r="K864" i="12" s="1"/>
  <c r="K865" i="12" s="1"/>
  <c r="K866" i="12" s="1"/>
  <c r="K867" i="12" s="1"/>
  <c r="K868" i="12" s="1"/>
  <c r="K869" i="12" s="1"/>
  <c r="K870" i="12" s="1"/>
  <c r="K871" i="12" s="1"/>
  <c r="K872" i="12" s="1"/>
  <c r="K873" i="12" s="1"/>
  <c r="K874" i="12" s="1"/>
  <c r="K875" i="12" s="1"/>
  <c r="K876" i="12" s="1"/>
  <c r="K877" i="12" s="1"/>
  <c r="K878" i="12" s="1"/>
  <c r="K879" i="12" s="1"/>
  <c r="K880" i="12" s="1"/>
  <c r="K881" i="12" s="1"/>
  <c r="K882" i="12" s="1"/>
  <c r="K883" i="12" s="1"/>
  <c r="K884" i="12" s="1"/>
  <c r="K885" i="12" s="1"/>
  <c r="K886" i="12" s="1"/>
  <c r="K887" i="12" s="1"/>
  <c r="K888" i="12" s="1"/>
  <c r="K889" i="12" s="1"/>
  <c r="K890" i="12" s="1"/>
  <c r="K891" i="12" s="1"/>
  <c r="K892" i="12" s="1"/>
  <c r="K893" i="12" s="1"/>
  <c r="K894" i="12" s="1"/>
  <c r="K895" i="12" s="1"/>
  <c r="K896" i="12" s="1"/>
  <c r="K897" i="12" s="1"/>
  <c r="K898" i="12" s="1"/>
  <c r="K899" i="12" s="1"/>
  <c r="K900" i="12" s="1"/>
  <c r="K901" i="12" s="1"/>
  <c r="K902" i="12" s="1"/>
  <c r="K903" i="12" s="1"/>
  <c r="K904" i="12" s="1"/>
  <c r="K905" i="12" s="1"/>
  <c r="K906" i="12" s="1"/>
  <c r="K907" i="12" s="1"/>
  <c r="K908" i="12" s="1"/>
  <c r="K909" i="12" s="1"/>
  <c r="K910" i="12" s="1"/>
  <c r="K911" i="12" s="1"/>
  <c r="K912" i="12" s="1"/>
  <c r="K913" i="12" s="1"/>
  <c r="K914" i="12" s="1"/>
  <c r="K915" i="12" s="1"/>
  <c r="K916" i="12" s="1"/>
  <c r="K917" i="12" s="1"/>
  <c r="K918" i="12" s="1"/>
  <c r="K919" i="12" s="1"/>
  <c r="K920" i="12" s="1"/>
  <c r="K921" i="12" s="1"/>
  <c r="K922" i="12" s="1"/>
  <c r="K923" i="12" s="1"/>
  <c r="K924" i="12" s="1"/>
  <c r="K925" i="12" s="1"/>
  <c r="K926" i="12" s="1"/>
  <c r="K927" i="12" s="1"/>
  <c r="K928" i="12" s="1"/>
  <c r="K929" i="12" s="1"/>
  <c r="K930" i="12" s="1"/>
  <c r="K931" i="12" s="1"/>
  <c r="K932" i="12" s="1"/>
  <c r="K933" i="12" s="1"/>
  <c r="K934" i="12" s="1"/>
  <c r="K935" i="12" s="1"/>
  <c r="K936" i="12" s="1"/>
  <c r="K937" i="12" s="1"/>
  <c r="K938" i="12" s="1"/>
  <c r="K939" i="12" s="1"/>
  <c r="K940" i="12" s="1"/>
  <c r="K941" i="12" s="1"/>
  <c r="K942" i="12" s="1"/>
  <c r="K943" i="12" s="1"/>
  <c r="K944" i="12" s="1"/>
  <c r="K945" i="12" s="1"/>
  <c r="K946" i="12" s="1"/>
  <c r="K947" i="12" s="1"/>
  <c r="K948" i="12" s="1"/>
  <c r="K949" i="12" s="1"/>
  <c r="K950" i="12" s="1"/>
  <c r="K951" i="12" s="1"/>
  <c r="K952" i="12" s="1"/>
  <c r="K953" i="12" s="1"/>
  <c r="K954" i="12" s="1"/>
  <c r="K955" i="12" s="1"/>
  <c r="K956" i="12" s="1"/>
  <c r="K957" i="12" s="1"/>
  <c r="K958" i="12" s="1"/>
  <c r="K959" i="12" s="1"/>
  <c r="K960" i="12" s="1"/>
  <c r="K961" i="12" s="1"/>
  <c r="K962" i="12" s="1"/>
  <c r="K963" i="12" s="1"/>
  <c r="K964" i="12" s="1"/>
  <c r="K965" i="12" s="1"/>
  <c r="K966" i="12" s="1"/>
  <c r="K967" i="12" s="1"/>
  <c r="K968" i="12" s="1"/>
  <c r="K969" i="12" s="1"/>
  <c r="K970" i="12" s="1"/>
  <c r="K971" i="12" s="1"/>
  <c r="K972" i="12" s="1"/>
  <c r="K973" i="12" s="1"/>
  <c r="K974" i="12" s="1"/>
  <c r="K975" i="12" s="1"/>
  <c r="K976" i="12" s="1"/>
  <c r="K977" i="12" s="1"/>
  <c r="K978" i="12" s="1"/>
  <c r="K979" i="12" s="1"/>
  <c r="K980" i="12" s="1"/>
  <c r="K981" i="12" s="1"/>
  <c r="K982" i="12" s="1"/>
  <c r="K983" i="12" s="1"/>
  <c r="K984" i="12" s="1"/>
  <c r="K985" i="12" s="1"/>
  <c r="K986" i="12" s="1"/>
  <c r="K987" i="12" s="1"/>
  <c r="K988" i="12" s="1"/>
  <c r="K989" i="12" s="1"/>
  <c r="K990" i="12" s="1"/>
  <c r="K991" i="12" s="1"/>
  <c r="K992" i="12" s="1"/>
  <c r="K993" i="12" s="1"/>
  <c r="K994" i="12" s="1"/>
  <c r="K995" i="12" s="1"/>
  <c r="K996" i="12" s="1"/>
  <c r="K997" i="12" s="1"/>
  <c r="K998" i="12" s="1"/>
  <c r="K999" i="12" s="1"/>
  <c r="K1000" i="12" s="1"/>
  <c r="K1001" i="12" s="1"/>
  <c r="K1002" i="12" s="1"/>
  <c r="K1003" i="12" s="1"/>
  <c r="K1004" i="12" s="1"/>
  <c r="K1005" i="12" s="1"/>
  <c r="K1006" i="12" s="1"/>
  <c r="K1007" i="12" s="1"/>
  <c r="K1008" i="12" s="1"/>
  <c r="K1009" i="12" s="1"/>
  <c r="K1010" i="12" s="1"/>
  <c r="K1011" i="12" s="1"/>
  <c r="K1012" i="12" s="1"/>
  <c r="K1013" i="12" s="1"/>
  <c r="K1014" i="12" s="1"/>
  <c r="K1015" i="12" s="1"/>
  <c r="K1016" i="12" s="1"/>
  <c r="K1017" i="12" s="1"/>
  <c r="K1018" i="12" s="1"/>
  <c r="K1019" i="12" s="1"/>
  <c r="K1020" i="12" s="1"/>
  <c r="K1021" i="12" s="1"/>
  <c r="K1022" i="12" s="1"/>
  <c r="K1023" i="12" s="1"/>
  <c r="K1024" i="12" s="1"/>
  <c r="K1025" i="12" s="1"/>
  <c r="K1026" i="12" s="1"/>
  <c r="K1027" i="12" s="1"/>
  <c r="K1028" i="12" s="1"/>
  <c r="K1029" i="12" s="1"/>
  <c r="K1030" i="12" s="1"/>
  <c r="K1031" i="12" s="1"/>
  <c r="K1032" i="12" s="1"/>
  <c r="K1033" i="12" s="1"/>
  <c r="K1034" i="12" s="1"/>
  <c r="K1035" i="12" s="1"/>
  <c r="K1036" i="12" s="1"/>
  <c r="K1037" i="12" s="1"/>
  <c r="K1038" i="12" s="1"/>
  <c r="K1039" i="12" s="1"/>
  <c r="K1040" i="12" s="1"/>
  <c r="K1041" i="12" s="1"/>
  <c r="K1042" i="12" s="1"/>
  <c r="K1043" i="12" s="1"/>
  <c r="K1044" i="12" s="1"/>
  <c r="K1045" i="12" s="1"/>
  <c r="K1046" i="12" s="1"/>
  <c r="K1047" i="12" s="1"/>
  <c r="K1048" i="12" s="1"/>
  <c r="K1049" i="12" s="1"/>
  <c r="K1050" i="12" s="1"/>
  <c r="K1051" i="12" s="1"/>
  <c r="K1052" i="12" s="1"/>
  <c r="K1053" i="12" s="1"/>
  <c r="K1054" i="12" s="1"/>
  <c r="K1055" i="12" s="1"/>
  <c r="K1056" i="12" s="1"/>
  <c r="K1057" i="12" s="1"/>
  <c r="K1058" i="12" s="1"/>
  <c r="K1059" i="12" s="1"/>
  <c r="K1060" i="12" s="1"/>
  <c r="K1061" i="12" s="1"/>
  <c r="K1062" i="12" s="1"/>
  <c r="K1063" i="12" s="1"/>
  <c r="K1064" i="12" s="1"/>
  <c r="K1065" i="12" s="1"/>
  <c r="K1066" i="12" s="1"/>
  <c r="K1067" i="12" s="1"/>
  <c r="K1068" i="12" s="1"/>
  <c r="K1069" i="12" s="1"/>
  <c r="K1070" i="12" s="1"/>
  <c r="K1071" i="12" s="1"/>
  <c r="K1072" i="12" s="1"/>
  <c r="K1073" i="12" s="1"/>
  <c r="K1074" i="12" s="1"/>
  <c r="K1075" i="12" s="1"/>
  <c r="K1076" i="12" s="1"/>
  <c r="K1077" i="12" s="1"/>
  <c r="K1078" i="12" s="1"/>
  <c r="K1079" i="12" s="1"/>
  <c r="K1080" i="12" s="1"/>
  <c r="K1081" i="12" s="1"/>
  <c r="K1082" i="12" s="1"/>
  <c r="K1083" i="12" s="1"/>
  <c r="K1084" i="12" s="1"/>
  <c r="K1085" i="12" s="1"/>
  <c r="K1086" i="12" s="1"/>
  <c r="K1087" i="12" s="1"/>
  <c r="K1088" i="12" s="1"/>
  <c r="K1089" i="12" s="1"/>
  <c r="K1090" i="12" s="1"/>
  <c r="K1091" i="12" s="1"/>
  <c r="K1092" i="12" s="1"/>
  <c r="K1093" i="12" s="1"/>
  <c r="K1094" i="12" s="1"/>
  <c r="K1095" i="12" s="1"/>
  <c r="K1096" i="12" s="1"/>
  <c r="K1097" i="12" s="1"/>
  <c r="K1098" i="12" s="1"/>
  <c r="K1099" i="12" s="1"/>
  <c r="K1100" i="12" s="1"/>
  <c r="K1101" i="12" s="1"/>
  <c r="K1102" i="12" s="1"/>
  <c r="K1103" i="12" s="1"/>
  <c r="K1104" i="12" s="1"/>
  <c r="K1105" i="12" s="1"/>
  <c r="K1106" i="12" s="1"/>
  <c r="K1107" i="12" s="1"/>
  <c r="K1108" i="12" s="1"/>
  <c r="K1109" i="12" s="1"/>
  <c r="K1110" i="12" s="1"/>
  <c r="K1111" i="12" s="1"/>
  <c r="K1112" i="12" s="1"/>
  <c r="K1113" i="12" s="1"/>
  <c r="K1114" i="12" s="1"/>
  <c r="K1115" i="12" s="1"/>
  <c r="K1116" i="12" s="1"/>
  <c r="K1117" i="12" s="1"/>
  <c r="K1118" i="12" s="1"/>
  <c r="K1119" i="12" s="1"/>
  <c r="K1120" i="12" s="1"/>
  <c r="K1121" i="12" s="1"/>
  <c r="K1122" i="12" s="1"/>
  <c r="K1123" i="12" s="1"/>
  <c r="K1124" i="12" s="1"/>
  <c r="K1125" i="12" s="1"/>
  <c r="K1126" i="12" s="1"/>
  <c r="K1127" i="12" s="1"/>
  <c r="K1128" i="12" s="1"/>
  <c r="K1129" i="12" s="1"/>
  <c r="K1130" i="12" s="1"/>
  <c r="K1131" i="12" s="1"/>
  <c r="K1132" i="12" s="1"/>
  <c r="K1133" i="12" s="1"/>
  <c r="K1134" i="12" s="1"/>
  <c r="K1135" i="12" s="1"/>
  <c r="K1136" i="12" s="1"/>
  <c r="K1137" i="12" s="1"/>
  <c r="K1138" i="12" s="1"/>
  <c r="K1139" i="12" s="1"/>
  <c r="K1140" i="12" s="1"/>
  <c r="K1141" i="12" s="1"/>
  <c r="K1142" i="12" s="1"/>
  <c r="K1143" i="12" s="1"/>
  <c r="K1144" i="12" s="1"/>
  <c r="K1145" i="12" s="1"/>
  <c r="K1146" i="12" s="1"/>
  <c r="K1147" i="12" s="1"/>
  <c r="K1148" i="12" s="1"/>
  <c r="K1149" i="12" s="1"/>
  <c r="K1150" i="12" s="1"/>
  <c r="K1151" i="12" s="1"/>
  <c r="K1152" i="12" s="1"/>
  <c r="K1153" i="12" s="1"/>
  <c r="K1154" i="12" s="1"/>
  <c r="K1155" i="12" s="1"/>
  <c r="K1156" i="12" s="1"/>
  <c r="K1157" i="12" s="1"/>
  <c r="K1158" i="12" s="1"/>
  <c r="K1159" i="12" s="1"/>
  <c r="K1160" i="12" s="1"/>
  <c r="K1161" i="12" s="1"/>
  <c r="K1162" i="12" s="1"/>
  <c r="K1163" i="12" s="1"/>
  <c r="K1164" i="12" s="1"/>
  <c r="K1165" i="12" s="1"/>
  <c r="K1166" i="12" s="1"/>
  <c r="K1167" i="12" s="1"/>
  <c r="K1168" i="12" s="1"/>
  <c r="K1169" i="12" s="1"/>
  <c r="K1170" i="12" s="1"/>
  <c r="K1171" i="12" s="1"/>
  <c r="K1172" i="12" s="1"/>
  <c r="K1173" i="12" s="1"/>
  <c r="K1174" i="12" s="1"/>
  <c r="K1175" i="12" s="1"/>
  <c r="K1176" i="12" s="1"/>
  <c r="K1177" i="12" s="1"/>
  <c r="K1178" i="12" s="1"/>
  <c r="K1179" i="12" s="1"/>
  <c r="K1180" i="12" s="1"/>
  <c r="K1181" i="12" s="1"/>
  <c r="K1182" i="12" s="1"/>
  <c r="K1183" i="12" s="1"/>
  <c r="K1184" i="12" s="1"/>
  <c r="K1185" i="12" s="1"/>
  <c r="K1186" i="12" s="1"/>
  <c r="K1187" i="12" s="1"/>
  <c r="K1188" i="12" s="1"/>
  <c r="K1189" i="12" s="1"/>
  <c r="K1190" i="12" s="1"/>
  <c r="K1191" i="12" s="1"/>
  <c r="K1192" i="12" s="1"/>
  <c r="K1193" i="12" s="1"/>
  <c r="K1194" i="12" s="1"/>
  <c r="K1195" i="12" s="1"/>
  <c r="K1196" i="12" s="1"/>
  <c r="K1197" i="12" s="1"/>
  <c r="K1198" i="12" s="1"/>
  <c r="K1199" i="12" s="1"/>
  <c r="K1200" i="12" s="1"/>
  <c r="K1201" i="12" s="1"/>
  <c r="K1202" i="12" s="1"/>
  <c r="K1203" i="12" s="1"/>
  <c r="K1204" i="12" s="1"/>
  <c r="K1205" i="12" s="1"/>
  <c r="K1206" i="12" s="1"/>
  <c r="K1207" i="12" s="1"/>
  <c r="K1208" i="12" s="1"/>
  <c r="K1209" i="12" s="1"/>
  <c r="K1210" i="12" s="1"/>
  <c r="K1211" i="12" s="1"/>
  <c r="K1212" i="12" s="1"/>
  <c r="K1213" i="12" s="1"/>
  <c r="K1214" i="12" s="1"/>
  <c r="K1215" i="12" s="1"/>
  <c r="K1216" i="12" s="1"/>
  <c r="K1217" i="12" s="1"/>
  <c r="K1218" i="12" s="1"/>
  <c r="K1219" i="12" s="1"/>
  <c r="K1220" i="12" s="1"/>
  <c r="K1221" i="12" s="1"/>
  <c r="K1222" i="12" s="1"/>
  <c r="K1223" i="12" s="1"/>
  <c r="K1224" i="12" s="1"/>
  <c r="K1225" i="12" s="1"/>
  <c r="K1226" i="12" s="1"/>
  <c r="K1227" i="12" s="1"/>
  <c r="K1228" i="12" s="1"/>
  <c r="K1229" i="12" s="1"/>
  <c r="K1230" i="12" s="1"/>
  <c r="K1231" i="12" s="1"/>
  <c r="K1232" i="12" s="1"/>
  <c r="K1233" i="12" s="1"/>
  <c r="K1234" i="12" s="1"/>
  <c r="K1235" i="12" s="1"/>
  <c r="K1236" i="12" s="1"/>
  <c r="K1237" i="12" s="1"/>
  <c r="K1238" i="12" s="1"/>
  <c r="K1239" i="12" s="1"/>
  <c r="K1240" i="12" s="1"/>
  <c r="K1241" i="12" s="1"/>
  <c r="K1242" i="12" s="1"/>
  <c r="K1243" i="12" s="1"/>
  <c r="K1244" i="12" s="1"/>
  <c r="K1245" i="12" s="1"/>
  <c r="K1246" i="12" s="1"/>
  <c r="K1247" i="12" s="1"/>
  <c r="K1248" i="12" s="1"/>
  <c r="K1249" i="12" s="1"/>
  <c r="K1250" i="12" s="1"/>
  <c r="K1251" i="12" s="1"/>
  <c r="K1252" i="12" s="1"/>
  <c r="K1253" i="12" s="1"/>
  <c r="K1254" i="12" s="1"/>
  <c r="K1255" i="12" s="1"/>
  <c r="K1256" i="12" s="1"/>
  <c r="K1257" i="12" s="1"/>
  <c r="K1258" i="12" s="1"/>
  <c r="K1259" i="12" s="1"/>
  <c r="K1260" i="12" s="1"/>
  <c r="K1261" i="12" s="1"/>
  <c r="K1262" i="12" s="1"/>
  <c r="K1263" i="12" s="1"/>
  <c r="K1264" i="12" s="1"/>
  <c r="K1265" i="12" s="1"/>
  <c r="K1266" i="12" s="1"/>
  <c r="K1267" i="12" s="1"/>
  <c r="K1268" i="12" s="1"/>
  <c r="K1269" i="12" s="1"/>
  <c r="K1270" i="12" s="1"/>
  <c r="K1271" i="12" s="1"/>
  <c r="K1272" i="12" s="1"/>
  <c r="K1273" i="12" s="1"/>
  <c r="K1274" i="12" s="1"/>
  <c r="K1275" i="12" s="1"/>
  <c r="K1276" i="12" s="1"/>
  <c r="K1277" i="12" s="1"/>
  <c r="K1278" i="12" s="1"/>
  <c r="K1279" i="12" s="1"/>
  <c r="K1280" i="12" s="1"/>
  <c r="K1281" i="12" s="1"/>
  <c r="K1282" i="12" s="1"/>
  <c r="K1283" i="12" s="1"/>
  <c r="K1284" i="12" s="1"/>
  <c r="K1285" i="12" s="1"/>
  <c r="K1286" i="12" s="1"/>
  <c r="K1287" i="12" s="1"/>
  <c r="K1288" i="12" s="1"/>
  <c r="K1289" i="12" s="1"/>
  <c r="K1290" i="12" s="1"/>
  <c r="K1291" i="12" s="1"/>
  <c r="K1292" i="12" s="1"/>
  <c r="K1293" i="12" s="1"/>
  <c r="K1294" i="12" s="1"/>
  <c r="K1295" i="12" s="1"/>
  <c r="K1296" i="12" s="1"/>
  <c r="K1297" i="12" s="1"/>
  <c r="K1298" i="12" s="1"/>
  <c r="K1299" i="12" s="1"/>
  <c r="K1300" i="12" s="1"/>
  <c r="K1301" i="12" s="1"/>
  <c r="K1302" i="12" s="1"/>
  <c r="K1303" i="12" s="1"/>
  <c r="K1304" i="12" s="1"/>
  <c r="K1305" i="12" s="1"/>
  <c r="K1306" i="12" s="1"/>
  <c r="K1307" i="12" s="1"/>
  <c r="K1308" i="12" s="1"/>
  <c r="K1309" i="12" s="1"/>
  <c r="K1310" i="12" s="1"/>
  <c r="K1311" i="12" s="1"/>
  <c r="K1312" i="12" s="1"/>
  <c r="K1313" i="12" s="1"/>
  <c r="K1314" i="12" s="1"/>
  <c r="K1315" i="12" s="1"/>
  <c r="K1316" i="12" s="1"/>
  <c r="K1317" i="12" s="1"/>
  <c r="K1318" i="12" s="1"/>
  <c r="K1319" i="12" s="1"/>
  <c r="K1320" i="12" s="1"/>
  <c r="K1321" i="12" s="1"/>
  <c r="K1322" i="12" s="1"/>
  <c r="K1323" i="12" s="1"/>
  <c r="K1324" i="12" s="1"/>
  <c r="K1325" i="12" s="1"/>
  <c r="K1326" i="12" s="1"/>
  <c r="K1327" i="12" s="1"/>
  <c r="K1328" i="12" s="1"/>
  <c r="K1329" i="12" s="1"/>
  <c r="K1330" i="12" s="1"/>
  <c r="K1331" i="12" s="1"/>
  <c r="K1332" i="12" s="1"/>
  <c r="K1333" i="12" s="1"/>
  <c r="K1334" i="12" s="1"/>
  <c r="K1335" i="12" s="1"/>
  <c r="K1336" i="12" s="1"/>
  <c r="K1337" i="12" s="1"/>
  <c r="K1338" i="12" s="1"/>
  <c r="K1339" i="12" s="1"/>
  <c r="K1340" i="12" s="1"/>
  <c r="K1341" i="12" s="1"/>
  <c r="K1342" i="12" s="1"/>
  <c r="K1343" i="12" s="1"/>
  <c r="K1344" i="12" s="1"/>
  <c r="K1345" i="12" s="1"/>
  <c r="K1346" i="12" s="1"/>
  <c r="K1347" i="12" s="1"/>
  <c r="K1348" i="12" s="1"/>
  <c r="K1349" i="12" s="1"/>
  <c r="K1350" i="12" s="1"/>
  <c r="K1351" i="12" s="1"/>
  <c r="K1352" i="12" s="1"/>
  <c r="K1353" i="12" s="1"/>
  <c r="K1354" i="12" s="1"/>
  <c r="K1355" i="12" s="1"/>
  <c r="K1356" i="12" s="1"/>
  <c r="K1357" i="12" s="1"/>
  <c r="K1358" i="12" s="1"/>
  <c r="K1359" i="12" s="1"/>
  <c r="K1360" i="12" s="1"/>
  <c r="K1361" i="12" s="1"/>
  <c r="K1362" i="12" s="1"/>
  <c r="K1363" i="12" s="1"/>
  <c r="K1364" i="12" s="1"/>
  <c r="K1365" i="12" s="1"/>
  <c r="K1366" i="12" s="1"/>
  <c r="K1367" i="12" s="1"/>
  <c r="K1368" i="12" s="1"/>
  <c r="K1369" i="12" s="1"/>
  <c r="K1370" i="12" s="1"/>
  <c r="K1371" i="12" s="1"/>
  <c r="K1372" i="12" s="1"/>
  <c r="K1373" i="12" s="1"/>
  <c r="K1374" i="12" s="1"/>
  <c r="K1375" i="12" s="1"/>
  <c r="K1376" i="12" s="1"/>
  <c r="K1377" i="12" s="1"/>
  <c r="K1378" i="12" s="1"/>
  <c r="K1379" i="12" s="1"/>
  <c r="K1380" i="12" s="1"/>
  <c r="K1381" i="12" s="1"/>
  <c r="K1382" i="12" s="1"/>
  <c r="K1383" i="12" s="1"/>
  <c r="K1384" i="12" s="1"/>
  <c r="K1385" i="12" s="1"/>
  <c r="K1386" i="12" s="1"/>
  <c r="K1387" i="12" s="1"/>
  <c r="K1388" i="12" s="1"/>
  <c r="K1389" i="12" s="1"/>
  <c r="K1390" i="12" s="1"/>
  <c r="K1391" i="12" s="1"/>
  <c r="K1392" i="12" s="1"/>
  <c r="K1393" i="12" s="1"/>
  <c r="K1394" i="12" s="1"/>
  <c r="K1395" i="12" s="1"/>
  <c r="K1396" i="12" s="1"/>
  <c r="K1397" i="12" s="1"/>
  <c r="K1398" i="12" s="1"/>
  <c r="K1399" i="12" s="1"/>
  <c r="K1400" i="12" s="1"/>
  <c r="K1401" i="12" s="1"/>
  <c r="K1402" i="12" s="1"/>
  <c r="K1403" i="12" s="1"/>
  <c r="K1404" i="12" s="1"/>
  <c r="K1405" i="12" s="1"/>
  <c r="K1406" i="12" s="1"/>
  <c r="K1407" i="12" s="1"/>
  <c r="K1408" i="12" s="1"/>
  <c r="K1409" i="12" s="1"/>
  <c r="K1410" i="12" s="1"/>
  <c r="K1411" i="12" s="1"/>
  <c r="K1412" i="12" s="1"/>
  <c r="K1413" i="12" s="1"/>
  <c r="K1414" i="12" s="1"/>
  <c r="K1415" i="12" s="1"/>
  <c r="K1416" i="12" s="1"/>
  <c r="K1417" i="12" s="1"/>
  <c r="K1418" i="12" s="1"/>
  <c r="K1419" i="12" s="1"/>
  <c r="K1420" i="12" s="1"/>
  <c r="K1421" i="12" s="1"/>
  <c r="K1422" i="12" s="1"/>
  <c r="K1423" i="12" s="1"/>
  <c r="K1424" i="12" s="1"/>
  <c r="K1425" i="12" s="1"/>
  <c r="K1426" i="12" s="1"/>
  <c r="K1427" i="12" s="1"/>
  <c r="K1428" i="12" s="1"/>
  <c r="K1429" i="12" s="1"/>
  <c r="K1430" i="12" s="1"/>
  <c r="K1431" i="12" s="1"/>
  <c r="K1432" i="12" s="1"/>
  <c r="K1433" i="12" s="1"/>
  <c r="K1434" i="12" s="1"/>
  <c r="K1435" i="12" s="1"/>
  <c r="K1436" i="12" s="1"/>
  <c r="K1437" i="12" s="1"/>
  <c r="K1438" i="12" s="1"/>
  <c r="K1439" i="12" s="1"/>
  <c r="K1440" i="12" s="1"/>
  <c r="K1441" i="12" s="1"/>
  <c r="K1442" i="12" s="1"/>
  <c r="K1443" i="12" s="1"/>
  <c r="K1444" i="12" s="1"/>
  <c r="K1445" i="12" s="1"/>
  <c r="K1446" i="12" s="1"/>
  <c r="K1447" i="12" s="1"/>
  <c r="K1448" i="12" s="1"/>
  <c r="K1449" i="12" s="1"/>
  <c r="K1450" i="12" s="1"/>
  <c r="K1451" i="12" s="1"/>
  <c r="K1452" i="12" s="1"/>
  <c r="K1453" i="12" s="1"/>
  <c r="K1454" i="12" s="1"/>
  <c r="K1455" i="12" s="1"/>
  <c r="K1456" i="12" s="1"/>
  <c r="K1457" i="12" s="1"/>
  <c r="K1458" i="12" s="1"/>
  <c r="K1459" i="12" s="1"/>
  <c r="K1460" i="12" s="1"/>
  <c r="K1461" i="12" s="1"/>
  <c r="K1462" i="12" s="1"/>
  <c r="K1463" i="12" s="1"/>
  <c r="K1464" i="12" s="1"/>
  <c r="K1465" i="12" s="1"/>
  <c r="K1466" i="12" s="1"/>
  <c r="K1467" i="12" s="1"/>
  <c r="K1468" i="12" s="1"/>
  <c r="K1469" i="12" s="1"/>
  <c r="K1470" i="12" s="1"/>
  <c r="K1471" i="12" s="1"/>
  <c r="K1472" i="12" s="1"/>
  <c r="K1473" i="12" s="1"/>
  <c r="K1474" i="12" s="1"/>
  <c r="K1475" i="12" s="1"/>
  <c r="K1476" i="12" s="1"/>
  <c r="K1477" i="12" s="1"/>
  <c r="K1478" i="12" s="1"/>
  <c r="K1479" i="12" s="1"/>
  <c r="K1480" i="12" s="1"/>
  <c r="K1481" i="12" s="1"/>
  <c r="K1482" i="12" s="1"/>
  <c r="K1483" i="12" s="1"/>
  <c r="K1484" i="12" s="1"/>
  <c r="K1485" i="12" s="1"/>
  <c r="K1486" i="12" s="1"/>
  <c r="K1487" i="12" s="1"/>
  <c r="K1488" i="12" s="1"/>
  <c r="K1489" i="12" s="1"/>
  <c r="K1490" i="12" s="1"/>
  <c r="K1491" i="12" s="1"/>
  <c r="K1492" i="12" s="1"/>
  <c r="K1493" i="12" s="1"/>
  <c r="K1494" i="12" s="1"/>
  <c r="K1495" i="12" s="1"/>
  <c r="K1496" i="12" s="1"/>
  <c r="K1497" i="12" s="1"/>
  <c r="K1498" i="12" s="1"/>
  <c r="K1499" i="12" s="1"/>
  <c r="K1500" i="12" s="1"/>
  <c r="K1501" i="12" s="1"/>
  <c r="K1502" i="12" s="1"/>
  <c r="K1503" i="12" s="1"/>
  <c r="K1504" i="12" s="1"/>
  <c r="K1505" i="12" s="1"/>
  <c r="K1506" i="12" s="1"/>
  <c r="K1507" i="12" s="1"/>
  <c r="K1508" i="12" s="1"/>
  <c r="K1509" i="12" s="1"/>
  <c r="K1510" i="12" s="1"/>
  <c r="K1511" i="12" s="1"/>
  <c r="K1512" i="12" s="1"/>
  <c r="K1513" i="12" s="1"/>
  <c r="K1514" i="12" s="1"/>
  <c r="K1515" i="12" s="1"/>
  <c r="K1516" i="12" s="1"/>
  <c r="K1517" i="12" s="1"/>
  <c r="K1518" i="12" s="1"/>
  <c r="K1519" i="12" s="1"/>
  <c r="K1520" i="12" s="1"/>
  <c r="K1521" i="12" s="1"/>
  <c r="K1522" i="12" s="1"/>
  <c r="K1523" i="12" s="1"/>
  <c r="K1524" i="12" s="1"/>
  <c r="K1525" i="12" s="1"/>
  <c r="K1526" i="12" s="1"/>
  <c r="K1527" i="12" s="1"/>
  <c r="K1528" i="12" s="1"/>
  <c r="K1529" i="12" s="1"/>
  <c r="K1530" i="12" s="1"/>
  <c r="K1531" i="12" s="1"/>
  <c r="K1532" i="12" s="1"/>
  <c r="K1533" i="12" s="1"/>
  <c r="K1534" i="12" s="1"/>
  <c r="K1535" i="12" s="1"/>
  <c r="K1536" i="12" s="1"/>
  <c r="K1537" i="12" s="1"/>
  <c r="K1538" i="12" s="1"/>
  <c r="K1539" i="12" s="1"/>
  <c r="K1540" i="12" s="1"/>
  <c r="K1541" i="12" s="1"/>
  <c r="K1542" i="12" s="1"/>
  <c r="K1543" i="12" s="1"/>
  <c r="K1544" i="12" s="1"/>
  <c r="K1545" i="12" s="1"/>
  <c r="K1546" i="12" s="1"/>
  <c r="K1547" i="12" s="1"/>
  <c r="K1548" i="12" s="1"/>
  <c r="K1549" i="12" s="1"/>
  <c r="K1550" i="12" s="1"/>
  <c r="K1551" i="12" s="1"/>
  <c r="K1552" i="12" s="1"/>
  <c r="K1553" i="12" s="1"/>
  <c r="K1554" i="12" s="1"/>
  <c r="K1555" i="12" s="1"/>
  <c r="K1556" i="12" s="1"/>
  <c r="K1557" i="12" s="1"/>
  <c r="K1558" i="12" s="1"/>
  <c r="K1559" i="12" s="1"/>
  <c r="K1560" i="12" s="1"/>
  <c r="K1561" i="12" s="1"/>
  <c r="K1562" i="12" s="1"/>
  <c r="K1563" i="12" s="1"/>
  <c r="K1564" i="12" s="1"/>
  <c r="K1565" i="12" s="1"/>
  <c r="K1566" i="12" s="1"/>
  <c r="K1567" i="12" s="1"/>
  <c r="K1568" i="12" s="1"/>
  <c r="K1569" i="12" s="1"/>
  <c r="K1570" i="12" s="1"/>
  <c r="K1571" i="12" s="1"/>
  <c r="K1572" i="12" s="1"/>
  <c r="K1573" i="12" s="1"/>
  <c r="K1574" i="12" s="1"/>
  <c r="K1575" i="12" s="1"/>
  <c r="K1576" i="12" s="1"/>
  <c r="K1577" i="12" s="1"/>
  <c r="K1578" i="12" s="1"/>
  <c r="K1579" i="12" s="1"/>
  <c r="K1580" i="12" s="1"/>
  <c r="K1581" i="12" s="1"/>
  <c r="K1582" i="12" s="1"/>
  <c r="K1583" i="12" s="1"/>
  <c r="K1584" i="12" s="1"/>
  <c r="K1585" i="12" s="1"/>
  <c r="K1586" i="12" s="1"/>
  <c r="K1587" i="12" s="1"/>
  <c r="K1588" i="12" s="1"/>
  <c r="K1589" i="12" s="1"/>
  <c r="K1590" i="12" s="1"/>
  <c r="K1591" i="12" s="1"/>
  <c r="K1592" i="12" s="1"/>
  <c r="K1593" i="12" s="1"/>
  <c r="K1594" i="12" s="1"/>
  <c r="K1595" i="12" s="1"/>
  <c r="K1596" i="12" s="1"/>
  <c r="K1597" i="12" s="1"/>
  <c r="K1598" i="12" s="1"/>
  <c r="K1599" i="12" s="1"/>
  <c r="K1600" i="12" s="1"/>
  <c r="K1601" i="12" s="1"/>
  <c r="K1602" i="12" s="1"/>
  <c r="K1603" i="12" s="1"/>
  <c r="K1604" i="12" s="1"/>
  <c r="K1605" i="12" s="1"/>
  <c r="K1606" i="12" s="1"/>
  <c r="K1607" i="12" s="1"/>
  <c r="K1608" i="12" s="1"/>
  <c r="K1609" i="12" s="1"/>
  <c r="K1610" i="12" s="1"/>
  <c r="K1611" i="12" s="1"/>
  <c r="K1612" i="12" s="1"/>
  <c r="K1613" i="12" s="1"/>
  <c r="K1614" i="12" s="1"/>
  <c r="K1615" i="12" s="1"/>
  <c r="K1616" i="12" s="1"/>
  <c r="K1617" i="12" s="1"/>
  <c r="K1618" i="12" s="1"/>
  <c r="K1619" i="12" s="1"/>
  <c r="K1620" i="12" s="1"/>
  <c r="K1621" i="12" s="1"/>
  <c r="K1622" i="12" s="1"/>
  <c r="K1623" i="12" s="1"/>
  <c r="K1624" i="12" s="1"/>
  <c r="K1625" i="12" s="1"/>
  <c r="K1626" i="12" s="1"/>
  <c r="K1627" i="12" s="1"/>
  <c r="K1628" i="12" s="1"/>
  <c r="K1629" i="12" s="1"/>
  <c r="K1630" i="12" s="1"/>
  <c r="K1631" i="12" s="1"/>
  <c r="K1632" i="12" s="1"/>
  <c r="K1633" i="12" s="1"/>
  <c r="K1634" i="12" s="1"/>
  <c r="K1635" i="12" s="1"/>
  <c r="K1636" i="12" s="1"/>
  <c r="K1637" i="12" s="1"/>
  <c r="K1638" i="12" s="1"/>
  <c r="K1639" i="12" s="1"/>
  <c r="K1640" i="12" s="1"/>
  <c r="K1641" i="12" s="1"/>
  <c r="K1642" i="12" s="1"/>
  <c r="K1643" i="12" s="1"/>
  <c r="K1644" i="12" s="1"/>
  <c r="K1645" i="12" s="1"/>
  <c r="K1646" i="12" s="1"/>
  <c r="K1647" i="12" s="1"/>
  <c r="K1648" i="12" s="1"/>
  <c r="K1649" i="12" s="1"/>
  <c r="K1650" i="12" s="1"/>
  <c r="K1651" i="12" s="1"/>
  <c r="K1652" i="12" s="1"/>
  <c r="K1653" i="12" s="1"/>
  <c r="K1654" i="12" s="1"/>
  <c r="K1655" i="12" s="1"/>
  <c r="K1656" i="12" s="1"/>
  <c r="K1657" i="12" s="1"/>
  <c r="K1658" i="12" s="1"/>
  <c r="K1659" i="12" s="1"/>
  <c r="K1660" i="12" s="1"/>
  <c r="K1661" i="12" s="1"/>
  <c r="K1662" i="12" s="1"/>
  <c r="K1663" i="12" s="1"/>
  <c r="K1664" i="12" s="1"/>
  <c r="K1665" i="12" s="1"/>
  <c r="K1666" i="12" s="1"/>
  <c r="K1667" i="12" s="1"/>
  <c r="K1668" i="12" s="1"/>
  <c r="K1669" i="12" s="1"/>
  <c r="K1670" i="12" s="1"/>
  <c r="K1671" i="12" s="1"/>
  <c r="K1672" i="12" s="1"/>
  <c r="K1673" i="12" s="1"/>
  <c r="K1674" i="12" s="1"/>
  <c r="K1675" i="12" s="1"/>
  <c r="K1676" i="12" s="1"/>
  <c r="K1677" i="12" s="1"/>
  <c r="K1678" i="12" s="1"/>
  <c r="K1679" i="12" s="1"/>
  <c r="K1680" i="12" s="1"/>
  <c r="K1681" i="12" s="1"/>
  <c r="K1682" i="12" s="1"/>
  <c r="K1683" i="12" s="1"/>
  <c r="K1684" i="12" s="1"/>
  <c r="K1685" i="12" s="1"/>
  <c r="K1686" i="12" s="1"/>
  <c r="K1687" i="12" s="1"/>
  <c r="K1688" i="12" s="1"/>
  <c r="K1689" i="12" s="1"/>
  <c r="K1690" i="12" s="1"/>
  <c r="K1691" i="12" s="1"/>
  <c r="K1692" i="12" s="1"/>
  <c r="K1693" i="12" s="1"/>
  <c r="K1694" i="12" s="1"/>
  <c r="K1695" i="12" s="1"/>
  <c r="K1696" i="12" s="1"/>
  <c r="K1697" i="12" s="1"/>
  <c r="H1812" i="12"/>
  <c r="I1700" i="12"/>
  <c r="J1700" i="12" s="1"/>
  <c r="H1701" i="12"/>
  <c r="I1906" i="12"/>
  <c r="H1940" i="12"/>
  <c r="H1911" i="12"/>
  <c r="I1806" i="12"/>
  <c r="I1935" i="12"/>
  <c r="J1935" i="12" s="1"/>
  <c r="J3" i="12"/>
  <c r="H6" i="12"/>
  <c r="I4" i="12"/>
  <c r="J4" i="12" s="1"/>
  <c r="H1894" i="12"/>
  <c r="J1906" i="12" l="1"/>
  <c r="I1907" i="12"/>
  <c r="I5" i="12"/>
  <c r="J5" i="12" s="1"/>
  <c r="H1941" i="12"/>
  <c r="I1894" i="12"/>
  <c r="J1894" i="12" s="1"/>
  <c r="H1895" i="12"/>
  <c r="I1701" i="12"/>
  <c r="J1701" i="12" s="1"/>
  <c r="H1702" i="12"/>
  <c r="I6" i="12"/>
  <c r="H7" i="12"/>
  <c r="I1936" i="12"/>
  <c r="J1806" i="12"/>
  <c r="I1807" i="12"/>
  <c r="H1912" i="12"/>
  <c r="H1813" i="12"/>
  <c r="Q2" i="12" a="1"/>
  <c r="I1702" i="12" l="1"/>
  <c r="J1702" i="12" s="1"/>
  <c r="H1703" i="12"/>
  <c r="J1807" i="12"/>
  <c r="I1808" i="12"/>
  <c r="I1895" i="12"/>
  <c r="J1895" i="12" s="1"/>
  <c r="H1896" i="12"/>
  <c r="Q2193" i="12"/>
  <c r="Q2185" i="12"/>
  <c r="Q2177" i="12"/>
  <c r="Q2169" i="12"/>
  <c r="Q2161" i="12"/>
  <c r="Q2153" i="12"/>
  <c r="Q2145" i="12"/>
  <c r="Q2137" i="12"/>
  <c r="Q2129" i="12"/>
  <c r="Q2121" i="12"/>
  <c r="Q2113" i="12"/>
  <c r="Q2105" i="12"/>
  <c r="Q2097" i="12"/>
  <c r="Q2089" i="12"/>
  <c r="Q2081" i="12"/>
  <c r="Q2073" i="12"/>
  <c r="Q2065" i="12"/>
  <c r="Q2057" i="12"/>
  <c r="Q2049" i="12"/>
  <c r="Q2041" i="12"/>
  <c r="Q2033" i="12"/>
  <c r="Q2025" i="12"/>
  <c r="Q2017" i="12"/>
  <c r="Q2009" i="12"/>
  <c r="Q2001" i="12"/>
  <c r="Q1993" i="12"/>
  <c r="Q1985" i="12"/>
  <c r="Q1977" i="12"/>
  <c r="Q1969" i="12"/>
  <c r="Q1961" i="12"/>
  <c r="Q1953" i="12"/>
  <c r="Q1945" i="12"/>
  <c r="Q1937" i="12"/>
  <c r="Q1929" i="12"/>
  <c r="Q1921" i="12"/>
  <c r="Q1913" i="12"/>
  <c r="Q1905" i="12"/>
  <c r="Q1897" i="12"/>
  <c r="Q1889" i="12"/>
  <c r="Q1881" i="12"/>
  <c r="Q1873" i="12"/>
  <c r="Q1865" i="12"/>
  <c r="Q1857" i="12"/>
  <c r="Q1849" i="12"/>
  <c r="Q1841" i="12"/>
  <c r="Q1833" i="12"/>
  <c r="Q1825" i="12"/>
  <c r="Q1817" i="12"/>
  <c r="Q1809" i="12"/>
  <c r="Q1801" i="12"/>
  <c r="Q1793" i="12"/>
  <c r="Q1785" i="12"/>
  <c r="Q1777" i="12"/>
  <c r="Q1769" i="12"/>
  <c r="Q1761" i="12"/>
  <c r="Q1753" i="12"/>
  <c r="Q1745" i="12"/>
  <c r="Q1737" i="12"/>
  <c r="Q1729" i="12"/>
  <c r="Q1721" i="12"/>
  <c r="Q1713" i="12"/>
  <c r="Q1705" i="12"/>
  <c r="Q1697" i="12"/>
  <c r="Q1689" i="12"/>
  <c r="Q1681" i="12"/>
  <c r="Q1673" i="12"/>
  <c r="Q1665" i="12"/>
  <c r="Q1657" i="12"/>
  <c r="Q1649" i="12"/>
  <c r="Q1641" i="12"/>
  <c r="Q1633" i="12"/>
  <c r="Q1625" i="12"/>
  <c r="Q1617" i="12"/>
  <c r="Q1609" i="12"/>
  <c r="Q1601" i="12"/>
  <c r="Q1593" i="12"/>
  <c r="Q1585" i="12"/>
  <c r="Q1577" i="12"/>
  <c r="Q1569" i="12"/>
  <c r="Q1561" i="12"/>
  <c r="Q1553" i="12"/>
  <c r="Q1545" i="12"/>
  <c r="Q1537" i="12"/>
  <c r="Q1529" i="12"/>
  <c r="Q1521" i="12"/>
  <c r="Q1513" i="12"/>
  <c r="Q1505" i="12"/>
  <c r="Q1497" i="12"/>
  <c r="Q1489" i="12"/>
  <c r="Q1481" i="12"/>
  <c r="Q1473" i="12"/>
  <c r="Q1465" i="12"/>
  <c r="Q1457" i="12"/>
  <c r="Q1449" i="12"/>
  <c r="Q1441" i="12"/>
  <c r="Q1433" i="12"/>
  <c r="Q1425" i="12"/>
  <c r="Q1417" i="12"/>
  <c r="Q1409" i="12"/>
  <c r="Q1401" i="12"/>
  <c r="Q1393" i="12"/>
  <c r="Q1385" i="12"/>
  <c r="Q1377" i="12"/>
  <c r="Q1369" i="12"/>
  <c r="Q1361" i="12"/>
  <c r="Q1353" i="12"/>
  <c r="Q1345" i="12"/>
  <c r="Q1337" i="12"/>
  <c r="Q1329" i="12"/>
  <c r="Q1321" i="12"/>
  <c r="Q1313" i="12"/>
  <c r="Q1305" i="12"/>
  <c r="Q1297" i="12"/>
  <c r="Q1289" i="12"/>
  <c r="Q1281" i="12"/>
  <c r="Q1273" i="12"/>
  <c r="Q1265" i="12"/>
  <c r="Q1257" i="12"/>
  <c r="Q1249" i="12"/>
  <c r="Q1241" i="12"/>
  <c r="Q1233" i="12"/>
  <c r="Q1225" i="12"/>
  <c r="Q1217" i="12"/>
  <c r="Q1209" i="12"/>
  <c r="Q1201" i="12"/>
  <c r="Q1193" i="12"/>
  <c r="Q1185" i="12"/>
  <c r="Q1177" i="12"/>
  <c r="Q1169" i="12"/>
  <c r="Q1161" i="12"/>
  <c r="Q1153" i="12"/>
  <c r="Q1145" i="12"/>
  <c r="Q1137" i="12"/>
  <c r="Q1129" i="12"/>
  <c r="Q1121" i="12"/>
  <c r="Q1113" i="12"/>
  <c r="Q1105" i="12"/>
  <c r="Q1097" i="12"/>
  <c r="Q1089" i="12"/>
  <c r="Q1081" i="12"/>
  <c r="Q1073" i="12"/>
  <c r="Q1065" i="12"/>
  <c r="Q1057" i="12"/>
  <c r="Q1049" i="12"/>
  <c r="Q1041" i="12"/>
  <c r="Q1033" i="12"/>
  <c r="Q1025" i="12"/>
  <c r="Q1017" i="12"/>
  <c r="Q1009" i="12"/>
  <c r="Q1001" i="12"/>
  <c r="Q993" i="12"/>
  <c r="Q985" i="12"/>
  <c r="Q977" i="12"/>
  <c r="Q969" i="12"/>
  <c r="Q961" i="12"/>
  <c r="Q953" i="12"/>
  <c r="Q945" i="12"/>
  <c r="Q937" i="12"/>
  <c r="Q929" i="12"/>
  <c r="Q921" i="12"/>
  <c r="Q913" i="12"/>
  <c r="Q905" i="12"/>
  <c r="Q897" i="12"/>
  <c r="Q889" i="12"/>
  <c r="Q881" i="12"/>
  <c r="Q873" i="12"/>
  <c r="Q865" i="12"/>
  <c r="Q857" i="12"/>
  <c r="Q849" i="12"/>
  <c r="Q841" i="12"/>
  <c r="Q833" i="12"/>
  <c r="Q825" i="12"/>
  <c r="Q817" i="12"/>
  <c r="Q809" i="12"/>
  <c r="Q801" i="12"/>
  <c r="Q793" i="12"/>
  <c r="Q785" i="12"/>
  <c r="Q777" i="12"/>
  <c r="Q769" i="12"/>
  <c r="Q761" i="12"/>
  <c r="Q753" i="12"/>
  <c r="Q745" i="12"/>
  <c r="Q737" i="12"/>
  <c r="Q729" i="12"/>
  <c r="Q721" i="12"/>
  <c r="Q713" i="12"/>
  <c r="Q705" i="12"/>
  <c r="Q697" i="12"/>
  <c r="Q689" i="12"/>
  <c r="Q681" i="12"/>
  <c r="Q673" i="12"/>
  <c r="Q665" i="12"/>
  <c r="Q657" i="12"/>
  <c r="Q649" i="12"/>
  <c r="Q641" i="12"/>
  <c r="Q633" i="12"/>
  <c r="Q625" i="12"/>
  <c r="Q617" i="12"/>
  <c r="Q609" i="12"/>
  <c r="Q601" i="12"/>
  <c r="Q593" i="12"/>
  <c r="Q585" i="12"/>
  <c r="Q577" i="12"/>
  <c r="Q569" i="12"/>
  <c r="Q561" i="12"/>
  <c r="Q553" i="12"/>
  <c r="Q545" i="12"/>
  <c r="Q537" i="12"/>
  <c r="Q529" i="12"/>
  <c r="Q521" i="12"/>
  <c r="Q513" i="12"/>
  <c r="Q505" i="12"/>
  <c r="Q497" i="12"/>
  <c r="Q489" i="12"/>
  <c r="Q481" i="12"/>
  <c r="Q473" i="12"/>
  <c r="Q465" i="12"/>
  <c r="Q457" i="12"/>
  <c r="Q449" i="12"/>
  <c r="Q441" i="12"/>
  <c r="Q433" i="12"/>
  <c r="Q425" i="12"/>
  <c r="Q417" i="12"/>
  <c r="Q409" i="12"/>
  <c r="Q401" i="12"/>
  <c r="Q393" i="12"/>
  <c r="Q385" i="12"/>
  <c r="Q377" i="12"/>
  <c r="Q369" i="12"/>
  <c r="Q361" i="12"/>
  <c r="Q353" i="12"/>
  <c r="Q345" i="12"/>
  <c r="Q337" i="12"/>
  <c r="Q329" i="12"/>
  <c r="Q321" i="12"/>
  <c r="Q313" i="12"/>
  <c r="Q305" i="12"/>
  <c r="Q297" i="12"/>
  <c r="Q289" i="12"/>
  <c r="Q281" i="12"/>
  <c r="Q273" i="12"/>
  <c r="Q265" i="12"/>
  <c r="Q257" i="12"/>
  <c r="Q249" i="12"/>
  <c r="Q241" i="12"/>
  <c r="Q233" i="12"/>
  <c r="Q225" i="12"/>
  <c r="Q217" i="12"/>
  <c r="Q209" i="12"/>
  <c r="Q201" i="12"/>
  <c r="Q193" i="12"/>
  <c r="Q185" i="12"/>
  <c r="Q177" i="12"/>
  <c r="Q169" i="12"/>
  <c r="Q161" i="12"/>
  <c r="Q153" i="12"/>
  <c r="Q145" i="12"/>
  <c r="Q137" i="12"/>
  <c r="Q129" i="12"/>
  <c r="Q121" i="12"/>
  <c r="Q113" i="12"/>
  <c r="Q105" i="12"/>
  <c r="Q97" i="12"/>
  <c r="Q89" i="12"/>
  <c r="Q81" i="12"/>
  <c r="Q73" i="12"/>
  <c r="Q65" i="12"/>
  <c r="Q57" i="12"/>
  <c r="Q49" i="12"/>
  <c r="Q41" i="12"/>
  <c r="Q2200" i="12"/>
  <c r="Q2192" i="12"/>
  <c r="Q2184" i="12"/>
  <c r="Q2176" i="12"/>
  <c r="Q2168" i="12"/>
  <c r="Q2160" i="12"/>
  <c r="Q2152" i="12"/>
  <c r="Q2144" i="12"/>
  <c r="Q2136" i="12"/>
  <c r="Q2128" i="12"/>
  <c r="Q2120" i="12"/>
  <c r="Q2112" i="12"/>
  <c r="Q2104" i="12"/>
  <c r="Q2096" i="12"/>
  <c r="Q2088" i="12"/>
  <c r="Q2080" i="12"/>
  <c r="Q2072" i="12"/>
  <c r="Q2064" i="12"/>
  <c r="Q2056" i="12"/>
  <c r="Q2048" i="12"/>
  <c r="Q2040" i="12"/>
  <c r="Q2032" i="12"/>
  <c r="Q2024" i="12"/>
  <c r="Q2016" i="12"/>
  <c r="Q2008" i="12"/>
  <c r="Q2000" i="12"/>
  <c r="Q1992" i="12"/>
  <c r="Q1984" i="12"/>
  <c r="Q1976" i="12"/>
  <c r="Q1968" i="12"/>
  <c r="Q1960" i="12"/>
  <c r="Q1952" i="12"/>
  <c r="Q1944" i="12"/>
  <c r="Q1936" i="12"/>
  <c r="Q1928" i="12"/>
  <c r="Q1920" i="12"/>
  <c r="Q1912" i="12"/>
  <c r="Q1904" i="12"/>
  <c r="Q1896" i="12"/>
  <c r="Q1888" i="12"/>
  <c r="Q1880" i="12"/>
  <c r="Q1872" i="12"/>
  <c r="Q1864" i="12"/>
  <c r="Q1856" i="12"/>
  <c r="Q1848" i="12"/>
  <c r="Q1840" i="12"/>
  <c r="Q1832" i="12"/>
  <c r="Q1824" i="12"/>
  <c r="Q1816" i="12"/>
  <c r="Q1808" i="12"/>
  <c r="Q1800" i="12"/>
  <c r="Q1792" i="12"/>
  <c r="Q1784" i="12"/>
  <c r="Q1776" i="12"/>
  <c r="Q1768" i="12"/>
  <c r="Q1760" i="12"/>
  <c r="Q1752" i="12"/>
  <c r="Q1744" i="12"/>
  <c r="Q1736" i="12"/>
  <c r="Q1728" i="12"/>
  <c r="Q1720" i="12"/>
  <c r="Q1712" i="12"/>
  <c r="Q1704" i="12"/>
  <c r="Q1696" i="12"/>
  <c r="Q1688" i="12"/>
  <c r="Q1680" i="12"/>
  <c r="Q1672" i="12"/>
  <c r="Q1664" i="12"/>
  <c r="Q1656" i="12"/>
  <c r="Q1648" i="12"/>
  <c r="Q1640" i="12"/>
  <c r="Q1632" i="12"/>
  <c r="Q1624" i="12"/>
  <c r="Q1616" i="12"/>
  <c r="Q1608" i="12"/>
  <c r="Q1600" i="12"/>
  <c r="Q1592" i="12"/>
  <c r="Q1584" i="12"/>
  <c r="Q1576" i="12"/>
  <c r="Q1568" i="12"/>
  <c r="Q1560" i="12"/>
  <c r="Q1552" i="12"/>
  <c r="Q1544" i="12"/>
  <c r="Q1536" i="12"/>
  <c r="Q1528" i="12"/>
  <c r="Q1520" i="12"/>
  <c r="Q1512" i="12"/>
  <c r="Q1504" i="12"/>
  <c r="Q1496" i="12"/>
  <c r="Q1488" i="12"/>
  <c r="Q1480" i="12"/>
  <c r="Q1472" i="12"/>
  <c r="Q1464" i="12"/>
  <c r="Q1456" i="12"/>
  <c r="Q1448" i="12"/>
  <c r="Q1440" i="12"/>
  <c r="Q1432" i="12"/>
  <c r="Q1424" i="12"/>
  <c r="Q1416" i="12"/>
  <c r="Q1408" i="12"/>
  <c r="Q1400" i="12"/>
  <c r="Q1392" i="12"/>
  <c r="Q1384" i="12"/>
  <c r="Q1376" i="12"/>
  <c r="Q1368" i="12"/>
  <c r="Q1360" i="12"/>
  <c r="Q1352" i="12"/>
  <c r="Q1344" i="12"/>
  <c r="Q1336" i="12"/>
  <c r="Q1328" i="12"/>
  <c r="Q1320" i="12"/>
  <c r="Q1312" i="12"/>
  <c r="Q1304" i="12"/>
  <c r="Q1296" i="12"/>
  <c r="Q1288" i="12"/>
  <c r="Q1280" i="12"/>
  <c r="Q1272" i="12"/>
  <c r="Q1264" i="12"/>
  <c r="Q1256" i="12"/>
  <c r="Q1248" i="12"/>
  <c r="Q1240" i="12"/>
  <c r="Q1232" i="12"/>
  <c r="Q1224" i="12"/>
  <c r="Q1216" i="12"/>
  <c r="Q1208" i="12"/>
  <c r="Q1200" i="12"/>
  <c r="Q1192" i="12"/>
  <c r="Q1184" i="12"/>
  <c r="Q1176" i="12"/>
  <c r="Q1168" i="12"/>
  <c r="Q1160" i="12"/>
  <c r="Q1152" i="12"/>
  <c r="Q1144" i="12"/>
  <c r="Q1136" i="12"/>
  <c r="Q1128" i="12"/>
  <c r="Q1120" i="12"/>
  <c r="Q1112" i="12"/>
  <c r="Q1104" i="12"/>
  <c r="Q1096" i="12"/>
  <c r="Q1088" i="12"/>
  <c r="Q1080" i="12"/>
  <c r="Q1072" i="12"/>
  <c r="Q1064" i="12"/>
  <c r="Q1056" i="12"/>
  <c r="Q1048" i="12"/>
  <c r="Q1040" i="12"/>
  <c r="Q1032" i="12"/>
  <c r="Q1024" i="12"/>
  <c r="Q1016" i="12"/>
  <c r="Q1008" i="12"/>
  <c r="Q1000" i="12"/>
  <c r="Q992" i="12"/>
  <c r="Q984" i="12"/>
  <c r="Q976" i="12"/>
  <c r="Q968" i="12"/>
  <c r="Q960" i="12"/>
  <c r="Q952" i="12"/>
  <c r="Q944" i="12"/>
  <c r="Q936" i="12"/>
  <c r="Q928" i="12"/>
  <c r="Q920" i="12"/>
  <c r="Q912" i="12"/>
  <c r="Q904" i="12"/>
  <c r="Q896" i="12"/>
  <c r="Q888" i="12"/>
  <c r="Q880" i="12"/>
  <c r="Q872" i="12"/>
  <c r="Q864" i="12"/>
  <c r="Q856" i="12"/>
  <c r="Q848" i="12"/>
  <c r="Q840" i="12"/>
  <c r="Q832" i="12"/>
  <c r="Q824" i="12"/>
  <c r="Q816" i="12"/>
  <c r="Q808" i="12"/>
  <c r="Q800" i="12"/>
  <c r="Q792" i="12"/>
  <c r="Q784" i="12"/>
  <c r="Q776" i="12"/>
  <c r="Q768" i="12"/>
  <c r="Q760" i="12"/>
  <c r="Q752" i="12"/>
  <c r="Q744" i="12"/>
  <c r="Q736" i="12"/>
  <c r="Q728" i="12"/>
  <c r="Q720" i="12"/>
  <c r="Q712" i="12"/>
  <c r="Q704" i="12"/>
  <c r="Q696" i="12"/>
  <c r="Q688" i="12"/>
  <c r="Q680" i="12"/>
  <c r="Q672" i="12"/>
  <c r="Q664" i="12"/>
  <c r="Q656" i="12"/>
  <c r="Q648" i="12"/>
  <c r="Q640" i="12"/>
  <c r="Q632" i="12"/>
  <c r="Q624" i="12"/>
  <c r="Q616" i="12"/>
  <c r="Q608" i="12"/>
  <c r="Q600" i="12"/>
  <c r="Q592" i="12"/>
  <c r="Q584" i="12"/>
  <c r="Q576" i="12"/>
  <c r="Q568" i="12"/>
  <c r="Q560" i="12"/>
  <c r="Q552" i="12"/>
  <c r="Q544" i="12"/>
  <c r="Q536" i="12"/>
  <c r="Q528" i="12"/>
  <c r="Q520" i="12"/>
  <c r="Q512" i="12"/>
  <c r="Q504" i="12"/>
  <c r="Q496" i="12"/>
  <c r="Q488" i="12"/>
  <c r="Q480" i="12"/>
  <c r="Q472" i="12"/>
  <c r="Q464" i="12"/>
  <c r="Q456" i="12"/>
  <c r="Q448" i="12"/>
  <c r="Q440" i="12"/>
  <c r="Q432" i="12"/>
  <c r="Q424" i="12"/>
  <c r="Q416" i="12"/>
  <c r="Q408" i="12"/>
  <c r="Q400" i="12"/>
  <c r="Q392" i="12"/>
  <c r="Q384" i="12"/>
  <c r="Q376" i="12"/>
  <c r="Q368" i="12"/>
  <c r="Q360" i="12"/>
  <c r="Q352" i="12"/>
  <c r="Q344" i="12"/>
  <c r="Q336" i="12"/>
  <c r="Q328" i="12"/>
  <c r="Q320" i="12"/>
  <c r="Q312" i="12"/>
  <c r="Q304" i="12"/>
  <c r="Q296" i="12"/>
  <c r="Q288" i="12"/>
  <c r="Q280" i="12"/>
  <c r="Q272" i="12"/>
  <c r="Q264" i="12"/>
  <c r="Q256" i="12"/>
  <c r="Q248" i="12"/>
  <c r="Q240" i="12"/>
  <c r="Q232" i="12"/>
  <c r="Q224" i="12"/>
  <c r="Q216" i="12"/>
  <c r="Q208" i="12"/>
  <c r="Q200" i="12"/>
  <c r="Q192" i="12"/>
  <c r="Q184" i="12"/>
  <c r="Q176" i="12"/>
  <c r="Q168" i="12"/>
  <c r="Q160" i="12"/>
  <c r="Q152" i="12"/>
  <c r="Q144" i="12"/>
  <c r="Q136" i="12"/>
  <c r="Q128" i="12"/>
  <c r="Q120" i="12"/>
  <c r="Q112" i="12"/>
  <c r="Q104" i="12"/>
  <c r="Q96" i="12"/>
  <c r="Q88" i="12"/>
  <c r="Q80" i="12"/>
  <c r="Q72" i="12"/>
  <c r="Q64" i="12"/>
  <c r="Q56" i="12"/>
  <c r="Q48" i="12"/>
  <c r="Q40" i="12"/>
  <c r="Q2191" i="12"/>
  <c r="Q2181" i="12"/>
  <c r="Q2171" i="12"/>
  <c r="Q2159" i="12"/>
  <c r="Q2149" i="12"/>
  <c r="Q2139" i="12"/>
  <c r="Q2127" i="12"/>
  <c r="Q2117" i="12"/>
  <c r="Q2107" i="12"/>
  <c r="Q2095" i="12"/>
  <c r="Q2085" i="12"/>
  <c r="Q2075" i="12"/>
  <c r="Q2063" i="12"/>
  <c r="Q2053" i="12"/>
  <c r="Q2043" i="12"/>
  <c r="Q2031" i="12"/>
  <c r="Q2021" i="12"/>
  <c r="Q2011" i="12"/>
  <c r="Q1999" i="12"/>
  <c r="Q1989" i="12"/>
  <c r="Q1979" i="12"/>
  <c r="Q1967" i="12"/>
  <c r="Q1957" i="12"/>
  <c r="Q1947" i="12"/>
  <c r="Q1935" i="12"/>
  <c r="Q1925" i="12"/>
  <c r="Q1915" i="12"/>
  <c r="Q1903" i="12"/>
  <c r="Q1893" i="12"/>
  <c r="Q1883" i="12"/>
  <c r="Q1871" i="12"/>
  <c r="Q1861" i="12"/>
  <c r="Q1851" i="12"/>
  <c r="Q1839" i="12"/>
  <c r="Q1829" i="12"/>
  <c r="Q1819" i="12"/>
  <c r="Q1807" i="12"/>
  <c r="Q1797" i="12"/>
  <c r="Q1787" i="12"/>
  <c r="Q1775" i="12"/>
  <c r="Q1765" i="12"/>
  <c r="Q1755" i="12"/>
  <c r="Q1743" i="12"/>
  <c r="Q1733" i="12"/>
  <c r="Q1723" i="12"/>
  <c r="Q1711" i="12"/>
  <c r="Q1701" i="12"/>
  <c r="Q1691" i="12"/>
  <c r="Q1679" i="12"/>
  <c r="Q1669" i="12"/>
  <c r="Q1659" i="12"/>
  <c r="Q1647" i="12"/>
  <c r="Q1637" i="12"/>
  <c r="Q1627" i="12"/>
  <c r="Q1615" i="12"/>
  <c r="Q1605" i="12"/>
  <c r="Q1595" i="12"/>
  <c r="Q1583" i="12"/>
  <c r="Q1573" i="12"/>
  <c r="Q1563" i="12"/>
  <c r="Q1551" i="12"/>
  <c r="Q1541" i="12"/>
  <c r="Q1531" i="12"/>
  <c r="Q1519" i="12"/>
  <c r="Q1509" i="12"/>
  <c r="Q1499" i="12"/>
  <c r="Q1487" i="12"/>
  <c r="Q1477" i="12"/>
  <c r="Q1467" i="12"/>
  <c r="Q1455" i="12"/>
  <c r="Q1445" i="12"/>
  <c r="Q1435" i="12"/>
  <c r="Q1423" i="12"/>
  <c r="Q1413" i="12"/>
  <c r="Q1403" i="12"/>
  <c r="Q1391" i="12"/>
  <c r="Q1381" i="12"/>
  <c r="Q1371" i="12"/>
  <c r="Q1359" i="12"/>
  <c r="Q1349" i="12"/>
  <c r="Q1339" i="12"/>
  <c r="Q1327" i="12"/>
  <c r="Q1317" i="12"/>
  <c r="Q1307" i="12"/>
  <c r="Q1295" i="12"/>
  <c r="Q1285" i="12"/>
  <c r="Q1275" i="12"/>
  <c r="Q1263" i="12"/>
  <c r="Q1253" i="12"/>
  <c r="Q1243" i="12"/>
  <c r="Q1231" i="12"/>
  <c r="Q1221" i="12"/>
  <c r="Q1211" i="12"/>
  <c r="Q1199" i="12"/>
  <c r="Q1189" i="12"/>
  <c r="Q1179" i="12"/>
  <c r="Q1167" i="12"/>
  <c r="Q1157" i="12"/>
  <c r="Q1147" i="12"/>
  <c r="Q1135" i="12"/>
  <c r="Q1125" i="12"/>
  <c r="Q1115" i="12"/>
  <c r="Q1103" i="12"/>
  <c r="Q1093" i="12"/>
  <c r="Q1083" i="12"/>
  <c r="Q1071" i="12"/>
  <c r="Q1061" i="12"/>
  <c r="Q1051" i="12"/>
  <c r="Q1039" i="12"/>
  <c r="Q1029" i="12"/>
  <c r="Q1019" i="12"/>
  <c r="Q1007" i="12"/>
  <c r="Q997" i="12"/>
  <c r="Q987" i="12"/>
  <c r="Q975" i="12"/>
  <c r="Q965" i="12"/>
  <c r="Q955" i="12"/>
  <c r="Q943" i="12"/>
  <c r="Q933" i="12"/>
  <c r="Q923" i="12"/>
  <c r="Q911" i="12"/>
  <c r="Q901" i="12"/>
  <c r="Q891" i="12"/>
  <c r="Q879" i="12"/>
  <c r="Q869" i="12"/>
  <c r="Q859" i="12"/>
  <c r="Q847" i="12"/>
  <c r="Q837" i="12"/>
  <c r="Q827" i="12"/>
  <c r="Q815" i="12"/>
  <c r="Q805" i="12"/>
  <c r="Q795" i="12"/>
  <c r="Q783" i="12"/>
  <c r="Q773" i="12"/>
  <c r="Q763" i="12"/>
  <c r="Q751" i="12"/>
  <c r="Q741" i="12"/>
  <c r="Q731" i="12"/>
  <c r="Q719" i="12"/>
  <c r="Q709" i="12"/>
  <c r="Q699" i="12"/>
  <c r="Q687" i="12"/>
  <c r="Q677" i="12"/>
  <c r="Q667" i="12"/>
  <c r="Q655" i="12"/>
  <c r="Q645" i="12"/>
  <c r="Q635" i="12"/>
  <c r="Q623" i="12"/>
  <c r="Q613" i="12"/>
  <c r="Q603" i="12"/>
  <c r="Q591" i="12"/>
  <c r="Q581" i="12"/>
  <c r="Q571" i="12"/>
  <c r="Q559" i="12"/>
  <c r="Q549" i="12"/>
  <c r="Q539" i="12"/>
  <c r="Q527" i="12"/>
  <c r="Q517" i="12"/>
  <c r="Q507" i="12"/>
  <c r="Q495" i="12"/>
  <c r="Q485" i="12"/>
  <c r="Q475" i="12"/>
  <c r="Q463" i="12"/>
  <c r="Q453" i="12"/>
  <c r="Q443" i="12"/>
  <c r="Q431" i="12"/>
  <c r="Q421" i="12"/>
  <c r="Q411" i="12"/>
  <c r="Q399" i="12"/>
  <c r="Q389" i="12"/>
  <c r="Q379" i="12"/>
  <c r="Q367" i="12"/>
  <c r="Q357" i="12"/>
  <c r="Q347" i="12"/>
  <c r="Q335" i="12"/>
  <c r="Q325" i="12"/>
  <c r="Q315" i="12"/>
  <c r="Q303" i="12"/>
  <c r="Q293" i="12"/>
  <c r="Q283" i="12"/>
  <c r="Q271" i="12"/>
  <c r="Q261" i="12"/>
  <c r="Q251" i="12"/>
  <c r="Q239" i="12"/>
  <c r="Q229" i="12"/>
  <c r="Q219" i="12"/>
  <c r="Q207" i="12"/>
  <c r="Q197" i="12"/>
  <c r="Q187" i="12"/>
  <c r="Q175" i="12"/>
  <c r="Q165" i="12"/>
  <c r="Q155" i="12"/>
  <c r="Q143" i="12"/>
  <c r="Q133" i="12"/>
  <c r="Q123" i="12"/>
  <c r="Q111" i="12"/>
  <c r="Q101" i="12"/>
  <c r="Q91" i="12"/>
  <c r="Q79" i="12"/>
  <c r="Q69" i="12"/>
  <c r="Q59" i="12"/>
  <c r="Q47" i="12"/>
  <c r="Q37" i="12"/>
  <c r="Q29" i="12"/>
  <c r="Q21" i="12"/>
  <c r="Q13" i="12"/>
  <c r="Q5" i="12"/>
  <c r="Q2190" i="12"/>
  <c r="Q2180" i="12"/>
  <c r="Q2170" i="12"/>
  <c r="Q2158" i="12"/>
  <c r="Q2148" i="12"/>
  <c r="Q2138" i="12"/>
  <c r="Q2126" i="12"/>
  <c r="Q2116" i="12"/>
  <c r="Q2106" i="12"/>
  <c r="Q2094" i="12"/>
  <c r="Q2084" i="12"/>
  <c r="Q2074" i="12"/>
  <c r="Q2062" i="12"/>
  <c r="Q2052" i="12"/>
  <c r="Q2042" i="12"/>
  <c r="Q2030" i="12"/>
  <c r="Q2020" i="12"/>
  <c r="Q2010" i="12"/>
  <c r="Q1998" i="12"/>
  <c r="Q1988" i="12"/>
  <c r="Q1978" i="12"/>
  <c r="Q1966" i="12"/>
  <c r="Q1956" i="12"/>
  <c r="Q1946" i="12"/>
  <c r="Q1934" i="12"/>
  <c r="Q1924" i="12"/>
  <c r="Q1914" i="12"/>
  <c r="Q1902" i="12"/>
  <c r="Q1892" i="12"/>
  <c r="Q1882" i="12"/>
  <c r="Q1870" i="12"/>
  <c r="Q1860" i="12"/>
  <c r="Q1850" i="12"/>
  <c r="Q1838" i="12"/>
  <c r="Q1828" i="12"/>
  <c r="Q1818" i="12"/>
  <c r="Q1806" i="12"/>
  <c r="Q1796" i="12"/>
  <c r="Q1786" i="12"/>
  <c r="Q1774" i="12"/>
  <c r="Q1764" i="12"/>
  <c r="Q1754" i="12"/>
  <c r="Q1742" i="12"/>
  <c r="Q1732" i="12"/>
  <c r="Q1722" i="12"/>
  <c r="Q1710" i="12"/>
  <c r="Q1700" i="12"/>
  <c r="Q1690" i="12"/>
  <c r="Q1678" i="12"/>
  <c r="Q1668" i="12"/>
  <c r="Q1658" i="12"/>
  <c r="Q1646" i="12"/>
  <c r="Q1636" i="12"/>
  <c r="Q1626" i="12"/>
  <c r="Q1614" i="12"/>
  <c r="Q1604" i="12"/>
  <c r="Q1594" i="12"/>
  <c r="Q1582" i="12"/>
  <c r="Q1572" i="12"/>
  <c r="Q1562" i="12"/>
  <c r="Q1550" i="12"/>
  <c r="Q1540" i="12"/>
  <c r="Q1530" i="12"/>
  <c r="Q1518" i="12"/>
  <c r="Q1508" i="12"/>
  <c r="Q1498" i="12"/>
  <c r="Q1486" i="12"/>
  <c r="Q1476" i="12"/>
  <c r="Q1466" i="12"/>
  <c r="Q1454" i="12"/>
  <c r="Q1444" i="12"/>
  <c r="Q1434" i="12"/>
  <c r="Q1422" i="12"/>
  <c r="Q1412" i="12"/>
  <c r="Q1402" i="12"/>
  <c r="Q1390" i="12"/>
  <c r="Q1380" i="12"/>
  <c r="Q1370" i="12"/>
  <c r="Q1358" i="12"/>
  <c r="Q1348" i="12"/>
  <c r="Q1338" i="12"/>
  <c r="Q1326" i="12"/>
  <c r="Q1316" i="12"/>
  <c r="Q1306" i="12"/>
  <c r="Q1294" i="12"/>
  <c r="Q1284" i="12"/>
  <c r="Q1274" i="12"/>
  <c r="Q1262" i="12"/>
  <c r="Q1252" i="12"/>
  <c r="Q1242" i="12"/>
  <c r="Q1230" i="12"/>
  <c r="Q1220" i="12"/>
  <c r="Q1210" i="12"/>
  <c r="Q1198" i="12"/>
  <c r="Q1188" i="12"/>
  <c r="Q1178" i="12"/>
  <c r="Q1166" i="12"/>
  <c r="Q1156" i="12"/>
  <c r="Q1146" i="12"/>
  <c r="Q1134" i="12"/>
  <c r="Q1124" i="12"/>
  <c r="Q1114" i="12"/>
  <c r="Q1102" i="12"/>
  <c r="Q1092" i="12"/>
  <c r="Q1082" i="12"/>
  <c r="Q1070" i="12"/>
  <c r="Q1060" i="12"/>
  <c r="Q1050" i="12"/>
  <c r="Q1038" i="12"/>
  <c r="Q1028" i="12"/>
  <c r="Q1018" i="12"/>
  <c r="Q1006" i="12"/>
  <c r="Q996" i="12"/>
  <c r="Q986" i="12"/>
  <c r="Q974" i="12"/>
  <c r="Q964" i="12"/>
  <c r="Q954" i="12"/>
  <c r="Q942" i="12"/>
  <c r="Q932" i="12"/>
  <c r="Q922" i="12"/>
  <c r="Q910" i="12"/>
  <c r="Q900" i="12"/>
  <c r="Q890" i="12"/>
  <c r="Q878" i="12"/>
  <c r="Q868" i="12"/>
  <c r="Q858" i="12"/>
  <c r="Q846" i="12"/>
  <c r="Q836" i="12"/>
  <c r="Q826" i="12"/>
  <c r="Q814" i="12"/>
  <c r="Q804" i="12"/>
  <c r="Q794" i="12"/>
  <c r="Q782" i="12"/>
  <c r="Q772" i="12"/>
  <c r="Q762" i="12"/>
  <c r="Q750" i="12"/>
  <c r="Q740" i="12"/>
  <c r="Q730" i="12"/>
  <c r="Q718" i="12"/>
  <c r="Q708" i="12"/>
  <c r="Q698" i="12"/>
  <c r="Q686" i="12"/>
  <c r="Q676" i="12"/>
  <c r="Q666" i="12"/>
  <c r="Q654" i="12"/>
  <c r="Q644" i="12"/>
  <c r="Q634" i="12"/>
  <c r="Q622" i="12"/>
  <c r="Q612" i="12"/>
  <c r="Q602" i="12"/>
  <c r="Q590" i="12"/>
  <c r="Q580" i="12"/>
  <c r="Q570" i="12"/>
  <c r="Q558" i="12"/>
  <c r="Q548" i="12"/>
  <c r="Q538" i="12"/>
  <c r="Q526" i="12"/>
  <c r="Q516" i="12"/>
  <c r="Q506" i="12"/>
  <c r="Q494" i="12"/>
  <c r="Q484" i="12"/>
  <c r="Q474" i="12"/>
  <c r="Q462" i="12"/>
  <c r="Q452" i="12"/>
  <c r="Q442" i="12"/>
  <c r="Q430" i="12"/>
  <c r="Q420" i="12"/>
  <c r="Q410" i="12"/>
  <c r="Q398" i="12"/>
  <c r="Q388" i="12"/>
  <c r="Q378" i="12"/>
  <c r="Q366" i="12"/>
  <c r="Q356" i="12"/>
  <c r="Q346" i="12"/>
  <c r="Q334" i="12"/>
  <c r="Q324" i="12"/>
  <c r="Q314" i="12"/>
  <c r="Q302" i="12"/>
  <c r="Q292" i="12"/>
  <c r="Q282" i="12"/>
  <c r="Q270" i="12"/>
  <c r="Q260" i="12"/>
  <c r="Q250" i="12"/>
  <c r="Q238" i="12"/>
  <c r="Q228" i="12"/>
  <c r="Q218" i="12"/>
  <c r="Q206" i="12"/>
  <c r="Q196" i="12"/>
  <c r="Q186" i="12"/>
  <c r="Q174" i="12"/>
  <c r="Q164" i="12"/>
  <c r="Q154" i="12"/>
  <c r="Q142" i="12"/>
  <c r="Q132" i="12"/>
  <c r="Q122" i="12"/>
  <c r="Q110" i="12"/>
  <c r="Q100" i="12"/>
  <c r="Q90" i="12"/>
  <c r="Q78" i="12"/>
  <c r="Q68" i="12"/>
  <c r="Q58" i="12"/>
  <c r="Q46" i="12"/>
  <c r="Q36" i="12"/>
  <c r="Q28" i="12"/>
  <c r="Q20" i="12"/>
  <c r="Q12" i="12"/>
  <c r="Q4" i="12"/>
  <c r="Q2199" i="12"/>
  <c r="Q2189" i="12"/>
  <c r="Q2179" i="12"/>
  <c r="Q2167" i="12"/>
  <c r="Q2157" i="12"/>
  <c r="Q2147" i="12"/>
  <c r="Q2135" i="12"/>
  <c r="Q2125" i="12"/>
  <c r="Q2115" i="12"/>
  <c r="Q2103" i="12"/>
  <c r="Q2093" i="12"/>
  <c r="Q2083" i="12"/>
  <c r="Q2071" i="12"/>
  <c r="Q2061" i="12"/>
  <c r="Q2051" i="12"/>
  <c r="Q2039" i="12"/>
  <c r="Q2029" i="12"/>
  <c r="Q2019" i="12"/>
  <c r="Q2007" i="12"/>
  <c r="Q1997" i="12"/>
  <c r="Q1987" i="12"/>
  <c r="Q1975" i="12"/>
  <c r="Q1965" i="12"/>
  <c r="Q1955" i="12"/>
  <c r="Q1943" i="12"/>
  <c r="Q1933" i="12"/>
  <c r="Q1923" i="12"/>
  <c r="Q1911" i="12"/>
  <c r="Q1901" i="12"/>
  <c r="Q1891" i="12"/>
  <c r="Q1879" i="12"/>
  <c r="Q1869" i="12"/>
  <c r="Q1859" i="12"/>
  <c r="Q1847" i="12"/>
  <c r="Q1837" i="12"/>
  <c r="Q1827" i="12"/>
  <c r="Q1815" i="12"/>
  <c r="Q1805" i="12"/>
  <c r="Q1795" i="12"/>
  <c r="Q1783" i="12"/>
  <c r="Q1773" i="12"/>
  <c r="Q1763" i="12"/>
  <c r="Q1751" i="12"/>
  <c r="Q1741" i="12"/>
  <c r="Q1731" i="12"/>
  <c r="Q1719" i="12"/>
  <c r="Q1709" i="12"/>
  <c r="Q1699" i="12"/>
  <c r="Q1687" i="12"/>
  <c r="Q1677" i="12"/>
  <c r="Q1667" i="12"/>
  <c r="Q1655" i="12"/>
  <c r="Q1645" i="12"/>
  <c r="Q1635" i="12"/>
  <c r="Q1623" i="12"/>
  <c r="Q1613" i="12"/>
  <c r="Q1603" i="12"/>
  <c r="Q1591" i="12"/>
  <c r="Q1581" i="12"/>
  <c r="Q1571" i="12"/>
  <c r="Q1559" i="12"/>
  <c r="Q1549" i="12"/>
  <c r="Q1539" i="12"/>
  <c r="Q1527" i="12"/>
  <c r="Q1517" i="12"/>
  <c r="Q1507" i="12"/>
  <c r="Q1495" i="12"/>
  <c r="Q1485" i="12"/>
  <c r="Q1475" i="12"/>
  <c r="Q1463" i="12"/>
  <c r="Q1453" i="12"/>
  <c r="Q1443" i="12"/>
  <c r="Q1431" i="12"/>
  <c r="Q1421" i="12"/>
  <c r="Q1411" i="12"/>
  <c r="Q1399" i="12"/>
  <c r="Q1389" i="12"/>
  <c r="Q1379" i="12"/>
  <c r="Q1367" i="12"/>
  <c r="Q1357" i="12"/>
  <c r="Q1347" i="12"/>
  <c r="Q1335" i="12"/>
  <c r="Q1325" i="12"/>
  <c r="Q1315" i="12"/>
  <c r="Q1303" i="12"/>
  <c r="Q1293" i="12"/>
  <c r="Q1283" i="12"/>
  <c r="Q1271" i="12"/>
  <c r="Q1261" i="12"/>
  <c r="Q1251" i="12"/>
  <c r="Q1239" i="12"/>
  <c r="Q1229" i="12"/>
  <c r="Q1219" i="12"/>
  <c r="Q1207" i="12"/>
  <c r="Q1197" i="12"/>
  <c r="Q1187" i="12"/>
  <c r="Q1175" i="12"/>
  <c r="Q1165" i="12"/>
  <c r="Q1155" i="12"/>
  <c r="Q1143" i="12"/>
  <c r="Q1133" i="12"/>
  <c r="Q1123" i="12"/>
  <c r="Q1111" i="12"/>
  <c r="Q1101" i="12"/>
  <c r="Q1091" i="12"/>
  <c r="Q1079" i="12"/>
  <c r="Q1069" i="12"/>
  <c r="Q1059" i="12"/>
  <c r="Q1047" i="12"/>
  <c r="Q1037" i="12"/>
  <c r="Q1027" i="12"/>
  <c r="Q1015" i="12"/>
  <c r="Q1005" i="12"/>
  <c r="Q995" i="12"/>
  <c r="Q983" i="12"/>
  <c r="Q973" i="12"/>
  <c r="Q963" i="12"/>
  <c r="Q951" i="12"/>
  <c r="Q941" i="12"/>
  <c r="Q931" i="12"/>
  <c r="Q919" i="12"/>
  <c r="Q909" i="12"/>
  <c r="Q899" i="12"/>
  <c r="Q887" i="12"/>
  <c r="Q877" i="12"/>
  <c r="Q867" i="12"/>
  <c r="Q855" i="12"/>
  <c r="Q845" i="12"/>
  <c r="Q835" i="12"/>
  <c r="Q823" i="12"/>
  <c r="Q813" i="12"/>
  <c r="Q803" i="12"/>
  <c r="Q791" i="12"/>
  <c r="Q781" i="12"/>
  <c r="Q771" i="12"/>
  <c r="Q759" i="12"/>
  <c r="Q749" i="12"/>
  <c r="Q739" i="12"/>
  <c r="Q727" i="12"/>
  <c r="Q717" i="12"/>
  <c r="Q707" i="12"/>
  <c r="Q695" i="12"/>
  <c r="Q685" i="12"/>
  <c r="Q675" i="12"/>
  <c r="Q663" i="12"/>
  <c r="Q653" i="12"/>
  <c r="Q643" i="12"/>
  <c r="Q631" i="12"/>
  <c r="Q621" i="12"/>
  <c r="Q611" i="12"/>
  <c r="Q599" i="12"/>
  <c r="Q589" i="12"/>
  <c r="Q579" i="12"/>
  <c r="Q567" i="12"/>
  <c r="Q557" i="12"/>
  <c r="Q547" i="12"/>
  <c r="Q535" i="12"/>
  <c r="Q525" i="12"/>
  <c r="Q515" i="12"/>
  <c r="Q503" i="12"/>
  <c r="Q493" i="12"/>
  <c r="Q483" i="12"/>
  <c r="Q471" i="12"/>
  <c r="Q461" i="12"/>
  <c r="Q451" i="12"/>
  <c r="Q439" i="12"/>
  <c r="Q429" i="12"/>
  <c r="Q419" i="12"/>
  <c r="Q407" i="12"/>
  <c r="Q397" i="12"/>
  <c r="Q387" i="12"/>
  <c r="Q375" i="12"/>
  <c r="Q365" i="12"/>
  <c r="Q355" i="12"/>
  <c r="Q343" i="12"/>
  <c r="Q333" i="12"/>
  <c r="Q323" i="12"/>
  <c r="Q311" i="12"/>
  <c r="Q301" i="12"/>
  <c r="Q291" i="12"/>
  <c r="Q279" i="12"/>
  <c r="Q269" i="12"/>
  <c r="Q259" i="12"/>
  <c r="Q247" i="12"/>
  <c r="Q237" i="12"/>
  <c r="Q227" i="12"/>
  <c r="Q215" i="12"/>
  <c r="Q205" i="12"/>
  <c r="Q195" i="12"/>
  <c r="Q183" i="12"/>
  <c r="Q173" i="12"/>
  <c r="Q163" i="12"/>
  <c r="Q151" i="12"/>
  <c r="Q141" i="12"/>
  <c r="Q131" i="12"/>
  <c r="Q119" i="12"/>
  <c r="Q109" i="12"/>
  <c r="Q99" i="12"/>
  <c r="Q87" i="12"/>
  <c r="Q77" i="12"/>
  <c r="Q67" i="12"/>
  <c r="Q55" i="12"/>
  <c r="Q45" i="12"/>
  <c r="Q35" i="12"/>
  <c r="Q27" i="12"/>
  <c r="Q19" i="12"/>
  <c r="Q11" i="12"/>
  <c r="Q3" i="12"/>
  <c r="Q2198" i="12"/>
  <c r="Q2188" i="12"/>
  <c r="Q2178" i="12"/>
  <c r="Q2166" i="12"/>
  <c r="Q2156" i="12"/>
  <c r="Q2146" i="12"/>
  <c r="Q2134" i="12"/>
  <c r="Q2124" i="12"/>
  <c r="Q2114" i="12"/>
  <c r="Q2102" i="12"/>
  <c r="Q2092" i="12"/>
  <c r="Q2082" i="12"/>
  <c r="Q2070" i="12"/>
  <c r="Q2060" i="12"/>
  <c r="Q2050" i="12"/>
  <c r="Q2038" i="12"/>
  <c r="Q2028" i="12"/>
  <c r="Q2018" i="12"/>
  <c r="Q2006" i="12"/>
  <c r="Q1996" i="12"/>
  <c r="Q1986" i="12"/>
  <c r="Q1974" i="12"/>
  <c r="Q1964" i="12"/>
  <c r="Q1954" i="12"/>
  <c r="Q1942" i="12"/>
  <c r="Q1932" i="12"/>
  <c r="Q1922" i="12"/>
  <c r="Q1910" i="12"/>
  <c r="Q1900" i="12"/>
  <c r="Q1890" i="12"/>
  <c r="Q1878" i="12"/>
  <c r="Q1868" i="12"/>
  <c r="Q1858" i="12"/>
  <c r="Q1846" i="12"/>
  <c r="Q1836" i="12"/>
  <c r="Q1826" i="12"/>
  <c r="Q1814" i="12"/>
  <c r="Q1804" i="12"/>
  <c r="Q1794" i="12"/>
  <c r="Q1782" i="12"/>
  <c r="Q1772" i="12"/>
  <c r="Q1762" i="12"/>
  <c r="Q1750" i="12"/>
  <c r="Q1740" i="12"/>
  <c r="Q1730" i="12"/>
  <c r="Q1718" i="12"/>
  <c r="Q1708" i="12"/>
  <c r="Q1698" i="12"/>
  <c r="Q1686" i="12"/>
  <c r="Q1676" i="12"/>
  <c r="Q1666" i="12"/>
  <c r="Q1654" i="12"/>
  <c r="Q1644" i="12"/>
  <c r="Q1634" i="12"/>
  <c r="Q1622" i="12"/>
  <c r="Q1612" i="12"/>
  <c r="Q1602" i="12"/>
  <c r="Q1590" i="12"/>
  <c r="Q1580" i="12"/>
  <c r="Q1570" i="12"/>
  <c r="Q1558" i="12"/>
  <c r="Q1548" i="12"/>
  <c r="Q1538" i="12"/>
  <c r="Q1526" i="12"/>
  <c r="Q1516" i="12"/>
  <c r="Q1506" i="12"/>
  <c r="Q1494" i="12"/>
  <c r="Q1484" i="12"/>
  <c r="Q1474" i="12"/>
  <c r="Q1462" i="12"/>
  <c r="Q1452" i="12"/>
  <c r="Q1442" i="12"/>
  <c r="Q1430" i="12"/>
  <c r="Q1420" i="12"/>
  <c r="Q1410" i="12"/>
  <c r="Q1398" i="12"/>
  <c r="Q1388" i="12"/>
  <c r="Q1378" i="12"/>
  <c r="Q1366" i="12"/>
  <c r="Q1356" i="12"/>
  <c r="Q1346" i="12"/>
  <c r="Q1334" i="12"/>
  <c r="Q1324" i="12"/>
  <c r="Q1314" i="12"/>
  <c r="Q1302" i="12"/>
  <c r="Q1292" i="12"/>
  <c r="Q1282" i="12"/>
  <c r="Q1270" i="12"/>
  <c r="Q1260" i="12"/>
  <c r="Q1250" i="12"/>
  <c r="Q1238" i="12"/>
  <c r="Q1228" i="12"/>
  <c r="Q1218" i="12"/>
  <c r="Q1206" i="12"/>
  <c r="Q1196" i="12"/>
  <c r="Q1186" i="12"/>
  <c r="Q1174" i="12"/>
  <c r="Q1164" i="12"/>
  <c r="Q1154" i="12"/>
  <c r="Q1142" i="12"/>
  <c r="Q1132" i="12"/>
  <c r="Q1122" i="12"/>
  <c r="Q1110" i="12"/>
  <c r="Q1100" i="12"/>
  <c r="Q1090" i="12"/>
  <c r="Q1078" i="12"/>
  <c r="Q1068" i="12"/>
  <c r="Q1058" i="12"/>
  <c r="Q1046" i="12"/>
  <c r="Q1036" i="12"/>
  <c r="Q1026" i="12"/>
  <c r="Q1014" i="12"/>
  <c r="Q1004" i="12"/>
  <c r="Q994" i="12"/>
  <c r="Q982" i="12"/>
  <c r="Q972" i="12"/>
  <c r="Q962" i="12"/>
  <c r="Q950" i="12"/>
  <c r="Q940" i="12"/>
  <c r="Q930" i="12"/>
  <c r="Q918" i="12"/>
  <c r="Q908" i="12"/>
  <c r="Q898" i="12"/>
  <c r="Q886" i="12"/>
  <c r="Q876" i="12"/>
  <c r="Q866" i="12"/>
  <c r="Q854" i="12"/>
  <c r="Q844" i="12"/>
  <c r="Q834" i="12"/>
  <c r="Q822" i="12"/>
  <c r="Q812" i="12"/>
  <c r="Q802" i="12"/>
  <c r="Q790" i="12"/>
  <c r="Q780" i="12"/>
  <c r="Q770" i="12"/>
  <c r="Q758" i="12"/>
  <c r="Q748" i="12"/>
  <c r="Q738" i="12"/>
  <c r="Q726" i="12"/>
  <c r="Q716" i="12"/>
  <c r="Q706" i="12"/>
  <c r="Q694" i="12"/>
  <c r="Q684" i="12"/>
  <c r="Q674" i="12"/>
  <c r="Q662" i="12"/>
  <c r="Q652" i="12"/>
  <c r="Q642" i="12"/>
  <c r="Q630" i="12"/>
  <c r="Q620" i="12"/>
  <c r="Q610" i="12"/>
  <c r="Q598" i="12"/>
  <c r="Q588" i="12"/>
  <c r="Q578" i="12"/>
  <c r="Q566" i="12"/>
  <c r="Q556" i="12"/>
  <c r="Q546" i="12"/>
  <c r="Q534" i="12"/>
  <c r="Q524" i="12"/>
  <c r="Q514" i="12"/>
  <c r="Q502" i="12"/>
  <c r="Q492" i="12"/>
  <c r="Q482" i="12"/>
  <c r="Q470" i="12"/>
  <c r="Q460" i="12"/>
  <c r="Q450" i="12"/>
  <c r="Q438" i="12"/>
  <c r="Q428" i="12"/>
  <c r="Q418" i="12"/>
  <c r="Q406" i="12"/>
  <c r="Q396" i="12"/>
  <c r="Q386" i="12"/>
  <c r="Q374" i="12"/>
  <c r="Q364" i="12"/>
  <c r="Q354" i="12"/>
  <c r="Q342" i="12"/>
  <c r="Q332" i="12"/>
  <c r="Q322" i="12"/>
  <c r="Q310" i="12"/>
  <c r="Q300" i="12"/>
  <c r="Q290" i="12"/>
  <c r="Q278" i="12"/>
  <c r="Q268" i="12"/>
  <c r="Q258" i="12"/>
  <c r="Q246" i="12"/>
  <c r="Q236" i="12"/>
  <c r="Q226" i="12"/>
  <c r="Q214" i="12"/>
  <c r="Q204" i="12"/>
  <c r="Q194" i="12"/>
  <c r="Q182" i="12"/>
  <c r="Q172" i="12"/>
  <c r="Q162" i="12"/>
  <c r="Q150" i="12"/>
  <c r="Q140" i="12"/>
  <c r="Q130" i="12"/>
  <c r="Q118" i="12"/>
  <c r="Q108" i="12"/>
  <c r="Q98" i="12"/>
  <c r="Q86" i="12"/>
  <c r="Q76" i="12"/>
  <c r="Q66" i="12"/>
  <c r="Q54" i="12"/>
  <c r="Q44" i="12"/>
  <c r="Q34" i="12"/>
  <c r="Q26" i="12"/>
  <c r="Q18" i="12"/>
  <c r="Q10" i="12"/>
  <c r="Q2197" i="12"/>
  <c r="Q2187" i="12"/>
  <c r="Q2175" i="12"/>
  <c r="Q2165" i="12"/>
  <c r="Q2155" i="12"/>
  <c r="Q2143" i="12"/>
  <c r="Q2133" i="12"/>
  <c r="Q2123" i="12"/>
  <c r="Q2111" i="12"/>
  <c r="Q2101" i="12"/>
  <c r="Q2091" i="12"/>
  <c r="Q2079" i="12"/>
  <c r="Q2069" i="12"/>
  <c r="Q2059" i="12"/>
  <c r="Q2047" i="12"/>
  <c r="Q2037" i="12"/>
  <c r="Q2027" i="12"/>
  <c r="Q2015" i="12"/>
  <c r="Q2005" i="12"/>
  <c r="Q1995" i="12"/>
  <c r="Q1983" i="12"/>
  <c r="Q1973" i="12"/>
  <c r="Q1963" i="12"/>
  <c r="Q1951" i="12"/>
  <c r="Q1941" i="12"/>
  <c r="Q1931" i="12"/>
  <c r="Q1919" i="12"/>
  <c r="Q1909" i="12"/>
  <c r="Q1899" i="12"/>
  <c r="Q1887" i="12"/>
  <c r="Q1877" i="12"/>
  <c r="Q1867" i="12"/>
  <c r="Q1855" i="12"/>
  <c r="Q1845" i="12"/>
  <c r="Q1835" i="12"/>
  <c r="Q1823" i="12"/>
  <c r="Q1813" i="12"/>
  <c r="Q1803" i="12"/>
  <c r="Q1791" i="12"/>
  <c r="Q1781" i="12"/>
  <c r="Q1771" i="12"/>
  <c r="Q1759" i="12"/>
  <c r="Q1749" i="12"/>
  <c r="Q1739" i="12"/>
  <c r="Q1727" i="12"/>
  <c r="Q1717" i="12"/>
  <c r="Q1707" i="12"/>
  <c r="Q1695" i="12"/>
  <c r="Q1685" i="12"/>
  <c r="Q1675" i="12"/>
  <c r="Q1663" i="12"/>
  <c r="Q1653" i="12"/>
  <c r="Q1643" i="12"/>
  <c r="Q1631" i="12"/>
  <c r="Q1621" i="12"/>
  <c r="Q1611" i="12"/>
  <c r="Q1599" i="12"/>
  <c r="Q1589" i="12"/>
  <c r="Q1579" i="12"/>
  <c r="Q1567" i="12"/>
  <c r="Q1557" i="12"/>
  <c r="Q1547" i="12"/>
  <c r="Q1535" i="12"/>
  <c r="Q1525" i="12"/>
  <c r="Q1515" i="12"/>
  <c r="Q1503" i="12"/>
  <c r="Q1493" i="12"/>
  <c r="Q1483" i="12"/>
  <c r="Q1471" i="12"/>
  <c r="Q1461" i="12"/>
  <c r="Q1451" i="12"/>
  <c r="Q1439" i="12"/>
  <c r="Q1429" i="12"/>
  <c r="Q1419" i="12"/>
  <c r="Q1407" i="12"/>
  <c r="Q1397" i="12"/>
  <c r="Q1387" i="12"/>
  <c r="Q1375" i="12"/>
  <c r="Q1365" i="12"/>
  <c r="Q1355" i="12"/>
  <c r="Q1343" i="12"/>
  <c r="Q1333" i="12"/>
  <c r="Q1323" i="12"/>
  <c r="Q1311" i="12"/>
  <c r="Q1301" i="12"/>
  <c r="Q1291" i="12"/>
  <c r="Q1279" i="12"/>
  <c r="Q1269" i="12"/>
  <c r="Q1259" i="12"/>
  <c r="Q1247" i="12"/>
  <c r="Q1237" i="12"/>
  <c r="Q1227" i="12"/>
  <c r="Q1215" i="12"/>
  <c r="Q1205" i="12"/>
  <c r="Q1195" i="12"/>
  <c r="Q1183" i="12"/>
  <c r="Q1173" i="12"/>
  <c r="Q1163" i="12"/>
  <c r="Q1151" i="12"/>
  <c r="Q1141" i="12"/>
  <c r="Q1131" i="12"/>
  <c r="Q1119" i="12"/>
  <c r="Q1109" i="12"/>
  <c r="Q1099" i="12"/>
  <c r="Q1087" i="12"/>
  <c r="Q1077" i="12"/>
  <c r="Q1067" i="12"/>
  <c r="Q1055" i="12"/>
  <c r="Q1045" i="12"/>
  <c r="Q1035" i="12"/>
  <c r="Q1023" i="12"/>
  <c r="Q1013" i="12"/>
  <c r="Q1003" i="12"/>
  <c r="Q991" i="12"/>
  <c r="Q981" i="12"/>
  <c r="Q971" i="12"/>
  <c r="Q959" i="12"/>
  <c r="Q949" i="12"/>
  <c r="Q939" i="12"/>
  <c r="Q927" i="12"/>
  <c r="Q917" i="12"/>
  <c r="Q907" i="12"/>
  <c r="Q895" i="12"/>
  <c r="Q885" i="12"/>
  <c r="Q875" i="12"/>
  <c r="Q863" i="12"/>
  <c r="Q853" i="12"/>
  <c r="Q843" i="12"/>
  <c r="Q831" i="12"/>
  <c r="Q821" i="12"/>
  <c r="Q811" i="12"/>
  <c r="Q799" i="12"/>
  <c r="Q789" i="12"/>
  <c r="Q779" i="12"/>
  <c r="Q767" i="12"/>
  <c r="Q757" i="12"/>
  <c r="Q747" i="12"/>
  <c r="Q735" i="12"/>
  <c r="Q725" i="12"/>
  <c r="Q715" i="12"/>
  <c r="Q703" i="12"/>
  <c r="Q693" i="12"/>
  <c r="Q683" i="12"/>
  <c r="Q671" i="12"/>
  <c r="Q661" i="12"/>
  <c r="Q651" i="12"/>
  <c r="Q639" i="12"/>
  <c r="Q629" i="12"/>
  <c r="Q619" i="12"/>
  <c r="Q607" i="12"/>
  <c r="Q597" i="12"/>
  <c r="Q587" i="12"/>
  <c r="Q575" i="12"/>
  <c r="Q565" i="12"/>
  <c r="Q555" i="12"/>
  <c r="Q543" i="12"/>
  <c r="Q533" i="12"/>
  <c r="Q2196" i="12"/>
  <c r="Q2186" i="12"/>
  <c r="Q2174" i="12"/>
  <c r="Q2164" i="12"/>
  <c r="Q2154" i="12"/>
  <c r="Q2142" i="12"/>
  <c r="Q2132" i="12"/>
  <c r="Q2122" i="12"/>
  <c r="Q2110" i="12"/>
  <c r="Q2100" i="12"/>
  <c r="Q2090" i="12"/>
  <c r="Q2078" i="12"/>
  <c r="Q2068" i="12"/>
  <c r="Q2058" i="12"/>
  <c r="Q2046" i="12"/>
  <c r="Q2036" i="12"/>
  <c r="Q2026" i="12"/>
  <c r="Q2014" i="12"/>
  <c r="Q2004" i="12"/>
  <c r="Q1994" i="12"/>
  <c r="Q1982" i="12"/>
  <c r="Q1972" i="12"/>
  <c r="Q1962" i="12"/>
  <c r="Q1950" i="12"/>
  <c r="Q1940" i="12"/>
  <c r="Q1930" i="12"/>
  <c r="Q1918" i="12"/>
  <c r="Q1908" i="12"/>
  <c r="Q1898" i="12"/>
  <c r="Q1886" i="12"/>
  <c r="Q1876" i="12"/>
  <c r="Q1866" i="12"/>
  <c r="Q1854" i="12"/>
  <c r="Q1844" i="12"/>
  <c r="Q1834" i="12"/>
  <c r="Q1822" i="12"/>
  <c r="Q1812" i="12"/>
  <c r="Q1802" i="12"/>
  <c r="Q1790" i="12"/>
  <c r="Q1780" i="12"/>
  <c r="Q1770" i="12"/>
  <c r="Q1758" i="12"/>
  <c r="Q1748" i="12"/>
  <c r="Q1738" i="12"/>
  <c r="Q1726" i="12"/>
  <c r="Q1716" i="12"/>
  <c r="Q1706" i="12"/>
  <c r="Q1694" i="12"/>
  <c r="Q1684" i="12"/>
  <c r="Q1674" i="12"/>
  <c r="Q1662" i="12"/>
  <c r="Q1652" i="12"/>
  <c r="Q1642" i="12"/>
  <c r="Q1630" i="12"/>
  <c r="Q1620" i="12"/>
  <c r="Q1610" i="12"/>
  <c r="Q1598" i="12"/>
  <c r="Q1588" i="12"/>
  <c r="Q1578" i="12"/>
  <c r="Q1566" i="12"/>
  <c r="Q1556" i="12"/>
  <c r="Q1546" i="12"/>
  <c r="Q1534" i="12"/>
  <c r="Q1524" i="12"/>
  <c r="Q1514" i="12"/>
  <c r="Q1502" i="12"/>
  <c r="Q1492" i="12"/>
  <c r="Q1482" i="12"/>
  <c r="Q1470" i="12"/>
  <c r="Q1460" i="12"/>
  <c r="Q1450" i="12"/>
  <c r="Q1438" i="12"/>
  <c r="Q1428" i="12"/>
  <c r="Q1418" i="12"/>
  <c r="Q1406" i="12"/>
  <c r="Q1396" i="12"/>
  <c r="Q1386" i="12"/>
  <c r="Q1374" i="12"/>
  <c r="Q1364" i="12"/>
  <c r="Q1354" i="12"/>
  <c r="Q1342" i="12"/>
  <c r="Q1332" i="12"/>
  <c r="Q1322" i="12"/>
  <c r="Q1310" i="12"/>
  <c r="Q1300" i="12"/>
  <c r="Q1290" i="12"/>
  <c r="Q1278" i="12"/>
  <c r="Q1268" i="12"/>
  <c r="Q1258" i="12"/>
  <c r="Q1246" i="12"/>
  <c r="Q1236" i="12"/>
  <c r="Q1226" i="12"/>
  <c r="Q1214" i="12"/>
  <c r="Q1204" i="12"/>
  <c r="Q1194" i="12"/>
  <c r="Q1182" i="12"/>
  <c r="Q1172" i="12"/>
  <c r="Q1162" i="12"/>
  <c r="Q1150" i="12"/>
  <c r="Q1140" i="12"/>
  <c r="Q1130" i="12"/>
  <c r="Q1118" i="12"/>
  <c r="Q1108" i="12"/>
  <c r="Q1098" i="12"/>
  <c r="Q1086" i="12"/>
  <c r="Q1076" i="12"/>
  <c r="Q1066" i="12"/>
  <c r="Q1054" i="12"/>
  <c r="Q1044" i="12"/>
  <c r="Q1034" i="12"/>
  <c r="Q1022" i="12"/>
  <c r="Q1012" i="12"/>
  <c r="Q1002" i="12"/>
  <c r="Q990" i="12"/>
  <c r="Q980" i="12"/>
  <c r="Q970" i="12"/>
  <c r="Q958" i="12"/>
  <c r="Q948" i="12"/>
  <c r="Q938" i="12"/>
  <c r="Q926" i="12"/>
  <c r="Q916" i="12"/>
  <c r="Q906" i="12"/>
  <c r="Q894" i="12"/>
  <c r="Q884" i="12"/>
  <c r="Q874" i="12"/>
  <c r="Q862" i="12"/>
  <c r="Q852" i="12"/>
  <c r="Q842" i="12"/>
  <c r="Q830" i="12"/>
  <c r="Q820" i="12"/>
  <c r="Q810" i="12"/>
  <c r="Q798" i="12"/>
  <c r="Q788" i="12"/>
  <c r="Q778" i="12"/>
  <c r="Q766" i="12"/>
  <c r="Q756" i="12"/>
  <c r="Q746" i="12"/>
  <c r="Q734" i="12"/>
  <c r="Q724" i="12"/>
  <c r="Q714" i="12"/>
  <c r="Q702" i="12"/>
  <c r="Q692" i="12"/>
  <c r="Q682" i="12"/>
  <c r="Q670" i="12"/>
  <c r="Q660" i="12"/>
  <c r="Q650" i="12"/>
  <c r="Q638" i="12"/>
  <c r="Q628" i="12"/>
  <c r="Q618" i="12"/>
  <c r="Q606" i="12"/>
  <c r="Q596" i="12"/>
  <c r="Q586" i="12"/>
  <c r="Q574" i="12"/>
  <c r="Q564" i="12"/>
  <c r="Q554" i="12"/>
  <c r="Q542" i="12"/>
  <c r="Q532" i="12"/>
  <c r="Q522" i="12"/>
  <c r="Q510" i="12"/>
  <c r="Q500" i="12"/>
  <c r="Q490" i="12"/>
  <c r="Q478" i="12"/>
  <c r="Q468" i="12"/>
  <c r="Q458" i="12"/>
  <c r="Q446" i="12"/>
  <c r="Q436" i="12"/>
  <c r="Q426" i="12"/>
  <c r="Q414" i="12"/>
  <c r="Q404" i="12"/>
  <c r="Q394" i="12"/>
  <c r="Q382" i="12"/>
  <c r="Q372" i="12"/>
  <c r="Q362" i="12"/>
  <c r="Q350" i="12"/>
  <c r="Q340" i="12"/>
  <c r="Q330" i="12"/>
  <c r="Q318" i="12"/>
  <c r="Q308" i="12"/>
  <c r="Q298" i="12"/>
  <c r="Q286" i="12"/>
  <c r="Q276" i="12"/>
  <c r="Q266" i="12"/>
  <c r="Q254" i="12"/>
  <c r="Q244" i="12"/>
  <c r="Q234" i="12"/>
  <c r="Q222" i="12"/>
  <c r="Q212" i="12"/>
  <c r="Q202" i="12"/>
  <c r="Q190" i="12"/>
  <c r="Q180" i="12"/>
  <c r="Q170" i="12"/>
  <c r="Q158" i="12"/>
  <c r="Q148" i="12"/>
  <c r="Q138" i="12"/>
  <c r="Q126" i="12"/>
  <c r="Q116" i="12"/>
  <c r="Q106" i="12"/>
  <c r="Q94" i="12"/>
  <c r="Q84" i="12"/>
  <c r="Q74" i="12"/>
  <c r="Q62" i="12"/>
  <c r="Q52" i="12"/>
  <c r="Q42" i="12"/>
  <c r="Q32" i="12"/>
  <c r="Q24" i="12"/>
  <c r="Q16" i="12"/>
  <c r="Q8" i="12"/>
  <c r="Q2195" i="12"/>
  <c r="Q2183" i="12"/>
  <c r="Q2173" i="12"/>
  <c r="Q2163" i="12"/>
  <c r="Q2151" i="12"/>
  <c r="Q2141" i="12"/>
  <c r="Q2131" i="12"/>
  <c r="Q2119" i="12"/>
  <c r="Q2109" i="12"/>
  <c r="Q2099" i="12"/>
  <c r="Q2087" i="12"/>
  <c r="Q2077" i="12"/>
  <c r="Q2067" i="12"/>
  <c r="Q2055" i="12"/>
  <c r="Q2045" i="12"/>
  <c r="Q2035" i="12"/>
  <c r="Q2023" i="12"/>
  <c r="Q2013" i="12"/>
  <c r="Q2003" i="12"/>
  <c r="Q1991" i="12"/>
  <c r="Q1981" i="12"/>
  <c r="Q1971" i="12"/>
  <c r="Q1959" i="12"/>
  <c r="Q1949" i="12"/>
  <c r="Q1939" i="12"/>
  <c r="Q1927" i="12"/>
  <c r="Q1917" i="12"/>
  <c r="Q1907" i="12"/>
  <c r="Q1895" i="12"/>
  <c r="Q1885" i="12"/>
  <c r="Q1875" i="12"/>
  <c r="Q1863" i="12"/>
  <c r="Q1853" i="12"/>
  <c r="Q1843" i="12"/>
  <c r="Q1831" i="12"/>
  <c r="Q1821" i="12"/>
  <c r="Q1811" i="12"/>
  <c r="Q1799" i="12"/>
  <c r="Q1789" i="12"/>
  <c r="Q1779" i="12"/>
  <c r="Q1767" i="12"/>
  <c r="Q1757" i="12"/>
  <c r="Q1747" i="12"/>
  <c r="Q1735" i="12"/>
  <c r="Q1725" i="12"/>
  <c r="Q1715" i="12"/>
  <c r="Q1703" i="12"/>
  <c r="Q1693" i="12"/>
  <c r="Q1683" i="12"/>
  <c r="Q1671" i="12"/>
  <c r="Q1661" i="12"/>
  <c r="Q1651" i="12"/>
  <c r="Q1639" i="12"/>
  <c r="Q1629" i="12"/>
  <c r="Q1619" i="12"/>
  <c r="Q1607" i="12"/>
  <c r="Q1597" i="12"/>
  <c r="Q1587" i="12"/>
  <c r="Q1575" i="12"/>
  <c r="Q1565" i="12"/>
  <c r="Q1555" i="12"/>
  <c r="Q1543" i="12"/>
  <c r="Q1533" i="12"/>
  <c r="Q1523" i="12"/>
  <c r="Q1511" i="12"/>
  <c r="Q1501" i="12"/>
  <c r="Q1491" i="12"/>
  <c r="Q1479" i="12"/>
  <c r="Q1469" i="12"/>
  <c r="Q1459" i="12"/>
  <c r="Q1447" i="12"/>
  <c r="Q1437" i="12"/>
  <c r="Q1427" i="12"/>
  <c r="Q1415" i="12"/>
  <c r="Q1405" i="12"/>
  <c r="Q1395" i="12"/>
  <c r="Q1383" i="12"/>
  <c r="Q1373" i="12"/>
  <c r="Q1363" i="12"/>
  <c r="Q1351" i="12"/>
  <c r="Q1341" i="12"/>
  <c r="Q1331" i="12"/>
  <c r="Q1319" i="12"/>
  <c r="Q1309" i="12"/>
  <c r="Q1299" i="12"/>
  <c r="Q1287" i="12"/>
  <c r="Q1277" i="12"/>
  <c r="Q1267" i="12"/>
  <c r="Q1255" i="12"/>
  <c r="Q1245" i="12"/>
  <c r="Q1235" i="12"/>
  <c r="Q1223" i="12"/>
  <c r="Q1213" i="12"/>
  <c r="Q1203" i="12"/>
  <c r="Q1191" i="12"/>
  <c r="Q1181" i="12"/>
  <c r="Q1171" i="12"/>
  <c r="Q1159" i="12"/>
  <c r="Q1149" i="12"/>
  <c r="Q1139" i="12"/>
  <c r="Q1127" i="12"/>
  <c r="Q1117" i="12"/>
  <c r="Q1107" i="12"/>
  <c r="Q1095" i="12"/>
  <c r="Q1085" i="12"/>
  <c r="Q1075" i="12"/>
  <c r="Q1063" i="12"/>
  <c r="Q1053" i="12"/>
  <c r="Q1043" i="12"/>
  <c r="Q1031" i="12"/>
  <c r="Q1021" i="12"/>
  <c r="Q1011" i="12"/>
  <c r="Q999" i="12"/>
  <c r="Q989" i="12"/>
  <c r="Q979" i="12"/>
  <c r="Q967" i="12"/>
  <c r="Q957" i="12"/>
  <c r="Q947" i="12"/>
  <c r="Q935" i="12"/>
  <c r="Q925" i="12"/>
  <c r="Q915" i="12"/>
  <c r="Q903" i="12"/>
  <c r="Q893" i="12"/>
  <c r="Q883" i="12"/>
  <c r="Q871" i="12"/>
  <c r="Q861" i="12"/>
  <c r="Q851" i="12"/>
  <c r="Q839" i="12"/>
  <c r="Q829" i="12"/>
  <c r="Q819" i="12"/>
  <c r="Q807" i="12"/>
  <c r="Q797" i="12"/>
  <c r="Q787" i="12"/>
  <c r="Q775" i="12"/>
  <c r="Q765" i="12"/>
  <c r="Q755" i="12"/>
  <c r="Q743" i="12"/>
  <c r="Q733" i="12"/>
  <c r="Q723" i="12"/>
  <c r="Q711" i="12"/>
  <c r="Q701" i="12"/>
  <c r="Q691" i="12"/>
  <c r="Q679" i="12"/>
  <c r="Q669" i="12"/>
  <c r="Q659" i="12"/>
  <c r="Q647" i="12"/>
  <c r="Q637" i="12"/>
  <c r="Q627" i="12"/>
  <c r="Q615" i="12"/>
  <c r="Q605" i="12"/>
  <c r="Q595" i="12"/>
  <c r="Q583" i="12"/>
  <c r="Q573" i="12"/>
  <c r="Q563" i="12"/>
  <c r="Q551" i="12"/>
  <c r="Q541" i="12"/>
  <c r="Q531" i="12"/>
  <c r="Q519" i="12"/>
  <c r="Q509" i="12"/>
  <c r="Q499" i="12"/>
  <c r="Q487" i="12"/>
  <c r="Q477" i="12"/>
  <c r="Q467" i="12"/>
  <c r="Q455" i="12"/>
  <c r="Q445" i="12"/>
  <c r="Q435" i="12"/>
  <c r="Q423" i="12"/>
  <c r="Q413" i="12"/>
  <c r="Q403" i="12"/>
  <c r="Q391" i="12"/>
  <c r="Q381" i="12"/>
  <c r="Q371" i="12"/>
  <c r="Q359" i="12"/>
  <c r="Q349" i="12"/>
  <c r="Q339" i="12"/>
  <c r="Q327" i="12"/>
  <c r="Q317" i="12"/>
  <c r="Q307" i="12"/>
  <c r="Q295" i="12"/>
  <c r="Q285" i="12"/>
  <c r="Q275" i="12"/>
  <c r="Q263" i="12"/>
  <c r="Q253" i="12"/>
  <c r="Q243" i="12"/>
  <c r="Q231" i="12"/>
  <c r="Q221" i="12"/>
  <c r="Q211" i="12"/>
  <c r="Q199" i="12"/>
  <c r="Q189" i="12"/>
  <c r="Q179" i="12"/>
  <c r="Q167" i="12"/>
  <c r="Q157" i="12"/>
  <c r="Q147" i="12"/>
  <c r="Q135" i="12"/>
  <c r="Q125" i="12"/>
  <c r="Q115" i="12"/>
  <c r="Q103" i="12"/>
  <c r="Q93" i="12"/>
  <c r="Q83" i="12"/>
  <c r="Q71" i="12"/>
  <c r="Q61" i="12"/>
  <c r="Q51" i="12"/>
  <c r="Q39" i="12"/>
  <c r="Q31" i="12"/>
  <c r="Q23" i="12"/>
  <c r="Q15" i="12"/>
  <c r="Q7" i="12"/>
  <c r="Q2182" i="12"/>
  <c r="Q2098" i="12"/>
  <c r="Q2012" i="12"/>
  <c r="Q1926" i="12"/>
  <c r="Q1842" i="12"/>
  <c r="Q1756" i="12"/>
  <c r="Q1670" i="12"/>
  <c r="Q1586" i="12"/>
  <c r="Q1500" i="12"/>
  <c r="Q1414" i="12"/>
  <c r="Q1330" i="12"/>
  <c r="Q1244" i="12"/>
  <c r="Q1158" i="12"/>
  <c r="Q1074" i="12"/>
  <c r="Q988" i="12"/>
  <c r="Q902" i="12"/>
  <c r="Q818" i="12"/>
  <c r="Q732" i="12"/>
  <c r="Q646" i="12"/>
  <c r="Q562" i="12"/>
  <c r="Q501" i="12"/>
  <c r="Q459" i="12"/>
  <c r="Q415" i="12"/>
  <c r="Q373" i="12"/>
  <c r="Q331" i="12"/>
  <c r="Q287" i="12"/>
  <c r="Q245" i="12"/>
  <c r="Q203" i="12"/>
  <c r="Q159" i="12"/>
  <c r="Q117" i="12"/>
  <c r="Q75" i="12"/>
  <c r="Q33" i="12"/>
  <c r="Q2" i="12"/>
  <c r="T2" i="12" s="1"/>
  <c r="Q2172" i="12"/>
  <c r="Q2086" i="12"/>
  <c r="Q2002" i="12"/>
  <c r="Q1916" i="12"/>
  <c r="Q1830" i="12"/>
  <c r="Q1746" i="12"/>
  <c r="Q1660" i="12"/>
  <c r="Q1574" i="12"/>
  <c r="Q1490" i="12"/>
  <c r="Q1404" i="12"/>
  <c r="Q1318" i="12"/>
  <c r="Q1234" i="12"/>
  <c r="Q1148" i="12"/>
  <c r="Q1062" i="12"/>
  <c r="Q978" i="12"/>
  <c r="Q892" i="12"/>
  <c r="Q806" i="12"/>
  <c r="Q722" i="12"/>
  <c r="Q636" i="12"/>
  <c r="Q550" i="12"/>
  <c r="Q498" i="12"/>
  <c r="Q454" i="12"/>
  <c r="Q412" i="12"/>
  <c r="Q370" i="12"/>
  <c r="Q326" i="12"/>
  <c r="Q284" i="12"/>
  <c r="Q242" i="12"/>
  <c r="Q198" i="12"/>
  <c r="Q156" i="12"/>
  <c r="Q114" i="12"/>
  <c r="Q70" i="12"/>
  <c r="Q30" i="12"/>
  <c r="Q2162" i="12"/>
  <c r="Q2076" i="12"/>
  <c r="Q1990" i="12"/>
  <c r="Q1906" i="12"/>
  <c r="Q1820" i="12"/>
  <c r="Q1734" i="12"/>
  <c r="Q1650" i="12"/>
  <c r="Q1564" i="12"/>
  <c r="Q1478" i="12"/>
  <c r="Q1394" i="12"/>
  <c r="Q1308" i="12"/>
  <c r="Q1222" i="12"/>
  <c r="Q1138" i="12"/>
  <c r="Q1052" i="12"/>
  <c r="Q966" i="12"/>
  <c r="Q882" i="12"/>
  <c r="Q796" i="12"/>
  <c r="Q710" i="12"/>
  <c r="Q626" i="12"/>
  <c r="Q540" i="12"/>
  <c r="Q491" i="12"/>
  <c r="Q447" i="12"/>
  <c r="Q405" i="12"/>
  <c r="Q363" i="12"/>
  <c r="Q319" i="12"/>
  <c r="Q277" i="12"/>
  <c r="Q235" i="12"/>
  <c r="Q191" i="12"/>
  <c r="Q149" i="12"/>
  <c r="Q107" i="12"/>
  <c r="Q63" i="12"/>
  <c r="Q25" i="12"/>
  <c r="Q2150" i="12"/>
  <c r="Q2066" i="12"/>
  <c r="Q1980" i="12"/>
  <c r="Q1894" i="12"/>
  <c r="Q1810" i="12"/>
  <c r="Q1724" i="12"/>
  <c r="Q1638" i="12"/>
  <c r="Q1554" i="12"/>
  <c r="Q1468" i="12"/>
  <c r="Q1382" i="12"/>
  <c r="Q1298" i="12"/>
  <c r="Q1212" i="12"/>
  <c r="Q1126" i="12"/>
  <c r="Q1042" i="12"/>
  <c r="Q956" i="12"/>
  <c r="Q870" i="12"/>
  <c r="Q786" i="12"/>
  <c r="Q700" i="12"/>
  <c r="Q614" i="12"/>
  <c r="Q530" i="12"/>
  <c r="Q486" i="12"/>
  <c r="Q444" i="12"/>
  <c r="Q402" i="12"/>
  <c r="Q358" i="12"/>
  <c r="Q316" i="12"/>
  <c r="Q274" i="12"/>
  <c r="Q230" i="12"/>
  <c r="Q188" i="12"/>
  <c r="Q146" i="12"/>
  <c r="Q102" i="12"/>
  <c r="Q60" i="12"/>
  <c r="Q22" i="12"/>
  <c r="Q2140" i="12"/>
  <c r="Q2054" i="12"/>
  <c r="Q1970" i="12"/>
  <c r="Q1884" i="12"/>
  <c r="Q1798" i="12"/>
  <c r="Q1714" i="12"/>
  <c r="Q1628" i="12"/>
  <c r="Q1542" i="12"/>
  <c r="Q1458" i="12"/>
  <c r="Q1372" i="12"/>
  <c r="Q1286" i="12"/>
  <c r="Q1202" i="12"/>
  <c r="Q1116" i="12"/>
  <c r="Q1030" i="12"/>
  <c r="Q946" i="12"/>
  <c r="Q860" i="12"/>
  <c r="Q774" i="12"/>
  <c r="Q690" i="12"/>
  <c r="Q604" i="12"/>
  <c r="Q523" i="12"/>
  <c r="Q479" i="12"/>
  <c r="Q437" i="12"/>
  <c r="Q395" i="12"/>
  <c r="Q351" i="12"/>
  <c r="Q309" i="12"/>
  <c r="Q267" i="12"/>
  <c r="Q223" i="12"/>
  <c r="Q181" i="12"/>
  <c r="Q139" i="12"/>
  <c r="Q95" i="12"/>
  <c r="Q53" i="12"/>
  <c r="Q17" i="12"/>
  <c r="Q2130" i="12"/>
  <c r="Q2044" i="12"/>
  <c r="Q1958" i="12"/>
  <c r="Q1874" i="12"/>
  <c r="Q1788" i="12"/>
  <c r="Q1702" i="12"/>
  <c r="Q1618" i="12"/>
  <c r="Q1532" i="12"/>
  <c r="Q1446" i="12"/>
  <c r="Q1362" i="12"/>
  <c r="Q1276" i="12"/>
  <c r="Q1190" i="12"/>
  <c r="Q1106" i="12"/>
  <c r="Q1020" i="12"/>
  <c r="Q934" i="12"/>
  <c r="Q850" i="12"/>
  <c r="Q764" i="12"/>
  <c r="Q678" i="12"/>
  <c r="Q594" i="12"/>
  <c r="Q518" i="12"/>
  <c r="Q476" i="12"/>
  <c r="Q434" i="12"/>
  <c r="Q390" i="12"/>
  <c r="Q348" i="12"/>
  <c r="Q306" i="12"/>
  <c r="Q262" i="12"/>
  <c r="Q220" i="12"/>
  <c r="Q178" i="12"/>
  <c r="Q134" i="12"/>
  <c r="Q92" i="12"/>
  <c r="Q50" i="12"/>
  <c r="Q14" i="12"/>
  <c r="Q2118" i="12"/>
  <c r="Q2034" i="12"/>
  <c r="Q1948" i="12"/>
  <c r="Q1862" i="12"/>
  <c r="Q1778" i="12"/>
  <c r="Q1692" i="12"/>
  <c r="Q1606" i="12"/>
  <c r="Q1522" i="12"/>
  <c r="Q1436" i="12"/>
  <c r="Q1350" i="12"/>
  <c r="Q1266" i="12"/>
  <c r="Q1180" i="12"/>
  <c r="Q1094" i="12"/>
  <c r="Q1010" i="12"/>
  <c r="Q924" i="12"/>
  <c r="Q838" i="12"/>
  <c r="Q754" i="12"/>
  <c r="Q668" i="12"/>
  <c r="Q582" i="12"/>
  <c r="Q511" i="12"/>
  <c r="Q469" i="12"/>
  <c r="Q427" i="12"/>
  <c r="Q383" i="12"/>
  <c r="Q341" i="12"/>
  <c r="Q299" i="12"/>
  <c r="Q255" i="12"/>
  <c r="Q213" i="12"/>
  <c r="Q171" i="12"/>
  <c r="Q127" i="12"/>
  <c r="Q85" i="12"/>
  <c r="Q43" i="12"/>
  <c r="Q9" i="12"/>
  <c r="Q2108" i="12"/>
  <c r="Q1426" i="12"/>
  <c r="Q742" i="12"/>
  <c r="Q294" i="12"/>
  <c r="Q2022" i="12"/>
  <c r="Q1340" i="12"/>
  <c r="Q658" i="12"/>
  <c r="Q252" i="12"/>
  <c r="Q1938" i="12"/>
  <c r="Q1254" i="12"/>
  <c r="Q572" i="12"/>
  <c r="Q210" i="12"/>
  <c r="Q1852" i="12"/>
  <c r="Q1170" i="12"/>
  <c r="Q508" i="12"/>
  <c r="Q166" i="12"/>
  <c r="Q1766" i="12"/>
  <c r="Q1084" i="12"/>
  <c r="Q466" i="12"/>
  <c r="Q124" i="12"/>
  <c r="Q1682" i="12"/>
  <c r="Q998" i="12"/>
  <c r="Q422" i="12"/>
  <c r="Q82" i="12"/>
  <c r="Q1596" i="12"/>
  <c r="Q914" i="12"/>
  <c r="Q380" i="12"/>
  <c r="Q38" i="12"/>
  <c r="Q2194" i="12"/>
  <c r="Q1510" i="12"/>
  <c r="Q828" i="12"/>
  <c r="Q338" i="12"/>
  <c r="Q6" i="12"/>
  <c r="I7" i="12"/>
  <c r="H8" i="12"/>
  <c r="H1942" i="12"/>
  <c r="J1936" i="12"/>
  <c r="I1937" i="12"/>
  <c r="H1814" i="12"/>
  <c r="H1913" i="12"/>
  <c r="J6" i="12"/>
  <c r="J1907" i="12"/>
  <c r="I1908" i="12"/>
  <c r="I8" i="12" l="1"/>
  <c r="H9" i="12"/>
  <c r="H1815" i="12"/>
  <c r="J7" i="12"/>
  <c r="I1896" i="12"/>
  <c r="J1896" i="12" s="1"/>
  <c r="H1897" i="12"/>
  <c r="H1943" i="12"/>
  <c r="J1937" i="12"/>
  <c r="T1936" i="12" s="1"/>
  <c r="T1935" i="12" s="1"/>
  <c r="I1938" i="12"/>
  <c r="J1808" i="12"/>
  <c r="I1809" i="12"/>
  <c r="H1914" i="12"/>
  <c r="J1908" i="12"/>
  <c r="I1909" i="12"/>
  <c r="I1703" i="12"/>
  <c r="J1703" i="12" s="1"/>
  <c r="H1704" i="12"/>
  <c r="I1897" i="12" l="1"/>
  <c r="J1897" i="12" s="1"/>
  <c r="H1898" i="12"/>
  <c r="H1816" i="12"/>
  <c r="J1938" i="12"/>
  <c r="I1939" i="12"/>
  <c r="H1915" i="12"/>
  <c r="H1944" i="12"/>
  <c r="I9" i="12"/>
  <c r="J9" i="12" s="1"/>
  <c r="H10" i="12"/>
  <c r="I1704" i="12"/>
  <c r="J1704" i="12" s="1"/>
  <c r="H1705" i="12"/>
  <c r="J1809" i="12"/>
  <c r="T1808" i="12" s="1"/>
  <c r="T1807" i="12" s="1"/>
  <c r="I1810" i="12"/>
  <c r="J8" i="12"/>
  <c r="T7" i="12" s="1"/>
  <c r="T6" i="12" s="1"/>
  <c r="T5" i="12" s="1"/>
  <c r="J1909" i="12"/>
  <c r="I1910" i="12"/>
  <c r="H1916" i="12" l="1"/>
  <c r="I1705" i="12"/>
  <c r="J1705" i="12" s="1"/>
  <c r="H1706" i="12"/>
  <c r="J1939" i="12"/>
  <c r="T1938" i="12" s="1"/>
  <c r="T1937" i="12" s="1"/>
  <c r="I1940" i="12"/>
  <c r="J1910" i="12"/>
  <c r="I1911" i="12"/>
  <c r="I10" i="12"/>
  <c r="J10" i="12" s="1"/>
  <c r="H11" i="12"/>
  <c r="H1817" i="12"/>
  <c r="H1945" i="12"/>
  <c r="I1898" i="12"/>
  <c r="J1898" i="12" s="1"/>
  <c r="T1897" i="12" s="1"/>
  <c r="T1896" i="12" s="1"/>
  <c r="T1895" i="12" s="1"/>
  <c r="T1894" i="12" s="1"/>
  <c r="H1899" i="12"/>
  <c r="J1810" i="12"/>
  <c r="I1811" i="12"/>
  <c r="J1911" i="12" l="1"/>
  <c r="I1912" i="12"/>
  <c r="H1946" i="12"/>
  <c r="J1940" i="12"/>
  <c r="I1941" i="12"/>
  <c r="I1706" i="12"/>
  <c r="J1706" i="12" s="1"/>
  <c r="H1707" i="12"/>
  <c r="J1811" i="12"/>
  <c r="I1812" i="12"/>
  <c r="H1818" i="12"/>
  <c r="I11" i="12"/>
  <c r="J11" i="12" s="1"/>
  <c r="H12" i="12"/>
  <c r="I1899" i="12"/>
  <c r="J1899" i="12" s="1"/>
  <c r="H1900" i="12"/>
  <c r="H1917" i="12"/>
  <c r="J1941" i="12" l="1"/>
  <c r="T1940" i="12" s="1"/>
  <c r="T1939" i="12" s="1"/>
  <c r="I1942" i="12"/>
  <c r="H1819" i="12"/>
  <c r="I12" i="12"/>
  <c r="J12" i="12" s="1"/>
  <c r="H13" i="12"/>
  <c r="H1918" i="12"/>
  <c r="H1947" i="12"/>
  <c r="I1900" i="12"/>
  <c r="J1900" i="12" s="1"/>
  <c r="H1901" i="12"/>
  <c r="J1812" i="12"/>
  <c r="I1813" i="12"/>
  <c r="J1912" i="12"/>
  <c r="T1911" i="12" s="1"/>
  <c r="T1910" i="12" s="1"/>
  <c r="T1909" i="12" s="1"/>
  <c r="T1908" i="12" s="1"/>
  <c r="T1907" i="12" s="1"/>
  <c r="I1913" i="12"/>
  <c r="I1707" i="12"/>
  <c r="J1707" i="12" s="1"/>
  <c r="H1708" i="12"/>
  <c r="T1811" i="12" l="1"/>
  <c r="T1810" i="12" s="1"/>
  <c r="T1809" i="12" s="1"/>
  <c r="I13" i="12"/>
  <c r="J13" i="12" s="1"/>
  <c r="H14" i="12"/>
  <c r="I1901" i="12"/>
  <c r="J1901" i="12" s="1"/>
  <c r="T1900" i="12" s="1"/>
  <c r="T1899" i="12" s="1"/>
  <c r="T1898" i="12" s="1"/>
  <c r="H1902" i="12"/>
  <c r="H1820" i="12"/>
  <c r="H1948" i="12"/>
  <c r="J1813" i="12"/>
  <c r="T1812" i="12" s="1"/>
  <c r="I1814" i="12"/>
  <c r="I1708" i="12"/>
  <c r="J1708" i="12" s="1"/>
  <c r="H1709" i="12"/>
  <c r="J1913" i="12"/>
  <c r="I1914" i="12"/>
  <c r="H1919" i="12"/>
  <c r="J1942" i="12"/>
  <c r="I1943" i="12"/>
  <c r="J1814" i="12" l="1"/>
  <c r="I1815" i="12"/>
  <c r="J1943" i="12"/>
  <c r="T1942" i="12" s="1"/>
  <c r="T1941" i="12" s="1"/>
  <c r="I1944" i="12"/>
  <c r="I1902" i="12"/>
  <c r="J1902" i="12" s="1"/>
  <c r="H1903" i="12"/>
  <c r="I1709" i="12"/>
  <c r="J1709" i="12" s="1"/>
  <c r="T1708" i="12" s="1"/>
  <c r="T1707" i="12" s="1"/>
  <c r="T1706" i="12" s="1"/>
  <c r="T1705" i="12" s="1"/>
  <c r="T1704" i="12" s="1"/>
  <c r="T1703" i="12" s="1"/>
  <c r="T1702" i="12" s="1"/>
  <c r="T1701" i="12" s="1"/>
  <c r="T1700" i="12" s="1"/>
  <c r="H1710" i="12"/>
  <c r="H1920" i="12"/>
  <c r="H1949" i="12"/>
  <c r="J1914" i="12"/>
  <c r="T1913" i="12" s="1"/>
  <c r="T1912" i="12" s="1"/>
  <c r="I1915" i="12"/>
  <c r="H1821" i="12"/>
  <c r="I14" i="12"/>
  <c r="J14" i="12" s="1"/>
  <c r="H15" i="12"/>
  <c r="J1915" i="12" l="1"/>
  <c r="I1916" i="12"/>
  <c r="H1950" i="12"/>
  <c r="I1903" i="12"/>
  <c r="J1903" i="12" s="1"/>
  <c r="H1904" i="12"/>
  <c r="I15" i="12"/>
  <c r="J15" i="12" s="1"/>
  <c r="H16" i="12"/>
  <c r="H1921" i="12"/>
  <c r="J1944" i="12"/>
  <c r="I1945" i="12"/>
  <c r="J1815" i="12"/>
  <c r="I1816" i="12"/>
  <c r="H1822" i="12"/>
  <c r="I1710" i="12"/>
  <c r="J1710" i="12" s="1"/>
  <c r="H1711" i="12"/>
  <c r="I1904" i="12" l="1"/>
  <c r="J1904" i="12" s="1"/>
  <c r="J1816" i="12"/>
  <c r="T1815" i="12" s="1"/>
  <c r="T1814" i="12" s="1"/>
  <c r="I1817" i="12"/>
  <c r="H1951" i="12"/>
  <c r="I1711" i="12"/>
  <c r="J1711" i="12" s="1"/>
  <c r="H1712" i="12"/>
  <c r="H1922" i="12"/>
  <c r="I16" i="12"/>
  <c r="J16" i="12" s="1"/>
  <c r="H17" i="12"/>
  <c r="J1945" i="12"/>
  <c r="T1944" i="12" s="1"/>
  <c r="T1943" i="12" s="1"/>
  <c r="I1946" i="12"/>
  <c r="H1823" i="12"/>
  <c r="J1916" i="12"/>
  <c r="I1917" i="12"/>
  <c r="J1917" i="12" l="1"/>
  <c r="I1918" i="12"/>
  <c r="H1923" i="12"/>
  <c r="H1824" i="12"/>
  <c r="I1712" i="12"/>
  <c r="J1712" i="12" s="1"/>
  <c r="H1713" i="12"/>
  <c r="J1905" i="12"/>
  <c r="T1904" i="12" s="1"/>
  <c r="T1903" i="12" s="1"/>
  <c r="T1902" i="12" s="1"/>
  <c r="J1946" i="12"/>
  <c r="I1947" i="12"/>
  <c r="H1952" i="12"/>
  <c r="I17" i="12"/>
  <c r="J17" i="12" s="1"/>
  <c r="H18" i="12"/>
  <c r="J1817" i="12"/>
  <c r="I1818" i="12"/>
  <c r="J1818" i="12" l="1"/>
  <c r="I1819" i="12"/>
  <c r="H1825" i="12"/>
  <c r="J1947" i="12"/>
  <c r="I1948" i="12"/>
  <c r="H1924" i="12"/>
  <c r="I18" i="12"/>
  <c r="J18" i="12" s="1"/>
  <c r="H19" i="12"/>
  <c r="I1713" i="12"/>
  <c r="J1713" i="12" s="1"/>
  <c r="H1714" i="12"/>
  <c r="H1953" i="12"/>
  <c r="J1918" i="12"/>
  <c r="T1917" i="12" s="1"/>
  <c r="T1916" i="12" s="1"/>
  <c r="T1915" i="12" s="1"/>
  <c r="T1914" i="12" s="1"/>
  <c r="I1919" i="12"/>
  <c r="J1948" i="12" l="1"/>
  <c r="T1947" i="12" s="1"/>
  <c r="T1946" i="12" s="1"/>
  <c r="I1949" i="12"/>
  <c r="I1714" i="12"/>
  <c r="J1714" i="12" s="1"/>
  <c r="H1715" i="12"/>
  <c r="H1826" i="12"/>
  <c r="J1919" i="12"/>
  <c r="I1920" i="12"/>
  <c r="I19" i="12"/>
  <c r="J19" i="12" s="1"/>
  <c r="H20" i="12"/>
  <c r="J1819" i="12"/>
  <c r="I1820" i="12"/>
  <c r="H1954" i="12"/>
  <c r="H1925" i="12"/>
  <c r="H1827" i="12" l="1"/>
  <c r="I1715" i="12"/>
  <c r="J1715" i="12" s="1"/>
  <c r="H1716" i="12"/>
  <c r="J1820" i="12"/>
  <c r="I1821" i="12"/>
  <c r="H1926" i="12"/>
  <c r="I20" i="12"/>
  <c r="J20" i="12" s="1"/>
  <c r="H21" i="12"/>
  <c r="H1955" i="12"/>
  <c r="J1949" i="12"/>
  <c r="I1950" i="12"/>
  <c r="J1920" i="12"/>
  <c r="I1921" i="12"/>
  <c r="H1956" i="12" l="1"/>
  <c r="J1821" i="12"/>
  <c r="I1822" i="12"/>
  <c r="I1716" i="12"/>
  <c r="J1716" i="12" s="1"/>
  <c r="H1717" i="12"/>
  <c r="T1919" i="12"/>
  <c r="T1918" i="12" s="1"/>
  <c r="I21" i="12"/>
  <c r="J21" i="12" s="1"/>
  <c r="H22" i="12"/>
  <c r="H1828" i="12"/>
  <c r="J1921" i="12"/>
  <c r="T1920" i="12" s="1"/>
  <c r="I1922" i="12"/>
  <c r="J1950" i="12"/>
  <c r="I1951" i="12"/>
  <c r="H1927" i="12"/>
  <c r="J1822" i="12" l="1"/>
  <c r="T1821" i="12" s="1"/>
  <c r="T1820" i="12" s="1"/>
  <c r="T1819" i="12" s="1"/>
  <c r="T1818" i="12" s="1"/>
  <c r="T1817" i="12" s="1"/>
  <c r="I1823" i="12"/>
  <c r="J1922" i="12"/>
  <c r="I1923" i="12"/>
  <c r="H1829" i="12"/>
  <c r="H1928" i="12"/>
  <c r="I22" i="12"/>
  <c r="J22" i="12" s="1"/>
  <c r="H23" i="12"/>
  <c r="J1951" i="12"/>
  <c r="T1950" i="12" s="1"/>
  <c r="T1949" i="12" s="1"/>
  <c r="T1948" i="12" s="1"/>
  <c r="I1952" i="12"/>
  <c r="H1957" i="12"/>
  <c r="I1717" i="12"/>
  <c r="J1717" i="12" s="1"/>
  <c r="H1718" i="12"/>
  <c r="I23" i="12" l="1"/>
  <c r="J23" i="12" s="1"/>
  <c r="H24" i="12"/>
  <c r="J1923" i="12"/>
  <c r="I1924" i="12"/>
  <c r="I1718" i="12"/>
  <c r="J1718" i="12" s="1"/>
  <c r="T1717" i="12" s="1"/>
  <c r="T1716" i="12" s="1"/>
  <c r="T1715" i="12" s="1"/>
  <c r="T1714" i="12" s="1"/>
  <c r="T1713" i="12" s="1"/>
  <c r="T1712" i="12" s="1"/>
  <c r="T1711" i="12" s="1"/>
  <c r="T1710" i="12" s="1"/>
  <c r="T1709" i="12" s="1"/>
  <c r="H1719" i="12"/>
  <c r="J1952" i="12"/>
  <c r="I1953" i="12"/>
  <c r="H1958" i="12"/>
  <c r="H1929" i="12"/>
  <c r="J1823" i="12"/>
  <c r="I1824" i="12"/>
  <c r="H1830" i="12"/>
  <c r="H1831" i="12" l="1"/>
  <c r="J1824" i="12"/>
  <c r="I1825" i="12"/>
  <c r="H1930" i="12"/>
  <c r="I1719" i="12"/>
  <c r="J1719" i="12" s="1"/>
  <c r="H1720" i="12"/>
  <c r="H1959" i="12"/>
  <c r="J1924" i="12"/>
  <c r="I1925" i="12"/>
  <c r="J1953" i="12"/>
  <c r="T1952" i="12" s="1"/>
  <c r="T1951" i="12" s="1"/>
  <c r="I1954" i="12"/>
  <c r="I24" i="12"/>
  <c r="J24" i="12" s="1"/>
  <c r="H25" i="12"/>
  <c r="I25" i="12" l="1"/>
  <c r="J25" i="12" s="1"/>
  <c r="T24" i="12" s="1"/>
  <c r="T23" i="12" s="1"/>
  <c r="T22" i="12" s="1"/>
  <c r="T21" i="12" s="1"/>
  <c r="T20" i="12" s="1"/>
  <c r="T19" i="12" s="1"/>
  <c r="T18" i="12" s="1"/>
  <c r="T17" i="12" s="1"/>
  <c r="T16" i="12" s="1"/>
  <c r="T15" i="12" s="1"/>
  <c r="T14" i="12" s="1"/>
  <c r="T13" i="12" s="1"/>
  <c r="T12" i="12" s="1"/>
  <c r="T11" i="12" s="1"/>
  <c r="T10" i="12" s="1"/>
  <c r="T9" i="12" s="1"/>
  <c r="T8" i="12" s="1"/>
  <c r="H26" i="12"/>
  <c r="I1720" i="12"/>
  <c r="J1720" i="12" s="1"/>
  <c r="H1721" i="12"/>
  <c r="J1954" i="12"/>
  <c r="I1955" i="12"/>
  <c r="H1931" i="12"/>
  <c r="J1925" i="12"/>
  <c r="I1926" i="12"/>
  <c r="J1825" i="12"/>
  <c r="T1824" i="12" s="1"/>
  <c r="T1823" i="12" s="1"/>
  <c r="T1822" i="12" s="1"/>
  <c r="I1826" i="12"/>
  <c r="H1960" i="12"/>
  <c r="H1832" i="12"/>
  <c r="H1961" i="12" l="1"/>
  <c r="J1955" i="12"/>
  <c r="I1956" i="12"/>
  <c r="J1826" i="12"/>
  <c r="I1827" i="12"/>
  <c r="I1721" i="12"/>
  <c r="J1721" i="12" s="1"/>
  <c r="H1722" i="12"/>
  <c r="H1932" i="12"/>
  <c r="H1833" i="12"/>
  <c r="J1926" i="12"/>
  <c r="I1927" i="12"/>
  <c r="I26" i="12"/>
  <c r="J26" i="12" s="1"/>
  <c r="H27" i="12"/>
  <c r="J1827" i="12" l="1"/>
  <c r="I1828" i="12"/>
  <c r="I1722" i="12"/>
  <c r="J1722" i="12" s="1"/>
  <c r="H1723" i="12"/>
  <c r="J1927" i="12"/>
  <c r="I1928" i="12"/>
  <c r="H1834" i="12"/>
  <c r="J1956" i="12"/>
  <c r="T1955" i="12" s="1"/>
  <c r="T1954" i="12" s="1"/>
  <c r="T1953" i="12" s="1"/>
  <c r="I1957" i="12"/>
  <c r="I27" i="12"/>
  <c r="J27" i="12" s="1"/>
  <c r="H28" i="12"/>
  <c r="H1962" i="12"/>
  <c r="I28" i="12" l="1"/>
  <c r="J28" i="12" s="1"/>
  <c r="H29" i="12"/>
  <c r="I1723" i="12"/>
  <c r="J1723" i="12" s="1"/>
  <c r="H1724" i="12"/>
  <c r="J1928" i="12"/>
  <c r="I1929" i="12"/>
  <c r="J1957" i="12"/>
  <c r="I1958" i="12"/>
  <c r="J1828" i="12"/>
  <c r="I1829" i="12"/>
  <c r="H1963" i="12"/>
  <c r="H1835" i="12"/>
  <c r="J1929" i="12" l="1"/>
  <c r="I1930" i="12"/>
  <c r="J1829" i="12"/>
  <c r="I1830" i="12"/>
  <c r="H1964" i="12"/>
  <c r="I1724" i="12"/>
  <c r="J1724" i="12" s="1"/>
  <c r="H1725" i="12"/>
  <c r="J1958" i="12"/>
  <c r="I1959" i="12"/>
  <c r="H1836" i="12"/>
  <c r="I29" i="12"/>
  <c r="J29" i="12" s="1"/>
  <c r="H30" i="12"/>
  <c r="J1830" i="12" l="1"/>
  <c r="I1831" i="12"/>
  <c r="J1959" i="12"/>
  <c r="T1958" i="12" s="1"/>
  <c r="T1957" i="12" s="1"/>
  <c r="T1956" i="12" s="1"/>
  <c r="I1960" i="12"/>
  <c r="I30" i="12"/>
  <c r="J30" i="12" s="1"/>
  <c r="H31" i="12"/>
  <c r="I1725" i="12"/>
  <c r="J1725" i="12" s="1"/>
  <c r="T1724" i="12" s="1"/>
  <c r="T1723" i="12" s="1"/>
  <c r="T1722" i="12" s="1"/>
  <c r="T1721" i="12" s="1"/>
  <c r="T1720" i="12" s="1"/>
  <c r="T1719" i="12" s="1"/>
  <c r="T1718" i="12" s="1"/>
  <c r="H1726" i="12"/>
  <c r="J1930" i="12"/>
  <c r="I1931" i="12"/>
  <c r="H1965" i="12"/>
  <c r="H1837" i="12"/>
  <c r="J1931" i="12" l="1"/>
  <c r="I1932" i="12"/>
  <c r="J1932" i="12" s="1"/>
  <c r="I1726" i="12"/>
  <c r="J1726" i="12" s="1"/>
  <c r="H1727" i="12"/>
  <c r="J1960" i="12"/>
  <c r="I1961" i="12"/>
  <c r="H1838" i="12"/>
  <c r="J1831" i="12"/>
  <c r="I1832" i="12"/>
  <c r="H1966" i="12"/>
  <c r="I31" i="12"/>
  <c r="J31" i="12" s="1"/>
  <c r="T30" i="12" s="1"/>
  <c r="T29" i="12" s="1"/>
  <c r="T28" i="12" s="1"/>
  <c r="T27" i="12" s="1"/>
  <c r="T26" i="12" s="1"/>
  <c r="H32" i="12"/>
  <c r="J1961" i="12" l="1"/>
  <c r="I1962" i="12"/>
  <c r="H1967" i="12"/>
  <c r="I1727" i="12"/>
  <c r="J1727" i="12" s="1"/>
  <c r="H1728" i="12"/>
  <c r="J1832" i="12"/>
  <c r="I1833" i="12"/>
  <c r="J1933" i="12"/>
  <c r="T1932" i="12" s="1"/>
  <c r="T1931" i="12" s="1"/>
  <c r="T1930" i="12" s="1"/>
  <c r="T1929" i="12" s="1"/>
  <c r="T1928" i="12" s="1"/>
  <c r="T1927" i="12" s="1"/>
  <c r="T1926" i="12" s="1"/>
  <c r="T1925" i="12" s="1"/>
  <c r="T1924" i="12" s="1"/>
  <c r="T1923" i="12" s="1"/>
  <c r="T1922" i="12" s="1"/>
  <c r="T1921" i="12" s="1"/>
  <c r="H1839" i="12"/>
  <c r="I32" i="12"/>
  <c r="J32" i="12" s="1"/>
  <c r="H33" i="12"/>
  <c r="I33" i="12" l="1"/>
  <c r="J33" i="12" s="1"/>
  <c r="H34" i="12"/>
  <c r="H1840" i="12"/>
  <c r="J1833" i="12"/>
  <c r="I1834" i="12"/>
  <c r="H1968" i="12"/>
  <c r="I1728" i="12"/>
  <c r="J1728" i="12" s="1"/>
  <c r="H1729" i="12"/>
  <c r="J1962" i="12"/>
  <c r="T1961" i="12" s="1"/>
  <c r="T1960" i="12" s="1"/>
  <c r="I1963" i="12"/>
  <c r="J1834" i="12" l="1"/>
  <c r="I1835" i="12"/>
  <c r="H1841" i="12"/>
  <c r="J1963" i="12"/>
  <c r="I1964" i="12"/>
  <c r="I1729" i="12"/>
  <c r="J1729" i="12" s="1"/>
  <c r="H1730" i="12"/>
  <c r="H1969" i="12"/>
  <c r="I34" i="12"/>
  <c r="J34" i="12" s="1"/>
  <c r="H35" i="12"/>
  <c r="J1964" i="12" l="1"/>
  <c r="T1963" i="12" s="1"/>
  <c r="T1962" i="12" s="1"/>
  <c r="I1965" i="12"/>
  <c r="I35" i="12"/>
  <c r="J35" i="12" s="1"/>
  <c r="H36" i="12"/>
  <c r="H1970" i="12"/>
  <c r="H1842" i="12"/>
  <c r="J1835" i="12"/>
  <c r="T1834" i="12" s="1"/>
  <c r="I1836" i="12"/>
  <c r="I1730" i="12"/>
  <c r="J1730" i="12" s="1"/>
  <c r="H1731" i="12"/>
  <c r="T1833" i="12"/>
  <c r="T1832" i="12" s="1"/>
  <c r="T1831" i="12" s="1"/>
  <c r="T1830" i="12" s="1"/>
  <c r="T1829" i="12" s="1"/>
  <c r="T1828" i="12" s="1"/>
  <c r="T1827" i="12" s="1"/>
  <c r="T1826" i="12" s="1"/>
  <c r="T1825" i="12" s="1"/>
  <c r="H1971" i="12" l="1"/>
  <c r="J1965" i="12"/>
  <c r="I1966" i="12"/>
  <c r="J1836" i="12"/>
  <c r="I1837" i="12"/>
  <c r="H1843" i="12"/>
  <c r="I36" i="12"/>
  <c r="J36" i="12" s="1"/>
  <c r="H37" i="12"/>
  <c r="I1731" i="12"/>
  <c r="J1731" i="12" s="1"/>
  <c r="T1730" i="12" s="1"/>
  <c r="T1729" i="12" s="1"/>
  <c r="T1728" i="12" s="1"/>
  <c r="T1727" i="12" s="1"/>
  <c r="T1726" i="12" s="1"/>
  <c r="T1725" i="12" s="1"/>
  <c r="H1732" i="12"/>
  <c r="J1837" i="12" l="1"/>
  <c r="I1838" i="12"/>
  <c r="J1966" i="12"/>
  <c r="T1965" i="12" s="1"/>
  <c r="T1964" i="12" s="1"/>
  <c r="I1967" i="12"/>
  <c r="I37" i="12"/>
  <c r="J37" i="12" s="1"/>
  <c r="H38" i="12"/>
  <c r="I1732" i="12"/>
  <c r="J1732" i="12" s="1"/>
  <c r="H1733" i="12"/>
  <c r="H1972" i="12"/>
  <c r="H1844" i="12"/>
  <c r="H1973" i="12" l="1"/>
  <c r="H1845" i="12"/>
  <c r="I38" i="12"/>
  <c r="J38" i="12" s="1"/>
  <c r="H39" i="12"/>
  <c r="J1967" i="12"/>
  <c r="I1968" i="12"/>
  <c r="J1838" i="12"/>
  <c r="T1837" i="12" s="1"/>
  <c r="T1836" i="12" s="1"/>
  <c r="T1835" i="12" s="1"/>
  <c r="I1839" i="12"/>
  <c r="I1733" i="12"/>
  <c r="J1733" i="12" s="1"/>
  <c r="H1734" i="12"/>
  <c r="J1839" i="12" l="1"/>
  <c r="I1840" i="12"/>
  <c r="H1846" i="12"/>
  <c r="I1734" i="12"/>
  <c r="J1734" i="12" s="1"/>
  <c r="H1735" i="12"/>
  <c r="J1968" i="12"/>
  <c r="T1967" i="12" s="1"/>
  <c r="T1966" i="12" s="1"/>
  <c r="I1969" i="12"/>
  <c r="H1974" i="12"/>
  <c r="I39" i="12"/>
  <c r="J39" i="12" s="1"/>
  <c r="H40" i="12"/>
  <c r="I40" i="12" l="1"/>
  <c r="J40" i="12" s="1"/>
  <c r="H41" i="12"/>
  <c r="I1735" i="12"/>
  <c r="J1735" i="12" s="1"/>
  <c r="H1736" i="12"/>
  <c r="H1975" i="12"/>
  <c r="H1847" i="12"/>
  <c r="J1969" i="12"/>
  <c r="I1970" i="12"/>
  <c r="J1840" i="12"/>
  <c r="I1841" i="12"/>
  <c r="H1976" i="12" l="1"/>
  <c r="J1841" i="12"/>
  <c r="I1842" i="12"/>
  <c r="J1970" i="12"/>
  <c r="T1969" i="12" s="1"/>
  <c r="T1968" i="12" s="1"/>
  <c r="I1971" i="12"/>
  <c r="I1736" i="12"/>
  <c r="J1736" i="12" s="1"/>
  <c r="H1737" i="12"/>
  <c r="H1848" i="12"/>
  <c r="I41" i="12"/>
  <c r="J41" i="12" s="1"/>
  <c r="H42" i="12"/>
  <c r="I42" i="12" l="1"/>
  <c r="J42" i="12" s="1"/>
  <c r="H43" i="12"/>
  <c r="J1971" i="12"/>
  <c r="I1972" i="12"/>
  <c r="H1849" i="12"/>
  <c r="J1842" i="12"/>
  <c r="I1843" i="12"/>
  <c r="I1737" i="12"/>
  <c r="J1737" i="12" s="1"/>
  <c r="H1738" i="12"/>
  <c r="H1977" i="12"/>
  <c r="H1978" i="12" l="1"/>
  <c r="I1738" i="12"/>
  <c r="J1738" i="12" s="1"/>
  <c r="H1739" i="12"/>
  <c r="J1972" i="12"/>
  <c r="T1971" i="12" s="1"/>
  <c r="T1970" i="12" s="1"/>
  <c r="I1973" i="12"/>
  <c r="J1843" i="12"/>
  <c r="T1842" i="12" s="1"/>
  <c r="T1841" i="12" s="1"/>
  <c r="T1840" i="12" s="1"/>
  <c r="T1839" i="12" s="1"/>
  <c r="T1838" i="12" s="1"/>
  <c r="I1844" i="12"/>
  <c r="I43" i="12"/>
  <c r="J43" i="12" s="1"/>
  <c r="H44" i="12"/>
  <c r="H1850" i="12"/>
  <c r="I1739" i="12" l="1"/>
  <c r="J1739" i="12" s="1"/>
  <c r="H1740" i="12"/>
  <c r="H1979" i="12"/>
  <c r="J1973" i="12"/>
  <c r="I1974" i="12"/>
  <c r="I44" i="12"/>
  <c r="J44" i="12" s="1"/>
  <c r="H45" i="12"/>
  <c r="H1851" i="12"/>
  <c r="J1844" i="12"/>
  <c r="I1845" i="12"/>
  <c r="J1845" i="12" l="1"/>
  <c r="I1846" i="12"/>
  <c r="J1974" i="12"/>
  <c r="T1973" i="12" s="1"/>
  <c r="T1972" i="12" s="1"/>
  <c r="I1975" i="12"/>
  <c r="H1980" i="12"/>
  <c r="H1852" i="12"/>
  <c r="I45" i="12"/>
  <c r="J45" i="12" s="1"/>
  <c r="H46" i="12"/>
  <c r="I1740" i="12"/>
  <c r="J1740" i="12" s="1"/>
  <c r="H1741" i="12"/>
  <c r="H1981" i="12" l="1"/>
  <c r="I1741" i="12"/>
  <c r="J1741" i="12" s="1"/>
  <c r="H1742" i="12"/>
  <c r="J1975" i="12"/>
  <c r="I1976" i="12"/>
  <c r="I46" i="12"/>
  <c r="J46" i="12" s="1"/>
  <c r="H47" i="12"/>
  <c r="H1853" i="12"/>
  <c r="J1846" i="12"/>
  <c r="I1847" i="12"/>
  <c r="J1976" i="12" l="1"/>
  <c r="I1977" i="12"/>
  <c r="H1854" i="12"/>
  <c r="I1742" i="12"/>
  <c r="J1742" i="12" s="1"/>
  <c r="H1743" i="12"/>
  <c r="H1982" i="12"/>
  <c r="J1847" i="12"/>
  <c r="T1846" i="12" s="1"/>
  <c r="T1845" i="12" s="1"/>
  <c r="T1844" i="12" s="1"/>
  <c r="I1848" i="12"/>
  <c r="I47" i="12"/>
  <c r="J47" i="12" s="1"/>
  <c r="H48" i="12"/>
  <c r="I48" i="12" l="1"/>
  <c r="J48" i="12" s="1"/>
  <c r="H49" i="12"/>
  <c r="J1848" i="12"/>
  <c r="I1849" i="12"/>
  <c r="H1983" i="12"/>
  <c r="J1977" i="12"/>
  <c r="T1976" i="12" s="1"/>
  <c r="T1975" i="12" s="1"/>
  <c r="I1978" i="12"/>
  <c r="I1743" i="12"/>
  <c r="J1743" i="12" s="1"/>
  <c r="H1744" i="12"/>
  <c r="H1855" i="12"/>
  <c r="H1856" i="12" l="1"/>
  <c r="H1984" i="12"/>
  <c r="J1978" i="12"/>
  <c r="I1979" i="12"/>
  <c r="J1849" i="12"/>
  <c r="I1850" i="12"/>
  <c r="I1744" i="12"/>
  <c r="J1744" i="12" s="1"/>
  <c r="H1745" i="12"/>
  <c r="I49" i="12"/>
  <c r="J49" i="12" s="1"/>
  <c r="H50" i="12"/>
  <c r="J1850" i="12" l="1"/>
  <c r="I1851" i="12"/>
  <c r="I50" i="12"/>
  <c r="J50" i="12" s="1"/>
  <c r="H51" i="12"/>
  <c r="I1745" i="12"/>
  <c r="J1745" i="12" s="1"/>
  <c r="H1746" i="12"/>
  <c r="H1985" i="12"/>
  <c r="H1857" i="12"/>
  <c r="J1979" i="12"/>
  <c r="T1978" i="12" s="1"/>
  <c r="T1977" i="12" s="1"/>
  <c r="I1980" i="12"/>
  <c r="I1746" i="12" l="1"/>
  <c r="J1746" i="12" s="1"/>
  <c r="H1747" i="12"/>
  <c r="I51" i="12"/>
  <c r="J51" i="12" s="1"/>
  <c r="H52" i="12"/>
  <c r="J1980" i="12"/>
  <c r="I1981" i="12"/>
  <c r="H1858" i="12"/>
  <c r="H1986" i="12"/>
  <c r="J1851" i="12"/>
  <c r="I1852" i="12"/>
  <c r="J1981" i="12" l="1"/>
  <c r="T1980" i="12" s="1"/>
  <c r="T1979" i="12" s="1"/>
  <c r="I1982" i="12"/>
  <c r="J1852" i="12"/>
  <c r="I1853" i="12"/>
  <c r="I52" i="12"/>
  <c r="J52" i="12" s="1"/>
  <c r="H53" i="12"/>
  <c r="H1987" i="12"/>
  <c r="I1747" i="12"/>
  <c r="J1747" i="12" s="1"/>
  <c r="H1748" i="12"/>
  <c r="H1859" i="12"/>
  <c r="H1860" i="12" l="1"/>
  <c r="I53" i="12"/>
  <c r="J53" i="12" s="1"/>
  <c r="H54" i="12"/>
  <c r="J1853" i="12"/>
  <c r="I1854" i="12"/>
  <c r="I1748" i="12"/>
  <c r="J1748" i="12" s="1"/>
  <c r="H1749" i="12"/>
  <c r="H1988" i="12"/>
  <c r="J1982" i="12"/>
  <c r="I1983" i="12"/>
  <c r="J1983" i="12" l="1"/>
  <c r="I1984" i="12"/>
  <c r="H1989" i="12"/>
  <c r="J1854" i="12"/>
  <c r="T1853" i="12" s="1"/>
  <c r="T1852" i="12" s="1"/>
  <c r="T1851" i="12" s="1"/>
  <c r="T1850" i="12" s="1"/>
  <c r="T1849" i="12" s="1"/>
  <c r="T1848" i="12" s="1"/>
  <c r="T1847" i="12" s="1"/>
  <c r="I1855" i="12"/>
  <c r="I54" i="12"/>
  <c r="J54" i="12" s="1"/>
  <c r="H55" i="12"/>
  <c r="I1749" i="12"/>
  <c r="J1749" i="12" s="1"/>
  <c r="T1748" i="12" s="1"/>
  <c r="T1747" i="12" s="1"/>
  <c r="T1746" i="12" s="1"/>
  <c r="T1745" i="12" s="1"/>
  <c r="T1744" i="12" s="1"/>
  <c r="T1743" i="12" s="1"/>
  <c r="T1742" i="12" s="1"/>
  <c r="T1741" i="12" s="1"/>
  <c r="T1740" i="12" s="1"/>
  <c r="T1739" i="12" s="1"/>
  <c r="T1738" i="12" s="1"/>
  <c r="T1737" i="12" s="1"/>
  <c r="T1736" i="12" s="1"/>
  <c r="T1735" i="12" s="1"/>
  <c r="T1734" i="12" s="1"/>
  <c r="T1733" i="12" s="1"/>
  <c r="T1732" i="12" s="1"/>
  <c r="T1731" i="12" s="1"/>
  <c r="H1750" i="12"/>
  <c r="H1861" i="12"/>
  <c r="H1862" i="12" l="1"/>
  <c r="I1750" i="12"/>
  <c r="J1750" i="12" s="1"/>
  <c r="H1751" i="12"/>
  <c r="J1855" i="12"/>
  <c r="I1856" i="12"/>
  <c r="H1990" i="12"/>
  <c r="I55" i="12"/>
  <c r="J55" i="12" s="1"/>
  <c r="T54" i="12" s="1"/>
  <c r="T53" i="12" s="1"/>
  <c r="T52" i="12" s="1"/>
  <c r="T51" i="12" s="1"/>
  <c r="T50" i="12" s="1"/>
  <c r="T49" i="12" s="1"/>
  <c r="T48" i="12" s="1"/>
  <c r="T47" i="12" s="1"/>
  <c r="T46" i="12" s="1"/>
  <c r="T45" i="12" s="1"/>
  <c r="T44" i="12" s="1"/>
  <c r="T43" i="12" s="1"/>
  <c r="T42" i="12" s="1"/>
  <c r="T41" i="12" s="1"/>
  <c r="T40" i="12" s="1"/>
  <c r="T39" i="12" s="1"/>
  <c r="T38" i="12" s="1"/>
  <c r="T37" i="12" s="1"/>
  <c r="T36" i="12" s="1"/>
  <c r="T35" i="12" s="1"/>
  <c r="T34" i="12" s="1"/>
  <c r="T33" i="12" s="1"/>
  <c r="T32" i="12" s="1"/>
  <c r="T31" i="12" s="1"/>
  <c r="H56" i="12"/>
  <c r="J1984" i="12"/>
  <c r="I1985" i="12"/>
  <c r="H1991" i="12" l="1"/>
  <c r="H1863" i="12"/>
  <c r="J1856" i="12"/>
  <c r="I1857" i="12"/>
  <c r="J1985" i="12"/>
  <c r="T1984" i="12" s="1"/>
  <c r="T1983" i="12" s="1"/>
  <c r="I1986" i="12"/>
  <c r="I1751" i="12"/>
  <c r="J1751" i="12" s="1"/>
  <c r="H1752" i="12"/>
  <c r="I56" i="12"/>
  <c r="J56" i="12" s="1"/>
  <c r="H57" i="12"/>
  <c r="J1857" i="12" l="1"/>
  <c r="I1858" i="12"/>
  <c r="I1752" i="12"/>
  <c r="J1752" i="12" s="1"/>
  <c r="H1753" i="12"/>
  <c r="H1992" i="12"/>
  <c r="J1986" i="12"/>
  <c r="I1987" i="12"/>
  <c r="I57" i="12"/>
  <c r="J57" i="12" s="1"/>
  <c r="H58" i="12"/>
  <c r="H1864" i="12"/>
  <c r="H1865" i="12" l="1"/>
  <c r="H1993" i="12"/>
  <c r="J1987" i="12"/>
  <c r="T1986" i="12" s="1"/>
  <c r="T1985" i="12" s="1"/>
  <c r="I1988" i="12"/>
  <c r="I58" i="12"/>
  <c r="J58" i="12" s="1"/>
  <c r="H59" i="12"/>
  <c r="I1753" i="12"/>
  <c r="J1753" i="12" s="1"/>
  <c r="H1754" i="12"/>
  <c r="J1858" i="12"/>
  <c r="I1859" i="12"/>
  <c r="H1866" i="12" l="1"/>
  <c r="J1988" i="12"/>
  <c r="I1989" i="12"/>
  <c r="H1994" i="12"/>
  <c r="I1754" i="12"/>
  <c r="J1754" i="12" s="1"/>
  <c r="H1755" i="12"/>
  <c r="J1859" i="12"/>
  <c r="I1860" i="12"/>
  <c r="I59" i="12"/>
  <c r="J59" i="12" s="1"/>
  <c r="H60" i="12"/>
  <c r="H1995" i="12" l="1"/>
  <c r="I60" i="12"/>
  <c r="J60" i="12" s="1"/>
  <c r="H61" i="12"/>
  <c r="J1989" i="12"/>
  <c r="T1988" i="12" s="1"/>
  <c r="T1987" i="12" s="1"/>
  <c r="I1990" i="12"/>
  <c r="H1867" i="12"/>
  <c r="J1860" i="12"/>
  <c r="I1861" i="12"/>
  <c r="I1755" i="12"/>
  <c r="J1755" i="12" s="1"/>
  <c r="H1756" i="12"/>
  <c r="T59" i="12" l="1"/>
  <c r="T58" i="12" s="1"/>
  <c r="T57" i="12" s="1"/>
  <c r="T56" i="12" s="1"/>
  <c r="T55" i="12" s="1"/>
  <c r="H1996" i="12"/>
  <c r="I1756" i="12"/>
  <c r="J1756" i="12" s="1"/>
  <c r="H1757" i="12"/>
  <c r="J1990" i="12"/>
  <c r="I1991" i="12"/>
  <c r="H1868" i="12"/>
  <c r="I61" i="12"/>
  <c r="J61" i="12" s="1"/>
  <c r="H62" i="12"/>
  <c r="J1861" i="12"/>
  <c r="I1862" i="12"/>
  <c r="J1862" i="12" l="1"/>
  <c r="I1863" i="12"/>
  <c r="J1991" i="12"/>
  <c r="T1990" i="12" s="1"/>
  <c r="T1989" i="12" s="1"/>
  <c r="I1992" i="12"/>
  <c r="I62" i="12"/>
  <c r="J62" i="12" s="1"/>
  <c r="H63" i="12"/>
  <c r="I1757" i="12"/>
  <c r="J1757" i="12" s="1"/>
  <c r="H1758" i="12"/>
  <c r="H1869" i="12"/>
  <c r="H1997" i="12"/>
  <c r="J1863" i="12" l="1"/>
  <c r="I1864" i="12"/>
  <c r="H1998" i="12"/>
  <c r="I63" i="12"/>
  <c r="J63" i="12" s="1"/>
  <c r="H64" i="12"/>
  <c r="H1870" i="12"/>
  <c r="J1992" i="12"/>
  <c r="I1993" i="12"/>
  <c r="I1758" i="12"/>
  <c r="J1758" i="12" s="1"/>
  <c r="H1759" i="12"/>
  <c r="H1871" i="12" l="1"/>
  <c r="I1759" i="12"/>
  <c r="J1759" i="12" s="1"/>
  <c r="H1760" i="12"/>
  <c r="I64" i="12"/>
  <c r="J64" i="12" s="1"/>
  <c r="H65" i="12"/>
  <c r="J1993" i="12"/>
  <c r="T1992" i="12" s="1"/>
  <c r="T1991" i="12" s="1"/>
  <c r="I1994" i="12"/>
  <c r="H1999" i="12"/>
  <c r="J1864" i="12"/>
  <c r="I1865" i="12"/>
  <c r="J1865" i="12" l="1"/>
  <c r="I1866" i="12"/>
  <c r="I65" i="12"/>
  <c r="J65" i="12" s="1"/>
  <c r="H66" i="12"/>
  <c r="H2000" i="12"/>
  <c r="H1872" i="12"/>
  <c r="J1994" i="12"/>
  <c r="I1995" i="12"/>
  <c r="I1760" i="12"/>
  <c r="J1760" i="12" s="1"/>
  <c r="H1761" i="12"/>
  <c r="I1761" i="12" l="1"/>
  <c r="J1761" i="12" s="1"/>
  <c r="H1762" i="12"/>
  <c r="I66" i="12"/>
  <c r="J66" i="12" s="1"/>
  <c r="H67" i="12"/>
  <c r="H2001" i="12"/>
  <c r="J1995" i="12"/>
  <c r="T1994" i="12" s="1"/>
  <c r="T1993" i="12" s="1"/>
  <c r="I1996" i="12"/>
  <c r="H1873" i="12"/>
  <c r="J1866" i="12"/>
  <c r="I1867" i="12"/>
  <c r="J1867" i="12" l="1"/>
  <c r="I1868" i="12"/>
  <c r="H1874" i="12"/>
  <c r="I67" i="12"/>
  <c r="J67" i="12" s="1"/>
  <c r="H68" i="12"/>
  <c r="H2002" i="12"/>
  <c r="J1996" i="12"/>
  <c r="I1997" i="12"/>
  <c r="I1762" i="12"/>
  <c r="J1762" i="12" s="1"/>
  <c r="H1763" i="12"/>
  <c r="I68" i="12" l="1"/>
  <c r="J68" i="12" s="1"/>
  <c r="H69" i="12"/>
  <c r="H1875" i="12"/>
  <c r="J1997" i="12"/>
  <c r="T1996" i="12" s="1"/>
  <c r="T1995" i="12" s="1"/>
  <c r="I1998" i="12"/>
  <c r="J1868" i="12"/>
  <c r="I1869" i="12"/>
  <c r="I1763" i="12"/>
  <c r="J1763" i="12" s="1"/>
  <c r="H1764" i="12"/>
  <c r="H2003" i="12"/>
  <c r="H2004" i="12" l="1"/>
  <c r="H1876" i="12"/>
  <c r="I1764" i="12"/>
  <c r="J1764" i="12" s="1"/>
  <c r="H1765" i="12"/>
  <c r="I69" i="12"/>
  <c r="J69" i="12" s="1"/>
  <c r="T68" i="12" s="1"/>
  <c r="T67" i="12" s="1"/>
  <c r="T66" i="12" s="1"/>
  <c r="T65" i="12" s="1"/>
  <c r="T64" i="12" s="1"/>
  <c r="T63" i="12" s="1"/>
  <c r="T62" i="12" s="1"/>
  <c r="T61" i="12" s="1"/>
  <c r="T60" i="12" s="1"/>
  <c r="H70" i="12"/>
  <c r="J1869" i="12"/>
  <c r="I1870" i="12"/>
  <c r="J1998" i="12"/>
  <c r="I1999" i="12"/>
  <c r="J1999" i="12" l="1"/>
  <c r="T1998" i="12" s="1"/>
  <c r="T1997" i="12" s="1"/>
  <c r="I2000" i="12"/>
  <c r="I1765" i="12"/>
  <c r="J1765" i="12" s="1"/>
  <c r="H1766" i="12"/>
  <c r="J1870" i="12"/>
  <c r="I1871" i="12"/>
  <c r="H1877" i="12"/>
  <c r="I70" i="12"/>
  <c r="J70" i="12" s="1"/>
  <c r="H71" i="12"/>
  <c r="H2005" i="12"/>
  <c r="J2000" i="12" l="1"/>
  <c r="I2001" i="12"/>
  <c r="H1878" i="12"/>
  <c r="H2006" i="12"/>
  <c r="J1871" i="12"/>
  <c r="I1872" i="12"/>
  <c r="I71" i="12"/>
  <c r="J71" i="12" s="1"/>
  <c r="H72" i="12"/>
  <c r="I1766" i="12"/>
  <c r="J1766" i="12" s="1"/>
  <c r="T1765" i="12" s="1"/>
  <c r="T1764" i="12" s="1"/>
  <c r="T1763" i="12" s="1"/>
  <c r="T1762" i="12" s="1"/>
  <c r="T1761" i="12" s="1"/>
  <c r="T1760" i="12" s="1"/>
  <c r="T1759" i="12" s="1"/>
  <c r="T1758" i="12" s="1"/>
  <c r="T1757" i="12" s="1"/>
  <c r="T1756" i="12" s="1"/>
  <c r="T1755" i="12" s="1"/>
  <c r="T1754" i="12" s="1"/>
  <c r="T1753" i="12" s="1"/>
  <c r="T1752" i="12" s="1"/>
  <c r="T1751" i="12" s="1"/>
  <c r="T1750" i="12" s="1"/>
  <c r="T1749" i="12" s="1"/>
  <c r="H1767" i="12"/>
  <c r="H2007" i="12" l="1"/>
  <c r="I1767" i="12"/>
  <c r="J1767" i="12" s="1"/>
  <c r="H1768" i="12"/>
  <c r="H1879" i="12"/>
  <c r="I72" i="12"/>
  <c r="J72" i="12" s="1"/>
  <c r="H73" i="12"/>
  <c r="J2001" i="12"/>
  <c r="T2000" i="12" s="1"/>
  <c r="T1999" i="12" s="1"/>
  <c r="I2002" i="12"/>
  <c r="J1872" i="12"/>
  <c r="I1873" i="12"/>
  <c r="I73" i="12" l="1"/>
  <c r="J73" i="12" s="1"/>
  <c r="H74" i="12"/>
  <c r="H1880" i="12"/>
  <c r="H2008" i="12"/>
  <c r="J2002" i="12"/>
  <c r="I2003" i="12"/>
  <c r="I1768" i="12"/>
  <c r="J1768" i="12" s="1"/>
  <c r="H1769" i="12"/>
  <c r="J1873" i="12"/>
  <c r="I1874" i="12"/>
  <c r="I74" i="12" l="1"/>
  <c r="J74" i="12" s="1"/>
  <c r="H75" i="12"/>
  <c r="J1874" i="12"/>
  <c r="T1873" i="12" s="1"/>
  <c r="I1875" i="12"/>
  <c r="H2009" i="12"/>
  <c r="H1881" i="12"/>
  <c r="T1872" i="12"/>
  <c r="T1871" i="12" s="1"/>
  <c r="T1870" i="12" s="1"/>
  <c r="T1869" i="12" s="1"/>
  <c r="T1868" i="12" s="1"/>
  <c r="T1867" i="12" s="1"/>
  <c r="T1866" i="12" s="1"/>
  <c r="T1865" i="12" s="1"/>
  <c r="T1864" i="12" s="1"/>
  <c r="T1863" i="12" s="1"/>
  <c r="T1862" i="12" s="1"/>
  <c r="T1861" i="12" s="1"/>
  <c r="T1860" i="12" s="1"/>
  <c r="T1859" i="12" s="1"/>
  <c r="T1858" i="12" s="1"/>
  <c r="T1857" i="12" s="1"/>
  <c r="T1856" i="12" s="1"/>
  <c r="T1855" i="12" s="1"/>
  <c r="T1854" i="12" s="1"/>
  <c r="I1769" i="12"/>
  <c r="J1769" i="12" s="1"/>
  <c r="H1770" i="12"/>
  <c r="J2003" i="12"/>
  <c r="T2002" i="12" s="1"/>
  <c r="T2001" i="12" s="1"/>
  <c r="I2004" i="12"/>
  <c r="H2010" i="12" l="1"/>
  <c r="H1882" i="12"/>
  <c r="I75" i="12"/>
  <c r="J75" i="12" s="1"/>
  <c r="H76" i="12"/>
  <c r="J2004" i="12"/>
  <c r="I2005" i="12"/>
  <c r="J1875" i="12"/>
  <c r="I1876" i="12"/>
  <c r="I1770" i="12"/>
  <c r="J1770" i="12" s="1"/>
  <c r="H1771" i="12"/>
  <c r="I1771" i="12" l="1"/>
  <c r="J1771" i="12" s="1"/>
  <c r="H1772" i="12"/>
  <c r="I76" i="12"/>
  <c r="J76" i="12" s="1"/>
  <c r="H77" i="12"/>
  <c r="J1876" i="12"/>
  <c r="I1877" i="12"/>
  <c r="H1883" i="12"/>
  <c r="J2005" i="12"/>
  <c r="T2004" i="12" s="1"/>
  <c r="T2003" i="12" s="1"/>
  <c r="I2006" i="12"/>
  <c r="H2011" i="12"/>
  <c r="H1884" i="12" l="1"/>
  <c r="H2012" i="12"/>
  <c r="J2006" i="12"/>
  <c r="I2007" i="12"/>
  <c r="I77" i="12"/>
  <c r="J77" i="12" s="1"/>
  <c r="H78" i="12"/>
  <c r="J1877" i="12"/>
  <c r="I1878" i="12"/>
  <c r="I1772" i="12"/>
  <c r="J1772" i="12" s="1"/>
  <c r="H1773" i="12"/>
  <c r="I1773" i="12" l="1"/>
  <c r="J1773" i="12" s="1"/>
  <c r="H1774" i="12"/>
  <c r="J1878" i="12"/>
  <c r="T1877" i="12" s="1"/>
  <c r="T1876" i="12" s="1"/>
  <c r="T1875" i="12" s="1"/>
  <c r="T1874" i="12" s="1"/>
  <c r="I1879" i="12"/>
  <c r="H2013" i="12"/>
  <c r="I78" i="12"/>
  <c r="J78" i="12" s="1"/>
  <c r="H79" i="12"/>
  <c r="J2007" i="12"/>
  <c r="T2006" i="12" s="1"/>
  <c r="T2005" i="12" s="1"/>
  <c r="I2008" i="12"/>
  <c r="H1885" i="12"/>
  <c r="H2014" i="12" l="1"/>
  <c r="H1886" i="12"/>
  <c r="J2008" i="12"/>
  <c r="I2009" i="12"/>
  <c r="J1879" i="12"/>
  <c r="I1880" i="12"/>
  <c r="I79" i="12"/>
  <c r="J79" i="12" s="1"/>
  <c r="H80" i="12"/>
  <c r="I1774" i="12"/>
  <c r="J1774" i="12" s="1"/>
  <c r="H1775" i="12"/>
  <c r="J2009" i="12" l="1"/>
  <c r="T2008" i="12" s="1"/>
  <c r="T2007" i="12" s="1"/>
  <c r="I2010" i="12"/>
  <c r="I80" i="12"/>
  <c r="J80" i="12" s="1"/>
  <c r="H81" i="12"/>
  <c r="H1887" i="12"/>
  <c r="I1775" i="12"/>
  <c r="J1775" i="12" s="1"/>
  <c r="H1776" i="12"/>
  <c r="J1880" i="12"/>
  <c r="I1881" i="12"/>
  <c r="H2015" i="12"/>
  <c r="H2016" i="12" l="1"/>
  <c r="H1888" i="12"/>
  <c r="J1881" i="12"/>
  <c r="I1882" i="12"/>
  <c r="I81" i="12"/>
  <c r="J81" i="12" s="1"/>
  <c r="H82" i="12"/>
  <c r="I1776" i="12"/>
  <c r="J1776" i="12" s="1"/>
  <c r="H1777" i="12"/>
  <c r="T79" i="12"/>
  <c r="T78" i="12" s="1"/>
  <c r="T77" i="12" s="1"/>
  <c r="T76" i="12" s="1"/>
  <c r="T75" i="12" s="1"/>
  <c r="T74" i="12" s="1"/>
  <c r="T73" i="12" s="1"/>
  <c r="T72" i="12" s="1"/>
  <c r="T71" i="12" s="1"/>
  <c r="T70" i="12" s="1"/>
  <c r="J2010" i="12"/>
  <c r="I2011" i="12"/>
  <c r="J2011" i="12" l="1"/>
  <c r="T2010" i="12" s="1"/>
  <c r="T2009" i="12" s="1"/>
  <c r="I2012" i="12"/>
  <c r="J1882" i="12"/>
  <c r="I1883" i="12"/>
  <c r="H1889" i="12"/>
  <c r="H2017" i="12"/>
  <c r="I1777" i="12"/>
  <c r="J1777" i="12" s="1"/>
  <c r="H1778" i="12"/>
  <c r="I82" i="12"/>
  <c r="J82" i="12" s="1"/>
  <c r="H83" i="12"/>
  <c r="H1890" i="12" l="1"/>
  <c r="I83" i="12"/>
  <c r="J83" i="12" s="1"/>
  <c r="H84" i="12"/>
  <c r="I1778" i="12"/>
  <c r="J1778" i="12" s="1"/>
  <c r="T1777" i="12" s="1"/>
  <c r="H1779" i="12"/>
  <c r="J1883" i="12"/>
  <c r="I1884" i="12"/>
  <c r="H2018" i="12"/>
  <c r="J2012" i="12"/>
  <c r="I2013" i="12"/>
  <c r="T1776" i="12"/>
  <c r="T1775" i="12" s="1"/>
  <c r="T1774" i="12" s="1"/>
  <c r="T1773" i="12" s="1"/>
  <c r="T1772" i="12" s="1"/>
  <c r="T1771" i="12" s="1"/>
  <c r="T1770" i="12" s="1"/>
  <c r="T1769" i="12" s="1"/>
  <c r="T1768" i="12" s="1"/>
  <c r="T1767" i="12" s="1"/>
  <c r="I1779" i="12" l="1"/>
  <c r="J1779" i="12" s="1"/>
  <c r="H1780" i="12"/>
  <c r="H2019" i="12"/>
  <c r="I84" i="12"/>
  <c r="J84" i="12" s="1"/>
  <c r="H85" i="12"/>
  <c r="J2013" i="12"/>
  <c r="T2012" i="12" s="1"/>
  <c r="T2011" i="12" s="1"/>
  <c r="I2014" i="12"/>
  <c r="J1884" i="12"/>
  <c r="T1883" i="12" s="1"/>
  <c r="T1882" i="12" s="1"/>
  <c r="T1881" i="12" s="1"/>
  <c r="T1880" i="12" s="1"/>
  <c r="T1879" i="12" s="1"/>
  <c r="T1878" i="12" s="1"/>
  <c r="I1885" i="12"/>
  <c r="H1891" i="12"/>
  <c r="I85" i="12" l="1"/>
  <c r="J85" i="12" s="1"/>
  <c r="H86" i="12"/>
  <c r="H2020" i="12"/>
  <c r="J1885" i="12"/>
  <c r="I1886" i="12"/>
  <c r="J2014" i="12"/>
  <c r="I2015" i="12"/>
  <c r="I1780" i="12"/>
  <c r="J1780" i="12" s="1"/>
  <c r="H1781" i="12"/>
  <c r="J1886" i="12" l="1"/>
  <c r="I1887" i="12"/>
  <c r="I1781" i="12"/>
  <c r="J1781" i="12" s="1"/>
  <c r="H1782" i="12"/>
  <c r="H2021" i="12"/>
  <c r="J2015" i="12"/>
  <c r="I2016" i="12"/>
  <c r="I86" i="12"/>
  <c r="J86" i="12" s="1"/>
  <c r="H87" i="12"/>
  <c r="I87" i="12" l="1"/>
  <c r="J87" i="12" s="1"/>
  <c r="H88" i="12"/>
  <c r="H2022" i="12"/>
  <c r="I1782" i="12"/>
  <c r="J1782" i="12" s="1"/>
  <c r="H1783" i="12"/>
  <c r="J1887" i="12"/>
  <c r="I1888" i="12"/>
  <c r="J2016" i="12"/>
  <c r="I2017" i="12"/>
  <c r="J1888" i="12" l="1"/>
  <c r="I1889" i="12"/>
  <c r="I1783" i="12"/>
  <c r="J1783" i="12" s="1"/>
  <c r="T1782" i="12" s="1"/>
  <c r="H1784" i="12"/>
  <c r="T1781" i="12"/>
  <c r="T1780" i="12" s="1"/>
  <c r="T1779" i="12" s="1"/>
  <c r="T1778" i="12" s="1"/>
  <c r="H2023" i="12"/>
  <c r="J2017" i="12"/>
  <c r="T2016" i="12" s="1"/>
  <c r="T2015" i="12" s="1"/>
  <c r="T2014" i="12" s="1"/>
  <c r="I2018" i="12"/>
  <c r="I88" i="12"/>
  <c r="J88" i="12" s="1"/>
  <c r="H89" i="12"/>
  <c r="J1889" i="12" l="1"/>
  <c r="I1890" i="12"/>
  <c r="H2024" i="12"/>
  <c r="I89" i="12"/>
  <c r="J89" i="12" s="1"/>
  <c r="H90" i="12"/>
  <c r="T87" i="12"/>
  <c r="T86" i="12" s="1"/>
  <c r="T85" i="12" s="1"/>
  <c r="T84" i="12" s="1"/>
  <c r="T83" i="12" s="1"/>
  <c r="T82" i="12" s="1"/>
  <c r="T81" i="12" s="1"/>
  <c r="T80" i="12" s="1"/>
  <c r="I1784" i="12"/>
  <c r="J1784" i="12" s="1"/>
  <c r="H1785" i="12"/>
  <c r="J2018" i="12"/>
  <c r="I2019" i="12"/>
  <c r="I90" i="12" l="1"/>
  <c r="J90" i="12" s="1"/>
  <c r="H91" i="12"/>
  <c r="J2019" i="12"/>
  <c r="T2018" i="12" s="1"/>
  <c r="T2017" i="12" s="1"/>
  <c r="I2020" i="12"/>
  <c r="H2025" i="12"/>
  <c r="I1785" i="12"/>
  <c r="J1785" i="12" s="1"/>
  <c r="H1786" i="12"/>
  <c r="J1890" i="12"/>
  <c r="T1889" i="12" s="1"/>
  <c r="T1888" i="12" s="1"/>
  <c r="T1887" i="12" s="1"/>
  <c r="T1886" i="12" s="1"/>
  <c r="T1885" i="12" s="1"/>
  <c r="I1891" i="12"/>
  <c r="J1891" i="12" s="1"/>
  <c r="J1892" i="12" s="1"/>
  <c r="T1891" i="12" s="1"/>
  <c r="T1890" i="12" s="1"/>
  <c r="I1786" i="12" l="1"/>
  <c r="J1786" i="12" s="1"/>
  <c r="H1787" i="12"/>
  <c r="I91" i="12"/>
  <c r="J91" i="12" s="1"/>
  <c r="H92" i="12"/>
  <c r="H2026" i="12"/>
  <c r="J2020" i="12"/>
  <c r="I2021" i="12"/>
  <c r="J2021" i="12" l="1"/>
  <c r="T2020" i="12" s="1"/>
  <c r="T2019" i="12" s="1"/>
  <c r="I2022" i="12"/>
  <c r="I1787" i="12"/>
  <c r="J1787" i="12" s="1"/>
  <c r="H1788" i="12"/>
  <c r="H2027" i="12"/>
  <c r="I92" i="12"/>
  <c r="J92" i="12" s="1"/>
  <c r="H93" i="12"/>
  <c r="I93" i="12" l="1"/>
  <c r="J93" i="12" s="1"/>
  <c r="H94" i="12"/>
  <c r="H2028" i="12"/>
  <c r="T91" i="12"/>
  <c r="T90" i="12" s="1"/>
  <c r="T89" i="12" s="1"/>
  <c r="T88" i="12" s="1"/>
  <c r="I1788" i="12"/>
  <c r="J1788" i="12" s="1"/>
  <c r="H1789" i="12"/>
  <c r="J2022" i="12"/>
  <c r="I2023" i="12"/>
  <c r="J2023" i="12" l="1"/>
  <c r="T2022" i="12" s="1"/>
  <c r="T2021" i="12" s="1"/>
  <c r="I2024" i="12"/>
  <c r="I1789" i="12"/>
  <c r="J1789" i="12" s="1"/>
  <c r="H1790" i="12"/>
  <c r="H2029" i="12"/>
  <c r="I94" i="12"/>
  <c r="J94" i="12" s="1"/>
  <c r="H95" i="12"/>
  <c r="H2030" i="12" l="1"/>
  <c r="J2024" i="12"/>
  <c r="I2025" i="12"/>
  <c r="I95" i="12"/>
  <c r="J95" i="12" s="1"/>
  <c r="T94" i="12" s="1"/>
  <c r="T93" i="12" s="1"/>
  <c r="T92" i="12" s="1"/>
  <c r="H96" i="12"/>
  <c r="I1790" i="12"/>
  <c r="J1790" i="12" s="1"/>
  <c r="H1791" i="12"/>
  <c r="I96" i="12" l="1"/>
  <c r="J96" i="12" s="1"/>
  <c r="H97" i="12"/>
  <c r="J2025" i="12"/>
  <c r="T2024" i="12" s="1"/>
  <c r="T2023" i="12" s="1"/>
  <c r="I2026" i="12"/>
  <c r="H2031" i="12"/>
  <c r="I1791" i="12"/>
  <c r="J1791" i="12" s="1"/>
  <c r="H1792" i="12"/>
  <c r="J2026" i="12" l="1"/>
  <c r="I2027" i="12"/>
  <c r="H2032" i="12"/>
  <c r="I1792" i="12"/>
  <c r="J1792" i="12" s="1"/>
  <c r="H1793" i="12"/>
  <c r="I97" i="12"/>
  <c r="J97" i="12" s="1"/>
  <c r="H98" i="12"/>
  <c r="I1793" i="12" l="1"/>
  <c r="J1793" i="12" s="1"/>
  <c r="H1794" i="12"/>
  <c r="H2033" i="12"/>
  <c r="J2027" i="12"/>
  <c r="T2026" i="12" s="1"/>
  <c r="T2025" i="12" s="1"/>
  <c r="I2028" i="12"/>
  <c r="I98" i="12"/>
  <c r="J98" i="12" s="1"/>
  <c r="H99" i="12"/>
  <c r="I99" i="12" l="1"/>
  <c r="J99" i="12" s="1"/>
  <c r="H100" i="12"/>
  <c r="T97" i="12"/>
  <c r="T96" i="12" s="1"/>
  <c r="J2028" i="12"/>
  <c r="I2029" i="12"/>
  <c r="H2034" i="12"/>
  <c r="I1794" i="12"/>
  <c r="J1794" i="12" s="1"/>
  <c r="H1795" i="12"/>
  <c r="H2035" i="12" l="1"/>
  <c r="J2029" i="12"/>
  <c r="I2030" i="12"/>
  <c r="I100" i="12"/>
  <c r="J100" i="12" s="1"/>
  <c r="H101" i="12"/>
  <c r="I1795" i="12"/>
  <c r="J1795" i="12" s="1"/>
  <c r="H1796" i="12"/>
  <c r="I101" i="12" l="1"/>
  <c r="J101" i="12" s="1"/>
  <c r="H102" i="12"/>
  <c r="J2030" i="12"/>
  <c r="I2031" i="12"/>
  <c r="I1796" i="12"/>
  <c r="J1796" i="12" s="1"/>
  <c r="H1797" i="12"/>
  <c r="H2036" i="12"/>
  <c r="I1797" i="12" l="1"/>
  <c r="J1797" i="12" s="1"/>
  <c r="H1798" i="12"/>
  <c r="J2031" i="12"/>
  <c r="I2032" i="12"/>
  <c r="H2037" i="12"/>
  <c r="I102" i="12"/>
  <c r="J102" i="12" s="1"/>
  <c r="H103" i="12"/>
  <c r="H2038" i="12" l="1"/>
  <c r="J2032" i="12"/>
  <c r="T2031" i="12" s="1"/>
  <c r="T2030" i="12" s="1"/>
  <c r="T2029" i="12" s="1"/>
  <c r="T2028" i="12" s="1"/>
  <c r="I2033" i="12"/>
  <c r="I1798" i="12"/>
  <c r="J1798" i="12" s="1"/>
  <c r="H1799" i="12"/>
  <c r="I103" i="12"/>
  <c r="J103" i="12" s="1"/>
  <c r="T102" i="12" s="1"/>
  <c r="T101" i="12" s="1"/>
  <c r="T100" i="12" s="1"/>
  <c r="T99" i="12" s="1"/>
  <c r="T98" i="12" s="1"/>
  <c r="H104" i="12"/>
  <c r="I1799" i="12" l="1"/>
  <c r="J1799" i="12" s="1"/>
  <c r="H1800" i="12"/>
  <c r="J2033" i="12"/>
  <c r="I2034" i="12"/>
  <c r="I104" i="12"/>
  <c r="J104" i="12" s="1"/>
  <c r="H105" i="12"/>
  <c r="H2039" i="12"/>
  <c r="H2040" i="12" l="1"/>
  <c r="I1800" i="12"/>
  <c r="J1800" i="12" s="1"/>
  <c r="H1801" i="12"/>
  <c r="I105" i="12"/>
  <c r="J105" i="12" s="1"/>
  <c r="H106" i="12"/>
  <c r="J2034" i="12"/>
  <c r="I2035" i="12"/>
  <c r="I106" i="12" l="1"/>
  <c r="J106" i="12" s="1"/>
  <c r="H107" i="12"/>
  <c r="I1801" i="12"/>
  <c r="J1801" i="12" s="1"/>
  <c r="H1802" i="12"/>
  <c r="J2035" i="12"/>
  <c r="I2036" i="12"/>
  <c r="H2041" i="12"/>
  <c r="J2036" i="12" l="1"/>
  <c r="T2035" i="12" s="1"/>
  <c r="T2034" i="12" s="1"/>
  <c r="T2033" i="12" s="1"/>
  <c r="T2032" i="12" s="1"/>
  <c r="I2037" i="12"/>
  <c r="I1802" i="12"/>
  <c r="J1802" i="12" s="1"/>
  <c r="H1803" i="12"/>
  <c r="H2042" i="12"/>
  <c r="I107" i="12"/>
  <c r="J107" i="12" s="1"/>
  <c r="H108" i="12"/>
  <c r="I1803" i="12" l="1"/>
  <c r="J1803" i="12" s="1"/>
  <c r="H1804" i="12"/>
  <c r="I108" i="12"/>
  <c r="J108" i="12" s="1"/>
  <c r="H109" i="12"/>
  <c r="J2037" i="12"/>
  <c r="I2038" i="12"/>
  <c r="H2043" i="12"/>
  <c r="T107" i="12" l="1"/>
  <c r="T106" i="12" s="1"/>
  <c r="T105" i="12" s="1"/>
  <c r="T104" i="12" s="1"/>
  <c r="T103" i="12" s="1"/>
  <c r="H2044" i="12"/>
  <c r="I109" i="12"/>
  <c r="J109" i="12" s="1"/>
  <c r="H110" i="12"/>
  <c r="J2038" i="12"/>
  <c r="I2039" i="12"/>
  <c r="I1804" i="12"/>
  <c r="J1804" i="12" s="1"/>
  <c r="J1805" i="12" l="1"/>
  <c r="T1804" i="12" s="1"/>
  <c r="T1803" i="12" s="1"/>
  <c r="T1802" i="12" s="1"/>
  <c r="T1801" i="12" s="1"/>
  <c r="T1800" i="12" s="1"/>
  <c r="T1799" i="12" s="1"/>
  <c r="T1798" i="12" s="1"/>
  <c r="T1797" i="12" s="1"/>
  <c r="T1796" i="12" s="1"/>
  <c r="T1795" i="12" s="1"/>
  <c r="T1794" i="12" s="1"/>
  <c r="T1793" i="12" s="1"/>
  <c r="T1792" i="12" s="1"/>
  <c r="T1791" i="12" s="1"/>
  <c r="T1790" i="12" s="1"/>
  <c r="T1789" i="12" s="1"/>
  <c r="T1788" i="12" s="1"/>
  <c r="T1787" i="12" s="1"/>
  <c r="T1786" i="12" s="1"/>
  <c r="T1785" i="12" s="1"/>
  <c r="T1784" i="12" s="1"/>
  <c r="T1783" i="12" s="1"/>
  <c r="I110" i="12"/>
  <c r="J110" i="12" s="1"/>
  <c r="H111" i="12"/>
  <c r="J2039" i="12"/>
  <c r="I2040" i="12"/>
  <c r="H2045" i="12"/>
  <c r="J2040" i="12" l="1"/>
  <c r="I2041" i="12"/>
  <c r="I111" i="12"/>
  <c r="J111" i="12" s="1"/>
  <c r="H112" i="12"/>
  <c r="H2046" i="12"/>
  <c r="H2047" i="12" l="1"/>
  <c r="I112" i="12"/>
  <c r="J112" i="12" s="1"/>
  <c r="H113" i="12"/>
  <c r="J2041" i="12"/>
  <c r="I2042" i="12"/>
  <c r="I113" i="12" l="1"/>
  <c r="J113" i="12" s="1"/>
  <c r="H114" i="12"/>
  <c r="J2042" i="12"/>
  <c r="I2043" i="12"/>
  <c r="H2048" i="12"/>
  <c r="J2043" i="12" l="1"/>
  <c r="I2044" i="12"/>
  <c r="I114" i="12"/>
  <c r="J114" i="12" s="1"/>
  <c r="H115" i="12"/>
  <c r="H2049" i="12"/>
  <c r="H2050" i="12" l="1"/>
  <c r="J2044" i="12"/>
  <c r="I2045" i="12"/>
  <c r="I115" i="12"/>
  <c r="J115" i="12" s="1"/>
  <c r="H116" i="12"/>
  <c r="T113" i="12"/>
  <c r="T112" i="12" s="1"/>
  <c r="T111" i="12" s="1"/>
  <c r="T110" i="12" s="1"/>
  <c r="T109" i="12" s="1"/>
  <c r="T108" i="12" s="1"/>
  <c r="I116" i="12" l="1"/>
  <c r="J116" i="12" s="1"/>
  <c r="H117" i="12"/>
  <c r="H2051" i="12"/>
  <c r="J2045" i="12"/>
  <c r="I2046" i="12"/>
  <c r="J2046" i="12" l="1"/>
  <c r="I2047" i="12"/>
  <c r="H2052" i="12"/>
  <c r="I117" i="12"/>
  <c r="J117" i="12" s="1"/>
  <c r="T116" i="12" s="1"/>
  <c r="T115" i="12" s="1"/>
  <c r="T114" i="12" s="1"/>
  <c r="H118" i="12"/>
  <c r="H2053" i="12" l="1"/>
  <c r="J2047" i="12"/>
  <c r="I2048" i="12"/>
  <c r="I118" i="12"/>
  <c r="J118" i="12" s="1"/>
  <c r="H119" i="12"/>
  <c r="I119" i="12" l="1"/>
  <c r="J119" i="12" s="1"/>
  <c r="H120" i="12"/>
  <c r="J2048" i="12"/>
  <c r="I2049" i="12"/>
  <c r="H2054" i="12"/>
  <c r="J2049" i="12" l="1"/>
  <c r="I2050" i="12"/>
  <c r="H2055" i="12"/>
  <c r="I120" i="12"/>
  <c r="J120" i="12" s="1"/>
  <c r="H121" i="12"/>
  <c r="I121" i="12" l="1"/>
  <c r="J121" i="12" s="1"/>
  <c r="H122" i="12"/>
  <c r="J2050" i="12"/>
  <c r="I2051" i="12"/>
  <c r="H2056" i="12"/>
  <c r="H2057" i="12" l="1"/>
  <c r="J2051" i="12"/>
  <c r="I2052" i="12"/>
  <c r="I122" i="12"/>
  <c r="J122" i="12" s="1"/>
  <c r="H123" i="12"/>
  <c r="I123" i="12" l="1"/>
  <c r="J123" i="12" s="1"/>
  <c r="H124" i="12"/>
  <c r="J2052" i="12"/>
  <c r="I2053" i="12"/>
  <c r="H2058" i="12"/>
  <c r="H2059" i="12" l="1"/>
  <c r="J2053" i="12"/>
  <c r="I2054" i="12"/>
  <c r="I124" i="12"/>
  <c r="J124" i="12" s="1"/>
  <c r="H125" i="12"/>
  <c r="I125" i="12" l="1"/>
  <c r="J125" i="12" s="1"/>
  <c r="H126" i="12"/>
  <c r="J2054" i="12"/>
  <c r="I2055" i="12"/>
  <c r="H2060" i="12"/>
  <c r="H2061" i="12" l="1"/>
  <c r="J2055" i="12"/>
  <c r="I2056" i="12"/>
  <c r="I126" i="12"/>
  <c r="J126" i="12" s="1"/>
  <c r="H127" i="12"/>
  <c r="I127" i="12" l="1"/>
  <c r="J127" i="12" s="1"/>
  <c r="H128" i="12"/>
  <c r="H2062" i="12"/>
  <c r="J2056" i="12"/>
  <c r="I2057" i="12"/>
  <c r="J2057" i="12" l="1"/>
  <c r="I2058" i="12"/>
  <c r="H2063" i="12"/>
  <c r="I128" i="12"/>
  <c r="J128" i="12" s="1"/>
  <c r="H129" i="12"/>
  <c r="I129" i="12" l="1"/>
  <c r="J129" i="12" s="1"/>
  <c r="H130" i="12"/>
  <c r="H2064" i="12"/>
  <c r="J2058" i="12"/>
  <c r="I2059" i="12"/>
  <c r="J2059" i="12" l="1"/>
  <c r="I2060" i="12"/>
  <c r="H2065" i="12"/>
  <c r="I130" i="12"/>
  <c r="J130" i="12" s="1"/>
  <c r="H131" i="12"/>
  <c r="I131" i="12" l="1"/>
  <c r="J131" i="12" s="1"/>
  <c r="H132" i="12"/>
  <c r="H2066" i="12"/>
  <c r="J2060" i="12"/>
  <c r="I2061" i="12"/>
  <c r="J2061" i="12" l="1"/>
  <c r="I2062" i="12"/>
  <c r="H2067" i="12"/>
  <c r="I132" i="12"/>
  <c r="J132" i="12" s="1"/>
  <c r="H133" i="12"/>
  <c r="I133" i="12" l="1"/>
  <c r="J133" i="12" s="1"/>
  <c r="H134" i="12"/>
  <c r="H2068" i="12"/>
  <c r="J2062" i="12"/>
  <c r="I2063" i="12"/>
  <c r="J2063" i="12" l="1"/>
  <c r="I2064" i="12"/>
  <c r="H2069" i="12"/>
  <c r="I134" i="12"/>
  <c r="J134" i="12" s="1"/>
  <c r="H135" i="12"/>
  <c r="I135" i="12" l="1"/>
  <c r="J135" i="12" s="1"/>
  <c r="H136" i="12"/>
  <c r="H2070" i="12"/>
  <c r="J2064" i="12"/>
  <c r="I2065" i="12"/>
  <c r="H2071" i="12" l="1"/>
  <c r="J2065" i="12"/>
  <c r="I2066" i="12"/>
  <c r="I136" i="12"/>
  <c r="J136" i="12" s="1"/>
  <c r="H137" i="12"/>
  <c r="J2066" i="12" l="1"/>
  <c r="I2067" i="12"/>
  <c r="I137" i="12"/>
  <c r="J137" i="12" s="1"/>
  <c r="H138" i="12"/>
  <c r="H2072" i="12"/>
  <c r="H2073" i="12" l="1"/>
  <c r="I138" i="12"/>
  <c r="J138" i="12" s="1"/>
  <c r="H139" i="12"/>
  <c r="J2067" i="12"/>
  <c r="I2068" i="12"/>
  <c r="I139" i="12" l="1"/>
  <c r="J139" i="12" s="1"/>
  <c r="H140" i="12"/>
  <c r="J2068" i="12"/>
  <c r="I2069" i="12"/>
  <c r="H2074" i="12"/>
  <c r="H2075" i="12" l="1"/>
  <c r="J2069" i="12"/>
  <c r="I2070" i="12"/>
  <c r="I140" i="12"/>
  <c r="J140" i="12" s="1"/>
  <c r="H141" i="12"/>
  <c r="I141" i="12" l="1"/>
  <c r="J141" i="12" s="1"/>
  <c r="H142" i="12"/>
  <c r="J2070" i="12"/>
  <c r="I2071" i="12"/>
  <c r="H2076" i="12"/>
  <c r="H2077" i="12" l="1"/>
  <c r="I142" i="12"/>
  <c r="J142" i="12" s="1"/>
  <c r="H143" i="12"/>
  <c r="J2071" i="12"/>
  <c r="I2072" i="12"/>
  <c r="J2072" i="12" l="1"/>
  <c r="I2073" i="12"/>
  <c r="I143" i="12"/>
  <c r="J143" i="12" s="1"/>
  <c r="H144" i="12"/>
  <c r="H2078" i="12"/>
  <c r="H2079" i="12" l="1"/>
  <c r="J2073" i="12"/>
  <c r="I2074" i="12"/>
  <c r="I144" i="12"/>
  <c r="J144" i="12" s="1"/>
  <c r="H145" i="12"/>
  <c r="I145" i="12" l="1"/>
  <c r="J145" i="12" s="1"/>
  <c r="H146" i="12"/>
  <c r="J2074" i="12"/>
  <c r="I2075" i="12"/>
  <c r="H2080" i="12"/>
  <c r="I146" i="12" l="1"/>
  <c r="J146" i="12" s="1"/>
  <c r="H147" i="12"/>
  <c r="H2081" i="12"/>
  <c r="J2075" i="12"/>
  <c r="I2076" i="12"/>
  <c r="H2082" i="12" l="1"/>
  <c r="I147" i="12"/>
  <c r="J147" i="12" s="1"/>
  <c r="H148" i="12"/>
  <c r="J2076" i="12"/>
  <c r="I2077" i="12"/>
  <c r="J2077" i="12" l="1"/>
  <c r="I2078" i="12"/>
  <c r="I148" i="12"/>
  <c r="J148" i="12" s="1"/>
  <c r="H149" i="12"/>
  <c r="H2083" i="12"/>
  <c r="J2078" i="12" l="1"/>
  <c r="I2079" i="12"/>
  <c r="I149" i="12"/>
  <c r="J149" i="12" s="1"/>
  <c r="H150" i="12"/>
  <c r="H2084" i="12"/>
  <c r="H2085" i="12" l="1"/>
  <c r="J2079" i="12"/>
  <c r="I2080" i="12"/>
  <c r="I150" i="12"/>
  <c r="J150" i="12" s="1"/>
  <c r="H151" i="12"/>
  <c r="I151" i="12" l="1"/>
  <c r="J151" i="12" s="1"/>
  <c r="H152" i="12"/>
  <c r="H2086" i="12"/>
  <c r="J2080" i="12"/>
  <c r="I2081" i="12"/>
  <c r="I152" i="12" l="1"/>
  <c r="J152" i="12" s="1"/>
  <c r="H153" i="12"/>
  <c r="J2081" i="12"/>
  <c r="I2082" i="12"/>
  <c r="H2087" i="12"/>
  <c r="J2082" i="12" l="1"/>
  <c r="I2083" i="12"/>
  <c r="H2088" i="12"/>
  <c r="I153" i="12"/>
  <c r="J153" i="12" s="1"/>
  <c r="H154" i="12"/>
  <c r="I154" i="12" l="1"/>
  <c r="J154" i="12" s="1"/>
  <c r="H155" i="12"/>
  <c r="H2089" i="12"/>
  <c r="J2083" i="12"/>
  <c r="I2084" i="12"/>
  <c r="H2090" i="12" l="1"/>
  <c r="J2084" i="12"/>
  <c r="I2085" i="12"/>
  <c r="I155" i="12"/>
  <c r="J155" i="12" s="1"/>
  <c r="H156" i="12"/>
  <c r="J2085" i="12" l="1"/>
  <c r="I2086" i="12"/>
  <c r="I156" i="12"/>
  <c r="J156" i="12" s="1"/>
  <c r="H157" i="12"/>
  <c r="H2091" i="12"/>
  <c r="I157" i="12" l="1"/>
  <c r="J157" i="12" s="1"/>
  <c r="H158" i="12"/>
  <c r="H2092" i="12"/>
  <c r="J2086" i="12"/>
  <c r="I2087" i="12"/>
  <c r="J2087" i="12" l="1"/>
  <c r="I2088" i="12"/>
  <c r="H2093" i="12"/>
  <c r="I158" i="12"/>
  <c r="J158" i="12" s="1"/>
  <c r="H159" i="12"/>
  <c r="H2094" i="12" l="1"/>
  <c r="I159" i="12"/>
  <c r="J159" i="12" s="1"/>
  <c r="H160" i="12"/>
  <c r="J2088" i="12"/>
  <c r="I2089" i="12"/>
  <c r="J2089" i="12" l="1"/>
  <c r="I2090" i="12"/>
  <c r="I160" i="12"/>
  <c r="J160" i="12" s="1"/>
  <c r="H161" i="12"/>
  <c r="H2095" i="12"/>
  <c r="H2096" i="12" l="1"/>
  <c r="I161" i="12"/>
  <c r="J161" i="12" s="1"/>
  <c r="H162" i="12"/>
  <c r="J2090" i="12"/>
  <c r="I2091" i="12"/>
  <c r="I162" i="12" l="1"/>
  <c r="J162" i="12" s="1"/>
  <c r="H163" i="12"/>
  <c r="J2091" i="12"/>
  <c r="I2092" i="12"/>
  <c r="H2097" i="12"/>
  <c r="I163" i="12" l="1"/>
  <c r="J163" i="12" s="1"/>
  <c r="H164" i="12"/>
  <c r="J2092" i="12"/>
  <c r="I2093" i="12"/>
  <c r="H2098" i="12"/>
  <c r="H2099" i="12" l="1"/>
  <c r="J2093" i="12"/>
  <c r="I2094" i="12"/>
  <c r="I164" i="12"/>
  <c r="J164" i="12" s="1"/>
  <c r="H165" i="12"/>
  <c r="H2100" i="12" l="1"/>
  <c r="J2094" i="12"/>
  <c r="I2095" i="12"/>
  <c r="I165" i="12"/>
  <c r="J165" i="12" s="1"/>
  <c r="H166" i="12"/>
  <c r="J2095" i="12" l="1"/>
  <c r="I2096" i="12"/>
  <c r="H2101" i="12"/>
  <c r="I166" i="12"/>
  <c r="J166" i="12" s="1"/>
  <c r="H167" i="12"/>
  <c r="I167" i="12" l="1"/>
  <c r="J167" i="12" s="1"/>
  <c r="T166" i="12" s="1"/>
  <c r="T165" i="12" s="1"/>
  <c r="T164" i="12" s="1"/>
  <c r="T163" i="12" s="1"/>
  <c r="T162" i="12" s="1"/>
  <c r="T161" i="12" s="1"/>
  <c r="T160" i="12" s="1"/>
  <c r="T159" i="12" s="1"/>
  <c r="T158" i="12" s="1"/>
  <c r="T157" i="12" s="1"/>
  <c r="T156" i="12" s="1"/>
  <c r="T155" i="12" s="1"/>
  <c r="T154" i="12" s="1"/>
  <c r="T153" i="12" s="1"/>
  <c r="T152" i="12" s="1"/>
  <c r="T151" i="12" s="1"/>
  <c r="T150" i="12" s="1"/>
  <c r="T149" i="12" s="1"/>
  <c r="T148" i="12" s="1"/>
  <c r="T147" i="12" s="1"/>
  <c r="T146" i="12" s="1"/>
  <c r="T145" i="12" s="1"/>
  <c r="T144" i="12" s="1"/>
  <c r="T143" i="12" s="1"/>
  <c r="T142" i="12" s="1"/>
  <c r="T141" i="12" s="1"/>
  <c r="T140" i="12" s="1"/>
  <c r="T139" i="12" s="1"/>
  <c r="T138" i="12" s="1"/>
  <c r="T137" i="12" s="1"/>
  <c r="T136" i="12" s="1"/>
  <c r="T135" i="12" s="1"/>
  <c r="T134" i="12" s="1"/>
  <c r="T133" i="12" s="1"/>
  <c r="T132" i="12" s="1"/>
  <c r="T131" i="12" s="1"/>
  <c r="T130" i="12" s="1"/>
  <c r="T129" i="12" s="1"/>
  <c r="T128" i="12" s="1"/>
  <c r="T127" i="12" s="1"/>
  <c r="T126" i="12" s="1"/>
  <c r="T125" i="12" s="1"/>
  <c r="T124" i="12" s="1"/>
  <c r="T123" i="12" s="1"/>
  <c r="T122" i="12" s="1"/>
  <c r="T121" i="12" s="1"/>
  <c r="T120" i="12" s="1"/>
  <c r="T119" i="12" s="1"/>
  <c r="T118" i="12" s="1"/>
  <c r="H168" i="12"/>
  <c r="H2102" i="12"/>
  <c r="J2096" i="12"/>
  <c r="I2097" i="12"/>
  <c r="J2097" i="12" l="1"/>
  <c r="I2098" i="12"/>
  <c r="H2103" i="12"/>
  <c r="I168" i="12"/>
  <c r="J168" i="12" s="1"/>
  <c r="H169" i="12"/>
  <c r="J2098" i="12" l="1"/>
  <c r="I2099" i="12"/>
  <c r="I169" i="12"/>
  <c r="J169" i="12" s="1"/>
  <c r="H170" i="12"/>
  <c r="H2104" i="12"/>
  <c r="H2105" i="12" l="1"/>
  <c r="J2099" i="12"/>
  <c r="I2100" i="12"/>
  <c r="I170" i="12"/>
  <c r="J170" i="12" s="1"/>
  <c r="H171" i="12"/>
  <c r="T169" i="12" l="1"/>
  <c r="T168" i="12" s="1"/>
  <c r="T167" i="12" s="1"/>
  <c r="I171" i="12"/>
  <c r="J171" i="12" s="1"/>
  <c r="H172" i="12"/>
  <c r="J2100" i="12"/>
  <c r="I2101" i="12"/>
  <c r="H2106" i="12"/>
  <c r="H2107" i="12" l="1"/>
  <c r="J2101" i="12"/>
  <c r="I2102" i="12"/>
  <c r="I172" i="12"/>
  <c r="J172" i="12" s="1"/>
  <c r="H173" i="12"/>
  <c r="T171" i="12" l="1"/>
  <c r="T170" i="12" s="1"/>
  <c r="I173" i="12"/>
  <c r="J173" i="12" s="1"/>
  <c r="H174" i="12"/>
  <c r="J2102" i="12"/>
  <c r="I2103" i="12"/>
  <c r="H2108" i="12"/>
  <c r="J2103" i="12" l="1"/>
  <c r="I2104" i="12"/>
  <c r="H2109" i="12"/>
  <c r="I174" i="12"/>
  <c r="J174" i="12" s="1"/>
  <c r="H175" i="12"/>
  <c r="I175" i="12" l="1"/>
  <c r="J175" i="12" s="1"/>
  <c r="H176" i="12"/>
  <c r="H2110" i="12"/>
  <c r="J2104" i="12"/>
  <c r="I2105" i="12"/>
  <c r="H2111" i="12" l="1"/>
  <c r="J2105" i="12"/>
  <c r="I2106" i="12"/>
  <c r="I176" i="12"/>
  <c r="J176" i="12" s="1"/>
  <c r="H177" i="12"/>
  <c r="J2106" i="12" l="1"/>
  <c r="I2107" i="12"/>
  <c r="I177" i="12"/>
  <c r="J177" i="12" s="1"/>
  <c r="H178" i="12"/>
  <c r="H2112" i="12"/>
  <c r="I178" i="12" l="1"/>
  <c r="J178" i="12" s="1"/>
  <c r="H179" i="12"/>
  <c r="H2113" i="12"/>
  <c r="J2107" i="12"/>
  <c r="I2108" i="12"/>
  <c r="J2108" i="12" l="1"/>
  <c r="I2109" i="12"/>
  <c r="H2114" i="12"/>
  <c r="I179" i="12"/>
  <c r="J179" i="12" s="1"/>
  <c r="H180" i="12"/>
  <c r="I180" i="12" l="1"/>
  <c r="J180" i="12" s="1"/>
  <c r="H181" i="12"/>
  <c r="H2115" i="12"/>
  <c r="J2109" i="12"/>
  <c r="I2110" i="12"/>
  <c r="J2110" i="12" l="1"/>
  <c r="I2111" i="12"/>
  <c r="I181" i="12"/>
  <c r="J181" i="12" s="1"/>
  <c r="H182" i="12"/>
  <c r="H2116" i="12"/>
  <c r="H2117" i="12" l="1"/>
  <c r="I182" i="12"/>
  <c r="J182" i="12" s="1"/>
  <c r="H183" i="12"/>
  <c r="J2111" i="12"/>
  <c r="I2112" i="12"/>
  <c r="J2112" i="12" l="1"/>
  <c r="I2113" i="12"/>
  <c r="I183" i="12"/>
  <c r="J183" i="12" s="1"/>
  <c r="H184" i="12"/>
  <c r="H2118" i="12"/>
  <c r="H2119" i="12" l="1"/>
  <c r="I184" i="12"/>
  <c r="J184" i="12" s="1"/>
  <c r="H185" i="12"/>
  <c r="J2113" i="12"/>
  <c r="I2114" i="12"/>
  <c r="H2120" i="12" l="1"/>
  <c r="J2114" i="12"/>
  <c r="I2115" i="12"/>
  <c r="I185" i="12"/>
  <c r="J185" i="12" s="1"/>
  <c r="H186" i="12"/>
  <c r="J2115" i="12" l="1"/>
  <c r="I2116" i="12"/>
  <c r="I186" i="12"/>
  <c r="J186" i="12" s="1"/>
  <c r="H187" i="12"/>
  <c r="H2121" i="12"/>
  <c r="I187" i="12" l="1"/>
  <c r="J187" i="12" s="1"/>
  <c r="H188" i="12"/>
  <c r="T185" i="12"/>
  <c r="T184" i="12" s="1"/>
  <c r="T183" i="12" s="1"/>
  <c r="T182" i="12" s="1"/>
  <c r="T181" i="12" s="1"/>
  <c r="T180" i="12" s="1"/>
  <c r="T179" i="12" s="1"/>
  <c r="T178" i="12" s="1"/>
  <c r="T177" i="12" s="1"/>
  <c r="T176" i="12" s="1"/>
  <c r="T175" i="12" s="1"/>
  <c r="T174" i="12" s="1"/>
  <c r="T173" i="12" s="1"/>
  <c r="J2116" i="12"/>
  <c r="I2117" i="12"/>
  <c r="H2122" i="12"/>
  <c r="H2123" i="12" l="1"/>
  <c r="I188" i="12"/>
  <c r="J188" i="12" s="1"/>
  <c r="H189" i="12"/>
  <c r="J2117" i="12"/>
  <c r="I2118" i="12"/>
  <c r="J2118" i="12" l="1"/>
  <c r="I2119" i="12"/>
  <c r="I189" i="12"/>
  <c r="J189" i="12" s="1"/>
  <c r="H190" i="12"/>
  <c r="H2124" i="12"/>
  <c r="I190" i="12" l="1"/>
  <c r="J190" i="12" s="1"/>
  <c r="H191" i="12"/>
  <c r="H2125" i="12"/>
  <c r="J2119" i="12"/>
  <c r="I2120" i="12"/>
  <c r="H2126" i="12" l="1"/>
  <c r="T189" i="12"/>
  <c r="T188" i="12" s="1"/>
  <c r="T187" i="12" s="1"/>
  <c r="T186" i="12" s="1"/>
  <c r="J2120" i="12"/>
  <c r="I2121" i="12"/>
  <c r="I191" i="12"/>
  <c r="J191" i="12" s="1"/>
  <c r="H192" i="12"/>
  <c r="I192" i="12" l="1"/>
  <c r="J192" i="12" s="1"/>
  <c r="H193" i="12"/>
  <c r="J2121" i="12"/>
  <c r="I2122" i="12"/>
  <c r="H2127" i="12"/>
  <c r="I193" i="12" l="1"/>
  <c r="J193" i="12" s="1"/>
  <c r="H194" i="12"/>
  <c r="H2128" i="12"/>
  <c r="J2122" i="12"/>
  <c r="I2123" i="12"/>
  <c r="H2129" i="12" l="1"/>
  <c r="I194" i="12"/>
  <c r="J194" i="12" s="1"/>
  <c r="H195" i="12"/>
  <c r="J2123" i="12"/>
  <c r="I2124" i="12"/>
  <c r="I195" i="12" l="1"/>
  <c r="J195" i="12" s="1"/>
  <c r="H196" i="12"/>
  <c r="H2130" i="12"/>
  <c r="J2124" i="12"/>
  <c r="I2125" i="12"/>
  <c r="I196" i="12" l="1"/>
  <c r="J196" i="12" s="1"/>
  <c r="H197" i="12"/>
  <c r="H2131" i="12"/>
  <c r="J2125" i="12"/>
  <c r="I2126" i="12"/>
  <c r="H2132" i="12" l="1"/>
  <c r="J2126" i="12"/>
  <c r="I2127" i="12"/>
  <c r="I197" i="12"/>
  <c r="J197" i="12" s="1"/>
  <c r="H198" i="12"/>
  <c r="J2127" i="12" l="1"/>
  <c r="I2128" i="12"/>
  <c r="H2133" i="12"/>
  <c r="I198" i="12"/>
  <c r="J198" i="12" s="1"/>
  <c r="H199" i="12"/>
  <c r="J2128" i="12" l="1"/>
  <c r="I2129" i="12"/>
  <c r="I199" i="12"/>
  <c r="J199" i="12" s="1"/>
  <c r="H200" i="12"/>
  <c r="H2134" i="12"/>
  <c r="I200" i="12" l="1"/>
  <c r="J200" i="12" s="1"/>
  <c r="H201" i="12"/>
  <c r="J2129" i="12"/>
  <c r="I2130" i="12"/>
  <c r="H2135" i="12"/>
  <c r="J2130" i="12" l="1"/>
  <c r="I2131" i="12"/>
  <c r="I201" i="12"/>
  <c r="J201" i="12" s="1"/>
  <c r="H202" i="12"/>
  <c r="H2136" i="12"/>
  <c r="H2137" i="12" l="1"/>
  <c r="I202" i="12"/>
  <c r="J202" i="12" s="1"/>
  <c r="H203" i="12"/>
  <c r="J2131" i="12"/>
  <c r="I2132" i="12"/>
  <c r="I203" i="12" l="1"/>
  <c r="J203" i="12" s="1"/>
  <c r="H204" i="12"/>
  <c r="H2138" i="12"/>
  <c r="J2132" i="12"/>
  <c r="I2133" i="12"/>
  <c r="J2133" i="12" l="1"/>
  <c r="I2134" i="12"/>
  <c r="H2139" i="12"/>
  <c r="I204" i="12"/>
  <c r="J204" i="12" s="1"/>
  <c r="H205" i="12"/>
  <c r="T203" i="12" l="1"/>
  <c r="T202" i="12" s="1"/>
  <c r="T201" i="12" s="1"/>
  <c r="T200" i="12" s="1"/>
  <c r="T199" i="12" s="1"/>
  <c r="T198" i="12" s="1"/>
  <c r="T197" i="12" s="1"/>
  <c r="T196" i="12" s="1"/>
  <c r="T195" i="12" s="1"/>
  <c r="T194" i="12" s="1"/>
  <c r="T193" i="12" s="1"/>
  <c r="T192" i="12" s="1"/>
  <c r="T191" i="12" s="1"/>
  <c r="T190" i="12" s="1"/>
  <c r="I205" i="12"/>
  <c r="J205" i="12" s="1"/>
  <c r="H206" i="12"/>
  <c r="H2140" i="12"/>
  <c r="J2134" i="12"/>
  <c r="I2135" i="12"/>
  <c r="H2141" i="12" l="1"/>
  <c r="J2135" i="12"/>
  <c r="I2136" i="12"/>
  <c r="I206" i="12"/>
  <c r="J206" i="12" s="1"/>
  <c r="H207" i="12"/>
  <c r="I207" i="12" l="1"/>
  <c r="J207" i="12" s="1"/>
  <c r="H208" i="12"/>
  <c r="J2136" i="12"/>
  <c r="I2137" i="12"/>
  <c r="H2142" i="12"/>
  <c r="J2137" i="12" l="1"/>
  <c r="I2138" i="12"/>
  <c r="I208" i="12"/>
  <c r="J208" i="12" s="1"/>
  <c r="H209" i="12"/>
  <c r="H2143" i="12"/>
  <c r="T207" i="12" l="1"/>
  <c r="T206" i="12" s="1"/>
  <c r="T205" i="12" s="1"/>
  <c r="T204" i="12" s="1"/>
  <c r="I209" i="12"/>
  <c r="J209" i="12" s="1"/>
  <c r="H210" i="12"/>
  <c r="J2138" i="12"/>
  <c r="I2139" i="12"/>
  <c r="H2144" i="12"/>
  <c r="H2145" i="12" l="1"/>
  <c r="J2139" i="12"/>
  <c r="I2140" i="12"/>
  <c r="I210" i="12"/>
  <c r="J210" i="12" s="1"/>
  <c r="H211" i="12"/>
  <c r="I211" i="12" l="1"/>
  <c r="J211" i="12" s="1"/>
  <c r="H212" i="12"/>
  <c r="J2140" i="12"/>
  <c r="I2141" i="12"/>
  <c r="H2146" i="12"/>
  <c r="H2147" i="12" l="1"/>
  <c r="J2141" i="12"/>
  <c r="I2142" i="12"/>
  <c r="I212" i="12"/>
  <c r="J212" i="12" s="1"/>
  <c r="H213" i="12"/>
  <c r="I213" i="12" l="1"/>
  <c r="J213" i="12" s="1"/>
  <c r="H214" i="12"/>
  <c r="J2142" i="12"/>
  <c r="I2143" i="12"/>
  <c r="H2148" i="12"/>
  <c r="H2149" i="12" l="1"/>
  <c r="J2143" i="12"/>
  <c r="I2144" i="12"/>
  <c r="I214" i="12"/>
  <c r="J214" i="12" s="1"/>
  <c r="H215" i="12"/>
  <c r="H2150" i="12" l="1"/>
  <c r="I215" i="12"/>
  <c r="J215" i="12" s="1"/>
  <c r="H216" i="12"/>
  <c r="J2144" i="12"/>
  <c r="I2145" i="12"/>
  <c r="J2145" i="12" l="1"/>
  <c r="I2146" i="12"/>
  <c r="I216" i="12"/>
  <c r="J216" i="12" s="1"/>
  <c r="H217" i="12"/>
  <c r="H2151" i="12"/>
  <c r="I217" i="12" l="1"/>
  <c r="J217" i="12" s="1"/>
  <c r="H218" i="12"/>
  <c r="J2146" i="12"/>
  <c r="I2147" i="12"/>
  <c r="H2152" i="12"/>
  <c r="H2153" i="12" l="1"/>
  <c r="J2147" i="12"/>
  <c r="I2148" i="12"/>
  <c r="I218" i="12"/>
  <c r="J218" i="12" s="1"/>
  <c r="H219" i="12"/>
  <c r="I219" i="12" l="1"/>
  <c r="J219" i="12" s="1"/>
  <c r="H220" i="12"/>
  <c r="J2148" i="12"/>
  <c r="I2149" i="12"/>
  <c r="H2154" i="12"/>
  <c r="J2149" i="12" l="1"/>
  <c r="I2150" i="12"/>
  <c r="I220" i="12"/>
  <c r="J220" i="12" s="1"/>
  <c r="H221" i="12"/>
  <c r="H2155" i="12"/>
  <c r="I221" i="12" l="1"/>
  <c r="J221" i="12" s="1"/>
  <c r="H222" i="12"/>
  <c r="H2156" i="12"/>
  <c r="J2150" i="12"/>
  <c r="I2151" i="12"/>
  <c r="H2157" i="12" l="1"/>
  <c r="I222" i="12"/>
  <c r="J222" i="12" s="1"/>
  <c r="H223" i="12"/>
  <c r="J2151" i="12"/>
  <c r="I2152" i="12"/>
  <c r="I223" i="12" l="1"/>
  <c r="J223" i="12" s="1"/>
  <c r="T222" i="12" s="1"/>
  <c r="T221" i="12" s="1"/>
  <c r="T220" i="12" s="1"/>
  <c r="T219" i="12" s="1"/>
  <c r="T218" i="12" s="1"/>
  <c r="T217" i="12" s="1"/>
  <c r="T216" i="12" s="1"/>
  <c r="T215" i="12" s="1"/>
  <c r="T214" i="12" s="1"/>
  <c r="T213" i="12" s="1"/>
  <c r="T212" i="12" s="1"/>
  <c r="T211" i="12" s="1"/>
  <c r="T210" i="12" s="1"/>
  <c r="T209" i="12" s="1"/>
  <c r="H224" i="12"/>
  <c r="H2158" i="12"/>
  <c r="J2152" i="12"/>
  <c r="I2153" i="12"/>
  <c r="H2159" i="12" l="1"/>
  <c r="I224" i="12"/>
  <c r="J224" i="12" s="1"/>
  <c r="H225" i="12"/>
  <c r="J2153" i="12"/>
  <c r="I2154" i="12"/>
  <c r="I225" i="12" l="1"/>
  <c r="J225" i="12" s="1"/>
  <c r="H226" i="12"/>
  <c r="J2154" i="12"/>
  <c r="I2155" i="12"/>
  <c r="H2160" i="12"/>
  <c r="J2155" i="12" l="1"/>
  <c r="I2156" i="12"/>
  <c r="H2161" i="12"/>
  <c r="I226" i="12"/>
  <c r="J226" i="12" s="1"/>
  <c r="H227" i="12"/>
  <c r="I227" i="12" l="1"/>
  <c r="J227" i="12" s="1"/>
  <c r="H228" i="12"/>
  <c r="H2162" i="12"/>
  <c r="J2156" i="12"/>
  <c r="I2157" i="12"/>
  <c r="I228" i="12" l="1"/>
  <c r="J228" i="12" s="1"/>
  <c r="H229" i="12"/>
  <c r="J2157" i="12"/>
  <c r="I2158" i="12"/>
  <c r="H2163" i="12"/>
  <c r="I229" i="12" l="1"/>
  <c r="J229" i="12" s="1"/>
  <c r="T228" i="12" s="1"/>
  <c r="T227" i="12" s="1"/>
  <c r="T226" i="12" s="1"/>
  <c r="T225" i="12" s="1"/>
  <c r="T224" i="12" s="1"/>
  <c r="T223" i="12" s="1"/>
  <c r="H230" i="12"/>
  <c r="J2158" i="12"/>
  <c r="I2159" i="12"/>
  <c r="H2164" i="12"/>
  <c r="J2159" i="12" l="1"/>
  <c r="I2160" i="12"/>
  <c r="H2165" i="12"/>
  <c r="I230" i="12"/>
  <c r="J230" i="12" s="1"/>
  <c r="H231" i="12"/>
  <c r="I231" i="12" l="1"/>
  <c r="J231" i="12" s="1"/>
  <c r="H232" i="12"/>
  <c r="H2166" i="12"/>
  <c r="J2160" i="12"/>
  <c r="I2161" i="12"/>
  <c r="J2161" i="12" l="1"/>
  <c r="I2162" i="12"/>
  <c r="H2167" i="12"/>
  <c r="I232" i="12"/>
  <c r="J232" i="12" s="1"/>
  <c r="H233" i="12"/>
  <c r="H2168" i="12" l="1"/>
  <c r="I233" i="12"/>
  <c r="J233" i="12" s="1"/>
  <c r="H234" i="12"/>
  <c r="J2162" i="12"/>
  <c r="I2163" i="12"/>
  <c r="J2163" i="12" l="1"/>
  <c r="I2164" i="12"/>
  <c r="I234" i="12"/>
  <c r="J234" i="12" s="1"/>
  <c r="H235" i="12"/>
  <c r="H2169" i="12"/>
  <c r="I235" i="12" l="1"/>
  <c r="J235" i="12" s="1"/>
  <c r="T234" i="12" s="1"/>
  <c r="T233" i="12" s="1"/>
  <c r="T232" i="12" s="1"/>
  <c r="T231" i="12" s="1"/>
  <c r="T230" i="12" s="1"/>
  <c r="T229" i="12" s="1"/>
  <c r="H236" i="12"/>
  <c r="H2170" i="12"/>
  <c r="J2164" i="12"/>
  <c r="I2165" i="12"/>
  <c r="H2171" i="12" l="1"/>
  <c r="J2165" i="12"/>
  <c r="I2166" i="12"/>
  <c r="I236" i="12"/>
  <c r="J236" i="12" s="1"/>
  <c r="H237" i="12"/>
  <c r="J2166" i="12" l="1"/>
  <c r="I2167" i="12"/>
  <c r="I237" i="12"/>
  <c r="J237" i="12" s="1"/>
  <c r="H238" i="12"/>
  <c r="H2172" i="12"/>
  <c r="J2167" i="12" l="1"/>
  <c r="I2168" i="12"/>
  <c r="H2173" i="12"/>
  <c r="I238" i="12"/>
  <c r="J238" i="12" s="1"/>
  <c r="H239" i="12"/>
  <c r="I239" i="12" l="1"/>
  <c r="J239" i="12" s="1"/>
  <c r="H240" i="12"/>
  <c r="T237" i="12"/>
  <c r="T236" i="12" s="1"/>
  <c r="T235" i="12" s="1"/>
  <c r="J2168" i="12"/>
  <c r="I2169" i="12"/>
  <c r="H2174" i="12"/>
  <c r="J2169" i="12" l="1"/>
  <c r="I2170" i="12"/>
  <c r="H2175" i="12"/>
  <c r="I240" i="12"/>
  <c r="J240" i="12" s="1"/>
  <c r="H241" i="12"/>
  <c r="I241" i="12" l="1"/>
  <c r="J241" i="12" s="1"/>
  <c r="H242" i="12"/>
  <c r="H2176" i="12"/>
  <c r="J2170" i="12"/>
  <c r="I2171" i="12"/>
  <c r="H2177" i="12" l="1"/>
  <c r="J2171" i="12"/>
  <c r="I2172" i="12"/>
  <c r="I242" i="12"/>
  <c r="J242" i="12" s="1"/>
  <c r="H243" i="12"/>
  <c r="I243" i="12" l="1"/>
  <c r="J243" i="12" s="1"/>
  <c r="H244" i="12"/>
  <c r="J2172" i="12"/>
  <c r="I2173" i="12"/>
  <c r="H2178" i="12"/>
  <c r="J2173" i="12" l="1"/>
  <c r="I2174" i="12"/>
  <c r="H2179" i="12"/>
  <c r="I244" i="12"/>
  <c r="J244" i="12" s="1"/>
  <c r="H245" i="12"/>
  <c r="I245" i="12" l="1"/>
  <c r="J245" i="12" s="1"/>
  <c r="H246" i="12"/>
  <c r="H2180" i="12"/>
  <c r="J2174" i="12"/>
  <c r="I2175" i="12"/>
  <c r="J2175" i="12" l="1"/>
  <c r="I2176" i="12"/>
  <c r="H2181" i="12"/>
  <c r="I246" i="12"/>
  <c r="J246" i="12" s="1"/>
  <c r="H247" i="12"/>
  <c r="I247" i="12" l="1"/>
  <c r="J247" i="12" s="1"/>
  <c r="H248" i="12"/>
  <c r="H2182" i="12"/>
  <c r="J2176" i="12"/>
  <c r="I2177" i="12"/>
  <c r="I248" i="12" l="1"/>
  <c r="J248" i="12" s="1"/>
  <c r="H249" i="12"/>
  <c r="H2183" i="12"/>
  <c r="J2177" i="12"/>
  <c r="I2178" i="12"/>
  <c r="J2178" i="12" l="1"/>
  <c r="I2179" i="12"/>
  <c r="H2184" i="12"/>
  <c r="I249" i="12"/>
  <c r="J249" i="12" s="1"/>
  <c r="H250" i="12"/>
  <c r="I250" i="12" l="1"/>
  <c r="J250" i="12" s="1"/>
  <c r="H251" i="12"/>
  <c r="J2179" i="12"/>
  <c r="I2180" i="12"/>
  <c r="H2185" i="12"/>
  <c r="J2180" i="12" l="1"/>
  <c r="I2181" i="12"/>
  <c r="I251" i="12"/>
  <c r="J251" i="12" s="1"/>
  <c r="T250" i="12" s="1"/>
  <c r="T249" i="12" s="1"/>
  <c r="T248" i="12" s="1"/>
  <c r="T247" i="12" s="1"/>
  <c r="T246" i="12" s="1"/>
  <c r="T245" i="12" s="1"/>
  <c r="T244" i="12" s="1"/>
  <c r="T243" i="12" s="1"/>
  <c r="T242" i="12" s="1"/>
  <c r="T241" i="12" s="1"/>
  <c r="T240" i="12" s="1"/>
  <c r="T239" i="12" s="1"/>
  <c r="H252" i="12"/>
  <c r="H2186" i="12"/>
  <c r="H2187" i="12" l="1"/>
  <c r="J2181" i="12"/>
  <c r="I2182" i="12"/>
  <c r="I252" i="12"/>
  <c r="J252" i="12" s="1"/>
  <c r="H253" i="12"/>
  <c r="I253" i="12" l="1"/>
  <c r="J253" i="12" s="1"/>
  <c r="H254" i="12"/>
  <c r="J2182" i="12"/>
  <c r="I2183" i="12"/>
  <c r="H2188" i="12"/>
  <c r="H2189" i="12" l="1"/>
  <c r="J2183" i="12"/>
  <c r="I2184" i="12"/>
  <c r="I254" i="12"/>
  <c r="J254" i="12" s="1"/>
  <c r="H255" i="12"/>
  <c r="I255" i="12" l="1"/>
  <c r="J255" i="12" s="1"/>
  <c r="H256" i="12"/>
  <c r="T253" i="12"/>
  <c r="T252" i="12" s="1"/>
  <c r="T251" i="12" s="1"/>
  <c r="J2184" i="12"/>
  <c r="I2185" i="12"/>
  <c r="H2190" i="12"/>
  <c r="J2185" i="12" l="1"/>
  <c r="I2186" i="12"/>
  <c r="I256" i="12"/>
  <c r="J256" i="12" s="1"/>
  <c r="H257" i="12"/>
  <c r="H2191" i="12"/>
  <c r="I257" i="12" l="1"/>
  <c r="J257" i="12" s="1"/>
  <c r="H258" i="12"/>
  <c r="H2192" i="12"/>
  <c r="J2186" i="12"/>
  <c r="I2187" i="12"/>
  <c r="H2193" i="12" l="1"/>
  <c r="J2187" i="12"/>
  <c r="I2188" i="12"/>
  <c r="I258" i="12"/>
  <c r="J258" i="12" s="1"/>
  <c r="H259" i="12"/>
  <c r="I259" i="12" l="1"/>
  <c r="J259" i="12" s="1"/>
  <c r="T258" i="12" s="1"/>
  <c r="T257" i="12" s="1"/>
  <c r="T256" i="12" s="1"/>
  <c r="T255" i="12" s="1"/>
  <c r="T254" i="12" s="1"/>
  <c r="H260" i="12"/>
  <c r="J2188" i="12"/>
  <c r="I2189" i="12"/>
  <c r="H2194" i="12"/>
  <c r="J2189" i="12" l="1"/>
  <c r="I2190" i="12"/>
  <c r="I260" i="12"/>
  <c r="J260" i="12" s="1"/>
  <c r="H261" i="12"/>
  <c r="H2195" i="12"/>
  <c r="I261" i="12" l="1"/>
  <c r="J261" i="12" s="1"/>
  <c r="H262" i="12"/>
  <c r="J2190" i="12"/>
  <c r="I2191" i="12"/>
  <c r="H2196" i="12"/>
  <c r="J2191" i="12" l="1"/>
  <c r="I2192" i="12"/>
  <c r="H2197" i="12"/>
  <c r="I262" i="12"/>
  <c r="J262" i="12" s="1"/>
  <c r="H263" i="12"/>
  <c r="I263" i="12" l="1"/>
  <c r="J263" i="12" s="1"/>
  <c r="H264" i="12"/>
  <c r="H2198" i="12"/>
  <c r="J2192" i="12"/>
  <c r="I2193" i="12"/>
  <c r="H2199" i="12" l="1"/>
  <c r="J2193" i="12"/>
  <c r="I2194" i="12"/>
  <c r="I264" i="12"/>
  <c r="J264" i="12" s="1"/>
  <c r="H265" i="12"/>
  <c r="T263" i="12" l="1"/>
  <c r="T262" i="12" s="1"/>
  <c r="T261" i="12" s="1"/>
  <c r="T260" i="12" s="1"/>
  <c r="T259" i="12" s="1"/>
  <c r="J2194" i="12"/>
  <c r="I2195" i="12"/>
  <c r="I265" i="12"/>
  <c r="J265" i="12" s="1"/>
  <c r="H266" i="12"/>
  <c r="H2200" i="12"/>
  <c r="I266" i="12" l="1"/>
  <c r="J266" i="12" s="1"/>
  <c r="H267" i="12"/>
  <c r="J2195" i="12"/>
  <c r="I2196" i="12"/>
  <c r="J2196" i="12" l="1"/>
  <c r="I2197" i="12"/>
  <c r="I267" i="12"/>
  <c r="J267" i="12" s="1"/>
  <c r="H268" i="12"/>
  <c r="I268" i="12" l="1"/>
  <c r="J268" i="12" s="1"/>
  <c r="H269" i="12"/>
  <c r="J2197" i="12"/>
  <c r="I2198" i="12"/>
  <c r="J2198" i="12" l="1"/>
  <c r="I2199" i="12"/>
  <c r="I269" i="12"/>
  <c r="J269" i="12" s="1"/>
  <c r="H270" i="12"/>
  <c r="I270" i="12" l="1"/>
  <c r="J270" i="12" s="1"/>
  <c r="H271" i="12"/>
  <c r="J2199" i="12"/>
  <c r="I2200" i="12"/>
  <c r="J2200" i="12" s="1"/>
  <c r="T2200" i="12" l="1"/>
  <c r="T2199" i="12" s="1"/>
  <c r="T2198" i="12" s="1"/>
  <c r="T2197" i="12" s="1"/>
  <c r="T2196" i="12" s="1"/>
  <c r="T2195" i="12" s="1"/>
  <c r="T2194" i="12" s="1"/>
  <c r="T2193" i="12" s="1"/>
  <c r="T2192" i="12" s="1"/>
  <c r="T2191" i="12" s="1"/>
  <c r="T2190" i="12" s="1"/>
  <c r="T2189" i="12" s="1"/>
  <c r="T2188" i="12" s="1"/>
  <c r="T2187" i="12" s="1"/>
  <c r="T2186" i="12" s="1"/>
  <c r="T2185" i="12" s="1"/>
  <c r="T2184" i="12" s="1"/>
  <c r="T2183" i="12" s="1"/>
  <c r="T2182" i="12" s="1"/>
  <c r="T2181" i="12" s="1"/>
  <c r="T2180" i="12" s="1"/>
  <c r="T2179" i="12" s="1"/>
  <c r="T2178" i="12" s="1"/>
  <c r="T2177" i="12" s="1"/>
  <c r="T2176" i="12" s="1"/>
  <c r="T2175" i="12" s="1"/>
  <c r="T2174" i="12" s="1"/>
  <c r="T2173" i="12" s="1"/>
  <c r="T2172" i="12" s="1"/>
  <c r="T2171" i="12" s="1"/>
  <c r="T2170" i="12" s="1"/>
  <c r="T2169" i="12" s="1"/>
  <c r="T2168" i="12" s="1"/>
  <c r="T2167" i="12" s="1"/>
  <c r="T2166" i="12" s="1"/>
  <c r="T2165" i="12" s="1"/>
  <c r="T2164" i="12" s="1"/>
  <c r="T2163" i="12" s="1"/>
  <c r="T2162" i="12" s="1"/>
  <c r="T2161" i="12" s="1"/>
  <c r="T2160" i="12" s="1"/>
  <c r="T2159" i="12" s="1"/>
  <c r="T2158" i="12" s="1"/>
  <c r="T2157" i="12" s="1"/>
  <c r="T2156" i="12" s="1"/>
  <c r="T2155" i="12" s="1"/>
  <c r="T2154" i="12" s="1"/>
  <c r="T2153" i="12" s="1"/>
  <c r="T2152" i="12" s="1"/>
  <c r="T2151" i="12" s="1"/>
  <c r="T2150" i="12" s="1"/>
  <c r="T2149" i="12" s="1"/>
  <c r="T2148" i="12" s="1"/>
  <c r="T2147" i="12" s="1"/>
  <c r="T2146" i="12" s="1"/>
  <c r="T2145" i="12" s="1"/>
  <c r="T2144" i="12" s="1"/>
  <c r="T2143" i="12" s="1"/>
  <c r="T2142" i="12" s="1"/>
  <c r="T2141" i="12" s="1"/>
  <c r="T2140" i="12" s="1"/>
  <c r="T2139" i="12" s="1"/>
  <c r="T2138" i="12" s="1"/>
  <c r="T2137" i="12" s="1"/>
  <c r="T2136" i="12" s="1"/>
  <c r="T2135" i="12" s="1"/>
  <c r="T2134" i="12" s="1"/>
  <c r="T2133" i="12" s="1"/>
  <c r="T2132" i="12" s="1"/>
  <c r="T2131" i="12" s="1"/>
  <c r="T2130" i="12" s="1"/>
  <c r="T2129" i="12" s="1"/>
  <c r="T2128" i="12" s="1"/>
  <c r="T2127" i="12" s="1"/>
  <c r="T2126" i="12" s="1"/>
  <c r="T2125" i="12" s="1"/>
  <c r="T2124" i="12" s="1"/>
  <c r="T2123" i="12" s="1"/>
  <c r="T2122" i="12" s="1"/>
  <c r="T2121" i="12" s="1"/>
  <c r="T2120" i="12" s="1"/>
  <c r="T2119" i="12" s="1"/>
  <c r="T2118" i="12" s="1"/>
  <c r="T2117" i="12" s="1"/>
  <c r="T2116" i="12" s="1"/>
  <c r="T2115" i="12" s="1"/>
  <c r="T2114" i="12" s="1"/>
  <c r="T2113" i="12" s="1"/>
  <c r="T2112" i="12" s="1"/>
  <c r="T2111" i="12" s="1"/>
  <c r="T2110" i="12" s="1"/>
  <c r="T2109" i="12" s="1"/>
  <c r="T2108" i="12" s="1"/>
  <c r="T2107" i="12" s="1"/>
  <c r="T2106" i="12" s="1"/>
  <c r="T2105" i="12" s="1"/>
  <c r="T2104" i="12" s="1"/>
  <c r="T2103" i="12" s="1"/>
  <c r="T2102" i="12" s="1"/>
  <c r="T2101" i="12" s="1"/>
  <c r="T2100" i="12" s="1"/>
  <c r="T2099" i="12" s="1"/>
  <c r="T2098" i="12" s="1"/>
  <c r="T2097" i="12" s="1"/>
  <c r="T2096" i="12" s="1"/>
  <c r="T2095" i="12" s="1"/>
  <c r="T2094" i="12" s="1"/>
  <c r="T2093" i="12" s="1"/>
  <c r="T2092" i="12" s="1"/>
  <c r="T2091" i="12" s="1"/>
  <c r="T2090" i="12" s="1"/>
  <c r="T2089" i="12" s="1"/>
  <c r="T2088" i="12" s="1"/>
  <c r="T2087" i="12" s="1"/>
  <c r="T2086" i="12" s="1"/>
  <c r="T2085" i="12" s="1"/>
  <c r="T2084" i="12" s="1"/>
  <c r="T2083" i="12" s="1"/>
  <c r="T2082" i="12" s="1"/>
  <c r="T2081" i="12" s="1"/>
  <c r="T2080" i="12" s="1"/>
  <c r="T2079" i="12" s="1"/>
  <c r="T2078" i="12" s="1"/>
  <c r="T2077" i="12" s="1"/>
  <c r="T2076" i="12" s="1"/>
  <c r="T2075" i="12" s="1"/>
  <c r="T2074" i="12" s="1"/>
  <c r="T2073" i="12" s="1"/>
  <c r="T2072" i="12" s="1"/>
  <c r="T2071" i="12" s="1"/>
  <c r="T2070" i="12" s="1"/>
  <c r="T2069" i="12" s="1"/>
  <c r="T2068" i="12" s="1"/>
  <c r="T2067" i="12" s="1"/>
  <c r="T2066" i="12" s="1"/>
  <c r="T2065" i="12" s="1"/>
  <c r="T2064" i="12" s="1"/>
  <c r="T2063" i="12" s="1"/>
  <c r="T2062" i="12" s="1"/>
  <c r="T2061" i="12" s="1"/>
  <c r="T2060" i="12" s="1"/>
  <c r="T2059" i="12" s="1"/>
  <c r="T2058" i="12" s="1"/>
  <c r="T2057" i="12" s="1"/>
  <c r="T2056" i="12" s="1"/>
  <c r="T2055" i="12" s="1"/>
  <c r="T2054" i="12" s="1"/>
  <c r="T2053" i="12" s="1"/>
  <c r="T2052" i="12" s="1"/>
  <c r="T2051" i="12" s="1"/>
  <c r="T2050" i="12" s="1"/>
  <c r="T2049" i="12" s="1"/>
  <c r="T2048" i="12" s="1"/>
  <c r="T2047" i="12" s="1"/>
  <c r="T2046" i="12" s="1"/>
  <c r="T2045" i="12" s="1"/>
  <c r="T2044" i="12" s="1"/>
  <c r="T2043" i="12" s="1"/>
  <c r="T2042" i="12" s="1"/>
  <c r="T2041" i="12" s="1"/>
  <c r="T2040" i="12" s="1"/>
  <c r="T2039" i="12" s="1"/>
  <c r="T2038" i="12" s="1"/>
  <c r="T2037" i="12" s="1"/>
  <c r="T2036" i="12" s="1"/>
  <c r="I271" i="12"/>
  <c r="J271" i="12" s="1"/>
  <c r="H272" i="12"/>
  <c r="I272" i="12" l="1"/>
  <c r="J272" i="12" s="1"/>
  <c r="H273" i="12"/>
  <c r="I273" i="12" l="1"/>
  <c r="J273" i="12" s="1"/>
  <c r="H274" i="12"/>
  <c r="T271" i="12"/>
  <c r="T270" i="12" s="1"/>
  <c r="T269" i="12" s="1"/>
  <c r="T268" i="12" s="1"/>
  <c r="T267" i="12" s="1"/>
  <c r="T266" i="12" s="1"/>
  <c r="T265" i="12" s="1"/>
  <c r="T264" i="12" s="1"/>
  <c r="I274" i="12" l="1"/>
  <c r="J274" i="12" s="1"/>
  <c r="H275" i="12"/>
  <c r="T273" i="12" l="1"/>
  <c r="T272" i="12" s="1"/>
  <c r="I275" i="12"/>
  <c r="J275" i="12" s="1"/>
  <c r="H276" i="12"/>
  <c r="I276" i="12" l="1"/>
  <c r="J276" i="12" s="1"/>
  <c r="H277" i="12"/>
  <c r="I277" i="12" l="1"/>
  <c r="J277" i="12" s="1"/>
  <c r="H278" i="12"/>
  <c r="I278" i="12" l="1"/>
  <c r="J278" i="12" s="1"/>
  <c r="H279" i="12"/>
  <c r="I279" i="12" l="1"/>
  <c r="J279" i="12" s="1"/>
  <c r="H280" i="12"/>
  <c r="I280" i="12" l="1"/>
  <c r="J280" i="12" s="1"/>
  <c r="H281" i="12"/>
  <c r="I281" i="12" l="1"/>
  <c r="J281" i="12" s="1"/>
  <c r="H282" i="12"/>
  <c r="I282" i="12" l="1"/>
  <c r="J282" i="12" s="1"/>
  <c r="H283" i="12"/>
  <c r="I283" i="12" l="1"/>
  <c r="J283" i="12" s="1"/>
  <c r="H284" i="12"/>
  <c r="I284" i="12" l="1"/>
  <c r="J284" i="12" s="1"/>
  <c r="H285" i="12"/>
  <c r="I285" i="12" l="1"/>
  <c r="J285" i="12" s="1"/>
  <c r="H286" i="12"/>
  <c r="I286" i="12" l="1"/>
  <c r="J286" i="12" s="1"/>
  <c r="H287" i="12"/>
  <c r="I287" i="12" l="1"/>
  <c r="J287" i="12" s="1"/>
  <c r="H288" i="12"/>
  <c r="I288" i="12" l="1"/>
  <c r="J288" i="12" s="1"/>
  <c r="H289" i="12"/>
  <c r="I289" i="12" l="1"/>
  <c r="J289" i="12" s="1"/>
  <c r="H290" i="12"/>
  <c r="I290" i="12" l="1"/>
  <c r="J290" i="12" s="1"/>
  <c r="H291" i="12"/>
  <c r="I291" i="12" l="1"/>
  <c r="J291" i="12" s="1"/>
  <c r="H292" i="12"/>
  <c r="I292" i="12" l="1"/>
  <c r="J292" i="12" s="1"/>
  <c r="H293" i="12"/>
  <c r="I293" i="12" l="1"/>
  <c r="J293" i="12" s="1"/>
  <c r="H294" i="12"/>
  <c r="I294" i="12" l="1"/>
  <c r="J294" i="12" s="1"/>
  <c r="H295" i="12"/>
  <c r="I295" i="12" l="1"/>
  <c r="J295" i="12" s="1"/>
  <c r="T294" i="12" s="1"/>
  <c r="H296" i="12"/>
  <c r="T293" i="12"/>
  <c r="T292" i="12" s="1"/>
  <c r="T291" i="12" s="1"/>
  <c r="T290" i="12" s="1"/>
  <c r="T289" i="12" s="1"/>
  <c r="T288" i="12" s="1"/>
  <c r="T287" i="12" s="1"/>
  <c r="T286" i="12" s="1"/>
  <c r="T285" i="12" s="1"/>
  <c r="T284" i="12" s="1"/>
  <c r="T283" i="12" s="1"/>
  <c r="T282" i="12" s="1"/>
  <c r="T281" i="12" s="1"/>
  <c r="T280" i="12" s="1"/>
  <c r="T279" i="12" s="1"/>
  <c r="T278" i="12" s="1"/>
  <c r="T277" i="12" s="1"/>
  <c r="T276" i="12" s="1"/>
  <c r="T275" i="12" s="1"/>
  <c r="I296" i="12" l="1"/>
  <c r="J296" i="12" s="1"/>
  <c r="H297" i="12"/>
  <c r="I297" i="12" l="1"/>
  <c r="J297" i="12" s="1"/>
  <c r="H298" i="12"/>
  <c r="I298" i="12" l="1"/>
  <c r="J298" i="12" s="1"/>
  <c r="H299" i="12"/>
  <c r="I299" i="12" l="1"/>
  <c r="J299" i="12" s="1"/>
  <c r="H300" i="12"/>
  <c r="I300" i="12" l="1"/>
  <c r="J300" i="12" s="1"/>
  <c r="H301" i="12"/>
  <c r="I301" i="12" l="1"/>
  <c r="J301" i="12" s="1"/>
  <c r="H302" i="12"/>
  <c r="T299" i="12"/>
  <c r="T298" i="12" s="1"/>
  <c r="T297" i="12" s="1"/>
  <c r="T296" i="12" s="1"/>
  <c r="T295" i="12" s="1"/>
  <c r="I302" i="12" l="1"/>
  <c r="J302" i="12" s="1"/>
  <c r="H303" i="12"/>
  <c r="I303" i="12" l="1"/>
  <c r="J303" i="12" s="1"/>
  <c r="H304" i="12"/>
  <c r="I304" i="12" l="1"/>
  <c r="J304" i="12" s="1"/>
  <c r="H305" i="12"/>
  <c r="I305" i="12" l="1"/>
  <c r="J305" i="12" s="1"/>
  <c r="H306" i="12"/>
  <c r="I306" i="12" l="1"/>
  <c r="J306" i="12" s="1"/>
  <c r="H307" i="12"/>
  <c r="I307" i="12" l="1"/>
  <c r="J307" i="12" s="1"/>
  <c r="H308" i="12"/>
  <c r="I308" i="12" l="1"/>
  <c r="J308" i="12" s="1"/>
  <c r="H309" i="12"/>
  <c r="I309" i="12" l="1"/>
  <c r="J309" i="12" s="1"/>
  <c r="H310" i="12"/>
  <c r="I310" i="12" l="1"/>
  <c r="J310" i="12" s="1"/>
  <c r="H311" i="12"/>
  <c r="I311" i="12" l="1"/>
  <c r="J311" i="12" s="1"/>
  <c r="H312" i="12"/>
  <c r="I312" i="12" l="1"/>
  <c r="J312" i="12" s="1"/>
  <c r="H313" i="12"/>
  <c r="I313" i="12" l="1"/>
  <c r="J313" i="12" s="1"/>
  <c r="T312" i="12" s="1"/>
  <c r="T311" i="12" s="1"/>
  <c r="T310" i="12" s="1"/>
  <c r="T309" i="12" s="1"/>
  <c r="T308" i="12" s="1"/>
  <c r="T307" i="12" s="1"/>
  <c r="T306" i="12" s="1"/>
  <c r="T305" i="12" s="1"/>
  <c r="T304" i="12" s="1"/>
  <c r="T303" i="12" s="1"/>
  <c r="T302" i="12" s="1"/>
  <c r="T301" i="12" s="1"/>
  <c r="T300" i="12" s="1"/>
  <c r="H314" i="12"/>
  <c r="I314" i="12" l="1"/>
  <c r="J314" i="12" s="1"/>
  <c r="H315" i="12"/>
  <c r="I315" i="12" l="1"/>
  <c r="J315" i="12" s="1"/>
  <c r="H316" i="12"/>
  <c r="I316" i="12" l="1"/>
  <c r="J316" i="12" s="1"/>
  <c r="H317" i="12"/>
  <c r="I317" i="12" l="1"/>
  <c r="J317" i="12" s="1"/>
  <c r="H318" i="12"/>
  <c r="I318" i="12" l="1"/>
  <c r="J318" i="12" s="1"/>
  <c r="H319" i="12"/>
  <c r="I319" i="12" l="1"/>
  <c r="J319" i="12" s="1"/>
  <c r="H320" i="12"/>
  <c r="T317" i="12"/>
  <c r="T316" i="12" s="1"/>
  <c r="T315" i="12" s="1"/>
  <c r="T314" i="12" s="1"/>
  <c r="T313" i="12" s="1"/>
  <c r="I320" i="12" l="1"/>
  <c r="J320" i="12" s="1"/>
  <c r="H321" i="12"/>
  <c r="I321" i="12" l="1"/>
  <c r="J321" i="12" s="1"/>
  <c r="H322" i="12"/>
  <c r="I322" i="12" l="1"/>
  <c r="J322" i="12" s="1"/>
  <c r="H323" i="12"/>
  <c r="I323" i="12" l="1"/>
  <c r="J323" i="12" s="1"/>
  <c r="H324" i="12"/>
  <c r="I324" i="12" l="1"/>
  <c r="J324" i="12" s="1"/>
  <c r="H325" i="12"/>
  <c r="T323" i="12" l="1"/>
  <c r="T322" i="12" s="1"/>
  <c r="T321" i="12" s="1"/>
  <c r="T320" i="12" s="1"/>
  <c r="T319" i="12" s="1"/>
  <c r="T318" i="12" s="1"/>
  <c r="I325" i="12"/>
  <c r="J325" i="12" s="1"/>
  <c r="H326" i="12"/>
  <c r="I326" i="12" l="1"/>
  <c r="J326" i="12" s="1"/>
  <c r="H327" i="12"/>
  <c r="I327" i="12" l="1"/>
  <c r="J327" i="12" s="1"/>
  <c r="H328" i="12"/>
  <c r="I328" i="12" l="1"/>
  <c r="J328" i="12" s="1"/>
  <c r="H329" i="12"/>
  <c r="I329" i="12" l="1"/>
  <c r="J329" i="12" s="1"/>
  <c r="H330" i="12"/>
  <c r="I330" i="12" l="1"/>
  <c r="J330" i="12" s="1"/>
  <c r="H331" i="12"/>
  <c r="I331" i="12" l="1"/>
  <c r="J331" i="12" s="1"/>
  <c r="H332" i="12"/>
  <c r="T329" i="12"/>
  <c r="T328" i="12" s="1"/>
  <c r="T327" i="12" s="1"/>
  <c r="T326" i="12" s="1"/>
  <c r="T325" i="12" s="1"/>
  <c r="T324" i="12" s="1"/>
  <c r="I332" i="12" l="1"/>
  <c r="J332" i="12" s="1"/>
  <c r="H333" i="12"/>
  <c r="I333" i="12" l="1"/>
  <c r="J333" i="12" s="1"/>
  <c r="T332" i="12" s="1"/>
  <c r="T331" i="12" s="1"/>
  <c r="T330" i="12" s="1"/>
  <c r="H334" i="12"/>
  <c r="I334" i="12" l="1"/>
  <c r="J334" i="12" s="1"/>
  <c r="H335" i="12"/>
  <c r="I335" i="12" l="1"/>
  <c r="J335" i="12" s="1"/>
  <c r="H336" i="12"/>
  <c r="I336" i="12" l="1"/>
  <c r="J336" i="12" s="1"/>
  <c r="H337" i="12"/>
  <c r="I337" i="12" l="1"/>
  <c r="J337" i="12" s="1"/>
  <c r="H338" i="12"/>
  <c r="I338" i="12" l="1"/>
  <c r="J338" i="12" s="1"/>
  <c r="H339" i="12"/>
  <c r="I339" i="12" l="1"/>
  <c r="J339" i="12" s="1"/>
  <c r="H340" i="12"/>
  <c r="I340" i="12" l="1"/>
  <c r="J340" i="12" s="1"/>
  <c r="H341" i="12"/>
  <c r="I341" i="12" l="1"/>
  <c r="J341" i="12" s="1"/>
  <c r="T340" i="12" s="1"/>
  <c r="T339" i="12" s="1"/>
  <c r="T338" i="12" s="1"/>
  <c r="T337" i="12" s="1"/>
  <c r="T336" i="12" s="1"/>
  <c r="T335" i="12" s="1"/>
  <c r="T334" i="12" s="1"/>
  <c r="T333" i="12" s="1"/>
  <c r="H342" i="12"/>
  <c r="I342" i="12" l="1"/>
  <c r="J342" i="12" s="1"/>
  <c r="H343" i="12"/>
  <c r="I343" i="12" l="1"/>
  <c r="J343" i="12" s="1"/>
  <c r="H344" i="12"/>
  <c r="I344" i="12" l="1"/>
  <c r="J344" i="12" s="1"/>
  <c r="H345" i="12"/>
  <c r="I345" i="12" l="1"/>
  <c r="J345" i="12" s="1"/>
  <c r="H346" i="12"/>
  <c r="I346" i="12" l="1"/>
  <c r="J346" i="12" s="1"/>
  <c r="H347" i="12"/>
  <c r="I347" i="12" l="1"/>
  <c r="J347" i="12" s="1"/>
  <c r="H348" i="12"/>
  <c r="I348" i="12" l="1"/>
  <c r="J348" i="12" s="1"/>
  <c r="H349" i="12"/>
  <c r="I349" i="12" l="1"/>
  <c r="J349" i="12" s="1"/>
  <c r="H350" i="12"/>
  <c r="I350" i="12" l="1"/>
  <c r="J350" i="12" s="1"/>
  <c r="H351" i="12"/>
  <c r="I351" i="12" l="1"/>
  <c r="J351" i="12" s="1"/>
  <c r="H352" i="12"/>
  <c r="I352" i="12" l="1"/>
  <c r="J352" i="12" s="1"/>
  <c r="H353" i="12"/>
  <c r="I353" i="12" l="1"/>
  <c r="J353" i="12" s="1"/>
  <c r="H354" i="12"/>
  <c r="I354" i="12" l="1"/>
  <c r="J354" i="12" s="1"/>
  <c r="H355" i="12"/>
  <c r="I355" i="12" l="1"/>
  <c r="J355" i="12" s="1"/>
  <c r="H356" i="12"/>
  <c r="I356" i="12" l="1"/>
  <c r="J356" i="12" s="1"/>
  <c r="H357" i="12"/>
  <c r="I357" i="12" l="1"/>
  <c r="J357" i="12" s="1"/>
  <c r="H358" i="12"/>
  <c r="I358" i="12" l="1"/>
  <c r="J358" i="12" s="1"/>
  <c r="H359" i="12"/>
  <c r="I359" i="12" l="1"/>
  <c r="J359" i="12" s="1"/>
  <c r="H360" i="12"/>
  <c r="I360" i="12" l="1"/>
  <c r="J360" i="12" s="1"/>
  <c r="H361" i="12"/>
  <c r="I361" i="12" l="1"/>
  <c r="J361" i="12" s="1"/>
  <c r="H362" i="12"/>
  <c r="I362" i="12" l="1"/>
  <c r="J362" i="12" s="1"/>
  <c r="H363" i="12"/>
  <c r="I363" i="12" l="1"/>
  <c r="J363" i="12" s="1"/>
  <c r="H364" i="12"/>
  <c r="I364" i="12" l="1"/>
  <c r="J364" i="12" s="1"/>
  <c r="H365" i="12"/>
  <c r="I365" i="12" l="1"/>
  <c r="J365" i="12" s="1"/>
  <c r="H366" i="12"/>
  <c r="I366" i="12" l="1"/>
  <c r="J366" i="12" s="1"/>
  <c r="H367" i="12"/>
  <c r="I367" i="12" l="1"/>
  <c r="J367" i="12" s="1"/>
  <c r="H368" i="12"/>
  <c r="T365" i="12"/>
  <c r="T364" i="12" s="1"/>
  <c r="T363" i="12" s="1"/>
  <c r="T362" i="12" s="1"/>
  <c r="T361" i="12" s="1"/>
  <c r="T360" i="12" s="1"/>
  <c r="T359" i="12" s="1"/>
  <c r="T358" i="12" s="1"/>
  <c r="T357" i="12" s="1"/>
  <c r="T356" i="12" s="1"/>
  <c r="T355" i="12" s="1"/>
  <c r="T354" i="12" s="1"/>
  <c r="T353" i="12" s="1"/>
  <c r="T352" i="12" s="1"/>
  <c r="T351" i="12" s="1"/>
  <c r="T350" i="12" s="1"/>
  <c r="T349" i="12" s="1"/>
  <c r="T348" i="12" s="1"/>
  <c r="T347" i="12" s="1"/>
  <c r="T346" i="12" s="1"/>
  <c r="T345" i="12" s="1"/>
  <c r="T344" i="12" s="1"/>
  <c r="T343" i="12" s="1"/>
  <c r="T342" i="12" s="1"/>
  <c r="I368" i="12" l="1"/>
  <c r="J368" i="12" s="1"/>
  <c r="H369" i="12"/>
  <c r="I369" i="12" l="1"/>
  <c r="J369" i="12" s="1"/>
  <c r="H370" i="12"/>
  <c r="I370" i="12" l="1"/>
  <c r="J370" i="12" s="1"/>
  <c r="H371" i="12"/>
  <c r="I371" i="12" l="1"/>
  <c r="J371" i="12" s="1"/>
  <c r="H372" i="12"/>
  <c r="I372" i="12" l="1"/>
  <c r="J372" i="12" s="1"/>
  <c r="H373" i="12"/>
  <c r="I373" i="12" l="1"/>
  <c r="J373" i="12" s="1"/>
  <c r="H374" i="12"/>
  <c r="I374" i="12" l="1"/>
  <c r="J374" i="12" s="1"/>
  <c r="H375" i="12"/>
  <c r="I375" i="12" l="1"/>
  <c r="J375" i="12" s="1"/>
  <c r="H376" i="12"/>
  <c r="I376" i="12" l="1"/>
  <c r="J376" i="12" s="1"/>
  <c r="H377" i="12"/>
  <c r="I377" i="12" l="1"/>
  <c r="J377" i="12" s="1"/>
  <c r="H378" i="12"/>
  <c r="I378" i="12" l="1"/>
  <c r="J378" i="12" s="1"/>
  <c r="H379" i="12"/>
  <c r="I379" i="12" l="1"/>
  <c r="J379" i="12" s="1"/>
  <c r="H380" i="12"/>
  <c r="I380" i="12" l="1"/>
  <c r="J380" i="12" s="1"/>
  <c r="H381" i="12"/>
  <c r="I381" i="12" l="1"/>
  <c r="J381" i="12" s="1"/>
  <c r="H382" i="12"/>
  <c r="I382" i="12" l="1"/>
  <c r="J382" i="12" s="1"/>
  <c r="H383" i="12"/>
  <c r="I383" i="12" l="1"/>
  <c r="J383" i="12" s="1"/>
  <c r="H384" i="12"/>
  <c r="I384" i="12" l="1"/>
  <c r="J384" i="12" s="1"/>
  <c r="H385" i="12"/>
  <c r="I385" i="12" l="1"/>
  <c r="J385" i="12" s="1"/>
  <c r="H386" i="12"/>
  <c r="I386" i="12" l="1"/>
  <c r="J386" i="12" s="1"/>
  <c r="H387" i="12"/>
  <c r="I387" i="12" l="1"/>
  <c r="J387" i="12" s="1"/>
  <c r="H388" i="12"/>
  <c r="I388" i="12" l="1"/>
  <c r="J388" i="12" s="1"/>
  <c r="H389" i="12"/>
  <c r="I389" i="12" l="1"/>
  <c r="J389" i="12" s="1"/>
  <c r="H390" i="12"/>
  <c r="I390" i="12" l="1"/>
  <c r="J390" i="12" s="1"/>
  <c r="H391" i="12"/>
  <c r="I391" i="12" l="1"/>
  <c r="J391" i="12" s="1"/>
  <c r="H392" i="12"/>
  <c r="I392" i="12" l="1"/>
  <c r="J392" i="12" s="1"/>
  <c r="H393" i="12"/>
  <c r="I393" i="12" l="1"/>
  <c r="J393" i="12" s="1"/>
  <c r="H394" i="12"/>
  <c r="I394" i="12" l="1"/>
  <c r="J394" i="12" s="1"/>
  <c r="H395" i="12"/>
  <c r="I395" i="12" l="1"/>
  <c r="J395" i="12" s="1"/>
  <c r="H396" i="12"/>
  <c r="I396" i="12" l="1"/>
  <c r="J396" i="12" s="1"/>
  <c r="H397" i="12"/>
  <c r="I397" i="12" l="1"/>
  <c r="J397" i="12" s="1"/>
  <c r="T396" i="12" s="1"/>
  <c r="T395" i="12" s="1"/>
  <c r="T394" i="12" s="1"/>
  <c r="T393" i="12" s="1"/>
  <c r="T392" i="12" s="1"/>
  <c r="T391" i="12" s="1"/>
  <c r="T390" i="12" s="1"/>
  <c r="T389" i="12" s="1"/>
  <c r="T388" i="12" s="1"/>
  <c r="T387" i="12" s="1"/>
  <c r="T386" i="12" s="1"/>
  <c r="T385" i="12" s="1"/>
  <c r="T384" i="12" s="1"/>
  <c r="T383" i="12" s="1"/>
  <c r="T382" i="12" s="1"/>
  <c r="T381" i="12" s="1"/>
  <c r="T380" i="12" s="1"/>
  <c r="T379" i="12" s="1"/>
  <c r="T378" i="12" s="1"/>
  <c r="T377" i="12" s="1"/>
  <c r="T376" i="12" s="1"/>
  <c r="T375" i="12" s="1"/>
  <c r="T374" i="12" s="1"/>
  <c r="T373" i="12" s="1"/>
  <c r="T372" i="12" s="1"/>
  <c r="T371" i="12" s="1"/>
  <c r="T370" i="12" s="1"/>
  <c r="T369" i="12" s="1"/>
  <c r="T368" i="12" s="1"/>
  <c r="T367" i="12" s="1"/>
  <c r="T366" i="12" s="1"/>
  <c r="H398" i="12"/>
  <c r="I398" i="12" l="1"/>
  <c r="J398" i="12" s="1"/>
  <c r="H399" i="12"/>
  <c r="I399" i="12" l="1"/>
  <c r="J399" i="12" s="1"/>
  <c r="H400" i="12"/>
  <c r="I400" i="12" l="1"/>
  <c r="J400" i="12" s="1"/>
  <c r="H401" i="12"/>
  <c r="I401" i="12" l="1"/>
  <c r="J401" i="12" s="1"/>
  <c r="H402" i="12"/>
  <c r="I402" i="12" l="1"/>
  <c r="J402" i="12" s="1"/>
  <c r="H403" i="12"/>
  <c r="I403" i="12" l="1"/>
  <c r="J403" i="12" s="1"/>
  <c r="H404" i="12"/>
  <c r="I404" i="12" l="1"/>
  <c r="J404" i="12" s="1"/>
  <c r="H405" i="12"/>
  <c r="I405" i="12" l="1"/>
  <c r="J405" i="12" s="1"/>
  <c r="H406" i="12"/>
  <c r="I406" i="12" l="1"/>
  <c r="J406" i="12" s="1"/>
  <c r="H407" i="12"/>
  <c r="I407" i="12" l="1"/>
  <c r="J407" i="12" s="1"/>
  <c r="H408" i="12"/>
  <c r="I408" i="12" l="1"/>
  <c r="J408" i="12" s="1"/>
  <c r="H409" i="12"/>
  <c r="I409" i="12" l="1"/>
  <c r="J409" i="12" s="1"/>
  <c r="H410" i="12"/>
  <c r="I410" i="12" l="1"/>
  <c r="J410" i="12" s="1"/>
  <c r="H411" i="12"/>
  <c r="I411" i="12" l="1"/>
  <c r="J411" i="12" s="1"/>
  <c r="H412" i="12"/>
  <c r="I412" i="12" l="1"/>
  <c r="J412" i="12" s="1"/>
  <c r="H413" i="12"/>
  <c r="I413" i="12" l="1"/>
  <c r="J413" i="12" s="1"/>
  <c r="H414" i="12"/>
  <c r="I414" i="12" l="1"/>
  <c r="J414" i="12" s="1"/>
  <c r="H415" i="12"/>
  <c r="I415" i="12" l="1"/>
  <c r="J415" i="12" s="1"/>
  <c r="H416" i="12"/>
  <c r="I416" i="12" l="1"/>
  <c r="J416" i="12" s="1"/>
  <c r="H417" i="12"/>
  <c r="I417" i="12" l="1"/>
  <c r="J417" i="12" s="1"/>
  <c r="H418" i="12"/>
  <c r="I418" i="12" l="1"/>
  <c r="J418" i="12" s="1"/>
  <c r="H419" i="12"/>
  <c r="I419" i="12" l="1"/>
  <c r="J419" i="12" s="1"/>
  <c r="H420" i="12"/>
  <c r="I420" i="12" l="1"/>
  <c r="J420" i="12" s="1"/>
  <c r="H421" i="12"/>
  <c r="I421" i="12" l="1"/>
  <c r="J421" i="12" s="1"/>
  <c r="H422" i="12"/>
  <c r="T419" i="12"/>
  <c r="T418" i="12" s="1"/>
  <c r="T417" i="12" s="1"/>
  <c r="T416" i="12" s="1"/>
  <c r="T415" i="12" s="1"/>
  <c r="T414" i="12" s="1"/>
  <c r="T413" i="12" s="1"/>
  <c r="T412" i="12" s="1"/>
  <c r="T411" i="12" s="1"/>
  <c r="T410" i="12" s="1"/>
  <c r="T409" i="12" s="1"/>
  <c r="T408" i="12" s="1"/>
  <c r="T407" i="12" s="1"/>
  <c r="T406" i="12" s="1"/>
  <c r="T405" i="12" s="1"/>
  <c r="T404" i="12" s="1"/>
  <c r="T403" i="12" s="1"/>
  <c r="T402" i="12" s="1"/>
  <c r="T401" i="12" s="1"/>
  <c r="T400" i="12" s="1"/>
  <c r="T399" i="12" s="1"/>
  <c r="T398" i="12" s="1"/>
  <c r="T397" i="12" s="1"/>
  <c r="I422" i="12" l="1"/>
  <c r="J422" i="12" s="1"/>
  <c r="H423" i="12"/>
  <c r="I423" i="12" l="1"/>
  <c r="J423" i="12" s="1"/>
  <c r="H424" i="12"/>
  <c r="I424" i="12" l="1"/>
  <c r="J424" i="12" s="1"/>
  <c r="H425" i="12"/>
  <c r="I425" i="12" l="1"/>
  <c r="J425" i="12" s="1"/>
  <c r="H426" i="12"/>
  <c r="I426" i="12" l="1"/>
  <c r="J426" i="12" s="1"/>
  <c r="H427" i="12"/>
  <c r="I427" i="12" l="1"/>
  <c r="J427" i="12" s="1"/>
  <c r="H428" i="12"/>
  <c r="I428" i="12" l="1"/>
  <c r="J428" i="12" s="1"/>
  <c r="H429" i="12"/>
  <c r="I429" i="12" l="1"/>
  <c r="J429" i="12" s="1"/>
  <c r="H430" i="12"/>
  <c r="I430" i="12" l="1"/>
  <c r="J430" i="12" s="1"/>
  <c r="H431" i="12"/>
  <c r="I431" i="12" l="1"/>
  <c r="J431" i="12" s="1"/>
  <c r="H432" i="12"/>
  <c r="I432" i="12" l="1"/>
  <c r="J432" i="12" s="1"/>
  <c r="H433" i="12"/>
  <c r="I433" i="12" l="1"/>
  <c r="J433" i="12" s="1"/>
  <c r="H434" i="12"/>
  <c r="I434" i="12" l="1"/>
  <c r="J434" i="12" s="1"/>
  <c r="H435" i="12"/>
  <c r="I435" i="12" l="1"/>
  <c r="J435" i="12" s="1"/>
  <c r="H436" i="12"/>
  <c r="I436" i="12" l="1"/>
  <c r="J436" i="12" s="1"/>
  <c r="H437" i="12"/>
  <c r="I437" i="12" l="1"/>
  <c r="J437" i="12" s="1"/>
  <c r="H438" i="12"/>
  <c r="I438" i="12" l="1"/>
  <c r="J438" i="12" s="1"/>
  <c r="H439" i="12"/>
  <c r="I439" i="12" l="1"/>
  <c r="J439" i="12" s="1"/>
  <c r="H440" i="12"/>
  <c r="I440" i="12" l="1"/>
  <c r="J440" i="12" s="1"/>
  <c r="H441" i="12"/>
  <c r="I441" i="12" l="1"/>
  <c r="J441" i="12" s="1"/>
  <c r="H442" i="12"/>
  <c r="I442" i="12" l="1"/>
  <c r="J442" i="12" s="1"/>
  <c r="H443" i="12"/>
  <c r="I443" i="12" l="1"/>
  <c r="J443" i="12" s="1"/>
  <c r="H444" i="12"/>
  <c r="I444" i="12" l="1"/>
  <c r="J444" i="12" s="1"/>
  <c r="H445" i="12"/>
  <c r="I445" i="12" l="1"/>
  <c r="J445" i="12" s="1"/>
  <c r="H446" i="12"/>
  <c r="I446" i="12" l="1"/>
  <c r="J446" i="12" s="1"/>
  <c r="H447" i="12"/>
  <c r="I447" i="12" l="1"/>
  <c r="J447" i="12" s="1"/>
  <c r="H448" i="12"/>
  <c r="I448" i="12" l="1"/>
  <c r="J448" i="12" s="1"/>
  <c r="H449" i="12"/>
  <c r="I449" i="12" l="1"/>
  <c r="J449" i="12" s="1"/>
  <c r="T448" i="12" s="1"/>
  <c r="T447" i="12" s="1"/>
  <c r="T446" i="12" s="1"/>
  <c r="T445" i="12" s="1"/>
  <c r="T444" i="12" s="1"/>
  <c r="T443" i="12" s="1"/>
  <c r="T442" i="12" s="1"/>
  <c r="T441" i="12" s="1"/>
  <c r="T440" i="12" s="1"/>
  <c r="T439" i="12" s="1"/>
  <c r="T438" i="12" s="1"/>
  <c r="T437" i="12" s="1"/>
  <c r="T436" i="12" s="1"/>
  <c r="T435" i="12" s="1"/>
  <c r="T434" i="12" s="1"/>
  <c r="T433" i="12" s="1"/>
  <c r="T432" i="12" s="1"/>
  <c r="T431" i="12" s="1"/>
  <c r="T430" i="12" s="1"/>
  <c r="T429" i="12" s="1"/>
  <c r="T428" i="12" s="1"/>
  <c r="T427" i="12" s="1"/>
  <c r="T426" i="12" s="1"/>
  <c r="T425" i="12" s="1"/>
  <c r="T424" i="12" s="1"/>
  <c r="T423" i="12" s="1"/>
  <c r="T422" i="12" s="1"/>
  <c r="T421" i="12" s="1"/>
  <c r="T420" i="12" s="1"/>
  <c r="H450" i="12"/>
  <c r="I450" i="12" l="1"/>
  <c r="J450" i="12" s="1"/>
  <c r="H451" i="12"/>
  <c r="I451" i="12" l="1"/>
  <c r="J451" i="12" s="1"/>
  <c r="H452" i="12"/>
  <c r="I452" i="12" l="1"/>
  <c r="J452" i="12" s="1"/>
  <c r="H453" i="12"/>
  <c r="I453" i="12" l="1"/>
  <c r="J453" i="12" s="1"/>
  <c r="H454" i="12"/>
  <c r="I454" i="12" l="1"/>
  <c r="J454" i="12" s="1"/>
  <c r="H455" i="12"/>
  <c r="I455" i="12" l="1"/>
  <c r="J455" i="12" s="1"/>
  <c r="H456" i="12"/>
  <c r="I456" i="12" l="1"/>
  <c r="J456" i="12" s="1"/>
  <c r="H457" i="12"/>
  <c r="I457" i="12" l="1"/>
  <c r="J457" i="12" s="1"/>
  <c r="H458" i="12"/>
  <c r="I458" i="12" l="1"/>
  <c r="J458" i="12" s="1"/>
  <c r="H459" i="12"/>
  <c r="I459" i="12" l="1"/>
  <c r="J459" i="12" s="1"/>
  <c r="H460" i="12"/>
  <c r="I460" i="12" l="1"/>
  <c r="J460" i="12" s="1"/>
  <c r="H461" i="12"/>
  <c r="I461" i="12" l="1"/>
  <c r="J461" i="12" s="1"/>
  <c r="H462" i="12"/>
  <c r="I462" i="12" l="1"/>
  <c r="J462" i="12" s="1"/>
  <c r="H463" i="12"/>
  <c r="I463" i="12" l="1"/>
  <c r="J463" i="12" s="1"/>
  <c r="H464" i="12"/>
  <c r="I464" i="12" l="1"/>
  <c r="J464" i="12" s="1"/>
  <c r="H465" i="12"/>
  <c r="I465" i="12" l="1"/>
  <c r="J465" i="12" s="1"/>
  <c r="H466" i="12"/>
  <c r="I466" i="12" l="1"/>
  <c r="J466" i="12" s="1"/>
  <c r="H467" i="12"/>
  <c r="I467" i="12" l="1"/>
  <c r="J467" i="12" s="1"/>
  <c r="H468" i="12"/>
  <c r="I468" i="12" l="1"/>
  <c r="J468" i="12" s="1"/>
  <c r="H469" i="12"/>
  <c r="I469" i="12" l="1"/>
  <c r="J469" i="12" s="1"/>
  <c r="H470" i="12"/>
  <c r="I470" i="12" l="1"/>
  <c r="J470" i="12" s="1"/>
  <c r="H471" i="12"/>
  <c r="I471" i="12" l="1"/>
  <c r="J471" i="12" s="1"/>
  <c r="H472" i="12"/>
  <c r="I472" i="12" l="1"/>
  <c r="J472" i="12" s="1"/>
  <c r="H473" i="12"/>
  <c r="I473" i="12" l="1"/>
  <c r="J473" i="12" s="1"/>
  <c r="H474" i="12"/>
  <c r="I474" i="12" l="1"/>
  <c r="J474" i="12" s="1"/>
  <c r="H475" i="12"/>
  <c r="I475" i="12" l="1"/>
  <c r="J475" i="12" s="1"/>
  <c r="H476" i="12"/>
  <c r="I476" i="12" l="1"/>
  <c r="J476" i="12" s="1"/>
  <c r="H477" i="12"/>
  <c r="I477" i="12" l="1"/>
  <c r="J477" i="12" s="1"/>
  <c r="H478" i="12"/>
  <c r="I478" i="12" l="1"/>
  <c r="J478" i="12" s="1"/>
  <c r="H479" i="12"/>
  <c r="I479" i="12" l="1"/>
  <c r="J479" i="12" s="1"/>
  <c r="T478" i="12" s="1"/>
  <c r="T477" i="12" s="1"/>
  <c r="T476" i="12" s="1"/>
  <c r="T475" i="12" s="1"/>
  <c r="T474" i="12" s="1"/>
  <c r="T473" i="12" s="1"/>
  <c r="T472" i="12" s="1"/>
  <c r="T471" i="12" s="1"/>
  <c r="T470" i="12" s="1"/>
  <c r="T469" i="12" s="1"/>
  <c r="T468" i="12" s="1"/>
  <c r="T467" i="12" s="1"/>
  <c r="T466" i="12" s="1"/>
  <c r="T465" i="12" s="1"/>
  <c r="T464" i="12" s="1"/>
  <c r="T463" i="12" s="1"/>
  <c r="T462" i="12" s="1"/>
  <c r="T461" i="12" s="1"/>
  <c r="T460" i="12" s="1"/>
  <c r="T459" i="12" s="1"/>
  <c r="T458" i="12" s="1"/>
  <c r="T457" i="12" s="1"/>
  <c r="T456" i="12" s="1"/>
  <c r="T455" i="12" s="1"/>
  <c r="T454" i="12" s="1"/>
  <c r="T453" i="12" s="1"/>
  <c r="T452" i="12" s="1"/>
  <c r="T451" i="12" s="1"/>
  <c r="T450" i="12" s="1"/>
  <c r="T449" i="12" s="1"/>
  <c r="H480" i="12"/>
  <c r="I480" i="12" l="1"/>
  <c r="J480" i="12" s="1"/>
  <c r="H481" i="12"/>
  <c r="I481" i="12" l="1"/>
  <c r="J481" i="12" s="1"/>
  <c r="H482" i="12"/>
  <c r="I482" i="12" l="1"/>
  <c r="J482" i="12" s="1"/>
  <c r="H483" i="12"/>
  <c r="I483" i="12" l="1"/>
  <c r="J483" i="12" s="1"/>
  <c r="H484" i="12"/>
  <c r="I484" i="12" l="1"/>
  <c r="J484" i="12" s="1"/>
  <c r="H485" i="12"/>
  <c r="I485" i="12" l="1"/>
  <c r="J485" i="12" s="1"/>
  <c r="H486" i="12"/>
  <c r="I486" i="12" l="1"/>
  <c r="J486" i="12" s="1"/>
  <c r="H487" i="12"/>
  <c r="I487" i="12" l="1"/>
  <c r="J487" i="12" s="1"/>
  <c r="H488" i="12"/>
  <c r="I488" i="12" l="1"/>
  <c r="J488" i="12" s="1"/>
  <c r="H489" i="12"/>
  <c r="I489" i="12" l="1"/>
  <c r="J489" i="12" s="1"/>
  <c r="H490" i="12"/>
  <c r="I490" i="12" l="1"/>
  <c r="J490" i="12" s="1"/>
  <c r="H491" i="12"/>
  <c r="I491" i="12" l="1"/>
  <c r="J491" i="12" s="1"/>
  <c r="H492" i="12"/>
  <c r="I492" i="12" l="1"/>
  <c r="J492" i="12" s="1"/>
  <c r="H493" i="12"/>
  <c r="I493" i="12" l="1"/>
  <c r="J493" i="12" s="1"/>
  <c r="H494" i="12"/>
  <c r="I494" i="12" l="1"/>
  <c r="J494" i="12" s="1"/>
  <c r="H495" i="12"/>
  <c r="I495" i="12" l="1"/>
  <c r="J495" i="12" s="1"/>
  <c r="H496" i="12"/>
  <c r="I496" i="12" l="1"/>
  <c r="J496" i="12" s="1"/>
  <c r="H497" i="12"/>
  <c r="I497" i="12" l="1"/>
  <c r="J497" i="12" s="1"/>
  <c r="H498" i="12"/>
  <c r="I498" i="12" l="1"/>
  <c r="J498" i="12" s="1"/>
  <c r="H499" i="12"/>
  <c r="I499" i="12" l="1"/>
  <c r="J499" i="12" s="1"/>
  <c r="H500" i="12"/>
  <c r="I500" i="12" l="1"/>
  <c r="J500" i="12" s="1"/>
  <c r="H501" i="12"/>
  <c r="I501" i="12" l="1"/>
  <c r="J501" i="12" s="1"/>
  <c r="H502" i="12"/>
  <c r="I502" i="12" l="1"/>
  <c r="J502" i="12" s="1"/>
  <c r="H503" i="12"/>
  <c r="I503" i="12" l="1"/>
  <c r="J503" i="12" s="1"/>
  <c r="H504" i="12"/>
  <c r="I504" i="12" l="1"/>
  <c r="J504" i="12" s="1"/>
  <c r="H505" i="12"/>
  <c r="I505" i="12" l="1"/>
  <c r="J505" i="12" s="1"/>
  <c r="T504" i="12" s="1"/>
  <c r="T503" i="12" s="1"/>
  <c r="T502" i="12" s="1"/>
  <c r="T501" i="12" s="1"/>
  <c r="T500" i="12" s="1"/>
  <c r="T499" i="12" s="1"/>
  <c r="T498" i="12" s="1"/>
  <c r="T497" i="12" s="1"/>
  <c r="T496" i="12" s="1"/>
  <c r="T495" i="12" s="1"/>
  <c r="T494" i="12" s="1"/>
  <c r="T493" i="12" s="1"/>
  <c r="T492" i="12" s="1"/>
  <c r="T491" i="12" s="1"/>
  <c r="T490" i="12" s="1"/>
  <c r="T489" i="12" s="1"/>
  <c r="T488" i="12" s="1"/>
  <c r="T487" i="12" s="1"/>
  <c r="T486" i="12" s="1"/>
  <c r="T485" i="12" s="1"/>
  <c r="T484" i="12" s="1"/>
  <c r="T483" i="12" s="1"/>
  <c r="T482" i="12" s="1"/>
  <c r="T481" i="12" s="1"/>
  <c r="T480" i="12" s="1"/>
  <c r="T479" i="12" s="1"/>
  <c r="H506" i="12"/>
  <c r="I506" i="12" l="1"/>
  <c r="J506" i="12" s="1"/>
  <c r="H507" i="12"/>
  <c r="I507" i="12" l="1"/>
  <c r="J507" i="12" s="1"/>
  <c r="H508" i="12"/>
  <c r="I508" i="12" l="1"/>
  <c r="J508" i="12" s="1"/>
  <c r="H509" i="12"/>
  <c r="I509" i="12" l="1"/>
  <c r="J509" i="12" s="1"/>
  <c r="H510" i="12"/>
  <c r="I510" i="12" l="1"/>
  <c r="J510" i="12" s="1"/>
  <c r="H511" i="12"/>
  <c r="I511" i="12" l="1"/>
  <c r="J511" i="12" s="1"/>
  <c r="H512" i="12"/>
  <c r="I512" i="12" l="1"/>
  <c r="J512" i="12" s="1"/>
  <c r="H513" i="12"/>
  <c r="I513" i="12" l="1"/>
  <c r="J513" i="12" s="1"/>
  <c r="H514" i="12"/>
  <c r="I514" i="12" l="1"/>
  <c r="J514" i="12" s="1"/>
  <c r="H515" i="12"/>
  <c r="I515" i="12" l="1"/>
  <c r="J515" i="12" s="1"/>
  <c r="H516" i="12"/>
  <c r="I516" i="12" l="1"/>
  <c r="J516" i="12" s="1"/>
  <c r="H517" i="12"/>
  <c r="I517" i="12" l="1"/>
  <c r="J517" i="12" s="1"/>
  <c r="H518" i="12"/>
  <c r="I518" i="12" l="1"/>
  <c r="J518" i="12" s="1"/>
  <c r="H519" i="12"/>
  <c r="I519" i="12" l="1"/>
  <c r="J519" i="12" s="1"/>
  <c r="H520" i="12"/>
  <c r="I520" i="12" l="1"/>
  <c r="J520" i="12" s="1"/>
  <c r="H521" i="12"/>
  <c r="I521" i="12" l="1"/>
  <c r="J521" i="12" s="1"/>
  <c r="H522" i="12"/>
  <c r="I522" i="12" l="1"/>
  <c r="J522" i="12" s="1"/>
  <c r="H523" i="12"/>
  <c r="I523" i="12" l="1"/>
  <c r="J523" i="12" s="1"/>
  <c r="T522" i="12" s="1"/>
  <c r="T521" i="12" s="1"/>
  <c r="T520" i="12" s="1"/>
  <c r="T519" i="12" s="1"/>
  <c r="T518" i="12" s="1"/>
  <c r="T517" i="12" s="1"/>
  <c r="T516" i="12" s="1"/>
  <c r="T515" i="12" s="1"/>
  <c r="T514" i="12" s="1"/>
  <c r="T513" i="12" s="1"/>
  <c r="T512" i="12" s="1"/>
  <c r="T511" i="12" s="1"/>
  <c r="T510" i="12" s="1"/>
  <c r="T509" i="12" s="1"/>
  <c r="T508" i="12" s="1"/>
  <c r="T507" i="12" s="1"/>
  <c r="T506" i="12" s="1"/>
  <c r="T505" i="12" s="1"/>
  <c r="H524" i="12"/>
  <c r="I524" i="12" l="1"/>
  <c r="J524" i="12" s="1"/>
  <c r="H525" i="12"/>
  <c r="I525" i="12" l="1"/>
  <c r="J525" i="12" s="1"/>
  <c r="H526" i="12"/>
  <c r="I526" i="12" l="1"/>
  <c r="J526" i="12" s="1"/>
  <c r="H527" i="12"/>
  <c r="I527" i="12" l="1"/>
  <c r="J527" i="12" s="1"/>
  <c r="H528" i="12"/>
  <c r="I528" i="12" l="1"/>
  <c r="J528" i="12" s="1"/>
  <c r="H529" i="12"/>
  <c r="I529" i="12" l="1"/>
  <c r="J529" i="12" s="1"/>
  <c r="T528" i="12" s="1"/>
  <c r="T527" i="12" s="1"/>
  <c r="T526" i="12" s="1"/>
  <c r="T525" i="12" s="1"/>
  <c r="T524" i="12" s="1"/>
  <c r="T523" i="12" s="1"/>
  <c r="H530" i="12"/>
  <c r="I530" i="12" l="1"/>
  <c r="J530" i="12" s="1"/>
  <c r="H531" i="12"/>
  <c r="I531" i="12" l="1"/>
  <c r="J531" i="12" s="1"/>
  <c r="H532" i="12"/>
  <c r="I532" i="12" l="1"/>
  <c r="J532" i="12" s="1"/>
  <c r="H533" i="12"/>
  <c r="I533" i="12" l="1"/>
  <c r="J533" i="12" s="1"/>
  <c r="H534" i="12"/>
  <c r="I534" i="12" l="1"/>
  <c r="J534" i="12" s="1"/>
  <c r="H535" i="12"/>
  <c r="I535" i="12" l="1"/>
  <c r="J535" i="12" s="1"/>
  <c r="H536" i="12"/>
  <c r="I536" i="12" l="1"/>
  <c r="J536" i="12" s="1"/>
  <c r="H537" i="12"/>
  <c r="I537" i="12" l="1"/>
  <c r="J537" i="12" s="1"/>
  <c r="H538" i="12"/>
  <c r="I538" i="12" l="1"/>
  <c r="J538" i="12" s="1"/>
  <c r="H539" i="12"/>
  <c r="I539" i="12" l="1"/>
  <c r="J539" i="12" s="1"/>
  <c r="H540" i="12"/>
  <c r="I540" i="12" l="1"/>
  <c r="J540" i="12" s="1"/>
  <c r="H541" i="12"/>
  <c r="I541" i="12" l="1"/>
  <c r="J541" i="12" s="1"/>
  <c r="H542" i="12"/>
  <c r="I542" i="12" l="1"/>
  <c r="J542" i="12" s="1"/>
  <c r="H543" i="12"/>
  <c r="I543" i="12" l="1"/>
  <c r="J543" i="12" s="1"/>
  <c r="H544" i="12"/>
  <c r="I544" i="12" l="1"/>
  <c r="J544" i="12" s="1"/>
  <c r="H545" i="12"/>
  <c r="I545" i="12" l="1"/>
  <c r="J545" i="12" s="1"/>
  <c r="H546" i="12"/>
  <c r="I546" i="12" l="1"/>
  <c r="J546" i="12" s="1"/>
  <c r="H547" i="12"/>
  <c r="I547" i="12" l="1"/>
  <c r="J547" i="12" s="1"/>
  <c r="H548" i="12"/>
  <c r="I548" i="12" l="1"/>
  <c r="J548" i="12" s="1"/>
  <c r="H549" i="12"/>
  <c r="I549" i="12" l="1"/>
  <c r="J549" i="12" s="1"/>
  <c r="H550" i="12"/>
  <c r="I550" i="12" l="1"/>
  <c r="J550" i="12" s="1"/>
  <c r="H551" i="12"/>
  <c r="I551" i="12" l="1"/>
  <c r="J551" i="12" s="1"/>
  <c r="H552" i="12"/>
  <c r="I552" i="12" l="1"/>
  <c r="J552" i="12" s="1"/>
  <c r="H553" i="12"/>
  <c r="I553" i="12" l="1"/>
  <c r="J553" i="12" s="1"/>
  <c r="H554" i="12"/>
  <c r="I554" i="12" l="1"/>
  <c r="J554" i="12" s="1"/>
  <c r="H555" i="12"/>
  <c r="I555" i="12" l="1"/>
  <c r="J555" i="12" s="1"/>
  <c r="H556" i="12"/>
  <c r="I556" i="12" l="1"/>
  <c r="J556" i="12" s="1"/>
  <c r="H557" i="12"/>
  <c r="I557" i="12" l="1"/>
  <c r="J557" i="12" s="1"/>
  <c r="H558" i="12"/>
  <c r="I558" i="12" l="1"/>
  <c r="J558" i="12" s="1"/>
  <c r="H559" i="12"/>
  <c r="I559" i="12" l="1"/>
  <c r="J559" i="12" s="1"/>
  <c r="H560" i="12"/>
  <c r="I560" i="12" l="1"/>
  <c r="J560" i="12" s="1"/>
  <c r="H561" i="12"/>
  <c r="I561" i="12" l="1"/>
  <c r="J561" i="12" s="1"/>
  <c r="H562" i="12"/>
  <c r="I562" i="12" l="1"/>
  <c r="J562" i="12" s="1"/>
  <c r="H563" i="12"/>
  <c r="I563" i="12" l="1"/>
  <c r="J563" i="12" s="1"/>
  <c r="T562" i="12" s="1"/>
  <c r="T561" i="12" s="1"/>
  <c r="T560" i="12" s="1"/>
  <c r="T559" i="12" s="1"/>
  <c r="T558" i="12" s="1"/>
  <c r="T557" i="12" s="1"/>
  <c r="T556" i="12" s="1"/>
  <c r="T555" i="12" s="1"/>
  <c r="T554" i="12" s="1"/>
  <c r="T553" i="12" s="1"/>
  <c r="T552" i="12" s="1"/>
  <c r="T551" i="12" s="1"/>
  <c r="T550" i="12" s="1"/>
  <c r="T549" i="12" s="1"/>
  <c r="T548" i="12" s="1"/>
  <c r="T547" i="12" s="1"/>
  <c r="T546" i="12" s="1"/>
  <c r="T545" i="12" s="1"/>
  <c r="T544" i="12" s="1"/>
  <c r="T543" i="12" s="1"/>
  <c r="T542" i="12" s="1"/>
  <c r="T541" i="12" s="1"/>
  <c r="T540" i="12" s="1"/>
  <c r="T539" i="12" s="1"/>
  <c r="T538" i="12" s="1"/>
  <c r="T537" i="12" s="1"/>
  <c r="T536" i="12" s="1"/>
  <c r="T535" i="12" s="1"/>
  <c r="T534" i="12" s="1"/>
  <c r="T533" i="12" s="1"/>
  <c r="T532" i="12" s="1"/>
  <c r="T531" i="12" s="1"/>
  <c r="T530" i="12" s="1"/>
  <c r="T529" i="12" s="1"/>
  <c r="H564" i="12"/>
  <c r="I564" i="12" l="1"/>
  <c r="J564" i="12" s="1"/>
  <c r="H565" i="12"/>
  <c r="I565" i="12" l="1"/>
  <c r="J565" i="12" s="1"/>
  <c r="H566" i="12"/>
  <c r="I566" i="12" l="1"/>
  <c r="J566" i="12" s="1"/>
  <c r="H567" i="12"/>
  <c r="I567" i="12" l="1"/>
  <c r="J567" i="12" s="1"/>
  <c r="H568" i="12"/>
  <c r="I568" i="12" l="1"/>
  <c r="J568" i="12" s="1"/>
  <c r="H569" i="12"/>
  <c r="T567" i="12" l="1"/>
  <c r="T566" i="12" s="1"/>
  <c r="T565" i="12" s="1"/>
  <c r="T564" i="12" s="1"/>
  <c r="T563" i="12" s="1"/>
  <c r="I569" i="12"/>
  <c r="J569" i="12" s="1"/>
  <c r="H570" i="12"/>
  <c r="I570" i="12" l="1"/>
  <c r="J570" i="12" s="1"/>
  <c r="H571" i="12"/>
  <c r="I571" i="12" l="1"/>
  <c r="J571" i="12" s="1"/>
  <c r="H572" i="12"/>
  <c r="I572" i="12" l="1"/>
  <c r="J572" i="12" s="1"/>
  <c r="H573" i="12"/>
  <c r="I573" i="12" l="1"/>
  <c r="J573" i="12" s="1"/>
  <c r="H574" i="12"/>
  <c r="I574" i="12" l="1"/>
  <c r="J574" i="12" s="1"/>
  <c r="H575" i="12"/>
  <c r="T573" i="12" l="1"/>
  <c r="T572" i="12" s="1"/>
  <c r="T571" i="12" s="1"/>
  <c r="T570" i="12" s="1"/>
  <c r="T569" i="12" s="1"/>
  <c r="T568" i="12" s="1"/>
  <c r="I575" i="12"/>
  <c r="J575" i="12" s="1"/>
  <c r="H576" i="12"/>
  <c r="I576" i="12" l="1"/>
  <c r="J576" i="12" s="1"/>
  <c r="H577" i="12"/>
  <c r="I577" i="12" l="1"/>
  <c r="J577" i="12" s="1"/>
  <c r="H578" i="12"/>
  <c r="I578" i="12" l="1"/>
  <c r="J578" i="12" s="1"/>
  <c r="H579" i="12"/>
  <c r="I579" i="12" l="1"/>
  <c r="J579" i="12" s="1"/>
  <c r="T578" i="12" s="1"/>
  <c r="T577" i="12" s="1"/>
  <c r="T576" i="12" s="1"/>
  <c r="T575" i="12" s="1"/>
  <c r="T574" i="12" s="1"/>
  <c r="H580" i="12"/>
  <c r="I580" i="12" l="1"/>
  <c r="J580" i="12" s="1"/>
  <c r="H581" i="12"/>
  <c r="I581" i="12" l="1"/>
  <c r="J581" i="12" s="1"/>
  <c r="H582" i="12"/>
  <c r="I582" i="12" l="1"/>
  <c r="J582" i="12" s="1"/>
  <c r="H583" i="12"/>
  <c r="I583" i="12" l="1"/>
  <c r="J583" i="12" s="1"/>
  <c r="H584" i="12"/>
  <c r="I584" i="12" l="1"/>
  <c r="J584" i="12" s="1"/>
  <c r="H585" i="12"/>
  <c r="I585" i="12" l="1"/>
  <c r="J585" i="12" s="1"/>
  <c r="H586" i="12"/>
  <c r="I586" i="12" l="1"/>
  <c r="J586" i="12" s="1"/>
  <c r="H587" i="12"/>
  <c r="I587" i="12" l="1"/>
  <c r="J587" i="12" s="1"/>
  <c r="H588" i="12"/>
  <c r="I588" i="12" l="1"/>
  <c r="J588" i="12" s="1"/>
  <c r="H589" i="12"/>
  <c r="I589" i="12" l="1"/>
  <c r="J589" i="12" s="1"/>
  <c r="H590" i="12"/>
  <c r="I590" i="12" l="1"/>
  <c r="J590" i="12" s="1"/>
  <c r="H591" i="12"/>
  <c r="I591" i="12" l="1"/>
  <c r="J591" i="12" s="1"/>
  <c r="H592" i="12"/>
  <c r="I592" i="12" l="1"/>
  <c r="J592" i="12" s="1"/>
  <c r="H593" i="12"/>
  <c r="I593" i="12" l="1"/>
  <c r="J593" i="12" s="1"/>
  <c r="H594" i="12"/>
  <c r="I594" i="12" l="1"/>
  <c r="J594" i="12" s="1"/>
  <c r="H595" i="12"/>
  <c r="I595" i="12" l="1"/>
  <c r="J595" i="12" s="1"/>
  <c r="H596" i="12"/>
  <c r="I596" i="12" l="1"/>
  <c r="J596" i="12" s="1"/>
  <c r="H597" i="12"/>
  <c r="I597" i="12" l="1"/>
  <c r="J597" i="12" s="1"/>
  <c r="H598" i="12"/>
  <c r="I598" i="12" l="1"/>
  <c r="J598" i="12" s="1"/>
  <c r="H599" i="12"/>
  <c r="I599" i="12" l="1"/>
  <c r="J599" i="12" s="1"/>
  <c r="T598" i="12" s="1"/>
  <c r="T597" i="12" s="1"/>
  <c r="T596" i="12" s="1"/>
  <c r="T595" i="12" s="1"/>
  <c r="T594" i="12" s="1"/>
  <c r="T593" i="12" s="1"/>
  <c r="T592" i="12" s="1"/>
  <c r="T591" i="12" s="1"/>
  <c r="T590" i="12" s="1"/>
  <c r="T589" i="12" s="1"/>
  <c r="T588" i="12" s="1"/>
  <c r="T587" i="12" s="1"/>
  <c r="T586" i="12" s="1"/>
  <c r="T585" i="12" s="1"/>
  <c r="T584" i="12" s="1"/>
  <c r="T583" i="12" s="1"/>
  <c r="T582" i="12" s="1"/>
  <c r="T581" i="12" s="1"/>
  <c r="T580" i="12" s="1"/>
  <c r="H600" i="12"/>
  <c r="I600" i="12" l="1"/>
  <c r="J600" i="12" s="1"/>
  <c r="H601" i="12"/>
  <c r="I601" i="12" l="1"/>
  <c r="J601" i="12" s="1"/>
  <c r="H602" i="12"/>
  <c r="I602" i="12" l="1"/>
  <c r="J602" i="12" s="1"/>
  <c r="H603" i="12"/>
  <c r="I603" i="12" l="1"/>
  <c r="J603" i="12" s="1"/>
  <c r="H604" i="12"/>
  <c r="I604" i="12" l="1"/>
  <c r="J604" i="12" s="1"/>
  <c r="H605" i="12"/>
  <c r="I605" i="12" l="1"/>
  <c r="J605" i="12" s="1"/>
  <c r="H606" i="12"/>
  <c r="I606" i="12" l="1"/>
  <c r="J606" i="12" s="1"/>
  <c r="H607" i="12"/>
  <c r="I607" i="12" l="1"/>
  <c r="J607" i="12" s="1"/>
  <c r="H608" i="12"/>
  <c r="I608" i="12" l="1"/>
  <c r="J608" i="12" s="1"/>
  <c r="H609" i="12"/>
  <c r="I609" i="12" l="1"/>
  <c r="J609" i="12" s="1"/>
  <c r="H610" i="12"/>
  <c r="I610" i="12" l="1"/>
  <c r="J610" i="12" s="1"/>
  <c r="H611" i="12"/>
  <c r="I611" i="12" l="1"/>
  <c r="J611" i="12" s="1"/>
  <c r="T610" i="12" s="1"/>
  <c r="H612" i="12"/>
  <c r="T609" i="12"/>
  <c r="T608" i="12" s="1"/>
  <c r="T607" i="12" s="1"/>
  <c r="T606" i="12" s="1"/>
  <c r="T605" i="12" s="1"/>
  <c r="T604" i="12" s="1"/>
  <c r="T603" i="12" s="1"/>
  <c r="T602" i="12" s="1"/>
  <c r="T601" i="12" s="1"/>
  <c r="T600" i="12" s="1"/>
  <c r="T599" i="12" s="1"/>
  <c r="I612" i="12" l="1"/>
  <c r="J612" i="12" s="1"/>
  <c r="H613" i="12"/>
  <c r="I613" i="12" l="1"/>
  <c r="J613" i="12" s="1"/>
  <c r="H614" i="12"/>
  <c r="I614" i="12" l="1"/>
  <c r="J614" i="12" s="1"/>
  <c r="H615" i="12"/>
  <c r="I615" i="12" l="1"/>
  <c r="J615" i="12" s="1"/>
  <c r="H616" i="12"/>
  <c r="I616" i="12" l="1"/>
  <c r="J616" i="12" s="1"/>
  <c r="H617" i="12"/>
  <c r="I617" i="12" l="1"/>
  <c r="J617" i="12" s="1"/>
  <c r="H618" i="12"/>
  <c r="I618" i="12" l="1"/>
  <c r="J618" i="12" s="1"/>
  <c r="H619" i="12"/>
  <c r="I619" i="12" l="1"/>
  <c r="J619" i="12" s="1"/>
  <c r="T618" i="12" s="1"/>
  <c r="T617" i="12" s="1"/>
  <c r="T616" i="12" s="1"/>
  <c r="T615" i="12" s="1"/>
  <c r="T614" i="12" s="1"/>
  <c r="T613" i="12" s="1"/>
  <c r="T612" i="12" s="1"/>
  <c r="T611" i="12" s="1"/>
  <c r="H620" i="12"/>
  <c r="I620" i="12" l="1"/>
  <c r="J620" i="12" s="1"/>
  <c r="H621" i="12"/>
  <c r="I621" i="12" l="1"/>
  <c r="J621" i="12" s="1"/>
  <c r="H622" i="12"/>
  <c r="I622" i="12" l="1"/>
  <c r="J622" i="12" s="1"/>
  <c r="H623" i="12"/>
  <c r="I623" i="12" l="1"/>
  <c r="J623" i="12" s="1"/>
  <c r="H624" i="12"/>
  <c r="I624" i="12" l="1"/>
  <c r="J624" i="12" s="1"/>
  <c r="H625" i="12"/>
  <c r="I625" i="12" l="1"/>
  <c r="J625" i="12" s="1"/>
  <c r="H626" i="12"/>
  <c r="I626" i="12" l="1"/>
  <c r="J626" i="12" s="1"/>
  <c r="H627" i="12"/>
  <c r="I627" i="12" l="1"/>
  <c r="J627" i="12" s="1"/>
  <c r="T626" i="12" s="1"/>
  <c r="T625" i="12" s="1"/>
  <c r="T624" i="12" s="1"/>
  <c r="T623" i="12" s="1"/>
  <c r="T622" i="12" s="1"/>
  <c r="T621" i="12" s="1"/>
  <c r="T620" i="12" s="1"/>
  <c r="T619" i="12" s="1"/>
  <c r="H628" i="12"/>
  <c r="I628" i="12" l="1"/>
  <c r="J628" i="12" s="1"/>
  <c r="H629" i="12"/>
  <c r="I629" i="12" l="1"/>
  <c r="J629" i="12" s="1"/>
  <c r="H630" i="12"/>
  <c r="I630" i="12" l="1"/>
  <c r="J630" i="12" s="1"/>
  <c r="H631" i="12"/>
  <c r="I631" i="12" l="1"/>
  <c r="J631" i="12" s="1"/>
  <c r="H632" i="12"/>
  <c r="I632" i="12" l="1"/>
  <c r="J632" i="12" s="1"/>
  <c r="H633" i="12"/>
  <c r="I633" i="12" l="1"/>
  <c r="J633" i="12" s="1"/>
  <c r="H634" i="12"/>
  <c r="I634" i="12" l="1"/>
  <c r="J634" i="12" s="1"/>
  <c r="H635" i="12"/>
  <c r="I635" i="12" l="1"/>
  <c r="J635" i="12" s="1"/>
  <c r="H636" i="12"/>
  <c r="I636" i="12" l="1"/>
  <c r="J636" i="12" s="1"/>
  <c r="H637" i="12"/>
  <c r="I637" i="12" l="1"/>
  <c r="J637" i="12" s="1"/>
  <c r="H638" i="12"/>
  <c r="T635" i="12"/>
  <c r="T634" i="12" s="1"/>
  <c r="T633" i="12" s="1"/>
  <c r="T632" i="12" s="1"/>
  <c r="T631" i="12" s="1"/>
  <c r="T630" i="12" s="1"/>
  <c r="T629" i="12" s="1"/>
  <c r="T628" i="12" s="1"/>
  <c r="T627" i="12" s="1"/>
  <c r="I638" i="12" l="1"/>
  <c r="J638" i="12" s="1"/>
  <c r="H639" i="12"/>
  <c r="I639" i="12" l="1"/>
  <c r="J639" i="12" s="1"/>
  <c r="H640" i="12"/>
  <c r="I640" i="12" l="1"/>
  <c r="J640" i="12" s="1"/>
  <c r="H641" i="12"/>
  <c r="I641" i="12" l="1"/>
  <c r="J641" i="12" s="1"/>
  <c r="H642" i="12"/>
  <c r="I642" i="12" l="1"/>
  <c r="J642" i="12" s="1"/>
  <c r="H643" i="12"/>
  <c r="I643" i="12" l="1"/>
  <c r="J643" i="12" s="1"/>
  <c r="H644" i="12"/>
  <c r="I644" i="12" l="1"/>
  <c r="J644" i="12" s="1"/>
  <c r="H645" i="12"/>
  <c r="I645" i="12" l="1"/>
  <c r="J645" i="12" s="1"/>
  <c r="H646" i="12"/>
  <c r="I646" i="12" l="1"/>
  <c r="J646" i="12" s="1"/>
  <c r="H647" i="12"/>
  <c r="I647" i="12" l="1"/>
  <c r="J647" i="12" s="1"/>
  <c r="H648" i="12"/>
  <c r="I648" i="12" l="1"/>
  <c r="J648" i="12" s="1"/>
  <c r="H649" i="12"/>
  <c r="I649" i="12" l="1"/>
  <c r="J649" i="12" s="1"/>
  <c r="H650" i="12"/>
  <c r="I650" i="12" l="1"/>
  <c r="J650" i="12" s="1"/>
  <c r="H651" i="12"/>
  <c r="I651" i="12" l="1"/>
  <c r="J651" i="12" s="1"/>
  <c r="H652" i="12"/>
  <c r="I652" i="12" l="1"/>
  <c r="J652" i="12" s="1"/>
  <c r="H653" i="12"/>
  <c r="I653" i="12" l="1"/>
  <c r="J653" i="12" s="1"/>
  <c r="H654" i="12"/>
  <c r="T651" i="12"/>
  <c r="T650" i="12" s="1"/>
  <c r="T649" i="12" s="1"/>
  <c r="T648" i="12" s="1"/>
  <c r="T647" i="12" s="1"/>
  <c r="T646" i="12" s="1"/>
  <c r="T645" i="12" s="1"/>
  <c r="T644" i="12" s="1"/>
  <c r="T643" i="12" s="1"/>
  <c r="T642" i="12" s="1"/>
  <c r="T641" i="12" s="1"/>
  <c r="T640" i="12" s="1"/>
  <c r="T639" i="12" s="1"/>
  <c r="T638" i="12" s="1"/>
  <c r="T637" i="12" s="1"/>
  <c r="T636" i="12" s="1"/>
  <c r="I654" i="12" l="1"/>
  <c r="J654" i="12" s="1"/>
  <c r="H655" i="12"/>
  <c r="I655" i="12" l="1"/>
  <c r="J655" i="12" s="1"/>
  <c r="H656" i="12"/>
  <c r="I656" i="12" l="1"/>
  <c r="J656" i="12" s="1"/>
  <c r="H657" i="12"/>
  <c r="I657" i="12" l="1"/>
  <c r="J657" i="12" s="1"/>
  <c r="T656" i="12" s="1"/>
  <c r="H658" i="12"/>
  <c r="T655" i="12"/>
  <c r="T654" i="12" s="1"/>
  <c r="T653" i="12" s="1"/>
  <c r="T652" i="12" s="1"/>
  <c r="I658" i="12" l="1"/>
  <c r="J658" i="12" s="1"/>
  <c r="H659" i="12"/>
  <c r="I659" i="12" l="1"/>
  <c r="J659" i="12" s="1"/>
  <c r="H660" i="12"/>
  <c r="I660" i="12" l="1"/>
  <c r="J660" i="12" s="1"/>
  <c r="H661" i="12"/>
  <c r="I661" i="12" l="1"/>
  <c r="J661" i="12" s="1"/>
  <c r="H662" i="12"/>
  <c r="I662" i="12" l="1"/>
  <c r="J662" i="12" s="1"/>
  <c r="H663" i="12"/>
  <c r="I663" i="12" l="1"/>
  <c r="J663" i="12" s="1"/>
  <c r="H664" i="12"/>
  <c r="I664" i="12" l="1"/>
  <c r="J664" i="12" s="1"/>
  <c r="H665" i="12"/>
  <c r="I665" i="12" l="1"/>
  <c r="J665" i="12" s="1"/>
  <c r="H666" i="12"/>
  <c r="I666" i="12" l="1"/>
  <c r="J666" i="12" s="1"/>
  <c r="H667" i="12"/>
  <c r="I667" i="12" l="1"/>
  <c r="J667" i="12" s="1"/>
  <c r="T666" i="12" s="1"/>
  <c r="T665" i="12" s="1"/>
  <c r="T664" i="12" s="1"/>
  <c r="T663" i="12" s="1"/>
  <c r="T662" i="12" s="1"/>
  <c r="T661" i="12" s="1"/>
  <c r="T660" i="12" s="1"/>
  <c r="T659" i="12" s="1"/>
  <c r="T658" i="12" s="1"/>
  <c r="H668" i="12"/>
  <c r="I668" i="12" l="1"/>
  <c r="J668" i="12" s="1"/>
  <c r="H669" i="12"/>
  <c r="I669" i="12" l="1"/>
  <c r="J669" i="12" s="1"/>
  <c r="H670" i="12"/>
  <c r="I670" i="12" l="1"/>
  <c r="J670" i="12" s="1"/>
  <c r="H671" i="12"/>
  <c r="I671" i="12" l="1"/>
  <c r="J671" i="12" s="1"/>
  <c r="T670" i="12" s="1"/>
  <c r="T669" i="12" s="1"/>
  <c r="T668" i="12" s="1"/>
  <c r="T667" i="12" s="1"/>
  <c r="H672" i="12"/>
  <c r="I672" i="12" l="1"/>
  <c r="J672" i="12" s="1"/>
  <c r="H673" i="12"/>
  <c r="I673" i="12" l="1"/>
  <c r="J673" i="12" s="1"/>
  <c r="H674" i="12"/>
  <c r="I674" i="12" l="1"/>
  <c r="J674" i="12" s="1"/>
  <c r="H675" i="12"/>
  <c r="I675" i="12" l="1"/>
  <c r="J675" i="12" s="1"/>
  <c r="H676" i="12"/>
  <c r="I676" i="12" l="1"/>
  <c r="J676" i="12" s="1"/>
  <c r="H677" i="12"/>
  <c r="I677" i="12" l="1"/>
  <c r="J677" i="12" s="1"/>
  <c r="T676" i="12" s="1"/>
  <c r="H678" i="12"/>
  <c r="T675" i="12"/>
  <c r="T674" i="12" s="1"/>
  <c r="T673" i="12" s="1"/>
  <c r="T672" i="12" s="1"/>
  <c r="I678" i="12" l="1"/>
  <c r="J678" i="12" s="1"/>
  <c r="H679" i="12"/>
  <c r="I679" i="12" l="1"/>
  <c r="J679" i="12" s="1"/>
  <c r="T678" i="12" s="1"/>
  <c r="T677" i="12" s="1"/>
  <c r="H680" i="12"/>
  <c r="I680" i="12" l="1"/>
  <c r="J680" i="12" s="1"/>
  <c r="H681" i="12"/>
  <c r="I681" i="12" l="1"/>
  <c r="J681" i="12" s="1"/>
  <c r="H682" i="12"/>
  <c r="I682" i="12" l="1"/>
  <c r="J682" i="12" s="1"/>
  <c r="H683" i="12"/>
  <c r="I683" i="12" l="1"/>
  <c r="J683" i="12" s="1"/>
  <c r="H684" i="12"/>
  <c r="I684" i="12" l="1"/>
  <c r="J684" i="12" s="1"/>
  <c r="H685" i="12"/>
  <c r="I685" i="12" l="1"/>
  <c r="J685" i="12" s="1"/>
  <c r="H686" i="12"/>
  <c r="I686" i="12" l="1"/>
  <c r="J686" i="12" s="1"/>
  <c r="H687" i="12"/>
  <c r="I687" i="12" l="1"/>
  <c r="J687" i="12" s="1"/>
  <c r="H688" i="12"/>
  <c r="I688" i="12" l="1"/>
  <c r="J688" i="12" s="1"/>
  <c r="H689" i="12"/>
  <c r="I689" i="12" l="1"/>
  <c r="J689" i="12" s="1"/>
  <c r="H690" i="12"/>
  <c r="I690" i="12" l="1"/>
  <c r="J690" i="12" s="1"/>
  <c r="H691" i="12"/>
  <c r="I691" i="12" l="1"/>
  <c r="J691" i="12" s="1"/>
  <c r="H692" i="12"/>
  <c r="I692" i="12" l="1"/>
  <c r="J692" i="12" s="1"/>
  <c r="H693" i="12"/>
  <c r="I693" i="12" l="1"/>
  <c r="J693" i="12" s="1"/>
  <c r="H694" i="12"/>
  <c r="I694" i="12" l="1"/>
  <c r="J694" i="12" s="1"/>
  <c r="H695" i="12"/>
  <c r="I695" i="12" l="1"/>
  <c r="J695" i="12" s="1"/>
  <c r="H696" i="12"/>
  <c r="I696" i="12" l="1"/>
  <c r="J696" i="12" s="1"/>
  <c r="H697" i="12"/>
  <c r="I697" i="12" l="1"/>
  <c r="J697" i="12" s="1"/>
  <c r="H698" i="12"/>
  <c r="I698" i="12" l="1"/>
  <c r="J698" i="12" s="1"/>
  <c r="H699" i="12"/>
  <c r="I699" i="12" l="1"/>
  <c r="J699" i="12" s="1"/>
  <c r="H700" i="12"/>
  <c r="I700" i="12" l="1"/>
  <c r="J700" i="12" s="1"/>
  <c r="H701" i="12"/>
  <c r="I701" i="12" l="1"/>
  <c r="J701" i="12" s="1"/>
  <c r="T700" i="12" s="1"/>
  <c r="H702" i="12"/>
  <c r="T699" i="12"/>
  <c r="T698" i="12" s="1"/>
  <c r="T697" i="12" s="1"/>
  <c r="T696" i="12" s="1"/>
  <c r="T695" i="12" s="1"/>
  <c r="T694" i="12" s="1"/>
  <c r="T693" i="12" s="1"/>
  <c r="T692" i="12" s="1"/>
  <c r="T691" i="12" s="1"/>
  <c r="T690" i="12" s="1"/>
  <c r="T689" i="12" s="1"/>
  <c r="T688" i="12" s="1"/>
  <c r="T687" i="12" s="1"/>
  <c r="T686" i="12" s="1"/>
  <c r="T685" i="12" s="1"/>
  <c r="T684" i="12" s="1"/>
  <c r="T683" i="12" s="1"/>
  <c r="T682" i="12" s="1"/>
  <c r="T681" i="12" s="1"/>
  <c r="T680" i="12" s="1"/>
  <c r="I702" i="12" l="1"/>
  <c r="J702" i="12" s="1"/>
  <c r="H703" i="12"/>
  <c r="I703" i="12" l="1"/>
  <c r="J703" i="12" s="1"/>
  <c r="H704" i="12"/>
  <c r="I704" i="12" l="1"/>
  <c r="J704" i="12" s="1"/>
  <c r="H705" i="12"/>
  <c r="I705" i="12" l="1"/>
  <c r="J705" i="12" s="1"/>
  <c r="H706" i="12"/>
  <c r="I706" i="12" l="1"/>
  <c r="J706" i="12" s="1"/>
  <c r="H707" i="12"/>
  <c r="I707" i="12" l="1"/>
  <c r="J707" i="12" s="1"/>
  <c r="H708" i="12"/>
  <c r="I708" i="12" l="1"/>
  <c r="J708" i="12" s="1"/>
  <c r="H709" i="12"/>
  <c r="I709" i="12" l="1"/>
  <c r="J709" i="12" s="1"/>
  <c r="H710" i="12"/>
  <c r="I710" i="12" l="1"/>
  <c r="J710" i="12" s="1"/>
  <c r="H711" i="12"/>
  <c r="I711" i="12" l="1"/>
  <c r="J711" i="12" s="1"/>
  <c r="H712" i="12"/>
  <c r="T709" i="12"/>
  <c r="T708" i="12" s="1"/>
  <c r="T707" i="12" s="1"/>
  <c r="T706" i="12" s="1"/>
  <c r="T705" i="12" s="1"/>
  <c r="T704" i="12" s="1"/>
  <c r="T703" i="12" s="1"/>
  <c r="T702" i="12" s="1"/>
  <c r="T701" i="12" s="1"/>
  <c r="I712" i="12" l="1"/>
  <c r="J712" i="12" s="1"/>
  <c r="H713" i="12"/>
  <c r="I713" i="12" l="1"/>
  <c r="J713" i="12" s="1"/>
  <c r="H714" i="12"/>
  <c r="I714" i="12" l="1"/>
  <c r="J714" i="12" s="1"/>
  <c r="H715" i="12"/>
  <c r="I715" i="12" l="1"/>
  <c r="J715" i="12" s="1"/>
  <c r="H716" i="12"/>
  <c r="I716" i="12" l="1"/>
  <c r="J716" i="12" s="1"/>
  <c r="H717" i="12"/>
  <c r="I717" i="12" l="1"/>
  <c r="J717" i="12" s="1"/>
  <c r="H718" i="12"/>
  <c r="I718" i="12" l="1"/>
  <c r="J718" i="12" s="1"/>
  <c r="H719" i="12"/>
  <c r="T716" i="12"/>
  <c r="T715" i="12" s="1"/>
  <c r="T714" i="12" s="1"/>
  <c r="T713" i="12" s="1"/>
  <c r="T712" i="12" s="1"/>
  <c r="T711" i="12" s="1"/>
  <c r="T710" i="12" s="1"/>
  <c r="I719" i="12" l="1"/>
  <c r="J719" i="12" s="1"/>
  <c r="H720" i="12"/>
  <c r="I720" i="12" l="1"/>
  <c r="J720" i="12" s="1"/>
  <c r="H721" i="12"/>
  <c r="I721" i="12" l="1"/>
  <c r="J721" i="12" s="1"/>
  <c r="H722" i="12"/>
  <c r="I722" i="12" l="1"/>
  <c r="J722" i="12" s="1"/>
  <c r="H723" i="12"/>
  <c r="I723" i="12" l="1"/>
  <c r="J723" i="12" s="1"/>
  <c r="H724" i="12"/>
  <c r="I724" i="12" l="1"/>
  <c r="J724" i="12" s="1"/>
  <c r="H725" i="12"/>
  <c r="I725" i="12" l="1"/>
  <c r="J725" i="12" s="1"/>
  <c r="H726" i="12"/>
  <c r="I726" i="12" l="1"/>
  <c r="J726" i="12" s="1"/>
  <c r="H727" i="12"/>
  <c r="I727" i="12" l="1"/>
  <c r="J727" i="12" s="1"/>
  <c r="H728" i="12"/>
  <c r="I728" i="12" l="1"/>
  <c r="J728" i="12" s="1"/>
  <c r="H729" i="12"/>
  <c r="I729" i="12" l="1"/>
  <c r="J729" i="12" s="1"/>
  <c r="H730" i="12"/>
  <c r="I730" i="12" l="1"/>
  <c r="J730" i="12" s="1"/>
  <c r="T729" i="12" s="1"/>
  <c r="T728" i="12" s="1"/>
  <c r="T727" i="12" s="1"/>
  <c r="T726" i="12" s="1"/>
  <c r="T725" i="12" s="1"/>
  <c r="T724" i="12" s="1"/>
  <c r="T723" i="12" s="1"/>
  <c r="T722" i="12" s="1"/>
  <c r="T721" i="12" s="1"/>
  <c r="T720" i="12" s="1"/>
  <c r="T719" i="12" s="1"/>
  <c r="T718" i="12" s="1"/>
  <c r="H731" i="12"/>
  <c r="I731" i="12" l="1"/>
  <c r="J731" i="12" s="1"/>
  <c r="H732" i="12"/>
  <c r="I732" i="12" l="1"/>
  <c r="J732" i="12" s="1"/>
  <c r="H733" i="12"/>
  <c r="I733" i="12" l="1"/>
  <c r="J733" i="12" s="1"/>
  <c r="H734" i="12"/>
  <c r="I734" i="12" l="1"/>
  <c r="J734" i="12" s="1"/>
  <c r="H735" i="12"/>
  <c r="I735" i="12" l="1"/>
  <c r="J735" i="12" s="1"/>
  <c r="H736" i="12"/>
  <c r="I736" i="12" l="1"/>
  <c r="J736" i="12" s="1"/>
  <c r="H737" i="12"/>
  <c r="I737" i="12" l="1"/>
  <c r="J737" i="12" s="1"/>
  <c r="H738" i="12"/>
  <c r="I738" i="12" l="1"/>
  <c r="J738" i="12" s="1"/>
  <c r="H739" i="12"/>
  <c r="I739" i="12" l="1"/>
  <c r="J739" i="12" s="1"/>
  <c r="H740" i="12"/>
  <c r="I740" i="12" l="1"/>
  <c r="J740" i="12" s="1"/>
  <c r="H741" i="12"/>
  <c r="I741" i="12" l="1"/>
  <c r="J741" i="12" s="1"/>
  <c r="H742" i="12"/>
  <c r="T740" i="12" l="1"/>
  <c r="T739" i="12" s="1"/>
  <c r="T738" i="12" s="1"/>
  <c r="T737" i="12" s="1"/>
  <c r="T736" i="12" s="1"/>
  <c r="T735" i="12" s="1"/>
  <c r="T734" i="12" s="1"/>
  <c r="T733" i="12" s="1"/>
  <c r="T732" i="12" s="1"/>
  <c r="T731" i="12" s="1"/>
  <c r="T730" i="12" s="1"/>
  <c r="I742" i="12"/>
  <c r="J742" i="12" s="1"/>
  <c r="H743" i="12"/>
  <c r="I743" i="12" l="1"/>
  <c r="J743" i="12" s="1"/>
  <c r="H744" i="12"/>
  <c r="I744" i="12" l="1"/>
  <c r="J744" i="12" s="1"/>
  <c r="H745" i="12"/>
  <c r="T742" i="12"/>
  <c r="T741" i="12" s="1"/>
  <c r="I745" i="12" l="1"/>
  <c r="J745" i="12" s="1"/>
  <c r="H746" i="12"/>
  <c r="I746" i="12" l="1"/>
  <c r="J746" i="12" s="1"/>
  <c r="H747" i="12"/>
  <c r="I747" i="12" l="1"/>
  <c r="J747" i="12" s="1"/>
  <c r="H748" i="12"/>
  <c r="I748" i="12" l="1"/>
  <c r="J748" i="12" s="1"/>
  <c r="H749" i="12"/>
  <c r="I749" i="12" l="1"/>
  <c r="J749" i="12" s="1"/>
  <c r="H750" i="12"/>
  <c r="I750" i="12" l="1"/>
  <c r="J750" i="12" s="1"/>
  <c r="H751" i="12"/>
  <c r="I751" i="12" l="1"/>
  <c r="J751" i="12" s="1"/>
  <c r="H752" i="12"/>
  <c r="I752" i="12" l="1"/>
  <c r="J752" i="12" s="1"/>
  <c r="H753" i="12"/>
  <c r="I753" i="12" l="1"/>
  <c r="J753" i="12" s="1"/>
  <c r="H754" i="12"/>
  <c r="I754" i="12" l="1"/>
  <c r="J754" i="12" s="1"/>
  <c r="H755" i="12"/>
  <c r="I755" i="12" l="1"/>
  <c r="J755" i="12" s="1"/>
  <c r="H756" i="12"/>
  <c r="I756" i="12" l="1"/>
  <c r="J756" i="12" s="1"/>
  <c r="H757" i="12"/>
  <c r="T754" i="12"/>
  <c r="T753" i="12" s="1"/>
  <c r="T752" i="12" s="1"/>
  <c r="T751" i="12" s="1"/>
  <c r="T750" i="12" s="1"/>
  <c r="T749" i="12" s="1"/>
  <c r="T748" i="12" s="1"/>
  <c r="T747" i="12" s="1"/>
  <c r="T746" i="12" s="1"/>
  <c r="T745" i="12" s="1"/>
  <c r="T744" i="12" s="1"/>
  <c r="T743" i="12" s="1"/>
  <c r="I757" i="12" l="1"/>
  <c r="J757" i="12" s="1"/>
  <c r="H758" i="12"/>
  <c r="I758" i="12" l="1"/>
  <c r="J758" i="12" s="1"/>
  <c r="H759" i="12"/>
  <c r="I759" i="12" l="1"/>
  <c r="J759" i="12" s="1"/>
  <c r="H760" i="12"/>
  <c r="I760" i="12" l="1"/>
  <c r="J760" i="12" s="1"/>
  <c r="H761" i="12"/>
  <c r="I761" i="12" l="1"/>
  <c r="J761" i="12" s="1"/>
  <c r="H762" i="12"/>
  <c r="I762" i="12" l="1"/>
  <c r="J762" i="12" s="1"/>
  <c r="H763" i="12"/>
  <c r="I763" i="12" l="1"/>
  <c r="J763" i="12" s="1"/>
  <c r="H764" i="12"/>
  <c r="I764" i="12" l="1"/>
  <c r="J764" i="12" s="1"/>
  <c r="H765" i="12"/>
  <c r="I765" i="12" l="1"/>
  <c r="J765" i="12" s="1"/>
  <c r="H766" i="12"/>
  <c r="I766" i="12" l="1"/>
  <c r="J766" i="12" s="1"/>
  <c r="H767" i="12"/>
  <c r="I767" i="12" l="1"/>
  <c r="J767" i="12" s="1"/>
  <c r="H768" i="12"/>
  <c r="I768" i="12" l="1"/>
  <c r="J768" i="12" s="1"/>
  <c r="T767" i="12" s="1"/>
  <c r="T766" i="12" s="1"/>
  <c r="T765" i="12" s="1"/>
  <c r="T764" i="12" s="1"/>
  <c r="T763" i="12" s="1"/>
  <c r="T762" i="12" s="1"/>
  <c r="T761" i="12" s="1"/>
  <c r="T760" i="12" s="1"/>
  <c r="T759" i="12" s="1"/>
  <c r="T758" i="12" s="1"/>
  <c r="T757" i="12" s="1"/>
  <c r="T756" i="12" s="1"/>
  <c r="T755" i="12" s="1"/>
  <c r="H769" i="12"/>
  <c r="I769" i="12" l="1"/>
  <c r="J769" i="12" s="1"/>
  <c r="H770" i="12"/>
  <c r="I770" i="12" l="1"/>
  <c r="J770" i="12" s="1"/>
  <c r="H771" i="12"/>
  <c r="I771" i="12" l="1"/>
  <c r="J771" i="12" s="1"/>
  <c r="H772" i="12"/>
  <c r="I772" i="12" l="1"/>
  <c r="J772" i="12" s="1"/>
  <c r="H773" i="12"/>
  <c r="I773" i="12" l="1"/>
  <c r="J773" i="12" s="1"/>
  <c r="H774" i="12"/>
  <c r="I774" i="12" l="1"/>
  <c r="J774" i="12" s="1"/>
  <c r="H775" i="12"/>
  <c r="I775" i="12" l="1"/>
  <c r="J775" i="12" s="1"/>
  <c r="H776" i="12"/>
  <c r="I776" i="12" l="1"/>
  <c r="J776" i="12" s="1"/>
  <c r="H777" i="12"/>
  <c r="I777" i="12" l="1"/>
  <c r="J777" i="12" s="1"/>
  <c r="H778" i="12"/>
  <c r="I778" i="12" l="1"/>
  <c r="J778" i="12" s="1"/>
  <c r="H779" i="12"/>
  <c r="I779" i="12" l="1"/>
  <c r="J779" i="12" s="1"/>
  <c r="H780" i="12"/>
  <c r="T778" i="12" l="1"/>
  <c r="T777" i="12" s="1"/>
  <c r="T776" i="12" s="1"/>
  <c r="T775" i="12" s="1"/>
  <c r="T774" i="12" s="1"/>
  <c r="T773" i="12" s="1"/>
  <c r="T772" i="12" s="1"/>
  <c r="T771" i="12" s="1"/>
  <c r="T770" i="12" s="1"/>
  <c r="T769" i="12" s="1"/>
  <c r="T768" i="12" s="1"/>
  <c r="I780" i="12"/>
  <c r="J780" i="12" s="1"/>
  <c r="H781" i="12"/>
  <c r="I781" i="12" l="1"/>
  <c r="J781" i="12" s="1"/>
  <c r="H782" i="12"/>
  <c r="I782" i="12" l="1"/>
  <c r="J782" i="12" s="1"/>
  <c r="H783" i="12"/>
  <c r="I783" i="12" l="1"/>
  <c r="J783" i="12" s="1"/>
  <c r="H784" i="12"/>
  <c r="T782" i="12" l="1"/>
  <c r="T781" i="12" s="1"/>
  <c r="T780" i="12" s="1"/>
  <c r="T779" i="12" s="1"/>
  <c r="I784" i="12"/>
  <c r="J784" i="12" s="1"/>
  <c r="H785" i="12"/>
  <c r="I785" i="12" l="1"/>
  <c r="J785" i="12" s="1"/>
  <c r="H786" i="12"/>
  <c r="I786" i="12" l="1"/>
  <c r="J786" i="12" s="1"/>
  <c r="H787" i="12"/>
  <c r="I787" i="12" l="1"/>
  <c r="J787" i="12" s="1"/>
  <c r="H788" i="12"/>
  <c r="I788" i="12" l="1"/>
  <c r="J788" i="12" s="1"/>
  <c r="H789" i="12"/>
  <c r="I789" i="12" l="1"/>
  <c r="J789" i="12" s="1"/>
  <c r="H790" i="12"/>
  <c r="I790" i="12" l="1"/>
  <c r="J790" i="12" s="1"/>
  <c r="T789" i="12" s="1"/>
  <c r="H791" i="12"/>
  <c r="T788" i="12"/>
  <c r="T787" i="12" s="1"/>
  <c r="T786" i="12" s="1"/>
  <c r="T785" i="12" s="1"/>
  <c r="T784" i="12" s="1"/>
  <c r="T783" i="12" s="1"/>
  <c r="I791" i="12" l="1"/>
  <c r="J791" i="12" s="1"/>
  <c r="H792" i="12"/>
  <c r="I792" i="12" l="1"/>
  <c r="J792" i="12" s="1"/>
  <c r="H793" i="12"/>
  <c r="I793" i="12" l="1"/>
  <c r="J793" i="12" s="1"/>
  <c r="H794" i="12"/>
  <c r="I794" i="12" l="1"/>
  <c r="J794" i="12" s="1"/>
  <c r="H795" i="12"/>
  <c r="I795" i="12" l="1"/>
  <c r="J795" i="12" s="1"/>
  <c r="H796" i="12"/>
  <c r="I796" i="12" l="1"/>
  <c r="J796" i="12" s="1"/>
  <c r="H797" i="12"/>
  <c r="I797" i="12" l="1"/>
  <c r="J797" i="12" s="1"/>
  <c r="H798" i="12"/>
  <c r="T796" i="12" l="1"/>
  <c r="T795" i="12" s="1"/>
  <c r="T794" i="12" s="1"/>
  <c r="T793" i="12" s="1"/>
  <c r="T792" i="12" s="1"/>
  <c r="T791" i="12" s="1"/>
  <c r="T790" i="12" s="1"/>
  <c r="I798" i="12"/>
  <c r="J798" i="12" s="1"/>
  <c r="H799" i="12"/>
  <c r="I799" i="12" l="1"/>
  <c r="J799" i="12" s="1"/>
  <c r="H800" i="12"/>
  <c r="I800" i="12" l="1"/>
  <c r="J800" i="12" s="1"/>
  <c r="H801" i="12"/>
  <c r="I801" i="12" l="1"/>
  <c r="J801" i="12" s="1"/>
  <c r="H802" i="12"/>
  <c r="I802" i="12" l="1"/>
  <c r="J802" i="12" s="1"/>
  <c r="H803" i="12"/>
  <c r="I803" i="12" l="1"/>
  <c r="J803" i="12" s="1"/>
  <c r="H804" i="12"/>
  <c r="I804" i="12" l="1"/>
  <c r="J804" i="12" s="1"/>
  <c r="H805" i="12"/>
  <c r="I805" i="12" l="1"/>
  <c r="J805" i="12" s="1"/>
  <c r="H806" i="12"/>
  <c r="I806" i="12" l="1"/>
  <c r="J806" i="12" s="1"/>
  <c r="H807" i="12"/>
  <c r="I807" i="12" l="1"/>
  <c r="J807" i="12" s="1"/>
  <c r="H808" i="12"/>
  <c r="I808" i="12" l="1"/>
  <c r="J808" i="12" s="1"/>
  <c r="T807" i="12" s="1"/>
  <c r="T806" i="12" s="1"/>
  <c r="T805" i="12" s="1"/>
  <c r="T804" i="12" s="1"/>
  <c r="T803" i="12" s="1"/>
  <c r="T802" i="12" s="1"/>
  <c r="T801" i="12" s="1"/>
  <c r="T800" i="12" s="1"/>
  <c r="T799" i="12" s="1"/>
  <c r="T798" i="12" s="1"/>
  <c r="T797" i="12" s="1"/>
  <c r="H809" i="12"/>
  <c r="I809" i="12" l="1"/>
  <c r="J809" i="12" s="1"/>
  <c r="H810" i="12"/>
  <c r="I810" i="12" l="1"/>
  <c r="J810" i="12" s="1"/>
  <c r="H811" i="12"/>
  <c r="I811" i="12" l="1"/>
  <c r="J811" i="12" s="1"/>
  <c r="H812" i="12"/>
  <c r="I812" i="12" l="1"/>
  <c r="J812" i="12" s="1"/>
  <c r="H813" i="12"/>
  <c r="I813" i="12" l="1"/>
  <c r="J813" i="12" s="1"/>
  <c r="H814" i="12"/>
  <c r="I814" i="12" l="1"/>
  <c r="J814" i="12" s="1"/>
  <c r="H815" i="12"/>
  <c r="I815" i="12" l="1"/>
  <c r="J815" i="12" s="1"/>
  <c r="H816" i="12"/>
  <c r="I816" i="12" l="1"/>
  <c r="J816" i="12" s="1"/>
  <c r="H817" i="12"/>
  <c r="I817" i="12" l="1"/>
  <c r="J817" i="12" s="1"/>
  <c r="H818" i="12"/>
  <c r="I818" i="12" l="1"/>
  <c r="J818" i="12" s="1"/>
  <c r="H819" i="12"/>
  <c r="T816" i="12"/>
  <c r="T815" i="12" s="1"/>
  <c r="T814" i="12" s="1"/>
  <c r="T813" i="12" s="1"/>
  <c r="T812" i="12" s="1"/>
  <c r="T811" i="12" s="1"/>
  <c r="T810" i="12" s="1"/>
  <c r="T809" i="12" s="1"/>
  <c r="T808" i="12" s="1"/>
  <c r="I819" i="12" l="1"/>
  <c r="J819" i="12" s="1"/>
  <c r="H820" i="12"/>
  <c r="I820" i="12" l="1"/>
  <c r="J820" i="12" s="1"/>
  <c r="H821" i="12"/>
  <c r="I821" i="12" l="1"/>
  <c r="J821" i="12" s="1"/>
  <c r="H822" i="12"/>
  <c r="I822" i="12" l="1"/>
  <c r="J822" i="12" s="1"/>
  <c r="H823" i="12"/>
  <c r="I823" i="12" l="1"/>
  <c r="J823" i="12" s="1"/>
  <c r="H824" i="12"/>
  <c r="I824" i="12" l="1"/>
  <c r="J824" i="12" s="1"/>
  <c r="H825" i="12"/>
  <c r="I825" i="12" l="1"/>
  <c r="J825" i="12" s="1"/>
  <c r="H826" i="12"/>
  <c r="I826" i="12" l="1"/>
  <c r="J826" i="12" s="1"/>
  <c r="H827" i="12"/>
  <c r="I827" i="12" l="1"/>
  <c r="J827" i="12" s="1"/>
  <c r="H828" i="12"/>
  <c r="I828" i="12" l="1"/>
  <c r="J828" i="12" s="1"/>
  <c r="H829" i="12"/>
  <c r="I829" i="12" l="1"/>
  <c r="J829" i="12" s="1"/>
  <c r="H830" i="12"/>
  <c r="I830" i="12" l="1"/>
  <c r="J830" i="12" s="1"/>
  <c r="H831" i="12"/>
  <c r="I831" i="12" l="1"/>
  <c r="J831" i="12" s="1"/>
  <c r="H832" i="12"/>
  <c r="T830" i="12" l="1"/>
  <c r="T829" i="12" s="1"/>
  <c r="T828" i="12" s="1"/>
  <c r="T827" i="12" s="1"/>
  <c r="T826" i="12" s="1"/>
  <c r="T825" i="12" s="1"/>
  <c r="T824" i="12" s="1"/>
  <c r="T823" i="12" s="1"/>
  <c r="T822" i="12" s="1"/>
  <c r="T821" i="12" s="1"/>
  <c r="T820" i="12" s="1"/>
  <c r="T819" i="12" s="1"/>
  <c r="T818" i="12" s="1"/>
  <c r="I832" i="12"/>
  <c r="J832" i="12" s="1"/>
  <c r="H833" i="12"/>
  <c r="I833" i="12" l="1"/>
  <c r="J833" i="12" s="1"/>
  <c r="H834" i="12"/>
  <c r="I834" i="12" l="1"/>
  <c r="J834" i="12" s="1"/>
  <c r="H835" i="12"/>
  <c r="I835" i="12" l="1"/>
  <c r="J835" i="12" s="1"/>
  <c r="H836" i="12"/>
  <c r="I836" i="12" l="1"/>
  <c r="J836" i="12" s="1"/>
  <c r="H837" i="12"/>
  <c r="I837" i="12" l="1"/>
  <c r="J837" i="12" s="1"/>
  <c r="H838" i="12"/>
  <c r="I838" i="12" l="1"/>
  <c r="J838" i="12" s="1"/>
  <c r="H839" i="12"/>
  <c r="I839" i="12" l="1"/>
  <c r="J839" i="12" s="1"/>
  <c r="H840" i="12"/>
  <c r="I840" i="12" l="1"/>
  <c r="J840" i="12" s="1"/>
  <c r="H841" i="12"/>
  <c r="I841" i="12" l="1"/>
  <c r="J841" i="12" s="1"/>
  <c r="H842" i="12"/>
  <c r="I842" i="12" l="1"/>
  <c r="J842" i="12" s="1"/>
  <c r="H843" i="12"/>
  <c r="I843" i="12" l="1"/>
  <c r="J843" i="12" s="1"/>
  <c r="H844" i="12"/>
  <c r="I844" i="12" l="1"/>
  <c r="J844" i="12" s="1"/>
  <c r="H845" i="12"/>
  <c r="I845" i="12" l="1"/>
  <c r="J845" i="12" s="1"/>
  <c r="H846" i="12"/>
  <c r="T844" i="12" l="1"/>
  <c r="T843" i="12" s="1"/>
  <c r="T842" i="12" s="1"/>
  <c r="T841" i="12" s="1"/>
  <c r="T840" i="12" s="1"/>
  <c r="T839" i="12" s="1"/>
  <c r="T838" i="12" s="1"/>
  <c r="T837" i="12" s="1"/>
  <c r="T836" i="12" s="1"/>
  <c r="T835" i="12" s="1"/>
  <c r="T834" i="12" s="1"/>
  <c r="T833" i="12" s="1"/>
  <c r="T832" i="12" s="1"/>
  <c r="T831" i="12" s="1"/>
  <c r="I846" i="12"/>
  <c r="J846" i="12" s="1"/>
  <c r="H847" i="12"/>
  <c r="I847" i="12" l="1"/>
  <c r="J847" i="12" s="1"/>
  <c r="H848" i="12"/>
  <c r="I848" i="12" l="1"/>
  <c r="J848" i="12" s="1"/>
  <c r="H849" i="12"/>
  <c r="I849" i="12" l="1"/>
  <c r="J849" i="12" s="1"/>
  <c r="H850" i="12"/>
  <c r="I850" i="12" l="1"/>
  <c r="J850" i="12" s="1"/>
  <c r="H851" i="12"/>
  <c r="I851" i="12" l="1"/>
  <c r="J851" i="12" s="1"/>
  <c r="H852" i="12"/>
  <c r="I852" i="12" l="1"/>
  <c r="J852" i="12" s="1"/>
  <c r="H853" i="12"/>
  <c r="I853" i="12" l="1"/>
  <c r="J853" i="12" s="1"/>
  <c r="H854" i="12"/>
  <c r="I854" i="12" l="1"/>
  <c r="J854" i="12" s="1"/>
  <c r="H855" i="12"/>
  <c r="I855" i="12" l="1"/>
  <c r="J855" i="12" s="1"/>
  <c r="H856" i="12"/>
  <c r="I856" i="12" l="1"/>
  <c r="J856" i="12" s="1"/>
  <c r="T855" i="12" s="1"/>
  <c r="T854" i="12" s="1"/>
  <c r="T853" i="12" s="1"/>
  <c r="T852" i="12" s="1"/>
  <c r="T851" i="12" s="1"/>
  <c r="T850" i="12" s="1"/>
  <c r="T849" i="12" s="1"/>
  <c r="T848" i="12" s="1"/>
  <c r="T847" i="12" s="1"/>
  <c r="T846" i="12" s="1"/>
  <c r="T845" i="12" s="1"/>
  <c r="H857" i="12"/>
  <c r="I857" i="12" l="1"/>
  <c r="J857" i="12" s="1"/>
  <c r="H858" i="12"/>
  <c r="I858" i="12" l="1"/>
  <c r="J858" i="12" s="1"/>
  <c r="H859" i="12"/>
  <c r="I859" i="12" l="1"/>
  <c r="J859" i="12" s="1"/>
  <c r="H860" i="12"/>
  <c r="I860" i="12" l="1"/>
  <c r="J860" i="12" s="1"/>
  <c r="H861" i="12"/>
  <c r="I861" i="12" l="1"/>
  <c r="J861" i="12" s="1"/>
  <c r="H862" i="12"/>
  <c r="I862" i="12" l="1"/>
  <c r="J862" i="12" s="1"/>
  <c r="H863" i="12"/>
  <c r="I863" i="12" l="1"/>
  <c r="J863" i="12" s="1"/>
  <c r="H864" i="12"/>
  <c r="I864" i="12" l="1"/>
  <c r="J864" i="12" s="1"/>
  <c r="H865" i="12"/>
  <c r="I865" i="12" l="1"/>
  <c r="J865" i="12" s="1"/>
  <c r="H866" i="12"/>
  <c r="I866" i="12" l="1"/>
  <c r="J866" i="12" s="1"/>
  <c r="H867" i="12"/>
  <c r="I867" i="12" l="1"/>
  <c r="J867" i="12" s="1"/>
  <c r="H868" i="12"/>
  <c r="I868" i="12" l="1"/>
  <c r="J868" i="12" s="1"/>
  <c r="H869" i="12"/>
  <c r="I869" i="12" l="1"/>
  <c r="J869" i="12" s="1"/>
  <c r="H870" i="12"/>
  <c r="I870" i="12" l="1"/>
  <c r="J870" i="12" s="1"/>
  <c r="T869" i="12" s="1"/>
  <c r="T868" i="12" s="1"/>
  <c r="T867" i="12" s="1"/>
  <c r="T866" i="12" s="1"/>
  <c r="T865" i="12" s="1"/>
  <c r="T864" i="12" s="1"/>
  <c r="T863" i="12" s="1"/>
  <c r="T862" i="12" s="1"/>
  <c r="T861" i="12" s="1"/>
  <c r="T860" i="12" s="1"/>
  <c r="T859" i="12" s="1"/>
  <c r="T858" i="12" s="1"/>
  <c r="T857" i="12" s="1"/>
  <c r="T856" i="12" s="1"/>
  <c r="H871" i="12"/>
  <c r="I871" i="12" l="1"/>
  <c r="J871" i="12" s="1"/>
  <c r="H872" i="12"/>
  <c r="I872" i="12" l="1"/>
  <c r="J872" i="12" s="1"/>
  <c r="H873" i="12"/>
  <c r="I873" i="12" l="1"/>
  <c r="J873" i="12" s="1"/>
  <c r="H874" i="12"/>
  <c r="I874" i="12" l="1"/>
  <c r="J874" i="12" s="1"/>
  <c r="H875" i="12"/>
  <c r="I875" i="12" l="1"/>
  <c r="J875" i="12" s="1"/>
  <c r="H876" i="12"/>
  <c r="I876" i="12" l="1"/>
  <c r="J876" i="12" s="1"/>
  <c r="H877" i="12"/>
  <c r="I877" i="12" l="1"/>
  <c r="J877" i="12" s="1"/>
  <c r="H878" i="12"/>
  <c r="I878" i="12" l="1"/>
  <c r="J878" i="12" s="1"/>
  <c r="H879" i="12"/>
  <c r="I879" i="12" l="1"/>
  <c r="J879" i="12" s="1"/>
  <c r="H880" i="12"/>
  <c r="I880" i="12" l="1"/>
  <c r="J880" i="12" s="1"/>
  <c r="H881" i="12"/>
  <c r="I881" i="12" l="1"/>
  <c r="J881" i="12" s="1"/>
  <c r="H882" i="12"/>
  <c r="T880" i="12" l="1"/>
  <c r="T879" i="12" s="1"/>
  <c r="T878" i="12" s="1"/>
  <c r="T877" i="12" s="1"/>
  <c r="T876" i="12" s="1"/>
  <c r="T875" i="12" s="1"/>
  <c r="T874" i="12" s="1"/>
  <c r="T873" i="12" s="1"/>
  <c r="T872" i="12" s="1"/>
  <c r="T871" i="12" s="1"/>
  <c r="T870" i="12" s="1"/>
  <c r="I882" i="12"/>
  <c r="J882" i="12" s="1"/>
  <c r="H883" i="12"/>
  <c r="I883" i="12" l="1"/>
  <c r="J883" i="12" s="1"/>
  <c r="H884" i="12"/>
  <c r="I884" i="12" l="1"/>
  <c r="J884" i="12" s="1"/>
  <c r="H885" i="12"/>
  <c r="I885" i="12" l="1"/>
  <c r="J885" i="12" s="1"/>
  <c r="H886" i="12"/>
  <c r="T884" i="12" l="1"/>
  <c r="T883" i="12" s="1"/>
  <c r="T882" i="12" s="1"/>
  <c r="T881" i="12" s="1"/>
  <c r="I886" i="12"/>
  <c r="J886" i="12" s="1"/>
  <c r="H887" i="12"/>
  <c r="I887" i="12" l="1"/>
  <c r="J887" i="12" s="1"/>
  <c r="H888" i="12"/>
  <c r="T886" i="12" l="1"/>
  <c r="T885" i="12" s="1"/>
  <c r="I888" i="12"/>
  <c r="J888" i="12" s="1"/>
  <c r="H889" i="12"/>
  <c r="I889" i="12" l="1"/>
  <c r="J889" i="12" s="1"/>
  <c r="H890" i="12"/>
  <c r="I890" i="12" l="1"/>
  <c r="J890" i="12" s="1"/>
  <c r="T889" i="12" s="1"/>
  <c r="T888" i="12" s="1"/>
  <c r="T887" i="12" s="1"/>
  <c r="H891" i="12"/>
  <c r="I891" i="12" l="1"/>
  <c r="J891" i="12" s="1"/>
  <c r="H892" i="12"/>
  <c r="I892" i="12" l="1"/>
  <c r="J892" i="12" s="1"/>
  <c r="T891" i="12" s="1"/>
  <c r="T890" i="12" s="1"/>
  <c r="H893" i="12"/>
  <c r="I893" i="12" l="1"/>
  <c r="J893" i="12" s="1"/>
  <c r="H894" i="12"/>
  <c r="I894" i="12" l="1"/>
  <c r="J894" i="12" s="1"/>
  <c r="H895" i="12"/>
  <c r="I895" i="12" l="1"/>
  <c r="J895" i="12" s="1"/>
  <c r="H896" i="12"/>
  <c r="I896" i="12" l="1"/>
  <c r="J896" i="12" s="1"/>
  <c r="H897" i="12"/>
  <c r="I897" i="12" l="1"/>
  <c r="J897" i="12" s="1"/>
  <c r="H898" i="12"/>
  <c r="T896" i="12" l="1"/>
  <c r="T895" i="12" s="1"/>
  <c r="T894" i="12" s="1"/>
  <c r="T893" i="12" s="1"/>
  <c r="I898" i="12"/>
  <c r="J898" i="12" s="1"/>
  <c r="H899" i="12"/>
  <c r="I899" i="12" l="1"/>
  <c r="J899" i="12" s="1"/>
  <c r="H900" i="12"/>
  <c r="I900" i="12" l="1"/>
  <c r="J900" i="12" s="1"/>
  <c r="H901" i="12"/>
  <c r="I901" i="12" l="1"/>
  <c r="J901" i="12" s="1"/>
  <c r="H902" i="12"/>
  <c r="I902" i="12" l="1"/>
  <c r="J902" i="12" s="1"/>
  <c r="H903" i="12"/>
  <c r="I903" i="12" l="1"/>
  <c r="J903" i="12" s="1"/>
  <c r="H904" i="12"/>
  <c r="I904" i="12" l="1"/>
  <c r="J904" i="12" s="1"/>
  <c r="H905" i="12"/>
  <c r="I905" i="12" l="1"/>
  <c r="J905" i="12" s="1"/>
  <c r="H906" i="12"/>
  <c r="I906" i="12" l="1"/>
  <c r="J906" i="12" s="1"/>
  <c r="H907" i="12"/>
  <c r="I907" i="12" l="1"/>
  <c r="J907" i="12" s="1"/>
  <c r="H908" i="12"/>
  <c r="I908" i="12" l="1"/>
  <c r="J908" i="12" s="1"/>
  <c r="H909" i="12"/>
  <c r="I909" i="12" l="1"/>
  <c r="J909" i="12" s="1"/>
  <c r="H910" i="12"/>
  <c r="I910" i="12" l="1"/>
  <c r="J910" i="12" s="1"/>
  <c r="H911" i="12"/>
  <c r="I911" i="12" l="1"/>
  <c r="J911" i="12" s="1"/>
  <c r="H912" i="12"/>
  <c r="I912" i="12" l="1"/>
  <c r="J912" i="12" s="1"/>
  <c r="H913" i="12"/>
  <c r="I913" i="12" l="1"/>
  <c r="J913" i="12" s="1"/>
  <c r="H914" i="12"/>
  <c r="I914" i="12" l="1"/>
  <c r="J914" i="12" s="1"/>
  <c r="H915" i="12"/>
  <c r="I915" i="12" l="1"/>
  <c r="J915" i="12" s="1"/>
  <c r="H916" i="12"/>
  <c r="I916" i="12" l="1"/>
  <c r="J916" i="12" s="1"/>
  <c r="H917" i="12"/>
  <c r="I917" i="12" l="1"/>
  <c r="J917" i="12" s="1"/>
  <c r="H918" i="12"/>
  <c r="I918" i="12" l="1"/>
  <c r="J918" i="12" s="1"/>
  <c r="H919" i="12"/>
  <c r="I919" i="12" l="1"/>
  <c r="J919" i="12" s="1"/>
  <c r="H920" i="12"/>
  <c r="I920" i="12" l="1"/>
  <c r="J920" i="12" s="1"/>
  <c r="H921" i="12"/>
  <c r="I921" i="12" l="1"/>
  <c r="J921" i="12" s="1"/>
  <c r="H922" i="12"/>
  <c r="I922" i="12" l="1"/>
  <c r="J922" i="12" s="1"/>
  <c r="H923" i="12"/>
  <c r="I923" i="12" l="1"/>
  <c r="J923" i="12" s="1"/>
  <c r="H924" i="12"/>
  <c r="I924" i="12" l="1"/>
  <c r="J924" i="12" s="1"/>
  <c r="H925" i="12"/>
  <c r="I925" i="12" l="1"/>
  <c r="J925" i="12" s="1"/>
  <c r="H926" i="12"/>
  <c r="I926" i="12" l="1"/>
  <c r="J926" i="12" s="1"/>
  <c r="H927" i="12"/>
  <c r="I927" i="12" l="1"/>
  <c r="J927" i="12" s="1"/>
  <c r="H928" i="12"/>
  <c r="I928" i="12" l="1"/>
  <c r="J928" i="12" s="1"/>
  <c r="H929" i="12"/>
  <c r="I929" i="12" l="1"/>
  <c r="J929" i="12" s="1"/>
  <c r="H930" i="12"/>
  <c r="I930" i="12" l="1"/>
  <c r="J930" i="12" s="1"/>
  <c r="H931" i="12"/>
  <c r="I931" i="12" l="1"/>
  <c r="J931" i="12" s="1"/>
  <c r="H932" i="12"/>
  <c r="T930" i="12" l="1"/>
  <c r="T929" i="12" s="1"/>
  <c r="T928" i="12" s="1"/>
  <c r="T927" i="12" s="1"/>
  <c r="T926" i="12" s="1"/>
  <c r="T925" i="12" s="1"/>
  <c r="T924" i="12" s="1"/>
  <c r="T923" i="12" s="1"/>
  <c r="T922" i="12" s="1"/>
  <c r="T921" i="12" s="1"/>
  <c r="T920" i="12" s="1"/>
  <c r="T919" i="12" s="1"/>
  <c r="T918" i="12" s="1"/>
  <c r="T917" i="12" s="1"/>
  <c r="T916" i="12" s="1"/>
  <c r="T915" i="12" s="1"/>
  <c r="T914" i="12" s="1"/>
  <c r="T913" i="12" s="1"/>
  <c r="T912" i="12" s="1"/>
  <c r="T911" i="12" s="1"/>
  <c r="T910" i="12" s="1"/>
  <c r="T909" i="12" s="1"/>
  <c r="T908" i="12" s="1"/>
  <c r="T907" i="12" s="1"/>
  <c r="T906" i="12" s="1"/>
  <c r="T905" i="12" s="1"/>
  <c r="T904" i="12" s="1"/>
  <c r="T903" i="12" s="1"/>
  <c r="T902" i="12" s="1"/>
  <c r="T901" i="12" s="1"/>
  <c r="T900" i="12" s="1"/>
  <c r="T899" i="12" s="1"/>
  <c r="T898" i="12" s="1"/>
  <c r="T897" i="12" s="1"/>
  <c r="I932" i="12"/>
  <c r="J932" i="12" s="1"/>
  <c r="H933" i="12"/>
  <c r="I933" i="12" l="1"/>
  <c r="J933" i="12" s="1"/>
  <c r="H934" i="12"/>
  <c r="T932" i="12" l="1"/>
  <c r="T931" i="12" s="1"/>
  <c r="I934" i="12"/>
  <c r="J934" i="12" s="1"/>
  <c r="H935" i="12"/>
  <c r="I935" i="12" l="1"/>
  <c r="J935" i="12" s="1"/>
  <c r="H936" i="12"/>
  <c r="I936" i="12" l="1"/>
  <c r="J936" i="12" s="1"/>
  <c r="H937" i="12"/>
  <c r="I937" i="12" l="1"/>
  <c r="J937" i="12" s="1"/>
  <c r="H938" i="12"/>
  <c r="I938" i="12" l="1"/>
  <c r="J938" i="12" s="1"/>
  <c r="T937" i="12" s="1"/>
  <c r="T936" i="12" s="1"/>
  <c r="T935" i="12" s="1"/>
  <c r="T934" i="12" s="1"/>
  <c r="T933" i="12" s="1"/>
  <c r="H939" i="12"/>
  <c r="I939" i="12" l="1"/>
  <c r="J939" i="12" s="1"/>
  <c r="H940" i="12"/>
  <c r="I940" i="12" l="1"/>
  <c r="J940" i="12" s="1"/>
  <c r="T939" i="12" s="1"/>
  <c r="T938" i="12" s="1"/>
  <c r="H941" i="12"/>
  <c r="I941" i="12" l="1"/>
  <c r="J941" i="12" s="1"/>
  <c r="H942" i="12"/>
  <c r="I942" i="12" l="1"/>
  <c r="J942" i="12" s="1"/>
  <c r="H943" i="12"/>
  <c r="I943" i="12" l="1"/>
  <c r="J943" i="12" s="1"/>
  <c r="H944" i="12"/>
  <c r="I944" i="12" l="1"/>
  <c r="J944" i="12" s="1"/>
  <c r="H945" i="12"/>
  <c r="I945" i="12" l="1"/>
  <c r="J945" i="12" s="1"/>
  <c r="H946" i="12"/>
  <c r="T944" i="12" l="1"/>
  <c r="T943" i="12" s="1"/>
  <c r="T942" i="12" s="1"/>
  <c r="T941" i="12" s="1"/>
  <c r="T940" i="12" s="1"/>
  <c r="I946" i="12"/>
  <c r="J946" i="12" s="1"/>
  <c r="H947" i="12"/>
  <c r="I947" i="12" l="1"/>
  <c r="J947" i="12" s="1"/>
  <c r="H948" i="12"/>
  <c r="T946" i="12" l="1"/>
  <c r="T945" i="12" s="1"/>
  <c r="I948" i="12"/>
  <c r="J948" i="12" s="1"/>
  <c r="H949" i="12"/>
  <c r="I949" i="12" l="1"/>
  <c r="J949" i="12" s="1"/>
  <c r="H950" i="12"/>
  <c r="I950" i="12" l="1"/>
  <c r="J950" i="12" s="1"/>
  <c r="H951" i="12"/>
  <c r="I951" i="12" l="1"/>
  <c r="J951" i="12" s="1"/>
  <c r="H952" i="12"/>
  <c r="I952" i="12" l="1"/>
  <c r="J952" i="12" s="1"/>
  <c r="T951" i="12" s="1"/>
  <c r="T950" i="12" s="1"/>
  <c r="T949" i="12" s="1"/>
  <c r="T948" i="12" s="1"/>
  <c r="T947" i="12" s="1"/>
  <c r="H953" i="12"/>
  <c r="I953" i="12" l="1"/>
  <c r="J953" i="12" s="1"/>
  <c r="H954" i="12"/>
  <c r="I954" i="12" l="1"/>
  <c r="J954" i="12" s="1"/>
  <c r="H955" i="12"/>
  <c r="I955" i="12" l="1"/>
  <c r="J955" i="12" s="1"/>
  <c r="H956" i="12"/>
  <c r="I956" i="12" l="1"/>
  <c r="J956" i="12" s="1"/>
  <c r="H957" i="12"/>
  <c r="I957" i="12" l="1"/>
  <c r="J957" i="12" s="1"/>
  <c r="H958" i="12"/>
  <c r="T956" i="12" l="1"/>
  <c r="T955" i="12" s="1"/>
  <c r="T954" i="12" s="1"/>
  <c r="T953" i="12" s="1"/>
  <c r="T952" i="12" s="1"/>
  <c r="I958" i="12"/>
  <c r="J958" i="12" s="1"/>
  <c r="H959" i="12"/>
  <c r="I959" i="12" l="1"/>
  <c r="J959" i="12" s="1"/>
  <c r="H960" i="12"/>
  <c r="I960" i="12" l="1"/>
  <c r="J960" i="12" s="1"/>
  <c r="H961" i="12"/>
  <c r="I961" i="12" l="1"/>
  <c r="J961" i="12" s="1"/>
  <c r="H962" i="12"/>
  <c r="I962" i="12" l="1"/>
  <c r="J962" i="12" s="1"/>
  <c r="T961" i="12" s="1"/>
  <c r="T960" i="12" s="1"/>
  <c r="T959" i="12" s="1"/>
  <c r="T958" i="12" s="1"/>
  <c r="T957" i="12" s="1"/>
  <c r="H963" i="12"/>
  <c r="I963" i="12" l="1"/>
  <c r="J963" i="12" s="1"/>
  <c r="H964" i="12"/>
  <c r="I964" i="12" l="1"/>
  <c r="J964" i="12" s="1"/>
  <c r="H965" i="12"/>
  <c r="I965" i="12" l="1"/>
  <c r="J965" i="12" s="1"/>
  <c r="H966" i="12"/>
  <c r="T964" i="12" l="1"/>
  <c r="T963" i="12" s="1"/>
  <c r="T962" i="12" s="1"/>
  <c r="I966" i="12"/>
  <c r="J966" i="12" s="1"/>
  <c r="H967" i="12"/>
  <c r="I967" i="12" l="1"/>
  <c r="J967" i="12" s="1"/>
  <c r="H968" i="12"/>
  <c r="I968" i="12" l="1"/>
  <c r="J968" i="12" s="1"/>
  <c r="T967" i="12" s="1"/>
  <c r="T966" i="12" s="1"/>
  <c r="T965" i="12" s="1"/>
  <c r="H969" i="12"/>
  <c r="I969" i="12" l="1"/>
  <c r="J969" i="12" s="1"/>
  <c r="H970" i="12"/>
  <c r="I970" i="12" l="1"/>
  <c r="J970" i="12" s="1"/>
  <c r="H971" i="12"/>
  <c r="I971" i="12" l="1"/>
  <c r="J971" i="12" s="1"/>
  <c r="H972" i="12"/>
  <c r="T970" i="12" l="1"/>
  <c r="T969" i="12" s="1"/>
  <c r="T968" i="12" s="1"/>
  <c r="I972" i="12"/>
  <c r="J972" i="12" s="1"/>
  <c r="H973" i="12"/>
  <c r="I973" i="12" l="1"/>
  <c r="J973" i="12" s="1"/>
  <c r="H974" i="12"/>
  <c r="I974" i="12" l="1"/>
  <c r="J974" i="12" s="1"/>
  <c r="H975" i="12"/>
  <c r="I975" i="12" l="1"/>
  <c r="J975" i="12" s="1"/>
  <c r="H976" i="12"/>
  <c r="I976" i="12" l="1"/>
  <c r="J976" i="12" s="1"/>
  <c r="T975" i="12" s="1"/>
  <c r="T974" i="12" s="1"/>
  <c r="T973" i="12" s="1"/>
  <c r="T972" i="12" s="1"/>
  <c r="T971" i="12" s="1"/>
  <c r="H977" i="12"/>
  <c r="I977" i="12" l="1"/>
  <c r="J977" i="12" s="1"/>
  <c r="H978" i="12"/>
  <c r="I978" i="12" l="1"/>
  <c r="J978" i="12" s="1"/>
  <c r="H979" i="12"/>
  <c r="I979" i="12" l="1"/>
  <c r="J979" i="12" s="1"/>
  <c r="H980" i="12"/>
  <c r="I980" i="12" l="1"/>
  <c r="J980" i="12" s="1"/>
  <c r="H981" i="12"/>
  <c r="I981" i="12" l="1"/>
  <c r="J981" i="12" s="1"/>
  <c r="H982" i="12"/>
  <c r="I982" i="12" l="1"/>
  <c r="J982" i="12" s="1"/>
  <c r="H983" i="12"/>
  <c r="I983" i="12" l="1"/>
  <c r="J983" i="12" s="1"/>
  <c r="H984" i="12"/>
  <c r="I984" i="12" l="1"/>
  <c r="J984" i="12" s="1"/>
  <c r="H985" i="12"/>
  <c r="I985" i="12" l="1"/>
  <c r="J985" i="12" s="1"/>
  <c r="H986" i="12"/>
  <c r="I986" i="12" l="1"/>
  <c r="J986" i="12" s="1"/>
  <c r="H987" i="12"/>
  <c r="I987" i="12" l="1"/>
  <c r="J987" i="12" s="1"/>
  <c r="H988" i="12"/>
  <c r="I988" i="12" l="1"/>
  <c r="J988" i="12" s="1"/>
  <c r="H989" i="12"/>
  <c r="I989" i="12" l="1"/>
  <c r="J989" i="12" s="1"/>
  <c r="H990" i="12"/>
  <c r="I990" i="12" l="1"/>
  <c r="J990" i="12" s="1"/>
  <c r="H991" i="12"/>
  <c r="I991" i="12" l="1"/>
  <c r="J991" i="12" s="1"/>
  <c r="H992" i="12"/>
  <c r="I992" i="12" l="1"/>
  <c r="J992" i="12" s="1"/>
  <c r="H993" i="12"/>
  <c r="I993" i="12" l="1"/>
  <c r="J993" i="12" s="1"/>
  <c r="H994" i="12"/>
  <c r="I994" i="12" l="1"/>
  <c r="J994" i="12" s="1"/>
  <c r="H995" i="12"/>
  <c r="I995" i="12" l="1"/>
  <c r="J995" i="12" s="1"/>
  <c r="H996" i="12"/>
  <c r="I996" i="12" l="1"/>
  <c r="J996" i="12" s="1"/>
  <c r="H997" i="12"/>
  <c r="I997" i="12" l="1"/>
  <c r="J997" i="12" s="1"/>
  <c r="H998" i="12"/>
  <c r="I998" i="12" l="1"/>
  <c r="J998" i="12" s="1"/>
  <c r="H999" i="12"/>
  <c r="I999" i="12" l="1"/>
  <c r="J999" i="12" s="1"/>
  <c r="H1000" i="12"/>
  <c r="I1000" i="12" l="1"/>
  <c r="J1000" i="12" s="1"/>
  <c r="H1001" i="12"/>
  <c r="I1001" i="12" l="1"/>
  <c r="J1001" i="12" s="1"/>
  <c r="H1002" i="12"/>
  <c r="I1002" i="12" l="1"/>
  <c r="J1002" i="12" s="1"/>
  <c r="T1001" i="12" s="1"/>
  <c r="T1000" i="12" s="1"/>
  <c r="T999" i="12" s="1"/>
  <c r="T998" i="12" s="1"/>
  <c r="T997" i="12" s="1"/>
  <c r="T996" i="12" s="1"/>
  <c r="T995" i="12" s="1"/>
  <c r="T994" i="12" s="1"/>
  <c r="T993" i="12" s="1"/>
  <c r="T992" i="12" s="1"/>
  <c r="T991" i="12" s="1"/>
  <c r="T990" i="12" s="1"/>
  <c r="T989" i="12" s="1"/>
  <c r="T988" i="12" s="1"/>
  <c r="T987" i="12" s="1"/>
  <c r="T986" i="12" s="1"/>
  <c r="T985" i="12" s="1"/>
  <c r="T984" i="12" s="1"/>
  <c r="T983" i="12" s="1"/>
  <c r="T982" i="12" s="1"/>
  <c r="T981" i="12" s="1"/>
  <c r="T980" i="12" s="1"/>
  <c r="T979" i="12" s="1"/>
  <c r="T978" i="12" s="1"/>
  <c r="T977" i="12" s="1"/>
  <c r="H1003" i="12"/>
  <c r="I1003" i="12" l="1"/>
  <c r="J1003" i="12" s="1"/>
  <c r="H1004" i="12"/>
  <c r="I1004" i="12" l="1"/>
  <c r="J1004" i="12" s="1"/>
  <c r="H1005" i="12"/>
  <c r="I1005" i="12" l="1"/>
  <c r="J1005" i="12" s="1"/>
  <c r="H1006" i="12"/>
  <c r="I1006" i="12" l="1"/>
  <c r="J1006" i="12" s="1"/>
  <c r="H1007" i="12"/>
  <c r="I1007" i="12" l="1"/>
  <c r="J1007" i="12" s="1"/>
  <c r="H1008" i="12"/>
  <c r="I1008" i="12" l="1"/>
  <c r="J1008" i="12" s="1"/>
  <c r="H1009" i="12"/>
  <c r="I1009" i="12" l="1"/>
  <c r="J1009" i="12" s="1"/>
  <c r="H1010" i="12"/>
  <c r="I1010" i="12" l="1"/>
  <c r="J1010" i="12" s="1"/>
  <c r="H1011" i="12"/>
  <c r="I1011" i="12" l="1"/>
  <c r="J1011" i="12" s="1"/>
  <c r="H1012" i="12"/>
  <c r="I1012" i="12" l="1"/>
  <c r="J1012" i="12" s="1"/>
  <c r="H1013" i="12"/>
  <c r="I1013" i="12" l="1"/>
  <c r="J1013" i="12" s="1"/>
  <c r="H1014" i="12"/>
  <c r="I1014" i="12" l="1"/>
  <c r="J1014" i="12" s="1"/>
  <c r="H1015" i="12"/>
  <c r="I1015" i="12" l="1"/>
  <c r="J1015" i="12" s="1"/>
  <c r="H1016" i="12"/>
  <c r="I1016" i="12" l="1"/>
  <c r="J1016" i="12" s="1"/>
  <c r="H1017" i="12"/>
  <c r="I1017" i="12" l="1"/>
  <c r="J1017" i="12" s="1"/>
  <c r="H1018" i="12"/>
  <c r="I1018" i="12" l="1"/>
  <c r="J1018" i="12" s="1"/>
  <c r="T1017" i="12" s="1"/>
  <c r="T1016" i="12" s="1"/>
  <c r="T1015" i="12" s="1"/>
  <c r="T1014" i="12" s="1"/>
  <c r="T1013" i="12" s="1"/>
  <c r="T1012" i="12" s="1"/>
  <c r="T1011" i="12" s="1"/>
  <c r="T1010" i="12" s="1"/>
  <c r="T1009" i="12" s="1"/>
  <c r="T1008" i="12" s="1"/>
  <c r="T1007" i="12" s="1"/>
  <c r="T1006" i="12" s="1"/>
  <c r="T1005" i="12" s="1"/>
  <c r="T1004" i="12" s="1"/>
  <c r="T1003" i="12" s="1"/>
  <c r="T1002" i="12" s="1"/>
  <c r="H1019" i="12"/>
  <c r="I1019" i="12" l="1"/>
  <c r="J1019" i="12" s="1"/>
  <c r="H1020" i="12"/>
  <c r="I1020" i="12" l="1"/>
  <c r="J1020" i="12" s="1"/>
  <c r="H1021" i="12"/>
  <c r="I1021" i="12" l="1"/>
  <c r="J1021" i="12" s="1"/>
  <c r="H1022" i="12"/>
  <c r="I1022" i="12" l="1"/>
  <c r="J1022" i="12" s="1"/>
  <c r="H1023" i="12"/>
  <c r="I1023" i="12" l="1"/>
  <c r="J1023" i="12" s="1"/>
  <c r="H1024" i="12"/>
  <c r="I1024" i="12" l="1"/>
  <c r="J1024" i="12" s="1"/>
  <c r="H1025" i="12"/>
  <c r="I1025" i="12" l="1"/>
  <c r="J1025" i="12" s="1"/>
  <c r="H1026" i="12"/>
  <c r="I1026" i="12" l="1"/>
  <c r="J1026" i="12" s="1"/>
  <c r="T1025" i="12" s="1"/>
  <c r="T1024" i="12" s="1"/>
  <c r="T1023" i="12" s="1"/>
  <c r="T1022" i="12" s="1"/>
  <c r="T1021" i="12" s="1"/>
  <c r="T1020" i="12" s="1"/>
  <c r="T1019" i="12" s="1"/>
  <c r="T1018" i="12" s="1"/>
  <c r="H1027" i="12"/>
  <c r="I1027" i="12" l="1"/>
  <c r="J1027" i="12" s="1"/>
  <c r="H1028" i="12"/>
  <c r="I1028" i="12" l="1"/>
  <c r="J1028" i="12" s="1"/>
  <c r="H1029" i="12"/>
  <c r="I1029" i="12" l="1"/>
  <c r="J1029" i="12" s="1"/>
  <c r="H1030" i="12"/>
  <c r="I1030" i="12" l="1"/>
  <c r="J1030" i="12" s="1"/>
  <c r="H1031" i="12"/>
  <c r="I1031" i="12" l="1"/>
  <c r="J1031" i="12" s="1"/>
  <c r="H1032" i="12"/>
  <c r="I1032" i="12" l="1"/>
  <c r="J1032" i="12" s="1"/>
  <c r="H1033" i="12"/>
  <c r="I1033" i="12" l="1"/>
  <c r="J1033" i="12" s="1"/>
  <c r="H1034" i="12"/>
  <c r="I1034" i="12" l="1"/>
  <c r="J1034" i="12" s="1"/>
  <c r="H1035" i="12"/>
  <c r="I1035" i="12" l="1"/>
  <c r="J1035" i="12" s="1"/>
  <c r="H1036" i="12"/>
  <c r="I1036" i="12" l="1"/>
  <c r="J1036" i="12" s="1"/>
  <c r="T1035" i="12" s="1"/>
  <c r="T1034" i="12" s="1"/>
  <c r="T1033" i="12" s="1"/>
  <c r="T1032" i="12" s="1"/>
  <c r="T1031" i="12" s="1"/>
  <c r="T1030" i="12" s="1"/>
  <c r="T1029" i="12" s="1"/>
  <c r="T1028" i="12" s="1"/>
  <c r="T1027" i="12" s="1"/>
  <c r="T1026" i="12" s="1"/>
  <c r="H1037" i="12"/>
  <c r="I1037" i="12" l="1"/>
  <c r="J1037" i="12" s="1"/>
  <c r="H1038" i="12"/>
  <c r="I1038" i="12" l="1"/>
  <c r="J1038" i="12" s="1"/>
  <c r="H1039" i="12"/>
  <c r="I1039" i="12" l="1"/>
  <c r="J1039" i="12" s="1"/>
  <c r="H1040" i="12"/>
  <c r="T1038" i="12" l="1"/>
  <c r="T1037" i="12" s="1"/>
  <c r="T1036" i="12" s="1"/>
  <c r="I1040" i="12"/>
  <c r="J1040" i="12" s="1"/>
  <c r="H1041" i="12"/>
  <c r="I1041" i="12" l="1"/>
  <c r="J1041" i="12" s="1"/>
  <c r="H1042" i="12"/>
  <c r="I1042" i="12" l="1"/>
  <c r="J1042" i="12" s="1"/>
  <c r="H1043" i="12"/>
  <c r="I1043" i="12" l="1"/>
  <c r="J1043" i="12" s="1"/>
  <c r="H1044" i="12"/>
  <c r="I1044" i="12" l="1"/>
  <c r="J1044" i="12" s="1"/>
  <c r="H1045" i="12"/>
  <c r="I1045" i="12" l="1"/>
  <c r="J1045" i="12" s="1"/>
  <c r="H1046" i="12"/>
  <c r="I1046" i="12" l="1"/>
  <c r="J1046" i="12" s="1"/>
  <c r="H1047" i="12"/>
  <c r="I1047" i="12" l="1"/>
  <c r="J1047" i="12" s="1"/>
  <c r="H1048" i="12"/>
  <c r="I1048" i="12" l="1"/>
  <c r="J1048" i="12" s="1"/>
  <c r="H1049" i="12"/>
  <c r="I1049" i="12" l="1"/>
  <c r="J1049" i="12" s="1"/>
  <c r="H1050" i="12"/>
  <c r="I1050" i="12" l="1"/>
  <c r="J1050" i="12" s="1"/>
  <c r="H1051" i="12"/>
  <c r="I1051" i="12" l="1"/>
  <c r="J1051" i="12" s="1"/>
  <c r="H1052" i="12"/>
  <c r="I1052" i="12" l="1"/>
  <c r="J1052" i="12" s="1"/>
  <c r="H1053" i="12"/>
  <c r="I1053" i="12" l="1"/>
  <c r="J1053" i="12" s="1"/>
  <c r="H1054" i="12"/>
  <c r="I1054" i="12" l="1"/>
  <c r="J1054" i="12" s="1"/>
  <c r="T1053" i="12" s="1"/>
  <c r="T1052" i="12" s="1"/>
  <c r="T1051" i="12" s="1"/>
  <c r="T1050" i="12" s="1"/>
  <c r="T1049" i="12" s="1"/>
  <c r="T1048" i="12" s="1"/>
  <c r="T1047" i="12" s="1"/>
  <c r="T1046" i="12" s="1"/>
  <c r="T1045" i="12" s="1"/>
  <c r="T1044" i="12" s="1"/>
  <c r="T1043" i="12" s="1"/>
  <c r="T1042" i="12" s="1"/>
  <c r="T1041" i="12" s="1"/>
  <c r="T1040" i="12" s="1"/>
  <c r="H1055" i="12"/>
  <c r="I1055" i="12" l="1"/>
  <c r="J1055" i="12" s="1"/>
  <c r="H1056" i="12"/>
  <c r="I1056" i="12" l="1"/>
  <c r="J1056" i="12" s="1"/>
  <c r="H1057" i="12"/>
  <c r="I1057" i="12" l="1"/>
  <c r="J1057" i="12" s="1"/>
  <c r="H1058" i="12"/>
  <c r="I1058" i="12" l="1"/>
  <c r="J1058" i="12" s="1"/>
  <c r="H1059" i="12"/>
  <c r="I1059" i="12" l="1"/>
  <c r="J1059" i="12" s="1"/>
  <c r="H1060" i="12"/>
  <c r="I1060" i="12" l="1"/>
  <c r="J1060" i="12" s="1"/>
  <c r="H1061" i="12"/>
  <c r="I1061" i="12" l="1"/>
  <c r="J1061" i="12" s="1"/>
  <c r="H1062" i="12"/>
  <c r="I1062" i="12" l="1"/>
  <c r="J1062" i="12" s="1"/>
  <c r="H1063" i="12"/>
  <c r="I1063" i="12" l="1"/>
  <c r="J1063" i="12" s="1"/>
  <c r="H1064" i="12"/>
  <c r="I1064" i="12" l="1"/>
  <c r="J1064" i="12" s="1"/>
  <c r="H1065" i="12"/>
  <c r="I1065" i="12" l="1"/>
  <c r="J1065" i="12" s="1"/>
  <c r="H1066" i="12"/>
  <c r="I1066" i="12" l="1"/>
  <c r="J1066" i="12" s="1"/>
  <c r="H1067" i="12"/>
  <c r="I1067" i="12" l="1"/>
  <c r="J1067" i="12" s="1"/>
  <c r="H1068" i="12"/>
  <c r="I1068" i="12" l="1"/>
  <c r="J1068" i="12" s="1"/>
  <c r="H1069" i="12"/>
  <c r="I1069" i="12" l="1"/>
  <c r="J1069" i="12" s="1"/>
  <c r="H1070" i="12"/>
  <c r="I1070" i="12" l="1"/>
  <c r="J1070" i="12" s="1"/>
  <c r="H1071" i="12"/>
  <c r="I1071" i="12" l="1"/>
  <c r="J1071" i="12" s="1"/>
  <c r="H1072" i="12"/>
  <c r="I1072" i="12" l="1"/>
  <c r="J1072" i="12" s="1"/>
  <c r="H1073" i="12"/>
  <c r="I1073" i="12" l="1"/>
  <c r="J1073" i="12" s="1"/>
  <c r="H1074" i="12"/>
  <c r="I1074" i="12" l="1"/>
  <c r="J1074" i="12" s="1"/>
  <c r="H1075" i="12"/>
  <c r="I1075" i="12" l="1"/>
  <c r="J1075" i="12" s="1"/>
  <c r="H1076" i="12"/>
  <c r="I1076" i="12" l="1"/>
  <c r="J1076" i="12" s="1"/>
  <c r="H1077" i="12"/>
  <c r="I1077" i="12" l="1"/>
  <c r="J1077" i="12" s="1"/>
  <c r="H1078" i="12"/>
  <c r="I1078" i="12" l="1"/>
  <c r="J1078" i="12" s="1"/>
  <c r="H1079" i="12"/>
  <c r="I1079" i="12" l="1"/>
  <c r="J1079" i="12" s="1"/>
  <c r="H1080" i="12"/>
  <c r="I1080" i="12" l="1"/>
  <c r="J1080" i="12" s="1"/>
  <c r="H1081" i="12"/>
  <c r="I1081" i="12" l="1"/>
  <c r="J1081" i="12" s="1"/>
  <c r="H1082" i="12"/>
  <c r="T1080" i="12" l="1"/>
  <c r="T1079" i="12" s="1"/>
  <c r="T1078" i="12" s="1"/>
  <c r="T1077" i="12" s="1"/>
  <c r="T1076" i="12" s="1"/>
  <c r="T1075" i="12" s="1"/>
  <c r="T1074" i="12" s="1"/>
  <c r="T1073" i="12" s="1"/>
  <c r="T1072" i="12" s="1"/>
  <c r="T1071" i="12" s="1"/>
  <c r="T1070" i="12" s="1"/>
  <c r="T1069" i="12" s="1"/>
  <c r="T1068" i="12" s="1"/>
  <c r="T1067" i="12" s="1"/>
  <c r="T1066" i="12" s="1"/>
  <c r="T1065" i="12" s="1"/>
  <c r="T1064" i="12" s="1"/>
  <c r="T1063" i="12" s="1"/>
  <c r="T1062" i="12" s="1"/>
  <c r="T1061" i="12" s="1"/>
  <c r="T1060" i="12" s="1"/>
  <c r="T1059" i="12" s="1"/>
  <c r="T1058" i="12" s="1"/>
  <c r="T1057" i="12" s="1"/>
  <c r="T1056" i="12" s="1"/>
  <c r="T1055" i="12" s="1"/>
  <c r="T1054" i="12" s="1"/>
  <c r="I1082" i="12"/>
  <c r="J1082" i="12" s="1"/>
  <c r="H1083" i="12"/>
  <c r="I1083" i="12" l="1"/>
  <c r="J1083" i="12" s="1"/>
  <c r="H1084" i="12"/>
  <c r="I1084" i="12" l="1"/>
  <c r="J1084" i="12" s="1"/>
  <c r="H1085" i="12"/>
  <c r="I1085" i="12" l="1"/>
  <c r="J1085" i="12" s="1"/>
  <c r="H1086" i="12"/>
  <c r="I1086" i="12" l="1"/>
  <c r="J1086" i="12" s="1"/>
  <c r="H1087" i="12"/>
  <c r="I1087" i="12" l="1"/>
  <c r="J1087" i="12" s="1"/>
  <c r="H1088" i="12"/>
  <c r="I1088" i="12" l="1"/>
  <c r="J1088" i="12" s="1"/>
  <c r="H1089" i="12"/>
  <c r="I1089" i="12" l="1"/>
  <c r="J1089" i="12" s="1"/>
  <c r="H1090" i="12"/>
  <c r="I1090" i="12" l="1"/>
  <c r="J1090" i="12" s="1"/>
  <c r="H1091" i="12"/>
  <c r="I1091" i="12" l="1"/>
  <c r="J1091" i="12" s="1"/>
  <c r="H1092" i="12"/>
  <c r="I1092" i="12" l="1"/>
  <c r="J1092" i="12" s="1"/>
  <c r="H1093" i="12"/>
  <c r="I1093" i="12" l="1"/>
  <c r="J1093" i="12" s="1"/>
  <c r="H1094" i="12"/>
  <c r="I1094" i="12" l="1"/>
  <c r="J1094" i="12" s="1"/>
  <c r="H1095" i="12"/>
  <c r="I1095" i="12" l="1"/>
  <c r="J1095" i="12" s="1"/>
  <c r="H1096" i="12"/>
  <c r="I1096" i="12" l="1"/>
  <c r="J1096" i="12" s="1"/>
  <c r="H1097" i="12"/>
  <c r="I1097" i="12" l="1"/>
  <c r="J1097" i="12" s="1"/>
  <c r="H1098" i="12"/>
  <c r="I1098" i="12" l="1"/>
  <c r="J1098" i="12" s="1"/>
  <c r="T1097" i="12" s="1"/>
  <c r="T1096" i="12" s="1"/>
  <c r="T1095" i="12" s="1"/>
  <c r="T1094" i="12" s="1"/>
  <c r="T1093" i="12" s="1"/>
  <c r="T1092" i="12" s="1"/>
  <c r="T1091" i="12" s="1"/>
  <c r="T1090" i="12" s="1"/>
  <c r="T1089" i="12" s="1"/>
  <c r="T1088" i="12" s="1"/>
  <c r="T1087" i="12" s="1"/>
  <c r="T1086" i="12" s="1"/>
  <c r="T1085" i="12" s="1"/>
  <c r="T1084" i="12" s="1"/>
  <c r="T1083" i="12" s="1"/>
  <c r="T1082" i="12" s="1"/>
  <c r="T1081" i="12" s="1"/>
  <c r="H1099" i="12"/>
  <c r="I1099" i="12" l="1"/>
  <c r="J1099" i="12" s="1"/>
  <c r="H1100" i="12"/>
  <c r="I1100" i="12" l="1"/>
  <c r="J1100" i="12" s="1"/>
  <c r="H1101" i="12"/>
  <c r="I1101" i="12" l="1"/>
  <c r="J1101" i="12" s="1"/>
  <c r="H1102" i="12"/>
  <c r="I1102" i="12" l="1"/>
  <c r="J1102" i="12" s="1"/>
  <c r="T1101" i="12" s="1"/>
  <c r="T1100" i="12" s="1"/>
  <c r="T1099" i="12" s="1"/>
  <c r="T1098" i="12" s="1"/>
  <c r="H1103" i="12"/>
  <c r="I1103" i="12" l="1"/>
  <c r="J1103" i="12" s="1"/>
  <c r="H1104" i="12"/>
  <c r="I1104" i="12" l="1"/>
  <c r="J1104" i="12" s="1"/>
  <c r="H1105" i="12"/>
  <c r="I1105" i="12" l="1"/>
  <c r="J1105" i="12" s="1"/>
  <c r="H1106" i="12"/>
  <c r="I1106" i="12" l="1"/>
  <c r="J1106" i="12" s="1"/>
  <c r="H1107" i="12"/>
  <c r="I1107" i="12" l="1"/>
  <c r="J1107" i="12" s="1"/>
  <c r="H1108" i="12"/>
  <c r="I1108" i="12" l="1"/>
  <c r="J1108" i="12" s="1"/>
  <c r="H1109" i="12"/>
  <c r="I1109" i="12" l="1"/>
  <c r="J1109" i="12" s="1"/>
  <c r="H1110" i="12"/>
  <c r="I1110" i="12" l="1"/>
  <c r="J1110" i="12" s="1"/>
  <c r="H1111" i="12"/>
  <c r="I1111" i="12" l="1"/>
  <c r="J1111" i="12" s="1"/>
  <c r="H1112" i="12"/>
  <c r="I1112" i="12" l="1"/>
  <c r="J1112" i="12" s="1"/>
  <c r="H1113" i="12"/>
  <c r="I1113" i="12" l="1"/>
  <c r="J1113" i="12" s="1"/>
  <c r="H1114" i="12"/>
  <c r="I1114" i="12" l="1"/>
  <c r="J1114" i="12" s="1"/>
  <c r="H1115" i="12"/>
  <c r="I1115" i="12" l="1"/>
  <c r="J1115" i="12" s="1"/>
  <c r="H1116" i="12"/>
  <c r="I1116" i="12" l="1"/>
  <c r="J1116" i="12" s="1"/>
  <c r="H1117" i="12"/>
  <c r="I1117" i="12" l="1"/>
  <c r="J1117" i="12" s="1"/>
  <c r="H1118" i="12"/>
  <c r="I1118" i="12" l="1"/>
  <c r="J1118" i="12" s="1"/>
  <c r="H1119" i="12"/>
  <c r="I1119" i="12" l="1"/>
  <c r="J1119" i="12" s="1"/>
  <c r="H1120" i="12"/>
  <c r="I1120" i="12" l="1"/>
  <c r="J1120" i="12" s="1"/>
  <c r="H1121" i="12"/>
  <c r="I1121" i="12" l="1"/>
  <c r="J1121" i="12" s="1"/>
  <c r="H1122" i="12"/>
  <c r="I1122" i="12" l="1"/>
  <c r="J1122" i="12" s="1"/>
  <c r="H1123" i="12"/>
  <c r="I1123" i="12" l="1"/>
  <c r="J1123" i="12" s="1"/>
  <c r="H1124" i="12"/>
  <c r="I1124" i="12" l="1"/>
  <c r="J1124" i="12" s="1"/>
  <c r="T1123" i="12" s="1"/>
  <c r="T1122" i="12" s="1"/>
  <c r="T1121" i="12" s="1"/>
  <c r="T1120" i="12" s="1"/>
  <c r="T1119" i="12" s="1"/>
  <c r="T1118" i="12" s="1"/>
  <c r="T1117" i="12" s="1"/>
  <c r="T1116" i="12" s="1"/>
  <c r="T1115" i="12" s="1"/>
  <c r="T1114" i="12" s="1"/>
  <c r="T1113" i="12" s="1"/>
  <c r="T1112" i="12" s="1"/>
  <c r="T1111" i="12" s="1"/>
  <c r="T1110" i="12" s="1"/>
  <c r="T1109" i="12" s="1"/>
  <c r="T1108" i="12" s="1"/>
  <c r="T1107" i="12" s="1"/>
  <c r="T1106" i="12" s="1"/>
  <c r="T1105" i="12" s="1"/>
  <c r="T1104" i="12" s="1"/>
  <c r="T1103" i="12" s="1"/>
  <c r="H1125" i="12"/>
  <c r="I1125" i="12" l="1"/>
  <c r="J1125" i="12" s="1"/>
  <c r="H1126" i="12"/>
  <c r="I1126" i="12" l="1"/>
  <c r="J1126" i="12" s="1"/>
  <c r="H1127" i="12"/>
  <c r="I1127" i="12" l="1"/>
  <c r="J1127" i="12" s="1"/>
  <c r="H1128" i="12"/>
  <c r="I1128" i="12" l="1"/>
  <c r="J1128" i="12" s="1"/>
  <c r="H1129" i="12"/>
  <c r="I1129" i="12" l="1"/>
  <c r="J1129" i="12" s="1"/>
  <c r="H1130" i="12"/>
  <c r="I1130" i="12" l="1"/>
  <c r="J1130" i="12" s="1"/>
  <c r="H1131" i="12"/>
  <c r="I1131" i="12" l="1"/>
  <c r="J1131" i="12" s="1"/>
  <c r="H1132" i="12"/>
  <c r="I1132" i="12" l="1"/>
  <c r="J1132" i="12" s="1"/>
  <c r="H1133" i="12"/>
  <c r="I1133" i="12" l="1"/>
  <c r="J1133" i="12" s="1"/>
  <c r="H1134" i="12"/>
  <c r="I1134" i="12" l="1"/>
  <c r="J1134" i="12" s="1"/>
  <c r="H1135" i="12"/>
  <c r="I1135" i="12" l="1"/>
  <c r="J1135" i="12" s="1"/>
  <c r="H1136" i="12"/>
  <c r="I1136" i="12" l="1"/>
  <c r="J1136" i="12" s="1"/>
  <c r="H1137" i="12"/>
  <c r="I1137" i="12" l="1"/>
  <c r="J1137" i="12" s="1"/>
  <c r="H1138" i="12"/>
  <c r="I1138" i="12" l="1"/>
  <c r="J1138" i="12" s="1"/>
  <c r="T1137" i="12" s="1"/>
  <c r="T1136" i="12" s="1"/>
  <c r="T1135" i="12" s="1"/>
  <c r="T1134" i="12" s="1"/>
  <c r="T1133" i="12" s="1"/>
  <c r="T1132" i="12" s="1"/>
  <c r="T1131" i="12" s="1"/>
  <c r="T1130" i="12" s="1"/>
  <c r="T1129" i="12" s="1"/>
  <c r="T1128" i="12" s="1"/>
  <c r="T1127" i="12" s="1"/>
  <c r="T1126" i="12" s="1"/>
  <c r="T1125" i="12" s="1"/>
  <c r="T1124" i="12" s="1"/>
  <c r="H1139" i="12"/>
  <c r="I1139" i="12" l="1"/>
  <c r="J1139" i="12" s="1"/>
  <c r="H1140" i="12"/>
  <c r="I1140" i="12" l="1"/>
  <c r="J1140" i="12" s="1"/>
  <c r="H1141" i="12"/>
  <c r="I1141" i="12" l="1"/>
  <c r="J1141" i="12" s="1"/>
  <c r="H1142" i="12"/>
  <c r="I1142" i="12" l="1"/>
  <c r="J1142" i="12" s="1"/>
  <c r="H1143" i="12"/>
  <c r="I1143" i="12" l="1"/>
  <c r="J1143" i="12" s="1"/>
  <c r="H1144" i="12"/>
  <c r="I1144" i="12" l="1"/>
  <c r="J1144" i="12" s="1"/>
  <c r="H1145" i="12"/>
  <c r="I1145" i="12" l="1"/>
  <c r="J1145" i="12" s="1"/>
  <c r="H1146" i="12"/>
  <c r="I1146" i="12" l="1"/>
  <c r="J1146" i="12" s="1"/>
  <c r="H1147" i="12"/>
  <c r="I1147" i="12" l="1"/>
  <c r="J1147" i="12" s="1"/>
  <c r="H1148" i="12"/>
  <c r="I1148" i="12" l="1"/>
  <c r="J1148" i="12" s="1"/>
  <c r="H1149" i="12"/>
  <c r="I1149" i="12" l="1"/>
  <c r="J1149" i="12" s="1"/>
  <c r="H1150" i="12"/>
  <c r="I1150" i="12" l="1"/>
  <c r="J1150" i="12" s="1"/>
  <c r="H1151" i="12"/>
  <c r="I1151" i="12" l="1"/>
  <c r="J1151" i="12" s="1"/>
  <c r="H1152" i="12"/>
  <c r="I1152" i="12" l="1"/>
  <c r="J1152" i="12" s="1"/>
  <c r="H1153" i="12"/>
  <c r="I1153" i="12" l="1"/>
  <c r="J1153" i="12" s="1"/>
  <c r="H1154" i="12"/>
  <c r="I1154" i="12" l="1"/>
  <c r="J1154" i="12" s="1"/>
  <c r="H1155" i="12"/>
  <c r="I1155" i="12" l="1"/>
  <c r="J1155" i="12" s="1"/>
  <c r="H1156" i="12"/>
  <c r="I1156" i="12" l="1"/>
  <c r="J1156" i="12" s="1"/>
  <c r="H1157" i="12"/>
  <c r="I1157" i="12" l="1"/>
  <c r="J1157" i="12" s="1"/>
  <c r="H1158" i="12"/>
  <c r="I1158" i="12" l="1"/>
  <c r="J1158" i="12" s="1"/>
  <c r="T1157" i="12" s="1"/>
  <c r="T1156" i="12" s="1"/>
  <c r="T1155" i="12" s="1"/>
  <c r="T1154" i="12" s="1"/>
  <c r="T1153" i="12" s="1"/>
  <c r="T1152" i="12" s="1"/>
  <c r="T1151" i="12" s="1"/>
  <c r="T1150" i="12" s="1"/>
  <c r="T1149" i="12" s="1"/>
  <c r="T1148" i="12" s="1"/>
  <c r="T1147" i="12" s="1"/>
  <c r="T1146" i="12" s="1"/>
  <c r="T1145" i="12" s="1"/>
  <c r="T1144" i="12" s="1"/>
  <c r="T1143" i="12" s="1"/>
  <c r="T1142" i="12" s="1"/>
  <c r="T1141" i="12" s="1"/>
  <c r="T1140" i="12" s="1"/>
  <c r="T1139" i="12" s="1"/>
  <c r="T1138" i="12" s="1"/>
  <c r="H1159" i="12"/>
  <c r="I1159" i="12" l="1"/>
  <c r="J1159" i="12" s="1"/>
  <c r="H1160" i="12"/>
  <c r="I1160" i="12" l="1"/>
  <c r="J1160" i="12" s="1"/>
  <c r="H1161" i="12"/>
  <c r="I1161" i="12" l="1"/>
  <c r="J1161" i="12" s="1"/>
  <c r="H1162" i="12"/>
  <c r="I1162" i="12" l="1"/>
  <c r="J1162" i="12" s="1"/>
  <c r="T1161" i="12" s="1"/>
  <c r="T1160" i="12" s="1"/>
  <c r="T1159" i="12" s="1"/>
  <c r="T1158" i="12" s="1"/>
  <c r="H1163" i="12"/>
  <c r="I1163" i="12" l="1"/>
  <c r="J1163" i="12" s="1"/>
  <c r="H1164" i="12"/>
  <c r="I1164" i="12" l="1"/>
  <c r="J1164" i="12" s="1"/>
  <c r="H1165" i="12"/>
  <c r="I1165" i="12" l="1"/>
  <c r="J1165" i="12" s="1"/>
  <c r="H1166" i="12"/>
  <c r="I1166" i="12" l="1"/>
  <c r="J1166" i="12" s="1"/>
  <c r="H1167" i="12"/>
  <c r="I1167" i="12" l="1"/>
  <c r="J1167" i="12" s="1"/>
  <c r="H1168" i="12"/>
  <c r="T1166" i="12" l="1"/>
  <c r="T1165" i="12" s="1"/>
  <c r="T1164" i="12" s="1"/>
  <c r="T1163" i="12" s="1"/>
  <c r="I1168" i="12"/>
  <c r="J1168" i="12" s="1"/>
  <c r="H1169" i="12"/>
  <c r="I1169" i="12" l="1"/>
  <c r="J1169" i="12" s="1"/>
  <c r="H1170" i="12"/>
  <c r="I1170" i="12" l="1"/>
  <c r="J1170" i="12" s="1"/>
  <c r="H1171" i="12"/>
  <c r="I1171" i="12" l="1"/>
  <c r="J1171" i="12" s="1"/>
  <c r="H1172" i="12"/>
  <c r="I1172" i="12" l="1"/>
  <c r="J1172" i="12" s="1"/>
  <c r="H1173" i="12"/>
  <c r="I1173" i="12" l="1"/>
  <c r="J1173" i="12" s="1"/>
  <c r="H1174" i="12"/>
  <c r="T1172" i="12" l="1"/>
  <c r="T1171" i="12" s="1"/>
  <c r="T1170" i="12" s="1"/>
  <c r="T1169" i="12" s="1"/>
  <c r="T1168" i="12" s="1"/>
  <c r="T1167" i="12" s="1"/>
  <c r="I1174" i="12"/>
  <c r="J1174" i="12" s="1"/>
  <c r="H1175" i="12"/>
  <c r="I1175" i="12" l="1"/>
  <c r="J1175" i="12" s="1"/>
  <c r="H1176" i="12"/>
  <c r="I1176" i="12" l="1"/>
  <c r="J1176" i="12" s="1"/>
  <c r="H1177" i="12"/>
  <c r="I1177" i="12" l="1"/>
  <c r="J1177" i="12" s="1"/>
  <c r="H1178" i="12"/>
  <c r="I1178" i="12" l="1"/>
  <c r="J1178" i="12" s="1"/>
  <c r="H1179" i="12"/>
  <c r="I1179" i="12" l="1"/>
  <c r="J1179" i="12" s="1"/>
  <c r="H1180" i="12"/>
  <c r="I1180" i="12" l="1"/>
  <c r="J1180" i="12" s="1"/>
  <c r="H1181" i="12"/>
  <c r="I1181" i="12" l="1"/>
  <c r="J1181" i="12" s="1"/>
  <c r="H1182" i="12"/>
  <c r="I1182" i="12" l="1"/>
  <c r="J1182" i="12" s="1"/>
  <c r="H1183" i="12"/>
  <c r="I1183" i="12" l="1"/>
  <c r="J1183" i="12" s="1"/>
  <c r="H1184" i="12"/>
  <c r="I1184" i="12" l="1"/>
  <c r="J1184" i="12" s="1"/>
  <c r="H1185" i="12"/>
  <c r="I1185" i="12" l="1"/>
  <c r="J1185" i="12" s="1"/>
  <c r="H1186" i="12"/>
  <c r="I1186" i="12" l="1"/>
  <c r="J1186" i="12" s="1"/>
  <c r="T1185" i="12" s="1"/>
  <c r="T1184" i="12" s="1"/>
  <c r="T1183" i="12" s="1"/>
  <c r="T1182" i="12" s="1"/>
  <c r="T1181" i="12" s="1"/>
  <c r="T1180" i="12" s="1"/>
  <c r="T1179" i="12" s="1"/>
  <c r="T1178" i="12" s="1"/>
  <c r="T1177" i="12" s="1"/>
  <c r="T1176" i="12" s="1"/>
  <c r="T1175" i="12" s="1"/>
  <c r="T1174" i="12" s="1"/>
  <c r="T1173" i="12" s="1"/>
  <c r="H1187" i="12"/>
  <c r="I1187" i="12" l="1"/>
  <c r="J1187" i="12" s="1"/>
  <c r="H1188" i="12"/>
  <c r="I1188" i="12" l="1"/>
  <c r="J1188" i="12" s="1"/>
  <c r="H1189" i="12"/>
  <c r="I1189" i="12" l="1"/>
  <c r="J1189" i="12" s="1"/>
  <c r="H1190" i="12"/>
  <c r="I1190" i="12" l="1"/>
  <c r="J1190" i="12" s="1"/>
  <c r="H1191" i="12"/>
  <c r="I1191" i="12" l="1"/>
  <c r="J1191" i="12" s="1"/>
  <c r="H1192" i="12"/>
  <c r="I1192" i="12" l="1"/>
  <c r="J1192" i="12" s="1"/>
  <c r="H1193" i="12"/>
  <c r="I1193" i="12" l="1"/>
  <c r="J1193" i="12" s="1"/>
  <c r="H1194" i="12"/>
  <c r="I1194" i="12" l="1"/>
  <c r="J1194" i="12" s="1"/>
  <c r="H1195" i="12"/>
  <c r="I1195" i="12" l="1"/>
  <c r="J1195" i="12" s="1"/>
  <c r="H1196" i="12"/>
  <c r="I1196" i="12" l="1"/>
  <c r="J1196" i="12" s="1"/>
  <c r="H1197" i="12"/>
  <c r="I1197" i="12" l="1"/>
  <c r="J1197" i="12" s="1"/>
  <c r="H1198" i="12"/>
  <c r="I1198" i="12" l="1"/>
  <c r="J1198" i="12" s="1"/>
  <c r="H1199" i="12"/>
  <c r="I1199" i="12" l="1"/>
  <c r="J1199" i="12" s="1"/>
  <c r="H1200" i="12"/>
  <c r="I1200" i="12" l="1"/>
  <c r="J1200" i="12" s="1"/>
  <c r="T1199" i="12" s="1"/>
  <c r="T1198" i="12" s="1"/>
  <c r="T1197" i="12" s="1"/>
  <c r="T1196" i="12" s="1"/>
  <c r="T1195" i="12" s="1"/>
  <c r="T1194" i="12" s="1"/>
  <c r="T1193" i="12" s="1"/>
  <c r="T1192" i="12" s="1"/>
  <c r="T1191" i="12" s="1"/>
  <c r="T1190" i="12" s="1"/>
  <c r="T1189" i="12" s="1"/>
  <c r="T1188" i="12" s="1"/>
  <c r="T1187" i="12" s="1"/>
  <c r="T1186" i="12" s="1"/>
  <c r="H1201" i="12"/>
  <c r="I1201" i="12" l="1"/>
  <c r="J1201" i="12" s="1"/>
  <c r="H1202" i="12"/>
  <c r="I1202" i="12" l="1"/>
  <c r="J1202" i="12" s="1"/>
  <c r="H1203" i="12"/>
  <c r="I1203" i="12" l="1"/>
  <c r="J1203" i="12" s="1"/>
  <c r="H1204" i="12"/>
  <c r="I1204" i="12" l="1"/>
  <c r="J1204" i="12" s="1"/>
  <c r="H1205" i="12"/>
  <c r="I1205" i="12" l="1"/>
  <c r="J1205" i="12" s="1"/>
  <c r="H1206" i="12"/>
  <c r="I1206" i="12" l="1"/>
  <c r="J1206" i="12" s="1"/>
  <c r="H1207" i="12"/>
  <c r="I1207" i="12" l="1"/>
  <c r="J1207" i="12" s="1"/>
  <c r="H1208" i="12"/>
  <c r="I1208" i="12" l="1"/>
  <c r="J1208" i="12" s="1"/>
  <c r="H1209" i="12"/>
  <c r="I1209" i="12" l="1"/>
  <c r="J1209" i="12" s="1"/>
  <c r="H1210" i="12"/>
  <c r="I1210" i="12" l="1"/>
  <c r="J1210" i="12" s="1"/>
  <c r="H1211" i="12"/>
  <c r="I1211" i="12" l="1"/>
  <c r="J1211" i="12" s="1"/>
  <c r="H1212" i="12"/>
  <c r="I1212" i="12" l="1"/>
  <c r="J1212" i="12" s="1"/>
  <c r="H1213" i="12"/>
  <c r="I1213" i="12" l="1"/>
  <c r="J1213" i="12" s="1"/>
  <c r="H1214" i="12"/>
  <c r="I1214" i="12" l="1"/>
  <c r="J1214" i="12" s="1"/>
  <c r="H1215" i="12"/>
  <c r="I1215" i="12" l="1"/>
  <c r="J1215" i="12" s="1"/>
  <c r="H1216" i="12"/>
  <c r="T1214" i="12" l="1"/>
  <c r="T1213" i="12" s="1"/>
  <c r="T1212" i="12" s="1"/>
  <c r="T1211" i="12" s="1"/>
  <c r="T1210" i="12" s="1"/>
  <c r="T1209" i="12" s="1"/>
  <c r="T1208" i="12" s="1"/>
  <c r="T1207" i="12" s="1"/>
  <c r="T1206" i="12" s="1"/>
  <c r="T1205" i="12" s="1"/>
  <c r="T1204" i="12" s="1"/>
  <c r="T1203" i="12" s="1"/>
  <c r="T1202" i="12" s="1"/>
  <c r="T1201" i="12" s="1"/>
  <c r="T1200" i="12" s="1"/>
  <c r="I1216" i="12"/>
  <c r="J1216" i="12" s="1"/>
  <c r="H1217" i="12"/>
  <c r="I1217" i="12" l="1"/>
  <c r="J1217" i="12" s="1"/>
  <c r="H1218" i="12"/>
  <c r="I1218" i="12" l="1"/>
  <c r="J1218" i="12" s="1"/>
  <c r="H1219" i="12"/>
  <c r="I1219" i="12" l="1"/>
  <c r="J1219" i="12" s="1"/>
  <c r="H1220" i="12"/>
  <c r="I1220" i="12" l="1"/>
  <c r="J1220" i="12" s="1"/>
  <c r="H1221" i="12"/>
  <c r="I1221" i="12" l="1"/>
  <c r="J1221" i="12" s="1"/>
  <c r="H1222" i="12"/>
  <c r="I1222" i="12" l="1"/>
  <c r="J1222" i="12" s="1"/>
  <c r="H1223" i="12"/>
  <c r="I1223" i="12" l="1"/>
  <c r="J1223" i="12" s="1"/>
  <c r="H1224" i="12"/>
  <c r="I1224" i="12" l="1"/>
  <c r="J1224" i="12" s="1"/>
  <c r="H1225" i="12"/>
  <c r="I1225" i="12" l="1"/>
  <c r="J1225" i="12" s="1"/>
  <c r="H1226" i="12"/>
  <c r="I1226" i="12" l="1"/>
  <c r="J1226" i="12" s="1"/>
  <c r="H1227" i="12"/>
  <c r="I1227" i="12" l="1"/>
  <c r="J1227" i="12" s="1"/>
  <c r="H1228" i="12"/>
  <c r="I1228" i="12" l="1"/>
  <c r="J1228" i="12" s="1"/>
  <c r="H1229" i="12"/>
  <c r="I1229" i="12" l="1"/>
  <c r="J1229" i="12" s="1"/>
  <c r="H1230" i="12"/>
  <c r="I1230" i="12" l="1"/>
  <c r="J1230" i="12" s="1"/>
  <c r="H1231" i="12"/>
  <c r="I1231" i="12" l="1"/>
  <c r="J1231" i="12" s="1"/>
  <c r="H1232" i="12"/>
  <c r="I1232" i="12" l="1"/>
  <c r="J1232" i="12" s="1"/>
  <c r="H1233" i="12"/>
  <c r="I1233" i="12" l="1"/>
  <c r="J1233" i="12" s="1"/>
  <c r="H1234" i="12"/>
  <c r="I1234" i="12" l="1"/>
  <c r="J1234" i="12" s="1"/>
  <c r="H1235" i="12"/>
  <c r="I1235" i="12" l="1"/>
  <c r="J1235" i="12" s="1"/>
  <c r="H1236" i="12"/>
  <c r="T1234" i="12" l="1"/>
  <c r="T1233" i="12" s="1"/>
  <c r="T1232" i="12" s="1"/>
  <c r="T1231" i="12" s="1"/>
  <c r="T1230" i="12" s="1"/>
  <c r="T1229" i="12" s="1"/>
  <c r="T1228" i="12" s="1"/>
  <c r="T1227" i="12" s="1"/>
  <c r="T1226" i="12" s="1"/>
  <c r="T1225" i="12" s="1"/>
  <c r="T1224" i="12" s="1"/>
  <c r="T1223" i="12" s="1"/>
  <c r="T1222" i="12" s="1"/>
  <c r="T1221" i="12" s="1"/>
  <c r="T1220" i="12" s="1"/>
  <c r="T1219" i="12" s="1"/>
  <c r="T1218" i="12" s="1"/>
  <c r="T1217" i="12" s="1"/>
  <c r="T1216" i="12" s="1"/>
  <c r="T1215" i="12" s="1"/>
  <c r="I1236" i="12"/>
  <c r="J1236" i="12" s="1"/>
  <c r="H1237" i="12"/>
  <c r="I1237" i="12" l="1"/>
  <c r="J1237" i="12" s="1"/>
  <c r="H1238" i="12"/>
  <c r="I1238" i="12" l="1"/>
  <c r="J1238" i="12" s="1"/>
  <c r="H1239" i="12"/>
  <c r="I1239" i="12" l="1"/>
  <c r="J1239" i="12" s="1"/>
  <c r="H1240" i="12"/>
  <c r="T1238" i="12" l="1"/>
  <c r="T1237" i="12" s="1"/>
  <c r="T1236" i="12" s="1"/>
  <c r="I1240" i="12"/>
  <c r="J1240" i="12" s="1"/>
  <c r="H1241" i="12"/>
  <c r="I1241" i="12" l="1"/>
  <c r="J1241" i="12" s="1"/>
  <c r="H1242" i="12"/>
  <c r="I1242" i="12" l="1"/>
  <c r="J1242" i="12" s="1"/>
  <c r="H1243" i="12"/>
  <c r="I1243" i="12" l="1"/>
  <c r="J1243" i="12" s="1"/>
  <c r="H1244" i="12"/>
  <c r="I1244" i="12" l="1"/>
  <c r="J1244" i="12" s="1"/>
  <c r="H1245" i="12"/>
  <c r="I1245" i="12" l="1"/>
  <c r="J1245" i="12" s="1"/>
  <c r="H1246" i="12"/>
  <c r="T1244" i="12" l="1"/>
  <c r="T1243" i="12" s="1"/>
  <c r="T1242" i="12" s="1"/>
  <c r="T1241" i="12" s="1"/>
  <c r="T1240" i="12" s="1"/>
  <c r="T1239" i="12" s="1"/>
  <c r="I1246" i="12"/>
  <c r="J1246" i="12" s="1"/>
  <c r="H1247" i="12"/>
  <c r="I1247" i="12" l="1"/>
  <c r="J1247" i="12" s="1"/>
  <c r="H1248" i="12"/>
  <c r="I1248" i="12" l="1"/>
  <c r="J1248" i="12" s="1"/>
  <c r="H1249" i="12"/>
  <c r="I1249" i="12" l="1"/>
  <c r="J1249" i="12" s="1"/>
  <c r="H1250" i="12"/>
  <c r="I1250" i="12" l="1"/>
  <c r="J1250" i="12" s="1"/>
  <c r="T1249" i="12" s="1"/>
  <c r="T1248" i="12" s="1"/>
  <c r="T1247" i="12" s="1"/>
  <c r="T1246" i="12" s="1"/>
  <c r="T1245" i="12" s="1"/>
  <c r="H1251" i="12"/>
  <c r="I1251" i="12" l="1"/>
  <c r="J1251" i="12" s="1"/>
  <c r="H1252" i="12"/>
  <c r="I1252" i="12" l="1"/>
  <c r="J1252" i="12" s="1"/>
  <c r="H1253" i="12"/>
  <c r="I1253" i="12" l="1"/>
  <c r="J1253" i="12" s="1"/>
  <c r="H1254" i="12"/>
  <c r="I1254" i="12" l="1"/>
  <c r="J1254" i="12" s="1"/>
  <c r="T1253" i="12" s="1"/>
  <c r="T1252" i="12" s="1"/>
  <c r="T1251" i="12" s="1"/>
  <c r="T1250" i="12" s="1"/>
  <c r="H1255" i="12"/>
  <c r="I1255" i="12" l="1"/>
  <c r="J1255" i="12" s="1"/>
  <c r="H1256" i="12"/>
  <c r="I1256" i="12" l="1"/>
  <c r="J1256" i="12" s="1"/>
  <c r="H1257" i="12"/>
  <c r="I1257" i="12" l="1"/>
  <c r="J1257" i="12" s="1"/>
  <c r="H1258" i="12"/>
  <c r="I1258" i="12" l="1"/>
  <c r="J1258" i="12" s="1"/>
  <c r="H1259" i="12"/>
  <c r="I1259" i="12" l="1"/>
  <c r="J1259" i="12" s="1"/>
  <c r="H1260" i="12"/>
  <c r="I1260" i="12" l="1"/>
  <c r="J1260" i="12" s="1"/>
  <c r="H1261" i="12"/>
  <c r="I1261" i="12" l="1"/>
  <c r="J1261" i="12" s="1"/>
  <c r="H1262" i="12"/>
  <c r="I1262" i="12" l="1"/>
  <c r="J1262" i="12" s="1"/>
  <c r="H1263" i="12"/>
  <c r="I1263" i="12" l="1"/>
  <c r="J1263" i="12" s="1"/>
  <c r="H1264" i="12"/>
  <c r="I1264" i="12" l="1"/>
  <c r="J1264" i="12" s="1"/>
  <c r="H1265" i="12"/>
  <c r="I1265" i="12" l="1"/>
  <c r="J1265" i="12" s="1"/>
  <c r="H1266" i="12"/>
  <c r="I1266" i="12" l="1"/>
  <c r="J1266" i="12" s="1"/>
  <c r="H1267" i="12"/>
  <c r="I1267" i="12" l="1"/>
  <c r="J1267" i="12" s="1"/>
  <c r="H1268" i="12"/>
  <c r="I1268" i="12" l="1"/>
  <c r="J1268" i="12" s="1"/>
  <c r="H1269" i="12"/>
  <c r="I1269" i="12" l="1"/>
  <c r="J1269" i="12" s="1"/>
  <c r="H1270" i="12"/>
  <c r="I1270" i="12" l="1"/>
  <c r="J1270" i="12" s="1"/>
  <c r="H1271" i="12"/>
  <c r="I1271" i="12" l="1"/>
  <c r="J1271" i="12" s="1"/>
  <c r="H1272" i="12"/>
  <c r="I1272" i="12" l="1"/>
  <c r="J1272" i="12" s="1"/>
  <c r="H1273" i="12"/>
  <c r="I1273" i="12" l="1"/>
  <c r="J1273" i="12" s="1"/>
  <c r="H1274" i="12"/>
  <c r="I1274" i="12" l="1"/>
  <c r="J1274" i="12" s="1"/>
  <c r="H1275" i="12"/>
  <c r="I1275" i="12" l="1"/>
  <c r="J1275" i="12" s="1"/>
  <c r="H1276" i="12"/>
  <c r="I1276" i="12" l="1"/>
  <c r="J1276" i="12" s="1"/>
  <c r="H1277" i="12"/>
  <c r="I1277" i="12" l="1"/>
  <c r="J1277" i="12" s="1"/>
  <c r="H1278" i="12"/>
  <c r="I1278" i="12" l="1"/>
  <c r="J1278" i="12" s="1"/>
  <c r="H1279" i="12"/>
  <c r="I1279" i="12" l="1"/>
  <c r="J1279" i="12" s="1"/>
  <c r="H1280" i="12"/>
  <c r="I1280" i="12" l="1"/>
  <c r="J1280" i="12" s="1"/>
  <c r="H1281" i="12"/>
  <c r="I1281" i="12" l="1"/>
  <c r="J1281" i="12" s="1"/>
  <c r="H1282" i="12"/>
  <c r="I1282" i="12" l="1"/>
  <c r="J1282" i="12" s="1"/>
  <c r="H1283" i="12"/>
  <c r="I1283" i="12" l="1"/>
  <c r="J1283" i="12" s="1"/>
  <c r="H1284" i="12"/>
  <c r="I1284" i="12" l="1"/>
  <c r="J1284" i="12" s="1"/>
  <c r="T1283" i="12" s="1"/>
  <c r="T1282" i="12" s="1"/>
  <c r="T1281" i="12" s="1"/>
  <c r="T1280" i="12" s="1"/>
  <c r="T1279" i="12" s="1"/>
  <c r="T1278" i="12" s="1"/>
  <c r="T1277" i="12" s="1"/>
  <c r="T1276" i="12" s="1"/>
  <c r="T1275" i="12" s="1"/>
  <c r="T1274" i="12" s="1"/>
  <c r="T1273" i="12" s="1"/>
  <c r="T1272" i="12" s="1"/>
  <c r="T1271" i="12" s="1"/>
  <c r="T1270" i="12" s="1"/>
  <c r="T1269" i="12" s="1"/>
  <c r="T1268" i="12" s="1"/>
  <c r="T1267" i="12" s="1"/>
  <c r="T1266" i="12" s="1"/>
  <c r="T1265" i="12" s="1"/>
  <c r="T1264" i="12" s="1"/>
  <c r="T1263" i="12" s="1"/>
  <c r="T1262" i="12" s="1"/>
  <c r="T1261" i="12" s="1"/>
  <c r="T1260" i="12" s="1"/>
  <c r="T1259" i="12" s="1"/>
  <c r="T1258" i="12" s="1"/>
  <c r="T1257" i="12" s="1"/>
  <c r="T1256" i="12" s="1"/>
  <c r="T1255" i="12" s="1"/>
  <c r="H1285" i="12"/>
  <c r="I1285" i="12" l="1"/>
  <c r="J1285" i="12" s="1"/>
  <c r="H1286" i="12"/>
  <c r="I1286" i="12" l="1"/>
  <c r="J1286" i="12" s="1"/>
  <c r="H1287" i="12"/>
  <c r="I1287" i="12" l="1"/>
  <c r="J1287" i="12" s="1"/>
  <c r="H1288" i="12"/>
  <c r="I1288" i="12" l="1"/>
  <c r="J1288" i="12" s="1"/>
  <c r="H1289" i="12"/>
  <c r="I1289" i="12" l="1"/>
  <c r="J1289" i="12" s="1"/>
  <c r="H1290" i="12"/>
  <c r="I1290" i="12" l="1"/>
  <c r="J1290" i="12" s="1"/>
  <c r="H1291" i="12"/>
  <c r="I1291" i="12" l="1"/>
  <c r="J1291" i="12" s="1"/>
  <c r="H1292" i="12"/>
  <c r="I1292" i="12" l="1"/>
  <c r="J1292" i="12" s="1"/>
  <c r="H1293" i="12"/>
  <c r="I1293" i="12" l="1"/>
  <c r="J1293" i="12" s="1"/>
  <c r="H1294" i="12"/>
  <c r="I1294" i="12" l="1"/>
  <c r="J1294" i="12" s="1"/>
  <c r="H1295" i="12"/>
  <c r="I1295" i="12" l="1"/>
  <c r="J1295" i="12" s="1"/>
  <c r="H1296" i="12"/>
  <c r="T1294" i="12" l="1"/>
  <c r="T1293" i="12" s="1"/>
  <c r="T1292" i="12" s="1"/>
  <c r="T1291" i="12" s="1"/>
  <c r="T1290" i="12" s="1"/>
  <c r="T1289" i="12" s="1"/>
  <c r="T1288" i="12" s="1"/>
  <c r="T1287" i="12" s="1"/>
  <c r="T1286" i="12" s="1"/>
  <c r="T1285" i="12" s="1"/>
  <c r="T1284" i="12" s="1"/>
  <c r="I1296" i="12"/>
  <c r="J1296" i="12" s="1"/>
  <c r="H1297" i="12"/>
  <c r="I1297" i="12" l="1"/>
  <c r="J1297" i="12" s="1"/>
  <c r="H1298" i="12"/>
  <c r="I1298" i="12" l="1"/>
  <c r="J1298" i="12" s="1"/>
  <c r="T1297" i="12" s="1"/>
  <c r="T1296" i="12" s="1"/>
  <c r="T1295" i="12" s="1"/>
  <c r="H1299" i="12"/>
  <c r="I1299" i="12" l="1"/>
  <c r="J1299" i="12" s="1"/>
  <c r="H1300" i="12"/>
  <c r="I1300" i="12" l="1"/>
  <c r="J1300" i="12" s="1"/>
  <c r="H1301" i="12"/>
  <c r="I1301" i="12" l="1"/>
  <c r="J1301" i="12" s="1"/>
  <c r="H1302" i="12"/>
  <c r="I1302" i="12" l="1"/>
  <c r="J1302" i="12" s="1"/>
  <c r="H1303" i="12"/>
  <c r="I1303" i="12" l="1"/>
  <c r="J1303" i="12" s="1"/>
  <c r="H1304" i="12"/>
  <c r="I1304" i="12" l="1"/>
  <c r="J1304" i="12" s="1"/>
  <c r="H1305" i="12"/>
  <c r="I1305" i="12" l="1"/>
  <c r="J1305" i="12" s="1"/>
  <c r="H1306" i="12"/>
  <c r="I1306" i="12" l="1"/>
  <c r="J1306" i="12" s="1"/>
  <c r="H1307" i="12"/>
  <c r="I1307" i="12" l="1"/>
  <c r="J1307" i="12" s="1"/>
  <c r="H1308" i="12"/>
  <c r="I1308" i="12" l="1"/>
  <c r="J1308" i="12" s="1"/>
  <c r="H1309" i="12"/>
  <c r="I1309" i="12" l="1"/>
  <c r="J1309" i="12" s="1"/>
  <c r="H1310" i="12"/>
  <c r="I1310" i="12" l="1"/>
  <c r="J1310" i="12" s="1"/>
  <c r="H1311" i="12"/>
  <c r="I1311" i="12" l="1"/>
  <c r="J1311" i="12" s="1"/>
  <c r="H1312" i="12"/>
  <c r="T1310" i="12" l="1"/>
  <c r="T1309" i="12" s="1"/>
  <c r="T1308" i="12" s="1"/>
  <c r="T1307" i="12" s="1"/>
  <c r="T1306" i="12" s="1"/>
  <c r="T1305" i="12" s="1"/>
  <c r="T1304" i="12" s="1"/>
  <c r="T1303" i="12" s="1"/>
  <c r="T1302" i="12" s="1"/>
  <c r="T1301" i="12" s="1"/>
  <c r="T1300" i="12" s="1"/>
  <c r="T1299" i="12" s="1"/>
  <c r="T1298" i="12" s="1"/>
  <c r="I1312" i="12"/>
  <c r="J1312" i="12" s="1"/>
  <c r="H1313" i="12"/>
  <c r="I1313" i="12" l="1"/>
  <c r="J1313" i="12" s="1"/>
  <c r="H1314" i="12"/>
  <c r="I1314" i="12" l="1"/>
  <c r="J1314" i="12" s="1"/>
  <c r="H1315" i="12"/>
  <c r="I1315" i="12" l="1"/>
  <c r="J1315" i="12" s="1"/>
  <c r="H1316" i="12"/>
  <c r="I1316" i="12" l="1"/>
  <c r="J1316" i="12" s="1"/>
  <c r="T1315" i="12" s="1"/>
  <c r="T1314" i="12" s="1"/>
  <c r="T1313" i="12" s="1"/>
  <c r="T1312" i="12" s="1"/>
  <c r="T1311" i="12" s="1"/>
  <c r="H1317" i="12"/>
  <c r="I1317" i="12" l="1"/>
  <c r="J1317" i="12" s="1"/>
  <c r="H1318" i="12"/>
  <c r="I1318" i="12" l="1"/>
  <c r="J1318" i="12" s="1"/>
  <c r="H1319" i="12"/>
  <c r="I1319" i="12" l="1"/>
  <c r="J1319" i="12" s="1"/>
  <c r="H1320" i="12"/>
  <c r="I1320" i="12" l="1"/>
  <c r="J1320" i="12" s="1"/>
  <c r="H1321" i="12"/>
  <c r="I1321" i="12" l="1"/>
  <c r="J1321" i="12" s="1"/>
  <c r="H1322" i="12"/>
  <c r="I1322" i="12" l="1"/>
  <c r="J1322" i="12" s="1"/>
  <c r="H1323" i="12"/>
  <c r="I1323" i="12" l="1"/>
  <c r="J1323" i="12" s="1"/>
  <c r="H1324" i="12"/>
  <c r="I1324" i="12" l="1"/>
  <c r="J1324" i="12" s="1"/>
  <c r="H1325" i="12"/>
  <c r="I1325" i="12" l="1"/>
  <c r="J1325" i="12" s="1"/>
  <c r="H1326" i="12"/>
  <c r="T1324" i="12" l="1"/>
  <c r="T1323" i="12" s="1"/>
  <c r="T1322" i="12" s="1"/>
  <c r="T1321" i="12" s="1"/>
  <c r="T1320" i="12" s="1"/>
  <c r="T1319" i="12" s="1"/>
  <c r="T1318" i="12" s="1"/>
  <c r="T1317" i="12" s="1"/>
  <c r="T1316" i="12" s="1"/>
  <c r="I1326" i="12"/>
  <c r="J1326" i="12" s="1"/>
  <c r="H1327" i="12"/>
  <c r="I1327" i="12" l="1"/>
  <c r="J1327" i="12" s="1"/>
  <c r="H1328" i="12"/>
  <c r="I1328" i="12" l="1"/>
  <c r="J1328" i="12" s="1"/>
  <c r="H1329" i="12"/>
  <c r="I1329" i="12" l="1"/>
  <c r="J1329" i="12" s="1"/>
  <c r="H1330" i="12"/>
  <c r="I1330" i="12" l="1"/>
  <c r="J1330" i="12" s="1"/>
  <c r="H1331" i="12"/>
  <c r="I1331" i="12" l="1"/>
  <c r="J1331" i="12" s="1"/>
  <c r="H1332" i="12"/>
  <c r="T1330" i="12" l="1"/>
  <c r="T1329" i="12" s="1"/>
  <c r="T1328" i="12" s="1"/>
  <c r="T1327" i="12" s="1"/>
  <c r="T1326" i="12" s="1"/>
  <c r="T1325" i="12" s="1"/>
  <c r="I1332" i="12"/>
  <c r="J1332" i="12" s="1"/>
  <c r="H1333" i="12"/>
  <c r="I1333" i="12" l="1"/>
  <c r="J1333" i="12" s="1"/>
  <c r="H1334" i="12"/>
  <c r="I1334" i="12" l="1"/>
  <c r="J1334" i="12" s="1"/>
  <c r="H1335" i="12"/>
  <c r="I1335" i="12" l="1"/>
  <c r="J1335" i="12" s="1"/>
  <c r="H1336" i="12"/>
  <c r="I1336" i="12" l="1"/>
  <c r="J1336" i="12" s="1"/>
  <c r="H1337" i="12"/>
  <c r="I1337" i="12" l="1"/>
  <c r="J1337" i="12" s="1"/>
  <c r="H1338" i="12"/>
  <c r="I1338" i="12" l="1"/>
  <c r="J1338" i="12" s="1"/>
  <c r="H1339" i="12"/>
  <c r="I1339" i="12" l="1"/>
  <c r="J1339" i="12" s="1"/>
  <c r="H1340" i="12"/>
  <c r="I1340" i="12" l="1"/>
  <c r="J1340" i="12" s="1"/>
  <c r="T1339" i="12" s="1"/>
  <c r="T1338" i="12" s="1"/>
  <c r="T1337" i="12" s="1"/>
  <c r="T1336" i="12" s="1"/>
  <c r="T1335" i="12" s="1"/>
  <c r="T1334" i="12" s="1"/>
  <c r="T1333" i="12" s="1"/>
  <c r="T1332" i="12" s="1"/>
  <c r="H1341" i="12"/>
  <c r="I1341" i="12" l="1"/>
  <c r="J1341" i="12" s="1"/>
  <c r="H1342" i="12"/>
  <c r="I1342" i="12" l="1"/>
  <c r="J1342" i="12" s="1"/>
  <c r="H1343" i="12"/>
  <c r="I1343" i="12" l="1"/>
  <c r="J1343" i="12" s="1"/>
  <c r="H1344" i="12"/>
  <c r="I1344" i="12" l="1"/>
  <c r="J1344" i="12" s="1"/>
  <c r="H1345" i="12"/>
  <c r="I1345" i="12" l="1"/>
  <c r="J1345" i="12" s="1"/>
  <c r="H1346" i="12"/>
  <c r="I1346" i="12" l="1"/>
  <c r="J1346" i="12" s="1"/>
  <c r="H1347" i="12"/>
  <c r="I1347" i="12" l="1"/>
  <c r="J1347" i="12" s="1"/>
  <c r="H1348" i="12"/>
  <c r="T1346" i="12" l="1"/>
  <c r="T1345" i="12" s="1"/>
  <c r="T1344" i="12" s="1"/>
  <c r="T1343" i="12" s="1"/>
  <c r="T1342" i="12" s="1"/>
  <c r="T1341" i="12" s="1"/>
  <c r="T1340" i="12" s="1"/>
  <c r="I1348" i="12"/>
  <c r="J1348" i="12" s="1"/>
  <c r="H1349" i="12"/>
  <c r="I1349" i="12" l="1"/>
  <c r="J1349" i="12" s="1"/>
  <c r="H1350" i="12"/>
  <c r="I1350" i="12" l="1"/>
  <c r="J1350" i="12" s="1"/>
  <c r="H1351" i="12"/>
  <c r="I1351" i="12" l="1"/>
  <c r="J1351" i="12" s="1"/>
  <c r="H1352" i="12"/>
  <c r="I1352" i="12" l="1"/>
  <c r="J1352" i="12" s="1"/>
  <c r="H1353" i="12"/>
  <c r="I1353" i="12" l="1"/>
  <c r="J1353" i="12" s="1"/>
  <c r="H1354" i="12"/>
  <c r="I1354" i="12" l="1"/>
  <c r="J1354" i="12" s="1"/>
  <c r="H1355" i="12"/>
  <c r="I1355" i="12" l="1"/>
  <c r="J1355" i="12" s="1"/>
  <c r="H1356" i="12"/>
  <c r="I1356" i="12" l="1"/>
  <c r="J1356" i="12" s="1"/>
  <c r="T1355" i="12" s="1"/>
  <c r="T1354" i="12" s="1"/>
  <c r="T1353" i="12" s="1"/>
  <c r="T1352" i="12" s="1"/>
  <c r="T1351" i="12" s="1"/>
  <c r="T1350" i="12" s="1"/>
  <c r="T1349" i="12" s="1"/>
  <c r="T1348" i="12" s="1"/>
  <c r="T1347" i="12" s="1"/>
  <c r="H1357" i="12"/>
  <c r="I1357" i="12" l="1"/>
  <c r="J1357" i="12" s="1"/>
  <c r="H1358" i="12"/>
  <c r="I1358" i="12" l="1"/>
  <c r="J1358" i="12" s="1"/>
  <c r="H1359" i="12"/>
  <c r="I1359" i="12" l="1"/>
  <c r="J1359" i="12" s="1"/>
  <c r="H1360" i="12"/>
  <c r="T1358" i="12" l="1"/>
  <c r="T1357" i="12" s="1"/>
  <c r="T1356" i="12" s="1"/>
  <c r="I1360" i="12"/>
  <c r="J1360" i="12" s="1"/>
  <c r="H1361" i="12"/>
  <c r="I1361" i="12" l="1"/>
  <c r="J1361" i="12" s="1"/>
  <c r="H1362" i="12"/>
  <c r="I1362" i="12" l="1"/>
  <c r="J1362" i="12" s="1"/>
  <c r="H1363" i="12"/>
  <c r="I1363" i="12" l="1"/>
  <c r="J1363" i="12" s="1"/>
  <c r="H1364" i="12"/>
  <c r="I1364" i="12" l="1"/>
  <c r="J1364" i="12" s="1"/>
  <c r="H1365" i="12"/>
  <c r="I1365" i="12" l="1"/>
  <c r="J1365" i="12" s="1"/>
  <c r="H1366" i="12"/>
  <c r="I1366" i="12" l="1"/>
  <c r="J1366" i="12" s="1"/>
  <c r="H1367" i="12"/>
  <c r="I1367" i="12" l="1"/>
  <c r="J1367" i="12" s="1"/>
  <c r="H1368" i="12"/>
  <c r="I1368" i="12" l="1"/>
  <c r="J1368" i="12" s="1"/>
  <c r="H1369" i="12"/>
  <c r="I1369" i="12" l="1"/>
  <c r="J1369" i="12" s="1"/>
  <c r="H1370" i="12"/>
  <c r="T1368" i="12" l="1"/>
  <c r="T1367" i="12" s="1"/>
  <c r="T1366" i="12" s="1"/>
  <c r="T1365" i="12" s="1"/>
  <c r="T1364" i="12" s="1"/>
  <c r="T1363" i="12" s="1"/>
  <c r="T1362" i="12" s="1"/>
  <c r="T1361" i="12" s="1"/>
  <c r="T1360" i="12" s="1"/>
  <c r="T1359" i="12" s="1"/>
  <c r="I1370" i="12"/>
  <c r="J1370" i="12" s="1"/>
  <c r="H1371" i="12"/>
  <c r="I1371" i="12" l="1"/>
  <c r="J1371" i="12" s="1"/>
  <c r="H1372" i="12"/>
  <c r="I1372" i="12" l="1"/>
  <c r="J1372" i="12" s="1"/>
  <c r="H1373" i="12"/>
  <c r="I1373" i="12" l="1"/>
  <c r="J1373" i="12" s="1"/>
  <c r="H1374" i="12"/>
  <c r="I1374" i="12" l="1"/>
  <c r="J1374" i="12" s="1"/>
  <c r="T1373" i="12" s="1"/>
  <c r="T1372" i="12" s="1"/>
  <c r="T1371" i="12" s="1"/>
  <c r="T1370" i="12" s="1"/>
  <c r="T1369" i="12" s="1"/>
  <c r="H1375" i="12"/>
  <c r="I1375" i="12" l="1"/>
  <c r="J1375" i="12" s="1"/>
  <c r="H1376" i="12"/>
  <c r="I1376" i="12" l="1"/>
  <c r="J1376" i="12" s="1"/>
  <c r="H1377" i="12"/>
  <c r="I1377" i="12" l="1"/>
  <c r="J1377" i="12" s="1"/>
  <c r="H1378" i="12"/>
  <c r="I1378" i="12" l="1"/>
  <c r="J1378" i="12" s="1"/>
  <c r="H1379" i="12"/>
  <c r="I1379" i="12" l="1"/>
  <c r="J1379" i="12" s="1"/>
  <c r="H1380" i="12"/>
  <c r="I1380" i="12" l="1"/>
  <c r="J1380" i="12" s="1"/>
  <c r="H1381" i="12"/>
  <c r="I1381" i="12" l="1"/>
  <c r="J1381" i="12" s="1"/>
  <c r="H1382" i="12"/>
  <c r="I1382" i="12" l="1"/>
  <c r="J1382" i="12" s="1"/>
  <c r="T1381" i="12" s="1"/>
  <c r="T1380" i="12" s="1"/>
  <c r="T1379" i="12" s="1"/>
  <c r="T1378" i="12" s="1"/>
  <c r="T1377" i="12" s="1"/>
  <c r="T1376" i="12" s="1"/>
  <c r="T1375" i="12" s="1"/>
  <c r="H1383" i="12"/>
  <c r="I1383" i="12" l="1"/>
  <c r="J1383" i="12" s="1"/>
  <c r="H1384" i="12"/>
  <c r="I1384" i="12" l="1"/>
  <c r="J1384" i="12" s="1"/>
  <c r="H1385" i="12"/>
  <c r="I1385" i="12" l="1"/>
  <c r="J1385" i="12" s="1"/>
  <c r="H1386" i="12"/>
  <c r="I1386" i="12" l="1"/>
  <c r="J1386" i="12" s="1"/>
  <c r="H1387" i="12"/>
  <c r="I1387" i="12" l="1"/>
  <c r="J1387" i="12" s="1"/>
  <c r="H1388" i="12"/>
  <c r="I1388" i="12" l="1"/>
  <c r="J1388" i="12" s="1"/>
  <c r="H1389" i="12"/>
  <c r="I1389" i="12" l="1"/>
  <c r="J1389" i="12" s="1"/>
  <c r="H1390" i="12"/>
  <c r="I1390" i="12" l="1"/>
  <c r="J1390" i="12" s="1"/>
  <c r="H1391" i="12"/>
  <c r="I1391" i="12" l="1"/>
  <c r="J1391" i="12" s="1"/>
  <c r="H1392" i="12"/>
  <c r="I1392" i="12" l="1"/>
  <c r="J1392" i="12" s="1"/>
  <c r="H1393" i="12"/>
  <c r="I1393" i="12" l="1"/>
  <c r="J1393" i="12" s="1"/>
  <c r="H1394" i="12"/>
  <c r="I1394" i="12" l="1"/>
  <c r="J1394" i="12" s="1"/>
  <c r="H1395" i="12"/>
  <c r="I1395" i="12" l="1"/>
  <c r="J1395" i="12" s="1"/>
  <c r="H1396" i="12"/>
  <c r="I1396" i="12" l="1"/>
  <c r="J1396" i="12" s="1"/>
  <c r="H1397" i="12"/>
  <c r="I1397" i="12" l="1"/>
  <c r="J1397" i="12" s="1"/>
  <c r="H1398" i="12"/>
  <c r="I1398" i="12" l="1"/>
  <c r="J1398" i="12" s="1"/>
  <c r="H1399" i="12"/>
  <c r="I1399" i="12" l="1"/>
  <c r="J1399" i="12" s="1"/>
  <c r="H1400" i="12"/>
  <c r="I1400" i="12" l="1"/>
  <c r="J1400" i="12" s="1"/>
  <c r="H1401" i="12"/>
  <c r="I1401" i="12" l="1"/>
  <c r="J1401" i="12" s="1"/>
  <c r="H1402" i="12"/>
  <c r="I1402" i="12" l="1"/>
  <c r="J1402" i="12" s="1"/>
  <c r="H1403" i="12"/>
  <c r="I1403" i="12" l="1"/>
  <c r="J1403" i="12" s="1"/>
  <c r="H1404" i="12"/>
  <c r="I1404" i="12" l="1"/>
  <c r="J1404" i="12" s="1"/>
  <c r="H1405" i="12"/>
  <c r="I1405" i="12" l="1"/>
  <c r="J1405" i="12" s="1"/>
  <c r="H1406" i="12"/>
  <c r="I1406" i="12" l="1"/>
  <c r="J1406" i="12" s="1"/>
  <c r="T1405" i="12" s="1"/>
  <c r="T1404" i="12" s="1"/>
  <c r="T1403" i="12" s="1"/>
  <c r="T1402" i="12" s="1"/>
  <c r="T1401" i="12" s="1"/>
  <c r="T1400" i="12" s="1"/>
  <c r="T1399" i="12" s="1"/>
  <c r="T1398" i="12" s="1"/>
  <c r="T1397" i="12" s="1"/>
  <c r="T1396" i="12" s="1"/>
  <c r="T1395" i="12" s="1"/>
  <c r="T1394" i="12" s="1"/>
  <c r="T1393" i="12" s="1"/>
  <c r="T1392" i="12" s="1"/>
  <c r="T1391" i="12" s="1"/>
  <c r="T1390" i="12" s="1"/>
  <c r="T1389" i="12" s="1"/>
  <c r="T1388" i="12" s="1"/>
  <c r="T1387" i="12" s="1"/>
  <c r="T1386" i="12" s="1"/>
  <c r="T1385" i="12" s="1"/>
  <c r="T1384" i="12" s="1"/>
  <c r="T1383" i="12" s="1"/>
  <c r="T1382" i="12" s="1"/>
  <c r="H1407" i="12"/>
  <c r="I1407" i="12" l="1"/>
  <c r="J1407" i="12" s="1"/>
  <c r="H1408" i="12"/>
  <c r="I1408" i="12" l="1"/>
  <c r="J1408" i="12" s="1"/>
  <c r="H1409" i="12"/>
  <c r="I1409" i="12" l="1"/>
  <c r="J1409" i="12" s="1"/>
  <c r="H1410" i="12"/>
  <c r="I1410" i="12" l="1"/>
  <c r="J1410" i="12" s="1"/>
  <c r="H1411" i="12"/>
  <c r="I1411" i="12" l="1"/>
  <c r="J1411" i="12" s="1"/>
  <c r="H1412" i="12"/>
  <c r="I1412" i="12" l="1"/>
  <c r="J1412" i="12" s="1"/>
  <c r="H1413" i="12"/>
  <c r="I1413" i="12" l="1"/>
  <c r="J1413" i="12" s="1"/>
  <c r="H1414" i="12"/>
  <c r="I1414" i="12" l="1"/>
  <c r="J1414" i="12" s="1"/>
  <c r="H1415" i="12"/>
  <c r="I1415" i="12" l="1"/>
  <c r="J1415" i="12" s="1"/>
  <c r="H1416" i="12"/>
  <c r="I1416" i="12" l="1"/>
  <c r="J1416" i="12" s="1"/>
  <c r="H1417" i="12"/>
  <c r="I1417" i="12" l="1"/>
  <c r="J1417" i="12" s="1"/>
  <c r="H1418" i="12"/>
  <c r="I1418" i="12" l="1"/>
  <c r="J1418" i="12" s="1"/>
  <c r="H1419" i="12"/>
  <c r="I1419" i="12" l="1"/>
  <c r="J1419" i="12" s="1"/>
  <c r="H1420" i="12"/>
  <c r="I1420" i="12" l="1"/>
  <c r="J1420" i="12" s="1"/>
  <c r="H1421" i="12"/>
  <c r="I1421" i="12" l="1"/>
  <c r="J1421" i="12" s="1"/>
  <c r="H1422" i="12"/>
  <c r="I1422" i="12" l="1"/>
  <c r="J1422" i="12" s="1"/>
  <c r="T1421" i="12" s="1"/>
  <c r="T1420" i="12" s="1"/>
  <c r="T1419" i="12" s="1"/>
  <c r="T1418" i="12" s="1"/>
  <c r="T1417" i="12" s="1"/>
  <c r="T1416" i="12" s="1"/>
  <c r="T1415" i="12" s="1"/>
  <c r="T1414" i="12" s="1"/>
  <c r="T1413" i="12" s="1"/>
  <c r="T1412" i="12" s="1"/>
  <c r="T1411" i="12" s="1"/>
  <c r="T1410" i="12" s="1"/>
  <c r="T1409" i="12" s="1"/>
  <c r="T1408" i="12" s="1"/>
  <c r="T1407" i="12" s="1"/>
  <c r="H1423" i="12"/>
  <c r="I1423" i="12" l="1"/>
  <c r="J1423" i="12" s="1"/>
  <c r="H1424" i="12"/>
  <c r="I1424" i="12" l="1"/>
  <c r="J1424" i="12" s="1"/>
  <c r="H1425" i="12"/>
  <c r="I1425" i="12" l="1"/>
  <c r="J1425" i="12" s="1"/>
  <c r="H1426" i="12"/>
  <c r="I1426" i="12" l="1"/>
  <c r="J1426" i="12" s="1"/>
  <c r="H1427" i="12"/>
  <c r="I1427" i="12" l="1"/>
  <c r="J1427" i="12" s="1"/>
  <c r="H1428" i="12"/>
  <c r="I1428" i="12" l="1"/>
  <c r="J1428" i="12" s="1"/>
  <c r="H1429" i="12"/>
  <c r="I1429" i="12" l="1"/>
  <c r="J1429" i="12" s="1"/>
  <c r="H1430" i="12"/>
  <c r="I1430" i="12" l="1"/>
  <c r="J1430" i="12" s="1"/>
  <c r="H1431" i="12"/>
  <c r="I1431" i="12" l="1"/>
  <c r="J1431" i="12" s="1"/>
  <c r="H1432" i="12"/>
  <c r="I1432" i="12" l="1"/>
  <c r="J1432" i="12" s="1"/>
  <c r="H1433" i="12"/>
  <c r="I1433" i="12" l="1"/>
  <c r="J1433" i="12" s="1"/>
  <c r="H1434" i="12"/>
  <c r="I1434" i="12" l="1"/>
  <c r="J1434" i="12" s="1"/>
  <c r="H1435" i="12"/>
  <c r="I1435" i="12" l="1"/>
  <c r="J1435" i="12" s="1"/>
  <c r="H1436" i="12"/>
  <c r="I1436" i="12" l="1"/>
  <c r="J1436" i="12" s="1"/>
  <c r="H1437" i="12"/>
  <c r="I1437" i="12" l="1"/>
  <c r="J1437" i="12" s="1"/>
  <c r="H1438" i="12"/>
  <c r="T1436" i="12" l="1"/>
  <c r="T1435" i="12" s="1"/>
  <c r="T1434" i="12" s="1"/>
  <c r="T1433" i="12" s="1"/>
  <c r="T1432" i="12" s="1"/>
  <c r="T1431" i="12" s="1"/>
  <c r="T1430" i="12" s="1"/>
  <c r="T1429" i="12" s="1"/>
  <c r="T1428" i="12" s="1"/>
  <c r="T1427" i="12" s="1"/>
  <c r="T1426" i="12" s="1"/>
  <c r="T1425" i="12" s="1"/>
  <c r="T1424" i="12" s="1"/>
  <c r="T1423" i="12" s="1"/>
  <c r="T1422" i="12" s="1"/>
  <c r="I1438" i="12"/>
  <c r="J1438" i="12" s="1"/>
  <c r="H1439" i="12"/>
  <c r="I1439" i="12" l="1"/>
  <c r="J1439" i="12" s="1"/>
  <c r="H1440" i="12"/>
  <c r="I1440" i="12" l="1"/>
  <c r="J1440" i="12" s="1"/>
  <c r="H1441" i="12"/>
  <c r="I1441" i="12" l="1"/>
  <c r="J1441" i="12" s="1"/>
  <c r="H1442" i="12"/>
  <c r="I1442" i="12" l="1"/>
  <c r="J1442" i="12" s="1"/>
  <c r="H1443" i="12"/>
  <c r="I1443" i="12" l="1"/>
  <c r="J1443" i="12" s="1"/>
  <c r="H1444" i="12"/>
  <c r="I1444" i="12" l="1"/>
  <c r="J1444" i="12" s="1"/>
  <c r="H1445" i="12"/>
  <c r="I1445" i="12" l="1"/>
  <c r="J1445" i="12" s="1"/>
  <c r="H1446" i="12"/>
  <c r="I1446" i="12" l="1"/>
  <c r="J1446" i="12" s="1"/>
  <c r="H1447" i="12"/>
  <c r="I1447" i="12" l="1"/>
  <c r="J1447" i="12" s="1"/>
  <c r="H1448" i="12"/>
  <c r="I1448" i="12" l="1"/>
  <c r="J1448" i="12" s="1"/>
  <c r="H1449" i="12"/>
  <c r="I1449" i="12" l="1"/>
  <c r="J1449" i="12" s="1"/>
  <c r="H1450" i="12"/>
  <c r="I1450" i="12" l="1"/>
  <c r="J1450" i="12" s="1"/>
  <c r="H1451" i="12"/>
  <c r="I1451" i="12" l="1"/>
  <c r="J1451" i="12" s="1"/>
  <c r="H1452" i="12"/>
  <c r="I1452" i="12" l="1"/>
  <c r="J1452" i="12" s="1"/>
  <c r="H1453" i="12"/>
  <c r="I1453" i="12" l="1"/>
  <c r="J1453" i="12" s="1"/>
  <c r="H1454" i="12"/>
  <c r="I1454" i="12" l="1"/>
  <c r="J1454" i="12" s="1"/>
  <c r="T1453" i="12" s="1"/>
  <c r="T1452" i="12" s="1"/>
  <c r="T1451" i="12" s="1"/>
  <c r="T1450" i="12" s="1"/>
  <c r="T1449" i="12" s="1"/>
  <c r="T1448" i="12" s="1"/>
  <c r="T1447" i="12" s="1"/>
  <c r="T1446" i="12" s="1"/>
  <c r="T1445" i="12" s="1"/>
  <c r="T1444" i="12" s="1"/>
  <c r="T1443" i="12" s="1"/>
  <c r="T1442" i="12" s="1"/>
  <c r="T1441" i="12" s="1"/>
  <c r="T1440" i="12" s="1"/>
  <c r="T1439" i="12" s="1"/>
  <c r="T1438" i="12" s="1"/>
  <c r="T1437" i="12" s="1"/>
  <c r="H1455" i="12"/>
  <c r="I1455" i="12" l="1"/>
  <c r="J1455" i="12" s="1"/>
  <c r="H1456" i="12"/>
  <c r="I1456" i="12" l="1"/>
  <c r="J1456" i="12" s="1"/>
  <c r="H1457" i="12"/>
  <c r="I1457" i="12" l="1"/>
  <c r="J1457" i="12" s="1"/>
  <c r="H1458" i="12"/>
  <c r="I1458" i="12" l="1"/>
  <c r="J1458" i="12" s="1"/>
  <c r="T1457" i="12" s="1"/>
  <c r="T1456" i="12" s="1"/>
  <c r="T1455" i="12" s="1"/>
  <c r="T1454" i="12" s="1"/>
  <c r="H1459" i="12"/>
  <c r="I1459" i="12" l="1"/>
  <c r="J1459" i="12" s="1"/>
  <c r="H1460" i="12"/>
  <c r="I1460" i="12" l="1"/>
  <c r="J1460" i="12" s="1"/>
  <c r="H1461" i="12"/>
  <c r="I1461" i="12" l="1"/>
  <c r="J1461" i="12" s="1"/>
  <c r="H1462" i="12"/>
  <c r="I1462" i="12" l="1"/>
  <c r="J1462" i="12" s="1"/>
  <c r="H1463" i="12"/>
  <c r="I1463" i="12" l="1"/>
  <c r="J1463" i="12" s="1"/>
  <c r="H1464" i="12"/>
  <c r="T1462" i="12" l="1"/>
  <c r="T1461" i="12" s="1"/>
  <c r="T1460" i="12" s="1"/>
  <c r="T1459" i="12" s="1"/>
  <c r="T1458" i="12" s="1"/>
  <c r="I1464" i="12"/>
  <c r="J1464" i="12" s="1"/>
  <c r="H1465" i="12"/>
  <c r="I1465" i="12" l="1"/>
  <c r="J1465" i="12" s="1"/>
  <c r="H1466" i="12"/>
  <c r="I1466" i="12" l="1"/>
  <c r="J1466" i="12" s="1"/>
  <c r="H1467" i="12"/>
  <c r="I1467" i="12" l="1"/>
  <c r="J1467" i="12" s="1"/>
  <c r="H1468" i="12"/>
  <c r="I1468" i="12" l="1"/>
  <c r="J1468" i="12" s="1"/>
  <c r="H1469" i="12"/>
  <c r="I1469" i="12" l="1"/>
  <c r="J1469" i="12" s="1"/>
  <c r="H1470" i="12"/>
  <c r="I1470" i="12" l="1"/>
  <c r="J1470" i="12" s="1"/>
  <c r="T1469" i="12" s="1"/>
  <c r="T1468" i="12" s="1"/>
  <c r="T1467" i="12" s="1"/>
  <c r="T1466" i="12" s="1"/>
  <c r="T1465" i="12" s="1"/>
  <c r="T1464" i="12" s="1"/>
  <c r="T1463" i="12" s="1"/>
  <c r="H1471" i="12"/>
  <c r="I1471" i="12" l="1"/>
  <c r="J1471" i="12" s="1"/>
  <c r="H1472" i="12"/>
  <c r="I1472" i="12" l="1"/>
  <c r="J1472" i="12" s="1"/>
  <c r="H1473" i="12"/>
  <c r="I1473" i="12" l="1"/>
  <c r="J1473" i="12" s="1"/>
  <c r="H1474" i="12"/>
  <c r="I1474" i="12" l="1"/>
  <c r="J1474" i="12" s="1"/>
  <c r="H1475" i="12"/>
  <c r="I1475" i="12" l="1"/>
  <c r="J1475" i="12" s="1"/>
  <c r="H1476" i="12"/>
  <c r="I1476" i="12" l="1"/>
  <c r="J1476" i="12" s="1"/>
  <c r="H1477" i="12"/>
  <c r="I1477" i="12" l="1"/>
  <c r="J1477" i="12" s="1"/>
  <c r="H1478" i="12"/>
  <c r="I1478" i="12" l="1"/>
  <c r="J1478" i="12" s="1"/>
  <c r="T1477" i="12" s="1"/>
  <c r="T1476" i="12" s="1"/>
  <c r="T1475" i="12" s="1"/>
  <c r="T1474" i="12" s="1"/>
  <c r="T1473" i="12" s="1"/>
  <c r="T1472" i="12" s="1"/>
  <c r="T1471" i="12" s="1"/>
  <c r="T1470" i="12" s="1"/>
  <c r="H1479" i="12"/>
  <c r="I1479" i="12" l="1"/>
  <c r="J1479" i="12" s="1"/>
  <c r="H1480" i="12"/>
  <c r="I1480" i="12" l="1"/>
  <c r="J1480" i="12" s="1"/>
  <c r="H1481" i="12"/>
  <c r="I1481" i="12" l="1"/>
  <c r="J1481" i="12" s="1"/>
  <c r="H1482" i="12"/>
  <c r="I1482" i="12" l="1"/>
  <c r="J1482" i="12" s="1"/>
  <c r="H1483" i="12"/>
  <c r="I1483" i="12" l="1"/>
  <c r="J1483" i="12" s="1"/>
  <c r="H1484" i="12"/>
  <c r="T1482" i="12" l="1"/>
  <c r="T1481" i="12" s="1"/>
  <c r="T1480" i="12" s="1"/>
  <c r="T1479" i="12" s="1"/>
  <c r="T1478" i="12" s="1"/>
  <c r="I1484" i="12"/>
  <c r="J1484" i="12" s="1"/>
  <c r="H1485" i="12"/>
  <c r="I1485" i="12" l="1"/>
  <c r="J1485" i="12" s="1"/>
  <c r="H1486" i="12"/>
  <c r="I1486" i="12" l="1"/>
  <c r="J1486" i="12" s="1"/>
  <c r="H1487" i="12"/>
  <c r="I1487" i="12" l="1"/>
  <c r="J1487" i="12" s="1"/>
  <c r="H1488" i="12"/>
  <c r="I1488" i="12" l="1"/>
  <c r="J1488" i="12" s="1"/>
  <c r="H1489" i="12"/>
  <c r="I1489" i="12" l="1"/>
  <c r="J1489" i="12" s="1"/>
  <c r="H1490" i="12"/>
  <c r="T1488" i="12" l="1"/>
  <c r="T1487" i="12" s="1"/>
  <c r="T1486" i="12" s="1"/>
  <c r="T1485" i="12" s="1"/>
  <c r="T1484" i="12" s="1"/>
  <c r="T1483" i="12" s="1"/>
  <c r="I1490" i="12"/>
  <c r="J1490" i="12" s="1"/>
  <c r="H1491" i="12"/>
  <c r="I1491" i="12" l="1"/>
  <c r="J1491" i="12" s="1"/>
  <c r="H1492" i="12"/>
  <c r="I1492" i="12" l="1"/>
  <c r="J1492" i="12" s="1"/>
  <c r="H1493" i="12"/>
  <c r="I1493" i="12" l="1"/>
  <c r="J1493" i="12" s="1"/>
  <c r="H1494" i="12"/>
  <c r="I1494" i="12" l="1"/>
  <c r="J1494" i="12" s="1"/>
  <c r="H1495" i="12"/>
  <c r="I1495" i="12" l="1"/>
  <c r="J1495" i="12" s="1"/>
  <c r="H1496" i="12"/>
  <c r="I1496" i="12" l="1"/>
  <c r="J1496" i="12" s="1"/>
  <c r="H1497" i="12"/>
  <c r="I1497" i="12" l="1"/>
  <c r="J1497" i="12" s="1"/>
  <c r="H1498" i="12"/>
  <c r="T1496" i="12" l="1"/>
  <c r="T1495" i="12" s="1"/>
  <c r="T1494" i="12" s="1"/>
  <c r="T1493" i="12" s="1"/>
  <c r="T1492" i="12" s="1"/>
  <c r="T1491" i="12" s="1"/>
  <c r="T1490" i="12" s="1"/>
  <c r="T1489" i="12" s="1"/>
  <c r="I1498" i="12"/>
  <c r="J1498" i="12" s="1"/>
  <c r="H1499" i="12"/>
  <c r="I1499" i="12" l="1"/>
  <c r="J1499" i="12" s="1"/>
  <c r="H1500" i="12"/>
  <c r="I1500" i="12" l="1"/>
  <c r="J1500" i="12" s="1"/>
  <c r="H1501" i="12"/>
  <c r="I1501" i="12" l="1"/>
  <c r="J1501" i="12" s="1"/>
  <c r="H1502" i="12"/>
  <c r="I1502" i="12" l="1"/>
  <c r="J1502" i="12" s="1"/>
  <c r="H1503" i="12"/>
  <c r="I1503" i="12" l="1"/>
  <c r="J1503" i="12" s="1"/>
  <c r="H1504" i="12"/>
  <c r="I1504" i="12" l="1"/>
  <c r="J1504" i="12" s="1"/>
  <c r="H1505" i="12"/>
  <c r="I1505" i="12" l="1"/>
  <c r="J1505" i="12" s="1"/>
  <c r="H1506" i="12"/>
  <c r="I1506" i="12" l="1"/>
  <c r="J1506" i="12" s="1"/>
  <c r="H1507" i="12"/>
  <c r="I1507" i="12" l="1"/>
  <c r="J1507" i="12" s="1"/>
  <c r="H1508" i="12"/>
  <c r="T1506" i="12" l="1"/>
  <c r="T1505" i="12" s="1"/>
  <c r="T1504" i="12" s="1"/>
  <c r="T1503" i="12" s="1"/>
  <c r="T1502" i="12" s="1"/>
  <c r="T1501" i="12" s="1"/>
  <c r="T1500" i="12" s="1"/>
  <c r="T1499" i="12" s="1"/>
  <c r="T1498" i="12" s="1"/>
  <c r="T1497" i="12" s="1"/>
  <c r="I1508" i="12"/>
  <c r="J1508" i="12" s="1"/>
  <c r="H1509" i="12"/>
  <c r="I1509" i="12" l="1"/>
  <c r="J1509" i="12" s="1"/>
  <c r="H1510" i="12"/>
  <c r="I1510" i="12" l="1"/>
  <c r="J1510" i="12" s="1"/>
  <c r="H1511" i="12"/>
  <c r="I1511" i="12" l="1"/>
  <c r="J1511" i="12" s="1"/>
  <c r="H1512" i="12"/>
  <c r="I1512" i="12" l="1"/>
  <c r="J1512" i="12" s="1"/>
  <c r="H1513" i="12"/>
  <c r="I1513" i="12" l="1"/>
  <c r="J1513" i="12" s="1"/>
  <c r="H1514" i="12"/>
  <c r="I1514" i="12" l="1"/>
  <c r="J1514" i="12" s="1"/>
  <c r="H1515" i="12"/>
  <c r="I1515" i="12" l="1"/>
  <c r="J1515" i="12" s="1"/>
  <c r="H1516" i="12"/>
  <c r="I1516" i="12" l="1"/>
  <c r="J1516" i="12" s="1"/>
  <c r="H1517" i="12"/>
  <c r="I1517" i="12" l="1"/>
  <c r="J1517" i="12" s="1"/>
  <c r="H1518" i="12"/>
  <c r="I1518" i="12" l="1"/>
  <c r="J1518" i="12" s="1"/>
  <c r="H1519" i="12"/>
  <c r="I1519" i="12" l="1"/>
  <c r="J1519" i="12" s="1"/>
  <c r="H1520" i="12"/>
  <c r="I1520" i="12" l="1"/>
  <c r="J1520" i="12" s="1"/>
  <c r="H1521" i="12"/>
  <c r="I1521" i="12" l="1"/>
  <c r="J1521" i="12" s="1"/>
  <c r="H1522" i="12"/>
  <c r="I1522" i="12" l="1"/>
  <c r="J1522" i="12" s="1"/>
  <c r="H1523" i="12"/>
  <c r="I1523" i="12" l="1"/>
  <c r="J1523" i="12" s="1"/>
  <c r="H1524" i="12"/>
  <c r="T1522" i="12" l="1"/>
  <c r="T1521" i="12" s="1"/>
  <c r="T1520" i="12" s="1"/>
  <c r="T1519" i="12" s="1"/>
  <c r="T1518" i="12" s="1"/>
  <c r="T1517" i="12" s="1"/>
  <c r="T1516" i="12" s="1"/>
  <c r="T1515" i="12" s="1"/>
  <c r="T1514" i="12" s="1"/>
  <c r="T1513" i="12" s="1"/>
  <c r="T1512" i="12" s="1"/>
  <c r="T1511" i="12" s="1"/>
  <c r="T1510" i="12" s="1"/>
  <c r="T1509" i="12" s="1"/>
  <c r="T1508" i="12" s="1"/>
  <c r="I1524" i="12"/>
  <c r="J1524" i="12" s="1"/>
  <c r="H1525" i="12"/>
  <c r="I1525" i="12" l="1"/>
  <c r="J1525" i="12" s="1"/>
  <c r="H1526" i="12"/>
  <c r="I1526" i="12" l="1"/>
  <c r="J1526" i="12" s="1"/>
  <c r="H1527" i="12"/>
  <c r="I1527" i="12" l="1"/>
  <c r="J1527" i="12" s="1"/>
  <c r="H1528" i="12"/>
  <c r="I1528" i="12" l="1"/>
  <c r="J1528" i="12" s="1"/>
  <c r="H1529" i="12"/>
  <c r="I1529" i="12" l="1"/>
  <c r="J1529" i="12" s="1"/>
  <c r="H1530" i="12"/>
  <c r="I1530" i="12" l="1"/>
  <c r="J1530" i="12" s="1"/>
  <c r="H1531" i="12"/>
  <c r="I1531" i="12" l="1"/>
  <c r="J1531" i="12" s="1"/>
  <c r="H1532" i="12"/>
  <c r="I1532" i="12" l="1"/>
  <c r="J1532" i="12" s="1"/>
  <c r="H1533" i="12"/>
  <c r="I1533" i="12" l="1"/>
  <c r="J1533" i="12" s="1"/>
  <c r="H1534" i="12"/>
  <c r="I1534" i="12" l="1"/>
  <c r="J1534" i="12" s="1"/>
  <c r="H1535" i="12"/>
  <c r="I1535" i="12" l="1"/>
  <c r="J1535" i="12" s="1"/>
  <c r="H1536" i="12"/>
  <c r="I1536" i="12" l="1"/>
  <c r="J1536" i="12" s="1"/>
  <c r="H1537" i="12"/>
  <c r="I1537" i="12" l="1"/>
  <c r="J1537" i="12" s="1"/>
  <c r="H1538" i="12"/>
  <c r="I1538" i="12" l="1"/>
  <c r="J1538" i="12" s="1"/>
  <c r="H1539" i="12"/>
  <c r="I1539" i="12" l="1"/>
  <c r="J1539" i="12" s="1"/>
  <c r="H1540" i="12"/>
  <c r="I1540" i="12" l="1"/>
  <c r="J1540" i="12" s="1"/>
  <c r="H1541" i="12"/>
  <c r="I1541" i="12" l="1"/>
  <c r="J1541" i="12" s="1"/>
  <c r="H1542" i="12"/>
  <c r="I1542" i="12" l="1"/>
  <c r="J1542" i="12" s="1"/>
  <c r="T1541" i="12" s="1"/>
  <c r="T1540" i="12" s="1"/>
  <c r="T1539" i="12" s="1"/>
  <c r="T1538" i="12" s="1"/>
  <c r="T1537" i="12" s="1"/>
  <c r="T1536" i="12" s="1"/>
  <c r="T1535" i="12" s="1"/>
  <c r="T1534" i="12" s="1"/>
  <c r="T1533" i="12" s="1"/>
  <c r="T1532" i="12" s="1"/>
  <c r="T1531" i="12" s="1"/>
  <c r="T1530" i="12" s="1"/>
  <c r="T1529" i="12" s="1"/>
  <c r="T1528" i="12" s="1"/>
  <c r="T1527" i="12" s="1"/>
  <c r="T1526" i="12" s="1"/>
  <c r="T1525" i="12" s="1"/>
  <c r="T1524" i="12" s="1"/>
  <c r="T1523" i="12" s="1"/>
  <c r="H1543" i="12"/>
  <c r="I1543" i="12" l="1"/>
  <c r="J1543" i="12" s="1"/>
  <c r="H1544" i="12"/>
  <c r="I1544" i="12" l="1"/>
  <c r="J1544" i="12" s="1"/>
  <c r="H1545" i="12"/>
  <c r="I1545" i="12" l="1"/>
  <c r="J1545" i="12" s="1"/>
  <c r="H1546" i="12"/>
  <c r="I1546" i="12" l="1"/>
  <c r="J1546" i="12" s="1"/>
  <c r="H1547" i="12"/>
  <c r="I1547" i="12" l="1"/>
  <c r="J1547" i="12" s="1"/>
  <c r="H1548" i="12"/>
  <c r="I1548" i="12" l="1"/>
  <c r="J1548" i="12" s="1"/>
  <c r="T1547" i="12" s="1"/>
  <c r="T1546" i="12" s="1"/>
  <c r="T1545" i="12" s="1"/>
  <c r="T1544" i="12" s="1"/>
  <c r="T1543" i="12" s="1"/>
  <c r="T1542" i="12" s="1"/>
  <c r="H1549" i="12"/>
  <c r="I1549" i="12" l="1"/>
  <c r="J1549" i="12" s="1"/>
  <c r="H1550" i="12"/>
  <c r="I1550" i="12" l="1"/>
  <c r="J1550" i="12" s="1"/>
  <c r="H1551" i="12"/>
  <c r="I1551" i="12" l="1"/>
  <c r="J1551" i="12" s="1"/>
  <c r="H1552" i="12"/>
  <c r="I1552" i="12" l="1"/>
  <c r="J1552" i="12" s="1"/>
  <c r="H1553" i="12"/>
  <c r="I1553" i="12" l="1"/>
  <c r="J1553" i="12" s="1"/>
  <c r="H1554" i="12"/>
  <c r="I1554" i="12" l="1"/>
  <c r="J1554" i="12" s="1"/>
  <c r="H1555" i="12"/>
  <c r="I1555" i="12" l="1"/>
  <c r="J1555" i="12" s="1"/>
  <c r="H1556" i="12"/>
  <c r="I1556" i="12" l="1"/>
  <c r="J1556" i="12" s="1"/>
  <c r="H1557" i="12"/>
  <c r="I1557" i="12" l="1"/>
  <c r="J1557" i="12" s="1"/>
  <c r="H1558" i="12"/>
  <c r="I1558" i="12" l="1"/>
  <c r="J1558" i="12" s="1"/>
  <c r="H1559" i="12"/>
  <c r="I1559" i="12" l="1"/>
  <c r="J1559" i="12" s="1"/>
  <c r="H1560" i="12"/>
  <c r="I1560" i="12" l="1"/>
  <c r="J1560" i="12" s="1"/>
  <c r="H1561" i="12"/>
  <c r="I1561" i="12" l="1"/>
  <c r="J1561" i="12" s="1"/>
  <c r="H1562" i="12"/>
  <c r="I1562" i="12" l="1"/>
  <c r="J1562" i="12" s="1"/>
  <c r="H1563" i="12"/>
  <c r="I1563" i="12" l="1"/>
  <c r="J1563" i="12" s="1"/>
  <c r="H1564" i="12"/>
  <c r="I1564" i="12" l="1"/>
  <c r="J1564" i="12" s="1"/>
  <c r="H1565" i="12"/>
  <c r="I1565" i="12" l="1"/>
  <c r="J1565" i="12" s="1"/>
  <c r="H1566" i="12"/>
  <c r="I1566" i="12" l="1"/>
  <c r="J1566" i="12" s="1"/>
  <c r="H1567" i="12"/>
  <c r="I1567" i="12" l="1"/>
  <c r="J1567" i="12" s="1"/>
  <c r="H1568" i="12"/>
  <c r="I1568" i="12" l="1"/>
  <c r="J1568" i="12" s="1"/>
  <c r="H1569" i="12"/>
  <c r="I1569" i="12" l="1"/>
  <c r="J1569" i="12" s="1"/>
  <c r="H1570" i="12"/>
  <c r="I1570" i="12" l="1"/>
  <c r="J1570" i="12" s="1"/>
  <c r="H1571" i="12"/>
  <c r="I1571" i="12" l="1"/>
  <c r="J1571" i="12" s="1"/>
  <c r="H1572" i="12"/>
  <c r="I1572" i="12" l="1"/>
  <c r="J1572" i="12" s="1"/>
  <c r="H1573" i="12"/>
  <c r="I1573" i="12" l="1"/>
  <c r="J1573" i="12" s="1"/>
  <c r="H1574" i="12"/>
  <c r="I1574" i="12" l="1"/>
  <c r="J1574" i="12" s="1"/>
  <c r="H1575" i="12"/>
  <c r="I1575" i="12" l="1"/>
  <c r="J1575" i="12" s="1"/>
  <c r="H1576" i="12"/>
  <c r="I1576" i="12" l="1"/>
  <c r="J1576" i="12" s="1"/>
  <c r="T1575" i="12" s="1"/>
  <c r="T1574" i="12" s="1"/>
  <c r="T1573" i="12" s="1"/>
  <c r="T1572" i="12" s="1"/>
  <c r="T1571" i="12" s="1"/>
  <c r="T1570" i="12" s="1"/>
  <c r="T1569" i="12" s="1"/>
  <c r="T1568" i="12" s="1"/>
  <c r="T1567" i="12" s="1"/>
  <c r="T1566" i="12" s="1"/>
  <c r="T1565" i="12" s="1"/>
  <c r="T1564" i="12" s="1"/>
  <c r="T1563" i="12" s="1"/>
  <c r="T1562" i="12" s="1"/>
  <c r="T1561" i="12" s="1"/>
  <c r="T1560" i="12" s="1"/>
  <c r="T1559" i="12" s="1"/>
  <c r="T1558" i="12" s="1"/>
  <c r="T1557" i="12" s="1"/>
  <c r="T1556" i="12" s="1"/>
  <c r="T1555" i="12" s="1"/>
  <c r="T1554" i="12" s="1"/>
  <c r="T1553" i="12" s="1"/>
  <c r="T1552" i="12" s="1"/>
  <c r="T1551" i="12" s="1"/>
  <c r="T1550" i="12" s="1"/>
  <c r="T1549" i="12" s="1"/>
  <c r="T1548" i="12" s="1"/>
  <c r="H1577" i="12"/>
  <c r="I1577" i="12" l="1"/>
  <c r="J1577" i="12" s="1"/>
  <c r="H1578" i="12"/>
  <c r="I1578" i="12" l="1"/>
  <c r="J1578" i="12" s="1"/>
  <c r="H1579" i="12"/>
  <c r="I1579" i="12" l="1"/>
  <c r="J1579" i="12" s="1"/>
  <c r="H1580" i="12"/>
  <c r="I1580" i="12" l="1"/>
  <c r="J1580" i="12" s="1"/>
  <c r="H1581" i="12"/>
  <c r="I1581" i="12" l="1"/>
  <c r="J1581" i="12" s="1"/>
  <c r="H1582" i="12"/>
  <c r="I1582" i="12" l="1"/>
  <c r="J1582" i="12" s="1"/>
  <c r="T1581" i="12" s="1"/>
  <c r="T1580" i="12" s="1"/>
  <c r="T1579" i="12" s="1"/>
  <c r="T1578" i="12" s="1"/>
  <c r="T1577" i="12" s="1"/>
  <c r="H1583" i="12"/>
  <c r="I1583" i="12" l="1"/>
  <c r="J1583" i="12" s="1"/>
  <c r="H1584" i="12"/>
  <c r="I1584" i="12" l="1"/>
  <c r="J1584" i="12" s="1"/>
  <c r="T1583" i="12" s="1"/>
  <c r="T1582" i="12" s="1"/>
  <c r="H1585" i="12"/>
  <c r="I1585" i="12" l="1"/>
  <c r="J1585" i="12" s="1"/>
  <c r="H1586" i="12"/>
  <c r="I1586" i="12" l="1"/>
  <c r="J1586" i="12" s="1"/>
  <c r="H1587" i="12"/>
  <c r="I1587" i="12" l="1"/>
  <c r="J1587" i="12" s="1"/>
  <c r="H1588" i="12"/>
  <c r="I1588" i="12" l="1"/>
  <c r="J1588" i="12" s="1"/>
  <c r="H1589" i="12"/>
  <c r="I1589" i="12" l="1"/>
  <c r="J1589" i="12" s="1"/>
  <c r="H1590" i="12"/>
  <c r="I1590" i="12" l="1"/>
  <c r="J1590" i="12" s="1"/>
  <c r="T1589" i="12" s="1"/>
  <c r="T1588" i="12" s="1"/>
  <c r="T1587" i="12" s="1"/>
  <c r="T1586" i="12" s="1"/>
  <c r="T1585" i="12" s="1"/>
  <c r="T1584" i="12" s="1"/>
  <c r="H1591" i="12"/>
  <c r="I1591" i="12" l="1"/>
  <c r="J1591" i="12" s="1"/>
  <c r="H1592" i="12"/>
  <c r="I1592" i="12" l="1"/>
  <c r="J1592" i="12" s="1"/>
  <c r="H1593" i="12"/>
  <c r="I1593" i="12" l="1"/>
  <c r="J1593" i="12" s="1"/>
  <c r="H1594" i="12"/>
  <c r="I1594" i="12" l="1"/>
  <c r="J1594" i="12" s="1"/>
  <c r="H1595" i="12"/>
  <c r="I1595" i="12" l="1"/>
  <c r="J1595" i="12" s="1"/>
  <c r="H1596" i="12"/>
  <c r="I1596" i="12" l="1"/>
  <c r="J1596" i="12" s="1"/>
  <c r="H1597" i="12"/>
  <c r="I1597" i="12" l="1"/>
  <c r="J1597" i="12" s="1"/>
  <c r="H1598" i="12"/>
  <c r="I1598" i="12" l="1"/>
  <c r="J1598" i="12" s="1"/>
  <c r="H1599" i="12"/>
  <c r="I1599" i="12" l="1"/>
  <c r="J1599" i="12" s="1"/>
  <c r="H1600" i="12"/>
  <c r="I1600" i="12" l="1"/>
  <c r="J1600" i="12" s="1"/>
  <c r="T1599" i="12" s="1"/>
  <c r="T1598" i="12" s="1"/>
  <c r="T1597" i="12" s="1"/>
  <c r="T1596" i="12" s="1"/>
  <c r="T1595" i="12" s="1"/>
  <c r="T1594" i="12" s="1"/>
  <c r="T1593" i="12" s="1"/>
  <c r="T1592" i="12" s="1"/>
  <c r="T1591" i="12" s="1"/>
  <c r="T1590" i="12" s="1"/>
  <c r="H1601" i="12"/>
  <c r="I1601" i="12" l="1"/>
  <c r="J1601" i="12" s="1"/>
  <c r="H1602" i="12"/>
  <c r="I1602" i="12" l="1"/>
  <c r="J1602" i="12" s="1"/>
  <c r="H1603" i="12"/>
  <c r="I1603" i="12" l="1"/>
  <c r="J1603" i="12" s="1"/>
  <c r="H1604" i="12"/>
  <c r="I1604" i="12" l="1"/>
  <c r="J1604" i="12" s="1"/>
  <c r="H1605" i="12"/>
  <c r="I1605" i="12" l="1"/>
  <c r="J1605" i="12" s="1"/>
  <c r="H1606" i="12"/>
  <c r="I1606" i="12" l="1"/>
  <c r="J1606" i="12" s="1"/>
  <c r="H1607" i="12"/>
  <c r="I1607" i="12" l="1"/>
  <c r="J1607" i="12" s="1"/>
  <c r="H1608" i="12"/>
  <c r="I1608" i="12" l="1"/>
  <c r="J1608" i="12" s="1"/>
  <c r="H1609" i="12"/>
  <c r="I1609" i="12" l="1"/>
  <c r="J1609" i="12" s="1"/>
  <c r="H1610" i="12"/>
  <c r="I1610" i="12" l="1"/>
  <c r="J1610" i="12" s="1"/>
  <c r="H1611" i="12"/>
  <c r="I1611" i="12" l="1"/>
  <c r="J1611" i="12" s="1"/>
  <c r="H1612" i="12"/>
  <c r="I1612" i="12" l="1"/>
  <c r="J1612" i="12" s="1"/>
  <c r="T1611" i="12" s="1"/>
  <c r="T1610" i="12" s="1"/>
  <c r="T1609" i="12" s="1"/>
  <c r="T1608" i="12" s="1"/>
  <c r="T1607" i="12" s="1"/>
  <c r="T1606" i="12" s="1"/>
  <c r="T1605" i="12" s="1"/>
  <c r="T1604" i="12" s="1"/>
  <c r="T1603" i="12" s="1"/>
  <c r="T1602" i="12" s="1"/>
  <c r="T1601" i="12" s="1"/>
  <c r="T1600" i="12" s="1"/>
  <c r="H1613" i="12"/>
  <c r="I1613" i="12" l="1"/>
  <c r="J1613" i="12" s="1"/>
  <c r="H1614" i="12"/>
  <c r="I1614" i="12" l="1"/>
  <c r="J1614" i="12" s="1"/>
  <c r="T1613" i="12" s="1"/>
  <c r="T1612" i="12" s="1"/>
  <c r="H1615" i="12"/>
  <c r="I1615" i="12" l="1"/>
  <c r="J1615" i="12" s="1"/>
  <c r="H1616" i="12"/>
  <c r="I1616" i="12" l="1"/>
  <c r="J1616" i="12" s="1"/>
  <c r="H1617" i="12"/>
  <c r="I1617" i="12" l="1"/>
  <c r="J1617" i="12" s="1"/>
  <c r="H1618" i="12"/>
  <c r="T1616" i="12" l="1"/>
  <c r="T1615" i="12" s="1"/>
  <c r="T1614" i="12" s="1"/>
  <c r="I1618" i="12"/>
  <c r="J1618" i="12" s="1"/>
  <c r="H1619" i="12"/>
  <c r="I1619" i="12" l="1"/>
  <c r="J1619" i="12" s="1"/>
  <c r="H1620" i="12"/>
  <c r="I1620" i="12" l="1"/>
  <c r="J1620" i="12" s="1"/>
  <c r="H1621" i="12"/>
  <c r="I1621" i="12" l="1"/>
  <c r="J1621" i="12" s="1"/>
  <c r="H1622" i="12"/>
  <c r="I1622" i="12" l="1"/>
  <c r="J1622" i="12" s="1"/>
  <c r="H1623" i="12"/>
  <c r="I1623" i="12" l="1"/>
  <c r="J1623" i="12" s="1"/>
  <c r="H1624" i="12"/>
  <c r="T1622" i="12" l="1"/>
  <c r="T1621" i="12" s="1"/>
  <c r="T1620" i="12" s="1"/>
  <c r="T1619" i="12" s="1"/>
  <c r="T1618" i="12" s="1"/>
  <c r="I1624" i="12"/>
  <c r="J1624" i="12" s="1"/>
  <c r="H1625" i="12"/>
  <c r="I1625" i="12" l="1"/>
  <c r="J1625" i="12" s="1"/>
  <c r="H1626" i="12"/>
  <c r="I1626" i="12" l="1"/>
  <c r="J1626" i="12" s="1"/>
  <c r="H1627" i="12"/>
  <c r="I1627" i="12" l="1"/>
  <c r="J1627" i="12" s="1"/>
  <c r="H1628" i="12"/>
  <c r="I1628" i="12" l="1"/>
  <c r="J1628" i="12" s="1"/>
  <c r="T1627" i="12" s="1"/>
  <c r="T1626" i="12" s="1"/>
  <c r="T1625" i="12" s="1"/>
  <c r="T1624" i="12" s="1"/>
  <c r="H1629" i="12"/>
  <c r="I1629" i="12" l="1"/>
  <c r="J1629" i="12" s="1"/>
  <c r="H1630" i="12"/>
  <c r="I1630" i="12" l="1"/>
  <c r="J1630" i="12" s="1"/>
  <c r="H1631" i="12"/>
  <c r="I1631" i="12" l="1"/>
  <c r="J1631" i="12" s="1"/>
  <c r="H1632" i="12"/>
  <c r="I1632" i="12" l="1"/>
  <c r="J1632" i="12" s="1"/>
  <c r="H1633" i="12"/>
  <c r="I1633" i="12" l="1"/>
  <c r="J1633" i="12" s="1"/>
  <c r="H1634" i="12"/>
  <c r="I1634" i="12" l="1"/>
  <c r="J1634" i="12" s="1"/>
  <c r="H1635" i="12"/>
  <c r="I1635" i="12" l="1"/>
  <c r="J1635" i="12" s="1"/>
  <c r="H1636" i="12"/>
  <c r="I1636" i="12" l="1"/>
  <c r="J1636" i="12" s="1"/>
  <c r="H1637" i="12"/>
  <c r="I1637" i="12" l="1"/>
  <c r="J1637" i="12" s="1"/>
  <c r="H1638" i="12"/>
  <c r="I1638" i="12" l="1"/>
  <c r="J1638" i="12" s="1"/>
  <c r="H1639" i="12"/>
  <c r="I1639" i="12" l="1"/>
  <c r="J1639" i="12" s="1"/>
  <c r="H1640" i="12"/>
  <c r="I1640" i="12" l="1"/>
  <c r="J1640" i="12" s="1"/>
  <c r="H1641" i="12"/>
  <c r="I1641" i="12" l="1"/>
  <c r="J1641" i="12" s="1"/>
  <c r="H1642" i="12"/>
  <c r="I1642" i="12" l="1"/>
  <c r="J1642" i="12" s="1"/>
  <c r="H1643" i="12"/>
  <c r="I1643" i="12" l="1"/>
  <c r="J1643" i="12" s="1"/>
  <c r="H1644" i="12"/>
  <c r="T1642" i="12" l="1"/>
  <c r="T1641" i="12" s="1"/>
  <c r="T1640" i="12" s="1"/>
  <c r="T1639" i="12" s="1"/>
  <c r="T1638" i="12" s="1"/>
  <c r="T1637" i="12" s="1"/>
  <c r="T1636" i="12" s="1"/>
  <c r="T1635" i="12" s="1"/>
  <c r="T1634" i="12" s="1"/>
  <c r="T1633" i="12" s="1"/>
  <c r="T1632" i="12" s="1"/>
  <c r="T1631" i="12" s="1"/>
  <c r="T1630" i="12" s="1"/>
  <c r="T1629" i="12" s="1"/>
  <c r="T1628" i="12" s="1"/>
  <c r="I1644" i="12"/>
  <c r="J1644" i="12" s="1"/>
  <c r="H1645" i="12"/>
  <c r="I1645" i="12" l="1"/>
  <c r="J1645" i="12" s="1"/>
  <c r="H1646" i="12"/>
  <c r="I1646" i="12" l="1"/>
  <c r="J1646" i="12" s="1"/>
  <c r="H1647" i="12"/>
  <c r="I1647" i="12" l="1"/>
  <c r="J1647" i="12" s="1"/>
  <c r="H1648" i="12"/>
  <c r="I1648" i="12" l="1"/>
  <c r="J1648" i="12" s="1"/>
  <c r="H1649" i="12"/>
  <c r="I1649" i="12" l="1"/>
  <c r="J1649" i="12" s="1"/>
  <c r="H1650" i="12"/>
  <c r="I1650" i="12" l="1"/>
  <c r="J1650" i="12" s="1"/>
  <c r="H1651" i="12"/>
  <c r="I1651" i="12" l="1"/>
  <c r="J1651" i="12" s="1"/>
  <c r="H1652" i="12"/>
  <c r="I1652" i="12" l="1"/>
  <c r="J1652" i="12" s="1"/>
  <c r="H1653" i="12"/>
  <c r="I1653" i="12" l="1"/>
  <c r="J1653" i="12" s="1"/>
  <c r="H1654" i="12"/>
  <c r="I1654" i="12" l="1"/>
  <c r="J1654" i="12" s="1"/>
  <c r="H1655" i="12"/>
  <c r="I1655" i="12" l="1"/>
  <c r="J1655" i="12" s="1"/>
  <c r="H1656" i="12"/>
  <c r="I1656" i="12" l="1"/>
  <c r="J1656" i="12" s="1"/>
  <c r="T1655" i="12" s="1"/>
  <c r="T1654" i="12" s="1"/>
  <c r="T1653" i="12" s="1"/>
  <c r="T1652" i="12" s="1"/>
  <c r="T1651" i="12" s="1"/>
  <c r="T1650" i="12" s="1"/>
  <c r="T1649" i="12" s="1"/>
  <c r="T1648" i="12" s="1"/>
  <c r="T1647" i="12" s="1"/>
  <c r="T1646" i="12" s="1"/>
  <c r="T1645" i="12" s="1"/>
  <c r="T1644" i="12" s="1"/>
  <c r="T1643" i="12" s="1"/>
  <c r="H1657" i="12"/>
  <c r="I1657" i="12" l="1"/>
  <c r="J1657" i="12" s="1"/>
  <c r="H1658" i="12"/>
  <c r="I1658" i="12" l="1"/>
  <c r="J1658" i="12" s="1"/>
  <c r="H1659" i="12"/>
  <c r="I1659" i="12" l="1"/>
  <c r="J1659" i="12" s="1"/>
  <c r="H1660" i="12"/>
  <c r="I1660" i="12" l="1"/>
  <c r="J1660" i="12" s="1"/>
  <c r="H1661" i="12"/>
  <c r="I1661" i="12" l="1"/>
  <c r="J1661" i="12" s="1"/>
  <c r="H1662" i="12"/>
  <c r="I1662" i="12" l="1"/>
  <c r="J1662" i="12" s="1"/>
  <c r="H1663" i="12"/>
  <c r="I1663" i="12" l="1"/>
  <c r="J1663" i="12" s="1"/>
  <c r="H1664" i="12"/>
  <c r="I1664" i="12" l="1"/>
  <c r="J1664" i="12" s="1"/>
  <c r="H1665" i="12"/>
  <c r="I1665" i="12" l="1"/>
  <c r="J1665" i="12" s="1"/>
  <c r="H1666" i="12"/>
  <c r="I1666" i="12" l="1"/>
  <c r="J1666" i="12" s="1"/>
  <c r="H1667" i="12"/>
  <c r="I1667" i="12" l="1"/>
  <c r="J1667" i="12" s="1"/>
  <c r="H1668" i="12"/>
  <c r="I1668" i="12" l="1"/>
  <c r="J1668" i="12" s="1"/>
  <c r="H1669" i="12"/>
  <c r="I1669" i="12" l="1"/>
  <c r="J1669" i="12" s="1"/>
  <c r="H1670" i="12"/>
  <c r="T1668" i="12" l="1"/>
  <c r="T1667" i="12" s="1"/>
  <c r="T1666" i="12" s="1"/>
  <c r="T1665" i="12" s="1"/>
  <c r="T1664" i="12" s="1"/>
  <c r="T1663" i="12" s="1"/>
  <c r="T1662" i="12" s="1"/>
  <c r="T1661" i="12" s="1"/>
  <c r="T1660" i="12" s="1"/>
  <c r="T1659" i="12" s="1"/>
  <c r="T1658" i="12" s="1"/>
  <c r="T1657" i="12" s="1"/>
  <c r="T1656" i="12" s="1"/>
  <c r="I1670" i="12"/>
  <c r="J1670" i="12" s="1"/>
  <c r="H1671" i="12"/>
  <c r="I1671" i="12" l="1"/>
  <c r="J1671" i="12" s="1"/>
  <c r="H1672" i="12"/>
  <c r="I1672" i="12" l="1"/>
  <c r="J1672" i="12" s="1"/>
  <c r="T1671" i="12" s="1"/>
  <c r="T1670" i="12" s="1"/>
  <c r="T1669" i="12" s="1"/>
  <c r="H1673" i="12"/>
  <c r="I1673" i="12" l="1"/>
  <c r="J1673" i="12" s="1"/>
  <c r="H1674" i="12"/>
  <c r="I1674" i="12" l="1"/>
  <c r="J1674" i="12" s="1"/>
  <c r="H1675" i="12"/>
  <c r="I1675" i="12" l="1"/>
  <c r="J1675" i="12" s="1"/>
  <c r="H1676" i="12"/>
  <c r="I1676" i="12" l="1"/>
  <c r="J1676" i="12" s="1"/>
  <c r="H1677" i="12"/>
  <c r="I1677" i="12" l="1"/>
  <c r="J1677" i="12" s="1"/>
  <c r="H1678" i="12"/>
  <c r="T1676" i="12" l="1"/>
  <c r="T1675" i="12" s="1"/>
  <c r="T1674" i="12" s="1"/>
  <c r="T1673" i="12" s="1"/>
  <c r="I1678" i="12"/>
  <c r="J1678" i="12" s="1"/>
  <c r="H1679" i="12"/>
  <c r="I1679" i="12" l="1"/>
  <c r="J1679" i="12" s="1"/>
  <c r="H1680" i="12"/>
  <c r="I1680" i="12" l="1"/>
  <c r="J1680" i="12" s="1"/>
  <c r="H1681" i="12"/>
  <c r="I1681" i="12" l="1"/>
  <c r="J1681" i="12" s="1"/>
  <c r="H1682" i="12"/>
  <c r="I1682" i="12" l="1"/>
  <c r="J1682" i="12" s="1"/>
  <c r="H1683" i="12"/>
  <c r="I1683" i="12" l="1"/>
  <c r="J1683" i="12" s="1"/>
  <c r="H1684" i="12"/>
  <c r="I1684" i="12" l="1"/>
  <c r="J1684" i="12" s="1"/>
  <c r="H1685" i="12"/>
  <c r="I1685" i="12" l="1"/>
  <c r="J1685" i="12" s="1"/>
  <c r="H1686" i="12"/>
  <c r="I1686" i="12" l="1"/>
  <c r="J1686" i="12" s="1"/>
  <c r="H1687" i="12"/>
  <c r="I1687" i="12" l="1"/>
  <c r="J1687" i="12" s="1"/>
  <c r="H1688" i="12"/>
  <c r="I1688" i="12" l="1"/>
  <c r="J1688" i="12" s="1"/>
  <c r="H1689" i="12"/>
  <c r="I1689" i="12" l="1"/>
  <c r="J1689" i="12" s="1"/>
  <c r="H1690" i="12"/>
  <c r="I1690" i="12" l="1"/>
  <c r="J1690" i="12" s="1"/>
  <c r="H1691" i="12"/>
  <c r="I1691" i="12" l="1"/>
  <c r="J1691" i="12" s="1"/>
  <c r="H1692" i="12"/>
  <c r="I1692" i="12" l="1"/>
  <c r="J1692" i="12" s="1"/>
  <c r="H1693" i="12"/>
  <c r="I1693" i="12" l="1"/>
  <c r="J1693" i="12" s="1"/>
  <c r="H1694" i="12"/>
  <c r="T1692" i="12" l="1"/>
  <c r="T1691" i="12" s="1"/>
  <c r="T1690" i="12" s="1"/>
  <c r="T1689" i="12" s="1"/>
  <c r="T1688" i="12" s="1"/>
  <c r="T1687" i="12" s="1"/>
  <c r="T1686" i="12" s="1"/>
  <c r="T1685" i="12" s="1"/>
  <c r="T1684" i="12" s="1"/>
  <c r="T1683" i="12" s="1"/>
  <c r="T1682" i="12" s="1"/>
  <c r="T1681" i="12" s="1"/>
  <c r="T1680" i="12" s="1"/>
  <c r="T1679" i="12" s="1"/>
  <c r="T1678" i="12" s="1"/>
  <c r="T1677" i="12" s="1"/>
  <c r="I1694" i="12"/>
  <c r="J1694" i="12" s="1"/>
  <c r="H1695" i="12"/>
  <c r="I1695" i="12" l="1"/>
  <c r="J1695" i="12" s="1"/>
  <c r="H1696" i="12"/>
  <c r="P2" i="12" l="1" a="1"/>
  <c r="I1696" i="12"/>
  <c r="J1696" i="12" s="1"/>
  <c r="H1697" i="12"/>
  <c r="U2" i="12" s="1" a="1"/>
  <c r="P2181" i="12" l="1"/>
  <c r="P2117" i="12"/>
  <c r="P2053" i="12"/>
  <c r="P1989" i="12"/>
  <c r="P1925" i="12"/>
  <c r="P2148" i="12"/>
  <c r="P2084" i="12"/>
  <c r="P2020" i="12"/>
  <c r="P1956" i="12"/>
  <c r="P2179" i="12"/>
  <c r="P2115" i="12"/>
  <c r="P2051" i="12"/>
  <c r="P1987" i="12"/>
  <c r="P1923" i="12"/>
  <c r="P2152" i="12"/>
  <c r="P2088" i="12"/>
  <c r="P2151" i="12"/>
  <c r="P2087" i="12"/>
  <c r="P2178" i="12"/>
  <c r="P2025" i="12"/>
  <c r="P1922" i="12"/>
  <c r="P1855" i="12"/>
  <c r="P1791" i="12"/>
  <c r="P1727" i="12"/>
  <c r="P1663" i="12"/>
  <c r="P1599" i="12"/>
  <c r="P1535" i="12"/>
  <c r="P1471" i="12"/>
  <c r="P1407" i="12"/>
  <c r="P1343" i="12"/>
  <c r="P1279" i="12"/>
  <c r="P1215" i="12"/>
  <c r="P1151" i="12"/>
  <c r="P1087" i="12"/>
  <c r="P1023" i="12"/>
  <c r="P959" i="12"/>
  <c r="P895" i="12"/>
  <c r="P831" i="12"/>
  <c r="P767" i="12"/>
  <c r="P703" i="12"/>
  <c r="P639" i="12"/>
  <c r="P575" i="12"/>
  <c r="P511" i="12"/>
  <c r="P447" i="12"/>
  <c r="P383" i="12"/>
  <c r="P319" i="12"/>
  <c r="P255" i="12"/>
  <c r="P191" i="12"/>
  <c r="P2173" i="12"/>
  <c r="P2109" i="12"/>
  <c r="P2045" i="12"/>
  <c r="P1981" i="12"/>
  <c r="P1917" i="12"/>
  <c r="P2140" i="12"/>
  <c r="P2076" i="12"/>
  <c r="P2012" i="12"/>
  <c r="P1948" i="12"/>
  <c r="P2171" i="12"/>
  <c r="P2107" i="12"/>
  <c r="P2043" i="12"/>
  <c r="P1979" i="12"/>
  <c r="P1915" i="12"/>
  <c r="P2144" i="12"/>
  <c r="P2080" i="12"/>
  <c r="P2143" i="12"/>
  <c r="P2079" i="12"/>
  <c r="P2158" i="12"/>
  <c r="P2014" i="12"/>
  <c r="P1911" i="12"/>
  <c r="P1847" i="12"/>
  <c r="P1783" i="12"/>
  <c r="P1719" i="12"/>
  <c r="P1655" i="12"/>
  <c r="P1591" i="12"/>
  <c r="P1527" i="12"/>
  <c r="P1463" i="12"/>
  <c r="P1399" i="12"/>
  <c r="P1335" i="12"/>
  <c r="P1271" i="12"/>
  <c r="P1207" i="12"/>
  <c r="P1143" i="12"/>
  <c r="P1079" i="12"/>
  <c r="P1015" i="12"/>
  <c r="P951" i="12"/>
  <c r="P887" i="12"/>
  <c r="P823" i="12"/>
  <c r="P759" i="12"/>
  <c r="P695" i="12"/>
  <c r="P631" i="12"/>
  <c r="P567" i="12"/>
  <c r="P503" i="12"/>
  <c r="P439" i="12"/>
  <c r="P375" i="12"/>
  <c r="P311" i="12"/>
  <c r="P247" i="12"/>
  <c r="P2165" i="12"/>
  <c r="P2101" i="12"/>
  <c r="P2037" i="12"/>
  <c r="P1973" i="12"/>
  <c r="P2196" i="12"/>
  <c r="P2132" i="12"/>
  <c r="P2068" i="12"/>
  <c r="P2004" i="12"/>
  <c r="P1940" i="12"/>
  <c r="P2163" i="12"/>
  <c r="P2099" i="12"/>
  <c r="P2035" i="12"/>
  <c r="P1971" i="12"/>
  <c r="P2200" i="12"/>
  <c r="P2136" i="12"/>
  <c r="P2199" i="12"/>
  <c r="P2135" i="12"/>
  <c r="P2071" i="12"/>
  <c r="P2137" i="12"/>
  <c r="P2000" i="12"/>
  <c r="P1903" i="12"/>
  <c r="P1839" i="12"/>
  <c r="P1775" i="12"/>
  <c r="P1711" i="12"/>
  <c r="P1647" i="12"/>
  <c r="P1583" i="12"/>
  <c r="P1519" i="12"/>
  <c r="P1455" i="12"/>
  <c r="P1391" i="12"/>
  <c r="P1327" i="12"/>
  <c r="P1263" i="12"/>
  <c r="P1199" i="12"/>
  <c r="P1135" i="12"/>
  <c r="P1071" i="12"/>
  <c r="P1007" i="12"/>
  <c r="P943" i="12"/>
  <c r="P879" i="12"/>
  <c r="P815" i="12"/>
  <c r="P751" i="12"/>
  <c r="P687" i="12"/>
  <c r="P623" i="12"/>
  <c r="P559" i="12"/>
  <c r="P495" i="12"/>
  <c r="P431" i="12"/>
  <c r="P367" i="12"/>
  <c r="P303" i="12"/>
  <c r="P239" i="12"/>
  <c r="P2149" i="12"/>
  <c r="P2085" i="12"/>
  <c r="P2021" i="12"/>
  <c r="P1957" i="12"/>
  <c r="P2180" i="12"/>
  <c r="P2116" i="12"/>
  <c r="P2052" i="12"/>
  <c r="P1988" i="12"/>
  <c r="P1924" i="12"/>
  <c r="P2147" i="12"/>
  <c r="P2083" i="12"/>
  <c r="P2019" i="12"/>
  <c r="P1955" i="12"/>
  <c r="P2184" i="12"/>
  <c r="P2120" i="12"/>
  <c r="P2183" i="12"/>
  <c r="P2119" i="12"/>
  <c r="P2055" i="12"/>
  <c r="P2094" i="12"/>
  <c r="P1975" i="12"/>
  <c r="P1887" i="12"/>
  <c r="P1823" i="12"/>
  <c r="P1759" i="12"/>
  <c r="P1695" i="12"/>
  <c r="P1631" i="12"/>
  <c r="P1567" i="12"/>
  <c r="P1503" i="12"/>
  <c r="P1439" i="12"/>
  <c r="P1375" i="12"/>
  <c r="P1311" i="12"/>
  <c r="P1247" i="12"/>
  <c r="P1183" i="12"/>
  <c r="P1119" i="12"/>
  <c r="P1055" i="12"/>
  <c r="P991" i="12"/>
  <c r="P927" i="12"/>
  <c r="P863" i="12"/>
  <c r="P799" i="12"/>
  <c r="P735" i="12"/>
  <c r="P671" i="12"/>
  <c r="P607" i="12"/>
  <c r="P543" i="12"/>
  <c r="P479" i="12"/>
  <c r="P415" i="12"/>
  <c r="P351" i="12"/>
  <c r="P287" i="12"/>
  <c r="P223" i="12"/>
  <c r="P2141" i="12"/>
  <c r="P2077" i="12"/>
  <c r="P2013" i="12"/>
  <c r="P1949" i="12"/>
  <c r="P2172" i="12"/>
  <c r="P2108" i="12"/>
  <c r="P2044" i="12"/>
  <c r="P1980" i="12"/>
  <c r="P1916" i="12"/>
  <c r="P2139" i="12"/>
  <c r="P2075" i="12"/>
  <c r="P2011" i="12"/>
  <c r="P1947" i="12"/>
  <c r="P2176" i="12"/>
  <c r="P2112" i="12"/>
  <c r="P2175" i="12"/>
  <c r="P2111" i="12"/>
  <c r="P2047" i="12"/>
  <c r="P2073" i="12"/>
  <c r="P1961" i="12"/>
  <c r="P1879" i="12"/>
  <c r="P1815" i="12"/>
  <c r="P1751" i="12"/>
  <c r="P1687" i="12"/>
  <c r="P1623" i="12"/>
  <c r="P1559" i="12"/>
  <c r="P1495" i="12"/>
  <c r="P1431" i="12"/>
  <c r="P1367" i="12"/>
  <c r="P1303" i="12"/>
  <c r="P1239" i="12"/>
  <c r="P1175" i="12"/>
  <c r="P1111" i="12"/>
  <c r="P1047" i="12"/>
  <c r="P983" i="12"/>
  <c r="P919" i="12"/>
  <c r="P855" i="12"/>
  <c r="P791" i="12"/>
  <c r="P727" i="12"/>
  <c r="P663" i="12"/>
  <c r="P599" i="12"/>
  <c r="P535" i="12"/>
  <c r="P471" i="12"/>
  <c r="P407" i="12"/>
  <c r="P343" i="12"/>
  <c r="P279" i="12"/>
  <c r="P215" i="12"/>
  <c r="P2197" i="12"/>
  <c r="P2133" i="12"/>
  <c r="P2069" i="12"/>
  <c r="P2005" i="12"/>
  <c r="P1941" i="12"/>
  <c r="P2164" i="12"/>
  <c r="P2100" i="12"/>
  <c r="P2036" i="12"/>
  <c r="P1972" i="12"/>
  <c r="P2195" i="12"/>
  <c r="P2131" i="12"/>
  <c r="P2067" i="12"/>
  <c r="P2003" i="12"/>
  <c r="P1939" i="12"/>
  <c r="P2168" i="12"/>
  <c r="P2104" i="12"/>
  <c r="P2167" i="12"/>
  <c r="P2103" i="12"/>
  <c r="P2039" i="12"/>
  <c r="P2057" i="12"/>
  <c r="P1950" i="12"/>
  <c r="P1871" i="12"/>
  <c r="P1807" i="12"/>
  <c r="P1743" i="12"/>
  <c r="P1679" i="12"/>
  <c r="P1615" i="12"/>
  <c r="P1551" i="12"/>
  <c r="P1487" i="12"/>
  <c r="P1423" i="12"/>
  <c r="P1359" i="12"/>
  <c r="P1295" i="12"/>
  <c r="P1231" i="12"/>
  <c r="P1167" i="12"/>
  <c r="P1103" i="12"/>
  <c r="P1039" i="12"/>
  <c r="P975" i="12"/>
  <c r="P911" i="12"/>
  <c r="P847" i="12"/>
  <c r="P783" i="12"/>
  <c r="P719" i="12"/>
  <c r="P655" i="12"/>
  <c r="P591" i="12"/>
  <c r="P527" i="12"/>
  <c r="P463" i="12"/>
  <c r="P399" i="12"/>
  <c r="P335" i="12"/>
  <c r="P271" i="12"/>
  <c r="P207" i="12"/>
  <c r="P2029" i="12"/>
  <c r="P2060" i="12"/>
  <c r="P2091" i="12"/>
  <c r="P2128" i="12"/>
  <c r="P2114" i="12"/>
  <c r="P1767" i="12"/>
  <c r="P1511" i="12"/>
  <c r="P1255" i="12"/>
  <c r="P999" i="12"/>
  <c r="P743" i="12"/>
  <c r="P487" i="12"/>
  <c r="P231" i="12"/>
  <c r="P135" i="12"/>
  <c r="P71" i="12"/>
  <c r="P7" i="12"/>
  <c r="P2056" i="12"/>
  <c r="P1946" i="12"/>
  <c r="P1870" i="12"/>
  <c r="P1806" i="12"/>
  <c r="P1742" i="12"/>
  <c r="P1678" i="12"/>
  <c r="P1614" i="12"/>
  <c r="P1550" i="12"/>
  <c r="P1486" i="12"/>
  <c r="P1422" i="12"/>
  <c r="P1358" i="12"/>
  <c r="P1294" i="12"/>
  <c r="P1230" i="12"/>
  <c r="P1166" i="12"/>
  <c r="P1102" i="12"/>
  <c r="P1038" i="12"/>
  <c r="P974" i="12"/>
  <c r="P910" i="12"/>
  <c r="P846" i="12"/>
  <c r="P782" i="12"/>
  <c r="P718" i="12"/>
  <c r="P654" i="12"/>
  <c r="P590" i="12"/>
  <c r="P526" i="12"/>
  <c r="P462" i="12"/>
  <c r="P398" i="12"/>
  <c r="P334" i="12"/>
  <c r="P270" i="12"/>
  <c r="P206" i="12"/>
  <c r="P142" i="12"/>
  <c r="P78" i="12"/>
  <c r="P14" i="12"/>
  <c r="P2070" i="12"/>
  <c r="P1959" i="12"/>
  <c r="P1877" i="12"/>
  <c r="P1813" i="12"/>
  <c r="P1749" i="12"/>
  <c r="P1685" i="12"/>
  <c r="P1621" i="12"/>
  <c r="P1557" i="12"/>
  <c r="P1493" i="12"/>
  <c r="P1429" i="12"/>
  <c r="P1365" i="12"/>
  <c r="P1301" i="12"/>
  <c r="P1237" i="12"/>
  <c r="P1173" i="12"/>
  <c r="P1109" i="12"/>
  <c r="P1045" i="12"/>
  <c r="P981" i="12"/>
  <c r="P917" i="12"/>
  <c r="P853" i="12"/>
  <c r="P789" i="12"/>
  <c r="P725" i="12"/>
  <c r="P661" i="12"/>
  <c r="P597" i="12"/>
  <c r="P533" i="12"/>
  <c r="P469" i="12"/>
  <c r="P405" i="12"/>
  <c r="P341" i="12"/>
  <c r="P277" i="12"/>
  <c r="P213" i="12"/>
  <c r="P1997" i="12"/>
  <c r="P2028" i="12"/>
  <c r="P2059" i="12"/>
  <c r="P2096" i="12"/>
  <c r="P2041" i="12"/>
  <c r="P1735" i="12"/>
  <c r="P1479" i="12"/>
  <c r="P1223" i="12"/>
  <c r="P967" i="12"/>
  <c r="P711" i="12"/>
  <c r="P455" i="12"/>
  <c r="P199" i="12"/>
  <c r="P127" i="12"/>
  <c r="P63" i="12"/>
  <c r="P2198" i="12"/>
  <c r="P2040" i="12"/>
  <c r="P1935" i="12"/>
  <c r="P1862" i="12"/>
  <c r="P1798" i="12"/>
  <c r="P1734" i="12"/>
  <c r="P1670" i="12"/>
  <c r="P1606" i="12"/>
  <c r="P1542" i="12"/>
  <c r="P1478" i="12"/>
  <c r="P1414" i="12"/>
  <c r="P1350" i="12"/>
  <c r="P1286" i="12"/>
  <c r="P1222" i="12"/>
  <c r="P1158" i="12"/>
  <c r="P1094" i="12"/>
  <c r="P1030" i="12"/>
  <c r="P966" i="12"/>
  <c r="P902" i="12"/>
  <c r="P838" i="12"/>
  <c r="P774" i="12"/>
  <c r="P710" i="12"/>
  <c r="P646" i="12"/>
  <c r="P582" i="12"/>
  <c r="P518" i="12"/>
  <c r="P454" i="12"/>
  <c r="P390" i="12"/>
  <c r="P326" i="12"/>
  <c r="P262" i="12"/>
  <c r="P198" i="12"/>
  <c r="P134" i="12"/>
  <c r="P70" i="12"/>
  <c r="P6" i="12"/>
  <c r="P2054" i="12"/>
  <c r="P1945" i="12"/>
  <c r="P1869" i="12"/>
  <c r="P1805" i="12"/>
  <c r="P1741" i="12"/>
  <c r="P1677" i="12"/>
  <c r="P1613" i="12"/>
  <c r="P1549" i="12"/>
  <c r="P1485" i="12"/>
  <c r="P1421" i="12"/>
  <c r="P1357" i="12"/>
  <c r="P1293" i="12"/>
  <c r="P1229" i="12"/>
  <c r="P1165" i="12"/>
  <c r="P1101" i="12"/>
  <c r="P1037" i="12"/>
  <c r="P973" i="12"/>
  <c r="P909" i="12"/>
  <c r="P845" i="12"/>
  <c r="P781" i="12"/>
  <c r="P717" i="12"/>
  <c r="P653" i="12"/>
  <c r="P589" i="12"/>
  <c r="P525" i="12"/>
  <c r="P461" i="12"/>
  <c r="P397" i="12"/>
  <c r="P333" i="12"/>
  <c r="P269" i="12"/>
  <c r="P205" i="12"/>
  <c r="P1965" i="12"/>
  <c r="P1996" i="12"/>
  <c r="P2027" i="12"/>
  <c r="P2191" i="12"/>
  <c r="P1986" i="12"/>
  <c r="P1703" i="12"/>
  <c r="P1447" i="12"/>
  <c r="P1191" i="12"/>
  <c r="P935" i="12"/>
  <c r="P679" i="12"/>
  <c r="P423" i="12"/>
  <c r="P183" i="12"/>
  <c r="P119" i="12"/>
  <c r="P55" i="12"/>
  <c r="P2177" i="12"/>
  <c r="P2024" i="12"/>
  <c r="P1921" i="12"/>
  <c r="P1854" i="12"/>
  <c r="P1790" i="12"/>
  <c r="P1726" i="12"/>
  <c r="P1662" i="12"/>
  <c r="P1598" i="12"/>
  <c r="P1534" i="12"/>
  <c r="P1470" i="12"/>
  <c r="P1406" i="12"/>
  <c r="P1342" i="12"/>
  <c r="P1278" i="12"/>
  <c r="P1214" i="12"/>
  <c r="P1150" i="12"/>
  <c r="P1086" i="12"/>
  <c r="P1022" i="12"/>
  <c r="P958" i="12"/>
  <c r="P894" i="12"/>
  <c r="P830" i="12"/>
  <c r="P766" i="12"/>
  <c r="P702" i="12"/>
  <c r="P638" i="12"/>
  <c r="P574" i="12"/>
  <c r="P510" i="12"/>
  <c r="P446" i="12"/>
  <c r="P382" i="12"/>
  <c r="P318" i="12"/>
  <c r="P254" i="12"/>
  <c r="P190" i="12"/>
  <c r="P126" i="12"/>
  <c r="P62" i="12"/>
  <c r="P2194" i="12"/>
  <c r="P2038" i="12"/>
  <c r="P1934" i="12"/>
  <c r="P1861" i="12"/>
  <c r="P1797" i="12"/>
  <c r="P1733" i="12"/>
  <c r="P1669" i="12"/>
  <c r="P1605" i="12"/>
  <c r="P1541" i="12"/>
  <c r="P1477" i="12"/>
  <c r="P1413" i="12"/>
  <c r="P1349" i="12"/>
  <c r="P1285" i="12"/>
  <c r="P1221" i="12"/>
  <c r="P1157" i="12"/>
  <c r="P1093" i="12"/>
  <c r="P1029" i="12"/>
  <c r="P965" i="12"/>
  <c r="P901" i="12"/>
  <c r="P837" i="12"/>
  <c r="P773" i="12"/>
  <c r="P709" i="12"/>
  <c r="P645" i="12"/>
  <c r="P581" i="12"/>
  <c r="P517" i="12"/>
  <c r="P453" i="12"/>
  <c r="P389" i="12"/>
  <c r="P325" i="12"/>
  <c r="P261" i="12"/>
  <c r="P197" i="12"/>
  <c r="P2157" i="12"/>
  <c r="P2188" i="12"/>
  <c r="P1932" i="12"/>
  <c r="P1963" i="12"/>
  <c r="P2127" i="12"/>
  <c r="P1895" i="12"/>
  <c r="P1639" i="12"/>
  <c r="P1383" i="12"/>
  <c r="P1127" i="12"/>
  <c r="P871" i="12"/>
  <c r="P615" i="12"/>
  <c r="P359" i="12"/>
  <c r="P167" i="12"/>
  <c r="P103" i="12"/>
  <c r="P39" i="12"/>
  <c r="P2134" i="12"/>
  <c r="P1999" i="12"/>
  <c r="P1902" i="12"/>
  <c r="P1838" i="12"/>
  <c r="P1774" i="12"/>
  <c r="P1710" i="12"/>
  <c r="P1646" i="12"/>
  <c r="P1582" i="12"/>
  <c r="P1518" i="12"/>
  <c r="P1454" i="12"/>
  <c r="P1390" i="12"/>
  <c r="P1326" i="12"/>
  <c r="P1262" i="12"/>
  <c r="P1198" i="12"/>
  <c r="P1134" i="12"/>
  <c r="P1070" i="12"/>
  <c r="P1006" i="12"/>
  <c r="P942" i="12"/>
  <c r="P878" i="12"/>
  <c r="P814" i="12"/>
  <c r="P750" i="12"/>
  <c r="P686" i="12"/>
  <c r="P622" i="12"/>
  <c r="P558" i="12"/>
  <c r="P494" i="12"/>
  <c r="P430" i="12"/>
  <c r="P366" i="12"/>
  <c r="P302" i="12"/>
  <c r="P238" i="12"/>
  <c r="P174" i="12"/>
  <c r="P110" i="12"/>
  <c r="P46" i="12"/>
  <c r="P2153" i="12"/>
  <c r="P2009" i="12"/>
  <c r="P1909" i="12"/>
  <c r="P1845" i="12"/>
  <c r="P1781" i="12"/>
  <c r="P1717" i="12"/>
  <c r="P1653" i="12"/>
  <c r="P1589" i="12"/>
  <c r="P1525" i="12"/>
  <c r="P1461" i="12"/>
  <c r="P1397" i="12"/>
  <c r="P1333" i="12"/>
  <c r="P1269" i="12"/>
  <c r="P1205" i="12"/>
  <c r="P1141" i="12"/>
  <c r="P1077" i="12"/>
  <c r="P1013" i="12"/>
  <c r="P949" i="12"/>
  <c r="P885" i="12"/>
  <c r="P821" i="12"/>
  <c r="P757" i="12"/>
  <c r="P693" i="12"/>
  <c r="P629" i="12"/>
  <c r="P565" i="12"/>
  <c r="P501" i="12"/>
  <c r="P437" i="12"/>
  <c r="P373" i="12"/>
  <c r="P309" i="12"/>
  <c r="P245" i="12"/>
  <c r="P2125" i="12"/>
  <c r="P2156" i="12"/>
  <c r="P2187" i="12"/>
  <c r="P1931" i="12"/>
  <c r="P2095" i="12"/>
  <c r="P1863" i="12"/>
  <c r="P1607" i="12"/>
  <c r="P1351" i="12"/>
  <c r="P1095" i="12"/>
  <c r="P839" i="12"/>
  <c r="P583" i="12"/>
  <c r="P327" i="12"/>
  <c r="P159" i="12"/>
  <c r="P95" i="12"/>
  <c r="P31" i="12"/>
  <c r="P2113" i="12"/>
  <c r="P1985" i="12"/>
  <c r="P1894" i="12"/>
  <c r="P1830" i="12"/>
  <c r="P1766" i="12"/>
  <c r="P1702" i="12"/>
  <c r="P1638" i="12"/>
  <c r="P1574" i="12"/>
  <c r="P1510" i="12"/>
  <c r="P1446" i="12"/>
  <c r="P1382" i="12"/>
  <c r="P1318" i="12"/>
  <c r="P1254" i="12"/>
  <c r="P1190" i="12"/>
  <c r="P1126" i="12"/>
  <c r="P1062" i="12"/>
  <c r="P998" i="12"/>
  <c r="P934" i="12"/>
  <c r="P870" i="12"/>
  <c r="P806" i="12"/>
  <c r="P742" i="12"/>
  <c r="P678" i="12"/>
  <c r="P614" i="12"/>
  <c r="P550" i="12"/>
  <c r="P486" i="12"/>
  <c r="P422" i="12"/>
  <c r="P358" i="12"/>
  <c r="P294" i="12"/>
  <c r="P230" i="12"/>
  <c r="P166" i="12"/>
  <c r="P102" i="12"/>
  <c r="P38" i="12"/>
  <c r="P2130" i="12"/>
  <c r="P1998" i="12"/>
  <c r="P1901" i="12"/>
  <c r="P1837" i="12"/>
  <c r="P1773" i="12"/>
  <c r="P1709" i="12"/>
  <c r="P1645" i="12"/>
  <c r="P1581" i="12"/>
  <c r="P1517" i="12"/>
  <c r="P1453" i="12"/>
  <c r="P1389" i="12"/>
  <c r="P1325" i="12"/>
  <c r="P1261" i="12"/>
  <c r="P1197" i="12"/>
  <c r="P1133" i="12"/>
  <c r="P1069" i="12"/>
  <c r="P1005" i="12"/>
  <c r="P941" i="12"/>
  <c r="P877" i="12"/>
  <c r="P813" i="12"/>
  <c r="P749" i="12"/>
  <c r="P685" i="12"/>
  <c r="P621" i="12"/>
  <c r="P557" i="12"/>
  <c r="P493" i="12"/>
  <c r="P429" i="12"/>
  <c r="P365" i="12"/>
  <c r="P301" i="12"/>
  <c r="P237" i="12"/>
  <c r="P173" i="12"/>
  <c r="P2093" i="12"/>
  <c r="P2124" i="12"/>
  <c r="P2155" i="12"/>
  <c r="P2192" i="12"/>
  <c r="P2063" i="12"/>
  <c r="P1831" i="12"/>
  <c r="P1575" i="12"/>
  <c r="P1319" i="12"/>
  <c r="P1063" i="12"/>
  <c r="P807" i="12"/>
  <c r="P551" i="12"/>
  <c r="P295" i="12"/>
  <c r="P151" i="12"/>
  <c r="P87" i="12"/>
  <c r="P23" i="12"/>
  <c r="P2090" i="12"/>
  <c r="P1974" i="12"/>
  <c r="P1886" i="12"/>
  <c r="P1822" i="12"/>
  <c r="P1758" i="12"/>
  <c r="P1694" i="12"/>
  <c r="P1630" i="12"/>
  <c r="P1566" i="12"/>
  <c r="P1502" i="12"/>
  <c r="P1438" i="12"/>
  <c r="P1374" i="12"/>
  <c r="P1310" i="12"/>
  <c r="P1246" i="12"/>
  <c r="P1182" i="12"/>
  <c r="P1118" i="12"/>
  <c r="P1054" i="12"/>
  <c r="P990" i="12"/>
  <c r="P926" i="12"/>
  <c r="P862" i="12"/>
  <c r="P798" i="12"/>
  <c r="P734" i="12"/>
  <c r="P670" i="12"/>
  <c r="P606" i="12"/>
  <c r="P542" i="12"/>
  <c r="P478" i="12"/>
  <c r="P414" i="12"/>
  <c r="P350" i="12"/>
  <c r="P286" i="12"/>
  <c r="P222" i="12"/>
  <c r="P158" i="12"/>
  <c r="P94" i="12"/>
  <c r="P30" i="12"/>
  <c r="P2110" i="12"/>
  <c r="P1984" i="12"/>
  <c r="P1893" i="12"/>
  <c r="P1829" i="12"/>
  <c r="P1765" i="12"/>
  <c r="P1701" i="12"/>
  <c r="P1637" i="12"/>
  <c r="P1573" i="12"/>
  <c r="P1509" i="12"/>
  <c r="P1445" i="12"/>
  <c r="P1381" i="12"/>
  <c r="P1317" i="12"/>
  <c r="P1253" i="12"/>
  <c r="P1189" i="12"/>
  <c r="P1125" i="12"/>
  <c r="P1061" i="12"/>
  <c r="P997" i="12"/>
  <c r="P933" i="12"/>
  <c r="P869" i="12"/>
  <c r="P805" i="12"/>
  <c r="P741" i="12"/>
  <c r="P677" i="12"/>
  <c r="P613" i="12"/>
  <c r="P549" i="12"/>
  <c r="P485" i="12"/>
  <c r="P421" i="12"/>
  <c r="P357" i="12"/>
  <c r="P293" i="12"/>
  <c r="P229" i="12"/>
  <c r="P1995" i="12"/>
  <c r="P1415" i="12"/>
  <c r="P391" i="12"/>
  <c r="P2154" i="12"/>
  <c r="P1782" i="12"/>
  <c r="P1526" i="12"/>
  <c r="P1270" i="12"/>
  <c r="P1014" i="12"/>
  <c r="P758" i="12"/>
  <c r="P502" i="12"/>
  <c r="P246" i="12"/>
  <c r="P2174" i="12"/>
  <c r="P1789" i="12"/>
  <c r="P1533" i="12"/>
  <c r="P1277" i="12"/>
  <c r="P1021" i="12"/>
  <c r="P765" i="12"/>
  <c r="P509" i="12"/>
  <c r="P253" i="12"/>
  <c r="P133" i="12"/>
  <c r="P69" i="12"/>
  <c r="P5" i="12"/>
  <c r="P2050" i="12"/>
  <c r="P1944" i="12"/>
  <c r="P1868" i="12"/>
  <c r="P1804" i="12"/>
  <c r="P1740" i="12"/>
  <c r="P1676" i="12"/>
  <c r="P1612" i="12"/>
  <c r="P1548" i="12"/>
  <c r="P1484" i="12"/>
  <c r="P1420" i="12"/>
  <c r="P1356" i="12"/>
  <c r="P1292" i="12"/>
  <c r="P1228" i="12"/>
  <c r="P1164" i="12"/>
  <c r="P1100" i="12"/>
  <c r="P1036" i="12"/>
  <c r="P972" i="12"/>
  <c r="P908" i="12"/>
  <c r="P844" i="12"/>
  <c r="P780" i="12"/>
  <c r="P716" i="12"/>
  <c r="P652" i="12"/>
  <c r="P588" i="12"/>
  <c r="P524" i="12"/>
  <c r="P460" i="12"/>
  <c r="P396" i="12"/>
  <c r="P332" i="12"/>
  <c r="P268" i="12"/>
  <c r="P204" i="12"/>
  <c r="P140" i="12"/>
  <c r="P76" i="12"/>
  <c r="P12" i="12"/>
  <c r="P2065" i="12"/>
  <c r="P1954" i="12"/>
  <c r="P1875" i="12"/>
  <c r="P1811" i="12"/>
  <c r="P1747" i="12"/>
  <c r="P1683" i="12"/>
  <c r="P1619" i="12"/>
  <c r="P1555" i="12"/>
  <c r="P1491" i="12"/>
  <c r="P1427" i="12"/>
  <c r="P1363" i="12"/>
  <c r="P1299" i="12"/>
  <c r="P1235" i="12"/>
  <c r="P1171" i="12"/>
  <c r="P1107" i="12"/>
  <c r="P1043" i="12"/>
  <c r="P979" i="12"/>
  <c r="P915" i="12"/>
  <c r="P851" i="12"/>
  <c r="P787" i="12"/>
  <c r="P723" i="12"/>
  <c r="P659" i="12"/>
  <c r="P595" i="12"/>
  <c r="P531" i="12"/>
  <c r="P467" i="12"/>
  <c r="P403" i="12"/>
  <c r="P339" i="12"/>
  <c r="P275" i="12"/>
  <c r="P211" i="12"/>
  <c r="P147" i="12"/>
  <c r="P83" i="12"/>
  <c r="P19" i="12"/>
  <c r="P2081" i="12"/>
  <c r="P1967" i="12"/>
  <c r="P1882" i="12"/>
  <c r="P1818" i="12"/>
  <c r="P1754" i="12"/>
  <c r="P1690" i="12"/>
  <c r="P1626" i="12"/>
  <c r="P1562" i="12"/>
  <c r="P1498" i="12"/>
  <c r="P1434" i="12"/>
  <c r="P1370" i="12"/>
  <c r="P1306" i="12"/>
  <c r="P1242" i="12"/>
  <c r="P1178" i="12"/>
  <c r="P1114" i="12"/>
  <c r="P1050" i="12"/>
  <c r="P986" i="12"/>
  <c r="P922" i="12"/>
  <c r="P858" i="12"/>
  <c r="P794" i="12"/>
  <c r="P730" i="12"/>
  <c r="P666" i="12"/>
  <c r="P602" i="12"/>
  <c r="P538" i="12"/>
  <c r="P474" i="12"/>
  <c r="P410" i="12"/>
  <c r="P346" i="12"/>
  <c r="P282" i="12"/>
  <c r="P218" i="12"/>
  <c r="P154" i="12"/>
  <c r="P90" i="12"/>
  <c r="P26" i="12"/>
  <c r="P2078" i="12"/>
  <c r="P1966" i="12"/>
  <c r="P1881" i="12"/>
  <c r="P1817" i="12"/>
  <c r="P1753" i="12"/>
  <c r="P1689" i="12"/>
  <c r="P1625" i="12"/>
  <c r="P1561" i="12"/>
  <c r="P1497" i="12"/>
  <c r="P1433" i="12"/>
  <c r="P1369" i="12"/>
  <c r="P1305" i="12"/>
  <c r="P1241" i="12"/>
  <c r="P1177" i="12"/>
  <c r="P1113" i="12"/>
  <c r="P1049" i="12"/>
  <c r="P985" i="12"/>
  <c r="P921" i="12"/>
  <c r="P857" i="12"/>
  <c r="P793" i="12"/>
  <c r="P729" i="12"/>
  <c r="P665" i="12"/>
  <c r="P601" i="12"/>
  <c r="P537" i="12"/>
  <c r="P473" i="12"/>
  <c r="P409" i="12"/>
  <c r="P345" i="12"/>
  <c r="P281" i="12"/>
  <c r="P217" i="12"/>
  <c r="P153" i="12"/>
  <c r="P89" i="12"/>
  <c r="P25" i="12"/>
  <c r="P1792" i="12"/>
  <c r="P1280" i="12"/>
  <c r="P768" i="12"/>
  <c r="P256" i="12"/>
  <c r="P1784" i="12"/>
  <c r="P1272" i="12"/>
  <c r="P760" i="12"/>
  <c r="P248" i="12"/>
  <c r="P2160" i="12"/>
  <c r="P1287" i="12"/>
  <c r="P263" i="12"/>
  <c r="P2072" i="12"/>
  <c r="P1750" i="12"/>
  <c r="P1494" i="12"/>
  <c r="P1238" i="12"/>
  <c r="P982" i="12"/>
  <c r="P726" i="12"/>
  <c r="P470" i="12"/>
  <c r="P214" i="12"/>
  <c r="P2089" i="12"/>
  <c r="P1757" i="12"/>
  <c r="P1501" i="12"/>
  <c r="P1245" i="12"/>
  <c r="P989" i="12"/>
  <c r="P733" i="12"/>
  <c r="P477" i="12"/>
  <c r="P221" i="12"/>
  <c r="P125" i="12"/>
  <c r="P61" i="12"/>
  <c r="P2193" i="12"/>
  <c r="P2034" i="12"/>
  <c r="P1930" i="12"/>
  <c r="P1860" i="12"/>
  <c r="P1796" i="12"/>
  <c r="P1732" i="12"/>
  <c r="P1668" i="12"/>
  <c r="P1604" i="12"/>
  <c r="P1540" i="12"/>
  <c r="P1476" i="12"/>
  <c r="P1412" i="12"/>
  <c r="P1348" i="12"/>
  <c r="P1284" i="12"/>
  <c r="P1220" i="12"/>
  <c r="P1156" i="12"/>
  <c r="P1092" i="12"/>
  <c r="P1028" i="12"/>
  <c r="P964" i="12"/>
  <c r="P900" i="12"/>
  <c r="P836" i="12"/>
  <c r="P772" i="12"/>
  <c r="P708" i="12"/>
  <c r="P644" i="12"/>
  <c r="P580" i="12"/>
  <c r="P516" i="12"/>
  <c r="P452" i="12"/>
  <c r="P388" i="12"/>
  <c r="P324" i="12"/>
  <c r="P260" i="12"/>
  <c r="P196" i="12"/>
  <c r="P132" i="12"/>
  <c r="P68" i="12"/>
  <c r="P4" i="12"/>
  <c r="P2049" i="12"/>
  <c r="P1943" i="12"/>
  <c r="P1867" i="12"/>
  <c r="P1803" i="12"/>
  <c r="P1739" i="12"/>
  <c r="P1675" i="12"/>
  <c r="P1611" i="12"/>
  <c r="P1547" i="12"/>
  <c r="P1483" i="12"/>
  <c r="P1419" i="12"/>
  <c r="P1355" i="12"/>
  <c r="P1291" i="12"/>
  <c r="P1227" i="12"/>
  <c r="P1163" i="12"/>
  <c r="P1099" i="12"/>
  <c r="P1035" i="12"/>
  <c r="P971" i="12"/>
  <c r="P907" i="12"/>
  <c r="P843" i="12"/>
  <c r="P779" i="12"/>
  <c r="P715" i="12"/>
  <c r="P651" i="12"/>
  <c r="P587" i="12"/>
  <c r="P523" i="12"/>
  <c r="P459" i="12"/>
  <c r="P395" i="12"/>
  <c r="P331" i="12"/>
  <c r="P267" i="12"/>
  <c r="P203" i="12"/>
  <c r="P139" i="12"/>
  <c r="P75" i="12"/>
  <c r="P11" i="12"/>
  <c r="P2064" i="12"/>
  <c r="P1953" i="12"/>
  <c r="P1874" i="12"/>
  <c r="P1810" i="12"/>
  <c r="P1746" i="12"/>
  <c r="P1682" i="12"/>
  <c r="P1618" i="12"/>
  <c r="P1554" i="12"/>
  <c r="P1490" i="12"/>
  <c r="P1426" i="12"/>
  <c r="P1362" i="12"/>
  <c r="P1298" i="12"/>
  <c r="P1234" i="12"/>
  <c r="P1170" i="12"/>
  <c r="P1106" i="12"/>
  <c r="P1042" i="12"/>
  <c r="P978" i="12"/>
  <c r="P914" i="12"/>
  <c r="P850" i="12"/>
  <c r="P786" i="12"/>
  <c r="P722" i="12"/>
  <c r="P658" i="12"/>
  <c r="P594" i="12"/>
  <c r="P530" i="12"/>
  <c r="P466" i="12"/>
  <c r="P402" i="12"/>
  <c r="P338" i="12"/>
  <c r="P274" i="12"/>
  <c r="P210" i="12"/>
  <c r="P146" i="12"/>
  <c r="P82" i="12"/>
  <c r="P18" i="12"/>
  <c r="P2062" i="12"/>
  <c r="P1952" i="12"/>
  <c r="P1873" i="12"/>
  <c r="P1809" i="12"/>
  <c r="P1745" i="12"/>
  <c r="P1681" i="12"/>
  <c r="P1617" i="12"/>
  <c r="P1553" i="12"/>
  <c r="P1489" i="12"/>
  <c r="P1425" i="12"/>
  <c r="P1361" i="12"/>
  <c r="P1297" i="12"/>
  <c r="P1233" i="12"/>
  <c r="P1169" i="12"/>
  <c r="P1105" i="12"/>
  <c r="P1041" i="12"/>
  <c r="P977" i="12"/>
  <c r="P913" i="12"/>
  <c r="P849" i="12"/>
  <c r="P785" i="12"/>
  <c r="P721" i="12"/>
  <c r="P657" i="12"/>
  <c r="P593" i="12"/>
  <c r="P529" i="12"/>
  <c r="P465" i="12"/>
  <c r="P401" i="12"/>
  <c r="P337" i="12"/>
  <c r="P273" i="12"/>
  <c r="P209" i="12"/>
  <c r="P145" i="12"/>
  <c r="P81" i="12"/>
  <c r="P17" i="12"/>
  <c r="P1728" i="12"/>
  <c r="P1216" i="12"/>
  <c r="P704" i="12"/>
  <c r="P192" i="12"/>
  <c r="P1720" i="12"/>
  <c r="P1208" i="12"/>
  <c r="P696" i="12"/>
  <c r="P184" i="12"/>
  <c r="P1712" i="12"/>
  <c r="P1200" i="12"/>
  <c r="P688" i="12"/>
  <c r="P176" i="12"/>
  <c r="P1704" i="12"/>
  <c r="P1192" i="12"/>
  <c r="P680" i="12"/>
  <c r="P168" i="12"/>
  <c r="P1696" i="12"/>
  <c r="P2189" i="12"/>
  <c r="P2159" i="12"/>
  <c r="P1159" i="12"/>
  <c r="P175" i="12"/>
  <c r="P2010" i="12"/>
  <c r="P1718" i="12"/>
  <c r="P1462" i="12"/>
  <c r="P1206" i="12"/>
  <c r="P950" i="12"/>
  <c r="P694" i="12"/>
  <c r="P438" i="12"/>
  <c r="P182" i="12"/>
  <c r="P2023" i="12"/>
  <c r="P1725" i="12"/>
  <c r="P1469" i="12"/>
  <c r="P1213" i="12"/>
  <c r="P957" i="12"/>
  <c r="P701" i="12"/>
  <c r="P445" i="12"/>
  <c r="P189" i="12"/>
  <c r="P117" i="12"/>
  <c r="P53" i="12"/>
  <c r="P2170" i="12"/>
  <c r="P2022" i="12"/>
  <c r="P1919" i="12"/>
  <c r="P1852" i="12"/>
  <c r="P1788" i="12"/>
  <c r="P1724" i="12"/>
  <c r="P1660" i="12"/>
  <c r="P1596" i="12"/>
  <c r="P1532" i="12"/>
  <c r="P1468" i="12"/>
  <c r="P1404" i="12"/>
  <c r="P1340" i="12"/>
  <c r="P1276" i="12"/>
  <c r="P1212" i="12"/>
  <c r="P1148" i="12"/>
  <c r="P1084" i="12"/>
  <c r="P1020" i="12"/>
  <c r="P956" i="12"/>
  <c r="P892" i="12"/>
  <c r="P828" i="12"/>
  <c r="P764" i="12"/>
  <c r="P700" i="12"/>
  <c r="P636" i="12"/>
  <c r="P572" i="12"/>
  <c r="P508" i="12"/>
  <c r="P444" i="12"/>
  <c r="P380" i="12"/>
  <c r="P316" i="12"/>
  <c r="P252" i="12"/>
  <c r="P188" i="12"/>
  <c r="P124" i="12"/>
  <c r="P60" i="12"/>
  <c r="P2190" i="12"/>
  <c r="P2033" i="12"/>
  <c r="P1929" i="12"/>
  <c r="P1859" i="12"/>
  <c r="P1795" i="12"/>
  <c r="P1731" i="12"/>
  <c r="P1667" i="12"/>
  <c r="P1603" i="12"/>
  <c r="P1539" i="12"/>
  <c r="P1475" i="12"/>
  <c r="P1411" i="12"/>
  <c r="P1347" i="12"/>
  <c r="P1283" i="12"/>
  <c r="P1219" i="12"/>
  <c r="P1155" i="12"/>
  <c r="P1091" i="12"/>
  <c r="P1027" i="12"/>
  <c r="P963" i="12"/>
  <c r="P899" i="12"/>
  <c r="P835" i="12"/>
  <c r="P771" i="12"/>
  <c r="P707" i="12"/>
  <c r="P643" i="12"/>
  <c r="P579" i="12"/>
  <c r="P515" i="12"/>
  <c r="P451" i="12"/>
  <c r="P387" i="12"/>
  <c r="P323" i="12"/>
  <c r="P259" i="12"/>
  <c r="P195" i="12"/>
  <c r="P131" i="12"/>
  <c r="P67" i="12"/>
  <c r="P3" i="12"/>
  <c r="P2048" i="12"/>
  <c r="P1942" i="12"/>
  <c r="P1866" i="12"/>
  <c r="P1802" i="12"/>
  <c r="P1738" i="12"/>
  <c r="P1674" i="12"/>
  <c r="P1610" i="12"/>
  <c r="P1546" i="12"/>
  <c r="P1482" i="12"/>
  <c r="P1418" i="12"/>
  <c r="P1354" i="12"/>
  <c r="P1290" i="12"/>
  <c r="P1226" i="12"/>
  <c r="P1162" i="12"/>
  <c r="P1098" i="12"/>
  <c r="P1034" i="12"/>
  <c r="P970" i="12"/>
  <c r="P906" i="12"/>
  <c r="P842" i="12"/>
  <c r="P778" i="12"/>
  <c r="P714" i="12"/>
  <c r="P650" i="12"/>
  <c r="P586" i="12"/>
  <c r="P522" i="12"/>
  <c r="P458" i="12"/>
  <c r="P394" i="12"/>
  <c r="P330" i="12"/>
  <c r="P266" i="12"/>
  <c r="P202" i="12"/>
  <c r="P138" i="12"/>
  <c r="P74" i="12"/>
  <c r="P10" i="12"/>
  <c r="P2046" i="12"/>
  <c r="P1938" i="12"/>
  <c r="P1865" i="12"/>
  <c r="P1801" i="12"/>
  <c r="P1737" i="12"/>
  <c r="P1673" i="12"/>
  <c r="P1609" i="12"/>
  <c r="P1545" i="12"/>
  <c r="P1481" i="12"/>
  <c r="P1417" i="12"/>
  <c r="P1353" i="12"/>
  <c r="P1289" i="12"/>
  <c r="P1225" i="12"/>
  <c r="P1161" i="12"/>
  <c r="P1097" i="12"/>
  <c r="P1033" i="12"/>
  <c r="P969" i="12"/>
  <c r="P905" i="12"/>
  <c r="P841" i="12"/>
  <c r="P777" i="12"/>
  <c r="P713" i="12"/>
  <c r="P649" i="12"/>
  <c r="P585" i="12"/>
  <c r="P521" i="12"/>
  <c r="P457" i="12"/>
  <c r="P393" i="12"/>
  <c r="P329" i="12"/>
  <c r="P265" i="12"/>
  <c r="P201" i="12"/>
  <c r="P137" i="12"/>
  <c r="P73" i="12"/>
  <c r="P9" i="12"/>
  <c r="P1664" i="12"/>
  <c r="P1152" i="12"/>
  <c r="P640" i="12"/>
  <c r="P128" i="12"/>
  <c r="P1656" i="12"/>
  <c r="P1144" i="12"/>
  <c r="P632" i="12"/>
  <c r="P120" i="12"/>
  <c r="P1933" i="12"/>
  <c r="P1936" i="12"/>
  <c r="P903" i="12"/>
  <c r="P111" i="12"/>
  <c r="P1910" i="12"/>
  <c r="P1654" i="12"/>
  <c r="P1398" i="12"/>
  <c r="P1142" i="12"/>
  <c r="P886" i="12"/>
  <c r="P630" i="12"/>
  <c r="P374" i="12"/>
  <c r="P118" i="12"/>
  <c r="P1920" i="12"/>
  <c r="P1661" i="12"/>
  <c r="P1405" i="12"/>
  <c r="P1149" i="12"/>
  <c r="P893" i="12"/>
  <c r="P637" i="12"/>
  <c r="P381" i="12"/>
  <c r="P165" i="12"/>
  <c r="P101" i="12"/>
  <c r="P37" i="12"/>
  <c r="P2129" i="12"/>
  <c r="P1994" i="12"/>
  <c r="P1900" i="12"/>
  <c r="P1836" i="12"/>
  <c r="P1772" i="12"/>
  <c r="P1708" i="12"/>
  <c r="P1644" i="12"/>
  <c r="P1580" i="12"/>
  <c r="P1516" i="12"/>
  <c r="P1452" i="12"/>
  <c r="P1388" i="12"/>
  <c r="P1324" i="12"/>
  <c r="P1260" i="12"/>
  <c r="P1196" i="12"/>
  <c r="P1132" i="12"/>
  <c r="P1068" i="12"/>
  <c r="P1004" i="12"/>
  <c r="P940" i="12"/>
  <c r="P876" i="12"/>
  <c r="P812" i="12"/>
  <c r="P748" i="12"/>
  <c r="P684" i="12"/>
  <c r="P620" i="12"/>
  <c r="P556" i="12"/>
  <c r="P492" i="12"/>
  <c r="P428" i="12"/>
  <c r="P364" i="12"/>
  <c r="P300" i="12"/>
  <c r="P236" i="12"/>
  <c r="P172" i="12"/>
  <c r="P108" i="12"/>
  <c r="P44" i="12"/>
  <c r="P2146" i="12"/>
  <c r="P2007" i="12"/>
  <c r="P1907" i="12"/>
  <c r="P1843" i="12"/>
  <c r="P1779" i="12"/>
  <c r="P1715" i="12"/>
  <c r="P1651" i="12"/>
  <c r="P1587" i="12"/>
  <c r="P1523" i="12"/>
  <c r="P1459" i="12"/>
  <c r="P1395" i="12"/>
  <c r="P1331" i="12"/>
  <c r="P1267" i="12"/>
  <c r="P1203" i="12"/>
  <c r="P1139" i="12"/>
  <c r="P1075" i="12"/>
  <c r="P1011" i="12"/>
  <c r="P947" i="12"/>
  <c r="P883" i="12"/>
  <c r="P819" i="12"/>
  <c r="P755" i="12"/>
  <c r="P691" i="12"/>
  <c r="P627" i="12"/>
  <c r="P563" i="12"/>
  <c r="P499" i="12"/>
  <c r="P435" i="12"/>
  <c r="P371" i="12"/>
  <c r="P307" i="12"/>
  <c r="P243" i="12"/>
  <c r="P179" i="12"/>
  <c r="P115" i="12"/>
  <c r="P51" i="12"/>
  <c r="P2166" i="12"/>
  <c r="P2017" i="12"/>
  <c r="P1914" i="12"/>
  <c r="P1850" i="12"/>
  <c r="P1786" i="12"/>
  <c r="P1722" i="12"/>
  <c r="P1658" i="12"/>
  <c r="P1594" i="12"/>
  <c r="P1530" i="12"/>
  <c r="P1466" i="12"/>
  <c r="P1402" i="12"/>
  <c r="P1338" i="12"/>
  <c r="P1274" i="12"/>
  <c r="P1210" i="12"/>
  <c r="P1146" i="12"/>
  <c r="P1082" i="12"/>
  <c r="P1018" i="12"/>
  <c r="P954" i="12"/>
  <c r="P890" i="12"/>
  <c r="P826" i="12"/>
  <c r="P762" i="12"/>
  <c r="P698" i="12"/>
  <c r="P634" i="12"/>
  <c r="P570" i="12"/>
  <c r="P506" i="12"/>
  <c r="P442" i="12"/>
  <c r="P378" i="12"/>
  <c r="P314" i="12"/>
  <c r="P250" i="12"/>
  <c r="P186" i="12"/>
  <c r="P122" i="12"/>
  <c r="P58" i="12"/>
  <c r="P2162" i="12"/>
  <c r="P2016" i="12"/>
  <c r="P1913" i="12"/>
  <c r="P1849" i="12"/>
  <c r="P1785" i="12"/>
  <c r="P1721" i="12"/>
  <c r="P1657" i="12"/>
  <c r="P1593" i="12"/>
  <c r="P1529" i="12"/>
  <c r="P1465" i="12"/>
  <c r="P1401" i="12"/>
  <c r="P1337" i="12"/>
  <c r="P1273" i="12"/>
  <c r="P1209" i="12"/>
  <c r="P1145" i="12"/>
  <c r="P1081" i="12"/>
  <c r="P1017" i="12"/>
  <c r="P953" i="12"/>
  <c r="P889" i="12"/>
  <c r="P825" i="12"/>
  <c r="P761" i="12"/>
  <c r="P697" i="12"/>
  <c r="P633" i="12"/>
  <c r="P569" i="12"/>
  <c r="P505" i="12"/>
  <c r="P441" i="12"/>
  <c r="P377" i="12"/>
  <c r="P313" i="12"/>
  <c r="P249" i="12"/>
  <c r="P185" i="12"/>
  <c r="P121" i="12"/>
  <c r="P57" i="12"/>
  <c r="P2182" i="12"/>
  <c r="P1536" i="12"/>
  <c r="P1024" i="12"/>
  <c r="P512" i="12"/>
  <c r="P2161" i="12"/>
  <c r="P1528" i="12"/>
  <c r="P1016" i="12"/>
  <c r="P504" i="12"/>
  <c r="P2092" i="12"/>
  <c r="P1799" i="12"/>
  <c r="P775" i="12"/>
  <c r="P79" i="12"/>
  <c r="P1878" i="12"/>
  <c r="P1622" i="12"/>
  <c r="P1366" i="12"/>
  <c r="P1110" i="12"/>
  <c r="P854" i="12"/>
  <c r="P598" i="12"/>
  <c r="P342" i="12"/>
  <c r="P86" i="12"/>
  <c r="P1885" i="12"/>
  <c r="P1629" i="12"/>
  <c r="P1373" i="12"/>
  <c r="P1117" i="12"/>
  <c r="P861" i="12"/>
  <c r="P605" i="12"/>
  <c r="P349" i="12"/>
  <c r="P157" i="12"/>
  <c r="P93" i="12"/>
  <c r="P29" i="12"/>
  <c r="P2106" i="12"/>
  <c r="P1983" i="12"/>
  <c r="P1892" i="12"/>
  <c r="P1828" i="12"/>
  <c r="P1764" i="12"/>
  <c r="P1700" i="12"/>
  <c r="P1636" i="12"/>
  <c r="P1572" i="12"/>
  <c r="P1508" i="12"/>
  <c r="P1444" i="12"/>
  <c r="P1380" i="12"/>
  <c r="P1316" i="12"/>
  <c r="P1252" i="12"/>
  <c r="P1188" i="12"/>
  <c r="P1124" i="12"/>
  <c r="P1060" i="12"/>
  <c r="P996" i="12"/>
  <c r="P932" i="12"/>
  <c r="P868" i="12"/>
  <c r="P804" i="12"/>
  <c r="P740" i="12"/>
  <c r="P676" i="12"/>
  <c r="P612" i="12"/>
  <c r="P548" i="12"/>
  <c r="P484" i="12"/>
  <c r="P420" i="12"/>
  <c r="P356" i="12"/>
  <c r="P292" i="12"/>
  <c r="P228" i="12"/>
  <c r="P164" i="12"/>
  <c r="P100" i="12"/>
  <c r="P36" i="12"/>
  <c r="P2126" i="12"/>
  <c r="P1993" i="12"/>
  <c r="P1899" i="12"/>
  <c r="P1835" i="12"/>
  <c r="P1771" i="12"/>
  <c r="P1707" i="12"/>
  <c r="P1643" i="12"/>
  <c r="P1579" i="12"/>
  <c r="P1515" i="12"/>
  <c r="P1451" i="12"/>
  <c r="P1387" i="12"/>
  <c r="P1323" i="12"/>
  <c r="P1259" i="12"/>
  <c r="P1195" i="12"/>
  <c r="P1131" i="12"/>
  <c r="P1067" i="12"/>
  <c r="P1003" i="12"/>
  <c r="P939" i="12"/>
  <c r="P875" i="12"/>
  <c r="P811" i="12"/>
  <c r="P747" i="12"/>
  <c r="P683" i="12"/>
  <c r="P619" i="12"/>
  <c r="P555" i="12"/>
  <c r="P491" i="12"/>
  <c r="P427" i="12"/>
  <c r="P363" i="12"/>
  <c r="P299" i="12"/>
  <c r="P235" i="12"/>
  <c r="P171" i="12"/>
  <c r="P107" i="12"/>
  <c r="P43" i="12"/>
  <c r="P2145" i="12"/>
  <c r="P2006" i="12"/>
  <c r="P1906" i="12"/>
  <c r="P1842" i="12"/>
  <c r="P1778" i="12"/>
  <c r="P1714" i="12"/>
  <c r="P1650" i="12"/>
  <c r="P1586" i="12"/>
  <c r="P1522" i="12"/>
  <c r="P1458" i="12"/>
  <c r="P1394" i="12"/>
  <c r="P1330" i="12"/>
  <c r="P1266" i="12"/>
  <c r="P1202" i="12"/>
  <c r="P1138" i="12"/>
  <c r="P1074" i="12"/>
  <c r="P1010" i="12"/>
  <c r="P946" i="12"/>
  <c r="P882" i="12"/>
  <c r="P818" i="12"/>
  <c r="P754" i="12"/>
  <c r="P690" i="12"/>
  <c r="P626" i="12"/>
  <c r="P562" i="12"/>
  <c r="P498" i="12"/>
  <c r="P434" i="12"/>
  <c r="P370" i="12"/>
  <c r="P306" i="12"/>
  <c r="P242" i="12"/>
  <c r="P178" i="12"/>
  <c r="P114" i="12"/>
  <c r="P50" i="12"/>
  <c r="P2142" i="12"/>
  <c r="P2002" i="12"/>
  <c r="P1905" i="12"/>
  <c r="P1841" i="12"/>
  <c r="P1777" i="12"/>
  <c r="P1713" i="12"/>
  <c r="P1649" i="12"/>
  <c r="P1585" i="12"/>
  <c r="P1521" i="12"/>
  <c r="P1457" i="12"/>
  <c r="P1393" i="12"/>
  <c r="P1329" i="12"/>
  <c r="P1265" i="12"/>
  <c r="P1201" i="12"/>
  <c r="P1137" i="12"/>
  <c r="P1073" i="12"/>
  <c r="P1009" i="12"/>
  <c r="P945" i="12"/>
  <c r="P881" i="12"/>
  <c r="P817" i="12"/>
  <c r="P753" i="12"/>
  <c r="P689" i="12"/>
  <c r="P625" i="12"/>
  <c r="P561" i="12"/>
  <c r="P497" i="12"/>
  <c r="P433" i="12"/>
  <c r="P369" i="12"/>
  <c r="P305" i="12"/>
  <c r="P241" i="12"/>
  <c r="P177" i="12"/>
  <c r="P113" i="12"/>
  <c r="P49" i="12"/>
  <c r="P2026" i="12"/>
  <c r="P1472" i="12"/>
  <c r="P960" i="12"/>
  <c r="P448" i="12"/>
  <c r="P2015" i="12"/>
  <c r="P1464" i="12"/>
  <c r="P952" i="12"/>
  <c r="P440" i="12"/>
  <c r="P1964" i="12"/>
  <c r="P1671" i="12"/>
  <c r="P647" i="12"/>
  <c r="P47" i="12"/>
  <c r="P1846" i="12"/>
  <c r="P1590" i="12"/>
  <c r="P1334" i="12"/>
  <c r="P1078" i="12"/>
  <c r="P822" i="12"/>
  <c r="P566" i="12"/>
  <c r="P310" i="12"/>
  <c r="P54" i="12"/>
  <c r="P1853" i="12"/>
  <c r="P1597" i="12"/>
  <c r="P1341" i="12"/>
  <c r="P1085" i="12"/>
  <c r="P829" i="12"/>
  <c r="P573" i="12"/>
  <c r="P317" i="12"/>
  <c r="P149" i="12"/>
  <c r="P85" i="12"/>
  <c r="P21" i="12"/>
  <c r="P2086" i="12"/>
  <c r="P1969" i="12"/>
  <c r="P1884" i="12"/>
  <c r="P1820" i="12"/>
  <c r="P1756" i="12"/>
  <c r="P1692" i="12"/>
  <c r="P1628" i="12"/>
  <c r="P1564" i="12"/>
  <c r="P1500" i="12"/>
  <c r="P1436" i="12"/>
  <c r="P1372" i="12"/>
  <c r="P1308" i="12"/>
  <c r="P1244" i="12"/>
  <c r="P1180" i="12"/>
  <c r="P1116" i="12"/>
  <c r="P1052" i="12"/>
  <c r="P988" i="12"/>
  <c r="P924" i="12"/>
  <c r="P860" i="12"/>
  <c r="P796" i="12"/>
  <c r="P732" i="12"/>
  <c r="P668" i="12"/>
  <c r="P604" i="12"/>
  <c r="P540" i="12"/>
  <c r="P476" i="12"/>
  <c r="P412" i="12"/>
  <c r="P348" i="12"/>
  <c r="P284" i="12"/>
  <c r="P220" i="12"/>
  <c r="P156" i="12"/>
  <c r="P92" i="12"/>
  <c r="P28" i="12"/>
  <c r="P2105" i="12"/>
  <c r="P1982" i="12"/>
  <c r="P1891" i="12"/>
  <c r="P1827" i="12"/>
  <c r="P1763" i="12"/>
  <c r="P1699" i="12"/>
  <c r="P1635" i="12"/>
  <c r="P1571" i="12"/>
  <c r="P1507" i="12"/>
  <c r="P1443" i="12"/>
  <c r="P1379" i="12"/>
  <c r="P1315" i="12"/>
  <c r="P1251" i="12"/>
  <c r="P1187" i="12"/>
  <c r="P1123" i="12"/>
  <c r="P1059" i="12"/>
  <c r="P995" i="12"/>
  <c r="P931" i="12"/>
  <c r="P867" i="12"/>
  <c r="P803" i="12"/>
  <c r="P739" i="12"/>
  <c r="P675" i="12"/>
  <c r="P611" i="12"/>
  <c r="P547" i="12"/>
  <c r="P483" i="12"/>
  <c r="P419" i="12"/>
  <c r="P355" i="12"/>
  <c r="P291" i="12"/>
  <c r="P227" i="12"/>
  <c r="P163" i="12"/>
  <c r="P99" i="12"/>
  <c r="P35" i="12"/>
  <c r="P2122" i="12"/>
  <c r="P1992" i="12"/>
  <c r="P1898" i="12"/>
  <c r="P1834" i="12"/>
  <c r="P1770" i="12"/>
  <c r="P1706" i="12"/>
  <c r="P1642" i="12"/>
  <c r="P1578" i="12"/>
  <c r="P1514" i="12"/>
  <c r="P1450" i="12"/>
  <c r="P1386" i="12"/>
  <c r="P1322" i="12"/>
  <c r="P1258" i="12"/>
  <c r="P1194" i="12"/>
  <c r="P1130" i="12"/>
  <c r="P1066" i="12"/>
  <c r="P1002" i="12"/>
  <c r="P938" i="12"/>
  <c r="P874" i="12"/>
  <c r="P810" i="12"/>
  <c r="P746" i="12"/>
  <c r="P682" i="12"/>
  <c r="P618" i="12"/>
  <c r="P554" i="12"/>
  <c r="P490" i="12"/>
  <c r="P426" i="12"/>
  <c r="P362" i="12"/>
  <c r="P298" i="12"/>
  <c r="P234" i="12"/>
  <c r="P170" i="12"/>
  <c r="P106" i="12"/>
  <c r="P42" i="12"/>
  <c r="P2121" i="12"/>
  <c r="P1991" i="12"/>
  <c r="P1897" i="12"/>
  <c r="P1833" i="12"/>
  <c r="P1769" i="12"/>
  <c r="P1705" i="12"/>
  <c r="P1641" i="12"/>
  <c r="P1577" i="12"/>
  <c r="P1513" i="12"/>
  <c r="P1449" i="12"/>
  <c r="P1385" i="12"/>
  <c r="P1321" i="12"/>
  <c r="P1257" i="12"/>
  <c r="P1193" i="12"/>
  <c r="P1129" i="12"/>
  <c r="P1065" i="12"/>
  <c r="P1001" i="12"/>
  <c r="P937" i="12"/>
  <c r="P873" i="12"/>
  <c r="P809" i="12"/>
  <c r="P745" i="12"/>
  <c r="P681" i="12"/>
  <c r="P617" i="12"/>
  <c r="P553" i="12"/>
  <c r="P489" i="12"/>
  <c r="P425" i="12"/>
  <c r="P361" i="12"/>
  <c r="P297" i="12"/>
  <c r="P233" i="12"/>
  <c r="P169" i="12"/>
  <c r="P105" i="12"/>
  <c r="P41" i="12"/>
  <c r="P1926" i="12"/>
  <c r="P1408" i="12"/>
  <c r="P896" i="12"/>
  <c r="P384" i="12"/>
  <c r="P1912" i="12"/>
  <c r="P1400" i="12"/>
  <c r="P888" i="12"/>
  <c r="P376" i="12"/>
  <c r="P1904" i="12"/>
  <c r="P1392" i="12"/>
  <c r="P880" i="12"/>
  <c r="P368" i="12"/>
  <c r="P1896" i="12"/>
  <c r="P1384" i="12"/>
  <c r="P872" i="12"/>
  <c r="P360" i="12"/>
  <c r="P1888" i="12"/>
  <c r="P1376" i="12"/>
  <c r="P1031" i="12"/>
  <c r="P1430" i="12"/>
  <c r="P406" i="12"/>
  <c r="P1437" i="12"/>
  <c r="P413" i="12"/>
  <c r="P2150" i="12"/>
  <c r="P1780" i="12"/>
  <c r="P1524" i="12"/>
  <c r="P1268" i="12"/>
  <c r="P1012" i="12"/>
  <c r="P756" i="12"/>
  <c r="P500" i="12"/>
  <c r="P244" i="12"/>
  <c r="P2169" i="12"/>
  <c r="P1787" i="12"/>
  <c r="P1531" i="12"/>
  <c r="P1275" i="12"/>
  <c r="P1019" i="12"/>
  <c r="P763" i="12"/>
  <c r="P507" i="12"/>
  <c r="P251" i="12"/>
  <c r="P2186" i="12"/>
  <c r="P1794" i="12"/>
  <c r="P1538" i="12"/>
  <c r="P1282" i="12"/>
  <c r="P1026" i="12"/>
  <c r="P770" i="12"/>
  <c r="P514" i="12"/>
  <c r="P258" i="12"/>
  <c r="P2185" i="12"/>
  <c r="P1793" i="12"/>
  <c r="P1537" i="12"/>
  <c r="P1281" i="12"/>
  <c r="P1025" i="12"/>
  <c r="P769" i="12"/>
  <c r="P513" i="12"/>
  <c r="P257" i="12"/>
  <c r="P2" i="12"/>
  <c r="P64" i="12"/>
  <c r="P56" i="12"/>
  <c r="P1456" i="12"/>
  <c r="P752" i="12"/>
  <c r="P48" i="12"/>
  <c r="P1448" i="12"/>
  <c r="P744" i="12"/>
  <c r="P40" i="12"/>
  <c r="P1440" i="12"/>
  <c r="P864" i="12"/>
  <c r="P352" i="12"/>
  <c r="P1880" i="12"/>
  <c r="P1368" i="12"/>
  <c r="P856" i="12"/>
  <c r="P344" i="12"/>
  <c r="P1872" i="12"/>
  <c r="P1360" i="12"/>
  <c r="P848" i="12"/>
  <c r="P336" i="12"/>
  <c r="P904" i="12"/>
  <c r="P776" i="12"/>
  <c r="P648" i="12"/>
  <c r="P520" i="12"/>
  <c r="P519" i="12"/>
  <c r="P1302" i="12"/>
  <c r="P278" i="12"/>
  <c r="P1309" i="12"/>
  <c r="P285" i="12"/>
  <c r="P2066" i="12"/>
  <c r="P1748" i="12"/>
  <c r="P1492" i="12"/>
  <c r="P1236" i="12"/>
  <c r="P980" i="12"/>
  <c r="P724" i="12"/>
  <c r="P468" i="12"/>
  <c r="P212" i="12"/>
  <c r="P2082" i="12"/>
  <c r="P1755" i="12"/>
  <c r="P1499" i="12"/>
  <c r="P1243" i="12"/>
  <c r="P987" i="12"/>
  <c r="P731" i="12"/>
  <c r="P475" i="12"/>
  <c r="P219" i="12"/>
  <c r="P2102" i="12"/>
  <c r="P1762" i="12"/>
  <c r="P1506" i="12"/>
  <c r="P1250" i="12"/>
  <c r="P994" i="12"/>
  <c r="P738" i="12"/>
  <c r="P482" i="12"/>
  <c r="P226" i="12"/>
  <c r="P2098" i="12"/>
  <c r="P1761" i="12"/>
  <c r="P1505" i="12"/>
  <c r="P1249" i="12"/>
  <c r="P993" i="12"/>
  <c r="P737" i="12"/>
  <c r="P481" i="12"/>
  <c r="P225" i="12"/>
  <c r="P1856" i="12"/>
  <c r="P1848" i="12"/>
  <c r="P2138" i="12"/>
  <c r="P1328" i="12"/>
  <c r="P624" i="12"/>
  <c r="P2118" i="12"/>
  <c r="P1320" i="12"/>
  <c r="P616" i="12"/>
  <c r="P2097" i="12"/>
  <c r="P1312" i="12"/>
  <c r="P800" i="12"/>
  <c r="P288" i="12"/>
  <c r="P1816" i="12"/>
  <c r="P1304" i="12"/>
  <c r="P792" i="12"/>
  <c r="P280" i="12"/>
  <c r="P1808" i="12"/>
  <c r="P1296" i="12"/>
  <c r="P784" i="12"/>
  <c r="P272" i="12"/>
  <c r="P392" i="12"/>
  <c r="P264" i="12"/>
  <c r="P136" i="12"/>
  <c r="P8" i="12"/>
  <c r="P15" i="12"/>
  <c r="P1046" i="12"/>
  <c r="P22" i="12"/>
  <c r="P1053" i="12"/>
  <c r="P141" i="12"/>
  <c r="P1958" i="12"/>
  <c r="P1684" i="12"/>
  <c r="P1428" i="12"/>
  <c r="P1172" i="12"/>
  <c r="P916" i="12"/>
  <c r="P660" i="12"/>
  <c r="P404" i="12"/>
  <c r="P148" i="12"/>
  <c r="P1968" i="12"/>
  <c r="P1691" i="12"/>
  <c r="P1435" i="12"/>
  <c r="P1179" i="12"/>
  <c r="P923" i="12"/>
  <c r="P667" i="12"/>
  <c r="P411" i="12"/>
  <c r="P155" i="12"/>
  <c r="P1978" i="12"/>
  <c r="P1698" i="12"/>
  <c r="P1442" i="12"/>
  <c r="P1186" i="12"/>
  <c r="P930" i="12"/>
  <c r="P674" i="12"/>
  <c r="P418" i="12"/>
  <c r="P162" i="12"/>
  <c r="P1977" i="12"/>
  <c r="P1697" i="12"/>
  <c r="P1441" i="12"/>
  <c r="P1185" i="12"/>
  <c r="P929" i="12"/>
  <c r="P673" i="12"/>
  <c r="P417" i="12"/>
  <c r="P161" i="12"/>
  <c r="P1344" i="12"/>
  <c r="P1336" i="12"/>
  <c r="P1840" i="12"/>
  <c r="P1136" i="12"/>
  <c r="P496" i="12"/>
  <c r="P1832" i="12"/>
  <c r="P1128" i="12"/>
  <c r="P488" i="12"/>
  <c r="P1824" i="12"/>
  <c r="P1184" i="12"/>
  <c r="P672" i="12"/>
  <c r="P160" i="12"/>
  <c r="P1688" i="12"/>
  <c r="P1176" i="12"/>
  <c r="P664" i="12"/>
  <c r="P152" i="12"/>
  <c r="P1680" i="12"/>
  <c r="P1168" i="12"/>
  <c r="P656" i="12"/>
  <c r="P144" i="12"/>
  <c r="P1352" i="12"/>
  <c r="P1224" i="12"/>
  <c r="P1096" i="12"/>
  <c r="P1480" i="12"/>
  <c r="P2123" i="12"/>
  <c r="P1814" i="12"/>
  <c r="P790" i="12"/>
  <c r="P1821" i="12"/>
  <c r="P797" i="12"/>
  <c r="P77" i="12"/>
  <c r="P1876" i="12"/>
  <c r="P1620" i="12"/>
  <c r="P1364" i="12"/>
  <c r="P1108" i="12"/>
  <c r="P852" i="12"/>
  <c r="P596" i="12"/>
  <c r="P340" i="12"/>
  <c r="P84" i="12"/>
  <c r="P1883" i="12"/>
  <c r="P1627" i="12"/>
  <c r="P1371" i="12"/>
  <c r="P1115" i="12"/>
  <c r="P859" i="12"/>
  <c r="P603" i="12"/>
  <c r="P347" i="12"/>
  <c r="P91" i="12"/>
  <c r="P1890" i="12"/>
  <c r="P1634" i="12"/>
  <c r="P1378" i="12"/>
  <c r="P1122" i="12"/>
  <c r="P866" i="12"/>
  <c r="P610" i="12"/>
  <c r="P354" i="12"/>
  <c r="P98" i="12"/>
  <c r="P1889" i="12"/>
  <c r="P1633" i="12"/>
  <c r="P1377" i="12"/>
  <c r="P1121" i="12"/>
  <c r="P865" i="12"/>
  <c r="P609" i="12"/>
  <c r="P353" i="12"/>
  <c r="P97" i="12"/>
  <c r="P832" i="12"/>
  <c r="P824" i="12"/>
  <c r="P1648" i="12"/>
  <c r="P1008" i="12"/>
  <c r="P304" i="12"/>
  <c r="P1640" i="12"/>
  <c r="P1000" i="12"/>
  <c r="P296" i="12"/>
  <c r="P1632" i="12"/>
  <c r="P1056" i="12"/>
  <c r="P544" i="12"/>
  <c r="P32" i="12"/>
  <c r="P1560" i="12"/>
  <c r="P1048" i="12"/>
  <c r="P536" i="12"/>
  <c r="P24" i="12"/>
  <c r="P1552" i="12"/>
  <c r="P1040" i="12"/>
  <c r="P528" i="12"/>
  <c r="P16" i="12"/>
  <c r="P328" i="12"/>
  <c r="P200" i="12"/>
  <c r="P72" i="12"/>
  <c r="P456" i="12"/>
  <c r="P2031" i="12"/>
  <c r="P1686" i="12"/>
  <c r="P662" i="12"/>
  <c r="P1693" i="12"/>
  <c r="P669" i="12"/>
  <c r="P45" i="12"/>
  <c r="P1844" i="12"/>
  <c r="P1588" i="12"/>
  <c r="P1332" i="12"/>
  <c r="P1076" i="12"/>
  <c r="P820" i="12"/>
  <c r="P564" i="12"/>
  <c r="P308" i="12"/>
  <c r="P52" i="12"/>
  <c r="P1851" i="12"/>
  <c r="P1595" i="12"/>
  <c r="P1339" i="12"/>
  <c r="P1083" i="12"/>
  <c r="P827" i="12"/>
  <c r="P571" i="12"/>
  <c r="P315" i="12"/>
  <c r="P59" i="12"/>
  <c r="P1858" i="12"/>
  <c r="P1602" i="12"/>
  <c r="P1346" i="12"/>
  <c r="P1090" i="12"/>
  <c r="P834" i="12"/>
  <c r="P578" i="12"/>
  <c r="P322" i="12"/>
  <c r="P66" i="12"/>
  <c r="P1857" i="12"/>
  <c r="P1601" i="12"/>
  <c r="P1345" i="12"/>
  <c r="P1089" i="12"/>
  <c r="P833" i="12"/>
  <c r="P577" i="12"/>
  <c r="P321" i="12"/>
  <c r="P65" i="12"/>
  <c r="P576" i="12"/>
  <c r="P568" i="12"/>
  <c r="P1584" i="12"/>
  <c r="P944" i="12"/>
  <c r="P240" i="12"/>
  <c r="P1576" i="12"/>
  <c r="P936" i="12"/>
  <c r="P232" i="12"/>
  <c r="P1568" i="12"/>
  <c r="P992" i="12"/>
  <c r="P480" i="12"/>
  <c r="P2074" i="12"/>
  <c r="P1496" i="12"/>
  <c r="P984" i="12"/>
  <c r="P472" i="12"/>
  <c r="P2058" i="12"/>
  <c r="P1488" i="12"/>
  <c r="P976" i="12"/>
  <c r="P464" i="12"/>
  <c r="P1937" i="12"/>
  <c r="P1800" i="12"/>
  <c r="P1672" i="12"/>
  <c r="P1544" i="12"/>
  <c r="P534" i="12"/>
  <c r="P109" i="12"/>
  <c r="P1460" i="12"/>
  <c r="P788" i="12"/>
  <c r="P116" i="12"/>
  <c r="P1467" i="12"/>
  <c r="P795" i="12"/>
  <c r="P123" i="12"/>
  <c r="P1474" i="12"/>
  <c r="P802" i="12"/>
  <c r="P130" i="12"/>
  <c r="P1473" i="12"/>
  <c r="P801" i="12"/>
  <c r="P129" i="12"/>
  <c r="P2001" i="12"/>
  <c r="P112" i="12"/>
  <c r="P424" i="12"/>
  <c r="P736" i="12"/>
  <c r="P1432" i="12"/>
  <c r="P88" i="12"/>
  <c r="P720" i="12"/>
  <c r="P1288" i="12"/>
  <c r="P968" i="12"/>
  <c r="P2061" i="12"/>
  <c r="P150" i="12"/>
  <c r="P13" i="12"/>
  <c r="P1396" i="12"/>
  <c r="P692" i="12"/>
  <c r="P20" i="12"/>
  <c r="P1403" i="12"/>
  <c r="P699" i="12"/>
  <c r="P27" i="12"/>
  <c r="P1410" i="12"/>
  <c r="P706" i="12"/>
  <c r="P34" i="12"/>
  <c r="P1409" i="12"/>
  <c r="P705" i="12"/>
  <c r="P33" i="12"/>
  <c r="P1776" i="12"/>
  <c r="P1990" i="12"/>
  <c r="P104" i="12"/>
  <c r="P608" i="12"/>
  <c r="P1240" i="12"/>
  <c r="P1951" i="12"/>
  <c r="P592" i="12"/>
  <c r="P1736" i="12"/>
  <c r="P1543" i="12"/>
  <c r="P1970" i="12"/>
  <c r="P2008" i="12"/>
  <c r="P1300" i="12"/>
  <c r="P628" i="12"/>
  <c r="P2018" i="12"/>
  <c r="P1307" i="12"/>
  <c r="P635" i="12"/>
  <c r="P2032" i="12"/>
  <c r="P1314" i="12"/>
  <c r="P642" i="12"/>
  <c r="P2030" i="12"/>
  <c r="P1313" i="12"/>
  <c r="P641" i="12"/>
  <c r="P1600" i="12"/>
  <c r="P1520" i="12"/>
  <c r="P1768" i="12"/>
  <c r="P1976" i="12"/>
  <c r="P416" i="12"/>
  <c r="P1112" i="12"/>
  <c r="P1744" i="12"/>
  <c r="P400" i="12"/>
  <c r="P712" i="12"/>
  <c r="P1960" i="12"/>
  <c r="P1181" i="12"/>
  <c r="P1812" i="12"/>
  <c r="P1140" i="12"/>
  <c r="P436" i="12"/>
  <c r="P1819" i="12"/>
  <c r="P1147" i="12"/>
  <c r="P443" i="12"/>
  <c r="P1826" i="12"/>
  <c r="P1154" i="12"/>
  <c r="P450" i="12"/>
  <c r="P1825" i="12"/>
  <c r="P1153" i="12"/>
  <c r="P449" i="12"/>
  <c r="P320" i="12"/>
  <c r="P1072" i="12"/>
  <c r="P1256" i="12"/>
  <c r="P1504" i="12"/>
  <c r="P96" i="12"/>
  <c r="P728" i="12"/>
  <c r="P1424" i="12"/>
  <c r="P80" i="12"/>
  <c r="P1608" i="12"/>
  <c r="P1558" i="12"/>
  <c r="P925" i="12"/>
  <c r="P1716" i="12"/>
  <c r="P1044" i="12"/>
  <c r="P372" i="12"/>
  <c r="P1723" i="12"/>
  <c r="P1051" i="12"/>
  <c r="P379" i="12"/>
  <c r="P1730" i="12"/>
  <c r="P1058" i="12"/>
  <c r="P386" i="12"/>
  <c r="P1729" i="12"/>
  <c r="P1057" i="12"/>
  <c r="P385" i="12"/>
  <c r="P1592" i="12"/>
  <c r="P816" i="12"/>
  <c r="P1064" i="12"/>
  <c r="P1248" i="12"/>
  <c r="P1962" i="12"/>
  <c r="P600" i="12"/>
  <c r="P1232" i="12"/>
  <c r="P1416" i="12"/>
  <c r="P584" i="12"/>
  <c r="P1174" i="12"/>
  <c r="P541" i="12"/>
  <c r="P1652" i="12"/>
  <c r="P948" i="12"/>
  <c r="P276" i="12"/>
  <c r="P1659" i="12"/>
  <c r="P955" i="12"/>
  <c r="P283" i="12"/>
  <c r="P1666" i="12"/>
  <c r="P962" i="12"/>
  <c r="P290" i="12"/>
  <c r="P1665" i="12"/>
  <c r="P961" i="12"/>
  <c r="P289" i="12"/>
  <c r="P1080" i="12"/>
  <c r="P560" i="12"/>
  <c r="P808" i="12"/>
  <c r="P1120" i="12"/>
  <c r="P1752" i="12"/>
  <c r="P408" i="12"/>
  <c r="P1104" i="12"/>
  <c r="P1864" i="12"/>
  <c r="P1032" i="12"/>
  <c r="P143" i="12"/>
  <c r="P532" i="12"/>
  <c r="P1928" i="12"/>
  <c r="P1217" i="12"/>
  <c r="P1512" i="12"/>
  <c r="P1616" i="12"/>
  <c r="P898" i="12"/>
  <c r="P918" i="12"/>
  <c r="P180" i="12"/>
  <c r="P1570" i="12"/>
  <c r="P897" i="12"/>
  <c r="P552" i="12"/>
  <c r="P912" i="12"/>
  <c r="P1563" i="12"/>
  <c r="P1565" i="12"/>
  <c r="P1918" i="12"/>
  <c r="P1218" i="12"/>
  <c r="P545" i="12"/>
  <c r="P1760" i="12"/>
  <c r="P208" i="12"/>
  <c r="P181" i="12"/>
  <c r="P193" i="12"/>
  <c r="P928" i="12"/>
  <c r="P840" i="12"/>
  <c r="P1908" i="12"/>
  <c r="P1211" i="12"/>
  <c r="P546" i="12"/>
  <c r="P1088" i="12"/>
  <c r="P224" i="12"/>
  <c r="P1160" i="12"/>
  <c r="P884" i="12"/>
  <c r="P187" i="12"/>
  <c r="P432" i="12"/>
  <c r="P1556" i="12"/>
  <c r="P891" i="12"/>
  <c r="P194" i="12"/>
  <c r="P312" i="12"/>
  <c r="P1624" i="12"/>
  <c r="P2042" i="12"/>
  <c r="P1569" i="12"/>
  <c r="P216" i="12"/>
  <c r="P1204" i="12"/>
  <c r="P539" i="12"/>
  <c r="P1927" i="12"/>
  <c r="P1264" i="12"/>
  <c r="P920" i="12"/>
  <c r="U2183" i="12"/>
  <c r="U2119" i="12"/>
  <c r="U2055" i="12"/>
  <c r="U1991" i="12"/>
  <c r="U1927" i="12"/>
  <c r="U1863" i="12"/>
  <c r="U1799" i="12"/>
  <c r="U1735" i="12"/>
  <c r="U1671" i="12"/>
  <c r="U1607" i="12"/>
  <c r="U1543" i="12"/>
  <c r="U1479" i="12"/>
  <c r="U1415" i="12"/>
  <c r="U1351" i="12"/>
  <c r="U1287" i="12"/>
  <c r="U1223" i="12"/>
  <c r="U1159" i="12"/>
  <c r="U1095" i="12"/>
  <c r="U1031" i="12"/>
  <c r="U967" i="12"/>
  <c r="U903" i="12"/>
  <c r="U839" i="12"/>
  <c r="U2190" i="12"/>
  <c r="U2126" i="12"/>
  <c r="U2175" i="12"/>
  <c r="U2111" i="12"/>
  <c r="U2047" i="12"/>
  <c r="U1983" i="12"/>
  <c r="U1919" i="12"/>
  <c r="U1855" i="12"/>
  <c r="U1791" i="12"/>
  <c r="U1727" i="12"/>
  <c r="U1663" i="12"/>
  <c r="U1599" i="12"/>
  <c r="U1535" i="12"/>
  <c r="U1471" i="12"/>
  <c r="U1407" i="12"/>
  <c r="U1343" i="12"/>
  <c r="U1279" i="12"/>
  <c r="U1215" i="12"/>
  <c r="U1151" i="12"/>
  <c r="U1087" i="12"/>
  <c r="U1023" i="12"/>
  <c r="U959" i="12"/>
  <c r="U895" i="12"/>
  <c r="U831" i="12"/>
  <c r="U2182" i="12"/>
  <c r="U2118" i="12"/>
  <c r="U2159" i="12"/>
  <c r="U2095" i="12"/>
  <c r="U2031" i="12"/>
  <c r="U1967" i="12"/>
  <c r="U1903" i="12"/>
  <c r="U1839" i="12"/>
  <c r="U1775" i="12"/>
  <c r="U1711" i="12"/>
  <c r="U1647" i="12"/>
  <c r="U1583" i="12"/>
  <c r="U1519" i="12"/>
  <c r="U1455" i="12"/>
  <c r="U1391" i="12"/>
  <c r="U1327" i="12"/>
  <c r="U1263" i="12"/>
  <c r="U1199" i="12"/>
  <c r="U1135" i="12"/>
  <c r="U1071" i="12"/>
  <c r="U1007" i="12"/>
  <c r="U943" i="12"/>
  <c r="U879" i="12"/>
  <c r="U815" i="12"/>
  <c r="U2166" i="12"/>
  <c r="U2143" i="12"/>
  <c r="U2079" i="12"/>
  <c r="U2015" i="12"/>
  <c r="U1951" i="12"/>
  <c r="U1887" i="12"/>
  <c r="U1823" i="12"/>
  <c r="U1759" i="12"/>
  <c r="U1695" i="12"/>
  <c r="U1631" i="12"/>
  <c r="U1567" i="12"/>
  <c r="U1503" i="12"/>
  <c r="U1439" i="12"/>
  <c r="U1375" i="12"/>
  <c r="U1311" i="12"/>
  <c r="U1247" i="12"/>
  <c r="U1183" i="12"/>
  <c r="U1119" i="12"/>
  <c r="U1055" i="12"/>
  <c r="U991" i="12"/>
  <c r="U927" i="12"/>
  <c r="U863" i="12"/>
  <c r="U799" i="12"/>
  <c r="U2150" i="12"/>
  <c r="U2199" i="12"/>
  <c r="U2135" i="12"/>
  <c r="U2071" i="12"/>
  <c r="U2007" i="12"/>
  <c r="U1943" i="12"/>
  <c r="U1879" i="12"/>
  <c r="U1815" i="12"/>
  <c r="U1751" i="12"/>
  <c r="U1687" i="12"/>
  <c r="U1623" i="12"/>
  <c r="U1559" i="12"/>
  <c r="U1495" i="12"/>
  <c r="U1431" i="12"/>
  <c r="U1367" i="12"/>
  <c r="U1303" i="12"/>
  <c r="U1239" i="12"/>
  <c r="U1175" i="12"/>
  <c r="U1111" i="12"/>
  <c r="U1047" i="12"/>
  <c r="U983" i="12"/>
  <c r="U919" i="12"/>
  <c r="U855" i="12"/>
  <c r="U791" i="12"/>
  <c r="U2142" i="12"/>
  <c r="U2039" i="12"/>
  <c r="U1871" i="12"/>
  <c r="U1703" i="12"/>
  <c r="U1527" i="12"/>
  <c r="U1359" i="12"/>
  <c r="U1191" i="12"/>
  <c r="U1015" i="12"/>
  <c r="U847" i="12"/>
  <c r="U2102" i="12"/>
  <c r="U2038" i="12"/>
  <c r="U1974" i="12"/>
  <c r="U1910" i="12"/>
  <c r="U1846" i="12"/>
  <c r="U1782" i="12"/>
  <c r="U1718" i="12"/>
  <c r="U1654" i="12"/>
  <c r="U1590" i="12"/>
  <c r="U1526" i="12"/>
  <c r="U1462" i="12"/>
  <c r="U1398" i="12"/>
  <c r="U1334" i="12"/>
  <c r="U1270" i="12"/>
  <c r="U1206" i="12"/>
  <c r="U1142" i="12"/>
  <c r="U1078" i="12"/>
  <c r="U1014" i="12"/>
  <c r="U950" i="12"/>
  <c r="U886" i="12"/>
  <c r="U2149" i="12"/>
  <c r="U2085" i="12"/>
  <c r="U2021" i="12"/>
  <c r="U1957" i="12"/>
  <c r="U1893" i="12"/>
  <c r="U1829" i="12"/>
  <c r="U1765" i="12"/>
  <c r="U1701" i="12"/>
  <c r="U1637" i="12"/>
  <c r="U1573" i="12"/>
  <c r="U1509" i="12"/>
  <c r="U1445" i="12"/>
  <c r="U1381" i="12"/>
  <c r="U1317" i="12"/>
  <c r="U1253" i="12"/>
  <c r="U1189" i="12"/>
  <c r="U1125" i="12"/>
  <c r="U1061" i="12"/>
  <c r="U997" i="12"/>
  <c r="U933" i="12"/>
  <c r="U869" i="12"/>
  <c r="U805" i="12"/>
  <c r="U2148" i="12"/>
  <c r="U2084" i="12"/>
  <c r="U2020" i="12"/>
  <c r="U1956" i="12"/>
  <c r="U1892" i="12"/>
  <c r="U1828" i="12"/>
  <c r="U1764" i="12"/>
  <c r="U1700" i="12"/>
  <c r="U1636" i="12"/>
  <c r="U1572" i="12"/>
  <c r="U1508" i="12"/>
  <c r="U1444" i="12"/>
  <c r="U1380" i="12"/>
  <c r="U1316" i="12"/>
  <c r="U1252" i="12"/>
  <c r="U1188" i="12"/>
  <c r="U1124" i="12"/>
  <c r="U1060" i="12"/>
  <c r="U996" i="12"/>
  <c r="U932" i="12"/>
  <c r="U868" i="12"/>
  <c r="U2139" i="12"/>
  <c r="U2075" i="12"/>
  <c r="U2011" i="12"/>
  <c r="U1947" i="12"/>
  <c r="U1883" i="12"/>
  <c r="U1819" i="12"/>
  <c r="U1755" i="12"/>
  <c r="U1691" i="12"/>
  <c r="U1627" i="12"/>
  <c r="U1563" i="12"/>
  <c r="U1499" i="12"/>
  <c r="U1435" i="12"/>
  <c r="U1371" i="12"/>
  <c r="U1307" i="12"/>
  <c r="U1243" i="12"/>
  <c r="U1179" i="12"/>
  <c r="U1115" i="12"/>
  <c r="U2178" i="12"/>
  <c r="U2114" i="12"/>
  <c r="U2050" i="12"/>
  <c r="U1986" i="12"/>
  <c r="U1922" i="12"/>
  <c r="U1858" i="12"/>
  <c r="U1794" i="12"/>
  <c r="U1730" i="12"/>
  <c r="U1666" i="12"/>
  <c r="U1602" i="12"/>
  <c r="U1538" i="12"/>
  <c r="U1474" i="12"/>
  <c r="U1410" i="12"/>
  <c r="U1346" i="12"/>
  <c r="U1282" i="12"/>
  <c r="U1218" i="12"/>
  <c r="U1154" i="12"/>
  <c r="U1090" i="12"/>
  <c r="U1026" i="12"/>
  <c r="U962" i="12"/>
  <c r="U898" i="12"/>
  <c r="U2105" i="12"/>
  <c r="U1849" i="12"/>
  <c r="U1593" i="12"/>
  <c r="U1337" i="12"/>
  <c r="U1081" i="12"/>
  <c r="U907" i="12"/>
  <c r="U801" i="12"/>
  <c r="U734" i="12"/>
  <c r="U670" i="12"/>
  <c r="U606" i="12"/>
  <c r="U542" i="12"/>
  <c r="U478" i="12"/>
  <c r="U414" i="12"/>
  <c r="U350" i="12"/>
  <c r="U286" i="12"/>
  <c r="U222" i="12"/>
  <c r="U158" i="12"/>
  <c r="U94" i="12"/>
  <c r="U30" i="12"/>
  <c r="U2072" i="12"/>
  <c r="U1816" i="12"/>
  <c r="U1560" i="12"/>
  <c r="U1304" i="12"/>
  <c r="U1056" i="12"/>
  <c r="U883" i="12"/>
  <c r="U789" i="12"/>
  <c r="U725" i="12"/>
  <c r="U661" i="12"/>
  <c r="U597" i="12"/>
  <c r="U533" i="12"/>
  <c r="U469" i="12"/>
  <c r="U405" i="12"/>
  <c r="U341" i="12"/>
  <c r="U277" i="12"/>
  <c r="U213" i="12"/>
  <c r="U149" i="12"/>
  <c r="U85" i="12"/>
  <c r="U2191" i="12"/>
  <c r="U2023" i="12"/>
  <c r="U1847" i="12"/>
  <c r="U1679" i="12"/>
  <c r="U1511" i="12"/>
  <c r="U1335" i="12"/>
  <c r="U1167" i="12"/>
  <c r="U999" i="12"/>
  <c r="U823" i="12"/>
  <c r="U2094" i="12"/>
  <c r="U2030" i="12"/>
  <c r="U1966" i="12"/>
  <c r="U1902" i="12"/>
  <c r="U1838" i="12"/>
  <c r="U1774" i="12"/>
  <c r="U1710" i="12"/>
  <c r="U1646" i="12"/>
  <c r="U1582" i="12"/>
  <c r="U1518" i="12"/>
  <c r="U1454" i="12"/>
  <c r="U1390" i="12"/>
  <c r="U1326" i="12"/>
  <c r="U1262" i="12"/>
  <c r="U1198" i="12"/>
  <c r="U1134" i="12"/>
  <c r="U1070" i="12"/>
  <c r="U1006" i="12"/>
  <c r="U942" i="12"/>
  <c r="U878" i="12"/>
  <c r="U2141" i="12"/>
  <c r="U2077" i="12"/>
  <c r="U2013" i="12"/>
  <c r="U1949" i="12"/>
  <c r="U1885" i="12"/>
  <c r="U1821" i="12"/>
  <c r="U1757" i="12"/>
  <c r="U1693" i="12"/>
  <c r="U1629" i="12"/>
  <c r="U1565" i="12"/>
  <c r="U1501" i="12"/>
  <c r="U1437" i="12"/>
  <c r="U1373" i="12"/>
  <c r="U1309" i="12"/>
  <c r="U1245" i="12"/>
  <c r="U1181" i="12"/>
  <c r="U1117" i="12"/>
  <c r="U1053" i="12"/>
  <c r="U989" i="12"/>
  <c r="U925" i="12"/>
  <c r="U861" i="12"/>
  <c r="U797" i="12"/>
  <c r="U2140" i="12"/>
  <c r="U2076" i="12"/>
  <c r="U2012" i="12"/>
  <c r="U1948" i="12"/>
  <c r="U1884" i="12"/>
  <c r="U1820" i="12"/>
  <c r="U1756" i="12"/>
  <c r="U1692" i="12"/>
  <c r="U1628" i="12"/>
  <c r="U1564" i="12"/>
  <c r="U1500" i="12"/>
  <c r="U1436" i="12"/>
  <c r="U1372" i="12"/>
  <c r="U1308" i="12"/>
  <c r="U1244" i="12"/>
  <c r="U1180" i="12"/>
  <c r="U1116" i="12"/>
  <c r="U1052" i="12"/>
  <c r="U988" i="12"/>
  <c r="U924" i="12"/>
  <c r="U2195" i="12"/>
  <c r="U2131" i="12"/>
  <c r="U2067" i="12"/>
  <c r="U2003" i="12"/>
  <c r="U1939" i="12"/>
  <c r="U1875" i="12"/>
  <c r="U1811" i="12"/>
  <c r="U1747" i="12"/>
  <c r="U1683" i="12"/>
  <c r="U1619" i="12"/>
  <c r="U1555" i="12"/>
  <c r="U1491" i="12"/>
  <c r="U1427" i="12"/>
  <c r="U1363" i="12"/>
  <c r="U1299" i="12"/>
  <c r="U1235" i="12"/>
  <c r="U1171" i="12"/>
  <c r="U1107" i="12"/>
  <c r="U2170" i="12"/>
  <c r="U2106" i="12"/>
  <c r="U2042" i="12"/>
  <c r="U1978" i="12"/>
  <c r="U1914" i="12"/>
  <c r="U1850" i="12"/>
  <c r="U1786" i="12"/>
  <c r="U1722" i="12"/>
  <c r="U1658" i="12"/>
  <c r="U1594" i="12"/>
  <c r="U1530" i="12"/>
  <c r="U1466" i="12"/>
  <c r="U1402" i="12"/>
  <c r="U1338" i="12"/>
  <c r="U1274" i="12"/>
  <c r="U1210" i="12"/>
  <c r="U1146" i="12"/>
  <c r="U1082" i="12"/>
  <c r="U1018" i="12"/>
  <c r="U954" i="12"/>
  <c r="U890" i="12"/>
  <c r="U2073" i="12"/>
  <c r="U1817" i="12"/>
  <c r="U1561" i="12"/>
  <c r="U1305" i="12"/>
  <c r="U1057" i="12"/>
  <c r="U888" i="12"/>
  <c r="U790" i="12"/>
  <c r="U726" i="12"/>
  <c r="U662" i="12"/>
  <c r="U598" i="12"/>
  <c r="U534" i="12"/>
  <c r="U470" i="12"/>
  <c r="U406" i="12"/>
  <c r="U342" i="12"/>
  <c r="U278" i="12"/>
  <c r="U214" i="12"/>
  <c r="U150" i="12"/>
  <c r="U86" i="12"/>
  <c r="U22" i="12"/>
  <c r="U2040" i="12"/>
  <c r="U1784" i="12"/>
  <c r="U1528" i="12"/>
  <c r="U1272" i="12"/>
  <c r="U1033" i="12"/>
  <c r="U865" i="12"/>
  <c r="U781" i="12"/>
  <c r="U717" i="12"/>
  <c r="U653" i="12"/>
  <c r="U589" i="12"/>
  <c r="U525" i="12"/>
  <c r="U461" i="12"/>
  <c r="U397" i="12"/>
  <c r="U333" i="12"/>
  <c r="U269" i="12"/>
  <c r="U205" i="12"/>
  <c r="U141" i="12"/>
  <c r="U77" i="12"/>
  <c r="U2167" i="12"/>
  <c r="U1999" i="12"/>
  <c r="U1831" i="12"/>
  <c r="U1655" i="12"/>
  <c r="U1487" i="12"/>
  <c r="U1319" i="12"/>
  <c r="U1143" i="12"/>
  <c r="U975" i="12"/>
  <c r="U807" i="12"/>
  <c r="U2086" i="12"/>
  <c r="U2022" i="12"/>
  <c r="U1958" i="12"/>
  <c r="U1894" i="12"/>
  <c r="U1830" i="12"/>
  <c r="U1766" i="12"/>
  <c r="U1702" i="12"/>
  <c r="U1638" i="12"/>
  <c r="U1574" i="12"/>
  <c r="U1510" i="12"/>
  <c r="U1446" i="12"/>
  <c r="U1382" i="12"/>
  <c r="U1318" i="12"/>
  <c r="U1254" i="12"/>
  <c r="U1190" i="12"/>
  <c r="U1126" i="12"/>
  <c r="U1062" i="12"/>
  <c r="U998" i="12"/>
  <c r="U934" i="12"/>
  <c r="U2197" i="12"/>
  <c r="U2133" i="12"/>
  <c r="U2069" i="12"/>
  <c r="U2005" i="12"/>
  <c r="U1941" i="12"/>
  <c r="U1877" i="12"/>
  <c r="U1813" i="12"/>
  <c r="U1749" i="12"/>
  <c r="U1685" i="12"/>
  <c r="U1621" i="12"/>
  <c r="U1557" i="12"/>
  <c r="U1493" i="12"/>
  <c r="U1429" i="12"/>
  <c r="U1365" i="12"/>
  <c r="U1301" i="12"/>
  <c r="U1237" i="12"/>
  <c r="U1173" i="12"/>
  <c r="U1109" i="12"/>
  <c r="U1045" i="12"/>
  <c r="U981" i="12"/>
  <c r="U917" i="12"/>
  <c r="U853" i="12"/>
  <c r="U2196" i="12"/>
  <c r="U2132" i="12"/>
  <c r="U2068" i="12"/>
  <c r="U2004" i="12"/>
  <c r="U1940" i="12"/>
  <c r="U1876" i="12"/>
  <c r="U1812" i="12"/>
  <c r="U1748" i="12"/>
  <c r="U1684" i="12"/>
  <c r="U1620" i="12"/>
  <c r="U1556" i="12"/>
  <c r="U1492" i="12"/>
  <c r="U1428" i="12"/>
  <c r="U1364" i="12"/>
  <c r="U1300" i="12"/>
  <c r="U1236" i="12"/>
  <c r="U1172" i="12"/>
  <c r="U1108" i="12"/>
  <c r="U1044" i="12"/>
  <c r="U980" i="12"/>
  <c r="U916" i="12"/>
  <c r="U2187" i="12"/>
  <c r="U2123" i="12"/>
  <c r="U2059" i="12"/>
  <c r="U1995" i="12"/>
  <c r="U1931" i="12"/>
  <c r="U1867" i="12"/>
  <c r="U1803" i="12"/>
  <c r="U1739" i="12"/>
  <c r="U1675" i="12"/>
  <c r="U1611" i="12"/>
  <c r="U1547" i="12"/>
  <c r="U1483" i="12"/>
  <c r="U1419" i="12"/>
  <c r="U1355" i="12"/>
  <c r="U1291" i="12"/>
  <c r="U1227" i="12"/>
  <c r="U1163" i="12"/>
  <c r="U1099" i="12"/>
  <c r="U2162" i="12"/>
  <c r="U2098" i="12"/>
  <c r="U2034" i="12"/>
  <c r="U1970" i="12"/>
  <c r="U1906" i="12"/>
  <c r="U1842" i="12"/>
  <c r="U1778" i="12"/>
  <c r="U1714" i="12"/>
  <c r="U1650" i="12"/>
  <c r="U1586" i="12"/>
  <c r="U1522" i="12"/>
  <c r="U1458" i="12"/>
  <c r="U1394" i="12"/>
  <c r="U1330" i="12"/>
  <c r="U1266" i="12"/>
  <c r="U1202" i="12"/>
  <c r="U1138" i="12"/>
  <c r="U1074" i="12"/>
  <c r="U1010" i="12"/>
  <c r="U946" i="12"/>
  <c r="U882" i="12"/>
  <c r="U2041" i="12"/>
  <c r="U1785" i="12"/>
  <c r="U1529" i="12"/>
  <c r="U1273" i="12"/>
  <c r="U1035" i="12"/>
  <c r="U867" i="12"/>
  <c r="U782" i="12"/>
  <c r="U718" i="12"/>
  <c r="U654" i="12"/>
  <c r="U590" i="12"/>
  <c r="U526" i="12"/>
  <c r="U462" i="12"/>
  <c r="U398" i="12"/>
  <c r="U334" i="12"/>
  <c r="U270" i="12"/>
  <c r="U206" i="12"/>
  <c r="U142" i="12"/>
  <c r="U78" i="12"/>
  <c r="U14" i="12"/>
  <c r="U2008" i="12"/>
  <c r="U1752" i="12"/>
  <c r="U1496" i="12"/>
  <c r="U1240" i="12"/>
  <c r="U1011" i="12"/>
  <c r="U852" i="12"/>
  <c r="U773" i="12"/>
  <c r="U709" i="12"/>
  <c r="U645" i="12"/>
  <c r="U581" i="12"/>
  <c r="U517" i="12"/>
  <c r="U453" i="12"/>
  <c r="U389" i="12"/>
  <c r="U325" i="12"/>
  <c r="U261" i="12"/>
  <c r="U197" i="12"/>
  <c r="U133" i="12"/>
  <c r="U69" i="12"/>
  <c r="U2127" i="12"/>
  <c r="U1959" i="12"/>
  <c r="U1783" i="12"/>
  <c r="U1615" i="12"/>
  <c r="U1447" i="12"/>
  <c r="U1271" i="12"/>
  <c r="U1103" i="12"/>
  <c r="U935" i="12"/>
  <c r="U2174" i="12"/>
  <c r="U2070" i="12"/>
  <c r="U2006" i="12"/>
  <c r="U1942" i="12"/>
  <c r="U1878" i="12"/>
  <c r="U1814" i="12"/>
  <c r="U1750" i="12"/>
  <c r="U1686" i="12"/>
  <c r="U1622" i="12"/>
  <c r="U1558" i="12"/>
  <c r="U1494" i="12"/>
  <c r="U1430" i="12"/>
  <c r="U1366" i="12"/>
  <c r="U1302" i="12"/>
  <c r="U1238" i="12"/>
  <c r="U1174" i="12"/>
  <c r="U1110" i="12"/>
  <c r="U1046" i="12"/>
  <c r="U982" i="12"/>
  <c r="U918" i="12"/>
  <c r="U2181" i="12"/>
  <c r="U2117" i="12"/>
  <c r="U2053" i="12"/>
  <c r="U1989" i="12"/>
  <c r="U1925" i="12"/>
  <c r="U1861" i="12"/>
  <c r="U1797" i="12"/>
  <c r="U1733" i="12"/>
  <c r="U1669" i="12"/>
  <c r="U1605" i="12"/>
  <c r="U1541" i="12"/>
  <c r="U1477" i="12"/>
  <c r="U1413" i="12"/>
  <c r="U1349" i="12"/>
  <c r="U1285" i="12"/>
  <c r="U1221" i="12"/>
  <c r="U1157" i="12"/>
  <c r="U1093" i="12"/>
  <c r="U1029" i="12"/>
  <c r="U965" i="12"/>
  <c r="U901" i="12"/>
  <c r="U837" i="12"/>
  <c r="U2180" i="12"/>
  <c r="U2116" i="12"/>
  <c r="U2052" i="12"/>
  <c r="U1988" i="12"/>
  <c r="U1924" i="12"/>
  <c r="U1860" i="12"/>
  <c r="U1796" i="12"/>
  <c r="U1732" i="12"/>
  <c r="U1668" i="12"/>
  <c r="U1604" i="12"/>
  <c r="U1540" i="12"/>
  <c r="U1476" i="12"/>
  <c r="U1412" i="12"/>
  <c r="U1348" i="12"/>
  <c r="U1284" i="12"/>
  <c r="U1220" i="12"/>
  <c r="U1156" i="12"/>
  <c r="U1092" i="12"/>
  <c r="U1028" i="12"/>
  <c r="U964" i="12"/>
  <c r="U900" i="12"/>
  <c r="U2171" i="12"/>
  <c r="U2107" i="12"/>
  <c r="U2043" i="12"/>
  <c r="U1979" i="12"/>
  <c r="U1915" i="12"/>
  <c r="U1851" i="12"/>
  <c r="U1787" i="12"/>
  <c r="U1723" i="12"/>
  <c r="U1659" i="12"/>
  <c r="U1595" i="12"/>
  <c r="U1531" i="12"/>
  <c r="U1467" i="12"/>
  <c r="U1403" i="12"/>
  <c r="U1339" i="12"/>
  <c r="U1275" i="12"/>
  <c r="U1211" i="12"/>
  <c r="U1147" i="12"/>
  <c r="U1083" i="12"/>
  <c r="U2146" i="12"/>
  <c r="U2082" i="12"/>
  <c r="U2018" i="12"/>
  <c r="U1954" i="12"/>
  <c r="U1890" i="12"/>
  <c r="U1826" i="12"/>
  <c r="U1762" i="12"/>
  <c r="U1698" i="12"/>
  <c r="U1634" i="12"/>
  <c r="U1570" i="12"/>
  <c r="U1506" i="12"/>
  <c r="U1442" i="12"/>
  <c r="U1378" i="12"/>
  <c r="U1314" i="12"/>
  <c r="U1250" i="12"/>
  <c r="U1186" i="12"/>
  <c r="U1122" i="12"/>
  <c r="U1058" i="12"/>
  <c r="U994" i="12"/>
  <c r="U930" i="12"/>
  <c r="U866" i="12"/>
  <c r="U1977" i="12"/>
  <c r="U1721" i="12"/>
  <c r="U1465" i="12"/>
  <c r="U1209" i="12"/>
  <c r="U993" i="12"/>
  <c r="U843" i="12"/>
  <c r="U766" i="12"/>
  <c r="U702" i="12"/>
  <c r="U638" i="12"/>
  <c r="U574" i="12"/>
  <c r="U510" i="12"/>
  <c r="U446" i="12"/>
  <c r="U382" i="12"/>
  <c r="U318" i="12"/>
  <c r="U254" i="12"/>
  <c r="U190" i="12"/>
  <c r="U126" i="12"/>
  <c r="U62" i="12"/>
  <c r="U2200" i="12"/>
  <c r="U1944" i="12"/>
  <c r="U1688" i="12"/>
  <c r="U1432" i="12"/>
  <c r="U1176" i="12"/>
  <c r="U969" i="12"/>
  <c r="U832" i="12"/>
  <c r="U757" i="12"/>
  <c r="U693" i="12"/>
  <c r="U629" i="12"/>
  <c r="U565" i="12"/>
  <c r="U501" i="12"/>
  <c r="U437" i="12"/>
  <c r="U373" i="12"/>
  <c r="U309" i="12"/>
  <c r="U245" i="12"/>
  <c r="U181" i="12"/>
  <c r="U117" i="12"/>
  <c r="U53" i="12"/>
  <c r="U2103" i="12"/>
  <c r="U1935" i="12"/>
  <c r="U1767" i="12"/>
  <c r="U1591" i="12"/>
  <c r="U1423" i="12"/>
  <c r="U1255" i="12"/>
  <c r="U1079" i="12"/>
  <c r="U911" i="12"/>
  <c r="U2158" i="12"/>
  <c r="U2062" i="12"/>
  <c r="U1998" i="12"/>
  <c r="U1934" i="12"/>
  <c r="U1870" i="12"/>
  <c r="U1806" i="12"/>
  <c r="U1742" i="12"/>
  <c r="U1678" i="12"/>
  <c r="U1614" i="12"/>
  <c r="U1550" i="12"/>
  <c r="U1486" i="12"/>
  <c r="U1422" i="12"/>
  <c r="U1358" i="12"/>
  <c r="U1294" i="12"/>
  <c r="U1230" i="12"/>
  <c r="U1166" i="12"/>
  <c r="U1102" i="12"/>
  <c r="U1038" i="12"/>
  <c r="U974" i="12"/>
  <c r="U910" i="12"/>
  <c r="U2173" i="12"/>
  <c r="U2109" i="12"/>
  <c r="U2045" i="12"/>
  <c r="U1981" i="12"/>
  <c r="U1917" i="12"/>
  <c r="U1853" i="12"/>
  <c r="U1789" i="12"/>
  <c r="U1725" i="12"/>
  <c r="U1661" i="12"/>
  <c r="U1597" i="12"/>
  <c r="U1533" i="12"/>
  <c r="U1469" i="12"/>
  <c r="U1405" i="12"/>
  <c r="U1341" i="12"/>
  <c r="U1277" i="12"/>
  <c r="U1213" i="12"/>
  <c r="U1149" i="12"/>
  <c r="U1085" i="12"/>
  <c r="U1021" i="12"/>
  <c r="U957" i="12"/>
  <c r="U893" i="12"/>
  <c r="U829" i="12"/>
  <c r="U2172" i="12"/>
  <c r="U2108" i="12"/>
  <c r="U2044" i="12"/>
  <c r="U1980" i="12"/>
  <c r="U1916" i="12"/>
  <c r="U1852" i="12"/>
  <c r="U1788" i="12"/>
  <c r="U1724" i="12"/>
  <c r="U1660" i="12"/>
  <c r="U1596" i="12"/>
  <c r="U1532" i="12"/>
  <c r="U1468" i="12"/>
  <c r="U1404" i="12"/>
  <c r="U1340" i="12"/>
  <c r="U1276" i="12"/>
  <c r="U1212" i="12"/>
  <c r="U1148" i="12"/>
  <c r="U1084" i="12"/>
  <c r="U1020" i="12"/>
  <c r="U956" i="12"/>
  <c r="U892" i="12"/>
  <c r="U2163" i="12"/>
  <c r="U2099" i="12"/>
  <c r="U2035" i="12"/>
  <c r="U1971" i="12"/>
  <c r="U1907" i="12"/>
  <c r="U1843" i="12"/>
  <c r="U1779" i="12"/>
  <c r="U1715" i="12"/>
  <c r="U1651" i="12"/>
  <c r="U1587" i="12"/>
  <c r="U1523" i="12"/>
  <c r="U1459" i="12"/>
  <c r="U1395" i="12"/>
  <c r="U1331" i="12"/>
  <c r="U1267" i="12"/>
  <c r="U1203" i="12"/>
  <c r="U1139" i="12"/>
  <c r="U1075" i="12"/>
  <c r="U2138" i="12"/>
  <c r="U2074" i="12"/>
  <c r="U2010" i="12"/>
  <c r="U1946" i="12"/>
  <c r="U1882" i="12"/>
  <c r="U1818" i="12"/>
  <c r="U1754" i="12"/>
  <c r="U1690" i="12"/>
  <c r="U1626" i="12"/>
  <c r="U1562" i="12"/>
  <c r="U1498" i="12"/>
  <c r="U1434" i="12"/>
  <c r="U1370" i="12"/>
  <c r="U1306" i="12"/>
  <c r="U1242" i="12"/>
  <c r="U1178" i="12"/>
  <c r="U1114" i="12"/>
  <c r="U1050" i="12"/>
  <c r="U986" i="12"/>
  <c r="U922" i="12"/>
  <c r="U858" i="12"/>
  <c r="U1945" i="12"/>
  <c r="U1689" i="12"/>
  <c r="U1433" i="12"/>
  <c r="U1177" i="12"/>
  <c r="U971" i="12"/>
  <c r="U833" i="12"/>
  <c r="U758" i="12"/>
  <c r="U694" i="12"/>
  <c r="U630" i="12"/>
  <c r="U566" i="12"/>
  <c r="U502" i="12"/>
  <c r="U438" i="12"/>
  <c r="U374" i="12"/>
  <c r="U310" i="12"/>
  <c r="U246" i="12"/>
  <c r="U182" i="12"/>
  <c r="U118" i="12"/>
  <c r="U54" i="12"/>
  <c r="U2168" i="12"/>
  <c r="U1912" i="12"/>
  <c r="U1656" i="12"/>
  <c r="U1400" i="12"/>
  <c r="U1144" i="12"/>
  <c r="U947" i="12"/>
  <c r="U820" i="12"/>
  <c r="U749" i="12"/>
  <c r="U685" i="12"/>
  <c r="U621" i="12"/>
  <c r="U557" i="12"/>
  <c r="U493" i="12"/>
  <c r="U429" i="12"/>
  <c r="U365" i="12"/>
  <c r="U301" i="12"/>
  <c r="U237" i="12"/>
  <c r="U173" i="12"/>
  <c r="U109" i="12"/>
  <c r="U45" i="12"/>
  <c r="U2087" i="12"/>
  <c r="U1911" i="12"/>
  <c r="U1743" i="12"/>
  <c r="U1575" i="12"/>
  <c r="U1399" i="12"/>
  <c r="U1231" i="12"/>
  <c r="U1063" i="12"/>
  <c r="U887" i="12"/>
  <c r="U2134" i="12"/>
  <c r="U2054" i="12"/>
  <c r="U1990" i="12"/>
  <c r="U1926" i="12"/>
  <c r="U1862" i="12"/>
  <c r="U1798" i="12"/>
  <c r="U1734" i="12"/>
  <c r="U1670" i="12"/>
  <c r="U1606" i="12"/>
  <c r="U1542" i="12"/>
  <c r="U1478" i="12"/>
  <c r="U1414" i="12"/>
  <c r="U1350" i="12"/>
  <c r="U1286" i="12"/>
  <c r="U1222" i="12"/>
  <c r="U1158" i="12"/>
  <c r="U1094" i="12"/>
  <c r="U1030" i="12"/>
  <c r="U966" i="12"/>
  <c r="U902" i="12"/>
  <c r="U2165" i="12"/>
  <c r="U2101" i="12"/>
  <c r="U2037" i="12"/>
  <c r="U1973" i="12"/>
  <c r="U1909" i="12"/>
  <c r="U1845" i="12"/>
  <c r="U1781" i="12"/>
  <c r="U1717" i="12"/>
  <c r="U1653" i="12"/>
  <c r="U1589" i="12"/>
  <c r="U1525" i="12"/>
  <c r="U1461" i="12"/>
  <c r="U1397" i="12"/>
  <c r="U1333" i="12"/>
  <c r="U1269" i="12"/>
  <c r="U1205" i="12"/>
  <c r="U1141" i="12"/>
  <c r="U1077" i="12"/>
  <c r="U1013" i="12"/>
  <c r="U949" i="12"/>
  <c r="U885" i="12"/>
  <c r="U821" i="12"/>
  <c r="U2164" i="12"/>
  <c r="U2100" i="12"/>
  <c r="U2036" i="12"/>
  <c r="U1972" i="12"/>
  <c r="U1908" i="12"/>
  <c r="U1844" i="12"/>
  <c r="U1780" i="12"/>
  <c r="U1716" i="12"/>
  <c r="U1652" i="12"/>
  <c r="U1588" i="12"/>
  <c r="U1524" i="12"/>
  <c r="U1460" i="12"/>
  <c r="U1396" i="12"/>
  <c r="U1332" i="12"/>
  <c r="U1268" i="12"/>
  <c r="U1204" i="12"/>
  <c r="U1140" i="12"/>
  <c r="U1076" i="12"/>
  <c r="U1012" i="12"/>
  <c r="U948" i="12"/>
  <c r="U884" i="12"/>
  <c r="U2155" i="12"/>
  <c r="U2091" i="12"/>
  <c r="U2027" i="12"/>
  <c r="U1963" i="12"/>
  <c r="U1899" i="12"/>
  <c r="U1835" i="12"/>
  <c r="U1771" i="12"/>
  <c r="U1707" i="12"/>
  <c r="U1643" i="12"/>
  <c r="U1579" i="12"/>
  <c r="U1515" i="12"/>
  <c r="U1451" i="12"/>
  <c r="U1387" i="12"/>
  <c r="U1323" i="12"/>
  <c r="U1259" i="12"/>
  <c r="U1195" i="12"/>
  <c r="U1131" i="12"/>
  <c r="U2194" i="12"/>
  <c r="U2130" i="12"/>
  <c r="U2066" i="12"/>
  <c r="U2002" i="12"/>
  <c r="U1938" i="12"/>
  <c r="U1874" i="12"/>
  <c r="U1810" i="12"/>
  <c r="U1746" i="12"/>
  <c r="U1682" i="12"/>
  <c r="U1618" i="12"/>
  <c r="U1554" i="12"/>
  <c r="U1490" i="12"/>
  <c r="U1426" i="12"/>
  <c r="U1362" i="12"/>
  <c r="U1298" i="12"/>
  <c r="U1234" i="12"/>
  <c r="U1170" i="12"/>
  <c r="U1106" i="12"/>
  <c r="U1042" i="12"/>
  <c r="U978" i="12"/>
  <c r="U914" i="12"/>
  <c r="U2169" i="12"/>
  <c r="U1913" i="12"/>
  <c r="U1657" i="12"/>
  <c r="U1401" i="12"/>
  <c r="U1145" i="12"/>
  <c r="U952" i="12"/>
  <c r="U822" i="12"/>
  <c r="U750" i="12"/>
  <c r="U686" i="12"/>
  <c r="U622" i="12"/>
  <c r="U558" i="12"/>
  <c r="U494" i="12"/>
  <c r="U430" i="12"/>
  <c r="U366" i="12"/>
  <c r="U302" i="12"/>
  <c r="U238" i="12"/>
  <c r="U174" i="12"/>
  <c r="U110" i="12"/>
  <c r="U46" i="12"/>
  <c r="U2136" i="12"/>
  <c r="U1880" i="12"/>
  <c r="U1624" i="12"/>
  <c r="U1368" i="12"/>
  <c r="U1112" i="12"/>
  <c r="U928" i="12"/>
  <c r="U810" i="12"/>
  <c r="U741" i="12"/>
  <c r="U677" i="12"/>
  <c r="U613" i="12"/>
  <c r="U549" i="12"/>
  <c r="U485" i="12"/>
  <c r="U421" i="12"/>
  <c r="U357" i="12"/>
  <c r="U293" i="12"/>
  <c r="U229" i="12"/>
  <c r="U165" i="12"/>
  <c r="U101" i="12"/>
  <c r="U37" i="12"/>
  <c r="U1975" i="12"/>
  <c r="U1295" i="12"/>
  <c r="U2078" i="12"/>
  <c r="U1822" i="12"/>
  <c r="U1566" i="12"/>
  <c r="U1310" i="12"/>
  <c r="U1054" i="12"/>
  <c r="U2125" i="12"/>
  <c r="U1869" i="12"/>
  <c r="U1613" i="12"/>
  <c r="U1357" i="12"/>
  <c r="U1101" i="12"/>
  <c r="U845" i="12"/>
  <c r="U1996" i="12"/>
  <c r="U1740" i="12"/>
  <c r="U1484" i="12"/>
  <c r="U1228" i="12"/>
  <c r="U972" i="12"/>
  <c r="U2051" i="12"/>
  <c r="U1795" i="12"/>
  <c r="U1539" i="12"/>
  <c r="U1283" i="12"/>
  <c r="U2154" i="12"/>
  <c r="U1898" i="12"/>
  <c r="U1642" i="12"/>
  <c r="U1386" i="12"/>
  <c r="U1130" i="12"/>
  <c r="U874" i="12"/>
  <c r="U1241" i="12"/>
  <c r="U710" i="12"/>
  <c r="U454" i="12"/>
  <c r="U198" i="12"/>
  <c r="U1976" i="12"/>
  <c r="U992" i="12"/>
  <c r="U637" i="12"/>
  <c r="U381" i="12"/>
  <c r="U125" i="12"/>
  <c r="U2161" i="12"/>
  <c r="U1905" i="12"/>
  <c r="U1649" i="12"/>
  <c r="U1393" i="12"/>
  <c r="U1137" i="12"/>
  <c r="U945" i="12"/>
  <c r="U819" i="12"/>
  <c r="U748" i="12"/>
  <c r="U684" i="12"/>
  <c r="U620" i="12"/>
  <c r="U556" i="12"/>
  <c r="U492" i="12"/>
  <c r="U428" i="12"/>
  <c r="U364" i="12"/>
  <c r="U300" i="12"/>
  <c r="U236" i="12"/>
  <c r="U172" i="12"/>
  <c r="U108" i="12"/>
  <c r="U44" i="12"/>
  <c r="U2120" i="12"/>
  <c r="U1864" i="12"/>
  <c r="U1608" i="12"/>
  <c r="U1352" i="12"/>
  <c r="U1096" i="12"/>
  <c r="U915" i="12"/>
  <c r="U804" i="12"/>
  <c r="U737" i="12"/>
  <c r="U673" i="12"/>
  <c r="U609" i="12"/>
  <c r="U545" i="12"/>
  <c r="U481" i="12"/>
  <c r="U417" i="12"/>
  <c r="U353" i="12"/>
  <c r="U289" i="12"/>
  <c r="U225" i="12"/>
  <c r="U161" i="12"/>
  <c r="U97" i="12"/>
  <c r="U33" i="12"/>
  <c r="U1968" i="12"/>
  <c r="U1456" i="12"/>
  <c r="U985" i="12"/>
  <c r="U763" i="12"/>
  <c r="U635" i="12"/>
  <c r="U507" i="12"/>
  <c r="U379" i="12"/>
  <c r="U251" i="12"/>
  <c r="U123" i="12"/>
  <c r="U2153" i="12"/>
  <c r="U1641" i="12"/>
  <c r="U1129" i="12"/>
  <c r="U817" i="12"/>
  <c r="U682" i="12"/>
  <c r="U554" i="12"/>
  <c r="U426" i="12"/>
  <c r="U298" i="12"/>
  <c r="U170" i="12"/>
  <c r="U42" i="12"/>
  <c r="U1825" i="12"/>
  <c r="U1313" i="12"/>
  <c r="U891" i="12"/>
  <c r="U728" i="12"/>
  <c r="U600" i="12"/>
  <c r="U472" i="12"/>
  <c r="U344" i="12"/>
  <c r="U216" i="12"/>
  <c r="U88" i="12"/>
  <c r="U2016" i="12"/>
  <c r="U1504" i="12"/>
  <c r="U1017" i="12"/>
  <c r="U775" i="12"/>
  <c r="U647" i="12"/>
  <c r="U519" i="12"/>
  <c r="U391" i="12"/>
  <c r="U263" i="12"/>
  <c r="U135" i="12"/>
  <c r="U7" i="12"/>
  <c r="U1744" i="12"/>
  <c r="U1232" i="12"/>
  <c r="U850" i="12"/>
  <c r="U707" i="12"/>
  <c r="U579" i="12"/>
  <c r="U451" i="12"/>
  <c r="U323" i="12"/>
  <c r="U195" i="12"/>
  <c r="U67" i="12"/>
  <c r="U1993" i="12"/>
  <c r="U1481" i="12"/>
  <c r="U1003" i="12"/>
  <c r="U770" i="12"/>
  <c r="U642" i="12"/>
  <c r="U514" i="12"/>
  <c r="U386" i="12"/>
  <c r="U258" i="12"/>
  <c r="U130" i="12"/>
  <c r="U2176" i="12"/>
  <c r="U687" i="12"/>
  <c r="U175" i="12"/>
  <c r="U913" i="12"/>
  <c r="U352" i="12"/>
  <c r="U1600" i="12"/>
  <c r="U543" i="12"/>
  <c r="U31" i="12"/>
  <c r="U720" i="12"/>
  <c r="U208" i="12"/>
  <c r="U1040" i="12"/>
  <c r="U399" i="12"/>
  <c r="U1728" i="12"/>
  <c r="U575" i="12"/>
  <c r="U63" i="12"/>
  <c r="U576" i="12"/>
  <c r="U1473" i="12"/>
  <c r="U1217" i="12"/>
  <c r="U176" i="12"/>
  <c r="U2058" i="12"/>
  <c r="U358" i="12"/>
  <c r="U541" i="12"/>
  <c r="U1809" i="12"/>
  <c r="U1297" i="12"/>
  <c r="U788" i="12"/>
  <c r="U596" i="12"/>
  <c r="U1895" i="12"/>
  <c r="U1207" i="12"/>
  <c r="U2046" i="12"/>
  <c r="U1790" i="12"/>
  <c r="U1534" i="12"/>
  <c r="U1278" i="12"/>
  <c r="U1022" i="12"/>
  <c r="U2093" i="12"/>
  <c r="U1837" i="12"/>
  <c r="U1581" i="12"/>
  <c r="U1325" i="12"/>
  <c r="U1069" i="12"/>
  <c r="U813" i="12"/>
  <c r="U1964" i="12"/>
  <c r="U1708" i="12"/>
  <c r="U1452" i="12"/>
  <c r="U1196" i="12"/>
  <c r="U940" i="12"/>
  <c r="U2019" i="12"/>
  <c r="U1763" i="12"/>
  <c r="U1507" i="12"/>
  <c r="U1251" i="12"/>
  <c r="U2122" i="12"/>
  <c r="U1866" i="12"/>
  <c r="U1610" i="12"/>
  <c r="U1354" i="12"/>
  <c r="U1098" i="12"/>
  <c r="U2137" i="12"/>
  <c r="U1113" i="12"/>
  <c r="U678" i="12"/>
  <c r="U422" i="12"/>
  <c r="U166" i="12"/>
  <c r="U1848" i="12"/>
  <c r="U905" i="12"/>
  <c r="U605" i="12"/>
  <c r="U349" i="12"/>
  <c r="U93" i="12"/>
  <c r="U2129" i="12"/>
  <c r="U1873" i="12"/>
  <c r="U1617" i="12"/>
  <c r="U1361" i="12"/>
  <c r="U1105" i="12"/>
  <c r="U923" i="12"/>
  <c r="U809" i="12"/>
  <c r="U740" i="12"/>
  <c r="U676" i="12"/>
  <c r="U612" i="12"/>
  <c r="U548" i="12"/>
  <c r="U484" i="12"/>
  <c r="U420" i="12"/>
  <c r="U356" i="12"/>
  <c r="U292" i="12"/>
  <c r="U228" i="12"/>
  <c r="U164" i="12"/>
  <c r="U100" i="12"/>
  <c r="U36" i="12"/>
  <c r="U2088" i="12"/>
  <c r="U1832" i="12"/>
  <c r="U1576" i="12"/>
  <c r="U1320" i="12"/>
  <c r="U1065" i="12"/>
  <c r="U896" i="12"/>
  <c r="U794" i="12"/>
  <c r="U729" i="12"/>
  <c r="U665" i="12"/>
  <c r="U601" i="12"/>
  <c r="U537" i="12"/>
  <c r="U473" i="12"/>
  <c r="U409" i="12"/>
  <c r="U345" i="12"/>
  <c r="U281" i="12"/>
  <c r="U217" i="12"/>
  <c r="U153" i="12"/>
  <c r="U89" i="12"/>
  <c r="U25" i="12"/>
  <c r="U1904" i="12"/>
  <c r="U1392" i="12"/>
  <c r="U944" i="12"/>
  <c r="U747" i="12"/>
  <c r="U619" i="12"/>
  <c r="U491" i="12"/>
  <c r="U363" i="12"/>
  <c r="U235" i="12"/>
  <c r="U107" i="12"/>
  <c r="U2089" i="12"/>
  <c r="U1577" i="12"/>
  <c r="U1067" i="12"/>
  <c r="U795" i="12"/>
  <c r="U666" i="12"/>
  <c r="U538" i="12"/>
  <c r="U410" i="12"/>
  <c r="U282" i="12"/>
  <c r="U154" i="12"/>
  <c r="U26" i="12"/>
  <c r="U1761" i="12"/>
  <c r="U1249" i="12"/>
  <c r="U857" i="12"/>
  <c r="U712" i="12"/>
  <c r="U584" i="12"/>
  <c r="U456" i="12"/>
  <c r="U328" i="12"/>
  <c r="U200" i="12"/>
  <c r="U72" i="12"/>
  <c r="U1952" i="12"/>
  <c r="U1440" i="12"/>
  <c r="U976" i="12"/>
  <c r="U759" i="12"/>
  <c r="U631" i="12"/>
  <c r="U503" i="12"/>
  <c r="U375" i="12"/>
  <c r="U247" i="12"/>
  <c r="U119" i="12"/>
  <c r="U2192" i="12"/>
  <c r="U1680" i="12"/>
  <c r="U1168" i="12"/>
  <c r="U828" i="12"/>
  <c r="U691" i="12"/>
  <c r="U563" i="12"/>
  <c r="U435" i="12"/>
  <c r="U307" i="12"/>
  <c r="U179" i="12"/>
  <c r="U51" i="12"/>
  <c r="U1929" i="12"/>
  <c r="U1417" i="12"/>
  <c r="U961" i="12"/>
  <c r="U754" i="12"/>
  <c r="U626" i="12"/>
  <c r="U498" i="12"/>
  <c r="U370" i="12"/>
  <c r="U242" i="12"/>
  <c r="U114" i="12"/>
  <c r="U1920" i="12"/>
  <c r="U623" i="12"/>
  <c r="U111" i="12"/>
  <c r="U803" i="12"/>
  <c r="U288" i="12"/>
  <c r="U1344" i="12"/>
  <c r="U479" i="12"/>
  <c r="U2049" i="12"/>
  <c r="U656" i="12"/>
  <c r="U144" i="12"/>
  <c r="U870" i="12"/>
  <c r="U335" i="12"/>
  <c r="U1472" i="12"/>
  <c r="U511" i="12"/>
  <c r="U1921" i="12"/>
  <c r="U320" i="12"/>
  <c r="U768" i="12"/>
  <c r="U704" i="12"/>
  <c r="U1985" i="12"/>
  <c r="U1187" i="12"/>
  <c r="U1592" i="12"/>
  <c r="U2065" i="12"/>
  <c r="U1051" i="12"/>
  <c r="U724" i="12"/>
  <c r="U1807" i="12"/>
  <c r="U1127" i="12"/>
  <c r="U2014" i="12"/>
  <c r="U1758" i="12"/>
  <c r="U1502" i="12"/>
  <c r="U1246" i="12"/>
  <c r="U990" i="12"/>
  <c r="U2061" i="12"/>
  <c r="U1805" i="12"/>
  <c r="U1549" i="12"/>
  <c r="U1293" i="12"/>
  <c r="U1037" i="12"/>
  <c r="U2188" i="12"/>
  <c r="U1932" i="12"/>
  <c r="U1676" i="12"/>
  <c r="U1420" i="12"/>
  <c r="U1164" i="12"/>
  <c r="U908" i="12"/>
  <c r="U1987" i="12"/>
  <c r="U1731" i="12"/>
  <c r="U1475" i="12"/>
  <c r="U1219" i="12"/>
  <c r="U2090" i="12"/>
  <c r="U1834" i="12"/>
  <c r="U1578" i="12"/>
  <c r="U1322" i="12"/>
  <c r="U1066" i="12"/>
  <c r="U2009" i="12"/>
  <c r="U1016" i="12"/>
  <c r="U646" i="12"/>
  <c r="U390" i="12"/>
  <c r="U134" i="12"/>
  <c r="U1720" i="12"/>
  <c r="U842" i="12"/>
  <c r="U573" i="12"/>
  <c r="U317" i="12"/>
  <c r="U61" i="12"/>
  <c r="U2097" i="12"/>
  <c r="U1841" i="12"/>
  <c r="U1585" i="12"/>
  <c r="U1329" i="12"/>
  <c r="U1073" i="12"/>
  <c r="U904" i="12"/>
  <c r="U798" i="12"/>
  <c r="U732" i="12"/>
  <c r="U668" i="12"/>
  <c r="U604" i="12"/>
  <c r="U540" i="12"/>
  <c r="U476" i="12"/>
  <c r="U412" i="12"/>
  <c r="U348" i="12"/>
  <c r="U284" i="12"/>
  <c r="U220" i="12"/>
  <c r="U156" i="12"/>
  <c r="U92" i="12"/>
  <c r="U28" i="12"/>
  <c r="U2056" i="12"/>
  <c r="U1800" i="12"/>
  <c r="U1544" i="12"/>
  <c r="U1288" i="12"/>
  <c r="U1043" i="12"/>
  <c r="U873" i="12"/>
  <c r="U785" i="12"/>
  <c r="U721" i="12"/>
  <c r="U657" i="12"/>
  <c r="U593" i="12"/>
  <c r="U529" i="12"/>
  <c r="U465" i="12"/>
  <c r="U401" i="12"/>
  <c r="U337" i="12"/>
  <c r="U273" i="12"/>
  <c r="U209" i="12"/>
  <c r="U145" i="12"/>
  <c r="U81" i="12"/>
  <c r="U17" i="12"/>
  <c r="U1840" i="12"/>
  <c r="U1328" i="12"/>
  <c r="U899" i="12"/>
  <c r="U731" i="12"/>
  <c r="U603" i="12"/>
  <c r="U475" i="12"/>
  <c r="U347" i="12"/>
  <c r="U219" i="12"/>
  <c r="U91" i="12"/>
  <c r="U2025" i="12"/>
  <c r="U1513" i="12"/>
  <c r="U1025" i="12"/>
  <c r="U778" i="12"/>
  <c r="U650" i="12"/>
  <c r="U522" i="12"/>
  <c r="U394" i="12"/>
  <c r="U266" i="12"/>
  <c r="U138" i="12"/>
  <c r="U10" i="12"/>
  <c r="U1697" i="12"/>
  <c r="U1185" i="12"/>
  <c r="U835" i="12"/>
  <c r="U696" i="12"/>
  <c r="U568" i="12"/>
  <c r="U440" i="12"/>
  <c r="U312" i="12"/>
  <c r="U184" i="12"/>
  <c r="U56" i="12"/>
  <c r="U1888" i="12"/>
  <c r="U1376" i="12"/>
  <c r="U931" i="12"/>
  <c r="U743" i="12"/>
  <c r="U615" i="12"/>
  <c r="U487" i="12"/>
  <c r="U359" i="12"/>
  <c r="U231" i="12"/>
  <c r="U103" i="12"/>
  <c r="U2128" i="12"/>
  <c r="U1616" i="12"/>
  <c r="U1104" i="12"/>
  <c r="U808" i="12"/>
  <c r="U675" i="12"/>
  <c r="U547" i="12"/>
  <c r="U419" i="12"/>
  <c r="U291" i="12"/>
  <c r="U163" i="12"/>
  <c r="U35" i="12"/>
  <c r="U1865" i="12"/>
  <c r="U1353" i="12"/>
  <c r="U920" i="12"/>
  <c r="U738" i="12"/>
  <c r="U610" i="12"/>
  <c r="U482" i="12"/>
  <c r="U354" i="12"/>
  <c r="U226" i="12"/>
  <c r="U98" i="12"/>
  <c r="U1664" i="12"/>
  <c r="U559" i="12"/>
  <c r="U47" i="12"/>
  <c r="U736" i="12"/>
  <c r="U224" i="12"/>
  <c r="U1088" i="12"/>
  <c r="U415" i="12"/>
  <c r="U1793" i="12"/>
  <c r="U592" i="12"/>
  <c r="U80" i="12"/>
  <c r="U783" i="12"/>
  <c r="U271" i="12"/>
  <c r="U1216" i="12"/>
  <c r="U447" i="12"/>
  <c r="U955" i="12"/>
  <c r="U64" i="12"/>
  <c r="U512" i="12"/>
  <c r="U448" i="12"/>
  <c r="U1000" i="12"/>
  <c r="U1719" i="12"/>
  <c r="U1039" i="12"/>
  <c r="U1982" i="12"/>
  <c r="U1726" i="12"/>
  <c r="U1470" i="12"/>
  <c r="U1214" i="12"/>
  <c r="U958" i="12"/>
  <c r="U2029" i="12"/>
  <c r="U1773" i="12"/>
  <c r="U1517" i="12"/>
  <c r="U1261" i="12"/>
  <c r="U1005" i="12"/>
  <c r="U2156" i="12"/>
  <c r="U1900" i="12"/>
  <c r="U1644" i="12"/>
  <c r="U1388" i="12"/>
  <c r="U1132" i="12"/>
  <c r="U876" i="12"/>
  <c r="U1955" i="12"/>
  <c r="U1699" i="12"/>
  <c r="U1443" i="12"/>
  <c r="U1802" i="12"/>
  <c r="U1546" i="12"/>
  <c r="U1290" i="12"/>
  <c r="U1034" i="12"/>
  <c r="U1881" i="12"/>
  <c r="U929" i="12"/>
  <c r="U614" i="12"/>
  <c r="U102" i="12"/>
  <c r="U800" i="12"/>
  <c r="U285" i="12"/>
  <c r="U29" i="12"/>
  <c r="U1553" i="12"/>
  <c r="U881" i="12"/>
  <c r="U660" i="12"/>
  <c r="U1639" i="12"/>
  <c r="U951" i="12"/>
  <c r="U1950" i="12"/>
  <c r="U1694" i="12"/>
  <c r="U1438" i="12"/>
  <c r="U1182" i="12"/>
  <c r="U926" i="12"/>
  <c r="U1997" i="12"/>
  <c r="U1741" i="12"/>
  <c r="U1485" i="12"/>
  <c r="U1229" i="12"/>
  <c r="U973" i="12"/>
  <c r="U2124" i="12"/>
  <c r="U1868" i="12"/>
  <c r="U1612" i="12"/>
  <c r="U1356" i="12"/>
  <c r="U1100" i="12"/>
  <c r="U2179" i="12"/>
  <c r="U1923" i="12"/>
  <c r="U1667" i="12"/>
  <c r="U1411" i="12"/>
  <c r="U1155" i="12"/>
  <c r="U2026" i="12"/>
  <c r="U1770" i="12"/>
  <c r="U1514" i="12"/>
  <c r="U1258" i="12"/>
  <c r="U1002" i="12"/>
  <c r="U1753" i="12"/>
  <c r="U854" i="12"/>
  <c r="U582" i="12"/>
  <c r="U326" i="12"/>
  <c r="U70" i="12"/>
  <c r="U1464" i="12"/>
  <c r="U765" i="12"/>
  <c r="U509" i="12"/>
  <c r="U253" i="12"/>
  <c r="U21" i="12"/>
  <c r="U2033" i="12"/>
  <c r="U1777" i="12"/>
  <c r="U1521" i="12"/>
  <c r="U1265" i="12"/>
  <c r="U1032" i="12"/>
  <c r="U864" i="12"/>
  <c r="U780" i="12"/>
  <c r="U716" i="12"/>
  <c r="U652" i="12"/>
  <c r="U588" i="12"/>
  <c r="U524" i="12"/>
  <c r="U460" i="12"/>
  <c r="U396" i="12"/>
  <c r="U332" i="12"/>
  <c r="U268" i="12"/>
  <c r="U204" i="12"/>
  <c r="U140" i="12"/>
  <c r="U76" i="12"/>
  <c r="U12" i="12"/>
  <c r="U1992" i="12"/>
  <c r="U1736" i="12"/>
  <c r="U1480" i="12"/>
  <c r="U1224" i="12"/>
  <c r="U1001" i="12"/>
  <c r="U848" i="12"/>
  <c r="U769" i="12"/>
  <c r="U705" i="12"/>
  <c r="U641" i="12"/>
  <c r="U577" i="12"/>
  <c r="U513" i="12"/>
  <c r="U449" i="12"/>
  <c r="U385" i="12"/>
  <c r="U321" i="12"/>
  <c r="U257" i="12"/>
  <c r="U193" i="12"/>
  <c r="U129" i="12"/>
  <c r="U65" i="12"/>
  <c r="U2" i="12"/>
  <c r="U1712" i="12"/>
  <c r="U1200" i="12"/>
  <c r="U840" i="12"/>
  <c r="U699" i="12"/>
  <c r="U571" i="12"/>
  <c r="U443" i="12"/>
  <c r="U315" i="12"/>
  <c r="U187" i="12"/>
  <c r="U59" i="12"/>
  <c r="U1897" i="12"/>
  <c r="U1385" i="12"/>
  <c r="U939" i="12"/>
  <c r="U746" i="12"/>
  <c r="U618" i="12"/>
  <c r="U490" i="12"/>
  <c r="U362" i="12"/>
  <c r="U234" i="12"/>
  <c r="U106" i="12"/>
  <c r="U2081" i="12"/>
  <c r="U1569" i="12"/>
  <c r="U1064" i="12"/>
  <c r="U793" i="12"/>
  <c r="U664" i="12"/>
  <c r="U536" i="12"/>
  <c r="U408" i="12"/>
  <c r="U280" i="12"/>
  <c r="U152" i="12"/>
  <c r="U24" i="12"/>
  <c r="U1760" i="12"/>
  <c r="U1248" i="12"/>
  <c r="U856" i="12"/>
  <c r="U711" i="12"/>
  <c r="U583" i="12"/>
  <c r="U455" i="12"/>
  <c r="U327" i="12"/>
  <c r="U199" i="12"/>
  <c r="U71" i="12"/>
  <c r="U2000" i="12"/>
  <c r="U1488" i="12"/>
  <c r="U1008" i="12"/>
  <c r="U771" i="12"/>
  <c r="U643" i="12"/>
  <c r="U515" i="12"/>
  <c r="U387" i="12"/>
  <c r="U259" i="12"/>
  <c r="U131" i="12"/>
  <c r="U3" i="12"/>
  <c r="U1737" i="12"/>
  <c r="U1225" i="12"/>
  <c r="U849" i="12"/>
  <c r="U706" i="12"/>
  <c r="U578" i="12"/>
  <c r="U450" i="12"/>
  <c r="U322" i="12"/>
  <c r="U194" i="12"/>
  <c r="U66" i="12"/>
  <c r="U1152" i="12"/>
  <c r="U431" i="12"/>
  <c r="U1857" i="12"/>
  <c r="U608" i="12"/>
  <c r="U96" i="12"/>
  <c r="U802" i="12"/>
  <c r="U287" i="12"/>
  <c r="U1281" i="12"/>
  <c r="U464" i="12"/>
  <c r="U2048" i="12"/>
  <c r="U655" i="12"/>
  <c r="U143" i="12"/>
  <c r="U844" i="12"/>
  <c r="U319" i="12"/>
  <c r="U368" i="12"/>
  <c r="U825" i="12"/>
  <c r="U1409" i="12"/>
  <c r="U2177" i="12"/>
  <c r="U384" i="12"/>
  <c r="U2063" i="12"/>
  <c r="U2110" i="12"/>
  <c r="U1598" i="12"/>
  <c r="U2157" i="12"/>
  <c r="U1645" i="12"/>
  <c r="U1133" i="12"/>
  <c r="U1516" i="12"/>
  <c r="U1004" i="12"/>
  <c r="U1827" i="12"/>
  <c r="U1315" i="12"/>
  <c r="U1551" i="12"/>
  <c r="U871" i="12"/>
  <c r="U1918" i="12"/>
  <c r="U1662" i="12"/>
  <c r="U1406" i="12"/>
  <c r="U1150" i="12"/>
  <c r="U894" i="12"/>
  <c r="U1965" i="12"/>
  <c r="U1709" i="12"/>
  <c r="U1453" i="12"/>
  <c r="U1197" i="12"/>
  <c r="U941" i="12"/>
  <c r="U2092" i="12"/>
  <c r="U1836" i="12"/>
  <c r="U1580" i="12"/>
  <c r="U1324" i="12"/>
  <c r="U1068" i="12"/>
  <c r="U2147" i="12"/>
  <c r="U1891" i="12"/>
  <c r="U1635" i="12"/>
  <c r="U1379" i="12"/>
  <c r="U1123" i="12"/>
  <c r="U1994" i="12"/>
  <c r="U1738" i="12"/>
  <c r="U1482" i="12"/>
  <c r="U1226" i="12"/>
  <c r="U970" i="12"/>
  <c r="U1625" i="12"/>
  <c r="U811" i="12"/>
  <c r="U550" i="12"/>
  <c r="U294" i="12"/>
  <c r="U38" i="12"/>
  <c r="U1336" i="12"/>
  <c r="U733" i="12"/>
  <c r="U477" i="12"/>
  <c r="U221" i="12"/>
  <c r="U13" i="12"/>
  <c r="U2001" i="12"/>
  <c r="U1745" i="12"/>
  <c r="U1489" i="12"/>
  <c r="U1233" i="12"/>
  <c r="U1009" i="12"/>
  <c r="U851" i="12"/>
  <c r="U772" i="12"/>
  <c r="U708" i="12"/>
  <c r="U644" i="12"/>
  <c r="U580" i="12"/>
  <c r="U516" i="12"/>
  <c r="U452" i="12"/>
  <c r="U388" i="12"/>
  <c r="U324" i="12"/>
  <c r="U260" i="12"/>
  <c r="U196" i="12"/>
  <c r="U132" i="12"/>
  <c r="U68" i="12"/>
  <c r="U4" i="12"/>
  <c r="U1960" i="12"/>
  <c r="U1704" i="12"/>
  <c r="U1448" i="12"/>
  <c r="U1192" i="12"/>
  <c r="U979" i="12"/>
  <c r="U836" i="12"/>
  <c r="U761" i="12"/>
  <c r="U697" i="12"/>
  <c r="U633" i="12"/>
  <c r="U569" i="12"/>
  <c r="U505" i="12"/>
  <c r="U441" i="12"/>
  <c r="U377" i="12"/>
  <c r="U313" i="12"/>
  <c r="U249" i="12"/>
  <c r="U185" i="12"/>
  <c r="U121" i="12"/>
  <c r="U57" i="12"/>
  <c r="U2160" i="12"/>
  <c r="U1648" i="12"/>
  <c r="U1136" i="12"/>
  <c r="U818" i="12"/>
  <c r="U683" i="12"/>
  <c r="U555" i="12"/>
  <c r="U427" i="12"/>
  <c r="U299" i="12"/>
  <c r="U171" i="12"/>
  <c r="U43" i="12"/>
  <c r="U1833" i="12"/>
  <c r="U1321" i="12"/>
  <c r="U897" i="12"/>
  <c r="U730" i="12"/>
  <c r="U602" i="12"/>
  <c r="U474" i="12"/>
  <c r="U346" i="12"/>
  <c r="U218" i="12"/>
  <c r="U90" i="12"/>
  <c r="U2017" i="12"/>
  <c r="U1505" i="12"/>
  <c r="U1019" i="12"/>
  <c r="U776" i="12"/>
  <c r="U648" i="12"/>
  <c r="U520" i="12"/>
  <c r="U392" i="12"/>
  <c r="U264" i="12"/>
  <c r="U136" i="12"/>
  <c r="U8" i="12"/>
  <c r="U1696" i="12"/>
  <c r="U1184" i="12"/>
  <c r="U834" i="12"/>
  <c r="U695" i="12"/>
  <c r="U567" i="12"/>
  <c r="U439" i="12"/>
  <c r="U311" i="12"/>
  <c r="U183" i="12"/>
  <c r="U55" i="12"/>
  <c r="U1936" i="12"/>
  <c r="U1424" i="12"/>
  <c r="U963" i="12"/>
  <c r="U755" i="12"/>
  <c r="U627" i="12"/>
  <c r="U499" i="12"/>
  <c r="U371" i="12"/>
  <c r="U243" i="12"/>
  <c r="U115" i="12"/>
  <c r="U2185" i="12"/>
  <c r="U1673" i="12"/>
  <c r="U1161" i="12"/>
  <c r="U827" i="12"/>
  <c r="U690" i="12"/>
  <c r="U562" i="12"/>
  <c r="U434" i="12"/>
  <c r="U306" i="12"/>
  <c r="U178" i="12"/>
  <c r="U50" i="12"/>
  <c r="U953" i="12"/>
  <c r="U367" i="12"/>
  <c r="U1601" i="12"/>
  <c r="U544" i="12"/>
  <c r="U32" i="12"/>
  <c r="U735" i="12"/>
  <c r="U223" i="12"/>
  <c r="U1041" i="12"/>
  <c r="U400" i="12"/>
  <c r="U1792" i="12"/>
  <c r="U591" i="12"/>
  <c r="U79" i="12"/>
  <c r="U767" i="12"/>
  <c r="U255" i="12"/>
  <c r="U112" i="12"/>
  <c r="U560" i="12"/>
  <c r="U752" i="12"/>
  <c r="U1153" i="12"/>
  <c r="U128" i="12"/>
  <c r="U1383" i="12"/>
  <c r="U1854" i="12"/>
  <c r="U1342" i="12"/>
  <c r="U1086" i="12"/>
  <c r="U1901" i="12"/>
  <c r="U1389" i="12"/>
  <c r="U877" i="12"/>
  <c r="U1772" i="12"/>
  <c r="U1260" i="12"/>
  <c r="U2083" i="12"/>
  <c r="U1571" i="12"/>
  <c r="U2151" i="12"/>
  <c r="U1463" i="12"/>
  <c r="U2198" i="12"/>
  <c r="U1886" i="12"/>
  <c r="U1630" i="12"/>
  <c r="U1374" i="12"/>
  <c r="U1118" i="12"/>
  <c r="U2189" i="12"/>
  <c r="U1933" i="12"/>
  <c r="U1677" i="12"/>
  <c r="U1421" i="12"/>
  <c r="U1165" i="12"/>
  <c r="U909" i="12"/>
  <c r="U2060" i="12"/>
  <c r="U1804" i="12"/>
  <c r="U1548" i="12"/>
  <c r="U1292" i="12"/>
  <c r="U1036" i="12"/>
  <c r="U2115" i="12"/>
  <c r="U1859" i="12"/>
  <c r="U1603" i="12"/>
  <c r="U1347" i="12"/>
  <c r="U1091" i="12"/>
  <c r="U1962" i="12"/>
  <c r="U1706" i="12"/>
  <c r="U1450" i="12"/>
  <c r="U1194" i="12"/>
  <c r="U938" i="12"/>
  <c r="U1497" i="12"/>
  <c r="U774" i="12"/>
  <c r="U518" i="12"/>
  <c r="U262" i="12"/>
  <c r="U6" i="12"/>
  <c r="U1208" i="12"/>
  <c r="U701" i="12"/>
  <c r="U445" i="12"/>
  <c r="U189" i="12"/>
  <c r="U5" i="12"/>
  <c r="U1969" i="12"/>
  <c r="U1713" i="12"/>
  <c r="U1457" i="12"/>
  <c r="U1201" i="12"/>
  <c r="U987" i="12"/>
  <c r="U841" i="12"/>
  <c r="U764" i="12"/>
  <c r="U700" i="12"/>
  <c r="U636" i="12"/>
  <c r="U572" i="12"/>
  <c r="U508" i="12"/>
  <c r="U444" i="12"/>
  <c r="U380" i="12"/>
  <c r="U316" i="12"/>
  <c r="U252" i="12"/>
  <c r="U188" i="12"/>
  <c r="U124" i="12"/>
  <c r="U60" i="12"/>
  <c r="U2184" i="12"/>
  <c r="U1928" i="12"/>
  <c r="U1672" i="12"/>
  <c r="U1416" i="12"/>
  <c r="U1160" i="12"/>
  <c r="U960" i="12"/>
  <c r="U826" i="12"/>
  <c r="U753" i="12"/>
  <c r="U689" i="12"/>
  <c r="U625" i="12"/>
  <c r="U561" i="12"/>
  <c r="U497" i="12"/>
  <c r="U433" i="12"/>
  <c r="U369" i="12"/>
  <c r="U305" i="12"/>
  <c r="U241" i="12"/>
  <c r="U177" i="12"/>
  <c r="U113" i="12"/>
  <c r="U49" i="12"/>
  <c r="U2096" i="12"/>
  <c r="U1584" i="12"/>
  <c r="U1072" i="12"/>
  <c r="U796" i="12"/>
  <c r="U667" i="12"/>
  <c r="U539" i="12"/>
  <c r="U411" i="12"/>
  <c r="U283" i="12"/>
  <c r="U155" i="12"/>
  <c r="U27" i="12"/>
  <c r="U1769" i="12"/>
  <c r="U1257" i="12"/>
  <c r="U860" i="12"/>
  <c r="U714" i="12"/>
  <c r="U586" i="12"/>
  <c r="U458" i="12"/>
  <c r="U330" i="12"/>
  <c r="U202" i="12"/>
  <c r="U74" i="12"/>
  <c r="U1953" i="12"/>
  <c r="U1441" i="12"/>
  <c r="U977" i="12"/>
  <c r="U760" i="12"/>
  <c r="U632" i="12"/>
  <c r="U504" i="12"/>
  <c r="U376" i="12"/>
  <c r="U248" i="12"/>
  <c r="U120" i="12"/>
  <c r="U2144" i="12"/>
  <c r="U1632" i="12"/>
  <c r="U1120" i="12"/>
  <c r="U812" i="12"/>
  <c r="U679" i="12"/>
  <c r="U551" i="12"/>
  <c r="U423" i="12"/>
  <c r="U295" i="12"/>
  <c r="U167" i="12"/>
  <c r="U39" i="12"/>
  <c r="U1872" i="12"/>
  <c r="U1360" i="12"/>
  <c r="U921" i="12"/>
  <c r="U739" i="12"/>
  <c r="U611" i="12"/>
  <c r="U483" i="12"/>
  <c r="U355" i="12"/>
  <c r="U227" i="12"/>
  <c r="U99" i="12"/>
  <c r="U2121" i="12"/>
  <c r="U1609" i="12"/>
  <c r="U1097" i="12"/>
  <c r="U806" i="12"/>
  <c r="U674" i="12"/>
  <c r="U546" i="12"/>
  <c r="U418" i="12"/>
  <c r="U290" i="12"/>
  <c r="U162" i="12"/>
  <c r="U34" i="12"/>
  <c r="U824" i="12"/>
  <c r="U303" i="12"/>
  <c r="U1345" i="12"/>
  <c r="U480" i="12"/>
  <c r="U2112" i="12"/>
  <c r="U671" i="12"/>
  <c r="U159" i="12"/>
  <c r="U872" i="12"/>
  <c r="U336" i="12"/>
  <c r="U1536" i="12"/>
  <c r="U527" i="12"/>
  <c r="U15" i="12"/>
  <c r="U703" i="12"/>
  <c r="U191" i="12"/>
  <c r="U1729" i="12"/>
  <c r="U304" i="12"/>
  <c r="U496" i="12"/>
  <c r="U688" i="12"/>
  <c r="U2186" i="12"/>
  <c r="U486" i="12"/>
  <c r="U1937" i="12"/>
  <c r="U628" i="12"/>
  <c r="U340" i="12"/>
  <c r="U84" i="12"/>
  <c r="U1512" i="12"/>
  <c r="U777" i="12"/>
  <c r="U521" i="12"/>
  <c r="U265" i="12"/>
  <c r="U9" i="12"/>
  <c r="U715" i="12"/>
  <c r="U203" i="12"/>
  <c r="U984" i="12"/>
  <c r="U378" i="12"/>
  <c r="U1633" i="12"/>
  <c r="U552" i="12"/>
  <c r="U40" i="12"/>
  <c r="U727" i="12"/>
  <c r="U215" i="12"/>
  <c r="U1049" i="12"/>
  <c r="U403" i="12"/>
  <c r="U1801" i="12"/>
  <c r="U594" i="12"/>
  <c r="U82" i="12"/>
  <c r="U672" i="12"/>
  <c r="U1537" i="12"/>
  <c r="U207" i="12"/>
  <c r="U1665" i="12"/>
  <c r="U1930" i="12"/>
  <c r="U230" i="12"/>
  <c r="U1681" i="12"/>
  <c r="U564" i="12"/>
  <c r="U308" i="12"/>
  <c r="U52" i="12"/>
  <c r="U1384" i="12"/>
  <c r="U745" i="12"/>
  <c r="U489" i="12"/>
  <c r="U233" i="12"/>
  <c r="U2032" i="12"/>
  <c r="U651" i="12"/>
  <c r="U139" i="12"/>
  <c r="U838" i="12"/>
  <c r="U314" i="12"/>
  <c r="U1377" i="12"/>
  <c r="U488" i="12"/>
  <c r="U2080" i="12"/>
  <c r="U663" i="12"/>
  <c r="U151" i="12"/>
  <c r="U880" i="12"/>
  <c r="U339" i="12"/>
  <c r="U1545" i="12"/>
  <c r="U530" i="12"/>
  <c r="U18" i="12"/>
  <c r="U416" i="12"/>
  <c r="U784" i="12"/>
  <c r="U1984" i="12"/>
  <c r="U48" i="12"/>
  <c r="U1080" i="12"/>
  <c r="U425" i="12"/>
  <c r="U523" i="12"/>
  <c r="U698" i="12"/>
  <c r="U936" i="12"/>
  <c r="U1568" i="12"/>
  <c r="U723" i="12"/>
  <c r="U1048" i="12"/>
  <c r="U751" i="12"/>
  <c r="U272" i="12"/>
  <c r="U240" i="12"/>
  <c r="U1674" i="12"/>
  <c r="U2104" i="12"/>
  <c r="U1425" i="12"/>
  <c r="U532" i="12"/>
  <c r="U276" i="12"/>
  <c r="U20" i="12"/>
  <c r="U1256" i="12"/>
  <c r="U713" i="12"/>
  <c r="U457" i="12"/>
  <c r="U201" i="12"/>
  <c r="U1776" i="12"/>
  <c r="U587" i="12"/>
  <c r="U75" i="12"/>
  <c r="U762" i="12"/>
  <c r="U250" i="12"/>
  <c r="U1121" i="12"/>
  <c r="U424" i="12"/>
  <c r="U1824" i="12"/>
  <c r="U599" i="12"/>
  <c r="U87" i="12"/>
  <c r="U787" i="12"/>
  <c r="U275" i="12"/>
  <c r="U1289" i="12"/>
  <c r="U466" i="12"/>
  <c r="U1408" i="12"/>
  <c r="U160" i="12"/>
  <c r="U528" i="12"/>
  <c r="U995" i="12"/>
  <c r="U256" i="12"/>
  <c r="U1418" i="12"/>
  <c r="U1169" i="12"/>
  <c r="U500" i="12"/>
  <c r="U244" i="12"/>
  <c r="U2152" i="12"/>
  <c r="U1128" i="12"/>
  <c r="U681" i="12"/>
  <c r="U169" i="12"/>
  <c r="U1520" i="12"/>
  <c r="U11" i="12"/>
  <c r="U186" i="12"/>
  <c r="U360" i="12"/>
  <c r="U535" i="12"/>
  <c r="U23" i="12"/>
  <c r="U211" i="12"/>
  <c r="U402" i="12"/>
  <c r="U1856" i="12"/>
  <c r="U639" i="12"/>
  <c r="U1162" i="12"/>
  <c r="U669" i="12"/>
  <c r="U968" i="12"/>
  <c r="U468" i="12"/>
  <c r="U212" i="12"/>
  <c r="U2024" i="12"/>
  <c r="U1024" i="12"/>
  <c r="U649" i="12"/>
  <c r="U393" i="12"/>
  <c r="U137" i="12"/>
  <c r="U1264" i="12"/>
  <c r="U459" i="12"/>
  <c r="U1961" i="12"/>
  <c r="U634" i="12"/>
  <c r="U122" i="12"/>
  <c r="U814" i="12"/>
  <c r="U296" i="12"/>
  <c r="U1312" i="12"/>
  <c r="U471" i="12"/>
  <c r="U2064" i="12"/>
  <c r="U659" i="12"/>
  <c r="U147" i="12"/>
  <c r="U875" i="12"/>
  <c r="U338" i="12"/>
  <c r="U495" i="12"/>
  <c r="U912" i="12"/>
  <c r="U16" i="12"/>
  <c r="U383" i="12"/>
  <c r="U192" i="12"/>
  <c r="U640" i="12"/>
  <c r="U742" i="12"/>
  <c r="U692" i="12"/>
  <c r="U1640" i="12"/>
  <c r="U553" i="12"/>
  <c r="U41" i="12"/>
  <c r="U267" i="12"/>
  <c r="U1889" i="12"/>
  <c r="U792" i="12"/>
  <c r="U467" i="12"/>
  <c r="U146" i="12"/>
  <c r="U463" i="12"/>
  <c r="U906" i="12"/>
  <c r="U413" i="12"/>
  <c r="U830" i="12"/>
  <c r="U436" i="12"/>
  <c r="U180" i="12"/>
  <c r="U1896" i="12"/>
  <c r="U937" i="12"/>
  <c r="U617" i="12"/>
  <c r="U361" i="12"/>
  <c r="U105" i="12"/>
  <c r="U1027" i="12"/>
  <c r="U395" i="12"/>
  <c r="U1705" i="12"/>
  <c r="U570" i="12"/>
  <c r="U58" i="12"/>
  <c r="U744" i="12"/>
  <c r="U232" i="12"/>
  <c r="U1059" i="12"/>
  <c r="U407" i="12"/>
  <c r="U1808" i="12"/>
  <c r="U595" i="12"/>
  <c r="U83" i="12"/>
  <c r="U786" i="12"/>
  <c r="U274" i="12"/>
  <c r="U239" i="12"/>
  <c r="U607" i="12"/>
  <c r="U1280" i="12"/>
  <c r="U127" i="12"/>
  <c r="U432" i="12"/>
  <c r="U2028" i="12"/>
  <c r="U116" i="12"/>
  <c r="U297" i="12"/>
  <c r="U1193" i="12"/>
  <c r="U616" i="12"/>
  <c r="U279" i="12"/>
  <c r="U2057" i="12"/>
  <c r="U1089" i="12"/>
  <c r="U846" i="12"/>
  <c r="U1369" i="12"/>
  <c r="U157" i="12"/>
  <c r="U756" i="12"/>
  <c r="U404" i="12"/>
  <c r="U148" i="12"/>
  <c r="U1768" i="12"/>
  <c r="U859" i="12"/>
  <c r="U585" i="12"/>
  <c r="U329" i="12"/>
  <c r="U73" i="12"/>
  <c r="U862" i="12"/>
  <c r="U331" i="12"/>
  <c r="U1449" i="12"/>
  <c r="U506" i="12"/>
  <c r="U2145" i="12"/>
  <c r="U680" i="12"/>
  <c r="U168" i="12"/>
  <c r="U889" i="12"/>
  <c r="U343" i="12"/>
  <c r="U1552" i="12"/>
  <c r="U531" i="12"/>
  <c r="U19" i="12"/>
  <c r="U722" i="12"/>
  <c r="U210" i="12"/>
  <c r="U2113" i="12"/>
  <c r="U351" i="12"/>
  <c r="U719" i="12"/>
  <c r="U624" i="12"/>
  <c r="U2193" i="12"/>
  <c r="U372" i="12"/>
  <c r="U816" i="12"/>
  <c r="U779" i="12"/>
  <c r="U442" i="12"/>
  <c r="U104" i="12"/>
  <c r="U1296" i="12"/>
  <c r="U658" i="12"/>
  <c r="U95" i="12"/>
  <c r="I1697" i="12"/>
  <c r="J1697" i="12" s="1"/>
  <c r="E52" i="4"/>
  <c r="E43" i="4"/>
  <c r="E16" i="4"/>
  <c r="E17" i="4"/>
  <c r="E24" i="4"/>
  <c r="E5" i="4"/>
  <c r="E14" i="4"/>
  <c r="E12" i="4"/>
  <c r="E56" i="4"/>
  <c r="E29" i="4"/>
  <c r="E23" i="4"/>
  <c r="E45" i="4"/>
  <c r="E4" i="4"/>
  <c r="E40" i="4"/>
  <c r="E31" i="4"/>
  <c r="E48" i="4"/>
  <c r="E47" i="4" s="1"/>
  <c r="E6" i="4"/>
  <c r="E26" i="4"/>
  <c r="E22" i="4"/>
  <c r="E28" i="4"/>
  <c r="E8" i="4"/>
  <c r="E9" i="4"/>
  <c r="E21" i="4"/>
  <c r="E46" i="4"/>
  <c r="E37" i="4"/>
  <c r="E33" i="4"/>
  <c r="E25" i="4"/>
  <c r="E32" i="4"/>
  <c r="E51" i="4"/>
  <c r="E55" i="4"/>
  <c r="E42" i="4"/>
  <c r="E10" i="4"/>
  <c r="E50" i="4"/>
  <c r="E53" i="4"/>
  <c r="E19" i="4"/>
  <c r="E13" i="4"/>
  <c r="E7" i="4"/>
  <c r="E41" i="4"/>
  <c r="E15" i="4"/>
  <c r="E11" i="4"/>
  <c r="E27" i="4"/>
  <c r="E34" i="4"/>
  <c r="E36" i="4"/>
  <c r="E30" i="4"/>
  <c r="E39" i="4"/>
  <c r="E54" i="4"/>
  <c r="E20" i="4"/>
  <c r="E18" i="4"/>
  <c r="E35" i="4" l="1"/>
  <c r="L2" i="12" a="1"/>
  <c r="E38" i="4"/>
  <c r="E3" i="4"/>
  <c r="E44" i="4"/>
  <c r="E49" i="4"/>
  <c r="J1698" i="12"/>
  <c r="T1697" i="12" s="1"/>
  <c r="T1696" i="12" s="1"/>
  <c r="T1695" i="12" s="1"/>
  <c r="T1694" i="12" s="1"/>
  <c r="T1693" i="12" s="1"/>
  <c r="L2141" i="12" l="1"/>
  <c r="L2077" i="12"/>
  <c r="L2013" i="12"/>
  <c r="L1949" i="12"/>
  <c r="L1885" i="12"/>
  <c r="L1821" i="12"/>
  <c r="L1757" i="12"/>
  <c r="L1693" i="12"/>
  <c r="L2164" i="12"/>
  <c r="L2100" i="12"/>
  <c r="L2036" i="12"/>
  <c r="L1972" i="12"/>
  <c r="L1908" i="12"/>
  <c r="L1844" i="12"/>
  <c r="L1780" i="12"/>
  <c r="L1716" i="12"/>
  <c r="L2179" i="12"/>
  <c r="L2115" i="12"/>
  <c r="L2051" i="12"/>
  <c r="L1987" i="12"/>
  <c r="L1923" i="12"/>
  <c r="L1859" i="12"/>
  <c r="L1795" i="12"/>
  <c r="L1731" i="12"/>
  <c r="L2193" i="12"/>
  <c r="L2129" i="12"/>
  <c r="L2065" i="12"/>
  <c r="L2001" i="12"/>
  <c r="L1937" i="12"/>
  <c r="L1873" i="12"/>
  <c r="L1809" i="12"/>
  <c r="L1745" i="12"/>
  <c r="L1681" i="12"/>
  <c r="L2104" i="12"/>
  <c r="L1976" i="12"/>
  <c r="L1848" i="12"/>
  <c r="L1720" i="12"/>
  <c r="L1631" i="12"/>
  <c r="L1567" i="12"/>
  <c r="L1503" i="12"/>
  <c r="L1439" i="12"/>
  <c r="L1375" i="12"/>
  <c r="L1311" i="12"/>
  <c r="L1247" i="12"/>
  <c r="L1183" i="12"/>
  <c r="L1119" i="12"/>
  <c r="L1055" i="12"/>
  <c r="L991" i="12"/>
  <c r="L927" i="12"/>
  <c r="L863" i="12"/>
  <c r="L799" i="12"/>
  <c r="L735" i="12"/>
  <c r="L671" i="12"/>
  <c r="L607" i="12"/>
  <c r="L543" i="12"/>
  <c r="L479" i="12"/>
  <c r="L415" i="12"/>
  <c r="L351" i="12"/>
  <c r="L287" i="12"/>
  <c r="L223" i="12"/>
  <c r="L159" i="12"/>
  <c r="L95" i="12"/>
  <c r="L31" i="12"/>
  <c r="L2135" i="12"/>
  <c r="L2007" i="12"/>
  <c r="L1879" i="12"/>
  <c r="L1751" i="12"/>
  <c r="L1646" i="12"/>
  <c r="L1582" i="12"/>
  <c r="L1518" i="12"/>
  <c r="L1454" i="12"/>
  <c r="L1390" i="12"/>
  <c r="L1326" i="12"/>
  <c r="L1262" i="12"/>
  <c r="L1198" i="12"/>
  <c r="L1134" i="12"/>
  <c r="L1070" i="12"/>
  <c r="L1006" i="12"/>
  <c r="L942" i="12"/>
  <c r="L878" i="12"/>
  <c r="L814" i="12"/>
  <c r="L750" i="12"/>
  <c r="L686" i="12"/>
  <c r="L622" i="12"/>
  <c r="L2189" i="12"/>
  <c r="L2125" i="12"/>
  <c r="L2061" i="12"/>
  <c r="L1997" i="12"/>
  <c r="L1933" i="12"/>
  <c r="L1869" i="12"/>
  <c r="L1805" i="12"/>
  <c r="L1741" i="12"/>
  <c r="L1677" i="12"/>
  <c r="L2148" i="12"/>
  <c r="L2084" i="12"/>
  <c r="L2020" i="12"/>
  <c r="L1956" i="12"/>
  <c r="L1892" i="12"/>
  <c r="L1828" i="12"/>
  <c r="L1764" i="12"/>
  <c r="L1700" i="12"/>
  <c r="L2163" i="12"/>
  <c r="L2099" i="12"/>
  <c r="L2035" i="12"/>
  <c r="L1971" i="12"/>
  <c r="L1907" i="12"/>
  <c r="L1843" i="12"/>
  <c r="L1779" i="12"/>
  <c r="L1715" i="12"/>
  <c r="L2177" i="12"/>
  <c r="L2113" i="12"/>
  <c r="L2049" i="12"/>
  <c r="L1985" i="12"/>
  <c r="L1921" i="12"/>
  <c r="L1857" i="12"/>
  <c r="L1793" i="12"/>
  <c r="L1729" i="12"/>
  <c r="L2200" i="12"/>
  <c r="L2072" i="12"/>
  <c r="L1944" i="12"/>
  <c r="L1816" i="12"/>
  <c r="L1688" i="12"/>
  <c r="L1615" i="12"/>
  <c r="L1551" i="12"/>
  <c r="L1487" i="12"/>
  <c r="L1423" i="12"/>
  <c r="L1359" i="12"/>
  <c r="L1295" i="12"/>
  <c r="L1231" i="12"/>
  <c r="L1167" i="12"/>
  <c r="L1103" i="12"/>
  <c r="L1039" i="12"/>
  <c r="L975" i="12"/>
  <c r="L911" i="12"/>
  <c r="L847" i="12"/>
  <c r="L783" i="12"/>
  <c r="L719" i="12"/>
  <c r="L655" i="12"/>
  <c r="L591" i="12"/>
  <c r="L527" i="12"/>
  <c r="L463" i="12"/>
  <c r="L399" i="12"/>
  <c r="L335" i="12"/>
  <c r="L271" i="12"/>
  <c r="L207" i="12"/>
  <c r="L143" i="12"/>
  <c r="L79" i="12"/>
  <c r="L15" i="12"/>
  <c r="L2103" i="12"/>
  <c r="L1975" i="12"/>
  <c r="L1847" i="12"/>
  <c r="L1719" i="12"/>
  <c r="L1630" i="12"/>
  <c r="L1566" i="12"/>
  <c r="L1502" i="12"/>
  <c r="L1438" i="12"/>
  <c r="L1374" i="12"/>
  <c r="L1310" i="12"/>
  <c r="L1246" i="12"/>
  <c r="L1182" i="12"/>
  <c r="L1118" i="12"/>
  <c r="L1054" i="12"/>
  <c r="L990" i="12"/>
  <c r="L926" i="12"/>
  <c r="L862" i="12"/>
  <c r="L798" i="12"/>
  <c r="L734" i="12"/>
  <c r="L670" i="12"/>
  <c r="L606" i="12"/>
  <c r="L2181" i="12"/>
  <c r="L2117" i="12"/>
  <c r="L2053" i="12"/>
  <c r="L1989" i="12"/>
  <c r="L1925" i="12"/>
  <c r="L1861" i="12"/>
  <c r="L1797" i="12"/>
  <c r="L1733" i="12"/>
  <c r="L1669" i="12"/>
  <c r="L2140" i="12"/>
  <c r="L2076" i="12"/>
  <c r="L2012" i="12"/>
  <c r="L1948" i="12"/>
  <c r="L1884" i="12"/>
  <c r="L1820" i="12"/>
  <c r="L1756" i="12"/>
  <c r="L1692" i="12"/>
  <c r="L2155" i="12"/>
  <c r="L2091" i="12"/>
  <c r="L2027" i="12"/>
  <c r="L1963" i="12"/>
  <c r="L1899" i="12"/>
  <c r="L1835" i="12"/>
  <c r="L1771" i="12"/>
  <c r="L1707" i="12"/>
  <c r="L2169" i="12"/>
  <c r="L2105" i="12"/>
  <c r="L2041" i="12"/>
  <c r="L1977" i="12"/>
  <c r="L1913" i="12"/>
  <c r="L1849" i="12"/>
  <c r="L1785" i="12"/>
  <c r="L1721" i="12"/>
  <c r="L2184" i="12"/>
  <c r="L2056" i="12"/>
  <c r="L1928" i="12"/>
  <c r="L1800" i="12"/>
  <c r="L1672" i="12"/>
  <c r="L1607" i="12"/>
  <c r="L1543" i="12"/>
  <c r="L1479" i="12"/>
  <c r="L1415" i="12"/>
  <c r="L1351" i="12"/>
  <c r="L1287" i="12"/>
  <c r="L1223" i="12"/>
  <c r="L1159" i="12"/>
  <c r="L1095" i="12"/>
  <c r="L1031" i="12"/>
  <c r="L967" i="12"/>
  <c r="L903" i="12"/>
  <c r="L839" i="12"/>
  <c r="L775" i="12"/>
  <c r="L711" i="12"/>
  <c r="L647" i="12"/>
  <c r="L583" i="12"/>
  <c r="L519" i="12"/>
  <c r="L455" i="12"/>
  <c r="L391" i="12"/>
  <c r="L327" i="12"/>
  <c r="L263" i="12"/>
  <c r="L199" i="12"/>
  <c r="L135" i="12"/>
  <c r="L71" i="12"/>
  <c r="L7" i="12"/>
  <c r="L2087" i="12"/>
  <c r="L1959" i="12"/>
  <c r="L1831" i="12"/>
  <c r="L1703" i="12"/>
  <c r="L1622" i="12"/>
  <c r="L1558" i="12"/>
  <c r="L1494" i="12"/>
  <c r="L1430" i="12"/>
  <c r="L1366" i="12"/>
  <c r="L1302" i="12"/>
  <c r="L1238" i="12"/>
  <c r="L1174" i="12"/>
  <c r="L1110" i="12"/>
  <c r="L1046" i="12"/>
  <c r="L982" i="12"/>
  <c r="L918" i="12"/>
  <c r="L854" i="12"/>
  <c r="L790" i="12"/>
  <c r="L726" i="12"/>
  <c r="L662" i="12"/>
  <c r="L598" i="12"/>
  <c r="L2165" i="12"/>
  <c r="L2101" i="12"/>
  <c r="L2037" i="12"/>
  <c r="L1973" i="12"/>
  <c r="L1909" i="12"/>
  <c r="L1845" i="12"/>
  <c r="L1781" i="12"/>
  <c r="L1717" i="12"/>
  <c r="L2188" i="12"/>
  <c r="L2124" i="12"/>
  <c r="L2060" i="12"/>
  <c r="L1996" i="12"/>
  <c r="L1932" i="12"/>
  <c r="L1868" i="12"/>
  <c r="L1804" i="12"/>
  <c r="L1740" i="12"/>
  <c r="L1676" i="12"/>
  <c r="L2139" i="12"/>
  <c r="L2075" i="12"/>
  <c r="L2011" i="12"/>
  <c r="L1947" i="12"/>
  <c r="L1883" i="12"/>
  <c r="L1819" i="12"/>
  <c r="L1755" i="12"/>
  <c r="L1691" i="12"/>
  <c r="L2153" i="12"/>
  <c r="L2089" i="12"/>
  <c r="L2025" i="12"/>
  <c r="L1961" i="12"/>
  <c r="L1897" i="12"/>
  <c r="L1833" i="12"/>
  <c r="L1769" i="12"/>
  <c r="L1705" i="12"/>
  <c r="L2152" i="12"/>
  <c r="L2024" i="12"/>
  <c r="L1896" i="12"/>
  <c r="L1768" i="12"/>
  <c r="L1655" i="12"/>
  <c r="L1591" i="12"/>
  <c r="L1527" i="12"/>
  <c r="L1463" i="12"/>
  <c r="L1399" i="12"/>
  <c r="L1335" i="12"/>
  <c r="L1271" i="12"/>
  <c r="L1207" i="12"/>
  <c r="L1143" i="12"/>
  <c r="L1079" i="12"/>
  <c r="L1015" i="12"/>
  <c r="L951" i="12"/>
  <c r="L887" i="12"/>
  <c r="L823" i="12"/>
  <c r="L759" i="12"/>
  <c r="L695" i="12"/>
  <c r="L631" i="12"/>
  <c r="L567" i="12"/>
  <c r="L503" i="12"/>
  <c r="L439" i="12"/>
  <c r="L375" i="12"/>
  <c r="L311" i="12"/>
  <c r="L247" i="12"/>
  <c r="L183" i="12"/>
  <c r="L119" i="12"/>
  <c r="L55" i="12"/>
  <c r="L2183" i="12"/>
  <c r="L2055" i="12"/>
  <c r="L1927" i="12"/>
  <c r="L1799" i="12"/>
  <c r="L1671" i="12"/>
  <c r="L1606" i="12"/>
  <c r="L1542" i="12"/>
  <c r="L1478" i="12"/>
  <c r="L1414" i="12"/>
  <c r="L1350" i="12"/>
  <c r="L1286" i="12"/>
  <c r="L1222" i="12"/>
  <c r="L1158" i="12"/>
  <c r="L1094" i="12"/>
  <c r="L1030" i="12"/>
  <c r="L966" i="12"/>
  <c r="L902" i="12"/>
  <c r="L838" i="12"/>
  <c r="L774" i="12"/>
  <c r="L710" i="12"/>
  <c r="L646" i="12"/>
  <c r="L2157" i="12"/>
  <c r="L2093" i="12"/>
  <c r="L2029" i="12"/>
  <c r="L1965" i="12"/>
  <c r="L1901" i="12"/>
  <c r="L1837" i="12"/>
  <c r="L1773" i="12"/>
  <c r="L1709" i="12"/>
  <c r="L2180" i="12"/>
  <c r="L2116" i="12"/>
  <c r="L2052" i="12"/>
  <c r="L1988" i="12"/>
  <c r="L1924" i="12"/>
  <c r="L1860" i="12"/>
  <c r="L1796" i="12"/>
  <c r="L1732" i="12"/>
  <c r="L2195" i="12"/>
  <c r="L2131" i="12"/>
  <c r="L2067" i="12"/>
  <c r="L2003" i="12"/>
  <c r="L1939" i="12"/>
  <c r="L1875" i="12"/>
  <c r="L1811" i="12"/>
  <c r="L1747" i="12"/>
  <c r="L1683" i="12"/>
  <c r="L2145" i="12"/>
  <c r="L2081" i="12"/>
  <c r="L2017" i="12"/>
  <c r="L1953" i="12"/>
  <c r="L1889" i="12"/>
  <c r="L1825" i="12"/>
  <c r="L1761" i="12"/>
  <c r="L1697" i="12"/>
  <c r="L2136" i="12"/>
  <c r="L2008" i="12"/>
  <c r="L1880" i="12"/>
  <c r="L1752" i="12"/>
  <c r="L1647" i="12"/>
  <c r="L1583" i="12"/>
  <c r="L1519" i="12"/>
  <c r="L1455" i="12"/>
  <c r="L1391" i="12"/>
  <c r="L1327" i="12"/>
  <c r="L1263" i="12"/>
  <c r="L1199" i="12"/>
  <c r="L1135" i="12"/>
  <c r="L1071" i="12"/>
  <c r="L1007" i="12"/>
  <c r="L943" i="12"/>
  <c r="L879" i="12"/>
  <c r="L815" i="12"/>
  <c r="L751" i="12"/>
  <c r="L687" i="12"/>
  <c r="L623" i="12"/>
  <c r="L559" i="12"/>
  <c r="L495" i="12"/>
  <c r="L431" i="12"/>
  <c r="L367" i="12"/>
  <c r="L303" i="12"/>
  <c r="L239" i="12"/>
  <c r="L175" i="12"/>
  <c r="L111" i="12"/>
  <c r="L47" i="12"/>
  <c r="L2167" i="12"/>
  <c r="L2039" i="12"/>
  <c r="L1911" i="12"/>
  <c r="L1783" i="12"/>
  <c r="L1662" i="12"/>
  <c r="L1598" i="12"/>
  <c r="L1534" i="12"/>
  <c r="L1470" i="12"/>
  <c r="L1406" i="12"/>
  <c r="L1342" i="12"/>
  <c r="L1278" i="12"/>
  <c r="L1214" i="12"/>
  <c r="L1150" i="12"/>
  <c r="L1086" i="12"/>
  <c r="L1022" i="12"/>
  <c r="L958" i="12"/>
  <c r="L894" i="12"/>
  <c r="L830" i="12"/>
  <c r="L766" i="12"/>
  <c r="L702" i="12"/>
  <c r="L638" i="12"/>
  <c r="L2149" i="12"/>
  <c r="L2085" i="12"/>
  <c r="L2021" i="12"/>
  <c r="L1957" i="12"/>
  <c r="L1893" i="12"/>
  <c r="L1829" i="12"/>
  <c r="L1765" i="12"/>
  <c r="L1701" i="12"/>
  <c r="L2172" i="12"/>
  <c r="L2108" i="12"/>
  <c r="L2044" i="12"/>
  <c r="L1980" i="12"/>
  <c r="L1916" i="12"/>
  <c r="L1852" i="12"/>
  <c r="L1788" i="12"/>
  <c r="L1724" i="12"/>
  <c r="L2187" i="12"/>
  <c r="L2123" i="12"/>
  <c r="L2059" i="12"/>
  <c r="L1995" i="12"/>
  <c r="L1931" i="12"/>
  <c r="L1867" i="12"/>
  <c r="L1803" i="12"/>
  <c r="L1739" i="12"/>
  <c r="L1675" i="12"/>
  <c r="L2137" i="12"/>
  <c r="L2073" i="12"/>
  <c r="L2009" i="12"/>
  <c r="L1945" i="12"/>
  <c r="L1881" i="12"/>
  <c r="L1817" i="12"/>
  <c r="L1753" i="12"/>
  <c r="L1689" i="12"/>
  <c r="L2120" i="12"/>
  <c r="L1992" i="12"/>
  <c r="L1864" i="12"/>
  <c r="L1736" i="12"/>
  <c r="L1639" i="12"/>
  <c r="L1575" i="12"/>
  <c r="L1511" i="12"/>
  <c r="L1447" i="12"/>
  <c r="L1383" i="12"/>
  <c r="L1319" i="12"/>
  <c r="L1255" i="12"/>
  <c r="L1191" i="12"/>
  <c r="L1127" i="12"/>
  <c r="L1063" i="12"/>
  <c r="L999" i="12"/>
  <c r="L935" i="12"/>
  <c r="L871" i="12"/>
  <c r="L807" i="12"/>
  <c r="L743" i="12"/>
  <c r="L679" i="12"/>
  <c r="L615" i="12"/>
  <c r="L551" i="12"/>
  <c r="L487" i="12"/>
  <c r="L423" i="12"/>
  <c r="L359" i="12"/>
  <c r="L295" i="12"/>
  <c r="L231" i="12"/>
  <c r="L167" i="12"/>
  <c r="L103" i="12"/>
  <c r="L39" i="12"/>
  <c r="L2151" i="12"/>
  <c r="L2023" i="12"/>
  <c r="L1895" i="12"/>
  <c r="L1767" i="12"/>
  <c r="L1654" i="12"/>
  <c r="L1590" i="12"/>
  <c r="L1526" i="12"/>
  <c r="L1462" i="12"/>
  <c r="L1398" i="12"/>
  <c r="L1334" i="12"/>
  <c r="L1270" i="12"/>
  <c r="L1206" i="12"/>
  <c r="L1142" i="12"/>
  <c r="L1078" i="12"/>
  <c r="L1014" i="12"/>
  <c r="L950" i="12"/>
  <c r="L886" i="12"/>
  <c r="L822" i="12"/>
  <c r="L758" i="12"/>
  <c r="L694" i="12"/>
  <c r="L630" i="12"/>
  <c r="L2109" i="12"/>
  <c r="L1853" i="12"/>
  <c r="L2132" i="12"/>
  <c r="L1876" i="12"/>
  <c r="L2147" i="12"/>
  <c r="L1891" i="12"/>
  <c r="L2161" i="12"/>
  <c r="L1905" i="12"/>
  <c r="L2168" i="12"/>
  <c r="L1663" i="12"/>
  <c r="L1407" i="12"/>
  <c r="L1151" i="12"/>
  <c r="L895" i="12"/>
  <c r="L639" i="12"/>
  <c r="L383" i="12"/>
  <c r="L127" i="12"/>
  <c r="L1943" i="12"/>
  <c r="L1550" i="12"/>
  <c r="L1294" i="12"/>
  <c r="L1038" i="12"/>
  <c r="L782" i="12"/>
  <c r="L574" i="12"/>
  <c r="L510" i="12"/>
  <c r="L446" i="12"/>
  <c r="L382" i="12"/>
  <c r="L318" i="12"/>
  <c r="L254" i="12"/>
  <c r="L190" i="12"/>
  <c r="L126" i="12"/>
  <c r="L62" i="12"/>
  <c r="L2198" i="12"/>
  <c r="L2070" i="12"/>
  <c r="L1942" i="12"/>
  <c r="L1814" i="12"/>
  <c r="L1686" i="12"/>
  <c r="L1613" i="12"/>
  <c r="L1549" i="12"/>
  <c r="L1485" i="12"/>
  <c r="L1421" i="12"/>
  <c r="L1357" i="12"/>
  <c r="L1293" i="12"/>
  <c r="L1229" i="12"/>
  <c r="L1165" i="12"/>
  <c r="L1101" i="12"/>
  <c r="L1037" i="12"/>
  <c r="L973" i="12"/>
  <c r="L909" i="12"/>
  <c r="L845" i="12"/>
  <c r="L781" i="12"/>
  <c r="L717" i="12"/>
  <c r="L653" i="12"/>
  <c r="L589" i="12"/>
  <c r="L525" i="12"/>
  <c r="L461" i="12"/>
  <c r="L397" i="12"/>
  <c r="L333" i="12"/>
  <c r="L269" i="12"/>
  <c r="L205" i="12"/>
  <c r="L141" i="12"/>
  <c r="L77" i="12"/>
  <c r="L13" i="12"/>
  <c r="L2098" i="12"/>
  <c r="L1970" i="12"/>
  <c r="L1842" i="12"/>
  <c r="L1714" i="12"/>
  <c r="L1628" i="12"/>
  <c r="L1564" i="12"/>
  <c r="L1500" i="12"/>
  <c r="L1436" i="12"/>
  <c r="L1372" i="12"/>
  <c r="L1308" i="12"/>
  <c r="L1244" i="12"/>
  <c r="L1180" i="12"/>
  <c r="L1116" i="12"/>
  <c r="L1052" i="12"/>
  <c r="L988" i="12"/>
  <c r="L924" i="12"/>
  <c r="L860" i="12"/>
  <c r="L796" i="12"/>
  <c r="L732" i="12"/>
  <c r="L668" i="12"/>
  <c r="L604" i="12"/>
  <c r="L540" i="12"/>
  <c r="L476" i="12"/>
  <c r="L412" i="12"/>
  <c r="L348" i="12"/>
  <c r="L2045" i="12"/>
  <c r="L1789" i="12"/>
  <c r="L2068" i="12"/>
  <c r="L1812" i="12"/>
  <c r="L2083" i="12"/>
  <c r="L1827" i="12"/>
  <c r="L2097" i="12"/>
  <c r="L1841" i="12"/>
  <c r="L2040" i="12"/>
  <c r="L1599" i="12"/>
  <c r="L1343" i="12"/>
  <c r="L1087" i="12"/>
  <c r="L831" i="12"/>
  <c r="L575" i="12"/>
  <c r="L319" i="12"/>
  <c r="L63" i="12"/>
  <c r="L1815" i="12"/>
  <c r="L1486" i="12"/>
  <c r="L1230" i="12"/>
  <c r="L974" i="12"/>
  <c r="L718" i="12"/>
  <c r="L558" i="12"/>
  <c r="L494" i="12"/>
  <c r="L430" i="12"/>
  <c r="L366" i="12"/>
  <c r="L302" i="12"/>
  <c r="L238" i="12"/>
  <c r="L174" i="12"/>
  <c r="L110" i="12"/>
  <c r="L46" i="12"/>
  <c r="L2166" i="12"/>
  <c r="L2038" i="12"/>
  <c r="L1910" i="12"/>
  <c r="L1782" i="12"/>
  <c r="L1661" i="12"/>
  <c r="L1597" i="12"/>
  <c r="L1533" i="12"/>
  <c r="L1469" i="12"/>
  <c r="L1405" i="12"/>
  <c r="L1341" i="12"/>
  <c r="L1277" i="12"/>
  <c r="L1213" i="12"/>
  <c r="L1149" i="12"/>
  <c r="L2005" i="12"/>
  <c r="L1749" i="12"/>
  <c r="L2028" i="12"/>
  <c r="L1772" i="12"/>
  <c r="L2043" i="12"/>
  <c r="L1787" i="12"/>
  <c r="L2057" i="12"/>
  <c r="L1801" i="12"/>
  <c r="L1960" i="12"/>
  <c r="L1559" i="12"/>
  <c r="L1303" i="12"/>
  <c r="L1047" i="12"/>
  <c r="L791" i="12"/>
  <c r="L535" i="12"/>
  <c r="L279" i="12"/>
  <c r="L23" i="12"/>
  <c r="L1735" i="12"/>
  <c r="L1446" i="12"/>
  <c r="L1190" i="12"/>
  <c r="L934" i="12"/>
  <c r="L678" i="12"/>
  <c r="L550" i="12"/>
  <c r="L486" i="12"/>
  <c r="L422" i="12"/>
  <c r="L358" i="12"/>
  <c r="L294" i="12"/>
  <c r="L230" i="12"/>
  <c r="L166" i="12"/>
  <c r="L102" i="12"/>
  <c r="L38" i="12"/>
  <c r="L2150" i="12"/>
  <c r="L2022" i="12"/>
  <c r="L1894" i="12"/>
  <c r="L1766" i="12"/>
  <c r="L1653" i="12"/>
  <c r="L1589" i="12"/>
  <c r="L1525" i="12"/>
  <c r="L1461" i="12"/>
  <c r="L1397" i="12"/>
  <c r="L1333" i="12"/>
  <c r="L1269" i="12"/>
  <c r="L1205" i="12"/>
  <c r="L1141" i="12"/>
  <c r="L1077" i="12"/>
  <c r="L1013" i="12"/>
  <c r="L949" i="12"/>
  <c r="L885" i="12"/>
  <c r="L821" i="12"/>
  <c r="L757" i="12"/>
  <c r="L693" i="12"/>
  <c r="L629" i="12"/>
  <c r="L565" i="12"/>
  <c r="L501" i="12"/>
  <c r="L437" i="12"/>
  <c r="L373" i="12"/>
  <c r="L309" i="12"/>
  <c r="L245" i="12"/>
  <c r="L181" i="12"/>
  <c r="L117" i="12"/>
  <c r="L53" i="12"/>
  <c r="L2178" i="12"/>
  <c r="L2050" i="12"/>
  <c r="L1922" i="12"/>
  <c r="L1794" i="12"/>
  <c r="L1668" i="12"/>
  <c r="L1604" i="12"/>
  <c r="L1540" i="12"/>
  <c r="L1476" i="12"/>
  <c r="L1412" i="12"/>
  <c r="L1348" i="12"/>
  <c r="L1284" i="12"/>
  <c r="L1220" i="12"/>
  <c r="L1156" i="12"/>
  <c r="L1092" i="12"/>
  <c r="L1028" i="12"/>
  <c r="L964" i="12"/>
  <c r="L900" i="12"/>
  <c r="L836" i="12"/>
  <c r="L772" i="12"/>
  <c r="L708" i="12"/>
  <c r="L644" i="12"/>
  <c r="L580" i="12"/>
  <c r="L516" i="12"/>
  <c r="L452" i="12"/>
  <c r="L388" i="12"/>
  <c r="L2197" i="12"/>
  <c r="L1813" i="12"/>
  <c r="L1940" i="12"/>
  <c r="L2019" i="12"/>
  <c r="L2185" i="12"/>
  <c r="L1737" i="12"/>
  <c r="L1623" i="12"/>
  <c r="L1215" i="12"/>
  <c r="L767" i="12"/>
  <c r="L407" i="12"/>
  <c r="L2119" i="12"/>
  <c r="L1510" i="12"/>
  <c r="L1102" i="12"/>
  <c r="L654" i="12"/>
  <c r="L518" i="12"/>
  <c r="L406" i="12"/>
  <c r="L310" i="12"/>
  <c r="L206" i="12"/>
  <c r="L94" i="12"/>
  <c r="L6" i="12"/>
  <c r="L1990" i="12"/>
  <c r="L1798" i="12"/>
  <c r="L1629" i="12"/>
  <c r="L1517" i="12"/>
  <c r="L1429" i="12"/>
  <c r="L1317" i="12"/>
  <c r="L1221" i="12"/>
  <c r="L1117" i="12"/>
  <c r="L1029" i="12"/>
  <c r="L941" i="12"/>
  <c r="L861" i="12"/>
  <c r="L773" i="12"/>
  <c r="L685" i="12"/>
  <c r="L605" i="12"/>
  <c r="L517" i="12"/>
  <c r="L429" i="12"/>
  <c r="L349" i="12"/>
  <c r="L261" i="12"/>
  <c r="L173" i="12"/>
  <c r="L93" i="12"/>
  <c r="L5" i="12"/>
  <c r="L2034" i="12"/>
  <c r="L1874" i="12"/>
  <c r="L1698" i="12"/>
  <c r="L1596" i="12"/>
  <c r="L1516" i="12"/>
  <c r="L1428" i="12"/>
  <c r="L1340" i="12"/>
  <c r="L1260" i="12"/>
  <c r="L1172" i="12"/>
  <c r="L1084" i="12"/>
  <c r="L1004" i="12"/>
  <c r="L916" i="12"/>
  <c r="L828" i="12"/>
  <c r="L748" i="12"/>
  <c r="L660" i="12"/>
  <c r="L572" i="12"/>
  <c r="L492" i="12"/>
  <c r="L404" i="12"/>
  <c r="L324" i="12"/>
  <c r="L260" i="12"/>
  <c r="L196" i="12"/>
  <c r="L132" i="12"/>
  <c r="L68" i="12"/>
  <c r="L4" i="12"/>
  <c r="L2080" i="12"/>
  <c r="L1952" i="12"/>
  <c r="L1824" i="12"/>
  <c r="L1696" i="12"/>
  <c r="L1619" i="12"/>
  <c r="L1555" i="12"/>
  <c r="L1491" i="12"/>
  <c r="L1427" i="12"/>
  <c r="L1363" i="12"/>
  <c r="L1299" i="12"/>
  <c r="L1235" i="12"/>
  <c r="L1171" i="12"/>
  <c r="L1107" i="12"/>
  <c r="L1043" i="12"/>
  <c r="L979" i="12"/>
  <c r="L915" i="12"/>
  <c r="L851" i="12"/>
  <c r="L787" i="12"/>
  <c r="L723" i="12"/>
  <c r="L659" i="12"/>
  <c r="L2173" i="12"/>
  <c r="L1725" i="12"/>
  <c r="L1900" i="12"/>
  <c r="L1979" i="12"/>
  <c r="L2121" i="12"/>
  <c r="L1713" i="12"/>
  <c r="L1535" i="12"/>
  <c r="L1175" i="12"/>
  <c r="L727" i="12"/>
  <c r="L343" i="12"/>
  <c r="L2071" i="12"/>
  <c r="L1422" i="12"/>
  <c r="L1062" i="12"/>
  <c r="L614" i="12"/>
  <c r="L502" i="12"/>
  <c r="L398" i="12"/>
  <c r="L286" i="12"/>
  <c r="L198" i="12"/>
  <c r="L86" i="12"/>
  <c r="L2182" i="12"/>
  <c r="L1974" i="12"/>
  <c r="L1750" i="12"/>
  <c r="L1621" i="12"/>
  <c r="L1509" i="12"/>
  <c r="L1413" i="12"/>
  <c r="L1309" i="12"/>
  <c r="L1197" i="12"/>
  <c r="L1109" i="12"/>
  <c r="L1021" i="12"/>
  <c r="L933" i="12"/>
  <c r="L853" i="12"/>
  <c r="L765" i="12"/>
  <c r="L677" i="12"/>
  <c r="L597" i="12"/>
  <c r="L509" i="12"/>
  <c r="L421" i="12"/>
  <c r="L341" i="12"/>
  <c r="L253" i="12"/>
  <c r="L165" i="12"/>
  <c r="L85" i="12"/>
  <c r="L2194" i="12"/>
  <c r="L2018" i="12"/>
  <c r="L1858" i="12"/>
  <c r="L1682" i="12"/>
  <c r="L1588" i="12"/>
  <c r="L1508" i="12"/>
  <c r="L1420" i="12"/>
  <c r="L1332" i="12"/>
  <c r="L1252" i="12"/>
  <c r="L1164" i="12"/>
  <c r="L1076" i="12"/>
  <c r="L996" i="12"/>
  <c r="L908" i="12"/>
  <c r="L820" i="12"/>
  <c r="L740" i="12"/>
  <c r="L652" i="12"/>
  <c r="L564" i="12"/>
  <c r="L484" i="12"/>
  <c r="L396" i="12"/>
  <c r="L316" i="12"/>
  <c r="L252" i="12"/>
  <c r="L188" i="12"/>
  <c r="L124" i="12"/>
  <c r="L60" i="12"/>
  <c r="L2192" i="12"/>
  <c r="L2064" i="12"/>
  <c r="L1936" i="12"/>
  <c r="L1808" i="12"/>
  <c r="L1680" i="12"/>
  <c r="L1611" i="12"/>
  <c r="L1547" i="12"/>
  <c r="L1483" i="12"/>
  <c r="L1419" i="12"/>
  <c r="L1355" i="12"/>
  <c r="L1291" i="12"/>
  <c r="L1227" i="12"/>
  <c r="L1163" i="12"/>
  <c r="L1099" i="12"/>
  <c r="L2133" i="12"/>
  <c r="L1685" i="12"/>
  <c r="L1836" i="12"/>
  <c r="L1955" i="12"/>
  <c r="L2033" i="12"/>
  <c r="L1673" i="12"/>
  <c r="L1495" i="12"/>
  <c r="L1111" i="12"/>
  <c r="L703" i="12"/>
  <c r="L255" i="12"/>
  <c r="L1991" i="12"/>
  <c r="L1382" i="12"/>
  <c r="L998" i="12"/>
  <c r="L590" i="12"/>
  <c r="L478" i="12"/>
  <c r="L390" i="12"/>
  <c r="L278" i="12"/>
  <c r="L182" i="12"/>
  <c r="L78" i="12"/>
  <c r="L2134" i="12"/>
  <c r="L1958" i="12"/>
  <c r="L1734" i="12"/>
  <c r="L1605" i="12"/>
  <c r="L1501" i="12"/>
  <c r="L1389" i="12"/>
  <c r="L1301" i="12"/>
  <c r="L1189" i="12"/>
  <c r="L1093" i="12"/>
  <c r="L1005" i="12"/>
  <c r="L925" i="12"/>
  <c r="L837" i="12"/>
  <c r="L749" i="12"/>
  <c r="L669" i="12"/>
  <c r="L581" i="12"/>
  <c r="L493" i="12"/>
  <c r="L413" i="12"/>
  <c r="L325" i="12"/>
  <c r="L237" i="12"/>
  <c r="L157" i="12"/>
  <c r="L69" i="12"/>
  <c r="L2162" i="12"/>
  <c r="L2002" i="12"/>
  <c r="L1826" i="12"/>
  <c r="L1660" i="12"/>
  <c r="L1580" i="12"/>
  <c r="L1492" i="12"/>
  <c r="L1404" i="12"/>
  <c r="L1324" i="12"/>
  <c r="L1236" i="12"/>
  <c r="L1148" i="12"/>
  <c r="L1068" i="12"/>
  <c r="L980" i="12"/>
  <c r="L892" i="12"/>
  <c r="L812" i="12"/>
  <c r="L724" i="12"/>
  <c r="L636" i="12"/>
  <c r="L556" i="12"/>
  <c r="L468" i="12"/>
  <c r="L380" i="12"/>
  <c r="L308" i="12"/>
  <c r="L244" i="12"/>
  <c r="L180" i="12"/>
  <c r="L116" i="12"/>
  <c r="L52" i="12"/>
  <c r="L2176" i="12"/>
  <c r="L2048" i="12"/>
  <c r="L1920" i="12"/>
  <c r="L1792" i="12"/>
  <c r="L1667" i="12"/>
  <c r="L1603" i="12"/>
  <c r="L1539" i="12"/>
  <c r="L1475" i="12"/>
  <c r="L1411" i="12"/>
  <c r="L1347" i="12"/>
  <c r="L1283" i="12"/>
  <c r="L1219" i="12"/>
  <c r="L1155" i="12"/>
  <c r="L1091" i="12"/>
  <c r="L1027" i="12"/>
  <c r="L963" i="12"/>
  <c r="L899" i="12"/>
  <c r="L835" i="12"/>
  <c r="L771" i="12"/>
  <c r="L707" i="12"/>
  <c r="L643" i="12"/>
  <c r="L2069" i="12"/>
  <c r="L2196" i="12"/>
  <c r="L1748" i="12"/>
  <c r="L1915" i="12"/>
  <c r="L1993" i="12"/>
  <c r="L2088" i="12"/>
  <c r="L1471" i="12"/>
  <c r="L1023" i="12"/>
  <c r="L663" i="12"/>
  <c r="L215" i="12"/>
  <c r="L1863" i="12"/>
  <c r="L1358" i="12"/>
  <c r="L910" i="12"/>
  <c r="L582" i="12"/>
  <c r="L470" i="12"/>
  <c r="L374" i="12"/>
  <c r="L270" i="12"/>
  <c r="L158" i="12"/>
  <c r="L70" i="12"/>
  <c r="L2118" i="12"/>
  <c r="L1926" i="12"/>
  <c r="L1718" i="12"/>
  <c r="L1581" i="12"/>
  <c r="L1493" i="12"/>
  <c r="L1381" i="12"/>
  <c r="L1285" i="12"/>
  <c r="L1181" i="12"/>
  <c r="L1085" i="12"/>
  <c r="L997" i="12"/>
  <c r="L917" i="12"/>
  <c r="L829" i="12"/>
  <c r="L741" i="12"/>
  <c r="L661" i="12"/>
  <c r="L573" i="12"/>
  <c r="L485" i="12"/>
  <c r="L405" i="12"/>
  <c r="L317" i="12"/>
  <c r="L229" i="12"/>
  <c r="L149" i="12"/>
  <c r="L61" i="12"/>
  <c r="L2146" i="12"/>
  <c r="L1986" i="12"/>
  <c r="L1810" i="12"/>
  <c r="L1652" i="12"/>
  <c r="L1572" i="12"/>
  <c r="L1484" i="12"/>
  <c r="L1396" i="12"/>
  <c r="L1316" i="12"/>
  <c r="L1228" i="12"/>
  <c r="L1140" i="12"/>
  <c r="L1060" i="12"/>
  <c r="L972" i="12"/>
  <c r="L884" i="12"/>
  <c r="L804" i="12"/>
  <c r="L716" i="12"/>
  <c r="L628" i="12"/>
  <c r="L548" i="12"/>
  <c r="L460" i="12"/>
  <c r="L372" i="12"/>
  <c r="L300" i="12"/>
  <c r="L236" i="12"/>
  <c r="L172" i="12"/>
  <c r="L108" i="12"/>
  <c r="L44" i="12"/>
  <c r="L2160" i="12"/>
  <c r="L2032" i="12"/>
  <c r="L1904" i="12"/>
  <c r="L1776" i="12"/>
  <c r="L1659" i="12"/>
  <c r="L1595" i="12"/>
  <c r="L1531" i="12"/>
  <c r="L1467" i="12"/>
  <c r="L1403" i="12"/>
  <c r="L1339" i="12"/>
  <c r="L1275" i="12"/>
  <c r="L1211" i="12"/>
  <c r="L1981" i="12"/>
  <c r="L2156" i="12"/>
  <c r="L1708" i="12"/>
  <c r="L1851" i="12"/>
  <c r="L1969" i="12"/>
  <c r="L1912" i="12"/>
  <c r="L1431" i="12"/>
  <c r="L983" i="12"/>
  <c r="L599" i="12"/>
  <c r="L191" i="12"/>
  <c r="L1687" i="12"/>
  <c r="L1318" i="12"/>
  <c r="L870" i="12"/>
  <c r="L566" i="12"/>
  <c r="L462" i="12"/>
  <c r="L350" i="12"/>
  <c r="L262" i="12"/>
  <c r="L150" i="12"/>
  <c r="L54" i="12"/>
  <c r="L2102" i="12"/>
  <c r="L1878" i="12"/>
  <c r="L1702" i="12"/>
  <c r="L1573" i="12"/>
  <c r="L1477" i="12"/>
  <c r="L1373" i="12"/>
  <c r="L1261" i="12"/>
  <c r="L1173" i="12"/>
  <c r="L1069" i="12"/>
  <c r="L989" i="12"/>
  <c r="L901" i="12"/>
  <c r="L813" i="12"/>
  <c r="L733" i="12"/>
  <c r="L645" i="12"/>
  <c r="L557" i="12"/>
  <c r="L477" i="12"/>
  <c r="L389" i="12"/>
  <c r="L301" i="12"/>
  <c r="L221" i="12"/>
  <c r="L133" i="12"/>
  <c r="L45" i="12"/>
  <c r="L2130" i="12"/>
  <c r="L1954" i="12"/>
  <c r="L1778" i="12"/>
  <c r="L1644" i="12"/>
  <c r="L1556" i="12"/>
  <c r="L1468" i="12"/>
  <c r="L1388" i="12"/>
  <c r="L1300" i="12"/>
  <c r="L1212" i="12"/>
  <c r="L1132" i="12"/>
  <c r="L1044" i="12"/>
  <c r="L956" i="12"/>
  <c r="L876" i="12"/>
  <c r="L788" i="12"/>
  <c r="L700" i="12"/>
  <c r="L620" i="12"/>
  <c r="L532" i="12"/>
  <c r="L444" i="12"/>
  <c r="L364" i="12"/>
  <c r="L292" i="12"/>
  <c r="L228" i="12"/>
  <c r="L164" i="12"/>
  <c r="L100" i="12"/>
  <c r="L36" i="12"/>
  <c r="L2144" i="12"/>
  <c r="L2016" i="12"/>
  <c r="L1941" i="12"/>
  <c r="L2092" i="12"/>
  <c r="L1684" i="12"/>
  <c r="L1763" i="12"/>
  <c r="L1929" i="12"/>
  <c r="L1832" i="12"/>
  <c r="L1367" i="12"/>
  <c r="L959" i="12"/>
  <c r="L511" i="12"/>
  <c r="L151" i="12"/>
  <c r="L1638" i="12"/>
  <c r="L1254" i="12"/>
  <c r="L846" i="12"/>
  <c r="L542" i="12"/>
  <c r="L454" i="12"/>
  <c r="L342" i="12"/>
  <c r="L246" i="12"/>
  <c r="L142" i="12"/>
  <c r="L30" i="12"/>
  <c r="L2086" i="12"/>
  <c r="L1862" i="12"/>
  <c r="L1670" i="12"/>
  <c r="L1565" i="12"/>
  <c r="L1453" i="12"/>
  <c r="L1365" i="12"/>
  <c r="L1253" i="12"/>
  <c r="L1157" i="12"/>
  <c r="L1061" i="12"/>
  <c r="L981" i="12"/>
  <c r="L893" i="12"/>
  <c r="L805" i="12"/>
  <c r="L725" i="12"/>
  <c r="L637" i="12"/>
  <c r="L549" i="12"/>
  <c r="L469" i="12"/>
  <c r="L381" i="12"/>
  <c r="L293" i="12"/>
  <c r="L213" i="12"/>
  <c r="L125" i="12"/>
  <c r="L37" i="12"/>
  <c r="L2114" i="12"/>
  <c r="L1938" i="12"/>
  <c r="L1762" i="12"/>
  <c r="L1636" i="12"/>
  <c r="L1548" i="12"/>
  <c r="L1460" i="12"/>
  <c r="L1380" i="12"/>
  <c r="L1292" i="12"/>
  <c r="L1204" i="12"/>
  <c r="L1124" i="12"/>
  <c r="L1036" i="12"/>
  <c r="L948" i="12"/>
  <c r="L868" i="12"/>
  <c r="L780" i="12"/>
  <c r="L692" i="12"/>
  <c r="L612" i="12"/>
  <c r="L524" i="12"/>
  <c r="L436" i="12"/>
  <c r="L356" i="12"/>
  <c r="L284" i="12"/>
  <c r="L220" i="12"/>
  <c r="L156" i="12"/>
  <c r="L92" i="12"/>
  <c r="L28" i="12"/>
  <c r="L2128" i="12"/>
  <c r="L2000" i="12"/>
  <c r="L1872" i="12"/>
  <c r="L1744" i="12"/>
  <c r="L1643" i="12"/>
  <c r="L1579" i="12"/>
  <c r="L1515" i="12"/>
  <c r="L1451" i="12"/>
  <c r="L1387" i="12"/>
  <c r="L1323" i="12"/>
  <c r="L1259" i="12"/>
  <c r="L1195" i="12"/>
  <c r="L1131" i="12"/>
  <c r="L1067" i="12"/>
  <c r="L1917" i="12"/>
  <c r="L2004" i="12"/>
  <c r="L2171" i="12"/>
  <c r="L1723" i="12"/>
  <c r="L1865" i="12"/>
  <c r="L1784" i="12"/>
  <c r="L1279" i="12"/>
  <c r="L919" i="12"/>
  <c r="L471" i="12"/>
  <c r="L87" i="12"/>
  <c r="L1614" i="12"/>
  <c r="L1166" i="12"/>
  <c r="L806" i="12"/>
  <c r="L534" i="12"/>
  <c r="L438" i="12"/>
  <c r="L334" i="12"/>
  <c r="L222" i="12"/>
  <c r="L134" i="12"/>
  <c r="L22" i="12"/>
  <c r="L2054" i="12"/>
  <c r="L1846" i="12"/>
  <c r="L1645" i="12"/>
  <c r="L1557" i="12"/>
  <c r="L1445" i="12"/>
  <c r="L1349" i="12"/>
  <c r="L1245" i="12"/>
  <c r="L1133" i="12"/>
  <c r="L1053" i="12"/>
  <c r="L965" i="12"/>
  <c r="L877" i="12"/>
  <c r="L797" i="12"/>
  <c r="L709" i="12"/>
  <c r="L621" i="12"/>
  <c r="L541" i="12"/>
  <c r="L453" i="12"/>
  <c r="L365" i="12"/>
  <c r="L285" i="12"/>
  <c r="L197" i="12"/>
  <c r="L109" i="12"/>
  <c r="L29" i="12"/>
  <c r="L2082" i="12"/>
  <c r="L1906" i="12"/>
  <c r="L1746" i="12"/>
  <c r="L1620" i="12"/>
  <c r="L1532" i="12"/>
  <c r="L1452" i="12"/>
  <c r="L1364" i="12"/>
  <c r="L1276" i="12"/>
  <c r="L1196" i="12"/>
  <c r="L1108" i="12"/>
  <c r="L1020" i="12"/>
  <c r="L940" i="12"/>
  <c r="L852" i="12"/>
  <c r="L764" i="12"/>
  <c r="L684" i="12"/>
  <c r="L596" i="12"/>
  <c r="L508" i="12"/>
  <c r="L428" i="12"/>
  <c r="L340" i="12"/>
  <c r="L276" i="12"/>
  <c r="L212" i="12"/>
  <c r="L148" i="12"/>
  <c r="L84" i="12"/>
  <c r="L20" i="12"/>
  <c r="L2112" i="12"/>
  <c r="L1984" i="12"/>
  <c r="L1856" i="12"/>
  <c r="L1728" i="12"/>
  <c r="L1635" i="12"/>
  <c r="L1571" i="12"/>
  <c r="L1507" i="12"/>
  <c r="L1443" i="12"/>
  <c r="L1379" i="12"/>
  <c r="L1315" i="12"/>
  <c r="L1251" i="12"/>
  <c r="L1187" i="12"/>
  <c r="L1877" i="12"/>
  <c r="L447" i="12"/>
  <c r="L214" i="12"/>
  <c r="L1325" i="12"/>
  <c r="L613" i="12"/>
  <c r="L2066" i="12"/>
  <c r="L1188" i="12"/>
  <c r="L500" i="12"/>
  <c r="L2096" i="12"/>
  <c r="L1587" i="12"/>
  <c r="L1331" i="12"/>
  <c r="L1123" i="12"/>
  <c r="L1011" i="12"/>
  <c r="L931" i="12"/>
  <c r="L843" i="12"/>
  <c r="L755" i="12"/>
  <c r="L675" i="12"/>
  <c r="L595" i="12"/>
  <c r="L531" i="12"/>
  <c r="L467" i="12"/>
  <c r="L403" i="12"/>
  <c r="L339" i="12"/>
  <c r="L275" i="12"/>
  <c r="L211" i="12"/>
  <c r="L2127" i="12"/>
  <c r="L1999" i="12"/>
  <c r="L1871" i="12"/>
  <c r="L1743" i="12"/>
  <c r="L1642" i="12"/>
  <c r="L1578" i="12"/>
  <c r="L1514" i="12"/>
  <c r="L1450" i="12"/>
  <c r="L1386" i="12"/>
  <c r="L1322" i="12"/>
  <c r="L1258" i="12"/>
  <c r="L1194" i="12"/>
  <c r="L1130" i="12"/>
  <c r="L1066" i="12"/>
  <c r="L1002" i="12"/>
  <c r="L938" i="12"/>
  <c r="L874" i="12"/>
  <c r="L810" i="12"/>
  <c r="L746" i="12"/>
  <c r="L682" i="12"/>
  <c r="L618" i="12"/>
  <c r="L554" i="12"/>
  <c r="L490" i="12"/>
  <c r="L426" i="12"/>
  <c r="L362" i="12"/>
  <c r="L298" i="12"/>
  <c r="L234" i="12"/>
  <c r="L170" i="12"/>
  <c r="L106" i="12"/>
  <c r="L42" i="12"/>
  <c r="L2142" i="12"/>
  <c r="L2014" i="12"/>
  <c r="L1886" i="12"/>
  <c r="L1758" i="12"/>
  <c r="L1649" i="12"/>
  <c r="L1585" i="12"/>
  <c r="L1521" i="12"/>
  <c r="L1457" i="12"/>
  <c r="L1393" i="12"/>
  <c r="L1329" i="12"/>
  <c r="L1265" i="12"/>
  <c r="L1201" i="12"/>
  <c r="L1137" i="12"/>
  <c r="L1073" i="12"/>
  <c r="L1009" i="12"/>
  <c r="L945" i="12"/>
  <c r="L881" i="12"/>
  <c r="L817" i="12"/>
  <c r="L753" i="12"/>
  <c r="L689" i="12"/>
  <c r="L625" i="12"/>
  <c r="L561" i="12"/>
  <c r="L497" i="12"/>
  <c r="L433" i="12"/>
  <c r="L369" i="12"/>
  <c r="L305" i="12"/>
  <c r="L241" i="12"/>
  <c r="L177" i="12"/>
  <c r="L113" i="12"/>
  <c r="L49" i="12"/>
  <c r="L2042" i="12"/>
  <c r="L1344" i="12"/>
  <c r="L832" i="12"/>
  <c r="L1964" i="12"/>
  <c r="L2199" i="12"/>
  <c r="L118" i="12"/>
  <c r="L1237" i="12"/>
  <c r="L533" i="12"/>
  <c r="L1890" i="12"/>
  <c r="L1100" i="12"/>
  <c r="L420" i="12"/>
  <c r="L1968" i="12"/>
  <c r="L1563" i="12"/>
  <c r="L1307" i="12"/>
  <c r="L1115" i="12"/>
  <c r="L1003" i="12"/>
  <c r="L923" i="12"/>
  <c r="L827" i="12"/>
  <c r="L747" i="12"/>
  <c r="L667" i="12"/>
  <c r="L587" i="12"/>
  <c r="L523" i="12"/>
  <c r="L459" i="12"/>
  <c r="L395" i="12"/>
  <c r="L331" i="12"/>
  <c r="L267" i="12"/>
  <c r="L203" i="12"/>
  <c r="L2111" i="12"/>
  <c r="L1983" i="12"/>
  <c r="L1855" i="12"/>
  <c r="L1727" i="12"/>
  <c r="L1634" i="12"/>
  <c r="L1570" i="12"/>
  <c r="L1506" i="12"/>
  <c r="L1442" i="12"/>
  <c r="L1378" i="12"/>
  <c r="L1314" i="12"/>
  <c r="L1250" i="12"/>
  <c r="L1186" i="12"/>
  <c r="L1122" i="12"/>
  <c r="L1058" i="12"/>
  <c r="L994" i="12"/>
  <c r="L930" i="12"/>
  <c r="L866" i="12"/>
  <c r="L802" i="12"/>
  <c r="L738" i="12"/>
  <c r="L674" i="12"/>
  <c r="L610" i="12"/>
  <c r="L546" i="12"/>
  <c r="L482" i="12"/>
  <c r="L418" i="12"/>
  <c r="L354" i="12"/>
  <c r="L290" i="12"/>
  <c r="L226" i="12"/>
  <c r="L162" i="12"/>
  <c r="L98" i="12"/>
  <c r="L34" i="12"/>
  <c r="L2126" i="12"/>
  <c r="L1998" i="12"/>
  <c r="L1870" i="12"/>
  <c r="L1742" i="12"/>
  <c r="L1641" i="12"/>
  <c r="L1577" i="12"/>
  <c r="L1513" i="12"/>
  <c r="L1449" i="12"/>
  <c r="L1385" i="12"/>
  <c r="L1321" i="12"/>
  <c r="L1257" i="12"/>
  <c r="L1193" i="12"/>
  <c r="L1129" i="12"/>
  <c r="L1065" i="12"/>
  <c r="L1001" i="12"/>
  <c r="L937" i="12"/>
  <c r="L873" i="12"/>
  <c r="L809" i="12"/>
  <c r="L745" i="12"/>
  <c r="L681" i="12"/>
  <c r="L617" i="12"/>
  <c r="L553" i="12"/>
  <c r="L489" i="12"/>
  <c r="L425" i="12"/>
  <c r="L361" i="12"/>
  <c r="L297" i="12"/>
  <c r="L233" i="12"/>
  <c r="L169" i="12"/>
  <c r="L105" i="12"/>
  <c r="L41" i="12"/>
  <c r="L1914" i="12"/>
  <c r="L2107" i="12"/>
  <c r="L1574" i="12"/>
  <c r="L14" i="12"/>
  <c r="L1125" i="12"/>
  <c r="L445" i="12"/>
  <c r="L1730" i="12"/>
  <c r="L1012" i="12"/>
  <c r="L332" i="12"/>
  <c r="L1888" i="12"/>
  <c r="L1523" i="12"/>
  <c r="L1267" i="12"/>
  <c r="L1083" i="12"/>
  <c r="L995" i="12"/>
  <c r="L907" i="12"/>
  <c r="L819" i="12"/>
  <c r="L739" i="12"/>
  <c r="L651" i="12"/>
  <c r="L579" i="12"/>
  <c r="L515" i="12"/>
  <c r="L451" i="12"/>
  <c r="L387" i="12"/>
  <c r="L323" i="12"/>
  <c r="L259" i="12"/>
  <c r="L195" i="12"/>
  <c r="L2095" i="12"/>
  <c r="L1967" i="12"/>
  <c r="L1839" i="12"/>
  <c r="L1711" i="12"/>
  <c r="L1626" i="12"/>
  <c r="L1562" i="12"/>
  <c r="L1498" i="12"/>
  <c r="L1434" i="12"/>
  <c r="L1370" i="12"/>
  <c r="L1306" i="12"/>
  <c r="L1242" i="12"/>
  <c r="L1178" i="12"/>
  <c r="L1114" i="12"/>
  <c r="L1050" i="12"/>
  <c r="L986" i="12"/>
  <c r="L922" i="12"/>
  <c r="L858" i="12"/>
  <c r="L794" i="12"/>
  <c r="L730" i="12"/>
  <c r="L666" i="12"/>
  <c r="L602" i="12"/>
  <c r="L538" i="12"/>
  <c r="L474" i="12"/>
  <c r="L410" i="12"/>
  <c r="L346" i="12"/>
  <c r="L282" i="12"/>
  <c r="L218" i="12"/>
  <c r="L154" i="12"/>
  <c r="L90" i="12"/>
  <c r="L26" i="12"/>
  <c r="L2110" i="12"/>
  <c r="L1982" i="12"/>
  <c r="L1854" i="12"/>
  <c r="L1726" i="12"/>
  <c r="L1633" i="12"/>
  <c r="L1569" i="12"/>
  <c r="L1505" i="12"/>
  <c r="L1441" i="12"/>
  <c r="L1377" i="12"/>
  <c r="L1313" i="12"/>
  <c r="L1249" i="12"/>
  <c r="L1185" i="12"/>
  <c r="L1121" i="12"/>
  <c r="L1057" i="12"/>
  <c r="L993" i="12"/>
  <c r="L929" i="12"/>
  <c r="L865" i="12"/>
  <c r="L801" i="12"/>
  <c r="L737" i="12"/>
  <c r="L673" i="12"/>
  <c r="L609" i="12"/>
  <c r="L545" i="12"/>
  <c r="L481" i="12"/>
  <c r="L417" i="12"/>
  <c r="L353" i="12"/>
  <c r="L289" i="12"/>
  <c r="L1699" i="12"/>
  <c r="L1126" i="12"/>
  <c r="L2006" i="12"/>
  <c r="L1045" i="12"/>
  <c r="L357" i="12"/>
  <c r="L1612" i="12"/>
  <c r="L932" i="12"/>
  <c r="L268" i="12"/>
  <c r="L1840" i="12"/>
  <c r="L1499" i="12"/>
  <c r="L1243" i="12"/>
  <c r="L1075" i="12"/>
  <c r="L987" i="12"/>
  <c r="L891" i="12"/>
  <c r="L811" i="12"/>
  <c r="L731" i="12"/>
  <c r="L635" i="12"/>
  <c r="L571" i="12"/>
  <c r="L507" i="12"/>
  <c r="L443" i="12"/>
  <c r="L379" i="12"/>
  <c r="L315" i="12"/>
  <c r="L251" i="12"/>
  <c r="L187" i="12"/>
  <c r="L2079" i="12"/>
  <c r="L1951" i="12"/>
  <c r="L1823" i="12"/>
  <c r="L1695" i="12"/>
  <c r="L1618" i="12"/>
  <c r="L1554" i="12"/>
  <c r="L1490" i="12"/>
  <c r="L1426" i="12"/>
  <c r="L1362" i="12"/>
  <c r="L1298" i="12"/>
  <c r="L1234" i="12"/>
  <c r="L1170" i="12"/>
  <c r="L1106" i="12"/>
  <c r="L1042" i="12"/>
  <c r="L978" i="12"/>
  <c r="L914" i="12"/>
  <c r="L850" i="12"/>
  <c r="L786" i="12"/>
  <c r="L722" i="12"/>
  <c r="L658" i="12"/>
  <c r="L594" i="12"/>
  <c r="L530" i="12"/>
  <c r="L466" i="12"/>
  <c r="L402" i="12"/>
  <c r="L338" i="12"/>
  <c r="L274" i="12"/>
  <c r="L210" i="12"/>
  <c r="L146" i="12"/>
  <c r="L82" i="12"/>
  <c r="L18" i="12"/>
  <c r="L2094" i="12"/>
  <c r="L1966" i="12"/>
  <c r="L1838" i="12"/>
  <c r="L1710" i="12"/>
  <c r="L1625" i="12"/>
  <c r="L1561" i="12"/>
  <c r="L1497" i="12"/>
  <c r="L1433" i="12"/>
  <c r="L1369" i="12"/>
  <c r="L1305" i="12"/>
  <c r="L1241" i="12"/>
  <c r="L1177" i="12"/>
  <c r="L1113" i="12"/>
  <c r="L1049" i="12"/>
  <c r="L985" i="12"/>
  <c r="L921" i="12"/>
  <c r="L857" i="12"/>
  <c r="L793" i="12"/>
  <c r="L729" i="12"/>
  <c r="L665" i="12"/>
  <c r="L601" i="12"/>
  <c r="L537" i="12"/>
  <c r="L473" i="12"/>
  <c r="L409" i="12"/>
  <c r="L345" i="12"/>
  <c r="L281" i="12"/>
  <c r="L217" i="12"/>
  <c r="L153" i="12"/>
  <c r="L89" i="12"/>
  <c r="L25" i="12"/>
  <c r="L1664" i="12"/>
  <c r="L1777" i="12"/>
  <c r="L742" i="12"/>
  <c r="L1830" i="12"/>
  <c r="L957" i="12"/>
  <c r="L277" i="12"/>
  <c r="L1524" i="12"/>
  <c r="L844" i="12"/>
  <c r="L204" i="12"/>
  <c r="L1760" i="12"/>
  <c r="L1459" i="12"/>
  <c r="L1203" i="12"/>
  <c r="L1059" i="12"/>
  <c r="L971" i="12"/>
  <c r="L883" i="12"/>
  <c r="L803" i="12"/>
  <c r="L715" i="12"/>
  <c r="L627" i="12"/>
  <c r="L563" i="12"/>
  <c r="L499" i="12"/>
  <c r="L435" i="12"/>
  <c r="L371" i="12"/>
  <c r="L307" i="12"/>
  <c r="L243" i="12"/>
  <c r="L2191" i="12"/>
  <c r="L2063" i="12"/>
  <c r="L1935" i="12"/>
  <c r="L1807" i="12"/>
  <c r="L1679" i="12"/>
  <c r="L1610" i="12"/>
  <c r="L1546" i="12"/>
  <c r="L1482" i="12"/>
  <c r="L1418" i="12"/>
  <c r="L1354" i="12"/>
  <c r="L1290" i="12"/>
  <c r="L1226" i="12"/>
  <c r="L1162" i="12"/>
  <c r="L1098" i="12"/>
  <c r="L1034" i="12"/>
  <c r="L970" i="12"/>
  <c r="L906" i="12"/>
  <c r="L842" i="12"/>
  <c r="L778" i="12"/>
  <c r="L714" i="12"/>
  <c r="L650" i="12"/>
  <c r="L586" i="12"/>
  <c r="L522" i="12"/>
  <c r="L458" i="12"/>
  <c r="L394" i="12"/>
  <c r="L330" i="12"/>
  <c r="L266" i="12"/>
  <c r="L202" i="12"/>
  <c r="L138" i="12"/>
  <c r="L74" i="12"/>
  <c r="L10" i="12"/>
  <c r="L2078" i="12"/>
  <c r="L1950" i="12"/>
  <c r="L1822" i="12"/>
  <c r="L1694" i="12"/>
  <c r="L1617" i="12"/>
  <c r="L1553" i="12"/>
  <c r="L1489" i="12"/>
  <c r="L1425" i="12"/>
  <c r="L1361" i="12"/>
  <c r="L1297" i="12"/>
  <c r="L1233" i="12"/>
  <c r="L1169" i="12"/>
  <c r="L1105" i="12"/>
  <c r="L1041" i="12"/>
  <c r="L977" i="12"/>
  <c r="L913" i="12"/>
  <c r="L849" i="12"/>
  <c r="L1704" i="12"/>
  <c r="L526" i="12"/>
  <c r="L1637" i="12"/>
  <c r="L869" i="12"/>
  <c r="L189" i="12"/>
  <c r="L1444" i="12"/>
  <c r="L756" i="12"/>
  <c r="L140" i="12"/>
  <c r="L1712" i="12"/>
  <c r="L1435" i="12"/>
  <c r="L1179" i="12"/>
  <c r="L1051" i="12"/>
  <c r="L955" i="12"/>
  <c r="L875" i="12"/>
  <c r="L795" i="12"/>
  <c r="L699" i="12"/>
  <c r="L619" i="12"/>
  <c r="L555" i="12"/>
  <c r="L491" i="12"/>
  <c r="L427" i="12"/>
  <c r="L363" i="12"/>
  <c r="L299" i="12"/>
  <c r="L235" i="12"/>
  <c r="L2175" i="12"/>
  <c r="L2047" i="12"/>
  <c r="L1919" i="12"/>
  <c r="L1791" i="12"/>
  <c r="L1666" i="12"/>
  <c r="L1602" i="12"/>
  <c r="L1538" i="12"/>
  <c r="L1474" i="12"/>
  <c r="L1410" i="12"/>
  <c r="L1346" i="12"/>
  <c r="L1282" i="12"/>
  <c r="L1218" i="12"/>
  <c r="L1154" i="12"/>
  <c r="L1090" i="12"/>
  <c r="L1026" i="12"/>
  <c r="L962" i="12"/>
  <c r="L898" i="12"/>
  <c r="L834" i="12"/>
  <c r="L770" i="12"/>
  <c r="L706" i="12"/>
  <c r="L642" i="12"/>
  <c r="L578" i="12"/>
  <c r="L514" i="12"/>
  <c r="L450" i="12"/>
  <c r="L386" i="12"/>
  <c r="L322" i="12"/>
  <c r="L258" i="12"/>
  <c r="L194" i="12"/>
  <c r="L130" i="12"/>
  <c r="L66" i="12"/>
  <c r="L2190" i="12"/>
  <c r="L2062" i="12"/>
  <c r="L1934" i="12"/>
  <c r="L1806" i="12"/>
  <c r="L1678" i="12"/>
  <c r="L1609" i="12"/>
  <c r="L1545" i="12"/>
  <c r="L1481" i="12"/>
  <c r="L1417" i="12"/>
  <c r="L1353" i="12"/>
  <c r="L1289" i="12"/>
  <c r="L1225" i="12"/>
  <c r="L1161" i="12"/>
  <c r="L1097" i="12"/>
  <c r="L1033" i="12"/>
  <c r="L969" i="12"/>
  <c r="L905" i="12"/>
  <c r="L841" i="12"/>
  <c r="L777" i="12"/>
  <c r="L713" i="12"/>
  <c r="L649" i="12"/>
  <c r="L585" i="12"/>
  <c r="L1239" i="12"/>
  <c r="L414" i="12"/>
  <c r="L1541" i="12"/>
  <c r="L789" i="12"/>
  <c r="L101" i="12"/>
  <c r="L1356" i="12"/>
  <c r="L676" i="12"/>
  <c r="L76" i="12"/>
  <c r="L1651" i="12"/>
  <c r="L1395" i="12"/>
  <c r="L1147" i="12"/>
  <c r="L1035" i="12"/>
  <c r="L947" i="12"/>
  <c r="L867" i="12"/>
  <c r="L779" i="12"/>
  <c r="L691" i="12"/>
  <c r="L611" i="12"/>
  <c r="L547" i="12"/>
  <c r="L483" i="12"/>
  <c r="L419" i="12"/>
  <c r="L355" i="12"/>
  <c r="L291" i="12"/>
  <c r="L227" i="12"/>
  <c r="L2159" i="12"/>
  <c r="L2031" i="12"/>
  <c r="L1903" i="12"/>
  <c r="L1775" i="12"/>
  <c r="L1658" i="12"/>
  <c r="L1594" i="12"/>
  <c r="L1530" i="12"/>
  <c r="L1466" i="12"/>
  <c r="L1402" i="12"/>
  <c r="L1338" i="12"/>
  <c r="L1274" i="12"/>
  <c r="L1210" i="12"/>
  <c r="L1146" i="12"/>
  <c r="L1082" i="12"/>
  <c r="L1018" i="12"/>
  <c r="L954" i="12"/>
  <c r="L890" i="12"/>
  <c r="L826" i="12"/>
  <c r="L762" i="12"/>
  <c r="L698" i="12"/>
  <c r="L634" i="12"/>
  <c r="L570" i="12"/>
  <c r="L506" i="12"/>
  <c r="L442" i="12"/>
  <c r="L378" i="12"/>
  <c r="L314" i="12"/>
  <c r="L250" i="12"/>
  <c r="L186" i="12"/>
  <c r="L122" i="12"/>
  <c r="L58" i="12"/>
  <c r="L2174" i="12"/>
  <c r="L2046" i="12"/>
  <c r="L1918" i="12"/>
  <c r="L1790" i="12"/>
  <c r="L1665" i="12"/>
  <c r="L1601" i="12"/>
  <c r="L1537" i="12"/>
  <c r="L1473" i="12"/>
  <c r="L1409" i="12"/>
  <c r="L1345" i="12"/>
  <c r="L1281" i="12"/>
  <c r="L1217" i="12"/>
  <c r="L1153" i="12"/>
  <c r="L1089" i="12"/>
  <c r="L1025" i="12"/>
  <c r="L961" i="12"/>
  <c r="L897" i="12"/>
  <c r="L833" i="12"/>
  <c r="L769" i="12"/>
  <c r="L705" i="12"/>
  <c r="L855" i="12"/>
  <c r="L326" i="12"/>
  <c r="L1437" i="12"/>
  <c r="L701" i="12"/>
  <c r="L21" i="12"/>
  <c r="L1268" i="12"/>
  <c r="L588" i="12"/>
  <c r="L12" i="12"/>
  <c r="L1627" i="12"/>
  <c r="L1371" i="12"/>
  <c r="L1139" i="12"/>
  <c r="L1019" i="12"/>
  <c r="L939" i="12"/>
  <c r="L859" i="12"/>
  <c r="L763" i="12"/>
  <c r="L683" i="12"/>
  <c r="L603" i="12"/>
  <c r="L539" i="12"/>
  <c r="L475" i="12"/>
  <c r="L411" i="12"/>
  <c r="L347" i="12"/>
  <c r="L283" i="12"/>
  <c r="L219" i="12"/>
  <c r="L2143" i="12"/>
  <c r="L2015" i="12"/>
  <c r="L1887" i="12"/>
  <c r="L1759" i="12"/>
  <c r="L1650" i="12"/>
  <c r="L1586" i="12"/>
  <c r="L1522" i="12"/>
  <c r="L1458" i="12"/>
  <c r="L1394" i="12"/>
  <c r="L1330" i="12"/>
  <c r="L1266" i="12"/>
  <c r="L1202" i="12"/>
  <c r="L1138" i="12"/>
  <c r="L1074" i="12"/>
  <c r="L1010" i="12"/>
  <c r="L946" i="12"/>
  <c r="L882" i="12"/>
  <c r="L818" i="12"/>
  <c r="L754" i="12"/>
  <c r="L690" i="12"/>
  <c r="L626" i="12"/>
  <c r="L562" i="12"/>
  <c r="L498" i="12"/>
  <c r="L434" i="12"/>
  <c r="L370" i="12"/>
  <c r="L306" i="12"/>
  <c r="L242" i="12"/>
  <c r="L178" i="12"/>
  <c r="L114" i="12"/>
  <c r="L50" i="12"/>
  <c r="L2158" i="12"/>
  <c r="L2030" i="12"/>
  <c r="L1902" i="12"/>
  <c r="L1774" i="12"/>
  <c r="L1657" i="12"/>
  <c r="L1593" i="12"/>
  <c r="L1529" i="12"/>
  <c r="L1465" i="12"/>
  <c r="L1401" i="12"/>
  <c r="L1337" i="12"/>
  <c r="L1273" i="12"/>
  <c r="L1209" i="12"/>
  <c r="L1145" i="12"/>
  <c r="L1081" i="12"/>
  <c r="L1017" i="12"/>
  <c r="L953" i="12"/>
  <c r="L889" i="12"/>
  <c r="L825" i="12"/>
  <c r="L761" i="12"/>
  <c r="L697" i="12"/>
  <c r="L633" i="12"/>
  <c r="L569" i="12"/>
  <c r="L505" i="12"/>
  <c r="L721" i="12"/>
  <c r="L465" i="12"/>
  <c r="L337" i="12"/>
  <c r="L225" i="12"/>
  <c r="L129" i="12"/>
  <c r="L17" i="12"/>
  <c r="L1408" i="12"/>
  <c r="L768" i="12"/>
  <c r="L256" i="12"/>
  <c r="L2026" i="12"/>
  <c r="L1336" i="12"/>
  <c r="L824" i="12"/>
  <c r="L312" i="12"/>
  <c r="L2138" i="12"/>
  <c r="L1392" i="12"/>
  <c r="L880" i="12"/>
  <c r="L368" i="12"/>
  <c r="L19" i="12"/>
  <c r="L1448" i="12"/>
  <c r="L936" i="12"/>
  <c r="L424" i="12"/>
  <c r="L48" i="12"/>
  <c r="L1504" i="12"/>
  <c r="L992" i="12"/>
  <c r="L480" i="12"/>
  <c r="L75" i="12"/>
  <c r="L1560" i="12"/>
  <c r="L1048" i="12"/>
  <c r="L536" i="12"/>
  <c r="L104" i="12"/>
  <c r="L656" i="12"/>
  <c r="L904" i="12"/>
  <c r="L1104" i="12"/>
  <c r="L1352" i="12"/>
  <c r="L1296" i="12"/>
  <c r="L1288" i="12"/>
  <c r="L1232" i="12"/>
  <c r="L200" i="12"/>
  <c r="L657" i="12"/>
  <c r="L457" i="12"/>
  <c r="L329" i="12"/>
  <c r="L209" i="12"/>
  <c r="L121" i="12"/>
  <c r="L9" i="12"/>
  <c r="L1280" i="12"/>
  <c r="L704" i="12"/>
  <c r="L192" i="12"/>
  <c r="L1898" i="12"/>
  <c r="L1272" i="12"/>
  <c r="L760" i="12"/>
  <c r="L248" i="12"/>
  <c r="L2010" i="12"/>
  <c r="L1328" i="12"/>
  <c r="L816" i="12"/>
  <c r="L304" i="12"/>
  <c r="L2122" i="12"/>
  <c r="L1384" i="12"/>
  <c r="L872" i="12"/>
  <c r="L360" i="12"/>
  <c r="L16" i="12"/>
  <c r="L1440" i="12"/>
  <c r="L928" i="12"/>
  <c r="L416" i="12"/>
  <c r="L43" i="12"/>
  <c r="L1496" i="12"/>
  <c r="L984" i="12"/>
  <c r="L472" i="12"/>
  <c r="L72" i="12"/>
  <c r="L400" i="12"/>
  <c r="L648" i="12"/>
  <c r="L848" i="12"/>
  <c r="L1096" i="12"/>
  <c r="L1040" i="12"/>
  <c r="L1032" i="12"/>
  <c r="L976" i="12"/>
  <c r="L64" i="12"/>
  <c r="L641" i="12"/>
  <c r="L449" i="12"/>
  <c r="L321" i="12"/>
  <c r="L201" i="12"/>
  <c r="L97" i="12"/>
  <c r="L2" i="12"/>
  <c r="O2" i="12" s="1" a="1"/>
  <c r="L1216" i="12"/>
  <c r="L640" i="12"/>
  <c r="L155" i="12"/>
  <c r="L1770" i="12"/>
  <c r="L1208" i="12"/>
  <c r="L696" i="12"/>
  <c r="L184" i="12"/>
  <c r="L1882" i="12"/>
  <c r="L1264" i="12"/>
  <c r="L752" i="12"/>
  <c r="L240" i="12"/>
  <c r="L1994" i="12"/>
  <c r="L1320" i="12"/>
  <c r="L808" i="12"/>
  <c r="L296" i="12"/>
  <c r="L2106" i="12"/>
  <c r="L1376" i="12"/>
  <c r="L864" i="12"/>
  <c r="L352" i="12"/>
  <c r="L11" i="12"/>
  <c r="L1432" i="12"/>
  <c r="L920" i="12"/>
  <c r="L408" i="12"/>
  <c r="L40" i="12"/>
  <c r="L163" i="12"/>
  <c r="L392" i="12"/>
  <c r="L592" i="12"/>
  <c r="L840" i="12"/>
  <c r="L784" i="12"/>
  <c r="L776" i="12"/>
  <c r="L720" i="12"/>
  <c r="L1802" i="12"/>
  <c r="L577" i="12"/>
  <c r="L401" i="12"/>
  <c r="L273" i="12"/>
  <c r="L185" i="12"/>
  <c r="L73" i="12"/>
  <c r="L1786" i="12"/>
  <c r="L1088" i="12"/>
  <c r="L512" i="12"/>
  <c r="L91" i="12"/>
  <c r="L1592" i="12"/>
  <c r="L1080" i="12"/>
  <c r="L568" i="12"/>
  <c r="L120" i="12"/>
  <c r="L1648" i="12"/>
  <c r="L1136" i="12"/>
  <c r="L624" i="12"/>
  <c r="L147" i="12"/>
  <c r="L1738" i="12"/>
  <c r="L1192" i="12"/>
  <c r="L680" i="12"/>
  <c r="L176" i="12"/>
  <c r="L1850" i="12"/>
  <c r="L1248" i="12"/>
  <c r="L736" i="12"/>
  <c r="L224" i="12"/>
  <c r="L1962" i="12"/>
  <c r="L1304" i="12"/>
  <c r="L792" i="12"/>
  <c r="L280" i="12"/>
  <c r="L1690" i="12"/>
  <c r="L2186" i="12"/>
  <c r="L32" i="12"/>
  <c r="L131" i="12"/>
  <c r="L328" i="12"/>
  <c r="L272" i="12"/>
  <c r="L264" i="12"/>
  <c r="L208" i="12"/>
  <c r="L1224" i="12"/>
  <c r="L529" i="12"/>
  <c r="L393" i="12"/>
  <c r="L265" i="12"/>
  <c r="L161" i="12"/>
  <c r="L65" i="12"/>
  <c r="L1600" i="12"/>
  <c r="L1024" i="12"/>
  <c r="L448" i="12"/>
  <c r="L59" i="12"/>
  <c r="L1528" i="12"/>
  <c r="L1016" i="12"/>
  <c r="L504" i="12"/>
  <c r="L88" i="12"/>
  <c r="L1584" i="12"/>
  <c r="L1072" i="12"/>
  <c r="L560" i="12"/>
  <c r="L115" i="12"/>
  <c r="L1640" i="12"/>
  <c r="L1128" i="12"/>
  <c r="L616" i="12"/>
  <c r="L144" i="12"/>
  <c r="L1722" i="12"/>
  <c r="L1184" i="12"/>
  <c r="L672" i="12"/>
  <c r="L171" i="12"/>
  <c r="L1834" i="12"/>
  <c r="L1240" i="12"/>
  <c r="L728" i="12"/>
  <c r="L216" i="12"/>
  <c r="L1424" i="12"/>
  <c r="L1674" i="12"/>
  <c r="L2074" i="12"/>
  <c r="L3" i="12"/>
  <c r="L128" i="12"/>
  <c r="L99" i="12"/>
  <c r="L96" i="12"/>
  <c r="L67" i="12"/>
  <c r="L968" i="12"/>
  <c r="L521" i="12"/>
  <c r="L385" i="12"/>
  <c r="L257" i="12"/>
  <c r="L145" i="12"/>
  <c r="L57" i="12"/>
  <c r="L1536" i="12"/>
  <c r="L960" i="12"/>
  <c r="L384" i="12"/>
  <c r="L27" i="12"/>
  <c r="L1464" i="12"/>
  <c r="L952" i="12"/>
  <c r="L440" i="12"/>
  <c r="L56" i="12"/>
  <c r="L1520" i="12"/>
  <c r="L1008" i="12"/>
  <c r="L496" i="12"/>
  <c r="L83" i="12"/>
  <c r="L1576" i="12"/>
  <c r="L1064" i="12"/>
  <c r="L552" i="12"/>
  <c r="L112" i="12"/>
  <c r="L1632" i="12"/>
  <c r="L1120" i="12"/>
  <c r="L608" i="12"/>
  <c r="L139" i="12"/>
  <c r="L1706" i="12"/>
  <c r="L1176" i="12"/>
  <c r="L664" i="12"/>
  <c r="L168" i="12"/>
  <c r="L1168" i="12"/>
  <c r="L1416" i="12"/>
  <c r="L1616" i="12"/>
  <c r="L2058" i="12"/>
  <c r="L1946" i="12"/>
  <c r="L1930" i="12"/>
  <c r="L1818" i="12"/>
  <c r="L712" i="12"/>
  <c r="L593" i="12"/>
  <c r="L81" i="12"/>
  <c r="L123" i="12"/>
  <c r="L152" i="12"/>
  <c r="L179" i="12"/>
  <c r="L232" i="12"/>
  <c r="L288" i="12"/>
  <c r="L344" i="12"/>
  <c r="L336" i="12"/>
  <c r="L464" i="12"/>
  <c r="L513" i="12"/>
  <c r="L33" i="12"/>
  <c r="L2154" i="12"/>
  <c r="L24" i="12"/>
  <c r="L51" i="12"/>
  <c r="L80" i="12"/>
  <c r="L107" i="12"/>
  <c r="L136" i="12"/>
  <c r="L1608" i="12"/>
  <c r="L456" i="12"/>
  <c r="L441" i="12"/>
  <c r="L2170" i="12"/>
  <c r="L1656" i="12"/>
  <c r="L1754" i="12"/>
  <c r="L1866" i="12"/>
  <c r="L1978" i="12"/>
  <c r="L2090" i="12"/>
  <c r="L8" i="12"/>
  <c r="L584" i="12"/>
  <c r="L1480" i="12"/>
  <c r="L313" i="12"/>
  <c r="L1152" i="12"/>
  <c r="L1144" i="12"/>
  <c r="L1200" i="12"/>
  <c r="L1256" i="12"/>
  <c r="L1312" i="12"/>
  <c r="L1368" i="12"/>
  <c r="L35" i="12"/>
  <c r="L528" i="12"/>
  <c r="L249" i="12"/>
  <c r="L896" i="12"/>
  <c r="L888" i="12"/>
  <c r="L944" i="12"/>
  <c r="L1000" i="12"/>
  <c r="L1056" i="12"/>
  <c r="L1112" i="12"/>
  <c r="L1160" i="12"/>
  <c r="L1544" i="12"/>
  <c r="L193" i="12"/>
  <c r="L576" i="12"/>
  <c r="L632" i="12"/>
  <c r="L688" i="12"/>
  <c r="L744" i="12"/>
  <c r="L800" i="12"/>
  <c r="L856" i="12"/>
  <c r="L160" i="12"/>
  <c r="L520" i="12"/>
  <c r="L377" i="12"/>
  <c r="L1512" i="12"/>
  <c r="L1552" i="12"/>
  <c r="L137" i="12"/>
  <c r="L488" i="12"/>
  <c r="L1488" i="12"/>
  <c r="L1472" i="12"/>
  <c r="L1568" i="12"/>
  <c r="L1400" i="12"/>
  <c r="L1624" i="12"/>
  <c r="L376" i="12"/>
  <c r="L600" i="12"/>
  <c r="L1456" i="12"/>
  <c r="L912" i="12"/>
  <c r="L320" i="12"/>
  <c r="L432" i="12"/>
  <c r="L1360" i="12"/>
  <c r="L544" i="12"/>
  <c r="L785" i="12"/>
  <c r="O2167" i="12" l="1"/>
  <c r="O2103" i="12"/>
  <c r="O2039" i="12"/>
  <c r="O1975" i="12"/>
  <c r="O1911" i="12"/>
  <c r="O1847" i="12"/>
  <c r="O1783" i="12"/>
  <c r="O1719" i="12"/>
  <c r="O1655" i="12"/>
  <c r="O1591" i="12"/>
  <c r="O1527" i="12"/>
  <c r="O1463" i="12"/>
  <c r="O1399" i="12"/>
  <c r="O1335" i="12"/>
  <c r="O1271" i="12"/>
  <c r="O1207" i="12"/>
  <c r="O1143" i="12"/>
  <c r="O1079" i="12"/>
  <c r="O1015" i="12"/>
  <c r="O951" i="12"/>
  <c r="O887" i="12"/>
  <c r="O823" i="12"/>
  <c r="O759" i="12"/>
  <c r="O695" i="12"/>
  <c r="O631" i="12"/>
  <c r="O567" i="12"/>
  <c r="O503" i="12"/>
  <c r="O439" i="12"/>
  <c r="O375" i="12"/>
  <c r="O311" i="12"/>
  <c r="O247" i="12"/>
  <c r="O183" i="12"/>
  <c r="O119" i="12"/>
  <c r="O55" i="12"/>
  <c r="O2190" i="12"/>
  <c r="O2126" i="12"/>
  <c r="O2062" i="12"/>
  <c r="O1998" i="12"/>
  <c r="O1934" i="12"/>
  <c r="O1870" i="12"/>
  <c r="O1806" i="12"/>
  <c r="O1742" i="12"/>
  <c r="O1678" i="12"/>
  <c r="O1614" i="12"/>
  <c r="O1550" i="12"/>
  <c r="O1486" i="12"/>
  <c r="O1422" i="12"/>
  <c r="O1358" i="12"/>
  <c r="O1294" i="12"/>
  <c r="O1230" i="12"/>
  <c r="O1166" i="12"/>
  <c r="O1102" i="12"/>
  <c r="O1038" i="12"/>
  <c r="O974" i="12"/>
  <c r="O910" i="12"/>
  <c r="O846" i="12"/>
  <c r="O782" i="12"/>
  <c r="O718" i="12"/>
  <c r="O654" i="12"/>
  <c r="O590" i="12"/>
  <c r="O526" i="12"/>
  <c r="O462" i="12"/>
  <c r="O398" i="12"/>
  <c r="O334" i="12"/>
  <c r="O270" i="12"/>
  <c r="O206" i="12"/>
  <c r="O142" i="12"/>
  <c r="O78" i="12"/>
  <c r="O14" i="12"/>
  <c r="O2149" i="12"/>
  <c r="O2085" i="12"/>
  <c r="O2021" i="12"/>
  <c r="O1957" i="12"/>
  <c r="O1893" i="12"/>
  <c r="O1829" i="12"/>
  <c r="O1765" i="12"/>
  <c r="O1701" i="12"/>
  <c r="O1637" i="12"/>
  <c r="O1573" i="12"/>
  <c r="O1509" i="12"/>
  <c r="O1445" i="12"/>
  <c r="O1381" i="12"/>
  <c r="O1317" i="12"/>
  <c r="O1253" i="12"/>
  <c r="O1189" i="12"/>
  <c r="O1125" i="12"/>
  <c r="O1061" i="12"/>
  <c r="O997" i="12"/>
  <c r="O933" i="12"/>
  <c r="O869" i="12"/>
  <c r="O805" i="12"/>
  <c r="O741" i="12"/>
  <c r="O677" i="12"/>
  <c r="O613" i="12"/>
  <c r="O549" i="12"/>
  <c r="O485" i="12"/>
  <c r="O421" i="12"/>
  <c r="O357" i="12"/>
  <c r="O293" i="12"/>
  <c r="O229" i="12"/>
  <c r="O165" i="12"/>
  <c r="O101" i="12"/>
  <c r="O37" i="12"/>
  <c r="O2172" i="12"/>
  <c r="O2108" i="12"/>
  <c r="O2044" i="12"/>
  <c r="O1980" i="12"/>
  <c r="O1916" i="12"/>
  <c r="O1852" i="12"/>
  <c r="O1788" i="12"/>
  <c r="O1724" i="12"/>
  <c r="O1660" i="12"/>
  <c r="O1596" i="12"/>
  <c r="O1532" i="12"/>
  <c r="O1468" i="12"/>
  <c r="O1404" i="12"/>
  <c r="O1340" i="12"/>
  <c r="O1276" i="12"/>
  <c r="O1212" i="12"/>
  <c r="O1148" i="12"/>
  <c r="O1084" i="12"/>
  <c r="O1020" i="12"/>
  <c r="O956" i="12"/>
  <c r="O892" i="12"/>
  <c r="O828" i="12"/>
  <c r="O764" i="12"/>
  <c r="O700" i="12"/>
  <c r="O636" i="12"/>
  <c r="O572" i="12"/>
  <c r="O508" i="12"/>
  <c r="O444" i="12"/>
  <c r="O380" i="12"/>
  <c r="O316" i="12"/>
  <c r="O252" i="12"/>
  <c r="O188" i="12"/>
  <c r="O124" i="12"/>
  <c r="O60" i="12"/>
  <c r="O2195" i="12"/>
  <c r="O2131" i="12"/>
  <c r="O2067" i="12"/>
  <c r="O2003" i="12"/>
  <c r="O1939" i="12"/>
  <c r="O1875" i="12"/>
  <c r="O1811" i="12"/>
  <c r="O1747" i="12"/>
  <c r="O1683" i="12"/>
  <c r="O1619" i="12"/>
  <c r="O1555" i="12"/>
  <c r="O2185" i="12"/>
  <c r="O2121" i="12"/>
  <c r="O2057" i="12"/>
  <c r="O1993" i="12"/>
  <c r="O1929" i="12"/>
  <c r="O1865" i="12"/>
  <c r="O1801" i="12"/>
  <c r="O1737" i="12"/>
  <c r="O1673" i="12"/>
  <c r="O1609" i="12"/>
  <c r="O1545" i="12"/>
  <c r="O1481" i="12"/>
  <c r="O1417" i="12"/>
  <c r="O1353" i="12"/>
  <c r="O1289" i="12"/>
  <c r="O1225" i="12"/>
  <c r="O1161" i="12"/>
  <c r="O1097" i="12"/>
  <c r="O1033" i="12"/>
  <c r="O969" i="12"/>
  <c r="O905" i="12"/>
  <c r="O841" i="12"/>
  <c r="O2151" i="12"/>
  <c r="O2087" i="12"/>
  <c r="O2023" i="12"/>
  <c r="O1959" i="12"/>
  <c r="O1895" i="12"/>
  <c r="O1831" i="12"/>
  <c r="O1767" i="12"/>
  <c r="O1703" i="12"/>
  <c r="O1639" i="12"/>
  <c r="O1575" i="12"/>
  <c r="O1511" i="12"/>
  <c r="O1447" i="12"/>
  <c r="O1383" i="12"/>
  <c r="O1319" i="12"/>
  <c r="O1255" i="12"/>
  <c r="O1191" i="12"/>
  <c r="O1127" i="12"/>
  <c r="O1063" i="12"/>
  <c r="O999" i="12"/>
  <c r="O935" i="12"/>
  <c r="O871" i="12"/>
  <c r="O807" i="12"/>
  <c r="O743" i="12"/>
  <c r="O679" i="12"/>
  <c r="O615" i="12"/>
  <c r="O551" i="12"/>
  <c r="O487" i="12"/>
  <c r="O423" i="12"/>
  <c r="O359" i="12"/>
  <c r="O295" i="12"/>
  <c r="O231" i="12"/>
  <c r="O167" i="12"/>
  <c r="O103" i="12"/>
  <c r="O39" i="12"/>
  <c r="O2174" i="12"/>
  <c r="O2110" i="12"/>
  <c r="O2046" i="12"/>
  <c r="O1982" i="12"/>
  <c r="O1918" i="12"/>
  <c r="O1854" i="12"/>
  <c r="O1790" i="12"/>
  <c r="O1726" i="12"/>
  <c r="O1662" i="12"/>
  <c r="O1598" i="12"/>
  <c r="O1534" i="12"/>
  <c r="O1470" i="12"/>
  <c r="O1406" i="12"/>
  <c r="O1342" i="12"/>
  <c r="O1278" i="12"/>
  <c r="O1214" i="12"/>
  <c r="O1150" i="12"/>
  <c r="O1086" i="12"/>
  <c r="O1022" i="12"/>
  <c r="O958" i="12"/>
  <c r="O894" i="12"/>
  <c r="O830" i="12"/>
  <c r="O766" i="12"/>
  <c r="O702" i="12"/>
  <c r="O638" i="12"/>
  <c r="O574" i="12"/>
  <c r="O510" i="12"/>
  <c r="O446" i="12"/>
  <c r="O382" i="12"/>
  <c r="O318" i="12"/>
  <c r="O254" i="12"/>
  <c r="O190" i="12"/>
  <c r="O126" i="12"/>
  <c r="O62" i="12"/>
  <c r="O2197" i="12"/>
  <c r="O2133" i="12"/>
  <c r="O2069" i="12"/>
  <c r="O2005" i="12"/>
  <c r="O1941" i="12"/>
  <c r="O1877" i="12"/>
  <c r="O1813" i="12"/>
  <c r="O1749" i="12"/>
  <c r="O1685" i="12"/>
  <c r="O1621" i="12"/>
  <c r="O1557" i="12"/>
  <c r="O1493" i="12"/>
  <c r="O1429" i="12"/>
  <c r="O1365" i="12"/>
  <c r="O1301" i="12"/>
  <c r="O1237" i="12"/>
  <c r="O1173" i="12"/>
  <c r="O1109" i="12"/>
  <c r="O1045" i="12"/>
  <c r="O981" i="12"/>
  <c r="O917" i="12"/>
  <c r="O853" i="12"/>
  <c r="O789" i="12"/>
  <c r="O725" i="12"/>
  <c r="O661" i="12"/>
  <c r="O597" i="12"/>
  <c r="O533" i="12"/>
  <c r="O469" i="12"/>
  <c r="O405" i="12"/>
  <c r="O341" i="12"/>
  <c r="O277" i="12"/>
  <c r="O213" i="12"/>
  <c r="O149" i="12"/>
  <c r="O85" i="12"/>
  <c r="O21" i="12"/>
  <c r="O2156" i="12"/>
  <c r="O2092" i="12"/>
  <c r="O2028" i="12"/>
  <c r="O1964" i="12"/>
  <c r="O1900" i="12"/>
  <c r="O1836" i="12"/>
  <c r="O1772" i="12"/>
  <c r="O1708" i="12"/>
  <c r="O1644" i="12"/>
  <c r="O1580" i="12"/>
  <c r="O1516" i="12"/>
  <c r="O1452" i="12"/>
  <c r="O1388" i="12"/>
  <c r="O1324" i="12"/>
  <c r="O1260" i="12"/>
  <c r="O1196" i="12"/>
  <c r="O1132" i="12"/>
  <c r="O1068" i="12"/>
  <c r="O1004" i="12"/>
  <c r="O940" i="12"/>
  <c r="O876" i="12"/>
  <c r="O812" i="12"/>
  <c r="O748" i="12"/>
  <c r="O684" i="12"/>
  <c r="O620" i="12"/>
  <c r="O556" i="12"/>
  <c r="O492" i="12"/>
  <c r="O428" i="12"/>
  <c r="O364" i="12"/>
  <c r="O300" i="12"/>
  <c r="O236" i="12"/>
  <c r="O172" i="12"/>
  <c r="O108" i="12"/>
  <c r="O44" i="12"/>
  <c r="O2179" i="12"/>
  <c r="O2115" i="12"/>
  <c r="O2051" i="12"/>
  <c r="O1987" i="12"/>
  <c r="O1923" i="12"/>
  <c r="O1859" i="12"/>
  <c r="O1795" i="12"/>
  <c r="O1731" i="12"/>
  <c r="O1667" i="12"/>
  <c r="O1603" i="12"/>
  <c r="O1539" i="12"/>
  <c r="O2169" i="12"/>
  <c r="O2105" i="12"/>
  <c r="O2041" i="12"/>
  <c r="O1977" i="12"/>
  <c r="O1913" i="12"/>
  <c r="O1849" i="12"/>
  <c r="O1785" i="12"/>
  <c r="O1721" i="12"/>
  <c r="O1657" i="12"/>
  <c r="O1593" i="12"/>
  <c r="O1529" i="12"/>
  <c r="O1465" i="12"/>
  <c r="O1401" i="12"/>
  <c r="O1337" i="12"/>
  <c r="O1273" i="12"/>
  <c r="O1209" i="12"/>
  <c r="O1145" i="12"/>
  <c r="O1081" i="12"/>
  <c r="O1017" i="12"/>
  <c r="O953" i="12"/>
  <c r="O889" i="12"/>
  <c r="O2143" i="12"/>
  <c r="O2079" i="12"/>
  <c r="O2015" i="12"/>
  <c r="O1951" i="12"/>
  <c r="O1887" i="12"/>
  <c r="O1823" i="12"/>
  <c r="O1759" i="12"/>
  <c r="O1695" i="12"/>
  <c r="O1631" i="12"/>
  <c r="O1567" i="12"/>
  <c r="O1503" i="12"/>
  <c r="O1439" i="12"/>
  <c r="O1375" i="12"/>
  <c r="O1311" i="12"/>
  <c r="O1247" i="12"/>
  <c r="O1183" i="12"/>
  <c r="O1119" i="12"/>
  <c r="O1055" i="12"/>
  <c r="O991" i="12"/>
  <c r="O927" i="12"/>
  <c r="O863" i="12"/>
  <c r="O799" i="12"/>
  <c r="O735" i="12"/>
  <c r="O671" i="12"/>
  <c r="O607" i="12"/>
  <c r="O543" i="12"/>
  <c r="O479" i="12"/>
  <c r="O415" i="12"/>
  <c r="O351" i="12"/>
  <c r="O287" i="12"/>
  <c r="O223" i="12"/>
  <c r="O159" i="12"/>
  <c r="O95" i="12"/>
  <c r="O31" i="12"/>
  <c r="O2166" i="12"/>
  <c r="O2102" i="12"/>
  <c r="O2038" i="12"/>
  <c r="O1974" i="12"/>
  <c r="O1910" i="12"/>
  <c r="O1846" i="12"/>
  <c r="O1782" i="12"/>
  <c r="O1718" i="12"/>
  <c r="O1654" i="12"/>
  <c r="O1590" i="12"/>
  <c r="O1526" i="12"/>
  <c r="O1462" i="12"/>
  <c r="O1398" i="12"/>
  <c r="O1334" i="12"/>
  <c r="O1270" i="12"/>
  <c r="O1206" i="12"/>
  <c r="O1142" i="12"/>
  <c r="O1078" i="12"/>
  <c r="O1014" i="12"/>
  <c r="O950" i="12"/>
  <c r="O886" i="12"/>
  <c r="O822" i="12"/>
  <c r="O758" i="12"/>
  <c r="O694" i="12"/>
  <c r="O630" i="12"/>
  <c r="O566" i="12"/>
  <c r="O502" i="12"/>
  <c r="O438" i="12"/>
  <c r="O374" i="12"/>
  <c r="O310" i="12"/>
  <c r="O246" i="12"/>
  <c r="O182" i="12"/>
  <c r="O118" i="12"/>
  <c r="O54" i="12"/>
  <c r="O2189" i="12"/>
  <c r="O2125" i="12"/>
  <c r="O2061" i="12"/>
  <c r="O1997" i="12"/>
  <c r="O1933" i="12"/>
  <c r="O1869" i="12"/>
  <c r="O1805" i="12"/>
  <c r="O1741" i="12"/>
  <c r="O1677" i="12"/>
  <c r="O1613" i="12"/>
  <c r="O1549" i="12"/>
  <c r="O1485" i="12"/>
  <c r="O1421" i="12"/>
  <c r="O1357" i="12"/>
  <c r="O1293" i="12"/>
  <c r="O1229" i="12"/>
  <c r="O1165" i="12"/>
  <c r="O1101" i="12"/>
  <c r="O1037" i="12"/>
  <c r="O973" i="12"/>
  <c r="O909" i="12"/>
  <c r="O845" i="12"/>
  <c r="O781" i="12"/>
  <c r="O717" i="12"/>
  <c r="O653" i="12"/>
  <c r="O589" i="12"/>
  <c r="O525" i="12"/>
  <c r="O461" i="12"/>
  <c r="O397" i="12"/>
  <c r="O333" i="12"/>
  <c r="O269" i="12"/>
  <c r="O205" i="12"/>
  <c r="O141" i="12"/>
  <c r="O77" i="12"/>
  <c r="O13" i="12"/>
  <c r="O2148" i="12"/>
  <c r="O2084" i="12"/>
  <c r="O2020" i="12"/>
  <c r="O1956" i="12"/>
  <c r="O1892" i="12"/>
  <c r="O1828" i="12"/>
  <c r="O1764" i="12"/>
  <c r="O1700" i="12"/>
  <c r="O1636" i="12"/>
  <c r="O1572" i="12"/>
  <c r="O1508" i="12"/>
  <c r="O1444" i="12"/>
  <c r="O1380" i="12"/>
  <c r="O1316" i="12"/>
  <c r="O1252" i="12"/>
  <c r="O1188" i="12"/>
  <c r="O1124" i="12"/>
  <c r="O1060" i="12"/>
  <c r="O996" i="12"/>
  <c r="O932" i="12"/>
  <c r="O868" i="12"/>
  <c r="O804" i="12"/>
  <c r="O740" i="12"/>
  <c r="O676" i="12"/>
  <c r="O612" i="12"/>
  <c r="O548" i="12"/>
  <c r="O484" i="12"/>
  <c r="O420" i="12"/>
  <c r="O356" i="12"/>
  <c r="O292" i="12"/>
  <c r="O228" i="12"/>
  <c r="O164" i="12"/>
  <c r="O100" i="12"/>
  <c r="O36" i="12"/>
  <c r="O2171" i="12"/>
  <c r="O2107" i="12"/>
  <c r="O2043" i="12"/>
  <c r="O1979" i="12"/>
  <c r="O1915" i="12"/>
  <c r="O1851" i="12"/>
  <c r="O1787" i="12"/>
  <c r="O1723" i="12"/>
  <c r="O1659" i="12"/>
  <c r="O1595" i="12"/>
  <c r="O1531" i="12"/>
  <c r="O2161" i="12"/>
  <c r="O2097" i="12"/>
  <c r="O2033" i="12"/>
  <c r="O1969" i="12"/>
  <c r="O1905" i="12"/>
  <c r="O1841" i="12"/>
  <c r="O1777" i="12"/>
  <c r="O1713" i="12"/>
  <c r="O1649" i="12"/>
  <c r="O1585" i="12"/>
  <c r="O1521" i="12"/>
  <c r="O1457" i="12"/>
  <c r="O1393" i="12"/>
  <c r="O1329" i="12"/>
  <c r="O1265" i="12"/>
  <c r="O1201" i="12"/>
  <c r="O1137" i="12"/>
  <c r="O1073" i="12"/>
  <c r="O1009" i="12"/>
  <c r="O945" i="12"/>
  <c r="O881" i="12"/>
  <c r="O2199" i="12"/>
  <c r="O2135" i="12"/>
  <c r="O2071" i="12"/>
  <c r="O2007" i="12"/>
  <c r="O1943" i="12"/>
  <c r="O1879" i="12"/>
  <c r="O1815" i="12"/>
  <c r="O1751" i="12"/>
  <c r="O1687" i="12"/>
  <c r="O1623" i="12"/>
  <c r="O1559" i="12"/>
  <c r="O1495" i="12"/>
  <c r="O1431" i="12"/>
  <c r="O1367" i="12"/>
  <c r="O1303" i="12"/>
  <c r="O1239" i="12"/>
  <c r="O1175" i="12"/>
  <c r="O1111" i="12"/>
  <c r="O1047" i="12"/>
  <c r="O983" i="12"/>
  <c r="O919" i="12"/>
  <c r="O855" i="12"/>
  <c r="O791" i="12"/>
  <c r="O727" i="12"/>
  <c r="O663" i="12"/>
  <c r="O599" i="12"/>
  <c r="O535" i="12"/>
  <c r="O471" i="12"/>
  <c r="O407" i="12"/>
  <c r="O343" i="12"/>
  <c r="O279" i="12"/>
  <c r="O215" i="12"/>
  <c r="O151" i="12"/>
  <c r="O87" i="12"/>
  <c r="O23" i="12"/>
  <c r="O2158" i="12"/>
  <c r="O2094" i="12"/>
  <c r="O2030" i="12"/>
  <c r="O1966" i="12"/>
  <c r="O1902" i="12"/>
  <c r="O1838" i="12"/>
  <c r="O1774" i="12"/>
  <c r="O1710" i="12"/>
  <c r="O1646" i="12"/>
  <c r="O1582" i="12"/>
  <c r="O1518" i="12"/>
  <c r="O1454" i="12"/>
  <c r="O1390" i="12"/>
  <c r="O1326" i="12"/>
  <c r="O1262" i="12"/>
  <c r="O1198" i="12"/>
  <c r="O1134" i="12"/>
  <c r="O1070" i="12"/>
  <c r="O1006" i="12"/>
  <c r="O942" i="12"/>
  <c r="O878" i="12"/>
  <c r="O814" i="12"/>
  <c r="O750" i="12"/>
  <c r="O686" i="12"/>
  <c r="O622" i="12"/>
  <c r="O558" i="12"/>
  <c r="O494" i="12"/>
  <c r="O430" i="12"/>
  <c r="O366" i="12"/>
  <c r="O302" i="12"/>
  <c r="O238" i="12"/>
  <c r="O174" i="12"/>
  <c r="O110" i="12"/>
  <c r="O46" i="12"/>
  <c r="O2181" i="12"/>
  <c r="O2117" i="12"/>
  <c r="O2053" i="12"/>
  <c r="O1989" i="12"/>
  <c r="O1925" i="12"/>
  <c r="O1861" i="12"/>
  <c r="O1797" i="12"/>
  <c r="O1733" i="12"/>
  <c r="O1669" i="12"/>
  <c r="O1605" i="12"/>
  <c r="O1541" i="12"/>
  <c r="O1477" i="12"/>
  <c r="O1413" i="12"/>
  <c r="O1349" i="12"/>
  <c r="O1285" i="12"/>
  <c r="O1221" i="12"/>
  <c r="O1157" i="12"/>
  <c r="O1093" i="12"/>
  <c r="O1029" i="12"/>
  <c r="O965" i="12"/>
  <c r="O901" i="12"/>
  <c r="O837" i="12"/>
  <c r="O773" i="12"/>
  <c r="O709" i="12"/>
  <c r="O645" i="12"/>
  <c r="O581" i="12"/>
  <c r="O517" i="12"/>
  <c r="O453" i="12"/>
  <c r="O389" i="12"/>
  <c r="O325" i="12"/>
  <c r="O261" i="12"/>
  <c r="O197" i="12"/>
  <c r="O133" i="12"/>
  <c r="O69" i="12"/>
  <c r="O5" i="12"/>
  <c r="O2140" i="12"/>
  <c r="O2076" i="12"/>
  <c r="O2012" i="12"/>
  <c r="O1948" i="12"/>
  <c r="O1884" i="12"/>
  <c r="O1820" i="12"/>
  <c r="O1756" i="12"/>
  <c r="O1692" i="12"/>
  <c r="O1628" i="12"/>
  <c r="O1564" i="12"/>
  <c r="O1500" i="12"/>
  <c r="O1436" i="12"/>
  <c r="O1372" i="12"/>
  <c r="O1308" i="12"/>
  <c r="O1244" i="12"/>
  <c r="O1180" i="12"/>
  <c r="O1116" i="12"/>
  <c r="O1052" i="12"/>
  <c r="O988" i="12"/>
  <c r="O924" i="12"/>
  <c r="O860" i="12"/>
  <c r="O796" i="12"/>
  <c r="O732" i="12"/>
  <c r="O668" i="12"/>
  <c r="O604" i="12"/>
  <c r="O540" i="12"/>
  <c r="O476" i="12"/>
  <c r="O412" i="12"/>
  <c r="O348" i="12"/>
  <c r="O284" i="12"/>
  <c r="O220" i="12"/>
  <c r="O156" i="12"/>
  <c r="O92" i="12"/>
  <c r="O28" i="12"/>
  <c r="O2163" i="12"/>
  <c r="O2099" i="12"/>
  <c r="O2035" i="12"/>
  <c r="O1971" i="12"/>
  <c r="O1907" i="12"/>
  <c r="O1843" i="12"/>
  <c r="O1779" i="12"/>
  <c r="O1715" i="12"/>
  <c r="O1651" i="12"/>
  <c r="O1587" i="12"/>
  <c r="O1523" i="12"/>
  <c r="O2153" i="12"/>
  <c r="O2089" i="12"/>
  <c r="O2025" i="12"/>
  <c r="O1961" i="12"/>
  <c r="O1897" i="12"/>
  <c r="O1833" i="12"/>
  <c r="O1769" i="12"/>
  <c r="O1705" i="12"/>
  <c r="O1641" i="12"/>
  <c r="O1577" i="12"/>
  <c r="O1513" i="12"/>
  <c r="O1449" i="12"/>
  <c r="O1385" i="12"/>
  <c r="O1321" i="12"/>
  <c r="O1257" i="12"/>
  <c r="O1193" i="12"/>
  <c r="O1129" i="12"/>
  <c r="O1065" i="12"/>
  <c r="O1001" i="12"/>
  <c r="O937" i="12"/>
  <c r="O873" i="12"/>
  <c r="O809" i="12"/>
  <c r="O2191" i="12"/>
  <c r="O2127" i="12"/>
  <c r="O2063" i="12"/>
  <c r="O1999" i="12"/>
  <c r="O1935" i="12"/>
  <c r="O1871" i="12"/>
  <c r="O1807" i="12"/>
  <c r="O1743" i="12"/>
  <c r="O1679" i="12"/>
  <c r="O1615" i="12"/>
  <c r="O1551" i="12"/>
  <c r="O1487" i="12"/>
  <c r="O1423" i="12"/>
  <c r="O1359" i="12"/>
  <c r="O1295" i="12"/>
  <c r="O1231" i="12"/>
  <c r="O1167" i="12"/>
  <c r="O1103" i="12"/>
  <c r="O1039" i="12"/>
  <c r="O975" i="12"/>
  <c r="O911" i="12"/>
  <c r="O847" i="12"/>
  <c r="O783" i="12"/>
  <c r="O719" i="12"/>
  <c r="O655" i="12"/>
  <c r="O591" i="12"/>
  <c r="O527" i="12"/>
  <c r="O463" i="12"/>
  <c r="O399" i="12"/>
  <c r="O335" i="12"/>
  <c r="O271" i="12"/>
  <c r="O207" i="12"/>
  <c r="O143" i="12"/>
  <c r="O79" i="12"/>
  <c r="O15" i="12"/>
  <c r="O2150" i="12"/>
  <c r="O2086" i="12"/>
  <c r="O2022" i="12"/>
  <c r="O1958" i="12"/>
  <c r="O1894" i="12"/>
  <c r="O1830" i="12"/>
  <c r="O1766" i="12"/>
  <c r="O1702" i="12"/>
  <c r="O1638" i="12"/>
  <c r="O1574" i="12"/>
  <c r="O1510" i="12"/>
  <c r="O1446" i="12"/>
  <c r="O1382" i="12"/>
  <c r="O1318" i="12"/>
  <c r="O1254" i="12"/>
  <c r="O1190" i="12"/>
  <c r="O1126" i="12"/>
  <c r="O1062" i="12"/>
  <c r="O998" i="12"/>
  <c r="O934" i="12"/>
  <c r="O870" i="12"/>
  <c r="O806" i="12"/>
  <c r="O742" i="12"/>
  <c r="O678" i="12"/>
  <c r="O614" i="12"/>
  <c r="O550" i="12"/>
  <c r="O486" i="12"/>
  <c r="O422" i="12"/>
  <c r="O358" i="12"/>
  <c r="O294" i="12"/>
  <c r="O230" i="12"/>
  <c r="O166" i="12"/>
  <c r="O102" i="12"/>
  <c r="O38" i="12"/>
  <c r="O2173" i="12"/>
  <c r="O2109" i="12"/>
  <c r="O2045" i="12"/>
  <c r="O1981" i="12"/>
  <c r="O1917" i="12"/>
  <c r="O1853" i="12"/>
  <c r="O1789" i="12"/>
  <c r="O1725" i="12"/>
  <c r="O1661" i="12"/>
  <c r="O1597" i="12"/>
  <c r="O1533" i="12"/>
  <c r="O1469" i="12"/>
  <c r="O1405" i="12"/>
  <c r="O1341" i="12"/>
  <c r="O1277" i="12"/>
  <c r="O1213" i="12"/>
  <c r="O1149" i="12"/>
  <c r="O1085" i="12"/>
  <c r="O1021" i="12"/>
  <c r="O957" i="12"/>
  <c r="O893" i="12"/>
  <c r="O829" i="12"/>
  <c r="O765" i="12"/>
  <c r="O701" i="12"/>
  <c r="O637" i="12"/>
  <c r="O573" i="12"/>
  <c r="O509" i="12"/>
  <c r="O445" i="12"/>
  <c r="O381" i="12"/>
  <c r="O317" i="12"/>
  <c r="O253" i="12"/>
  <c r="O189" i="12"/>
  <c r="O125" i="12"/>
  <c r="O61" i="12"/>
  <c r="O2196" i="12"/>
  <c r="O2132" i="12"/>
  <c r="O2068" i="12"/>
  <c r="O2004" i="12"/>
  <c r="O1940" i="12"/>
  <c r="O1876" i="12"/>
  <c r="O1812" i="12"/>
  <c r="O1748" i="12"/>
  <c r="O1684" i="12"/>
  <c r="O1620" i="12"/>
  <c r="O1556" i="12"/>
  <c r="O1492" i="12"/>
  <c r="O1428" i="12"/>
  <c r="O1364" i="12"/>
  <c r="O1300" i="12"/>
  <c r="O1236" i="12"/>
  <c r="O1172" i="12"/>
  <c r="O1108" i="12"/>
  <c r="O1044" i="12"/>
  <c r="O980" i="12"/>
  <c r="O916" i="12"/>
  <c r="O852" i="12"/>
  <c r="O788" i="12"/>
  <c r="O724" i="12"/>
  <c r="O660" i="12"/>
  <c r="O596" i="12"/>
  <c r="O532" i="12"/>
  <c r="O468" i="12"/>
  <c r="O404" i="12"/>
  <c r="O340" i="12"/>
  <c r="O276" i="12"/>
  <c r="O212" i="12"/>
  <c r="O148" i="12"/>
  <c r="O84" i="12"/>
  <c r="O20" i="12"/>
  <c r="O2155" i="12"/>
  <c r="O2091" i="12"/>
  <c r="O2027" i="12"/>
  <c r="O1963" i="12"/>
  <c r="O1899" i="12"/>
  <c r="O1835" i="12"/>
  <c r="O1771" i="12"/>
  <c r="O1707" i="12"/>
  <c r="O1643" i="12"/>
  <c r="O1579" i="12"/>
  <c r="O1515" i="12"/>
  <c r="O2145" i="12"/>
  <c r="O2081" i="12"/>
  <c r="O2017" i="12"/>
  <c r="O1953" i="12"/>
  <c r="O1889" i="12"/>
  <c r="O1825" i="12"/>
  <c r="O1761" i="12"/>
  <c r="O1697" i="12"/>
  <c r="O1633" i="12"/>
  <c r="O1569" i="12"/>
  <c r="O1505" i="12"/>
  <c r="O1441" i="12"/>
  <c r="O1377" i="12"/>
  <c r="O1313" i="12"/>
  <c r="O1249" i="12"/>
  <c r="O1185" i="12"/>
  <c r="O1121" i="12"/>
  <c r="O1057" i="12"/>
  <c r="O993" i="12"/>
  <c r="O929" i="12"/>
  <c r="O865" i="12"/>
  <c r="O2055" i="12"/>
  <c r="O1903" i="12"/>
  <c r="O1727" i="12"/>
  <c r="O1543" i="12"/>
  <c r="O1391" i="12"/>
  <c r="O1215" i="12"/>
  <c r="O1031" i="12"/>
  <c r="O879" i="12"/>
  <c r="O703" i="12"/>
  <c r="O519" i="12"/>
  <c r="O367" i="12"/>
  <c r="O191" i="12"/>
  <c r="O7" i="12"/>
  <c r="O2054" i="12"/>
  <c r="O1878" i="12"/>
  <c r="O1694" i="12"/>
  <c r="O1542" i="12"/>
  <c r="O1366" i="12"/>
  <c r="O1182" i="12"/>
  <c r="O1030" i="12"/>
  <c r="O854" i="12"/>
  <c r="O670" i="12"/>
  <c r="O518" i="12"/>
  <c r="O342" i="12"/>
  <c r="O158" i="12"/>
  <c r="O6" i="12"/>
  <c r="O2029" i="12"/>
  <c r="O1845" i="12"/>
  <c r="O1693" i="12"/>
  <c r="O1517" i="12"/>
  <c r="O1333" i="12"/>
  <c r="O1181" i="12"/>
  <c r="O1005" i="12"/>
  <c r="O821" i="12"/>
  <c r="O669" i="12"/>
  <c r="O493" i="12"/>
  <c r="O309" i="12"/>
  <c r="O157" i="12"/>
  <c r="O2180" i="12"/>
  <c r="O1996" i="12"/>
  <c r="O1844" i="12"/>
  <c r="O1668" i="12"/>
  <c r="O1484" i="12"/>
  <c r="O1332" i="12"/>
  <c r="O1156" i="12"/>
  <c r="O972" i="12"/>
  <c r="O820" i="12"/>
  <c r="O644" i="12"/>
  <c r="O460" i="12"/>
  <c r="O308" i="12"/>
  <c r="O132" i="12"/>
  <c r="O2147" i="12"/>
  <c r="O1995" i="12"/>
  <c r="O1819" i="12"/>
  <c r="O1635" i="12"/>
  <c r="O2177" i="12"/>
  <c r="O2001" i="12"/>
  <c r="O1817" i="12"/>
  <c r="O1665" i="12"/>
  <c r="O1489" i="12"/>
  <c r="O1305" i="12"/>
  <c r="O1153" i="12"/>
  <c r="O977" i="12"/>
  <c r="O825" i="12"/>
  <c r="O753" i="12"/>
  <c r="O689" i="12"/>
  <c r="O625" i="12"/>
  <c r="O561" i="12"/>
  <c r="O497" i="12"/>
  <c r="O433" i="12"/>
  <c r="O369" i="12"/>
  <c r="O305" i="12"/>
  <c r="O241" i="12"/>
  <c r="O177" i="12"/>
  <c r="O113" i="12"/>
  <c r="O49" i="12"/>
  <c r="O2168" i="12"/>
  <c r="O1912" i="12"/>
  <c r="O1656" i="12"/>
  <c r="O1434" i="12"/>
  <c r="O1264" i="12"/>
  <c r="O1091" i="12"/>
  <c r="O922" i="12"/>
  <c r="O752" i="12"/>
  <c r="O579" i="12"/>
  <c r="O410" i="12"/>
  <c r="O240" i="12"/>
  <c r="O67" i="12"/>
  <c r="O2066" i="12"/>
  <c r="O1810" i="12"/>
  <c r="O1554" i="12"/>
  <c r="O1368" i="12"/>
  <c r="O1195" i="12"/>
  <c r="O1026" i="12"/>
  <c r="O856" i="12"/>
  <c r="O683" i="12"/>
  <c r="O514" i="12"/>
  <c r="O344" i="12"/>
  <c r="O171" i="12"/>
  <c r="O2192" i="12"/>
  <c r="O1936" i="12"/>
  <c r="O1680" i="12"/>
  <c r="O1450" i="12"/>
  <c r="O1280" i="12"/>
  <c r="O1107" i="12"/>
  <c r="O938" i="12"/>
  <c r="O768" i="12"/>
  <c r="O595" i="12"/>
  <c r="O426" i="12"/>
  <c r="O256" i="12"/>
  <c r="O83" i="12"/>
  <c r="O2058" i="12"/>
  <c r="O1802" i="12"/>
  <c r="O1546" i="12"/>
  <c r="O1362" i="12"/>
  <c r="O1192" i="12"/>
  <c r="O1019" i="12"/>
  <c r="O850" i="12"/>
  <c r="O680" i="12"/>
  <c r="O507" i="12"/>
  <c r="O338" i="12"/>
  <c r="O168" i="12"/>
  <c r="O2184" i="12"/>
  <c r="O1928" i="12"/>
  <c r="O1672" i="12"/>
  <c r="O1443" i="12"/>
  <c r="O1274" i="12"/>
  <c r="O1104" i="12"/>
  <c r="O931" i="12"/>
  <c r="O762" i="12"/>
  <c r="O592" i="12"/>
  <c r="O419" i="12"/>
  <c r="O250" i="12"/>
  <c r="O80" i="12"/>
  <c r="O2050" i="12"/>
  <c r="O1794" i="12"/>
  <c r="O1538" i="12"/>
  <c r="O1355" i="12"/>
  <c r="O1186" i="12"/>
  <c r="O1016" i="12"/>
  <c r="O843" i="12"/>
  <c r="O674" i="12"/>
  <c r="O504" i="12"/>
  <c r="O331" i="12"/>
  <c r="O162" i="12"/>
  <c r="O2176" i="12"/>
  <c r="O1920" i="12"/>
  <c r="O1664" i="12"/>
  <c r="O1440" i="12"/>
  <c r="O1267" i="12"/>
  <c r="O1098" i="12"/>
  <c r="O928" i="12"/>
  <c r="O755" i="12"/>
  <c r="O586" i="12"/>
  <c r="O416" i="12"/>
  <c r="O243" i="12"/>
  <c r="O74" i="12"/>
  <c r="O1243" i="12"/>
  <c r="O2106" i="12"/>
  <c r="O539" i="12"/>
  <c r="O1202" i="12"/>
  <c r="O2042" i="12"/>
  <c r="O498" i="12"/>
  <c r="O987" i="12"/>
  <c r="O1480" i="12"/>
  <c r="O114" i="12"/>
  <c r="O603" i="12"/>
  <c r="O923" i="12"/>
  <c r="O1791" i="12"/>
  <c r="O431" i="12"/>
  <c r="O2047" i="12"/>
  <c r="O1863" i="12"/>
  <c r="O1711" i="12"/>
  <c r="O1535" i="12"/>
  <c r="O1351" i="12"/>
  <c r="O1199" i="12"/>
  <c r="O1023" i="12"/>
  <c r="O839" i="12"/>
  <c r="O687" i="12"/>
  <c r="O511" i="12"/>
  <c r="O327" i="12"/>
  <c r="O175" i="12"/>
  <c r="O2198" i="12"/>
  <c r="O2014" i="12"/>
  <c r="O1862" i="12"/>
  <c r="O1686" i="12"/>
  <c r="O1502" i="12"/>
  <c r="O1350" i="12"/>
  <c r="O1174" i="12"/>
  <c r="O990" i="12"/>
  <c r="O838" i="12"/>
  <c r="O662" i="12"/>
  <c r="O478" i="12"/>
  <c r="O326" i="12"/>
  <c r="O150" i="12"/>
  <c r="O2165" i="12"/>
  <c r="O2013" i="12"/>
  <c r="O1837" i="12"/>
  <c r="O1653" i="12"/>
  <c r="O1501" i="12"/>
  <c r="O1325" i="12"/>
  <c r="O1141" i="12"/>
  <c r="O989" i="12"/>
  <c r="O813" i="12"/>
  <c r="O629" i="12"/>
  <c r="O477" i="12"/>
  <c r="O301" i="12"/>
  <c r="O117" i="12"/>
  <c r="O2164" i="12"/>
  <c r="O1988" i="12"/>
  <c r="O1804" i="12"/>
  <c r="O1652" i="12"/>
  <c r="O1476" i="12"/>
  <c r="O1292" i="12"/>
  <c r="O1140" i="12"/>
  <c r="O964" i="12"/>
  <c r="O780" i="12"/>
  <c r="O628" i="12"/>
  <c r="O452" i="12"/>
  <c r="O268" i="12"/>
  <c r="O116" i="12"/>
  <c r="O2139" i="12"/>
  <c r="O1955" i="12"/>
  <c r="O1803" i="12"/>
  <c r="O1627" i="12"/>
  <c r="O2137" i="12"/>
  <c r="O1985" i="12"/>
  <c r="O1809" i="12"/>
  <c r="O1625" i="12"/>
  <c r="O1473" i="12"/>
  <c r="O1297" i="12"/>
  <c r="O1113" i="12"/>
  <c r="O961" i="12"/>
  <c r="O817" i="12"/>
  <c r="O745" i="12"/>
  <c r="O681" i="12"/>
  <c r="O617" i="12"/>
  <c r="O553" i="12"/>
  <c r="O489" i="12"/>
  <c r="O425" i="12"/>
  <c r="O361" i="12"/>
  <c r="O297" i="12"/>
  <c r="O233" i="12"/>
  <c r="O169" i="12"/>
  <c r="O105" i="12"/>
  <c r="O41" i="12"/>
  <c r="O2136" i="12"/>
  <c r="O1880" i="12"/>
  <c r="O1624" i="12"/>
  <c r="O1411" i="12"/>
  <c r="O1242" i="12"/>
  <c r="O1072" i="12"/>
  <c r="O899" i="12"/>
  <c r="O730" i="12"/>
  <c r="O560" i="12"/>
  <c r="O387" i="12"/>
  <c r="O218" i="12"/>
  <c r="O48" i="12"/>
  <c r="O2034" i="12"/>
  <c r="O1778" i="12"/>
  <c r="O1522" i="12"/>
  <c r="O1346" i="12"/>
  <c r="O1176" i="12"/>
  <c r="O1003" i="12"/>
  <c r="O834" i="12"/>
  <c r="O664" i="12"/>
  <c r="O491" i="12"/>
  <c r="O322" i="12"/>
  <c r="O152" i="12"/>
  <c r="O2160" i="12"/>
  <c r="O1904" i="12"/>
  <c r="O1648" i="12"/>
  <c r="O1427" i="12"/>
  <c r="O1258" i="12"/>
  <c r="O1088" i="12"/>
  <c r="O915" i="12"/>
  <c r="O746" i="12"/>
  <c r="O576" i="12"/>
  <c r="O403" i="12"/>
  <c r="O234" i="12"/>
  <c r="O64" i="12"/>
  <c r="O2026" i="12"/>
  <c r="O1770" i="12"/>
  <c r="O1514" i="12"/>
  <c r="O1339" i="12"/>
  <c r="O1170" i="12"/>
  <c r="O1000" i="12"/>
  <c r="O827" i="12"/>
  <c r="O658" i="12"/>
  <c r="O488" i="12"/>
  <c r="O315" i="12"/>
  <c r="O146" i="12"/>
  <c r="O2152" i="12"/>
  <c r="O1896" i="12"/>
  <c r="O1640" i="12"/>
  <c r="O1424" i="12"/>
  <c r="O1251" i="12"/>
  <c r="O1082" i="12"/>
  <c r="O912" i="12"/>
  <c r="O739" i="12"/>
  <c r="O570" i="12"/>
  <c r="O400" i="12"/>
  <c r="O227" i="12"/>
  <c r="O58" i="12"/>
  <c r="O2018" i="12"/>
  <c r="O1762" i="12"/>
  <c r="O1506" i="12"/>
  <c r="O1336" i="12"/>
  <c r="O1163" i="12"/>
  <c r="O994" i="12"/>
  <c r="O824" i="12"/>
  <c r="O651" i="12"/>
  <c r="O482" i="12"/>
  <c r="O312" i="12"/>
  <c r="O139" i="12"/>
  <c r="O2144" i="12"/>
  <c r="O1888" i="12"/>
  <c r="O1632" i="12"/>
  <c r="O1418" i="12"/>
  <c r="O1248" i="12"/>
  <c r="O1075" i="12"/>
  <c r="O906" i="12"/>
  <c r="O736" i="12"/>
  <c r="O563" i="12"/>
  <c r="O394" i="12"/>
  <c r="O224" i="12"/>
  <c r="O51" i="12"/>
  <c r="O1074" i="12"/>
  <c r="O1850" i="12"/>
  <c r="O370" i="12"/>
  <c r="O1032" i="12"/>
  <c r="O1786" i="12"/>
  <c r="O328" i="12"/>
  <c r="O818" i="12"/>
  <c r="O1307" i="12"/>
  <c r="O1946" i="12"/>
  <c r="O434" i="12"/>
  <c r="O754" i="12"/>
  <c r="O1607" i="12"/>
  <c r="O583" i="12"/>
  <c r="O2183" i="12"/>
  <c r="O2031" i="12"/>
  <c r="O1855" i="12"/>
  <c r="O1671" i="12"/>
  <c r="O1519" i="12"/>
  <c r="O1343" i="12"/>
  <c r="O1159" i="12"/>
  <c r="O1007" i="12"/>
  <c r="O831" i="12"/>
  <c r="O647" i="12"/>
  <c r="O495" i="12"/>
  <c r="O319" i="12"/>
  <c r="O135" i="12"/>
  <c r="O2182" i="12"/>
  <c r="O2006" i="12"/>
  <c r="O1822" i="12"/>
  <c r="O1670" i="12"/>
  <c r="O1494" i="12"/>
  <c r="O1310" i="12"/>
  <c r="O1158" i="12"/>
  <c r="O982" i="12"/>
  <c r="O798" i="12"/>
  <c r="O646" i="12"/>
  <c r="O470" i="12"/>
  <c r="O286" i="12"/>
  <c r="O134" i="12"/>
  <c r="O2157" i="12"/>
  <c r="O1973" i="12"/>
  <c r="O1821" i="12"/>
  <c r="O1645" i="12"/>
  <c r="O1461" i="12"/>
  <c r="O1309" i="12"/>
  <c r="O1133" i="12"/>
  <c r="O949" i="12"/>
  <c r="O797" i="12"/>
  <c r="O621" i="12"/>
  <c r="O437" i="12"/>
  <c r="O285" i="12"/>
  <c r="O109" i="12"/>
  <c r="O2124" i="12"/>
  <c r="O1972" i="12"/>
  <c r="O1796" i="12"/>
  <c r="O1612" i="12"/>
  <c r="O1460" i="12"/>
  <c r="O1284" i="12"/>
  <c r="O1100" i="12"/>
  <c r="O948" i="12"/>
  <c r="O772" i="12"/>
  <c r="O588" i="12"/>
  <c r="O436" i="12"/>
  <c r="O260" i="12"/>
  <c r="O76" i="12"/>
  <c r="O2123" i="12"/>
  <c r="O1947" i="12"/>
  <c r="O1763" i="12"/>
  <c r="O1611" i="12"/>
  <c r="O2129" i="12"/>
  <c r="O1945" i="12"/>
  <c r="O1793" i="12"/>
  <c r="O1617" i="12"/>
  <c r="O1433" i="12"/>
  <c r="O1281" i="12"/>
  <c r="O1105" i="12"/>
  <c r="O921" i="12"/>
  <c r="O801" i="12"/>
  <c r="O737" i="12"/>
  <c r="O673" i="12"/>
  <c r="O609" i="12"/>
  <c r="O545" i="12"/>
  <c r="O481" i="12"/>
  <c r="O417" i="12"/>
  <c r="O353" i="12"/>
  <c r="O289" i="12"/>
  <c r="O225" i="12"/>
  <c r="O161" i="12"/>
  <c r="O97" i="12"/>
  <c r="O33" i="12"/>
  <c r="O2104" i="12"/>
  <c r="O1848" i="12"/>
  <c r="O1592" i="12"/>
  <c r="O1392" i="12"/>
  <c r="O1219" i="12"/>
  <c r="O1050" i="12"/>
  <c r="O880" i="12"/>
  <c r="O707" i="12"/>
  <c r="O538" i="12"/>
  <c r="O368" i="12"/>
  <c r="O195" i="12"/>
  <c r="O26" i="12"/>
  <c r="O2002" i="12"/>
  <c r="O1746" i="12"/>
  <c r="O1496" i="12"/>
  <c r="O1323" i="12"/>
  <c r="O1154" i="12"/>
  <c r="O984" i="12"/>
  <c r="O811" i="12"/>
  <c r="O642" i="12"/>
  <c r="O472" i="12"/>
  <c r="O299" i="12"/>
  <c r="O130" i="12"/>
  <c r="O2128" i="12"/>
  <c r="O1872" i="12"/>
  <c r="O1616" i="12"/>
  <c r="O1408" i="12"/>
  <c r="O1235" i="12"/>
  <c r="O1066" i="12"/>
  <c r="O896" i="12"/>
  <c r="O723" i="12"/>
  <c r="O554" i="12"/>
  <c r="O384" i="12"/>
  <c r="O211" i="12"/>
  <c r="O42" i="12"/>
  <c r="O1994" i="12"/>
  <c r="O1738" i="12"/>
  <c r="O1490" i="12"/>
  <c r="O1320" i="12"/>
  <c r="O1147" i="12"/>
  <c r="O978" i="12"/>
  <c r="O808" i="12"/>
  <c r="O635" i="12"/>
  <c r="O466" i="12"/>
  <c r="O296" i="12"/>
  <c r="O123" i="12"/>
  <c r="O2120" i="12"/>
  <c r="O1864" i="12"/>
  <c r="O1608" i="12"/>
  <c r="O1402" i="12"/>
  <c r="O1232" i="12"/>
  <c r="O1059" i="12"/>
  <c r="O890" i="12"/>
  <c r="O720" i="12"/>
  <c r="O547" i="12"/>
  <c r="O378" i="12"/>
  <c r="O208" i="12"/>
  <c r="O35" i="12"/>
  <c r="O1986" i="12"/>
  <c r="O1730" i="12"/>
  <c r="O1483" i="12"/>
  <c r="O1314" i="12"/>
  <c r="O1144" i="12"/>
  <c r="O971" i="12"/>
  <c r="O802" i="12"/>
  <c r="O632" i="12"/>
  <c r="O459" i="12"/>
  <c r="O290" i="12"/>
  <c r="O120" i="12"/>
  <c r="O2112" i="12"/>
  <c r="O1856" i="12"/>
  <c r="O1600" i="12"/>
  <c r="O1395" i="12"/>
  <c r="O1226" i="12"/>
  <c r="O1056" i="12"/>
  <c r="O883" i="12"/>
  <c r="O714" i="12"/>
  <c r="O544" i="12"/>
  <c r="O371" i="12"/>
  <c r="O202" i="12"/>
  <c r="O32" i="12"/>
  <c r="O904" i="12"/>
  <c r="O1594" i="12"/>
  <c r="O200" i="12"/>
  <c r="O859" i="12"/>
  <c r="O1530" i="12"/>
  <c r="O155" i="12"/>
  <c r="O648" i="12"/>
  <c r="O1138" i="12"/>
  <c r="O1690" i="12"/>
  <c r="O264" i="12"/>
  <c r="O2170" i="12"/>
  <c r="O2175" i="12"/>
  <c r="O1991" i="12"/>
  <c r="O1839" i="12"/>
  <c r="O1663" i="12"/>
  <c r="O1479" i="12"/>
  <c r="O1327" i="12"/>
  <c r="O1151" i="12"/>
  <c r="O967" i="12"/>
  <c r="O815" i="12"/>
  <c r="O639" i="12"/>
  <c r="O455" i="12"/>
  <c r="O303" i="12"/>
  <c r="O127" i="12"/>
  <c r="O2142" i="12"/>
  <c r="O1990" i="12"/>
  <c r="O1814" i="12"/>
  <c r="O1630" i="12"/>
  <c r="O1478" i="12"/>
  <c r="O1302" i="12"/>
  <c r="O1118" i="12"/>
  <c r="O966" i="12"/>
  <c r="O790" i="12"/>
  <c r="O606" i="12"/>
  <c r="O454" i="12"/>
  <c r="O278" i="12"/>
  <c r="O94" i="12"/>
  <c r="O2141" i="12"/>
  <c r="O1965" i="12"/>
  <c r="O1781" i="12"/>
  <c r="O1629" i="12"/>
  <c r="O1453" i="12"/>
  <c r="O1269" i="12"/>
  <c r="O1117" i="12"/>
  <c r="O941" i="12"/>
  <c r="O757" i="12"/>
  <c r="O605" i="12"/>
  <c r="O429" i="12"/>
  <c r="O245" i="12"/>
  <c r="O93" i="12"/>
  <c r="O2116" i="12"/>
  <c r="O1932" i="12"/>
  <c r="O1780" i="12"/>
  <c r="O1604" i="12"/>
  <c r="O1420" i="12"/>
  <c r="O1268" i="12"/>
  <c r="O1092" i="12"/>
  <c r="O908" i="12"/>
  <c r="O756" i="12"/>
  <c r="O580" i="12"/>
  <c r="O396" i="12"/>
  <c r="O244" i="12"/>
  <c r="O68" i="12"/>
  <c r="O2083" i="12"/>
  <c r="O1931" i="12"/>
  <c r="O1755" i="12"/>
  <c r="O1571" i="12"/>
  <c r="O2113" i="12"/>
  <c r="O1937" i="12"/>
  <c r="O1753" i="12"/>
  <c r="O1601" i="12"/>
  <c r="O1425" i="12"/>
  <c r="O1241" i="12"/>
  <c r="O1089" i="12"/>
  <c r="O913" i="12"/>
  <c r="O793" i="12"/>
  <c r="O729" i="12"/>
  <c r="O665" i="12"/>
  <c r="O601" i="12"/>
  <c r="O537" i="12"/>
  <c r="O473" i="12"/>
  <c r="O409" i="12"/>
  <c r="O345" i="12"/>
  <c r="O281" i="12"/>
  <c r="O217" i="12"/>
  <c r="O153" i="12"/>
  <c r="O89" i="12"/>
  <c r="O25" i="12"/>
  <c r="O2072" i="12"/>
  <c r="O1816" i="12"/>
  <c r="O1560" i="12"/>
  <c r="O1370" i="12"/>
  <c r="O1200" i="12"/>
  <c r="O1027" i="12"/>
  <c r="O858" i="12"/>
  <c r="O688" i="12"/>
  <c r="O515" i="12"/>
  <c r="O346" i="12"/>
  <c r="O176" i="12"/>
  <c r="O3" i="12"/>
  <c r="O1970" i="12"/>
  <c r="O1714" i="12"/>
  <c r="O1474" i="12"/>
  <c r="O1304" i="12"/>
  <c r="O1131" i="12"/>
  <c r="O962" i="12"/>
  <c r="O792" i="12"/>
  <c r="O619" i="12"/>
  <c r="O450" i="12"/>
  <c r="O280" i="12"/>
  <c r="O107" i="12"/>
  <c r="O2096" i="12"/>
  <c r="O1840" i="12"/>
  <c r="O1584" i="12"/>
  <c r="O1386" i="12"/>
  <c r="O1216" i="12"/>
  <c r="O1043" i="12"/>
  <c r="O874" i="12"/>
  <c r="O704" i="12"/>
  <c r="O531" i="12"/>
  <c r="O362" i="12"/>
  <c r="O192" i="12"/>
  <c r="O19" i="12"/>
  <c r="O1962" i="12"/>
  <c r="O1706" i="12"/>
  <c r="O1467" i="12"/>
  <c r="O1298" i="12"/>
  <c r="O1128" i="12"/>
  <c r="O955" i="12"/>
  <c r="O786" i="12"/>
  <c r="O616" i="12"/>
  <c r="O443" i="12"/>
  <c r="O274" i="12"/>
  <c r="O104" i="12"/>
  <c r="O2088" i="12"/>
  <c r="O1832" i="12"/>
  <c r="O1576" i="12"/>
  <c r="O1379" i="12"/>
  <c r="O1210" i="12"/>
  <c r="O1040" i="12"/>
  <c r="O867" i="12"/>
  <c r="O698" i="12"/>
  <c r="O528" i="12"/>
  <c r="O355" i="12"/>
  <c r="O186" i="12"/>
  <c r="O16" i="12"/>
  <c r="O1954" i="12"/>
  <c r="O1698" i="12"/>
  <c r="O1464" i="12"/>
  <c r="O1291" i="12"/>
  <c r="O1122" i="12"/>
  <c r="O952" i="12"/>
  <c r="O779" i="12"/>
  <c r="O610" i="12"/>
  <c r="O440" i="12"/>
  <c r="O267" i="12"/>
  <c r="O98" i="12"/>
  <c r="O2080" i="12"/>
  <c r="O1824" i="12"/>
  <c r="O1568" i="12"/>
  <c r="O1376" i="12"/>
  <c r="O1203" i="12"/>
  <c r="O1034" i="12"/>
  <c r="O864" i="12"/>
  <c r="O691" i="12"/>
  <c r="O522" i="12"/>
  <c r="O352" i="12"/>
  <c r="O179" i="12"/>
  <c r="O10" i="12"/>
  <c r="O731" i="12"/>
  <c r="O1394" i="12"/>
  <c r="O27" i="12"/>
  <c r="O690" i="12"/>
  <c r="O1352" i="12"/>
  <c r="O2010" i="12"/>
  <c r="O475" i="12"/>
  <c r="O968" i="12"/>
  <c r="O1458" i="12"/>
  <c r="O91" i="12"/>
  <c r="O584" i="12"/>
  <c r="O1288" i="12"/>
  <c r="O1914" i="12"/>
  <c r="O2119" i="12"/>
  <c r="O767" i="12"/>
  <c r="O71" i="12"/>
  <c r="O1758" i="12"/>
  <c r="O2159" i="12"/>
  <c r="O1983" i="12"/>
  <c r="O1799" i="12"/>
  <c r="O1647" i="12"/>
  <c r="O1471" i="12"/>
  <c r="O1287" i="12"/>
  <c r="O1135" i="12"/>
  <c r="O959" i="12"/>
  <c r="O775" i="12"/>
  <c r="O623" i="12"/>
  <c r="O447" i="12"/>
  <c r="O263" i="12"/>
  <c r="O111" i="12"/>
  <c r="O2134" i="12"/>
  <c r="O1950" i="12"/>
  <c r="O1798" i="12"/>
  <c r="O1622" i="12"/>
  <c r="O1438" i="12"/>
  <c r="O1286" i="12"/>
  <c r="O1110" i="12"/>
  <c r="O926" i="12"/>
  <c r="O774" i="12"/>
  <c r="O598" i="12"/>
  <c r="O414" i="12"/>
  <c r="O262" i="12"/>
  <c r="O86" i="12"/>
  <c r="O2101" i="12"/>
  <c r="O1949" i="12"/>
  <c r="O1773" i="12"/>
  <c r="O1589" i="12"/>
  <c r="O1437" i="12"/>
  <c r="O1261" i="12"/>
  <c r="O1077" i="12"/>
  <c r="O925" i="12"/>
  <c r="O749" i="12"/>
  <c r="O565" i="12"/>
  <c r="O413" i="12"/>
  <c r="O237" i="12"/>
  <c r="O53" i="12"/>
  <c r="O2100" i="12"/>
  <c r="O1924" i="12"/>
  <c r="O1740" i="12"/>
  <c r="O1588" i="12"/>
  <c r="O1412" i="12"/>
  <c r="O1228" i="12"/>
  <c r="O1076" i="12"/>
  <c r="O900" i="12"/>
  <c r="O716" i="12"/>
  <c r="O564" i="12"/>
  <c r="O388" i="12"/>
  <c r="O204" i="12"/>
  <c r="O52" i="12"/>
  <c r="O2075" i="12"/>
  <c r="O1891" i="12"/>
  <c r="O1739" i="12"/>
  <c r="O1563" i="12"/>
  <c r="O2073" i="12"/>
  <c r="O1921" i="12"/>
  <c r="O1745" i="12"/>
  <c r="O1561" i="12"/>
  <c r="O1409" i="12"/>
  <c r="O1233" i="12"/>
  <c r="O1049" i="12"/>
  <c r="O897" i="12"/>
  <c r="O785" i="12"/>
  <c r="O721" i="12"/>
  <c r="O657" i="12"/>
  <c r="O593" i="12"/>
  <c r="O529" i="12"/>
  <c r="O465" i="12"/>
  <c r="O401" i="12"/>
  <c r="O337" i="12"/>
  <c r="O273" i="12"/>
  <c r="O209" i="12"/>
  <c r="O145" i="12"/>
  <c r="O81" i="12"/>
  <c r="O17" i="12"/>
  <c r="O2040" i="12"/>
  <c r="O1784" i="12"/>
  <c r="O1528" i="12"/>
  <c r="O1347" i="12"/>
  <c r="O1178" i="12"/>
  <c r="O1008" i="12"/>
  <c r="O835" i="12"/>
  <c r="O666" i="12"/>
  <c r="O496" i="12"/>
  <c r="O323" i="12"/>
  <c r="O154" i="12"/>
  <c r="O2194" i="12"/>
  <c r="O1938" i="12"/>
  <c r="O1682" i="12"/>
  <c r="O1451" i="12"/>
  <c r="O1282" i="12"/>
  <c r="O1112" i="12"/>
  <c r="O939" i="12"/>
  <c r="O770" i="12"/>
  <c r="O600" i="12"/>
  <c r="O427" i="12"/>
  <c r="O258" i="12"/>
  <c r="O88" i="12"/>
  <c r="O2064" i="12"/>
  <c r="O1808" i="12"/>
  <c r="O1552" i="12"/>
  <c r="O1363" i="12"/>
  <c r="O1194" i="12"/>
  <c r="O1024" i="12"/>
  <c r="O851" i="12"/>
  <c r="O682" i="12"/>
  <c r="O512" i="12"/>
  <c r="O339" i="12"/>
  <c r="O170" i="12"/>
  <c r="O2186" i="12"/>
  <c r="O1930" i="12"/>
  <c r="O1674" i="12"/>
  <c r="O1448" i="12"/>
  <c r="O1275" i="12"/>
  <c r="O1106" i="12"/>
  <c r="O936" i="12"/>
  <c r="O763" i="12"/>
  <c r="O594" i="12"/>
  <c r="O424" i="12"/>
  <c r="O251" i="12"/>
  <c r="O82" i="12"/>
  <c r="O2056" i="12"/>
  <c r="O1800" i="12"/>
  <c r="O1544" i="12"/>
  <c r="O1360" i="12"/>
  <c r="O1187" i="12"/>
  <c r="O1018" i="12"/>
  <c r="O848" i="12"/>
  <c r="O675" i="12"/>
  <c r="O506" i="12"/>
  <c r="O336" i="12"/>
  <c r="O163" i="12"/>
  <c r="O2178" i="12"/>
  <c r="O1922" i="12"/>
  <c r="O1666" i="12"/>
  <c r="O1442" i="12"/>
  <c r="O1272" i="12"/>
  <c r="O1099" i="12"/>
  <c r="O930" i="12"/>
  <c r="O760" i="12"/>
  <c r="O587" i="12"/>
  <c r="O418" i="12"/>
  <c r="O248" i="12"/>
  <c r="O75" i="12"/>
  <c r="O2048" i="12"/>
  <c r="O1792" i="12"/>
  <c r="O1536" i="12"/>
  <c r="O1354" i="12"/>
  <c r="O1184" i="12"/>
  <c r="O1011" i="12"/>
  <c r="O842" i="12"/>
  <c r="O672" i="12"/>
  <c r="O499" i="12"/>
  <c r="O330" i="12"/>
  <c r="O160" i="12"/>
  <c r="O2138" i="12"/>
  <c r="O562" i="12"/>
  <c r="O1224" i="12"/>
  <c r="O2074" i="12"/>
  <c r="O520" i="12"/>
  <c r="O1179" i="12"/>
  <c r="O1754" i="12"/>
  <c r="O306" i="12"/>
  <c r="O795" i="12"/>
  <c r="O1435" i="12"/>
  <c r="O1967" i="12"/>
  <c r="O943" i="12"/>
  <c r="O255" i="12"/>
  <c r="O2118" i="12"/>
  <c r="O2111" i="12"/>
  <c r="O1927" i="12"/>
  <c r="O1775" i="12"/>
  <c r="O1599" i="12"/>
  <c r="O1415" i="12"/>
  <c r="O1263" i="12"/>
  <c r="O1087" i="12"/>
  <c r="O903" i="12"/>
  <c r="O751" i="12"/>
  <c r="O575" i="12"/>
  <c r="O391" i="12"/>
  <c r="O239" i="12"/>
  <c r="O63" i="12"/>
  <c r="O2078" i="12"/>
  <c r="O1926" i="12"/>
  <c r="O1750" i="12"/>
  <c r="O1566" i="12"/>
  <c r="O1414" i="12"/>
  <c r="O1238" i="12"/>
  <c r="O1054" i="12"/>
  <c r="O902" i="12"/>
  <c r="O726" i="12"/>
  <c r="O542" i="12"/>
  <c r="O390" i="12"/>
  <c r="O214" i="12"/>
  <c r="O30" i="12"/>
  <c r="O2077" i="12"/>
  <c r="O1901" i="12"/>
  <c r="O1717" i="12"/>
  <c r="O1565" i="12"/>
  <c r="O1389" i="12"/>
  <c r="O1205" i="12"/>
  <c r="O1053" i="12"/>
  <c r="O877" i="12"/>
  <c r="O693" i="12"/>
  <c r="O541" i="12"/>
  <c r="O365" i="12"/>
  <c r="O181" i="12"/>
  <c r="O29" i="12"/>
  <c r="O2052" i="12"/>
  <c r="O1868" i="12"/>
  <c r="O1716" i="12"/>
  <c r="O1540" i="12"/>
  <c r="O1356" i="12"/>
  <c r="O1204" i="12"/>
  <c r="O1028" i="12"/>
  <c r="O844" i="12"/>
  <c r="O692" i="12"/>
  <c r="O516" i="12"/>
  <c r="O332" i="12"/>
  <c r="O180" i="12"/>
  <c r="O4" i="12"/>
  <c r="O2019" i="12"/>
  <c r="O1867" i="12"/>
  <c r="O1691" i="12"/>
  <c r="O1507" i="12"/>
  <c r="O2049" i="12"/>
  <c r="O1873" i="12"/>
  <c r="O1689" i="12"/>
  <c r="O1537" i="12"/>
  <c r="O1361" i="12"/>
  <c r="O1177" i="12"/>
  <c r="O1025" i="12"/>
  <c r="O849" i="12"/>
  <c r="O769" i="12"/>
  <c r="O705" i="12"/>
  <c r="O641" i="12"/>
  <c r="O577" i="12"/>
  <c r="O513" i="12"/>
  <c r="O449" i="12"/>
  <c r="O385" i="12"/>
  <c r="O321" i="12"/>
  <c r="O257" i="12"/>
  <c r="O193" i="12"/>
  <c r="O129" i="12"/>
  <c r="O65" i="12"/>
  <c r="O2" i="12"/>
  <c r="O1976" i="12"/>
  <c r="O1720" i="12"/>
  <c r="O1475" i="12"/>
  <c r="O1306" i="12"/>
  <c r="O1136" i="12"/>
  <c r="O963" i="12"/>
  <c r="O794" i="12"/>
  <c r="O624" i="12"/>
  <c r="O451" i="12"/>
  <c r="O282" i="12"/>
  <c r="O112" i="12"/>
  <c r="O2130" i="12"/>
  <c r="O1874" i="12"/>
  <c r="O1618" i="12"/>
  <c r="O1410" i="12"/>
  <c r="O1240" i="12"/>
  <c r="O1067" i="12"/>
  <c r="O898" i="12"/>
  <c r="O728" i="12"/>
  <c r="O555" i="12"/>
  <c r="O386" i="12"/>
  <c r="O216" i="12"/>
  <c r="O43" i="12"/>
  <c r="O2000" i="12"/>
  <c r="O1744" i="12"/>
  <c r="O1491" i="12"/>
  <c r="O1322" i="12"/>
  <c r="O1152" i="12"/>
  <c r="O979" i="12"/>
  <c r="O810" i="12"/>
  <c r="O640" i="12"/>
  <c r="O467" i="12"/>
  <c r="O298" i="12"/>
  <c r="O128" i="12"/>
  <c r="O2122" i="12"/>
  <c r="O1866" i="12"/>
  <c r="O1610" i="12"/>
  <c r="O1403" i="12"/>
  <c r="O1234" i="12"/>
  <c r="O1064" i="12"/>
  <c r="O891" i="12"/>
  <c r="O722" i="12"/>
  <c r="O552" i="12"/>
  <c r="O379" i="12"/>
  <c r="O210" i="12"/>
  <c r="O40" i="12"/>
  <c r="O1992" i="12"/>
  <c r="O1736" i="12"/>
  <c r="O1488" i="12"/>
  <c r="O1315" i="12"/>
  <c r="O1146" i="12"/>
  <c r="O976" i="12"/>
  <c r="O803" i="12"/>
  <c r="O634" i="12"/>
  <c r="O464" i="12"/>
  <c r="O291" i="12"/>
  <c r="O122" i="12"/>
  <c r="O2114" i="12"/>
  <c r="O1858" i="12"/>
  <c r="O1602" i="12"/>
  <c r="O1400" i="12"/>
  <c r="O1227" i="12"/>
  <c r="O1058" i="12"/>
  <c r="O888" i="12"/>
  <c r="O715" i="12"/>
  <c r="O546" i="12"/>
  <c r="O376" i="12"/>
  <c r="O203" i="12"/>
  <c r="O34" i="12"/>
  <c r="O1984" i="12"/>
  <c r="O1728" i="12"/>
  <c r="O1482" i="12"/>
  <c r="O1312" i="12"/>
  <c r="O1139" i="12"/>
  <c r="O970" i="12"/>
  <c r="O800" i="12"/>
  <c r="O627" i="12"/>
  <c r="O458" i="12"/>
  <c r="O288" i="12"/>
  <c r="O115" i="12"/>
  <c r="O1626" i="12"/>
  <c r="O219" i="12"/>
  <c r="O882" i="12"/>
  <c r="O1562" i="12"/>
  <c r="O178" i="12"/>
  <c r="O840" i="12"/>
  <c r="O1330" i="12"/>
  <c r="O1978" i="12"/>
  <c r="O456" i="12"/>
  <c r="O946" i="12"/>
  <c r="O1266" i="12"/>
  <c r="O1658" i="12"/>
  <c r="O2095" i="12"/>
  <c r="O1919" i="12"/>
  <c r="O1735" i="12"/>
  <c r="O1583" i="12"/>
  <c r="O1407" i="12"/>
  <c r="O1223" i="12"/>
  <c r="O1071" i="12"/>
  <c r="O895" i="12"/>
  <c r="O711" i="12"/>
  <c r="O559" i="12"/>
  <c r="O383" i="12"/>
  <c r="O199" i="12"/>
  <c r="O47" i="12"/>
  <c r="O2070" i="12"/>
  <c r="O1886" i="12"/>
  <c r="O1734" i="12"/>
  <c r="O1558" i="12"/>
  <c r="O1374" i="12"/>
  <c r="O1222" i="12"/>
  <c r="O1046" i="12"/>
  <c r="O862" i="12"/>
  <c r="O710" i="12"/>
  <c r="O534" i="12"/>
  <c r="O350" i="12"/>
  <c r="O198" i="12"/>
  <c r="O22" i="12"/>
  <c r="O2037" i="12"/>
  <c r="O1885" i="12"/>
  <c r="O1709" i="12"/>
  <c r="O1525" i="12"/>
  <c r="O1373" i="12"/>
  <c r="O1197" i="12"/>
  <c r="O1013" i="12"/>
  <c r="O861" i="12"/>
  <c r="O685" i="12"/>
  <c r="O501" i="12"/>
  <c r="O349" i="12"/>
  <c r="O173" i="12"/>
  <c r="O2188" i="12"/>
  <c r="O2036" i="12"/>
  <c r="O1860" i="12"/>
  <c r="O1676" i="12"/>
  <c r="O1524" i="12"/>
  <c r="O1348" i="12"/>
  <c r="O1164" i="12"/>
  <c r="O1012" i="12"/>
  <c r="O836" i="12"/>
  <c r="O652" i="12"/>
  <c r="O500" i="12"/>
  <c r="O324" i="12"/>
  <c r="O140" i="12"/>
  <c r="O2187" i="12"/>
  <c r="O2011" i="12"/>
  <c r="O1827" i="12"/>
  <c r="O1675" i="12"/>
  <c r="O2193" i="12"/>
  <c r="O2009" i="12"/>
  <c r="O1857" i="12"/>
  <c r="O1681" i="12"/>
  <c r="O1497" i="12"/>
  <c r="O1345" i="12"/>
  <c r="O1169" i="12"/>
  <c r="O985" i="12"/>
  <c r="O833" i="12"/>
  <c r="O761" i="12"/>
  <c r="O697" i="12"/>
  <c r="O633" i="12"/>
  <c r="O569" i="12"/>
  <c r="O505" i="12"/>
  <c r="O441" i="12"/>
  <c r="O377" i="12"/>
  <c r="O313" i="12"/>
  <c r="O249" i="12"/>
  <c r="O185" i="12"/>
  <c r="O121" i="12"/>
  <c r="O57" i="12"/>
  <c r="O2200" i="12"/>
  <c r="O1944" i="12"/>
  <c r="O1688" i="12"/>
  <c r="O1456" i="12"/>
  <c r="O1283" i="12"/>
  <c r="O1114" i="12"/>
  <c r="O944" i="12"/>
  <c r="O771" i="12"/>
  <c r="O602" i="12"/>
  <c r="O432" i="12"/>
  <c r="O259" i="12"/>
  <c r="O90" i="12"/>
  <c r="O2098" i="12"/>
  <c r="O1842" i="12"/>
  <c r="O1586" i="12"/>
  <c r="O1387" i="12"/>
  <c r="O1218" i="12"/>
  <c r="O1048" i="12"/>
  <c r="O875" i="12"/>
  <c r="O706" i="12"/>
  <c r="O536" i="12"/>
  <c r="O363" i="12"/>
  <c r="O194" i="12"/>
  <c r="O24" i="12"/>
  <c r="O1968" i="12"/>
  <c r="O1712" i="12"/>
  <c r="O1472" i="12"/>
  <c r="O1299" i="12"/>
  <c r="O1130" i="12"/>
  <c r="O960" i="12"/>
  <c r="O787" i="12"/>
  <c r="O618" i="12"/>
  <c r="O448" i="12"/>
  <c r="O275" i="12"/>
  <c r="O106" i="12"/>
  <c r="O2090" i="12"/>
  <c r="O1834" i="12"/>
  <c r="O1578" i="12"/>
  <c r="O1384" i="12"/>
  <c r="O1211" i="12"/>
  <c r="O1042" i="12"/>
  <c r="O872" i="12"/>
  <c r="O699" i="12"/>
  <c r="O530" i="12"/>
  <c r="O360" i="12"/>
  <c r="O187" i="12"/>
  <c r="O18" i="12"/>
  <c r="O1960" i="12"/>
  <c r="O1704" i="12"/>
  <c r="O1466" i="12"/>
  <c r="O1296" i="12"/>
  <c r="O1123" i="12"/>
  <c r="O954" i="12"/>
  <c r="O784" i="12"/>
  <c r="O611" i="12"/>
  <c r="O442" i="12"/>
  <c r="O272" i="12"/>
  <c r="O99" i="12"/>
  <c r="O2082" i="12"/>
  <c r="O1826" i="12"/>
  <c r="O1570" i="12"/>
  <c r="O1378" i="12"/>
  <c r="O1208" i="12"/>
  <c r="O1035" i="12"/>
  <c r="O866" i="12"/>
  <c r="O696" i="12"/>
  <c r="O523" i="12"/>
  <c r="O354" i="12"/>
  <c r="O184" i="12"/>
  <c r="O11" i="12"/>
  <c r="O1952" i="12"/>
  <c r="O1696" i="12"/>
  <c r="O1459" i="12"/>
  <c r="O1290" i="12"/>
  <c r="O1120" i="12"/>
  <c r="O947" i="12"/>
  <c r="O778" i="12"/>
  <c r="O608" i="12"/>
  <c r="O435" i="12"/>
  <c r="O266" i="12"/>
  <c r="O96" i="12"/>
  <c r="O1416" i="12"/>
  <c r="O50" i="12"/>
  <c r="O712" i="12"/>
  <c r="O1371" i="12"/>
  <c r="O8" i="12"/>
  <c r="O667" i="12"/>
  <c r="O1160" i="12"/>
  <c r="O1722" i="12"/>
  <c r="O283" i="12"/>
  <c r="O776" i="12"/>
  <c r="O1096" i="12"/>
  <c r="O242" i="12"/>
  <c r="O1246" i="12"/>
  <c r="O2093" i="12"/>
  <c r="O733" i="12"/>
  <c r="O1548" i="12"/>
  <c r="O196" i="12"/>
  <c r="O1729" i="12"/>
  <c r="O649" i="12"/>
  <c r="O137" i="12"/>
  <c r="O986" i="12"/>
  <c r="O1650" i="12"/>
  <c r="O235" i="12"/>
  <c r="O832" i="12"/>
  <c r="O1426" i="12"/>
  <c r="O59" i="12"/>
  <c r="O656" i="12"/>
  <c r="O1250" i="12"/>
  <c r="O2016" i="12"/>
  <c r="O480" i="12"/>
  <c r="O1010" i="12"/>
  <c r="O1083" i="12"/>
  <c r="O1504" i="12"/>
  <c r="O136" i="12"/>
  <c r="O1498" i="12"/>
  <c r="O1168" i="12"/>
  <c r="O1051" i="12"/>
  <c r="O1002" i="12"/>
  <c r="O650" i="12"/>
  <c r="O1094" i="12"/>
  <c r="O1909" i="12"/>
  <c r="O557" i="12"/>
  <c r="O1396" i="12"/>
  <c r="O12" i="12"/>
  <c r="O1553" i="12"/>
  <c r="O585" i="12"/>
  <c r="O73" i="12"/>
  <c r="O816" i="12"/>
  <c r="O1432" i="12"/>
  <c r="O66" i="12"/>
  <c r="O659" i="12"/>
  <c r="O1256" i="12"/>
  <c r="O2024" i="12"/>
  <c r="O483" i="12"/>
  <c r="O1080" i="12"/>
  <c r="O1760" i="12"/>
  <c r="O307" i="12"/>
  <c r="O1499" i="12"/>
  <c r="O2032" i="12"/>
  <c r="O1768" i="12"/>
  <c r="O907" i="12"/>
  <c r="O138" i="12"/>
  <c r="O131" i="12"/>
  <c r="O2154" i="12"/>
  <c r="O1890" i="12"/>
  <c r="O72" i="12"/>
  <c r="O1642" i="12"/>
  <c r="O1455" i="12"/>
  <c r="O918" i="12"/>
  <c r="O1757" i="12"/>
  <c r="O373" i="12"/>
  <c r="O1220" i="12"/>
  <c r="O2059" i="12"/>
  <c r="O1369" i="12"/>
  <c r="O521" i="12"/>
  <c r="O9" i="12"/>
  <c r="O643" i="12"/>
  <c r="O1259" i="12"/>
  <c r="O490" i="12"/>
  <c r="O314" i="12"/>
  <c r="O1634" i="12"/>
  <c r="O411" i="12"/>
  <c r="O56" i="12"/>
  <c r="O1279" i="12"/>
  <c r="O734" i="12"/>
  <c r="O1581" i="12"/>
  <c r="O221" i="12"/>
  <c r="O1036" i="12"/>
  <c r="O1883" i="12"/>
  <c r="O1217" i="12"/>
  <c r="O457" i="12"/>
  <c r="O2008" i="12"/>
  <c r="O474" i="12"/>
  <c r="O1090" i="12"/>
  <c r="O1776" i="12"/>
  <c r="O320" i="12"/>
  <c r="O914" i="12"/>
  <c r="O1512" i="12"/>
  <c r="O144" i="12"/>
  <c r="O738" i="12"/>
  <c r="O1331" i="12"/>
  <c r="O1882" i="12"/>
  <c r="O626" i="12"/>
  <c r="O406" i="12"/>
  <c r="O2060" i="12"/>
  <c r="O857" i="12"/>
  <c r="O747" i="12"/>
  <c r="O571" i="12"/>
  <c r="O992" i="12"/>
  <c r="O1818" i="12"/>
  <c r="O826" i="12"/>
  <c r="O1095" i="12"/>
  <c r="O582" i="12"/>
  <c r="O1397" i="12"/>
  <c r="O45" i="12"/>
  <c r="O884" i="12"/>
  <c r="O1699" i="12"/>
  <c r="O1041" i="12"/>
  <c r="O393" i="12"/>
  <c r="O1752" i="12"/>
  <c r="O304" i="12"/>
  <c r="O920" i="12"/>
  <c r="O1520" i="12"/>
  <c r="O147" i="12"/>
  <c r="O744" i="12"/>
  <c r="O1338" i="12"/>
  <c r="O2146" i="12"/>
  <c r="O568" i="12"/>
  <c r="O1162" i="12"/>
  <c r="O392" i="12"/>
  <c r="O1115" i="12"/>
  <c r="O1942" i="12"/>
  <c r="O1245" i="12"/>
  <c r="O708" i="12"/>
  <c r="O1547" i="12"/>
  <c r="O329" i="12"/>
  <c r="O1344" i="12"/>
  <c r="O395" i="12"/>
  <c r="O819" i="12"/>
  <c r="O232" i="12"/>
  <c r="O1606" i="12"/>
  <c r="O222" i="12"/>
  <c r="O1069" i="12"/>
  <c r="O1908" i="12"/>
  <c r="O524" i="12"/>
  <c r="O2065" i="12"/>
  <c r="O777" i="12"/>
  <c r="O265" i="12"/>
  <c r="O1328" i="12"/>
  <c r="O2162" i="12"/>
  <c r="O578" i="12"/>
  <c r="O1171" i="12"/>
  <c r="O1898" i="12"/>
  <c r="O402" i="12"/>
  <c r="O995" i="12"/>
  <c r="O226" i="12"/>
  <c r="O347" i="12"/>
  <c r="O1430" i="12"/>
  <c r="O70" i="12"/>
  <c r="O885" i="12"/>
  <c r="O1732" i="12"/>
  <c r="O372" i="12"/>
  <c r="O1881" i="12"/>
  <c r="O713" i="12"/>
  <c r="O201" i="12"/>
  <c r="O1155" i="12"/>
  <c r="O1906" i="12"/>
  <c r="O408" i="12"/>
  <c r="O141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187" authorId="0" shapeId="0" xr:uid="{00000000-0006-0000-0200-000001000000}">
      <text>
        <r>
          <rPr>
            <sz val="10"/>
            <color rgb="FF000000"/>
            <rFont val="Arial"/>
          </rPr>
          <t>IR0201	Provide business performance reports to:
Remove " to:" from requirement subject.
	-Emile Botha</t>
        </r>
      </text>
    </comment>
  </commentList>
</comments>
</file>

<file path=xl/sharedStrings.xml><?xml version="1.0" encoding="utf-8"?>
<sst xmlns="http://schemas.openxmlformats.org/spreadsheetml/2006/main" count="2569" uniqueCount="2395">
  <si>
    <t>Requirement Detail List Item Indent:</t>
  </si>
  <si>
    <t>Prefix tab (char 9), as leading spaces are dropped in Google Docs.</t>
  </si>
  <si>
    <t>Section Heading</t>
  </si>
  <si>
    <t>L</t>
  </si>
  <si>
    <t>Prefix</t>
  </si>
  <si>
    <t>#</t>
  </si>
  <si>
    <t>Req Head</t>
  </si>
  <si>
    <t>R/Subj in Head</t>
  </si>
  <si>
    <t>Xtra Col</t>
  </si>
  <si>
    <t>Transpharm 5526 - Ecommerse offering to the Public - Baby (B2C)</t>
  </si>
  <si>
    <t>Requirement</t>
  </si>
  <si>
    <t>N</t>
  </si>
  <si>
    <t>Functional Requirements</t>
  </si>
  <si>
    <t>BR</t>
  </si>
  <si>
    <t>Information Requirements</t>
  </si>
  <si>
    <t>IR</t>
  </si>
  <si>
    <t>New / Exist</t>
  </si>
  <si>
    <t>Data Requirements</t>
  </si>
  <si>
    <t>DR</t>
  </si>
  <si>
    <t>Non-Functional Requirements</t>
  </si>
  <si>
    <t>NF</t>
  </si>
  <si>
    <t>Terminology</t>
  </si>
  <si>
    <t>T</t>
  </si>
  <si>
    <t>Term</t>
  </si>
  <si>
    <t>Y</t>
  </si>
  <si>
    <t>Constraints, Assumptions, Issues, Risks</t>
  </si>
  <si>
    <t/>
  </si>
  <si>
    <t>Issues</t>
  </si>
  <si>
    <t>x</t>
  </si>
  <si>
    <t>Old topics list</t>
  </si>
  <si>
    <t>Tot</t>
  </si>
  <si>
    <t>Unalloc</t>
  </si>
  <si>
    <t>Phase 2</t>
  </si>
  <si>
    <t>Phase 3</t>
  </si>
  <si>
    <t>Phase 4</t>
  </si>
  <si>
    <t>Later</t>
  </si>
  <si>
    <t>Never</t>
  </si>
  <si>
    <t>Critical</t>
  </si>
  <si>
    <t>High</t>
  </si>
  <si>
    <t>Medium-high</t>
  </si>
  <si>
    <t>Medium</t>
  </si>
  <si>
    <t>Low</t>
  </si>
  <si>
    <t>KSD</t>
  </si>
  <si>
    <t>Key Solution Decision</t>
  </si>
  <si>
    <t>Decision Description</t>
  </si>
  <si>
    <t>Priority</t>
  </si>
  <si>
    <t>Phase</t>
  </si>
  <si>
    <t>Key Decision</t>
  </si>
  <si>
    <t>Key Decision Detail</t>
  </si>
  <si>
    <t>Rel Req</t>
  </si>
  <si>
    <t>Decide Date</t>
  </si>
  <si>
    <t>Decide By</t>
  </si>
  <si>
    <t>Decision</t>
  </si>
  <si>
    <t>Business Positioning</t>
  </si>
  <si>
    <t>Phase 1</t>
  </si>
  <si>
    <t>Market positioning</t>
  </si>
  <si>
    <t>The B2C online shop will serve parents with babies or young clildren, as well as adults with special needs (excludes regulated/medication products) that may (initially) be supplied by Transpharm.</t>
  </si>
  <si>
    <t>Cater for entry-level, mid-range and superior products as may be applicable to the category of product.</t>
  </si>
  <si>
    <t>Price products based on quality, not necicarily to be the cheapest.</t>
  </si>
  <si>
    <t>Business Entity</t>
  </si>
  <si>
    <t>The B2C online shop will be operated by B2C Co, a to-be-named entity that will operate as an independent business, separate from Transpharm.</t>
  </si>
  <si>
    <t>Selling Channel</t>
  </si>
  <si>
    <t>Initially, sell only via a web-based online shop, that dynamically adjusts for use on various devices.</t>
  </si>
  <si>
    <t>Payment for sales will be taken via a Shoprite payment gateway.</t>
  </si>
  <si>
    <t>The Payment gateway will collect payment card details, as the business will not record that detail.</t>
  </si>
  <si>
    <t>Selling Platform</t>
  </si>
  <si>
    <t>The online shop will utilise the existing Shoptite retail platforms for managing product listing and and pricing.</t>
  </si>
  <si>
    <t>The online shop will utilise the existing Shoptite customer-facing platforms for marketing and selling purposes.</t>
  </si>
  <si>
    <t>The financial accounts of B2C Co will be managed in the existing Shoprite financial system.</t>
  </si>
  <si>
    <t>Paid customer orders and related status updates will automatically be interfaced to the applicable supplier for fulfilment.</t>
  </si>
  <si>
    <t>Orders and collections and related status updates will automatically be interfaced to the applicable courier for collection &amp; delivery.</t>
  </si>
  <si>
    <t>Product Catalogue, Price &amp; Enrichment</t>
  </si>
  <si>
    <t>Price Change Frequency</t>
  </si>
  <si>
    <t>Product Prices - Daily</t>
  </si>
  <si>
    <t>Promotions - Daily</t>
  </si>
  <si>
    <t>Price/Promotion Fixes - Real-time</t>
  </si>
  <si>
    <t>Product Packs to Sell</t>
  </si>
  <si>
    <t>Sell product packs and promotional items immediately</t>
  </si>
  <si>
    <t>Product EA + Packs (not bulk)</t>
  </si>
  <si>
    <t>Supplier promotional items/combos</t>
  </si>
  <si>
    <t>Limited promotion stock of a  product</t>
  </si>
  <si>
    <t>Services to Sell</t>
  </si>
  <si>
    <t>Sell Services later only</t>
  </si>
  <si>
    <t>Product List &amp; Range</t>
  </si>
  <si>
    <t>List &amp; range products in Shoprite Retail system (SAP Retail).</t>
  </si>
  <si>
    <t>Product Price Management</t>
  </si>
  <si>
    <t>Manage product pricing in the Shoprite Retail system (SAP Retail).</t>
  </si>
  <si>
    <t>Product Enrichment &amp; Publishing</t>
  </si>
  <si>
    <t>Manage the enrichment of product for online sale in the Shoprite Marketing system (SAP Hybris).</t>
  </si>
  <si>
    <t>Marketing &amp; Advertising</t>
  </si>
  <si>
    <t>Advertising Channels</t>
  </si>
  <si>
    <t>:</t>
  </si>
  <si>
    <t>Advertise products in shop</t>
  </si>
  <si>
    <t>Advertise special events in shop</t>
  </si>
  <si>
    <t>Advertise products online (search, sites, etc)</t>
  </si>
  <si>
    <t>Advertise special events online (search, social sites, etc.)</t>
  </si>
  <si>
    <t>Sell advertising space/positining</t>
  </si>
  <si>
    <t>Marketing Strategy</t>
  </si>
  <si>
    <t>Actively maktet the business brand, its promotions and products across online channels.</t>
  </si>
  <si>
    <t>Marketing Campaigns</t>
  </si>
  <si>
    <t>Track advertisements across channels</t>
  </si>
  <si>
    <t>Inform customers with articles</t>
  </si>
  <si>
    <t>Present informative articles to customers as applicable to a specific category of product/type of customer.</t>
  </si>
  <si>
    <t>Text Article Promotion Channels</t>
  </si>
  <si>
    <t>Present articles with optional lists in shop</t>
  </si>
  <si>
    <t>Post articles online (search, social/review sites, etc.)</t>
  </si>
  <si>
    <t>Product Range</t>
  </si>
  <si>
    <t>baby consumables</t>
  </si>
  <si>
    <t>baby accessories</t>
  </si>
  <si>
    <t>baby clothing</t>
  </si>
  <si>
    <t>baby equiment</t>
  </si>
  <si>
    <t>adult special-need consumables</t>
  </si>
  <si>
    <t>adult special-need support products</t>
  </si>
  <si>
    <t>Supplier Contracting</t>
  </si>
  <si>
    <t>Contract the supplier to fulfill customer orders and receive returned products directly.</t>
  </si>
  <si>
    <t>Stock Availability</t>
  </si>
  <si>
    <t>The upplier will provide real-time (interfaced) updates of stock availability changes.</t>
  </si>
  <si>
    <t>Supplier Order placement</t>
  </si>
  <si>
    <t>Centrally interface supplier orders with the supplier, who will manage each order from their across their warehouses/depots..</t>
  </si>
  <si>
    <t>Supplier Order Fulfilment Progress</t>
  </si>
  <si>
    <t>Inform the business of the progress to fulfill a supplier order.</t>
  </si>
  <si>
    <t>Product Return Destination</t>
  </si>
  <si>
    <t>Supplier direcly receives a returned product from a customer.</t>
  </si>
  <si>
    <t>Real-time Stock Availability</t>
  </si>
  <si>
    <t>The supplier will provide real-time (interfaced) information updates of key supplier order status changes.</t>
  </si>
  <si>
    <t>Customer Order Fulfilment</t>
  </si>
  <si>
    <t>Who holds the stock</t>
  </si>
  <si>
    <t>Supplier (warehouse/depot) holds the stock</t>
  </si>
  <si>
    <t>B2C Co never reflects inventory or holds stock.</t>
  </si>
  <si>
    <t>The supplier reflects and holds (warehouse/depot) their own stock.</t>
  </si>
  <si>
    <t>Supplier warehouse/depot picks the order</t>
  </si>
  <si>
    <t>Inform courier to collect delivery</t>
  </si>
  <si>
    <t>The business will inform the courier to collect the parcel at the supplier's warehouse/depot address for delivery, or at the customer's address for return to the supplier.</t>
  </si>
  <si>
    <t>Who receives a product return</t>
  </si>
  <si>
    <t>Supplier warehouse/depot that packed the order receives any returns.</t>
  </si>
  <si>
    <t>Supplier Payment</t>
  </si>
  <si>
    <t>Pay on</t>
  </si>
  <si>
    <t>Pay on supplier monthly invoice for orders fulfilled</t>
  </si>
  <si>
    <t>Pay only Invoice transactions that match fulfilled orders</t>
  </si>
  <si>
    <t>Online Shop</t>
  </si>
  <si>
    <t>Usability</t>
  </si>
  <si>
    <t>Ensure the user expereince is on par/exceeds the competition.</t>
  </si>
  <si>
    <t>Apply modern design and usability princiuples and practices to the online shop.</t>
  </si>
  <si>
    <t>Ensure the online shop works on all major screen formats (phone, tablet, pc).</t>
  </si>
  <si>
    <t>User Maangement</t>
  </si>
  <si>
    <t>Manage online shop users and user profiles in the Shoprite online infrastructure.</t>
  </si>
  <si>
    <t>Authenticate users using at least a username and password.</t>
  </si>
  <si>
    <t>Consider using OTP methods to safeguard user identity changes.</t>
  </si>
  <si>
    <t>A user may change or reset their own password.</t>
  </si>
  <si>
    <t>A customer may recover their username using a secret question in combination with other information.</t>
  </si>
  <si>
    <t>Actively manage locked and abandoned customer and internal users.</t>
  </si>
  <si>
    <t>Back-office Users</t>
  </si>
  <si>
    <t>Back-office users may not shop using their user, but may be provided access to limited directly relevant information &amp; functions.</t>
  </si>
  <si>
    <t>Customer Profile</t>
  </si>
  <si>
    <t>A customer may maintain their personal details online.</t>
  </si>
  <si>
    <t>A customer may maintain their contact details online.</t>
  </si>
  <si>
    <t>A customer may maintain their delivery details online.</t>
  </si>
  <si>
    <t>A customer may change their login email address online.</t>
  </si>
  <si>
    <t>Customer Family Members</t>
  </si>
  <si>
    <t>A customer may list their children.</t>
  </si>
  <si>
    <t>Customer Data Sharing</t>
  </si>
  <si>
    <t>Securely store customer profiles.</t>
  </si>
  <si>
    <t>Only share customer profiles + purchases if they provide marketing consent.</t>
  </si>
  <si>
    <t>Customer Products Favourites</t>
  </si>
  <si>
    <t>A customer may maintain a personal list of products they like (and want to purchase often).</t>
  </si>
  <si>
    <t>Customer Products Wish-list</t>
  </si>
  <si>
    <t>A customer may maintain a personal list of products they like (and may want to purchase in the future).</t>
  </si>
  <si>
    <t>Customer Article Library</t>
  </si>
  <si>
    <t>A customer may maintain a personal library of articles they like.</t>
  </si>
  <si>
    <t>Legal and Shoprite Corporate Compliance</t>
  </si>
  <si>
    <t>Present clear informastion about the business and its directors.</t>
  </si>
  <si>
    <t>Present a clear privacy policy on the shop.</t>
  </si>
  <si>
    <t>Present clear terms of use on the shopfront.</t>
  </si>
  <si>
    <t>Customer Product Find</t>
  </si>
  <si>
    <t>A user may use keywords to search for a product.</t>
  </si>
  <si>
    <t>A user may use keywords to search for product types or that have matching properties.</t>
  </si>
  <si>
    <t>A user may use keywords to search for product related to a supplier/brand.</t>
  </si>
  <si>
    <t>A user may use keywords to search for product related to a specific purpose or special event.</t>
  </si>
  <si>
    <t>A customer may refine their search results using criteria that match to the results (e.g. suppliers)</t>
  </si>
  <si>
    <t>A customer must be able to view the full description and key properties of a product.</t>
  </si>
  <si>
    <t>A customer must be able to view one/more high-resolution photographsd of a product.</t>
  </si>
  <si>
    <t>In search resaults and advertisements, a product must be clearly identifyable using images.</t>
  </si>
  <si>
    <t>Advertisement Relevance to Customer</t>
  </si>
  <si>
    <t>Insert advertisements into search results.</t>
  </si>
  <si>
    <t>Place matching advertisements on search results pages.</t>
  </si>
  <si>
    <t>Rich-text Article Relevance to Customer</t>
  </si>
  <si>
    <t>Include matching articles in product search results.</t>
  </si>
  <si>
    <t>Place promoted matching articles on search results pages.</t>
  </si>
  <si>
    <t>Place promoted matching articles on product pages.</t>
  </si>
  <si>
    <t>Also-bought/similar Products</t>
  </si>
  <si>
    <t>Track and then promote often bought products on product pages, based on properties and promotions.</t>
  </si>
  <si>
    <t>Track and then promote similar products on product pages, based on properties and promotions.</t>
  </si>
  <si>
    <t>Shopping Cart</t>
  </si>
  <si>
    <t>The shopping card must at all times be accessible, with the number of items in the basket displayed</t>
  </si>
  <si>
    <t>The customer may add/remove a product from any list to the shopping cart.</t>
  </si>
  <si>
    <t>The shpping card must display the list of added products, similar to the view in the search results.</t>
  </si>
  <si>
    <t>The shopper may with the ability to add/remove/change quantities of items in  the shopping cart.</t>
  </si>
  <si>
    <t>The shopper may add/ove items from the shopping cart to their favourites/wish list.</t>
  </si>
  <si>
    <t>Shopping Checkout</t>
  </si>
  <si>
    <t>The shopper may navigate freely from cart to delivery preferences to checkout &amp; payment.</t>
  </si>
  <si>
    <t>The shopper must accept the online payment T&amp;Cs in order to proceed to payment.</t>
  </si>
  <si>
    <t>A designated administrator may reverse/refund/correct an online payment via the B2C back-end systems.</t>
  </si>
  <si>
    <t>Customer Service</t>
  </si>
  <si>
    <t>Contact the business</t>
  </si>
  <si>
    <t>A customer may contact the business online.</t>
  </si>
  <si>
    <t>A customer may contact the business via a toll-free phone number.</t>
  </si>
  <si>
    <t>A customer may contact the business via a email.</t>
  </si>
  <si>
    <t>A B2C Call Centre will deal with all customer phone, email and online enquiries.</t>
  </si>
  <si>
    <t>Customer Message Tracking</t>
  </si>
  <si>
    <t>Notify a customer via their cell#/email address of a status update on an order, or return.</t>
  </si>
  <si>
    <t>Notify a customer via their cell#/email address of a response to an enquiry.</t>
  </si>
  <si>
    <t>Notify a customer logged into the online shop, of a status update on an order, or return.</t>
  </si>
  <si>
    <t>Notify a customer logged into the online shop, of a response to an enquiry.</t>
  </si>
  <si>
    <t>Customer Order Tracking</t>
  </si>
  <si>
    <t>A customer may track their placed order online.</t>
  </si>
  <si>
    <t>Inform a customer via emsail and SMS about the progress of their placed order.</t>
  </si>
  <si>
    <t>A customer may online enquire about ther placed order.</t>
  </si>
  <si>
    <t>Include feedback from couriers on deliveries, to ensure an end-to-end experience / limit delivery issues.</t>
  </si>
  <si>
    <t>Customer Return Tracking</t>
  </si>
  <si>
    <t>A customer may track their return request online.</t>
  </si>
  <si>
    <t>Inform a customer via emsail and SMS about the progress of their return request.</t>
  </si>
  <si>
    <t>A customer may online enquire about ther return request.</t>
  </si>
  <si>
    <t>Include feedback from couriers on deliveries, to ensure an end-to-end experience / limit collection issues.</t>
  </si>
  <si>
    <t>Back-office Customer Orders &amp; Returns Tracking</t>
  </si>
  <si>
    <t>B2C Co Orders Management will track and manage all customer orders issues.</t>
  </si>
  <si>
    <t>B2C Co Orders Management will track and manage all return requests and issues.</t>
  </si>
  <si>
    <t>Back-office Supplier &amp; Courier Tracking</t>
  </si>
  <si>
    <t>B2C Co Orders Management will track and manage all supplier orders issues.</t>
  </si>
  <si>
    <t>B2C Co Orders Management will track all courier collections, deliveries and issues.</t>
  </si>
  <si>
    <t>Back-office Customer Message</t>
  </si>
  <si>
    <t>Automatically track all customer communication via all channels</t>
  </si>
  <si>
    <t>Automatically assign all email customer messages to the B2C Co Contact Centre</t>
  </si>
  <si>
    <t>Automatically assign all online customer messages to the B2C Co Contact Centre</t>
  </si>
  <si>
    <t>Automatically assign all order enquiries to the B2C Co Orders Management</t>
  </si>
  <si>
    <t>Automatically assign all return requests and relatd enquiries to the B2C Co Orders Management</t>
  </si>
  <si>
    <t>Financial Management</t>
  </si>
  <si>
    <t>Online Payment Reconciliation</t>
  </si>
  <si>
    <t>Reconcile all online sales with the payment gateway and bank deposits.</t>
  </si>
  <si>
    <t>Automatically interface all online payments to the B2C Co financial accounts on at least a daily basis.</t>
  </si>
  <si>
    <t>Automate the payments reconciliation, to be performed in the Shoprite Financial system.</t>
  </si>
  <si>
    <t>B2C Co Finance will refund customers for fully/partially reversed/credited orders/technical order issues</t>
  </si>
  <si>
    <t>Supplier Orders Reconciliation</t>
  </si>
  <si>
    <t>Reconcile all online sales with the supplier orders against the weeokly/monthly supplier statements.</t>
  </si>
  <si>
    <t>Automatically interface all confirmed  supplier orders to the B2C Co financial accounts on at least a daily basis.</t>
  </si>
  <si>
    <t>Automate the supplier orders reconciliation, to be performed in the Shoprite Financial system.</t>
  </si>
  <si>
    <t>Courier Reconciliation</t>
  </si>
  <si>
    <t>Reconcile all supplier orders and returns against the weeokly/monthly courier statements.</t>
  </si>
  <si>
    <t>Automatically interface all confirmed  courier deliveries/collections to the B2C Co financial accounts on at least a daily basis.</t>
  </si>
  <si>
    <t>Automate the courier reconciliation, to be performed in the Shoprite Financial system.</t>
  </si>
  <si>
    <t>Reporting</t>
  </si>
  <si>
    <t>Online Shop Data Collection for Analysis</t>
  </si>
  <si>
    <t>10.01 Online Shop Data Collection for Analysis</t>
  </si>
  <si>
    <t>Collect all user (anoymous &amp; customer) navigation activity from the online shop for performance, effectiveness, conversion and other statistical analysis purposes.</t>
  </si>
  <si>
    <t>Collect all product search activity from the online shop for performance, effectiveness, conversion and other statistical analysis purposes.</t>
  </si>
  <si>
    <t>Collect all advertising search activity from the online shop for performance, effectiveness, conversion and other statistical analysis purposes.</t>
  </si>
  <si>
    <t>Collect all advertising placement activity from the online shop for performance, effectiveness, conversion and other statistical analysis purposes.</t>
  </si>
  <si>
    <t>Online Advertising Data Collection for Analysis</t>
  </si>
  <si>
    <t>Collect advertising data from online placements for effectiveness, conversion and other statistical channel-specific analysis.</t>
  </si>
  <si>
    <t>Management Reporting</t>
  </si>
  <si>
    <t>Provide end-ot-end sales management reporting</t>
  </si>
  <si>
    <t>Provide marketing campaign performance reporting</t>
  </si>
  <si>
    <t>Operational Reporting</t>
  </si>
  <si>
    <t>Report on customer sales processing performance &amp; eceptions</t>
  </si>
  <si>
    <t>Report on customer orders processing performance &amp; exceptions</t>
  </si>
  <si>
    <t>Report on customer returns processing performance &amp; exceptions</t>
  </si>
  <si>
    <t>Report on supplier orders fulfilment performance &amp; exceptions</t>
  </si>
  <si>
    <t>Report on courier collections &amp; deliveries performance &amp; exceptions</t>
  </si>
  <si>
    <t>Report on supplier stock/fulfilment performance &amp; exceptions</t>
  </si>
  <si>
    <t>Reporting To Suppliers</t>
  </si>
  <si>
    <t>Suppliers will be provided monthly stock availability + supplier order fulfilment reports.</t>
  </si>
  <si>
    <t>Reporting On Special Content (Articles)</t>
  </si>
  <si>
    <t>Collect article data from the online shop for effectiveness, conversion and other statistical channel-specific analysis.</t>
  </si>
  <si>
    <t>Collect article data from online placements for effectiveness, conversion and other statistical channel-specific analysis.</t>
  </si>
  <si>
    <t>.</t>
  </si>
  <si>
    <t>KDD#1</t>
  </si>
  <si>
    <t>KDD#2</t>
  </si>
  <si>
    <t>Prio</t>
  </si>
  <si>
    <t>Requirements</t>
  </si>
  <si>
    <t>3. Business Processes Impacted</t>
  </si>
  <si>
    <t>Process ID</t>
  </si>
  <si>
    <t>Business Process Name</t>
  </si>
  <si>
    <t>Business Process Description</t>
  </si>
  <si>
    <t>Specific Roles Impacted</t>
  </si>
  <si>
    <t>PL</t>
  </si>
  <si>
    <t>Plan</t>
  </si>
  <si>
    <r>
      <t xml:space="preserve">Strategic Category Planning and Execution (Product; Price; Promotion; Placement)
</t>
    </r>
    <r>
      <rPr>
        <b/>
        <sz val="10"/>
        <rFont val="Arial"/>
      </rPr>
      <t>Impact:</t>
    </r>
    <r>
      <rPr>
        <sz val="10"/>
        <color rgb="FF000000"/>
        <rFont val="Arial"/>
      </rPr>
      <t xml:space="preserve">
Cater for new business with unique products.</t>
    </r>
  </si>
  <si>
    <t>PL.PLM</t>
  </si>
  <si>
    <t>Plan Merchandise</t>
  </si>
  <si>
    <r>
      <t xml:space="preserve">Merchandise Planning entails the scientific planning of merchandise categories, assortments and listing with the aim to identify products customers need, as well as how and where they need it. This includes the financial planning around margins and profitability indicators.
</t>
    </r>
    <r>
      <rPr>
        <b/>
        <sz val="10"/>
        <rFont val="Arial"/>
      </rPr>
      <t>Impact:</t>
    </r>
    <r>
      <rPr>
        <sz val="10"/>
        <color rgb="FF000000"/>
        <rFont val="Arial"/>
      </rPr>
      <t xml:space="preserve">
Cater for new business with unique products.</t>
    </r>
  </si>
  <si>
    <t>Transpharm Buyers</t>
  </si>
  <si>
    <t>PL.EMP</t>
  </si>
  <si>
    <t>Execute Merchandise Plan</t>
  </si>
  <si>
    <r>
      <t xml:space="preserve">The Merchandise Plan will be executed by sourcing and creating a Product, managing the Vendor that supplies the Product, setup a DC and Store to supply and sell the Product, capturing a Purchase Price for the DC and Store to order the Product, loading a Retail Price to sell the Product and promoting the Product according to the annual Marketing Campaign or on an ad-hoc basis. 
</t>
    </r>
    <r>
      <rPr>
        <b/>
        <sz val="10"/>
        <rFont val="Arial"/>
      </rPr>
      <t>Impact:</t>
    </r>
    <r>
      <rPr>
        <sz val="10"/>
        <color rgb="FF000000"/>
        <rFont val="Arial"/>
      </rPr>
      <t xml:space="preserve">
Cater for new business with unique products.</t>
    </r>
  </si>
  <si>
    <t>SU</t>
  </si>
  <si>
    <t>Supply</t>
  </si>
  <si>
    <r>
      <t xml:space="preserve">Supply the right product on time to all our Retail and Wholesale outlets
</t>
    </r>
    <r>
      <rPr>
        <b/>
        <sz val="10"/>
        <rFont val="Arial"/>
      </rPr>
      <t>Impact:</t>
    </r>
    <r>
      <rPr>
        <sz val="10"/>
        <color rgb="FF000000"/>
        <rFont val="Arial"/>
      </rPr>
      <t xml:space="preserve">
Cater for courier to customers directly from suppliers.</t>
    </r>
  </si>
  <si>
    <t>SU.MTR</t>
  </si>
  <si>
    <t>Manage Transportation</t>
  </si>
  <si>
    <r>
      <t xml:space="preserve">Transportation management deals with the processes related to the logistical movement of merchandise between DC's, Suppliers and Retail outlets. These processes includes planning distribution, route planning/scheduling as well as the monitor of fleet performance. TransRite provides the Group's transportation fleet, which ensures fast and optimal deliveries to supply the products to our retail outlets on time.
</t>
    </r>
    <r>
      <rPr>
        <b/>
        <sz val="10"/>
        <rFont val="Arial"/>
      </rPr>
      <t>Impact:</t>
    </r>
    <r>
      <rPr>
        <sz val="10"/>
        <color rgb="FF000000"/>
        <rFont val="Arial"/>
      </rPr>
      <t xml:space="preserve">
Cater for courier to customers directly from suppliers.</t>
    </r>
  </si>
  <si>
    <t>Fulfilment Management</t>
  </si>
  <si>
    <t>SE</t>
  </si>
  <si>
    <t>Sell</t>
  </si>
  <si>
    <r>
      <t xml:space="preserve">Sell quality products and services to our Customers
</t>
    </r>
    <r>
      <rPr>
        <b/>
        <sz val="10"/>
        <rFont val="Arial"/>
      </rPr>
      <t>Impact:</t>
    </r>
    <r>
      <rPr>
        <sz val="10"/>
        <color rgb="FF000000"/>
        <rFont val="Arial"/>
      </rPr>
      <t xml:space="preserve">
Cater for a new online store to sell the products of the new business.</t>
    </r>
  </si>
  <si>
    <t>SE.MCI</t>
  </si>
  <si>
    <t>Manage Customer Interaction</t>
  </si>
  <si>
    <r>
      <t xml:space="preserve">Manage Customer Interaction is the managing of the interaction between Shoprite and the Customer. The guiding mission of the Shoprite Group of Companies is to be the customers' preferred shopping destination, by retailing services, food and non-food products at the Group's lowest prices from conveniently located outlets in an environment that is conducive to a comfortable and enjoyable shopping experience.
</t>
    </r>
    <r>
      <rPr>
        <b/>
        <sz val="10"/>
        <rFont val="Arial"/>
      </rPr>
      <t>Impact:</t>
    </r>
    <r>
      <rPr>
        <sz val="10"/>
        <color rgb="FF000000"/>
        <rFont val="Arial"/>
      </rPr>
      <t xml:space="preserve">
Cater for the new customers of the new online business.</t>
    </r>
  </si>
  <si>
    <t>Call Centre</t>
  </si>
  <si>
    <t>IT</t>
  </si>
  <si>
    <t>Provide Information Technology</t>
  </si>
  <si>
    <r>
      <t xml:space="preserve">Provide Information Technology products and services to enable Shoprite's business processes. Shoprite’s IT Department has earned a reputation as a technological innovator in the retail sector by following a “best of breed” approach to provide effective IT solutions that touch on every aspect of the value chain.
</t>
    </r>
    <r>
      <rPr>
        <b/>
        <sz val="10"/>
        <rFont val="Arial"/>
      </rPr>
      <t>Impact:</t>
    </r>
    <r>
      <rPr>
        <sz val="10"/>
        <color rgb="FF000000"/>
        <rFont val="Arial"/>
      </rPr>
      <t xml:space="preserve">
Host and support the new online business.</t>
    </r>
  </si>
  <si>
    <t>IT.MES</t>
  </si>
  <si>
    <t>Manage Enterprise Solutions</t>
  </si>
  <si>
    <r>
      <t xml:space="preserve">Improve Business Processes and coordinate effective communication and change management for solutions to ensure adoption and achievement of desired outcomes
</t>
    </r>
    <r>
      <rPr>
        <b/>
        <sz val="10"/>
        <rFont val="Arial"/>
      </rPr>
      <t>Impact:</t>
    </r>
    <r>
      <rPr>
        <sz val="10"/>
        <color rgb="FF000000"/>
        <rFont val="Arial"/>
      </rPr>
      <t xml:space="preserve">
Host the new online business on the Shoprite IT systems.</t>
    </r>
  </si>
  <si>
    <t>Shoprite IT</t>
  </si>
  <si>
    <t>IT.MIO</t>
  </si>
  <si>
    <t>Manage IT Operations</t>
  </si>
  <si>
    <r>
      <t xml:space="preserve">Deliver and deploy a new solution or implement enhancements to an existing technology solution based on the business need and the day-to-day support of the Information Technology solution (technology infrastructure components, services, storage, networking and connectivity elements) in any given deployment scenario
</t>
    </r>
    <r>
      <rPr>
        <b/>
        <sz val="10"/>
        <rFont val="Arial"/>
      </rPr>
      <t>Impact:</t>
    </r>
    <r>
      <rPr>
        <sz val="10"/>
        <color rgb="FF000000"/>
        <rFont val="Arial"/>
      </rPr>
      <t xml:space="preserve">
Support the technology used by the new online business.</t>
    </r>
  </si>
  <si>
    <t>FI</t>
  </si>
  <si>
    <t>Manage Financial Resources and Assets</t>
  </si>
  <si>
    <r>
      <t xml:space="preserve">Financial management of our business with the goal of having a positive cash flow and making a profit. This includes maintenance, administration and control of financial assets while adhering to relevant accounting standards and ensuring compliance to relevant laws and regulations.
</t>
    </r>
    <r>
      <rPr>
        <b/>
        <sz val="10"/>
        <rFont val="Arial"/>
      </rPr>
      <t>Impact:</t>
    </r>
    <r>
      <rPr>
        <sz val="10"/>
        <color rgb="FF000000"/>
        <rFont val="Arial"/>
      </rPr>
      <t xml:space="preserve">
Manage the financial accounts of the new online business.</t>
    </r>
  </si>
  <si>
    <t>FI.PMA</t>
  </si>
  <si>
    <t>Plan and Manage Accounting</t>
  </si>
  <si>
    <r>
      <t xml:space="preserve">Financial Planning includes the whole financial cycle from budget planning through to the closing of the financial periods and the reporting thereof. 
</t>
    </r>
    <r>
      <rPr>
        <b/>
        <sz val="10"/>
        <rFont val="Arial"/>
      </rPr>
      <t>Impact:</t>
    </r>
    <r>
      <rPr>
        <sz val="10"/>
        <color rgb="FF000000"/>
        <rFont val="Arial"/>
      </rPr>
      <t xml:space="preserve">
Establish the set of financial accounts for the new online business.</t>
    </r>
  </si>
  <si>
    <t>Transpharm Finance</t>
  </si>
  <si>
    <t>FI.MFA</t>
  </si>
  <si>
    <t>Manage Collaborative Finance Operations</t>
  </si>
  <si>
    <r>
      <t xml:space="preserve">Collaborative Finance Operations provide processes which manage the accounting activities for receivables, invoicing, expenses, financial shared services etc.
</t>
    </r>
    <r>
      <rPr>
        <b/>
        <sz val="10"/>
        <rFont val="Arial"/>
      </rPr>
      <t>Impact:</t>
    </r>
    <r>
      <rPr>
        <sz val="10"/>
        <color rgb="FF000000"/>
        <rFont val="Arial"/>
      </rPr>
      <t xml:space="preserve">
Manage the financial accounts and related creditors, debtors, bank accounts and transactions of the new online business.</t>
    </r>
  </si>
  <si>
    <t>HR</t>
  </si>
  <si>
    <t>Develop and Manage Human Capital</t>
  </si>
  <si>
    <t>The Shoprite Group believes in the vital role its employees play, and accordingly the company is driven by the philosophy of “Powered by our People”. This is evident in the focus that is placed on the training and development of staff to ensure exciting career opportunities for star performers. The Group is committed to driving transformation. 
 Impact:
 Train the new staff to operate the systems and perform their duties (e.g. new call centre staff).</t>
  </si>
  <si>
    <t>HR.PRD</t>
  </si>
  <si>
    <t>Plan, Recruit and Develop Shoprite Talent</t>
  </si>
  <si>
    <t>Talent management consolidates all the strategic employee development processes spanning the employees' career with the company: from hire to retire, including recruitment, education, career development, and performance management. It also encompasses the company view of employee development, identifying and tracking high potential employees to ensure future leaders can be effectively promoted from within and that successors are identified for key positions. A strong Talent Management strategy enables the organization to find the best people, leverage their talent in the right place and right time, align employees and teams to corporate goals, maximize the impact of training, and retain and promote top performers.
 Impact:
 Establish the core organisation structure for the new online business.
 Recruit, contract or second staff to fill the key positions.</t>
  </si>
  <si>
    <t>Transpharm HR</t>
  </si>
  <si>
    <t>HR.MRW</t>
  </si>
  <si>
    <t>Manage and Remunerate Workforce</t>
  </si>
  <si>
    <t>Workforce Management refers to the support activities that enable Shoprite personnel to operate effectively and efficiently in Personnel related activities. This capability streamline and integrate essential workforce processes such as employee administration, payroll, time management, and legal reporting
 Impact:
 Manage the staff operating the new business.</t>
  </si>
  <si>
    <t>No</t>
  </si>
  <si>
    <t>Text</t>
  </si>
  <si>
    <t>Hprefix</t>
  </si>
  <si>
    <t>Hid</t>
  </si>
  <si>
    <t>Sno</t>
  </si>
  <si>
    <t>RSno</t>
  </si>
  <si>
    <t>Rno</t>
  </si>
  <si>
    <t>ID#</t>
  </si>
  <si>
    <t>BRD Section</t>
  </si>
  <si>
    <t>Requirement Subject</t>
  </si>
  <si>
    <t>ReqID</t>
  </si>
  <si>
    <t>RD#</t>
  </si>
  <si>
    <t>Requirement Detail</t>
  </si>
  <si>
    <t>Requirement Sub-Detail</t>
  </si>
  <si>
    <t>Description</t>
  </si>
  <si>
    <t>H</t>
  </si>
  <si>
    <t>#MindMapExport FreeplaneVersion:</t>
  </si>
  <si>
    <t>1 Functional Requirements</t>
  </si>
  <si>
    <t>1.1 1 Product Classification Structures</t>
  </si>
  <si>
    <t>1.1.1 1.1 Maintain a B2C Co products and services catalogue</t>
  </si>
  <si>
    <t>1.1.1.1 Maintain a product and services categorisation hierarchy (product categories) for use by B2C Co to organise the types of products and services it will sell.</t>
  </si>
  <si>
    <t>1.1.1.2 Maintain the B2C Co product hierarchy in the Shoprite retail system (SAP Retail), using the existing Shoprite classification hierarchy levels and structure.</t>
  </si>
  <si>
    <t>1.1.2 1.2 Maintain content meta-tag hierarchy structures for B2C Co products and services</t>
  </si>
  <si>
    <t>1.1.2.1 Maintain hierarchy structures for tagging content, to cover at least the following:</t>
  </si>
  <si>
    <t>1.1.2.1.1 Seasons</t>
  </si>
  <si>
    <t>1.1.2.1.2 Special Events</t>
  </si>
  <si>
    <t>1.1.2.1.3 Product Property-Types (e.g. wheels, legs, wired/cordless)</t>
  </si>
  <si>
    <t>1.1.2.1.4 Product Materials (e.g. material, plastic, wood, metal)</t>
  </si>
  <si>
    <t>1.1.2.1.5 Collections of products related to a specific buying objective (e.g. "feeding your new infant")</t>
  </si>
  <si>
    <t>1.1.2.1.6 Child age group (0-6 months, 7-12 months, 1-2 years, 2-3 years, etc.)</t>
  </si>
  <si>
    <t>1.1.2.1.7 Child gender (unisex/any, female/girl, male/boy)</t>
  </si>
  <si>
    <t>1.1.2.1.8 Child development group (Infant, toddler, etc.)</t>
  </si>
  <si>
    <t>1.1.2.2 Develop and maintain a tag hierarchy methodology, to ensure tag consistency.</t>
  </si>
  <si>
    <t>1.1.2.3 Maintain a synonym relationship for tag terms (e.g. stroller, walker, carry-cot)</t>
  </si>
  <si>
    <t>1.1.2.4 One/more content meta-tags may be applied to:</t>
  </si>
  <si>
    <t>1.1.2.4.1 Products</t>
  </si>
  <si>
    <t>1.1.2.4.2 Advertisements</t>
  </si>
  <si>
    <t>1.1.2.4.3 Special Content</t>
  </si>
  <si>
    <t>1.1.2.5 Cater for an Article category and subcategory hierarchy.</t>
  </si>
  <si>
    <t>1.2 2 Product and Service Suppliers</t>
  </si>
  <si>
    <t>1.2.1 2.1 Take-on a B2C Co product supplier</t>
  </si>
  <si>
    <t>1.2.1.1 Initially, B2C Co will focus on selling only products.</t>
  </si>
  <si>
    <t>1.2.1.2 Contract the supplier, to meet the B2C Co service conditions for the given product.</t>
  </si>
  <si>
    <t>1.2.1.3 Configure the supplier in the Shoprite financial system (SAP Finance)</t>
  </si>
  <si>
    <t>1.2.1.4 Configure the supplier in the Shoprite retail system (SAP Retail), as supplier to the B2C Co online business.</t>
  </si>
  <si>
    <t>1.2.2 2.2 B2C Co suppliers provide up-to-date product and service details</t>
  </si>
  <si>
    <t>1.2.2.1 B2C Co suppliers provide up-to-date product and service details, to include at least the following:</t>
  </si>
  <si>
    <t>1.2.2.1.1 Product barcode unknown (when supplier order is placed)</t>
  </si>
  <si>
    <t>1.2.2.1.2 Product temporarily out-of-stock / back-in-stock must always submitted to B2C Co (real-time)</t>
  </si>
  <si>
    <t>1.2.2.1.3 Product unavailable/available again must always be submitted to B2C Co (real-time)</t>
  </si>
  <si>
    <t>1.2.2.1.4 Product recall / recall lifted must always be reported to B2C Co (real-time), with batch identification details</t>
  </si>
  <si>
    <t>1.2.2.2 The supplier must report at least the following supplier order fulfilment statuses to the business:</t>
  </si>
  <si>
    <t>1.2.2.2.1 Order acknowledgement</t>
  </si>
  <si>
    <t>1.2.2.2.2 Order ready to despatch (ready to be collected by courier)</t>
  </si>
  <si>
    <t>1.2.2.2.3 Order despatched</t>
  </si>
  <si>
    <t>1.2.2.3 The supplier must report at least the following supplier return fulfilment statuses to the business:</t>
  </si>
  <si>
    <t>1.2.2.3.1 Return acknowledgement [tbd]</t>
  </si>
  <si>
    <t>1.2.2.3.2 Return received</t>
  </si>
  <si>
    <t>1.2.2.4 A courier must report at least the following delivery statuses to the business:</t>
  </si>
  <si>
    <t>1.2.2.4.1 Order registered (with courier waybill reference number)</t>
  </si>
  <si>
    <t>1.2.2.4.2 Order collected (from supplier)</t>
  </si>
  <si>
    <t>1.2.2.4.3 Order despatched</t>
  </si>
  <si>
    <t>1.2.2.4.4 Order delivered (to customer)</t>
  </si>
  <si>
    <t>1.2.2.4.5 Order could not be delivered</t>
  </si>
  <si>
    <t>1.2.2.4.6 Order undeliverable (to be returned)</t>
  </si>
  <si>
    <t>1.2.2.5 A courier must report at least the following return statuses to the business:</t>
  </si>
  <si>
    <t>1.2.2.5.1 Return registered (with courier waybill reference number)</t>
  </si>
  <si>
    <t>1.2.2.5.2 Return collected (from supplier)</t>
  </si>
  <si>
    <t>1.2.2.5.3 Return delivered (to supplier)</t>
  </si>
  <si>
    <t>1.2.3 2.3 B2C Co a product suppliers fulfil to B2C Co service requirements</t>
  </si>
  <si>
    <t>1.2.3.1 B2C Co a product suppliers fulfil orders to B2C Co service requirements:</t>
  </si>
  <si>
    <t>1.2.3.2 All orders are packed using B2C Co packaging, documentation and labels</t>
  </si>
  <si>
    <t>1.2.3.3 All orders are delivered to customers using the designated B2C Co courier.</t>
  </si>
  <si>
    <t>1.2.3.4 Changed fulfilment lead-time information must always be submitted to B2C Co (daily)</t>
  </si>
  <si>
    <t>1.2.4 2.4 Sell online products in various promotional formats</t>
  </si>
  <si>
    <t>1.2.4.1 Products may be managed and sold in any of the following formats:</t>
  </si>
  <si>
    <t>1.2.4.1.1 Any product pack size, as listed in the B2C Co product list (e.g. single and 4-pack).</t>
  </si>
  <si>
    <t>1.2.4.1.2 Promotional item consisting of a single product, usually sold as a limited-stock, or limited-time offer.</t>
  </si>
  <si>
    <t>1.2.4.1.3 Combination of multiple products to sold together, usually sold as a limited-stock, or limited-time offer.</t>
  </si>
  <si>
    <t>1.2.4.1.3.1 The items in this type of promotion are fulfilled as separate products.</t>
  </si>
  <si>
    <t>1.2.4.1.4 Where a promotional pack is supplied as a unit by a supplier, that item must be listed and managed as a distinct product (e.g. big tin of baby formula wrapped/banded with a small tin).</t>
  </si>
  <si>
    <t>1.2.4.1.4.1 The items in this type of promotion are fulfilled together as a supplier promotion item.</t>
  </si>
  <si>
    <t>1.2.4.2 Important: For the purpose of this document, any reference to product implies any of these formats.</t>
  </si>
  <si>
    <t>1.3 3 Product and Service Catalogue</t>
  </si>
  <si>
    <t>1.3.1 3.1 Register products for online sale</t>
  </si>
  <si>
    <t>1.3.1.1 All B2C Co products must be listed in the Shoprite Retail system (SAP Retail), using the standard Shoprite product listing procedure (not bulk).</t>
  </si>
  <si>
    <t>1.3.1.2 List the B2C Co products with the applicable B2C Co vendor as the supplier.</t>
  </si>
  <si>
    <t>1.3.1.3 For each B2C Co product, configure the following:</t>
  </si>
  <si>
    <t>1.3.1.3.1 Ordering lead-time for the supplier</t>
  </si>
  <si>
    <t>1.3.1.3.2 An ordering pack size for each pack (quantity) that can be ordered from the supplier.</t>
  </si>
  <si>
    <t>1.3.1.3.3 A selling pack size to match each pack size that can be ordered from the supplier, with at least an each for a product.</t>
  </si>
  <si>
    <t>1.3.1.3.4 Consignment (no stock held) as product stock type</t>
  </si>
  <si>
    <t>1.3.1.3.5 For a department or BMC category, or a specific product sellable pack, a maximum quantity per sale may optionally be specified.</t>
  </si>
  <si>
    <t>1.3.1.4 Where a B2C Co product already exists in the Shoprite catalogue (same product pack barcode), the existing product will be retained.</t>
  </si>
  <si>
    <t>1.3.2 3.2 Maintain products for online sale</t>
  </si>
  <si>
    <t>1.3.2.1 Maintain a Medirite Online non-trading site in the Shoprite retail environment, to which the B2C Co products are ranged for selling via the B2C Co online channel(s).</t>
  </si>
  <si>
    <t>1.3.2.2 The availability of product for ordering and selling by B2C Co online will be managed in the Shoprite retail system.</t>
  </si>
  <si>
    <t>1.3.2.3 Maintain the supplier fulfilment lead-time for each product, using the information provided by the product supplier (e.g. In Stock, 3 days).</t>
  </si>
  <si>
    <t>1.3.2.4 Maintain the courier lead-time for each product, using the information provided by the courier (e.g. 1 day).</t>
  </si>
  <si>
    <t>1.3.2.5 Maintain the total order-to-delivery lead-time for each product, as the sum of the fulfilment and courier lead times, for display on the online shop ("usually delivered within").</t>
  </si>
  <si>
    <t>1.3.2.6 The B2C Co specific products will not be ranged for sell by other Shoprite brands.</t>
  </si>
  <si>
    <t>1.3.2.7 Maintain the product meta-data, as detailed in the Enrich product meta-data for online use requirement of the Content Enrichment section.</t>
  </si>
  <si>
    <t>1.3.3 3.3 Maintain online availability of products</t>
  </si>
  <si>
    <t>1.3.3.1 Withdraw discontinued products from both the sales and product master catalogue.</t>
  </si>
  <si>
    <t>1.3.3.2 Temporarily withdraw recalled products from the sales catalogue.</t>
  </si>
  <si>
    <t>1.3.3.3 Temporarily withdraw long-term out of stock products from the sales catalogue.</t>
  </si>
  <si>
    <t>1.3.4 3.4 Maintain up-to-date supplier availability of products</t>
  </si>
  <si>
    <t>1.3.4.1 Interface to each supplier, to automatically reflect changes in product availability on at least a daily basis.</t>
  </si>
  <si>
    <t>1.3.4.2 Cater for the types of product status, as detailed in the B2C Co suppliers provide up-to-date product and service details requirement.</t>
  </si>
  <si>
    <t>1.4 4 Product Pricing</t>
  </si>
  <si>
    <t>1.4.1 4.1 Maintain a category margin</t>
  </si>
  <si>
    <t>1.4.1.1 Maintain a selling margin (%) on Department and BMC levels, to be applied to all products allocated in that category hierarchy.</t>
  </si>
  <si>
    <t>1.4.2 4.2 Maintain a product margin</t>
  </si>
  <si>
    <t>1.4.2.1 A selling margin (%) may be maintained for a specific product, to then take precedence over the margin specified for the category within which it is allocated.</t>
  </si>
  <si>
    <t>1.4.2.2 If a product margin is not specified, the category margin applies in the following order of priority:</t>
  </si>
  <si>
    <t>1.4.2.2.1 BMC</t>
  </si>
  <si>
    <t>1.4.2.2.2 Department</t>
  </si>
  <si>
    <t>1.4.3 4.3 Maintain a product selling price</t>
  </si>
  <si>
    <t>1.4.3.1 The applicable margin of each product is used to calculate the proposed selling price (excl) for the product: moving average cost (MAC) + margin%.</t>
  </si>
  <si>
    <t>1.4.3.2 VAT is calculated and added to the proposed selling price (excl), to derive the proposed selling price (incl).</t>
  </si>
  <si>
    <t>1.4.3.3 Price rounding rules are applied to the proposed selling price (incl), to derive the selling price.</t>
  </si>
  <si>
    <t>1.4.3.4 The actual VAT and margin are then re-calculated from the selling price.</t>
  </si>
  <si>
    <t>1.4.4 4.4 Maintain product promotions</t>
  </si>
  <si>
    <t>1.4.4.1 A promotional price may be maintained as either a margin, or selling price, with a set start and end date-time (cater for limited-time offers).</t>
  </si>
  <si>
    <t>1.4.4.1.1 The same calculation rules apply as for the Maintain a product selling price requirement (above)</t>
  </si>
  <si>
    <t>1.4.4.2 A start and end date-time (hour) is set for the promotion.</t>
  </si>
  <si>
    <t>1.4.4.3 A promotion may optionally expire after a fixed number of units have been sold.</t>
  </si>
  <si>
    <t>1.4.4.4 A promotion may be associated to a marketing campaign and/or advertisement.</t>
  </si>
  <si>
    <t>1.4.5 4.5 Maintain a ruling price for each product</t>
  </si>
  <si>
    <t>1.4.5.1 Determine and record the effective selling price for a product at a given date and time, derived by overriding the selling price (incl.) with the latest-starting promotional price for that product.</t>
  </si>
  <si>
    <t>1.4.5.2 When the effective promotion price expires, the ruling price for that product is immediately determined again.</t>
  </si>
  <si>
    <t>1.5 5 Marketing</t>
  </si>
  <si>
    <t>1.5.1 5.1 Maintain a B2C Co marketing strategy and related tactics</t>
  </si>
  <si>
    <t>1.5.1.1 Maintain a B2C Co marketing strategy for each of the following phases of the business:</t>
  </si>
  <si>
    <t>1.5.1.1.1 Leading up to the launch of the business</t>
  </si>
  <si>
    <t>1.5.1.1.2 Soft-launch of the online shop</t>
  </si>
  <si>
    <t>1.5.1.1.3 At time of opening the business online shop</t>
  </si>
  <si>
    <t>1.5.1.1.4 Establishing the online business</t>
  </si>
  <si>
    <t>1.5.1.1.5 Maturing the online business</t>
  </si>
  <si>
    <t>1.5.1.2 Develop approaches to monitoring and adapting to market perceptions and needs:</t>
  </si>
  <si>
    <t>1.5.1.2.1 Brand awareness, differentiation and image</t>
  </si>
  <si>
    <t>1.5.1.2.2 Market and customer perceptions</t>
  </si>
  <si>
    <t>1.5.1.2.3 Category and product need and perception testing</t>
  </si>
  <si>
    <t>1.5.1.2.4 Online social commentary</t>
  </si>
  <si>
    <t>1.5.1.2.5 Customer segmentation (e.g. LSM levels) and persona (e.g. expecting mother) development</t>
  </si>
  <si>
    <t>1.5.1.2.6 Other forms of marketing intelligence</t>
  </si>
  <si>
    <t>1.5.1.3 Develop approaches to defining and executing own marketing campaigns and advertising, for the following:</t>
  </si>
  <si>
    <t>1.5.1.3.1 Market penetration and/or loss-leading</t>
  </si>
  <si>
    <t>1.5.1.3.2 Special events</t>
  </si>
  <si>
    <t>1.5.1.3.3 Specific products and services</t>
  </si>
  <si>
    <t>1.5.1.3.4 Category-driven promotions</t>
  </si>
  <si>
    <t>1.5.1.3.5 Supplier-driven promotions</t>
  </si>
  <si>
    <t>1.5.1.3.6 Personalised promotions</t>
  </si>
  <si>
    <t>1.5.1.3.7 Marketing message and advertising testing (e.g. A/B testing)</t>
  </si>
  <si>
    <t>1.5.1.4 Develop approaches to optimising advertising revenue:</t>
  </si>
  <si>
    <t>1.5.1.4.1 Supplier recruitment for paid advertising and promotions</t>
  </si>
  <si>
    <t>1.5.1.4.2 Supplier recruitment for paid product promotions (e.g. preferred listing/ranking)</t>
  </si>
  <si>
    <t>1.5.1.5 Develop approaches to monitoring and reacting to the competition, other threats and opportunities:</t>
  </si>
  <si>
    <t>1.5.1.5.1 Product and service categories offered by the competition</t>
  </si>
  <si>
    <t>1.5.1.5.2 Product and service pricing offered by the competition</t>
  </si>
  <si>
    <t>1.5.1.5.3 Campaigns and advertisements run by the competition</t>
  </si>
  <si>
    <t>1.5.1.5.4 Promotions and discounts offered by the competition</t>
  </si>
  <si>
    <t>1.5.1.5.5 Identification and monitoring of possible threats in the environment (e.g. COVID19)</t>
  </si>
  <si>
    <t>1.5.1.5.6 Identification, monitoring and reacting to possible opportunities (e.g. special protective items)</t>
  </si>
  <si>
    <t>1.5.1.6 Develop approaches to using the following channels:</t>
  </si>
  <si>
    <t>1.5.1.6.1 Online shop - Advertisements (public, registered customers)</t>
  </si>
  <si>
    <t>1.5.1.6.2 Online shop - product and special content recommendations (public, registered customers)</t>
  </si>
  <si>
    <t>1.5.1.6.3 Service related emails to registered customers (advertising, product and special content promotions)</t>
  </si>
  <si>
    <t>1.5.1.6.4 Call centre on-hold messages</t>
  </si>
  <si>
    <t>1.5.1.6.5 Direct advertising messages to registered customers (email/SMS/Push notification)</t>
  </si>
  <si>
    <t>1.5.1.6.6 Direct product and special content recommendation messages to registered customers (email/SMS/Push notification)</t>
  </si>
  <si>
    <t>1.5.1.6.7 Shoprite and Checkers online platforms</t>
  </si>
  <si>
    <t>1.5.1.6.8 Shoprite Rainmaker</t>
  </si>
  <si>
    <t>1.5.1.6.9 Social media - B2C Co identity and business messages</t>
  </si>
  <si>
    <t>1.5.1.6.10 Social media - Influencers</t>
  </si>
  <si>
    <t>1.5.1.6.11 Online Advertorials</t>
  </si>
  <si>
    <t>1.5.1.6.12 Search engine advertising and SEO</t>
  </si>
  <si>
    <t>1.5.1.6.13 Non-search engine online paid advertising</t>
  </si>
  <si>
    <t>1.5.1.6.14 Traditional advertising channels (TV, radio, print)</t>
  </si>
  <si>
    <t>1.5.1.6.15 Online videos (later)</t>
  </si>
  <si>
    <t>1.5.1.6.16 Online shop recommendation and linking from other sites (e.g. online review sites)</t>
  </si>
  <si>
    <t>1.5.2 5.2 Manage B2C Co marketing campaigns</t>
  </si>
  <si>
    <t>1.5.2.1 Manage campaigns across the online shop and other channels.</t>
  </si>
  <si>
    <t>1.5.2.2 Track and consolidate marketing campaign statistics across advertisements and channels.</t>
  </si>
  <si>
    <t>1.5.3 5.3 Manage B2C Co marketing assets</t>
  </si>
  <si>
    <t>1.5.3.1 Maintain a library of brand, product, service and other images for use in the online shop, advertisements and special content.</t>
  </si>
  <si>
    <t>1.6 6 Advertising</t>
  </si>
  <si>
    <t>1.6.1 6.1 Maintain advertisements</t>
  </si>
  <si>
    <t>1.6.1.1 Maintain at least the following for each advertisement:</t>
  </si>
  <si>
    <t>1.6.1.1.1 Unique identifier</t>
  </si>
  <si>
    <t>1.6.1.1.2 Title</t>
  </si>
  <si>
    <t>1.6.1.1.3 Teaser (short rich-text description, displayed where space is limited/in lists)</t>
  </si>
  <si>
    <t>1.6.1.1.4 Description (full rich-text with images, displayed in full view)</t>
  </si>
  <si>
    <t>1.6.1.1.5 Product and/or advertisement images (one must be marked as the default)</t>
  </si>
  <si>
    <t>1.6.1.1.6 Status (active, draft, published, archived, etc.)</t>
  </si>
  <si>
    <t>1.6.1.1.7 Version (used for A/B testing, etc.)</t>
  </si>
  <si>
    <t>1.6.1.2 Both text and images may contain URL links to a product/special content/online search on the online shop.</t>
  </si>
  <si>
    <t>1.6.1.3 Also see the Maintain various sizes for each image requirement in the Enrich Content section.</t>
  </si>
  <si>
    <t>1.6.1.4 Maintain a published start and expiry (mandatory) date-time for each advertisement presented on the online shop and other online channels (as applicable).</t>
  </si>
  <si>
    <t>1.6.1.5 Maintain the product meta-data, as detailed in the Enrich advertisement meta-data for online use requirement of the Content Enrichment section.</t>
  </si>
  <si>
    <t>1.6.2 6.2 Associate advertisements to marketing campaigns</t>
  </si>
  <si>
    <t>1.6.2.1 Maintain one/more B2C Co advertisements for each marketing campaign.</t>
  </si>
  <si>
    <t>1.6.2.2 Track advertisements across the target audiences/groups (e.g. mailing list) and channels used for the campaign.</t>
  </si>
  <si>
    <t>1.6.2.3 Where applicable, maintain and track multiple versions (A/B testing) of advertisements.</t>
  </si>
  <si>
    <t>1.6.3 6.3 Maintain online shop advertisements</t>
  </si>
  <si>
    <t>1.6.3.1 An advertisement in the online shop may be presented in various formats:</t>
  </si>
  <si>
    <t>1.6.3.1.1 Banner</t>
  </si>
  <si>
    <t>1.6.3.1.2 Teaser</t>
  </si>
  <si>
    <t>1.6.3.1.3 Full page</t>
  </si>
  <si>
    <t>1.6.3.2 A product or advertisement may be visually flagged to indicate the type of promotion, for example:</t>
  </si>
  <si>
    <t>1.6.3.2.1 Promotion</t>
  </si>
  <si>
    <t>1.6.3.2.2 Limited Stock</t>
  </si>
  <si>
    <t>1.6.3.2.3 Big Discount, Clearance</t>
  </si>
  <si>
    <t>1.6.3.2.4 Black Friday, Cyber Monday, etc.</t>
  </si>
  <si>
    <t>1.6.3.2.5 Christmas, Easter</t>
  </si>
  <si>
    <t>1.6.3.2.6 Holiday, Back-to-school (for toddlers going to preschool)</t>
  </si>
  <si>
    <t>1.6.3.2.7 Season</t>
  </si>
  <si>
    <t>1.6.3.2.8 etc.</t>
  </si>
  <si>
    <t>1.6.4 6.4 Publish advertisement across channels</t>
  </si>
  <si>
    <t>1.6.4.1 Review each advertisements before publishing it.</t>
  </si>
  <si>
    <t>1.6.4.2 Separately publish each advertisement to the online shop and/or specific online channels.</t>
  </si>
  <si>
    <t>1.6.4.3 Maintain a list of the channels where the advertisement is published.</t>
  </si>
  <si>
    <t>1.7 7 Special Content (Articles) (future phase)</t>
  </si>
  <si>
    <t>1.7.1 7.1 Maintain special content</t>
  </si>
  <si>
    <t>1.7.1.1 The article special content type is used to present informative content to selected customers on the online store. It may however be published to other channels.</t>
  </si>
  <si>
    <t>1.7.1.2 Maintain at least the following for each article:</t>
  </si>
  <si>
    <t>1.7.1.2.1 Unique identifier</t>
  </si>
  <si>
    <t>1.7.1.2.2 Title</t>
  </si>
  <si>
    <t>1.7.1.2.3 Teaser (short rich-text description, displayed where space is limited/in lists)</t>
  </si>
  <si>
    <t>1.7.1.2.4 Description (full rich-text with images, displayed in full view)</t>
  </si>
  <si>
    <t>1.7.1.2.5 Product and/or advertisement images (one must be marked as the default)</t>
  </si>
  <si>
    <t>1.7.1.2.6 Status (active, draft, published, archived, etc.)</t>
  </si>
  <si>
    <t>1.7.1.2.7 Attachment - the article may have a downloadable PDF linked to it.</t>
  </si>
  <si>
    <t>1.7.1.3 Maintain a published start and expiry (optional) date-time, for automatic un/publishing in the online shop.</t>
  </si>
  <si>
    <t>1.7.1.4 Both text and images may contain URL links to a product/special content/online search on the online shop.</t>
  </si>
  <si>
    <t>1.7.1.5 Also see the Maintain various sizes for each image requirement in the Enrich Content section.</t>
  </si>
  <si>
    <t>1.7.1.6 Maintain the special content meta-data, as detailed in the Enrich special content meta-data for online use requirement of the Content Enrichment section.</t>
  </si>
  <si>
    <t>1.7.2 7.2 Maintain website customer check-lists special content</t>
  </si>
  <si>
    <t>1.7.2.1 The checklist special content type is used to present information to parents with a list of recommended products and other actions.</t>
  </si>
  <si>
    <t>1.7.2.2 In addition to all of the article requirements, it has a list of items.</t>
  </si>
  <si>
    <t>1.7.2.3 Each checklist task has a name and brief description.</t>
  </si>
  <si>
    <t>1.7.2.4 A checklist task may contains criteria for searching products of one/more subcategory/tags, with a link to find suitable products.</t>
  </si>
  <si>
    <t>1.7.2.5 A click on a checklist task is logged for statistical and customer profiling purposes.</t>
  </si>
  <si>
    <t>1.7.3 7.3 Maintain online special content</t>
  </si>
  <si>
    <t>1.7.3.1 A special content item in the online shop may be presented in various formats:</t>
  </si>
  <si>
    <t>1.7.3.1.1 Banner</t>
  </si>
  <si>
    <t>1.7.3.1.2 Teaser block on side of page</t>
  </si>
  <si>
    <t>1.7.3.1.3 Full page view</t>
  </si>
  <si>
    <t>1.7.3.2 A special content item may be visually flagged to indicate it as new, or updated.</t>
  </si>
  <si>
    <t>1.7.4 7.4 Un/Publish website special content</t>
  </si>
  <si>
    <t>1.7.4.1 Review each special content item before publishing it.</t>
  </si>
  <si>
    <t>1.7.4.2 Separately publish special content item to the online shop and/or specific online channels.</t>
  </si>
  <si>
    <t>1.8 8 Content Enrichment</t>
  </si>
  <si>
    <t>1.8.1 8.1 Enrich product meta-data for online use</t>
  </si>
  <si>
    <t>1.8.1.1 Follow the existing Shoprite process to enrich the product meta-data and meta-tags for online selling purposes.</t>
  </si>
  <si>
    <t>1.8.1.2 Enrich each product with relevant master data for use in the online shop, to include at least the following:</t>
  </si>
  <si>
    <t>1.8.1.2.1 Name (title) of the product</t>
  </si>
  <si>
    <t>1.8.1.2.2 Description</t>
  </si>
  <si>
    <t>1.8.1.2.3 Teaser Description (for display in search results)</t>
  </si>
  <si>
    <t>1.8.1.2.4 Specification (summary of the product features and what the customer will receive in the box)</t>
  </si>
  <si>
    <t>1.8.1.2.5 Brand of the product</t>
  </si>
  <si>
    <t>1.8.1.3 Enrich each product with photographs for use in the online shop and advertisements:</t>
  </si>
  <si>
    <t>1.8.1.3.1 One image must be marked as the default.</t>
  </si>
  <si>
    <t>1.8.1.4 Also see the Maintain various sizes for each image requirement.</t>
  </si>
  <si>
    <t>1.8.1.5 Enrich each B2C Co product with relevant meta-tags for online use, as detailed in the Maintain content meta-tag hierarchy structures requirements.</t>
  </si>
  <si>
    <t>1.8.2 8.2 Maintain a new flag for each newly listed product</t>
  </si>
  <si>
    <t>1.8.2.1 Automatically flag each newly published product as "New".</t>
  </si>
  <si>
    <t>1.8.2.2 Automatically expire the new flag for that product after a set number of days (e.g. 60 days).</t>
  </si>
  <si>
    <t>1.8.3 8.3 Enrich advertisement meta-data for online use</t>
  </si>
  <si>
    <t>1.8.3.1 Follow the existing Shoprite process to enrich the advertisement meta-data and meta-tags for online selling and advertising purposes.</t>
  </si>
  <si>
    <t>1.8.3.2 Enrich each advertisement with relevant master data for use in the online shop and other online advertising channels, to include at least the following:</t>
  </si>
  <si>
    <t>1.8.3.2.1 Search-engine meta-tags</t>
  </si>
  <si>
    <t>1.8.3.3 Enrich each advertisement with relevant meta-tags for use in the online shop, as detailed in the Maintain content meta-tag hierarchy structures requirements.</t>
  </si>
  <si>
    <t>1.8.4 8.4 Enrich special content item (article) meta-data for online use</t>
  </si>
  <si>
    <t>1.8.4.1 Follow the existing Shoprite process to enrich the special content item meta-data and meta-tags for online selling (and possibly publishing) purposes.</t>
  </si>
  <si>
    <t>1.8.4.2 Enrich each special content item with relevant master data for use in the online shop and other online advertising channels, to include at least the following:</t>
  </si>
  <si>
    <t>1.8.4.2.1 Search-engine meta-tags</t>
  </si>
  <si>
    <t>1.8.4.3 Enrich each special content item with relevant meta-tags for use in the online shop, as detailed in the Maintain content meta-tag hierarchy structures requirements.</t>
  </si>
  <si>
    <t>1.8.5 8.5 Maintain various sizes for each image</t>
  </si>
  <si>
    <t>1.8.5.1 For each image, maintain the following image sizes, for use in various presentation formats.</t>
  </si>
  <si>
    <t>1.8.5.1.1 Thumbnail</t>
  </si>
  <si>
    <t>1.8.5.1.2 Small</t>
  </si>
  <si>
    <t>1.8.5.1.3 Medium</t>
  </si>
  <si>
    <t>1.8.5.1.4 Large (full size)</t>
  </si>
  <si>
    <t>1.8.5.1.5 Banner (for advertisements)</t>
  </si>
  <si>
    <t>1.8.5.2 Include different sizes for the medium and large version of each image, to display on different screen sizes - pc, tablet, smartphone</t>
  </si>
  <si>
    <t>1.8.6 8.6 Enrich content relationships and classification using meta-tags</t>
  </si>
  <si>
    <t>1.8.6.1 If a sub-tag is applied, its parent meta-tag must also be applied to the item (e.g. for baby milk, baby food).</t>
  </si>
  <si>
    <t>1.9 9 Online Shop Users</t>
  </si>
  <si>
    <t>1.9.1 9.1 Manage online shop user roles</t>
  </si>
  <si>
    <t>1.9.1.1 Cater for the following online shop user role, each with a configurable set of allowed functions:</t>
  </si>
  <si>
    <t>1.9.1.2 Customer role</t>
  </si>
  <si>
    <t>1.9.1.3 Business user roles:</t>
  </si>
  <si>
    <t>1.9.1.3.1 Advertisement Manager</t>
  </si>
  <si>
    <t>1.9.1.3.2 Special Content Manager</t>
  </si>
  <si>
    <t>1.9.1.3.3 Product Manager</t>
  </si>
  <si>
    <t>1.9.1.3.4 Promotion Manager</t>
  </si>
  <si>
    <t>1.9.1.3.5 Orders Manager</t>
  </si>
  <si>
    <t>1.9.1.3.6 Fulfilment Manager</t>
  </si>
  <si>
    <t>1.9.1.3.7 Business User Administrator</t>
  </si>
  <si>
    <t>1.9.1.4 Customer service user roles:</t>
  </si>
  <si>
    <t>1.9.1.4.1 Contact Centre Agent</t>
  </si>
  <si>
    <t>1.9.1.4.2 Contact Centre Supervisor</t>
  </si>
  <si>
    <t>1.9.1.5 Support user roles:</t>
  </si>
  <si>
    <t>1.9.1.5.1 Site administrator</t>
  </si>
  <si>
    <t>1.9.1.5.2 Presentation Manager</t>
  </si>
  <si>
    <t>1.9.1.5.3 User administrator</t>
  </si>
  <si>
    <t>1.9.1.5.4 User roles administrator</t>
  </si>
  <si>
    <t>1.9.1.6 A systems administrator maintains the user roles.</t>
  </si>
  <si>
    <t>1.9.2 9.2 Register user</t>
  </si>
  <si>
    <t>1.9.2.1 User registration requirements depend on the type of user (customer, back-office), as detailed in the following sections:</t>
  </si>
  <si>
    <t>1.9.2.2 Back-office User Registration</t>
  </si>
  <si>
    <t>1.9.2.3 Customer Registration</t>
  </si>
  <si>
    <t>1.9.2.4 Business Rule: The same email address may not be used for more than one active user of any type (back-office, customer).</t>
  </si>
  <si>
    <t>1.9.3 9.3 Authenticate user</t>
  </si>
  <si>
    <t>1.9.3.1 After registration, a user is sent a confirmation email with a verification link, to be used to verify and activate their user.</t>
  </si>
  <si>
    <t>1.9.3.1.1 From the registration confirmation welcome page, the user is prompted to login.</t>
  </si>
  <si>
    <t>1.9.3.2 During login, authenticate the user with their email address and password.</t>
  </si>
  <si>
    <t>1.9.3.2.1 Consider using a CAPTCHA as additional verification.</t>
  </si>
  <si>
    <t>1.9.3.2.2 Lock accounts after repeated failed authentication.</t>
  </si>
  <si>
    <t>1.9.3.3 The user sessions must:</t>
  </si>
  <si>
    <t>1.9.3.3.1 Expire after a specified time of no activity (e.g. 30 minutes)</t>
  </si>
  <si>
    <t>1.9.3.3.2 Be unique (cannot login more than once)</t>
  </si>
  <si>
    <t>1.9.3.4 Also see the Register customer requirement in the Customer Registration section.</t>
  </si>
  <si>
    <t>1.9.3.5 The user account must be locked several invalid (wrong password) login attempts.</t>
  </si>
  <si>
    <t>1.9.3.5.1 Consider using a temporary lock, followed by a had lock if further login attempts fail.</t>
  </si>
  <si>
    <t>1.9.3.5.2 Send the user a notification email when their account is locked, stating the reason and date-time of the last event.</t>
  </si>
  <si>
    <t>1.9.4 9.4 Recover user password</t>
  </si>
  <si>
    <t>1.9.4.1 When prompted to login, a user may choose a forgot password function, triggering an email with a password reset link to be sent to their email address.</t>
  </si>
  <si>
    <t>1.9.4.2 Using a forgot password link, the user is:</t>
  </si>
  <si>
    <t>1.9.4.2.1 Prompted to capture a new password (double-entry with strength-check)</t>
  </si>
  <si>
    <t>1.9.4.2.2 Redirected to the login page</t>
  </si>
  <si>
    <t>1.9.5 9.5 Change user password</t>
  </si>
  <si>
    <t>1.9.5.1 Once logged in, a customer or back-office user may choose to change their password.</t>
  </si>
  <si>
    <t>1.9.5.1.1 Capture a new password (double-entry with strength-check)</t>
  </si>
  <si>
    <t>1.9.5.1.2 Present password changed confirmation message.</t>
  </si>
  <si>
    <t>1.9.5.2 A user administrator may reset any user's password (but not change it).</t>
  </si>
  <si>
    <t>1.9.5.2.1 A password reset email is sent to the applicable user's email address.</t>
  </si>
  <si>
    <t>1.9.6 9.6 Recover own username (registered email address)</t>
  </si>
  <si>
    <t>1.9.6.1 When prompted to login, a customer may choose a forgot login name function, to recover their login details.</t>
  </si>
  <si>
    <t>1.9.6.1.1 The customer captures their cellphone number and identity number.</t>
  </si>
  <si>
    <t>1.9.6.1.2 The cellphone number and identity number is used to identify the customer, to prompt for the answer to their secret question.</t>
  </si>
  <si>
    <t>1.9.6.1.3 Once the correct customer is identified and their secret question answered, the user is informed about an SMS sent to their cellphone, containing their login username.</t>
  </si>
  <si>
    <t>1.9.6.2 Business Rule: A back-office user may not change their login username. It must be requested via the approved business/IT channels.</t>
  </si>
  <si>
    <t>1.9.7 9.7 Administer locked users</t>
  </si>
  <si>
    <t>1.9.7.1 Review the list of locked user accounts on a weekly basis.</t>
  </si>
  <si>
    <t>1.9.7.2 On activating a locked user, a password reset email is triggered for that user.</t>
  </si>
  <si>
    <t>1.9.8 9.8 Administer abandoned users</t>
  </si>
  <si>
    <t>1.9.8.1 Automatically mark users as abandoned after a parameter-driven number of days, differentiated between internal users and customers.</t>
  </si>
  <si>
    <t>1.9.8.2 Automatically flag a user as no longer abandoned when they login to their online account.</t>
  </si>
  <si>
    <t>1.9.8.3 Review the list of abandoned user accounts on a weekly basis.</t>
  </si>
  <si>
    <t>1.9.8.4 Automatically remind customers with no activity (a parameter-driven number of times) about the benefits of using B2C Co, and that they are missed.</t>
  </si>
  <si>
    <t>1.9.8.5 Automatically remind internal users with no activity (number of times) about their new user account.</t>
  </si>
  <si>
    <t>1.9.8.6 Manually mark identified abandoned internal user accounts for archiving.</t>
  </si>
  <si>
    <t>1.9.8.7 Automatically mark identified abandoned customer user accounts for archiving after a parameter-driven number of days (few months).</t>
  </si>
  <si>
    <t>1.10 10 Online Shop Layout</t>
  </si>
  <si>
    <t>1.10.1 10.1 Present an online shop for anonymous visitors</t>
  </si>
  <si>
    <t>1.10.1.1 The online shop must be presented as follows for an anonymous site visitor:</t>
  </si>
  <si>
    <t>1.10.1.2 Online shop sections:</t>
  </si>
  <si>
    <t>1.10.1.2.1 Home page</t>
  </si>
  <si>
    <t>1.10.1.2.2 Online shopfront</t>
  </si>
  <si>
    <t>1.10.1.2.3 Shopping Cart review</t>
  </si>
  <si>
    <t>1.10.1.2.4 About Us page</t>
  </si>
  <si>
    <t>1.10.1.2.5 Contact Us page</t>
  </si>
  <si>
    <t>1.10.1.2.6 Login page</t>
  </si>
  <si>
    <t>1.10.1.3 Main navigation menu options (on every page):</t>
  </si>
  <si>
    <t>1.10.1.3.1 Home (return to main shopping page)</t>
  </si>
  <si>
    <t>1.10.1.3.2 Quick-link to a current special event (e.g. Black Friday, Easter Specials)</t>
  </si>
  <si>
    <t>1.10.1.3.3 Browse by category (categories as sub-items)</t>
  </si>
  <si>
    <t>1.10.1.3.4 About Us</t>
  </si>
  <si>
    <t>1.10.1.3.5 Contact Us</t>
  </si>
  <si>
    <t>1.10.1.4 User menu options (on every page):</t>
  </si>
  <si>
    <t>1.10.1.4.1 Shopping Cart (also show qty products in cart)</t>
  </si>
  <si>
    <t>1.10.1.4.2 Login</t>
  </si>
  <si>
    <t>1.10.1.5 Home page:</t>
  </si>
  <si>
    <t>1.10.1.5.1 Present a message welcoming the anonymous visitor to the online shop.</t>
  </si>
  <si>
    <t>1.10.1.5.2 Present a quick-link to any current special event (e.g. Black Friday, Easter Specials)</t>
  </si>
  <si>
    <t>1.10.1.5.3 Present the shopfront search function.</t>
  </si>
  <si>
    <t>1.10.1.5.4 Present the highest rated advertisements for each main category.</t>
  </si>
  <si>
    <t>1.10.1.5.4.1 If a special event is in effect, give that priority.</t>
  </si>
  <si>
    <t>1.10.2 10.2 Present an online shop for logged-in customers</t>
  </si>
  <si>
    <t>1.10.2.1 The online shop must be presented as follows for a customer:</t>
  </si>
  <si>
    <t>1.10.2.2 Online shop sections:</t>
  </si>
  <si>
    <t>1.10.2.2.1 Home page</t>
  </si>
  <si>
    <t>1.10.2.2.2 Online shopfront</t>
  </si>
  <si>
    <t>1.10.2.2.3 Shopping Cart section</t>
  </si>
  <si>
    <t>1.10.2.2.4 About Us page</t>
  </si>
  <si>
    <t>1.10.2.2.5 Contact Us page</t>
  </si>
  <si>
    <t>1.10.2.2.6 Customer Profile and History section</t>
  </si>
  <si>
    <t>1.10.2.3 Main navigation menu options (on every page):</t>
  </si>
  <si>
    <t>1.10.2.3.1 Home (return to main shopping page)</t>
  </si>
  <si>
    <t>1.10.2.3.2 Quick-link to a current special event (e.g. Black Friday, Easter Specials)</t>
  </si>
  <si>
    <t>1.10.2.3.3 Browse by category (categories as sub-items)</t>
  </si>
  <si>
    <t>1.10.2.3.4 About Us</t>
  </si>
  <si>
    <t>1.10.2.3.5 Contact Us</t>
  </si>
  <si>
    <t>1.10.2.4 User menu options (on every page):</t>
  </si>
  <si>
    <t>1.10.2.4.1 Customer profile</t>
  </si>
  <si>
    <t>1.10.2.4.2 Shopping Cart (also show qty products in cart)</t>
  </si>
  <si>
    <t>1.10.2.4.3 Orders</t>
  </si>
  <si>
    <t>1.10.2.4.4 Returns</t>
  </si>
  <si>
    <t>1.10.2.4.5 Messages</t>
  </si>
  <si>
    <t>1.10.2.4.6 Logout</t>
  </si>
  <si>
    <t>1.10.2.5 Home page:</t>
  </si>
  <si>
    <t>1.10.2.5.1 Present a message welcoming the customer back to to the online shop.</t>
  </si>
  <si>
    <t>1.10.2.5.1.1 Possibly indicate when they last visited.</t>
  </si>
  <si>
    <t>1.10.2.5.2 Alert the customer of any new messages for them from the business, with an option to view the messages.</t>
  </si>
  <si>
    <t>1.10.2.5.3 Present a quick-link to any current special event (e.g. Black Friday, Easter Specials)</t>
  </si>
  <si>
    <t>1.10.2.5.4 Present the shopfront search function.</t>
  </si>
  <si>
    <t>1.10.2.5.5 Present the highest rated advertisements for each main category.</t>
  </si>
  <si>
    <t>1.10.2.5.5.1 If a special event is in effect, give that priority.</t>
  </si>
  <si>
    <t>1.10.2.5.5.2 Apply the customer's family criteria when selecting the results.</t>
  </si>
  <si>
    <t>1.10.3 10.3 Present an online shop for logged-in back-office users</t>
  </si>
  <si>
    <t>1.10.3.1 The online shop must be presented as follows for back-office users that are required to use the online shop front-end:</t>
  </si>
  <si>
    <t>1.10.3.1.1 For a supplier fulfilment user, refer to the View and print the customer documentation for a supplier from the online shop requirement in the Supplier Orders Fulfilment section</t>
  </si>
  <si>
    <t>1.10.3.2 Online shop sections:</t>
  </si>
  <si>
    <t>1.10.3.2.1 Back-end Administration section applicable to the user (home page)</t>
  </si>
  <si>
    <t>1.10.3.2.2 About Us page</t>
  </si>
  <si>
    <t>1.10.3.2.3 Contact Us page</t>
  </si>
  <si>
    <t>1.10.3.2.4 User Profile</t>
  </si>
  <si>
    <t>1.10.3.3 Main navigation menu options (on every page):</t>
  </si>
  <si>
    <t>1.10.3.3.1 Home (return to back-office section for user)</t>
  </si>
  <si>
    <t>1.10.3.3.2 About Us</t>
  </si>
  <si>
    <t>1.10.3.3.3 Contact Us</t>
  </si>
  <si>
    <t>1.10.3.4 User menu options (on every page):</t>
  </si>
  <si>
    <t>1.10.3.4.1 User profile</t>
  </si>
  <si>
    <t>1.10.3.4.2 Messages (if applicable)</t>
  </si>
  <si>
    <t>1.10.3.4.3 Logout</t>
  </si>
  <si>
    <t>1.10.3.5 Home page:</t>
  </si>
  <si>
    <t>1.10.3.5.1 Present a message welcoming the customer back to to the online shop.</t>
  </si>
  <si>
    <t>1.10.3.5.1.1 Possibly indicate when they last visited.</t>
  </si>
  <si>
    <t>1.10.3.5.2 Alert the customer of any new messages for them from the business, with an option to view the messages (if applicable).</t>
  </si>
  <si>
    <t>1.10.3.5.3 Present the applicable back-office function(s) main page for the back-office user, as detailed in the following section(s):</t>
  </si>
  <si>
    <t>1.10.3.5.3.1 Supplier Orders Fulfilment</t>
  </si>
  <si>
    <t>1.10.3.6 Do not show the online shopfront components (as detailed in the Present the online shopfront as part of the online shop requirement) to back-office users using the online shop.</t>
  </si>
  <si>
    <t>1.10.4 10.4 Present the online shopfront as part of the online shop</t>
  </si>
  <si>
    <t>1.10.4.1 The online shopfront consists of the following (synchronised) sections:</t>
  </si>
  <si>
    <t>1.10.4.1.1 Shopping search function</t>
  </si>
  <si>
    <t>1.10.4.1.2 A quick-link to any current special event (e.g. Black Friday, Easter Specials)</t>
  </si>
  <si>
    <t>1.10.4.1.3 Sort criteria, to sort the search results</t>
  </si>
  <si>
    <t>1.10.4.1.4 Filter criteria applicable to the presented products search results list</t>
  </si>
  <si>
    <t>1.10.4.1.5 Presented search results, with the sort and filter criteria applied.</t>
  </si>
  <si>
    <t>1.10.4.1.6 Pager navigation for presenting the next set (configurable count) of results</t>
  </si>
  <si>
    <t>1.10.4.1.7 On the side, advertisements, matched to the search results</t>
  </si>
  <si>
    <t>1.10.4.1.8 On the side, recommended articles, matched to the search results</t>
  </si>
  <si>
    <t>1.10.4.2 The filter criteria applicable to the current results are always shown next to the search results.</t>
  </si>
  <si>
    <t>1.10.4.2.1 For each filter dimension, the current number of matches per criteria entry is listed with the item.</t>
  </si>
  <si>
    <t>1.10.4.3 The user may change the filter criteria applied to the search results.</t>
  </si>
  <si>
    <t>1.10.4.3.1 When a user changes any filter criteria, all the filter criteria are presented together, to enable the user to apply multiple changes together.</t>
  </si>
  <si>
    <t>1.10.4.3.2 For any given filter dimension, the user may select multiple items.</t>
  </si>
  <si>
    <t>1.10.4.4 The user may change the following filter criteria dimensions, as may be applicable to the search results:</t>
  </si>
  <si>
    <t>1.10.4.4.1 Main product category hierarchy</t>
  </si>
  <si>
    <t>1.10.4.4.2 Price bands</t>
  </si>
  <si>
    <t>1.10.4.4.3 Brands</t>
  </si>
  <si>
    <t>1.10.4.4.4 Availability</t>
  </si>
  <si>
    <t>1.10.4.4.5 Properties meta-tag hierarchies</t>
  </si>
  <si>
    <t>1.10.4.4.6 Promotion</t>
  </si>
  <si>
    <t>1.10.4.4.7 Special event</t>
  </si>
  <si>
    <t>1.10.4.5 The user may change the sort order for the search results:</t>
  </si>
  <si>
    <t>1.10.4.5.1 When a user changes sort criteria, the change is applied immediately, with the search results refreshed in the new order.</t>
  </si>
  <si>
    <t>1.10.4.5.2 When changing the sort order, the user is returned to the first item in the (sorted) results list.</t>
  </si>
  <si>
    <t>1.10.4.6 Back-office users must be presented the same shop-front as customers.</t>
  </si>
  <si>
    <t>1.10.4.7 Relevant promoted advertisements and articles are presented alongside the search results.</t>
  </si>
  <si>
    <t>1.10.4.8 Relevant promoted products and articles are presented on a product page.</t>
  </si>
  <si>
    <t>1.10.5 10.5 Present product in the online shop</t>
  </si>
  <si>
    <t>1.10.5.1 The search results teaser view of a product contains at least the following:</t>
  </si>
  <si>
    <t>1.10.5.1.1 Title (link to product)</t>
  </si>
  <si>
    <t>1.10.5.1.2 Thumbnail image (of default; link to product)</t>
  </si>
  <si>
    <t>1.10.5.1.3 Brand</t>
  </si>
  <si>
    <t>1.10.5.1.4 Teaser</t>
  </si>
  <si>
    <t>1.10.5.1.5 Price (incl.)</t>
  </si>
  <si>
    <t>1.10.5.1.6 Icons to add the product to: Shopping Cart, Favourites, Wish-list</t>
  </si>
  <si>
    <t>1.10.5.1.7 Promotion type (if applicable)</t>
  </si>
  <si>
    <t>1.10.5.2 The recommended product teaser view of a product contains at least the following:</t>
  </si>
  <si>
    <t>1.10.5.2.1 Title (link to product)</t>
  </si>
  <si>
    <t>1.10.5.2.2 Small image (of default; link to product)</t>
  </si>
  <si>
    <t>1.10.5.2.3 Price (incl.)</t>
  </si>
  <si>
    <t>1.10.5.2.4 Icons to add the product to: Shopping Cart, Favourites, Wish-list</t>
  </si>
  <si>
    <t>1.10.5.2.5 Promotion type (if applicable)</t>
  </si>
  <si>
    <t>1.10.5.3 The full page view of a product contains at least the following:</t>
  </si>
  <si>
    <t>1.10.5.3.1 Title</t>
  </si>
  <si>
    <t>1.10.5.3.2 Meta-tag hierarchy (category hierarchy as breadcrumb; links to category search)</t>
  </si>
  <si>
    <t>1.10.5.3.3 Medium Image (of default, with option to view all images in full)</t>
  </si>
  <si>
    <t>1.10.5.3.4 Brand</t>
  </si>
  <si>
    <t>1.10.5.3.5 Price (incl.)</t>
  </si>
  <si>
    <t>1.10.5.3.6 Description (full text)</t>
  </si>
  <si>
    <t>1.10.5.3.7 Specification</t>
  </si>
  <si>
    <t>1.10.5.3.8 Icons, to add the product to the: Shopping Cart, Favourites, Wish-list</t>
  </si>
  <si>
    <t>1.10.5.4 On a product page, other products may be promoted:</t>
  </si>
  <si>
    <t>1.10.5.4.1 Similar products (same meta-tags)</t>
  </si>
  <si>
    <t>1.10.5.4.2 Also bought</t>
  </si>
  <si>
    <t>1.10.5.5 Also see the Enrich product meta-data for online use requirements of the Enrich Content section.</t>
  </si>
  <si>
    <t>1.10.5.6 On a product page, present a list of similar products, as detailed in the Identify appropriate products to promote on a product page requirement of the Online Shop Recommended Content section.</t>
  </si>
  <si>
    <t>1.10.5.7 On a product page, present a list of also-bought products, as detailed in the Identify appropriate products to promote on a product page requirement of the Online Shop Recommended Content section.</t>
  </si>
  <si>
    <t>1.10.6 10.6 Present advertisement in the online shop</t>
  </si>
  <si>
    <t>1.10.6.1 The banner view of an advertisement contains at least the following:</t>
  </si>
  <si>
    <t>1.10.6.1.1 Banner image (of default; link to advertisement)</t>
  </si>
  <si>
    <t>1.10.6.1.2 Price (incl.)</t>
  </si>
  <si>
    <t>1.10.6.1.3 Title &amp; Teaser (presented on hover)</t>
  </si>
  <si>
    <t>1.10.6.2 The search results teaser view of an advertisement contains at least the following:</t>
  </si>
  <si>
    <t>1.10.6.2.1 Title (link to advertisement)</t>
  </si>
  <si>
    <t>1.10.6.2.2 Thumbnail image (of default; link to advertisement)</t>
  </si>
  <si>
    <t>1.10.6.2.3 Teaser</t>
  </si>
  <si>
    <t>1.10.6.2.4 Price (incl.)</t>
  </si>
  <si>
    <t>1.10.6.2.5 Promotion type</t>
  </si>
  <si>
    <t>1.10.6.2.6 Icons to add the product to: Shopping Cart, Favourites, Wish-list</t>
  </si>
  <si>
    <t>1.10.6.3 The promoted advertisement teaser view contains at least the following:</t>
  </si>
  <si>
    <t>1.10.6.3.1 Title (link to advertisement)</t>
  </si>
  <si>
    <t>1.10.6.3.2 Small image (of default; link to advertisement)</t>
  </si>
  <si>
    <t>1.10.6.3.3 Teaser</t>
  </si>
  <si>
    <t>1.10.6.3.4 Price (incl.)</t>
  </si>
  <si>
    <t>1.10.6.3.5 Promotion type</t>
  </si>
  <si>
    <t>1.10.6.3.6 Icons to add the product to: Shopping Cart, Favourites, Wish-list</t>
  </si>
  <si>
    <t>1.10.6.4 The full page view of an advertisement contains at least the following:</t>
  </si>
  <si>
    <t>1.10.6.4.1 Title</t>
  </si>
  <si>
    <t>1.10.6.4.2 Medium Image (of default, with option to view all images in full)</t>
  </si>
  <si>
    <t>1.10.6.4.3 Price (incl.)</t>
  </si>
  <si>
    <t>1.10.6.4.4 Description (full text with images)</t>
  </si>
  <si>
    <t>1.10.6.4.5 Icons, to add the product to the: Shopping Cart, Favourites, Wish-list</t>
  </si>
  <si>
    <t>1.10.6.5 Also see the Enrich advertisement meta-data for online use requirements of the Enrich Content section.</t>
  </si>
  <si>
    <t>1.10.7 10.7 Present article in the online shop</t>
  </si>
  <si>
    <t>1.10.7.1 The search results teaser view of an article contains at least the following:</t>
  </si>
  <si>
    <t>1.10.7.1.1 Title (link to article)</t>
  </si>
  <si>
    <t>1.10.7.1.2 Thumbnail image (of default; link to article)</t>
  </si>
  <si>
    <t>1.10.7.1.3 Teaser</t>
  </si>
  <si>
    <t>1.10.7.1.4 Icon to add the product to Article Library</t>
  </si>
  <si>
    <t>1.10.7.2 The teaser view of an article contains at least the following:</t>
  </si>
  <si>
    <t>1.10.7.2.1 Title (link to article)</t>
  </si>
  <si>
    <t>1.10.7.2.2 Small Image (of default; link to article)</t>
  </si>
  <si>
    <t>1.10.7.2.3 Teaser</t>
  </si>
  <si>
    <t>1.10.7.2.4 Icon to add the product to Article Library</t>
  </si>
  <si>
    <t>1.10.7.3 The full page view of an article contains at least the following:</t>
  </si>
  <si>
    <t>1.10.7.3.1 Title</t>
  </si>
  <si>
    <t>1.10.7.3.2 Medium Image (of default, with option to view all images in full)</t>
  </si>
  <si>
    <t>1.10.7.3.3 Price (incl.)</t>
  </si>
  <si>
    <t>1.10.7.3.4 Description (full text with images)</t>
  </si>
  <si>
    <t>1.10.7.3.5 Icon to add the product to Article Library</t>
  </si>
  <si>
    <t>1.10.7.4 Also see the Enrich special content meta-data for online use requirements of the Enrich Content section.</t>
  </si>
  <si>
    <t>1.10.8 10.8 Present information about the business (About Us)</t>
  </si>
  <si>
    <t>1.10.8.1 The About Us page must detail at least the following about the business:</t>
  </si>
  <si>
    <t>1.10.8.1.1 Company registration details</t>
  </si>
  <si>
    <t>1.10.8.1.2 Company address</t>
  </si>
  <si>
    <t>1.10.8.1.3 Company Directors [TBC]</t>
  </si>
  <si>
    <t>1.10.8.1.4 Main brand identity and positioning message</t>
  </si>
  <si>
    <t>1.10.9 10.9 Provide the ability to contact the business (Contact Us)</t>
  </si>
  <si>
    <t>1.10.9.1 The Contact Us page must contain at least the following:</t>
  </si>
  <si>
    <t>1.10.9.2 Contact details for the business contact centre</t>
  </si>
  <si>
    <t>1.10.9.3 Contact form, to enable a visitor/user to submit a message to the business:</t>
  </si>
  <si>
    <t>1.10.9.3.1 Name</t>
  </si>
  <si>
    <t>1.10.9.3.2 Email address (logged-in user cannot modify)</t>
  </si>
  <si>
    <t>1.10.9.3.3 Reference (order / return reference)</t>
  </si>
  <si>
    <t>1.10.9.3.4 Subject</t>
  </si>
  <si>
    <t>1.10.9.3.5 Text description (plain text, but multi-line)</t>
  </si>
  <si>
    <t>1.10.9.3.6 For anonymous visitors, a CAPTCHA prompt is recommended to be required.</t>
  </si>
  <si>
    <t>1.10.9.4 Cater for at least the following topics via the online shop contact form:</t>
  </si>
  <si>
    <t>1.10.9.4.1 Shopping General Issue / Suggestion</t>
  </si>
  <si>
    <t>1.10.9.4.2 Complaint / Compliment</t>
  </si>
  <si>
    <t>1.10.9.4.3 Advertisement</t>
  </si>
  <si>
    <t>1.10.9.4.4 Product Issue / Suggestion</t>
  </si>
  <si>
    <t>1.10.9.4.5 Price</t>
  </si>
  <si>
    <t>1.10.9.4.6 Article Issue / Suggestion</t>
  </si>
  <si>
    <t>1.10.9.4.7 Checkout and Payment Issue / Suggestion</t>
  </si>
  <si>
    <t>1.10.9.5 Provide information to direct the customer to the appropriate area for the following:</t>
  </si>
  <si>
    <t>1.10.9.5.1 Order Enquiry</t>
  </si>
  <si>
    <t>1.10.9.5.2 Order Cancellation Request</t>
  </si>
  <si>
    <t>1.10.9.5.3 Return Request</t>
  </si>
  <si>
    <t>1.10.9.5.4 Return Enquiry</t>
  </si>
  <si>
    <t>1.10.9.6 A contact form submission is processed as follows:</t>
  </si>
  <si>
    <t>1.10.9.6.1 A submission confirmation message is presented, thanking the user for their submission.</t>
  </si>
  <si>
    <t>1.10.9.6.2 A copy of the submitted contact form is sent to the supplied email address.</t>
  </si>
  <si>
    <t>1.10.9.6.3 Compliments and complains are directed to Marketing</t>
  </si>
  <si>
    <t>1.10.9.6.4 Orders and returns are directed to Orders management</t>
  </si>
  <si>
    <t>1.10.9.6.5 All other submissions are directed to the call centre</t>
  </si>
  <si>
    <t>1.10.9.7 Also see the following requirements:</t>
  </si>
  <si>
    <t>1.10.9.7.1 Enquire about order in the View Orders section</t>
  </si>
  <si>
    <t>1.10.9.7.2 Request product return in the Return Products section</t>
  </si>
  <si>
    <t>1.10.9.7.3 Enquire about return request in the Return Products section</t>
  </si>
  <si>
    <t>1.10.9.7.4 Customer Messages section</t>
  </si>
  <si>
    <t>1.10.10 10.10 Present a footer on all pages for all users</t>
  </si>
  <si>
    <t>1.10.10.1 The footer must contain at least the following:</t>
  </si>
  <si>
    <t>1.10.10.1.1 Copyright notice for online shop and content</t>
  </si>
  <si>
    <t>1.10.10.1.2 Link to display the online shop terms and conditions</t>
  </si>
  <si>
    <t>1.10.10.1.3 Link display the B2C Co privacy policy</t>
  </si>
  <si>
    <t>1.10.11 10.11 Present the online shop terms and conditions of use</t>
  </si>
  <si>
    <t>1.10.11.1 When selecting the Terms and Conditions link, the online shop usage terms and conditions must be presented as a new page/tab.</t>
  </si>
  <si>
    <t>1.10.11.2 The title and full text of the terms and conditions must be presented on the page.</t>
  </si>
  <si>
    <t>1.10.11.3 The date last updated must be clearly presented.</t>
  </si>
  <si>
    <t>1.10.11.4 The use must be able to download a copy of the text as a pdf file.</t>
  </si>
  <si>
    <t>1.10.11.4.1 The file must be contain the business name, title of the page and revision date (yyyymmdd)</t>
  </si>
  <si>
    <t>1.10.12 10.12 Present the B2C Co Information Privacy Policy</t>
  </si>
  <si>
    <t>1.10.12.1 When selecting the privacy policy link, the B2C Co information privacy policy must be presented as a new page/tab.</t>
  </si>
  <si>
    <t>1.10.12.2 The title and full text of the privacy policy must be presented on the page.</t>
  </si>
  <si>
    <t>1.10.12.3 The use must be able to download a copy of the text as a pdf file.</t>
  </si>
  <si>
    <t>1.10.12.3.1 The file must be contain the business name, title of the page and revision date (yyyymmdd)</t>
  </si>
  <si>
    <t>1.11 11 Online Shop Navigation</t>
  </si>
  <si>
    <t>1.11.1 11.1 Search for products or articles</t>
  </si>
  <si>
    <t>1.11.1.1 The user submits one or more full or partial words to search with.</t>
  </si>
  <si>
    <t>1.11.1.1.1 The in-progress search is visually indicated to the user (e.g. spinning circle, hourglass, etc.)</t>
  </si>
  <si>
    <t>1.11.1.2 Alternately, a search is triggered when they click a link in an article checklist.</t>
  </si>
  <si>
    <t>1.11.1.3 The search results list is presented, consisting of a combination of the following:</t>
  </si>
  <si>
    <t>1.11.1.3.1 Priority Advertisements</t>
  </si>
  <si>
    <t>1.11.1.3.2 Priority Articles</t>
  </si>
  <si>
    <t>1.11.1.3.3 Products</t>
  </si>
  <si>
    <t>1.11.1.4 In addition, the following is placed in promotion areas on the side of the search results:</t>
  </si>
  <si>
    <t>1.11.1.4.1 Advertisements matching the current meta-tags (excluding those already listed in the search results)</t>
  </si>
  <si>
    <t>1.11.1.4.2 Articles matching the current meta-tags (excluding those already listed in the search results)</t>
  </si>
  <si>
    <t>1.11.1.4.3 Advertisements and articles are selected to fill a limited number of promotion display positions.</t>
  </si>
  <si>
    <t>1.11.1.5 The filter criteria presents the meta-tag dimensions and related meta-tag items found in the search results.</t>
  </si>
  <si>
    <t>1.11.1.6 Whenever the user makes a selection from the filter criteria, the results list is further refined.</t>
  </si>
  <si>
    <t>1.11.1.6.1 The items displayed in the promotion areas are also refreshed.</t>
  </si>
  <si>
    <t>1.11.1.7 Also refer to the requirements in the following sections:</t>
  </si>
  <si>
    <t>1.11.1.7.1 Online Shop</t>
  </si>
  <si>
    <t>1.11.1.7.2 Online Shop Recommended Content section</t>
  </si>
  <si>
    <t>1.11.1.8 By choosing a category/subcategory from the main menu, the search is reset and that selection is applied as the new search.</t>
  </si>
  <si>
    <t>1.11.2 11.2 View a product</t>
  </si>
  <si>
    <t>1.11.2.1 A user may choose to view the full version of a product in the online shop:</t>
  </si>
  <si>
    <t>1.11.2.1.1 From their favourites list</t>
  </si>
  <si>
    <t>1.11.2.1.2 From their wish-list</t>
  </si>
  <si>
    <t>1.11.2.1.3 From the similar or also-bought products lists on a product page</t>
  </si>
  <si>
    <t>1.11.2.1.4 From their shopping cart</t>
  </si>
  <si>
    <t>1.11.2.1.5 From the search results</t>
  </si>
  <si>
    <t>1.11.2.1.6 From an advertisement on the online shop</t>
  </si>
  <si>
    <t>1.11.2.1.7 From a link in an article</t>
  </si>
  <si>
    <t>1.11.2.1.8 From a link in an email they received (referral is recorded)</t>
  </si>
  <si>
    <t>1.11.2.1.9 From a link in an advertisement published elsewhere on the internet (referral is recorded)</t>
  </si>
  <si>
    <t>1.11.2.2 Also see the Present product in the online shop requirement in the Online Shop section.</t>
  </si>
  <si>
    <t>1.11.3 11.3 View an advertisement</t>
  </si>
  <si>
    <t>1.11.3.1 A user may choose to view the full version of an advertisement in the online shop:</t>
  </si>
  <si>
    <t>1.11.3.1.1 From the search results</t>
  </si>
  <si>
    <t>1.11.3.1.2 From a promoted advertisement banner on the online shop</t>
  </si>
  <si>
    <t>1.11.3.1.3 From a promoted advertisement on the online shop</t>
  </si>
  <si>
    <t>1.11.3.1.4 From a link in an email they received (referral is recorded)</t>
  </si>
  <si>
    <t>1.11.3.1.5 From a link in an advertisement published elsewhere on the internet (referral is recorded)</t>
  </si>
  <si>
    <t>1.11.3.2 Also see the Present advertisement in the online shop requirement in the Online Shop section.</t>
  </si>
  <si>
    <t>1.11.4 11.4 View an article</t>
  </si>
  <si>
    <t>1.11.4.1 A user may choose to view the full version of an article in the online shop:</t>
  </si>
  <si>
    <t>1.11.4.1.1 From their articles library</t>
  </si>
  <si>
    <t>1.11.4.1.2 From the search results</t>
  </si>
  <si>
    <t>1.11.4.1.3 From a promoted article on the online shop</t>
  </si>
  <si>
    <t>1.11.4.1.4 From a link in an email they received (referral is recorded)</t>
  </si>
  <si>
    <t>1.11.4.1.5 From a link in a publication/advertisement published elsewhere on the internet (referral is recorded)</t>
  </si>
  <si>
    <t>1.11.4.2 Also see the Present article in the online shop requirement in the Online Shop section.</t>
  </si>
  <si>
    <t>1.11.5 11.5 Add a product to the shopping cart</t>
  </si>
  <si>
    <t>1.11.5.1 A user may add a product to their shopping cart:</t>
  </si>
  <si>
    <t>1.11.5.1.1 From the search results</t>
  </si>
  <si>
    <t>1.11.5.1.2 When viewing a product</t>
  </si>
  <si>
    <t>1.11.5.1.3 When viewing an advertisement</t>
  </si>
  <si>
    <t>1.11.5.1.4 From the similar products list on a product page</t>
  </si>
  <si>
    <t>1.11.5.1.5 From the also-bought products list on a product page</t>
  </si>
  <si>
    <t>1.11.5.1.6 From their favourites</t>
  </si>
  <si>
    <t>1.11.5.1.7 From their wish-list</t>
  </si>
  <si>
    <t>1.11.6 11.6 Add a product to the favourites or wish-list</t>
  </si>
  <si>
    <t>1.11.6.1 A user may add/remove a product to their favourites:</t>
  </si>
  <si>
    <t>1.11.6.1.1 From the search results</t>
  </si>
  <si>
    <t>1.11.6.1.2 When viewing a product</t>
  </si>
  <si>
    <t>1.11.6.1.3 From the similar products list on a product page</t>
  </si>
  <si>
    <t>1.11.6.1.4 From the also-bought products list on a product page</t>
  </si>
  <si>
    <t>1.11.6.1.5 When viewing an advertisement</t>
  </si>
  <si>
    <t>1.11.6.1.6 From their wish-list to their favourites list</t>
  </si>
  <si>
    <t>1.11.6.1.7 From their wish-list (add/move)</t>
  </si>
  <si>
    <t>1.11.6.2 A user may add/remove a product to their wish-list:</t>
  </si>
  <si>
    <t>1.11.6.2.1 From the search results</t>
  </si>
  <si>
    <t>1.11.6.2.2 When viewing a product</t>
  </si>
  <si>
    <t>1.11.6.2.3 From the similar products list on a product page</t>
  </si>
  <si>
    <t>1.11.6.2.4 From the also-bought products list on a product page</t>
  </si>
  <si>
    <t>1.11.6.2.5 When viewing an advertisement</t>
  </si>
  <si>
    <t>1.11.6.2.6 From their favourites (add/move)</t>
  </si>
  <si>
    <t>1.11.7 11.7 Add article to articles library</t>
  </si>
  <si>
    <t>1.11.7.1 A user may add/remove an article to their articles library:</t>
  </si>
  <si>
    <t>1.11.7.1.1 From the search results</t>
  </si>
  <si>
    <t>1.11.7.1.2 When viewing a promoted article</t>
  </si>
  <si>
    <t>1.11.7.1.3 When viewing a full article</t>
  </si>
  <si>
    <t>1.12 12 Back-office User Registration</t>
  </si>
  <si>
    <t>1.12.1 12.1 Register back-office users</t>
  </si>
  <si>
    <t>1.12.1.1 Manually register the following B2C users, based on managerial approval:</t>
  </si>
  <si>
    <t>1.12.1.1.1 Business</t>
  </si>
  <si>
    <t>1.12.1.1.2 Customer service</t>
  </si>
  <si>
    <t>1.12.1.1.3 IT Support</t>
  </si>
  <si>
    <t>1.12.1.2 Manually register the following non-B2C users, based on managerial approval:</t>
  </si>
  <si>
    <t>1.12.1.2.1 Supplier Order Fulfilment (for customer statement and waybill printing - see Supplier Orders Fulfilment section)</t>
  </si>
  <si>
    <t>1.12.1.3 Also see the Authenticate online user requirements in the Users section.</t>
  </si>
  <si>
    <t>1.12.1.4 Business Rule: The same email address may not be used for more than one active user.</t>
  </si>
  <si>
    <t>1.12.2 12.2 Unregister back-office users</t>
  </si>
  <si>
    <t>1.12.2.1 Manually unregister business users:</t>
  </si>
  <si>
    <t>1.12.2.1.1 On management instruction</t>
  </si>
  <si>
    <t>1.12.2.1.2 After resignation from the organisation</t>
  </si>
  <si>
    <t>1.13 13 Back-office User Profile</t>
  </si>
  <si>
    <t>1.13.1 13.1 View back-office user profile</t>
  </si>
  <si>
    <t>1.13.1.1 A back-office user may at any time choose an option from their user menu/links, to view their back-office user profile.</t>
  </si>
  <si>
    <t>1.13.1.2 A back-office user profile consists of the following:</t>
  </si>
  <si>
    <t>1.13.1.2.1 User details</t>
  </si>
  <si>
    <t>1.13.1.2.2 Change password</t>
  </si>
  <si>
    <t>1.13.2 13.2 Change password</t>
  </si>
  <si>
    <t>1.13.2.1 From their back-office user profile, the user may change their login password, as detailed in the Change own password requirements of the Users section.</t>
  </si>
  <si>
    <t>1.14 14 Customer Registration</t>
  </si>
  <si>
    <t>1.14.1 14.1 Register customer</t>
  </si>
  <si>
    <t>1.14.1.1 A customer may register with the B2C Co online shop whenever they are presented the option to login:</t>
  </si>
  <si>
    <t>1.14.1.1.1 On the login page</t>
  </si>
  <si>
    <t>1.14.1.1.2 On begin prompted to login when choosing to checkout their anonymous shopping cart</t>
  </si>
  <si>
    <t>1.14.1.1.3 On begin prompted to login when using a customer link that requires a user to be logged in</t>
  </si>
  <si>
    <t>1.14.1.2 A person registers as B2C Co customer by providing the following minimum details:</t>
  </si>
  <si>
    <t>1.14.1.2.1 Name and Surname</t>
  </si>
  <si>
    <t>1.14.1.2.2 ID Type: SA ID, or Passport</t>
  </si>
  <si>
    <t>1.14.1.2.3 If SA ID, capture SA ID number (13 digits, validated as SA ID, with checksum)</t>
  </si>
  <si>
    <t>1.14.1.2.4 If passport, capture passport number (6-15 alpha-numeric characters)</t>
  </si>
  <si>
    <t>1.14.1.2.5 Title (if SA ID was used, default to Ms/Mr, based on detected gender)</t>
  </si>
  <si>
    <t>1.14.1.2.6 Email address (validate format)</t>
  </si>
  <si>
    <t>1.14.1.2.7 SA cellphone number (prefix 27, 9 digits)</t>
  </si>
  <si>
    <t>1.14.1.2.8 Password (double-entry with strength-check)</t>
  </si>
  <si>
    <t>1.14.1.2.9 Secret question and answer (for use to authenticate user forgetting their username, or on a call)</t>
  </si>
  <si>
    <t>1.14.1.2.10 Accept the B2C Co online shopping terms and conditions (may click a link to display and review the terms and conditions in a separate browser tab)</t>
  </si>
  <si>
    <t>1.14.1.2.11 Once submitted, a confirmation is presented, directing them to look out for the confirmation email with their one-time registration confirmation link.</t>
  </si>
  <si>
    <t>1.14.1.3 A newly registered customer confirms their registration using the one-time link in the confirmation email sent to them.</t>
  </si>
  <si>
    <t>1.14.1.3.1 The confirmation link presents a welcome confirmation page to the new customer, with the options to start shopping, or visit their profile page.</t>
  </si>
  <si>
    <t>1.14.1.4 Business Rule 1: If an SA ID number is provided, the provided title options must be applicable to the gender of the customer.</t>
  </si>
  <si>
    <t>1.14.1.5 Business Rule 2: The same email address may not be used for more than one active user of any type.</t>
  </si>
  <si>
    <t>1.14.2 14.2 Login customer</t>
  </si>
  <si>
    <t>1.14.2.1 See the Authenticate online user requirements in the Users section for the login requirements.</t>
  </si>
  <si>
    <t>1.14.2.2 After login, the following types of activity the customer had as anonymous user (before logging in), are assigned to the (logged in) customer:</t>
  </si>
  <si>
    <t>1.14.2.2.1 Products in shopping cart</t>
  </si>
  <si>
    <t>1.14.2.2.2 Products added to favourite list</t>
  </si>
  <si>
    <t>1.14.2.2.3 Products added to wish-list</t>
  </si>
  <si>
    <t>1.14.2.2.4 Articles added to library</t>
  </si>
  <si>
    <t>1.14.2.2.5 Search and navigation history</t>
  </si>
  <si>
    <t>1.14.2.3 After login, redirect to the customer's shopping cart if it contains items.</t>
  </si>
  <si>
    <t>1.14.3 14.3 Unregister customer</t>
  </si>
  <si>
    <t>1.14.3.1 A logged in user may choose to unregister (resign) from the B2C Co online service.</t>
  </si>
  <si>
    <t>1.14.3.1.1 The user is prompted to confirm their resignation, with details on what will be done with their details, including the fact that it is not reversible.</t>
  </si>
  <si>
    <t>1.14.3.2 The confirmed customer resignation is processed:</t>
  </si>
  <si>
    <t>1.14.3.2.1 A goodbye email is sent to the user, to confirm their resignation.</t>
  </si>
  <si>
    <t>1.14.3.2.2 The customer is flagged as canceled and their records are anonymised (retained for statistical purposes only).</t>
  </si>
  <si>
    <t>1.14.3.3 Anonymise and archive the customer profile and related user.</t>
  </si>
  <si>
    <t>1.15 15 Customer Profile</t>
  </si>
  <si>
    <t>1.15.1 15.1 View customer profile</t>
  </si>
  <si>
    <t>1.15.1.1 A customer may at any time choose an option from their customer menu/links, to view their customer profile.</t>
  </si>
  <si>
    <t>1.15.1.2 A customer profile consists of the following:</t>
  </si>
  <si>
    <t>1.15.1.2.1 Personal details</t>
  </si>
  <si>
    <t>1.15.1.2.2 Change password</t>
  </si>
  <si>
    <t>1.15.1.2.3 Contact details</t>
  </si>
  <si>
    <t>1.15.1.2.4 Family details</t>
  </si>
  <si>
    <t>1.15.1.2.5 Delivery details</t>
  </si>
  <si>
    <t>1.15.1.2.6 Payment details</t>
  </si>
  <si>
    <t>1.15.1.2.7 Favourites</t>
  </si>
  <si>
    <t>1.15.1.2.8 Wishlist</t>
  </si>
  <si>
    <t>1.15.1.2.9 Articles Library</t>
  </si>
  <si>
    <t>1.15.2 15.2 Maintain personal details</t>
  </si>
  <si>
    <t>1.15.2.1 The customer may updates their:</t>
  </si>
  <si>
    <t>1.15.2.1.1 Name (min 1 alpha, space and -' characters)</t>
  </si>
  <si>
    <t>1.15.2.1.2 Surname (min 2 alpha, space and -' characters)</t>
  </si>
  <si>
    <t>1.15.2.1.3 Title (select)</t>
  </si>
  <si>
    <t>1.15.2.1.4 Identity number type (SA ID / Passport or Visa)</t>
  </si>
  <si>
    <t>1.15.2.1.5 Identity number - SA ID (SA ID validation)</t>
  </si>
  <si>
    <t>1.15.2.1.6 Identity number - Passport (7-15 alpha-numeric characters)</t>
  </si>
  <si>
    <t>1.15.2.2 To confirm the change to their personal details, the customer must capture a one-time-pin (OTP) sent to their email address.</t>
  </si>
  <si>
    <t>1.15.2.3 Also refer to the Register customer requirements of the Customer Registration section for more details on the profile fields.</t>
  </si>
  <si>
    <t>1.15.2.4 Invalid characters are removed for submitted values.</t>
  </si>
  <si>
    <t>1.15.3 15.3 Change password</t>
  </si>
  <si>
    <t>1.15.3.1 From their customer profile, the customer may change their login password, as detailed in the Change own password requirements of the Users section.</t>
  </si>
  <si>
    <t>1.15.4 15.4 Maintain contact details</t>
  </si>
  <si>
    <t>1.15.4.1 The customer may add a new email address, to replace the old one.</t>
  </si>
  <si>
    <t>1.15.4.1.1 It must be in a valid email address format.</t>
  </si>
  <si>
    <t>1.15.4.1.2 The customer must capture a one-time code emailed to the new email address, as well as a one-time code sent to their cellphone number (SMS).</t>
  </si>
  <si>
    <t>1.15.4.1.3 Once verified, the customer's new email address is used as their login user name.</t>
  </si>
  <si>
    <t>1.15.4.2 The customer may update their cellphone number.</t>
  </si>
  <si>
    <t>1.15.4.2.1 It must be a valid SA phone number.</t>
  </si>
  <si>
    <t>1.15.4.2.2 The customer must capture a one-time-pin (OTP) sent to their cellphone number (SMS).</t>
  </si>
  <si>
    <t>1.15.4.3 The customer may change their contact preferences:</t>
  </si>
  <si>
    <t>1.15.4.3.1 Primary contact method (email / cellphone)</t>
  </si>
  <si>
    <t>1.15.4.3.2 Marketing message consent (yes/no tick box; with explanation of value to customer, to cover special offers on their listed products, etc.)</t>
  </si>
  <si>
    <t>1.15.4.3.3 Child information message consent (yes/no tick box; with explanation of value to customer, to cover development information and checklists)</t>
  </si>
  <si>
    <t>1.15.5 15.5 Maintain family details</t>
  </si>
  <si>
    <t>1.15.5.1 When selecting to view the family details, the recorded list of children is presented.</t>
  </si>
  <si>
    <t>1.15.5.2 The customer can add a child, or remove an existing child.</t>
  </si>
  <si>
    <t>1.15.5.3 The customer maintains the following for each child:</t>
  </si>
  <si>
    <t>1.15.5.3.1 Name (min 1 alpha, space and -' characters)</t>
  </si>
  <si>
    <t>1.15.5.3.2 Arrived (born/expecting)</t>
  </si>
  <si>
    <t>1.15.5.3.3 If born, the date of birth of the child</t>
  </si>
  <si>
    <t>1.15.5.3.4 If expecting, the number of weeks pregnant</t>
  </si>
  <si>
    <t>1.15.5.3.5 Gender (female/male/unknown)</t>
  </si>
  <si>
    <t>1.15.5.4 The customer may opt in for reminders and information about the progress of their expected/new child's development (Child information message consent):</t>
  </si>
  <si>
    <t>1.15.5.4.1 Near the calculated expected birth date (weeks pregnant taken into account), the expecting mother is wished all the best for the birth.</t>
  </si>
  <si>
    <t>1.15.5.4.2 Unless the status of the child is changed to born, a reminder is sent shortly after the calculated expected birth date (weeks pregnant taken into account), to enquire about the expected birth and remind the new parents to update the details of their expected child.</t>
  </si>
  <si>
    <t>1.15.5.4.3 Based on the progress of the pregnancy/baby, information may be emailed to the customer.</t>
  </si>
  <si>
    <t>1.15.6 15.6 Maintain delivery address(es)</t>
  </si>
  <si>
    <t>1.15.6.1 When selecting to view the address details, the recorded list of delivery addresses is presented.</t>
  </si>
  <si>
    <t>1.15.6.2 The customer can add an address, or remove an existing address.</t>
  </si>
  <si>
    <t>1.15.6.3 The customer maintains the following details for each address:</t>
  </si>
  <si>
    <t>1.15.6.3.1 Name for the address (unique for customer)</t>
  </si>
  <si>
    <t>1.15.6.3.2 Address details - Street, Suburb, Town, Postal Code (Google maps integration), with support for geo-location as address)</t>
  </si>
  <si>
    <t>1.15.6.3.3 Contact person name and optional contact phone number</t>
  </si>
  <si>
    <t>1.15.6.3.4 Delivery instructions (optional delivery note for inclusion on waybill) [TBD]</t>
  </si>
  <si>
    <t>1.15.6.4 The user must select a default address to apply for deliveries.</t>
  </si>
  <si>
    <t>1.15.6.5 If the user was redirected after choosing to add a new delivery address, they are presented an option to return to their shopping cart checkout.</t>
  </si>
  <si>
    <t>1.15.6.5.1 If chosen, the user is redirected to the confirm delivery step of their shopping cart checkout, with the new/last updated address selected. (Refer to the Confirm/Update Customer Delivery requirements of the Checkout and Pay section.</t>
  </si>
  <si>
    <t>1.15.7 15.7 Maintain payment details</t>
  </si>
  <si>
    <t>1.15.7.1 The customer will initially only capture payment card details as part of the online payment step, to be captured by the payment gateway.</t>
  </si>
  <si>
    <t>1.15.7.2 Depending on the payment gateway and available security features of the chosen solution, the customer may be prompted to provide their payment card details, to be applied for each online payment.</t>
  </si>
  <si>
    <t>1.15.7.3 If card details are captured, a reminder is sent to the customer's email address one calendar month before their captured card-expiry month.</t>
  </si>
  <si>
    <t>1.15.8 15.8 Maintain favourite product list</t>
  </si>
  <si>
    <t>1.15.8.1 When selecting to view the favourites, the products in their favourites list are presented.</t>
  </si>
  <si>
    <t>1.15.8.1.1 A message is presented with the list, to explain the purpose of the favourites list to be those products the customer wants to order often.</t>
  </si>
  <si>
    <t>1.15.8.2 The customer can unmark a product, to immediately remove it from their favourites list.</t>
  </si>
  <si>
    <t>1.15.8.3 A customer can add/remove a product to their favourites list, as detailed in the Add a product to the favourites or wish-list requirement of the User Navigation section.</t>
  </si>
  <si>
    <t>1.15.8.4 A customer can add a specific/selected products from their favourites list to their shopping cart.</t>
  </si>
  <si>
    <t>1.15.8.5 Also see the Login customer requirement in the Customer Registration section.</t>
  </si>
  <si>
    <t>1.15.9 15.9 Maintain products wish-list</t>
  </si>
  <si>
    <t>1.15.9.1 When selecting to view their wish-list, the products in their wish-list are presented.</t>
  </si>
  <si>
    <t>1.15.9.1.1 A message is presented with the list, to explain the purpose of the wish-list to be those products the customer may want to order in future, but not regularly.</t>
  </si>
  <si>
    <t>1.15.9.2 The customer can unmark a product, to immediately remove it from their wish-list.</t>
  </si>
  <si>
    <t>1.15.9.3 A customer can add/remove a product to their wish-list, as detailed in the Add a product to the favourites or wish-list requirement of the User Navigation section.</t>
  </si>
  <si>
    <t>1.15.9.4 A customer can add a specific/selected products from their wish-list to their shopping cart.</t>
  </si>
  <si>
    <t>1.15.9.5 Also see the Login customer requirement in the Customer Registration section.</t>
  </si>
  <si>
    <t>1.15.10 15.10 Maintain articles library</t>
  </si>
  <si>
    <t>1.15.10.1 When selecting to view their articles library, the articles in their favourite articles list are presented.</t>
  </si>
  <si>
    <t>1.15.10.1.1 A message is presented with the list, to explain the value of and encourage the customer to often explore and add articles to their articles library.</t>
  </si>
  <si>
    <t>1.15.10.2 The customer can unmark an article, to immediately remove it from their articles library.</t>
  </si>
  <si>
    <t>1.15.10.3 A customer can add an article to their library:</t>
  </si>
  <si>
    <t>1.15.10.3.1 From article search results</t>
  </si>
  <si>
    <t>1.15.10.3.2 From a promoted article</t>
  </si>
  <si>
    <t>1.15.10.3.3 When viewing an article full details</t>
  </si>
  <si>
    <t>1.15.10.3.4 Possibly, using a special one-time link embedded with an article presented in a personalised email.</t>
  </si>
  <si>
    <t>1.15.10.3.4.1 This will redirect the customer to a confirmation page for adding the article.</t>
  </si>
  <si>
    <t>1.15.10.4 Also see the Login customer requirement in the Customer Registration section.</t>
  </si>
  <si>
    <t>1.15.11 15.11 View History</t>
  </si>
  <si>
    <t>1.15.11.1 In addition, the following customer history may be accessed from the customer profile area of the online shop:</t>
  </si>
  <si>
    <t>1.15.11.1.1 Orders</t>
  </si>
  <si>
    <t>1.15.11.1.2 Returns</t>
  </si>
  <si>
    <t>1.15.11.1.3 Messages</t>
  </si>
  <si>
    <t>1.15.11.2 Refer to the following section for the related requirements:</t>
  </si>
  <si>
    <t>1.15.11.2.1 View Orders</t>
  </si>
  <si>
    <t>1.15.11.2.2 Return Products</t>
  </si>
  <si>
    <t>1.15.11.2.3 View Messages</t>
  </si>
  <si>
    <t>1.16 16 Online Shop Recommended Content</t>
  </si>
  <si>
    <t>1.16.1 16.1 Identify products matching submitted search terms</t>
  </si>
  <si>
    <t>1.16.1.1 By default, a selection across all categories are presented on the products main page.</t>
  </si>
  <si>
    <t>1.16.1.2 When browsing by sub/category, the category is used as the search term.</t>
  </si>
  <si>
    <t>1.16.1.3 When the customer submits a search string (one/more full/partial words), match the search terms to:</t>
  </si>
  <si>
    <t>1.16.1.3.1 Product Name</t>
  </si>
  <si>
    <t>1.16.1.3.2 Products Description</t>
  </si>
  <si>
    <t>1.16.1.3.3 Products with matching meta-tags (detail and parent)</t>
  </si>
  <si>
    <t>1.16.1.3.4 Products with synonyms of matched meta-tags</t>
  </si>
  <si>
    <t>1.16.1.3.5 Product Brand</t>
  </si>
  <si>
    <t>1.16.1.4 In addition to the above, apply the following family criteria as criteria:</t>
  </si>
  <si>
    <t>1.16.1.4.1 Age of baby/child, matched to an age group</t>
  </si>
  <si>
    <t>1.16.1.4.2 Gender of child</t>
  </si>
  <si>
    <t>1.16.1.5 Apply faceted search and (fuzzy) weighting techniques and technologies to enable a customer to navigate the meta-tag hierarchies and results in a way that suits them.</t>
  </si>
  <si>
    <t>1.16.2 16.2 Identify advertisements matching submitted search terms</t>
  </si>
  <si>
    <t>1.16.2.1 By default, a selection across all categories are presented on the products main page.</t>
  </si>
  <si>
    <t>1.16.2.2 When browsing by sub/category, the category is used as the search term.</t>
  </si>
  <si>
    <t>1.16.2.3 When the customer submits a search string (one/more full/partial words), match the search terms to:</t>
  </si>
  <si>
    <t>1.16.2.3.1 Advertisement Title</t>
  </si>
  <si>
    <t>1.16.2.3.2 Advertisement Description</t>
  </si>
  <si>
    <t>1.16.2.3.3 Advertisement with matching meta-tags (detail and parent)</t>
  </si>
  <si>
    <t>1.16.2.3.4 Advertisement with synonyms of matched meta-tags</t>
  </si>
  <si>
    <t>1.16.2.3.5 Advertised Brand</t>
  </si>
  <si>
    <t>1.16.2.4 Apply a (fuzzy) weighting score to each match, to derive a combined relevance score.</t>
  </si>
  <si>
    <t>1.16.2.5 The inclusion of an applicable advertisement in the online shop may be controlled by:</t>
  </si>
  <si>
    <t>1.16.2.5.1 Contracted frequency/number of presentations</t>
  </si>
  <si>
    <t>1.16.2.5.2 Publish start and end date-time</t>
  </si>
  <si>
    <t>1.16.2.5.3 Contracted priority</t>
  </si>
  <si>
    <t>1.16.3 16.3 Identify articles matching submitted search terms (future phase)</t>
  </si>
  <si>
    <t>1.16.3.1 By default, the latest articles across all categories are presented on the products main page.</t>
  </si>
  <si>
    <t>1.16.3.2 When browsing by sub/category, the category is used as the search term.</t>
  </si>
  <si>
    <t>1.16.3.3 When the customer submits a search string (one/more full/partial words), match the search terms to:</t>
  </si>
  <si>
    <t>1.16.3.3.1 Article Title</t>
  </si>
  <si>
    <t>1.16.3.3.2 Article Description</t>
  </si>
  <si>
    <t>1.16.3.3.3 Articles with matching meta-tags (detail and parent)</t>
  </si>
  <si>
    <t>1.16.3.3.4 Articles with synonyms of matched meta-tags</t>
  </si>
  <si>
    <t>1.16.3.4 Apply a (fuzzy) weighting score to each match, to derive a combined relevance score.</t>
  </si>
  <si>
    <t>1.16.3.5 The inclusion of an applicable synonym in the online shop may be controlled by:</t>
  </si>
  <si>
    <t>1.16.3.5.1 Publish start and end date-time</t>
  </si>
  <si>
    <t>1.16.4 16.4 Return search results, using the preferred results order</t>
  </si>
  <si>
    <t>1.16.4.1 Include a fixed number of advertised products at the top of the search/filtering results.</t>
  </si>
  <si>
    <t>1.16.4.2 Include a fixed number of articles at the top of the search/filtering results.</t>
  </si>
  <si>
    <t>1.16.4.3 Prioritise meta-tags, products and articles recently or frequently used by a specific customer.</t>
  </si>
  <si>
    <t>1.16.4.4 The recommended order ranks matching products, based on the weighted matching score in order of priority:</t>
  </si>
  <si>
    <t>1.16.4.4.1 Advertisement priority</t>
  </si>
  <si>
    <t>1.16.4.4.2 Article title rank</t>
  </si>
  <si>
    <t>1.16.4.4.3 Article description rank</t>
  </si>
  <si>
    <t>1.16.4.4.4 Promotion rank</t>
  </si>
  <si>
    <t>1.16.4.4.5 Product name match score</t>
  </si>
  <si>
    <t>1.16.4.4.6 Products description match score</t>
  </si>
  <si>
    <t>1.16.4.4.7 Products brand match score</t>
  </si>
  <si>
    <t>1.16.4.4.8 Meta-tag match score</t>
  </si>
  <si>
    <t>1.16.4.4.9 Synonyms of matched meta-tags</t>
  </si>
  <si>
    <t>1.16.5 16.5 Order search results, based on user choice</t>
  </si>
  <si>
    <t>1.16.5.1 Search results may be ordered as follows:</t>
  </si>
  <si>
    <t>1.16.5.1.1 Preferred (default)</t>
  </si>
  <si>
    <t>1.16.5.1.2 Price Low-High / High-Low</t>
  </si>
  <si>
    <t>1.16.5.1.3 User Rank [TBD]</t>
  </si>
  <si>
    <t>1.16.5.2 Results are presented, with a fixed number of results per page, with the ability to page through results.</t>
  </si>
  <si>
    <t>1.16.5.3 The brands of matching products are listed, to enable the customer to further refine their choices</t>
  </si>
  <si>
    <t>1.16.5.4 User may filter search results by Brand:</t>
  </si>
  <si>
    <t>1.16.5.4.1 Brands of matching products are listed, sorted by number of matches.</t>
  </si>
  <si>
    <t>1.16.5.4.2 Brands from suppliers with a relevant marketing agreement are however given a preferred listing rank.</t>
  </si>
  <si>
    <t>1.16.5.5 User may filter search results by product property meta-tag hierarchies, sorted by number of matches.</t>
  </si>
  <si>
    <t>1.16.6 16.6 Identify appropriate products to promote on a product page</t>
  </si>
  <si>
    <t>1.16.6.1 Identify similar products, by finding product with matching meta-tags and meeting the family criteria.</t>
  </si>
  <si>
    <t>1.16.6.2 Identify also-bought products, by finding the most-bought products from purchases that contained the current product.</t>
  </si>
  <si>
    <t>1.16.6.3 Exclude the current product from these recommended product lists.</t>
  </si>
  <si>
    <t>1.16.7 16.7 Identify appropriate articles to promote on a product page (future phase)</t>
  </si>
  <si>
    <t>1.16.7.1 Identify articles, by finding articles with matching meta-tags and meeting the family criteria.</t>
  </si>
  <si>
    <t>1.16.8 16.8 Promote relevant other products on a product page</t>
  </si>
  <si>
    <t>1.16.8.1 Promote a list of similar products (search results display format)</t>
  </si>
  <si>
    <t>1.16.8.2 Promote a list of also-bought products (search results display format)</t>
  </si>
  <si>
    <t>1.16.9 16.9 Promote articles on product pages (future phase)</t>
  </si>
  <si>
    <t>1.16.9.1 Promote a list of recommended articles (search results display format)</t>
  </si>
  <si>
    <t>1.17 17 Shopping Cart</t>
  </si>
  <si>
    <t>1.17.1 17.1 View shopping cart status</t>
  </si>
  <si>
    <t>1.17.1.1 While in the shopfront, the status of the user's shopping cart must be visible, indicating the number of products in the cart.</t>
  </si>
  <si>
    <t>1.17.1.2 The cart status must be presented at the top of the page, close to the user menu.</t>
  </si>
  <si>
    <t>1.17.1.3 The cart status must automatically update when a product is added to the cart.</t>
  </si>
  <si>
    <t>1.17.2 17.2 View shopping cart detail</t>
  </si>
  <si>
    <t>1.17.2.1 The user may be presented the detail of their shopping cart:</t>
  </si>
  <si>
    <t>1.17.2.1.1 Automatically after login, when they added products while not logged in.</t>
  </si>
  <si>
    <t>1.17.2.1.2 By selecting the shopping cart status</t>
  </si>
  <si>
    <t>1.17.2.1.3 By selecting the shopping cart option in their user menu.</t>
  </si>
  <si>
    <t>1.17.2.2 Present at least the following details for the shopping cart:</t>
  </si>
  <si>
    <t>1.17.2.2.1 Products list</t>
  </si>
  <si>
    <t>1.17.2.2.2 Total Number of items in the shopping cart</t>
  </si>
  <si>
    <t>1.17.2.2.3 Total VAT</t>
  </si>
  <si>
    <t>1.17.2.2.4 Total Value (incl.)</t>
  </si>
  <si>
    <t>1.17.2.3 Present the following actions for the shopping cart (as icons with hover-text):</t>
  </si>
  <si>
    <t>1.17.2.3.1 Add all products to favourites</t>
  </si>
  <si>
    <t>1.17.2.3.2 Add all favourite products to shopping cart</t>
  </si>
  <si>
    <t>1.17.2.3.3 View favourites</t>
  </si>
  <si>
    <t>1.17.2.3.4 Add all products to wish-list</t>
  </si>
  <si>
    <t>1.17.2.3.5 Add all wish-list products to shopping cart</t>
  </si>
  <si>
    <t>1.17.2.3.6 View wish-list</t>
  </si>
  <si>
    <t>1.17.2.3.7 Continue shopping</t>
  </si>
  <si>
    <t>1.17.2.3.8 Proceed to checkout</t>
  </si>
  <si>
    <t>1.17.2.4 The product search is also presented.</t>
  </si>
  <si>
    <t>1.17.2.4.1 If a user submits a search, the user is automatically redirected to the shopfront with the search results presented.</t>
  </si>
  <si>
    <t>1.17.2.5 Present at least the following for each product in the shopping cart products list:</t>
  </si>
  <si>
    <t>1.17.2.5.1 Product Number (link to product)</t>
  </si>
  <si>
    <t>1.17.2.5.2 Product Title (link to product)</t>
  </si>
  <si>
    <t>1.17.2.5.3 Thumbnail image (link to product)</t>
  </si>
  <si>
    <t>1.17.2.5.4 Quantity (with ability to edit value, or increase/decrease it)</t>
  </si>
  <si>
    <t>1.17.2.5.5 Unit product price (incl.)</t>
  </si>
  <si>
    <t>1.17.2.5.6 Total product price (incl.)</t>
  </si>
  <si>
    <t>1.17.2.6 Present the following actions for each product in the shopping cart (as icons with hover-text):</t>
  </si>
  <si>
    <t>1.17.2.6.1 Add product to favourites</t>
  </si>
  <si>
    <t>1.17.2.6.2 Move product to favourites</t>
  </si>
  <si>
    <t>1.17.2.6.3 Add product to wish-list</t>
  </si>
  <si>
    <t>1.17.2.6.4 Move product to wish-list</t>
  </si>
  <si>
    <t>1.17.2.6.5 Remove product</t>
  </si>
  <si>
    <t>1.17.3 17.3 Change products in shopping cart</t>
  </si>
  <si>
    <t>1.17.3.1 If the user changes the quantity of any product, the totals are automatically refreshed to show the new amounts.</t>
  </si>
  <si>
    <t>1.17.4 17.4 Remove product from shopping cart</t>
  </si>
  <si>
    <t>1.17.4.1 When selecting to remove a product from the shopping cart:</t>
  </si>
  <si>
    <t>1.17.4.2 The user is prompted to confirm the move of the product from the shopping cart, or to add it to their favourites / wish-list.</t>
  </si>
  <si>
    <t>1.17.4.3 If the user chooses to move the product, the move to favourites/wish-list action is executed instead.</t>
  </si>
  <si>
    <t>1.17.4.4 The total value for the shopping cart is refreshed.</t>
  </si>
  <si>
    <t>1.17.5 17.5 Add shopping cart product to favorites</t>
  </si>
  <si>
    <t>1.17.5.1 When selecting the add to favourites option, the user is informed once the product has been added to their favourites.</t>
  </si>
  <si>
    <t>1.17.6 17.6 Move shopping cart product to favourites</t>
  </si>
  <si>
    <t>1.17.6.1 When selecting the move to favourites option:</t>
  </si>
  <si>
    <t>1.17.6.2 The user is prompted to confirm the move of the product from the shopping cart.</t>
  </si>
  <si>
    <t>1.17.6.3 The user is informed once the product has been moved to their favourites.</t>
  </si>
  <si>
    <t>1.17.6.4 The total value for the shopping cart is refreshed.</t>
  </si>
  <si>
    <t>1.17.7 17.7 Add shopping cart product to wish-list</t>
  </si>
  <si>
    <t>1.17.7.1 When selecting the add to wish-list option, the user is informed once the product has been added to the wish-list.</t>
  </si>
  <si>
    <t>1.17.8 17.8 Move shopping cart product to wish-list</t>
  </si>
  <si>
    <t>1.17.8.1 When selecting the move to wish-list option:</t>
  </si>
  <si>
    <t>1.17.8.2 The user is prompted to confirm the move of the product from the shopping cart.</t>
  </si>
  <si>
    <t>1.17.8.3 The user is informed once the product has been moved to their wish-list.</t>
  </si>
  <si>
    <t>1.17.8.4 The total value for the shopping cart is refreshed.</t>
  </si>
  <si>
    <t>1.17.9 17.9 Add all favourite products to shopping cart</t>
  </si>
  <si>
    <t>1.17.9.1 When selecting the add all from favourites option:</t>
  </si>
  <si>
    <t>1.17.9.2 The user is prompted to confirm to add all favourite products to the shopping cart.</t>
  </si>
  <si>
    <t>1.17.9.2.1 The number of products in the favourites list is included.</t>
  </si>
  <si>
    <t>1.17.9.3 Once the products have been added, the total value for the shopping cart is refreshed.</t>
  </si>
  <si>
    <t>1.17.10 17.10 Add all wish-list products to shopping cart</t>
  </si>
  <si>
    <t>1.17.10.1 When selecting the add all from wish-list option:</t>
  </si>
  <si>
    <t>1.17.10.2 The user is prompted to confirm to add all wish-list products to the shopping cart.</t>
  </si>
  <si>
    <t>1.17.10.2.1 The number of products in the wish-list list is included.</t>
  </si>
  <si>
    <t>1.17.10.3 Once the products have been added, the total value for the shopping cart is refreshed.</t>
  </si>
  <si>
    <t>1.17.11 17.11 View favourites</t>
  </si>
  <si>
    <t>1.17.11.1 The user is redirected to their favourites list.</t>
  </si>
  <si>
    <t>1.17.11.2 Refer to the Maintain favourite product list requirements in the Customer Profile section.</t>
  </si>
  <si>
    <t>1.17.12 17.12 View wish-list</t>
  </si>
  <si>
    <t>1.17.12.1 The user is redirected to the wish-list.</t>
  </si>
  <si>
    <t>1.17.12.2 Refer to the Maintain products wish-list requirements in the Customer Profile section.</t>
  </si>
  <si>
    <t>1.17.13 17.13 Proceed to checkout</t>
  </si>
  <si>
    <t>1.17.13.1 The user is prompted to confirm their order for checkout.</t>
  </si>
  <si>
    <t>1.17.13.2 Once confirmed, the user is redirected to the shopping cart checkout step (see Confirm/Update Customer Delivery requirements in the Checkout and Pay section).</t>
  </si>
  <si>
    <t>1.17.14 17.14 Abandon shopping cart</t>
  </si>
  <si>
    <t>1.17.14.1 A user abandons their shopping cart when they:</t>
  </si>
  <si>
    <t>1.17.14.1.1 Leave the online shop (close browser tab; prompted to return to unprocessed shopping cart)</t>
  </si>
  <si>
    <t>1.17.14.1.2 Logout from the online shop (prompted to return to unprocessed shopping cart)</t>
  </si>
  <si>
    <t>1.17.14.2 A user shopping cart is abandoned when the user session expires.</t>
  </si>
  <si>
    <t>1.18 18 Checkout and Pay</t>
  </si>
  <si>
    <t>1.18.1 18.1 Confirm/Update Customer Delivery</t>
  </si>
  <si>
    <t>1.18.1.1 The customer's configured delivery addresses are listed with the following details for each address:</t>
  </si>
  <si>
    <t>1.18.1.1.1 Address Name</t>
  </si>
  <si>
    <t>1.18.1.1.2 Address (combine street, suburb, town, postal code)</t>
  </si>
  <si>
    <t>1.18.1.1.3 Contact person</t>
  </si>
  <si>
    <t>1.18.1.1.4 last-used date (if available)</t>
  </si>
  <si>
    <t>1.18.1.2 The cost of delivery is indicated as a line item.</t>
  </si>
  <si>
    <t>1.18.1.3 Calculate a delivery cost, based on the following:</t>
  </si>
  <si>
    <t>1.18.1.3.1 Value below a Minimum order value, zero above</t>
  </si>
  <si>
    <t>1.18.1.3.2 Value calculated per Number of products, on a configurable scale</t>
  </si>
  <si>
    <t>1.18.1.3.3 Value calculated based on estimated total dimensions &amp; weight (future)</t>
  </si>
  <si>
    <t>1.18.1.4 The product search is not available during checkout.</t>
  </si>
  <si>
    <t>1.18.1.5 A breadcrumb is shown, listing the stages of checkout, with the confirm delivery step highlighted.</t>
  </si>
  <si>
    <t>1.18.1.6 The user is presented the following options:</t>
  </si>
  <si>
    <t>1.18.1.6.1 Return to shopping cart</t>
  </si>
  <si>
    <t>1.18.1.6.2 Select a delivery address (default automatically selected)</t>
  </si>
  <si>
    <t>1.18.1.6.3 Add a new delivery address</t>
  </si>
  <si>
    <t>1.18.1.6.4 Confirm the delivery address</t>
  </si>
  <si>
    <t>1.18.1.7 The user may choose a different delivery address</t>
  </si>
  <si>
    <t>1.18.1.8 When the user chooses to add a new delivery address, they are redirected to the delivery address section of their customer profile.</t>
  </si>
  <si>
    <t>1.18.1.8.1 Refer to the Maintain delivery address(es) requirements of the Customer Profile section.</t>
  </si>
  <si>
    <t>1.18.1.9 When choosing the Return to shopping cart option, the user is redirected back to their shopping cart.</t>
  </si>
  <si>
    <t>1.18.1.10 The user may optionally capture a delivery message, to be printed on the waybill.</t>
  </si>
  <si>
    <t>1.18.1.10.1 The purpose of the message is indicated with this plain-text message box.</t>
  </si>
  <si>
    <t>1.18.1.11 On choosing to confirm the delivery address, the user is redirected to the confirm payment step of the checkout process.</t>
  </si>
  <si>
    <t>1.18.2 18.2 Confirm payment method</t>
  </si>
  <si>
    <t>1.18.2.1 A breadcrumb is shown, listing the stages of checkout, with the confirm payment step highlighted.</t>
  </si>
  <si>
    <t>1.18.2.1.1 The user may click the confirm address to return to that step.</t>
  </si>
  <si>
    <t>1.18.2.2 The customer is prompted to confirms their method of payment:</t>
  </si>
  <si>
    <t>1.18.2.2.1 Specify debit/credit card as payment type</t>
  </si>
  <si>
    <t>1.18.2.2.2 Specify Zapper/Snapscan as payment type - PC only [TBC]</t>
  </si>
  <si>
    <t>1.18.2.3 The procedure for payment must be explained, including the use of bank security features (e.g. confirmation OTP).</t>
  </si>
  <si>
    <t>1.18.2.4 The user is presented the following options:</t>
  </si>
  <si>
    <t>1.18.2.4.1 Return to delivery</t>
  </si>
  <si>
    <t>1.18.2.4.2 Pay for order</t>
  </si>
  <si>
    <t>1.18.2.5 When choosing the return to delivery option, the user is returned to the confirm delivery step.</t>
  </si>
  <si>
    <t>1.18.2.6 The user must accept the terms and conditions for online payment processing.</t>
  </si>
  <si>
    <t>1.18.2.6.1 The user may choose to view the payment processing terms and conditions (presented in a separate tab/pop-up message).</t>
  </si>
  <si>
    <t>1.18.2.6.2 This tick-box is cleared each time the step is visited, or validation fails.</t>
  </si>
  <si>
    <t>1.18.2.7 When choosing the pay for order option, the user is redirected to the payment gateway, to process the payment for the order.</t>
  </si>
  <si>
    <t>1.18.2.7.1 Refer to the Pay for order using debit/credit card requirements.</t>
  </si>
  <si>
    <t>1.18.3 18.3 Pay for order using debit/credit card</t>
  </si>
  <si>
    <t>1.18.3.1 Redirect to the card payment gateway</t>
  </si>
  <si>
    <t>1.18.3.2 Support secure payments, where the customer is prompted by their bank to enter a one-time password, etc.</t>
  </si>
  <si>
    <t>1.18.3.3 Support credit and debit cards for any South African bank.</t>
  </si>
  <si>
    <t>1.18.3.4 For a successful payment, an order confirmation email is sent to the user.</t>
  </si>
  <si>
    <t>1.18.3.4.1 The email includes the full detail of the order.</t>
  </si>
  <si>
    <t>1.18.3.5 If payment returns successful from payment gateway, redirect to payment confirmation page, with order number and link to order details.</t>
  </si>
  <si>
    <t>1.18.3.6 If payment returns failed from payment gateway, redirect back to payment method confirmation.</t>
  </si>
  <si>
    <t>1.18.4 18.4 View payment successful confirmation</t>
  </si>
  <si>
    <t>1.18.4.1 The following is presented on a payment confirmation page:</t>
  </si>
  <si>
    <t>1.18.4.1.1 A payment confirmation message</t>
  </si>
  <si>
    <t>1.18.4.1.2 Order reference (linked to view the order)</t>
  </si>
  <si>
    <t>1.18.4.1.3 Link to view the order</t>
  </si>
  <si>
    <t>1.18.4.2 The following actions are presented to the user:</t>
  </si>
  <si>
    <t>1.18.4.2.1 View order</t>
  </si>
  <si>
    <t>1.18.4.2.2 Continue shopping</t>
  </si>
  <si>
    <t>1.18.4.3 The view order option redirects the user to view the specific order.</t>
  </si>
  <si>
    <t>1.18.4.4 The continue shopping option redirects the user back to their last search results.</t>
  </si>
  <si>
    <t>1.18.5 18.5 View payment failed</t>
  </si>
  <si>
    <t>1.18.5.1 The user is returned to the confirm payment page.</t>
  </si>
  <si>
    <t>1.18.5.2 The error returned from the payment gateway is presented, with a request to the user to check their payment details and try again.</t>
  </si>
  <si>
    <t>1.19 19 View Orders</t>
  </si>
  <si>
    <t>1.19.1 19.1 View customer orders list</t>
  </si>
  <si>
    <t>1.19.1.1 A customer can choose to view their orders list:</t>
  </si>
  <si>
    <t>1.19.1.1.1 From their user menu (My Orders)</t>
  </si>
  <si>
    <t>1.19.1.1.2 From a given Order (Back to Orders)</t>
  </si>
  <si>
    <t>1.19.1.2 Present at least the following for the orders list:</t>
  </si>
  <si>
    <t>1.19.1.2.1 Order Number (link to order detail)</t>
  </si>
  <si>
    <t>1.19.1.2.2 Order Date (date-time order was paid)</t>
  </si>
  <si>
    <t>1.19.1.2.3 Order Status (pending, packed, delivery, completed)</t>
  </si>
  <si>
    <t>1.19.1.2.4 Order Value (total value of order)</t>
  </si>
  <si>
    <t>1.19.1.2.5 Number of items in delivery</t>
  </si>
  <si>
    <t>1.19.1.2.6 Delivery address (name of chosen delivery address)</t>
  </si>
  <si>
    <t>1.19.1.2.7 For an order in the delivery status, the expected delivery date</t>
  </si>
  <si>
    <t>1.19.1.2.8 View icon (link to order detail)</t>
  </si>
  <si>
    <t>1.19.1.2.9 Enquire icon (link to submit an enquiry, linked to the given order)</t>
  </si>
  <si>
    <t>1.19.2 19.2 View customer order</t>
  </si>
  <si>
    <t>1.19.2.1 A customer can choose to view a specific order:</t>
  </si>
  <si>
    <t>1.19.2.1.1 From their orders list</t>
  </si>
  <si>
    <t>1.19.2.1.2 From the new order confirmation page (after payment was processed)</t>
  </si>
  <si>
    <t>1.19.2.1.3 From a link in a status update email (requires user to login)</t>
  </si>
  <si>
    <t>1.19.2.2 Present at least the following details for a customer order:</t>
  </si>
  <si>
    <t>1.19.2.2.1 Order Number</t>
  </si>
  <si>
    <t>1.19.2.2.2 Order Date (date-time order was paid)</t>
  </si>
  <si>
    <t>1.19.2.2.3 Order Status (pending, packed, delivery, completed)</t>
  </si>
  <si>
    <t>1.19.2.2.4 Last Update (date-time of the last status update for the order)</t>
  </si>
  <si>
    <t>1.19.2.2.5 Delivery address (name of chosen delivery address)</t>
  </si>
  <si>
    <t>1.19.2.2.6 For an order in the delivery status, the expected delivery date</t>
  </si>
  <si>
    <t>1.19.2.2.7 Products list</t>
  </si>
  <si>
    <t>1.19.2.2.8 Total Number of items in delivery</t>
  </si>
  <si>
    <t>1.19.2.2.9 Total VAT</t>
  </si>
  <si>
    <t>1.19.2.2.10 Total Value (total value incl. of order)</t>
  </si>
  <si>
    <t>1.19.2.2.11 Enquire icon (link to submit an enquiry, linked to the given order)</t>
  </si>
  <si>
    <t>1.19.2.2.12 Request return icon (link to submit a product return enquiry, linked to the given order)</t>
  </si>
  <si>
    <t>1.19.2.2.13 If a pending return is in progress, a link to the return request is presented, with the return status.</t>
  </si>
  <si>
    <t>1.19.2.3 Present at least the following for each product in the customer order products list:</t>
  </si>
  <si>
    <t>1.19.2.3.1 Product Number</t>
  </si>
  <si>
    <t>1.19.2.3.2 Product Title (link to product)</t>
  </si>
  <si>
    <t>1.19.2.3.3 Thumbnail image</t>
  </si>
  <si>
    <t>1.19.2.3.4 Quantity ordered</t>
  </si>
  <si>
    <t>1.19.2.3.5 Unit product price (incl.) on order</t>
  </si>
  <si>
    <t>1.19.2.3.6 Total product price (incl.) on order</t>
  </si>
  <si>
    <t>1.19.2.4 Also see the Enquire about order requirement below.</t>
  </si>
  <si>
    <t>1.19.3 19.3 Receive order status updates</t>
  </si>
  <si>
    <t>1.19.3.1 A customer is notified of selected status changes to their order:</t>
  </si>
  <si>
    <t>1.19.3.1.1 Order received</t>
  </si>
  <si>
    <t>1.19.3.1.2 Order processed (once assigned to the supplier)</t>
  </si>
  <si>
    <t>1.19.3.1.3 Order packed</t>
  </si>
  <si>
    <t>1.19.3.1.4 Order dispatched</t>
  </si>
  <si>
    <t>1.19.3.1.5 Order delivered</t>
  </si>
  <si>
    <t>1.19.3.1.6 Order cancelled</t>
  </si>
  <si>
    <t>1.19.3.2 The status message is sent to their registered email address, to contain at least the following:</t>
  </si>
  <si>
    <t>1.19.3.2.1 Order number</t>
  </si>
  <si>
    <t>1.19.3.2.2 Order date</t>
  </si>
  <si>
    <t>1.19.3.2.3 New Status</t>
  </si>
  <si>
    <t>1.19.3.2.4 Delivery address</t>
  </si>
  <si>
    <t>1.19.3.2.5 Expected delivery date (included for delivery status)</t>
  </si>
  <si>
    <t>1.19.3.2.6 List of products (same as specified in the View customer order requirements)</t>
  </si>
  <si>
    <t>1.19.3.2.7 Total value</t>
  </si>
  <si>
    <t>1.19.3.3 In addition, the customer is notified via SMS about a despatch or delivered, could not deliver status.</t>
  </si>
  <si>
    <t>1.19.4 19.4 Enquire about order</t>
  </si>
  <si>
    <t>1.19.4.1 When viewing an order, a customer can choose to enquire about that order.</t>
  </si>
  <si>
    <t>1.19.4.1.1 The customer is prompted to capture their message.</t>
  </si>
  <si>
    <t>1.19.4.2 The enquiry is submitted as a customer message of type order enquiry, with the reference to the specific order.</t>
  </si>
  <si>
    <t>1.20 20 Return Products</t>
  </si>
  <si>
    <t>1.20.1 20.1 Request product return</t>
  </si>
  <si>
    <t>1.20.1.1 The user may choose to request a product return as follows:</t>
  </si>
  <si>
    <t>1.20.1.2 By choosing the request return option when viewing an order.</t>
  </si>
  <si>
    <t>1.20.1.2.1 The current order is set as the reference for the order.</t>
  </si>
  <si>
    <t>1.20.1.3 By choosing the request return option when viewing their returns page.</t>
  </si>
  <si>
    <t>1.20.1.3.1 The user is prompted to complete a closed order (descending date order).</t>
  </si>
  <si>
    <t>1.20.1.4 The customer is then prompted to select the product(s) from that order to return.</t>
  </si>
  <si>
    <t>1.20.1.4.1 Only products not previously returned may be selected, up to the quantity in the order.</t>
  </si>
  <si>
    <t>1.20.1.5 The customer is prompted to select a reason for each selected product, to include at least the following reasons:</t>
  </si>
  <si>
    <t>1.20.1.5.1 Product damaged</t>
  </si>
  <si>
    <t>1.20.1.5.2 Wrong product delivered</t>
  </si>
  <si>
    <t>1.20.1.5.3 Product not meet expectations</t>
  </si>
  <si>
    <t>1.20.1.5.4 Product no longer needed</t>
  </si>
  <si>
    <t>1.20.1.5.5 Other</t>
  </si>
  <si>
    <t>1.20.1.6 The customer is prompted to select an action for the request:</t>
  </si>
  <si>
    <t>1.20.1.6.1 Return and replace</t>
  </si>
  <si>
    <t>1.20.1.6.2 Return and refund</t>
  </si>
  <si>
    <t>1.20.1.6.3 Other</t>
  </si>
  <si>
    <t>1.20.1.7 The customer is prompted to capture a message to explain the request further.</t>
  </si>
  <si>
    <t>1.20.1.8 The customer is prompted to confirm the collection address, or choose a different (delivery) address.</t>
  </si>
  <si>
    <t>1.20.1.9 The request is submitted as a return request, associated with the selected order.</t>
  </si>
  <si>
    <t>1.20.2 20.2 View return request list</t>
  </si>
  <si>
    <t>1.20.2.1 A customer can choose to view their return requests list:</t>
  </si>
  <si>
    <t>1.20.2.1.1 From their user menu (My Orders)</t>
  </si>
  <si>
    <t>1.20.2.1.2 From a given Order (Back to Orders)</t>
  </si>
  <si>
    <t>1.20.2.2 Present at least the following for the return requests list:</t>
  </si>
  <si>
    <t>1.20.2.2.1 Return Number (link to return detail)</t>
  </si>
  <si>
    <t>1.20.2.2.2 Return Date (date-time return request was submitted)</t>
  </si>
  <si>
    <t>1.20.2.2.3 Return Status (pending, approved, collecting, return, completed)</t>
  </si>
  <si>
    <t>1.20.2.2.4 Return Value (total value of return)</t>
  </si>
  <si>
    <t>1.20.2.2.5 Number of items in return</t>
  </si>
  <si>
    <t>1.20.2.2.6 Collection address (name of chosen delivery address)</t>
  </si>
  <si>
    <t>1.20.2.2.7 For a return in the collecting status, present the expected collection date</t>
  </si>
  <si>
    <t>1.20.2.2.8 View icon (link to return detail)</t>
  </si>
  <si>
    <t>1.20.2.2.9 Enquire icon (link to submit an enquiry, linked to the given return)</t>
  </si>
  <si>
    <t>1.20.3 20.3 View return request</t>
  </si>
  <si>
    <t>1.20.3.1 Present at least the following for the selected return requests:</t>
  </si>
  <si>
    <t>1.20.3.1.1 Return Number (link to return detail)</t>
  </si>
  <si>
    <t>1.20.3.1.2 Original Order Number (link to order to which the return applies)</t>
  </si>
  <si>
    <t>1.20.3.1.3 Return Date (date-time return request was submitted)</t>
  </si>
  <si>
    <t>1.20.3.1.4 Return Status (pending, approved, collecting, return, completed)</t>
  </si>
  <si>
    <t>1.20.3.1.5 Return Value (total value of return)</t>
  </si>
  <si>
    <t>1.20.3.1.6 Number of items in return</t>
  </si>
  <si>
    <t>1.20.3.1.7 Collection address (name of chosen delivery address)</t>
  </si>
  <si>
    <t>1.20.3.1.8 For a return in the collecting status, present the expected collection date</t>
  </si>
  <si>
    <t>1.20.3.1.9 List of products to return</t>
  </si>
  <si>
    <t>1.20.3.1.10 View icon (link to return detail)</t>
  </si>
  <si>
    <t>1.20.3.1.11 Enquire icon (link to submit an enquiry, linked to the given return)</t>
  </si>
  <si>
    <t>1.20.3.2 Present at least the following for each product in the list of products to return:</t>
  </si>
  <si>
    <t>1.20.3.2.1 Product Number</t>
  </si>
  <si>
    <t>1.20.3.2.2 Product Title (link to product)</t>
  </si>
  <si>
    <t>1.20.3.2.3 Thumbnail image</t>
  </si>
  <si>
    <t>1.20.3.2.4 Quantity to return</t>
  </si>
  <si>
    <t>1.20.3.2.5 Unit product price (incl.) on order</t>
  </si>
  <si>
    <t>1.20.3.2.6 Total product price (incl.) on order</t>
  </si>
  <si>
    <t>1.20.4 20.4 Enquire about return request</t>
  </si>
  <si>
    <t>1.20.4.1 When viewing a return request, a customer can choose to enquire about that return request.</t>
  </si>
  <si>
    <t>1.20.4.1.1 The customer is prompted to capture their message.</t>
  </si>
  <si>
    <t>1.20.4.2 The customer enquiry is submitted as a customer message of type return-enquiry, with the reference to the specific return.</t>
  </si>
  <si>
    <t>1.21 21 Customer Messages</t>
  </si>
  <si>
    <t>1.21.1 21.1 Notify user that their submitted request has been received</t>
  </si>
  <si>
    <t>1.21.1.1 When an enquiry of any type is submitted online, the user is informed that their submission has been received.</t>
  </si>
  <si>
    <t>1.21.1.1.1 A visual message with their submission reference is presented.</t>
  </si>
  <si>
    <t>1.21.1.1.2 A copy of the submission is sent to their registered/provided email address.</t>
  </si>
  <si>
    <t>1.21.2 21.2 Present customer messages alert</t>
  </si>
  <si>
    <t>1.21.2.1 A customer is alerted about unread messages as follows:</t>
  </si>
  <si>
    <t>1.21.2.1.1 A message icon is presented near the customer menu, with a count of unread messages.</t>
  </si>
  <si>
    <t>1.21.2.1.2 After login, the user is prompted with an option to review their new message(s) - supersedes an in-progress shopping cart.</t>
  </si>
  <si>
    <t>1.21.2.1.3 On their profile, a banner-alert is presented with an option to review their new messages.</t>
  </si>
  <si>
    <t>1.21.2.2 On clicking the alert, the user is presented their messages, as described in the View customer messages list requirement.</t>
  </si>
  <si>
    <t>1.21.3 21.3 Customer views their messages list.</t>
  </si>
  <si>
    <t>1.21.3.1 A customer can choose to view their messages list:</t>
  </si>
  <si>
    <t>1.21.3.1.1 From their user menu (My Messages)</t>
  </si>
  <si>
    <t>1.21.3.1.2 From a message alert</t>
  </si>
  <si>
    <t>1.21.3.2 Present at least the following for each messages in the list:</t>
  </si>
  <si>
    <t>1.21.3.2.1 Message reference (link to view message)</t>
  </si>
  <si>
    <t>1.21.3.2.2 Date-time of message</t>
  </si>
  <si>
    <t>1.21.3.2.3 Message subject (link to view message)</t>
  </si>
  <si>
    <t>1.21.3.2.4 Message type</t>
  </si>
  <si>
    <t>1.21.3.2.5 Order Number (if relevant; link to order detail)</t>
  </si>
  <si>
    <t>1.21.3.2.6 A view message icon (link to view message)</t>
  </si>
  <si>
    <t>1.21.3.2.7 A mark-as-read icon, to mark the message as read.</t>
  </si>
  <si>
    <t>1.21.3.3 The list of messages are sorted in date descending order, with unread messages clearly highlighted.</t>
  </si>
  <si>
    <t>1.21.4 21.4 Customer views message detail</t>
  </si>
  <si>
    <t>1.21.4.1 Present a message thread type list of messages associated with the original message, sorted in descending date (latest first) order.</t>
  </si>
  <si>
    <t>1.21.4.2 Present at least the following for each message:</t>
  </si>
  <si>
    <t>1.21.4.2.1 Message reference (link to view message)</t>
  </si>
  <si>
    <t>1.21.4.2.2 Date-time of message</t>
  </si>
  <si>
    <t>1.21.4.2.3 Message type</t>
  </si>
  <si>
    <t>1.21.4.2.4 Message subject</t>
  </si>
  <si>
    <t>1.21.4.2.5 Message detail</t>
  </si>
  <si>
    <t>1.21.4.2.6 Order Number (if relevant; link to order detail)</t>
  </si>
  <si>
    <t>1.21.4.2.7 Returns Number (if relevant; link to return request detail)</t>
  </si>
  <si>
    <t>1.21.4.2.8 A reply icon on the last message, to submit a reply to that message.</t>
  </si>
  <si>
    <t>1.21.4.3 The customer may choose to mark an enquiry topic as closed, or cancelled.</t>
  </si>
  <si>
    <t>1.21.4.3.1 The customer is prompted to provide an optional note when closing the topic.</t>
  </si>
  <si>
    <t>1.21.4.4 When submitting a reply, the new message is automatically associated with the original message in that thread, with the relevant classification applied.</t>
  </si>
  <si>
    <t>1.21.5 21.5 Back-office views customer messages needing attention</t>
  </si>
  <si>
    <t>1.21.5.1 Each type of customer request must be directed to the appropriate department for attention, but tracked centrally.</t>
  </si>
  <si>
    <t>1.21.5.2 The applicable back-office area must be able to view a list of customer messages applicable to their area.</t>
  </si>
  <si>
    <t>1.21.5.3 Present at least the following for each messages in the list:</t>
  </si>
  <si>
    <t>1.21.5.3.1 Customer Title</t>
  </si>
  <si>
    <t>1.21.5.3.2 Customer Name &amp; Surname</t>
  </si>
  <si>
    <t>1.21.5.3.3 Customer Phone number</t>
  </si>
  <si>
    <t>1.21.5.3.4 Message Reference</t>
  </si>
  <si>
    <t>1.21.5.3.5 Date-time of message</t>
  </si>
  <si>
    <t>1.21.5.3.6 Message Type</t>
  </si>
  <si>
    <t>1.21.5.3.7 Message Status</t>
  </si>
  <si>
    <t>1.21.5.3.8 Message Subject</t>
  </si>
  <si>
    <t>1.21.5.3.9 Message Detail</t>
  </si>
  <si>
    <t>1.21.5.3.10 Order Number (if relevant, a link to view the order detail)</t>
  </si>
  <si>
    <t>1.21.5.3.11 Return Number (if relevant, a link to view the return detail)</t>
  </si>
  <si>
    <t>1.21.6 21.6 Back-office responds to customer message</t>
  </si>
  <si>
    <t>1.21.6.1 Present a message thread type list of messages associated with the original message, sorted in descending date (latest first) order.</t>
  </si>
  <si>
    <t>1.21.6.2 Present at least the following information for each customer message:</t>
  </si>
  <si>
    <t>1.21.6.2.1 Customer Title</t>
  </si>
  <si>
    <t>1.21.6.2.2 Customer Name &amp; Surname</t>
  </si>
  <si>
    <t>1.21.6.2.3 Customer Phone number</t>
  </si>
  <si>
    <t>1.21.6.2.4 Message Reference</t>
  </si>
  <si>
    <t>1.21.6.2.5 Date-time of message</t>
  </si>
  <si>
    <t>1.21.6.2.6 Message Type</t>
  </si>
  <si>
    <t>1.21.6.2.7 Message Status</t>
  </si>
  <si>
    <t>1.21.6.2.8 Message Subject</t>
  </si>
  <si>
    <t>1.21.6.2.9 Message Detail</t>
  </si>
  <si>
    <t>1.21.6.2.10 Order Number (if relevant to their role, a link to view the order detail)</t>
  </si>
  <si>
    <t>1.21.6.2.11 Return Number (if relevant to their role, a link to view the return detail)</t>
  </si>
  <si>
    <t>1.21.6.3 The applicable back-office area must be able to reply to the last customer message.</t>
  </si>
  <si>
    <t>1.21.6.3.1 The reply may only contain normal text.</t>
  </si>
  <si>
    <t>1.21.6.4 The reply message must be presented to the customer via the following channels:</t>
  </si>
  <si>
    <t>1.21.6.4.1 Email with message, as well as link to their original enquiry (require login to view).</t>
  </si>
  <si>
    <t>1.21.6.4.2 Posted on the online shop as an unread message.</t>
  </si>
  <si>
    <t>1.21.6.4.3 SMS to the customer, notifying them to read the reply online or in their email.</t>
  </si>
  <si>
    <t>1.22 22 Online Payments Management</t>
  </si>
  <si>
    <t>1.22.1 22.1 Process customer card payment</t>
  </si>
  <si>
    <t>1.22.1.1 The customer online payment transaction must be logged, without compromising payment confidentiality.</t>
  </si>
  <si>
    <t>1.22.1.2 Also see the Checkout and Pay section.</t>
  </si>
  <si>
    <t>1.22.2 22.2 Reverse approved customer online payment</t>
  </si>
  <si>
    <t>1.22.2.1 Approval to reverse an online payment may be granted for the following events:</t>
  </si>
  <si>
    <t>1.22.2.1.1 The online payment returned as failed, but payment was taken from the bank (need Finance approval)</t>
  </si>
  <si>
    <t>1.22.2.1.2 A customer's request to cancel their unprocessed order was approved (Order Manager approval).</t>
  </si>
  <si>
    <t>1.22.2.1.3 An order that cannot be fulfilled by a supplier was cancelled (Order Manager approval).</t>
  </si>
  <si>
    <t>1.22.2.2 The reversal of an online payment will be processed directly with the payment gateway or bank (as appropriate).</t>
  </si>
  <si>
    <t>1.22.3 22.3 Reconcile online payments to transactions from the payment gateway.</t>
  </si>
  <si>
    <t>1.22.3.1 The transaction log from the payment gateway will serve as remittance advice, to be loaded into the financial system.</t>
  </si>
  <si>
    <t>1.22.3.2 The financial department of the business must reconcile the online payments as recorded on the online shop, to the transaction log provided by the payment gateway.</t>
  </si>
  <si>
    <t>1.22.3.3 The reconciliation must be done on a daily basis, in order to identify and address any discrepancies within 1/2 working days.</t>
  </si>
  <si>
    <t>1.22.3.4 the financial department must action any discrepancies wit the customer and payment gateway.</t>
  </si>
  <si>
    <t>1.22.4 22.4 Reconcile online transactions from the payment gateway to the bank deposits.</t>
  </si>
  <si>
    <t>1.22.4.1 The financial department of the business must reconcile the transaction log provided by the payment gateway to the bank statement, to be performed in the financial system.</t>
  </si>
  <si>
    <t>1.22.4.2 The reconciliation must be done on a daily basis, in order to identify and address any discrepancies within 1/2 working days.</t>
  </si>
  <si>
    <t>1.22.4.3 the financial department must action any discrepancies wit the customer and payment gateway.</t>
  </si>
  <si>
    <t>1.23 23 Customer Orders Management</t>
  </si>
  <si>
    <t>1.23.1 23.1 Allocate the products for a customer order to the relevant suppliers (drop-shipping)</t>
  </si>
  <si>
    <t>1.23.1.1 Each product in a customer order must be allocated to an order for the supplier that fulfills that product.</t>
  </si>
  <si>
    <t>1.23.1.1.1 The supplier order must be associated with the customer order.</t>
  </si>
  <si>
    <t>1.23.1.2 The supplier orders must be managed from creation to completion.</t>
  </si>
  <si>
    <t>1.23.1.3 Include at least the following details for a supplier order:</t>
  </si>
  <si>
    <t>1.23.1.3.1 Customer Order Number</t>
  </si>
  <si>
    <t>1.23.1.3.2 Supplier Order Number</t>
  </si>
  <si>
    <t>1.23.1.3.3 Order Date (date-time the supplier order was originally created)</t>
  </si>
  <si>
    <t>1.23.1.3.4 Order Status (new,update,cancel)</t>
  </si>
  <si>
    <t>1.23.1.3.5 Last Update (date-time of the last status update for the order)</t>
  </si>
  <si>
    <t>1.23.1.3.6 Delivery address (name of chosen delivery address)</t>
  </si>
  <si>
    <t>1.23.1.3.7 Products list</t>
  </si>
  <si>
    <t>1.23.1.3.8 Order Total Sales Value (incl.)</t>
  </si>
  <si>
    <t>1.23.1.3.9 Order Total VAT</t>
  </si>
  <si>
    <t>1.23.1.4 Include at least the following for each product / product pack in the supplier order products list:</t>
  </si>
  <si>
    <t>1.23.1.4.1 Title</t>
  </si>
  <si>
    <t>1.23.1.4.2 Barcode</t>
  </si>
  <si>
    <t>1.23.1.4.3 Quantity ordered</t>
  </si>
  <si>
    <t>1.23.1.4.4 Product Unit Sales Price (excl.)</t>
  </si>
  <si>
    <t>1.23.1.4.5 Product Total Sales Price (incl.)</t>
  </si>
  <si>
    <t>1.23.1.5 Automatically submit the supplier order to the supplier for fulfilment.</t>
  </si>
  <si>
    <t>1.23.1.5.1 The order must be submitted electronically to the relevant supplier system.</t>
  </si>
  <si>
    <t>1.23.1.6 The receipt acknowledgement of the supplier must include at least the following information:</t>
  </si>
  <si>
    <t>1.23.1.6.1 Supplier Order Number</t>
  </si>
  <si>
    <t>1.23.1.6.2 Supplier's Internal Order Number</t>
  </si>
  <si>
    <t>1.23.1.6.3 Any errors or issues related to a product listed in the order.</t>
  </si>
  <si>
    <t>1.23.1.6.4 The name and address of the distribution centre/depot where the supplier order is to be fulfilled.</t>
  </si>
  <si>
    <t>1.23.1.7 If any issues are included for products, the supplier order must be assigned for immediate intervention by fulfilment management to address.</t>
  </si>
  <si>
    <t>1.23.1.7.1 See the Refund customer order requirements for the corrective action applied if a product cannot be supplied.</t>
  </si>
  <si>
    <t>1.23.2 23.2 Process each received supplier status update on an allocated supplier order</t>
  </si>
  <si>
    <t>1.23.2.1 Once the order has been processed, the supplier must automatically acknowledge the order, to include the following:</t>
  </si>
  <si>
    <t>1.23.2.1.1 For each product listed, confirmation of the quantity to be fulfilled.</t>
  </si>
  <si>
    <t>1.23.2.2 Any status update for a supplier order from a supplier must include at least the following:</t>
  </si>
  <si>
    <t>1.23.2.2.1 Business reference number</t>
  </si>
  <si>
    <t>1.23.2.2.2 Supplier reference number</t>
  </si>
  <si>
    <t>1.23.2.2.3 Order status</t>
  </si>
  <si>
    <t>1.23.2.2.4 Order status message</t>
  </si>
  <si>
    <t>1.23.2.3 Also see the following sections:</t>
  </si>
  <si>
    <t>1.23.2.3.1 Product and Service Suppliers - the B2C Co suppliers provide up-to-date product and service details requirements</t>
  </si>
  <si>
    <t>1.23.2.3.2 B2C Co Parcel Packing and Dispatch</t>
  </si>
  <si>
    <t>1.23.3 23.3 Allocate each packed order to the courier</t>
  </si>
  <si>
    <t>1.23.3.1 On receiving confirmation from a supplier that an order is packed, the courier will be informed to collect it from the supplier.</t>
  </si>
  <si>
    <t>1.23.3.2 The waybill number received back from the courier is then submitted with the customer's delivery details to the supplier, in order for them to print and apply the waybill to the packed order.</t>
  </si>
  <si>
    <t>1.23.4 23.4 Process each courier status update on a supplier order</t>
  </si>
  <si>
    <t>1.23.4.1 Once the order has been processed for collection, the courier must automatically acknowledge the collection, to include the following:</t>
  </si>
  <si>
    <t>1.23.4.1.1 Supplier Order Number</t>
  </si>
  <si>
    <t>1.23.4.1.2 Waybill reference number</t>
  </si>
  <si>
    <t>1.23.4.2 Any status update for a supplier order from a courier must include at least the following:</t>
  </si>
  <si>
    <t>1.23.4.2.1 Supplier Order Number</t>
  </si>
  <si>
    <t>1.23.4.2.2 Waybill reference number</t>
  </si>
  <si>
    <t>1.23.4.2.3 Delivery status</t>
  </si>
  <si>
    <t>1.23.4.2.4 Delivery status message (as applicable)</t>
  </si>
  <si>
    <t>1.23.4.3 A status message must automatically be sent to the customer for at least the following status events:</t>
  </si>
  <si>
    <t>1.23.4.3.1 Order despatched</t>
  </si>
  <si>
    <t>1.23.4.3.2 Order delivered</t>
  </si>
  <si>
    <t>1.23.4.4 Also see the B2C Co suppliers provide up-to-date product and service details requirements in the Product and Service Suppliers section</t>
  </si>
  <si>
    <t>1.23.5 23.5 Follow-up on the incomplete fulfilment of a customer order</t>
  </si>
  <si>
    <t>1.23.5.1 The fulfilment department will manually follow up with:</t>
  </si>
  <si>
    <t>1.23.5.1.1 The supplier, on a fulfilment issue</t>
  </si>
  <si>
    <t>1.23.5.1.2 The courier, on a delivery that is outstanding</t>
  </si>
  <si>
    <t>1.23.5.1.3 The customer, on a delivery the courier could not complete</t>
  </si>
  <si>
    <t>1.23.6 23.6 Cancel a supplier order</t>
  </si>
  <si>
    <t>1.23.6.1 Order management must review each order cancellation request received from a customer, to determine the status of the related supplier orders.</t>
  </si>
  <si>
    <t>1.23.6.2 Order management may cancel a supplier order on request from a customer, as long as it has not been packed/dispatched.</t>
  </si>
  <si>
    <t>1.23.6.3 Order management may cancel a supplier order on request from a supplier that cannot fulfill that order (no stock, product recall, etc.).</t>
  </si>
  <si>
    <t>1.23.6.4 Any approved cancellation is applied to the relevant supplier order(s) by orders management.</t>
  </si>
  <si>
    <t>1.23.6.4.1 The updated (now cancelled) supplier order must automatically be submitted to the supplier.</t>
  </si>
  <si>
    <t>1.23.6.4.2 The supplier must acknowledge the cancellation.</t>
  </si>
  <si>
    <t>1.23.6.5 Orders management submits a message to the customer to inform them of the decision and any special conditions related to the cancellation of their order (e.g. part of the order already collected/despatched for delivery and cannot be cancelled).</t>
  </si>
  <si>
    <t>1.23.6.6 The customer must be refunded partially/in full for any cancelled (but already paid for) customer order,as detailed in the Refunc customer order requirement.</t>
  </si>
  <si>
    <t>1.23.7 23.7 Refund customer order</t>
  </si>
  <si>
    <t>1.23.7.1 Where a product was returned, the customer is refunded for that product.</t>
  </si>
  <si>
    <t>1.23.7.2 Where a purchased product cannot be supplied by a product supplier, the customer is refunded for that product.</t>
  </si>
  <si>
    <t>1.23.7.3 Where a delivery could not be made, the entire order is refunded, less a delivery fee.</t>
  </si>
  <si>
    <t>1.23.7.4 The status of the applicable products on the customer order is set to cancelled.</t>
  </si>
  <si>
    <t>1.23.7.5 Irrespective of whether the action was initiated as requested by the customer or not, a message is sent to the customer by the relevant department, to inform them of the action.</t>
  </si>
  <si>
    <t>1.24 24 Customer Returns Management</t>
  </si>
  <si>
    <t>1.24.1 24.1 Review customer return request</t>
  </si>
  <si>
    <t>1.24.1.1 Order management must review each return request received from a customer, to determine the status of the order and the related products.</t>
  </si>
  <si>
    <t>1.24.1.2 On approval, update the status of the return request.</t>
  </si>
  <si>
    <t>1.24.1.3 For a denial, update the status to denied and submit an explanatory message to the customer.</t>
  </si>
  <si>
    <t>1.24.1.3.1 If needed, contact the customer to clarify the request, or to ask them to log the return on the correct customer order.</t>
  </si>
  <si>
    <t>1.24.1.4 The approved return request is then allocated to the relevant suppliers and courier, as detailed in the following requirements:</t>
  </si>
  <si>
    <t>1.24.1.4.1 Submit a supplier return for an approved return request to the relevant supplier</t>
  </si>
  <si>
    <t>1.24.1.4.2 Submit each supplier return request to the courier for collection</t>
  </si>
  <si>
    <t>1.24.2 24.2 Submit a supplier return for an approved return request to the relevant supplier</t>
  </si>
  <si>
    <t>1.24.2.1 The approved return is submitted to the supplier, to include at least the following:</t>
  </si>
  <si>
    <t>1.24.2.1.1 Customer return reference number</t>
  </si>
  <si>
    <t>1.24.2.1.2 List of products to be returned (barcode, name, quantity)</t>
  </si>
  <si>
    <t>1.24.2.2 Once the return request has been registered, the supplier must automatically acknowledge the return, to include at least the following:</t>
  </si>
  <si>
    <t>1.24.2.2.1 For each product listed, confirmation of the quantity to be accepted.</t>
  </si>
  <si>
    <t>1.24.2.2.2 Supplier return reference number</t>
  </si>
  <si>
    <t>1.24.3 24.3 Process each supplier status update on return request</t>
  </si>
  <si>
    <t>1.24.3.1 Any received status update for a return request from a supplier must include at least the following:</t>
  </si>
  <si>
    <t>1.24.3.1.1 Customer return reference number</t>
  </si>
  <si>
    <t>1.24.3.1.2 Supplier return reference number</t>
  </si>
  <si>
    <t>1.24.3.1.3 Return status</t>
  </si>
  <si>
    <t>1.24.3.1.4 Return status message</t>
  </si>
  <si>
    <t>1.24.3.2 A status message must automatically be sent to the customer for at least the following status events:</t>
  </si>
  <si>
    <t>1.24.3.2.1 Return received</t>
  </si>
  <si>
    <t>1.24.3.3 Also see the B2C Co suppliers provide up-to-date product and service details requirements in the Product and Service Suppliers section</t>
  </si>
  <si>
    <t>1.24.4 24.4 Submit each supplier return request to the courier for collection</t>
  </si>
  <si>
    <t>1.24.4.1 On receiving confirmation from a supplier that the return request has been registered, the courier will be informed to collect it from the supplier.</t>
  </si>
  <si>
    <t>1.24.4.2 The courier must acknowledge the collection, with their courier collection reference number.</t>
  </si>
  <si>
    <t>1.24.5 24.5 Process each courier status update on a return request</t>
  </si>
  <si>
    <t>1.24.5.1 Any status update for a return request from a courier must include at least the following:</t>
  </si>
  <si>
    <t>1.24.5.1.1 Customer return reference number</t>
  </si>
  <si>
    <t>1.24.5.1.2 Courier return reference number</t>
  </si>
  <si>
    <t>1.24.5.1.3 Return status</t>
  </si>
  <si>
    <t>1.24.5.1.4 Return status message (as applicable)</t>
  </si>
  <si>
    <t>1.24.5.2 A status message must automatically be sent to the customer for at least the following status events:</t>
  </si>
  <si>
    <t>1.24.5.2.1 Collection pending</t>
  </si>
  <si>
    <t>1.24.5.2.2 Collection complete</t>
  </si>
  <si>
    <t>1.24.5.3 Also see the B2C Co suppliers provide up-to-date product and service details requirements in the Product and Service Suppliers section</t>
  </si>
  <si>
    <t>1.24.6 24.6 Follow-up on the incomplete fulfilment of a customer return request</t>
  </si>
  <si>
    <t>1.24.6.1 The fulfilment department will manually follow up with:</t>
  </si>
  <si>
    <t>1.24.6.1.1 The courier, on a return collection that is outstanding</t>
  </si>
  <si>
    <t>1.24.6.1.2 The customer, on a collected the courier could not complete</t>
  </si>
  <si>
    <t>1.24.6.1.3 The courier and supplier, on a product return processing issue</t>
  </si>
  <si>
    <t>1.25 25 Customer Contact Management</t>
  </si>
  <si>
    <t>1.25.1 25.1 Provide a central customer contact management capability</t>
  </si>
  <si>
    <t>1.25.1.1 Provide the ability for the business to centrally manage online contact with registered customers and anonymous visitors who submit enquiries to the business.</t>
  </si>
  <si>
    <t>1.25.1.2 The customer online contact management capability must be available to the following:</t>
  </si>
  <si>
    <t>1.25.1.2.1 Call centre</t>
  </si>
  <si>
    <t>1.25.1.2.2 Orders Management</t>
  </si>
  <si>
    <t>1.25.1.2.3 Fulfilment Management</t>
  </si>
  <si>
    <t>1.25.1.2.4 Payments Management</t>
  </si>
  <si>
    <t>1.25.2 25.2 Provide a central contact centre capability</t>
  </si>
  <si>
    <t>1.25.2.1 The purpose of the contact centre is primarily to support customers who contact the business.</t>
  </si>
  <si>
    <t>1.25.2.2 The business requires a contact centre via which to serve customers who contact the business via the following channels:</t>
  </si>
  <si>
    <t>1.25.2.2.1 National business toll-free phone number</t>
  </si>
  <si>
    <t>1.25.2.2.2 Central business email address (reply to outbound emails)</t>
  </si>
  <si>
    <t>1.25.2.2.3 Submissions via the online shop that are supported by the call centre</t>
  </si>
  <si>
    <t>1.25.2.2.4 Whatsapp (when implemented)</t>
  </si>
  <si>
    <t>1.25.2.3 A skills-based approach must be implemented in the contact centre, in order to maximise the use of agents (not dedicated per topic).</t>
  </si>
  <si>
    <t>1.25.2.4 The capability to present an agent with the relevant detail of a customer via the telephone channel is not required.</t>
  </si>
  <si>
    <t>1.25.2.5 The call centre telephony infrastructure must provide at least the following capabilities for each channel:</t>
  </si>
  <si>
    <t>1.25.2.5.1 Queues for different channels and topics</t>
  </si>
  <si>
    <t>1.25.2.5.2 Welcome message</t>
  </si>
  <si>
    <t>1.25.2.5.3 After-hours message</t>
  </si>
  <si>
    <t>1.25.2.5.4 Temporarily out-of-service message</t>
  </si>
  <si>
    <t>1.25.2.5.5 Call waiting message</t>
  </si>
  <si>
    <t>1.25.2.5.6 High-volume message</t>
  </si>
  <si>
    <t>1.25.2.5.7 Auto-assignment to the next available agent (balance call vs email and messaging)</t>
  </si>
  <si>
    <t>1.25.2.5.8 Customer contact metrics and statistics</t>
  </si>
  <si>
    <t>1.25.2.5.9 Agent contact metrics and statistics</t>
  </si>
  <si>
    <t>1.25.2.5.10 Agent skills management</t>
  </si>
  <si>
    <t>1.25.2.5.11 Supervisor and agent hand-over</t>
  </si>
  <si>
    <t>1.25.2.5.12 Contact Recording</t>
  </si>
  <si>
    <t>1.25.2.5.13 Dashboard with real-time statistics updates</t>
  </si>
  <si>
    <t>1.25.2.5.14 The caller must be presented the option to select a topic, prior to being assigned to a relevant queue</t>
  </si>
  <si>
    <t>1.26 26 End-to-end Statistics</t>
  </si>
  <si>
    <t>1.26.1 26.1 Record advertisement related activity</t>
  </si>
  <si>
    <t>1.26.1.1 Collect online (other than online shop) advertising responses, per version, presentation format and channel.</t>
  </si>
  <si>
    <t>1.26.1.2 Collect advertisements promoted in the online shop, per presentation format and version.</t>
  </si>
  <si>
    <t>1.26.1.3 Collect advertisements listed in the online shop product search results.</t>
  </si>
  <si>
    <t>1.26.1.4 At least the following events are logged per channel for statistical and customer profiling purposes:</t>
  </si>
  <si>
    <t>1.26.1.4.1 Method used to find the content (promoted, search, etc.).</t>
  </si>
  <si>
    <t>1.26.1.4.2 Advert click-through to online shop</t>
  </si>
  <si>
    <t>1.26.1.4.3 Display teaser (banner, teaser, online shop search results/internet search, etc.)</t>
  </si>
  <si>
    <t>1.26.1.4.4 Display full content</t>
  </si>
  <si>
    <t>1.26.1.4.5 Add/remove advertised product from the user favourites, or wish lists</t>
  </si>
  <si>
    <t>1.26.1.4.6 Add/remove advertised product from the shopping cart</t>
  </si>
  <si>
    <t>1.26.1.4.7 Purchase advertised product (online payment processed)</t>
  </si>
  <si>
    <t>1.26.1.5 Reconcile all collected data for each advertisement.</t>
  </si>
  <si>
    <t>1.26.1.6 Maintain advertisement statistics per campaign, advertisement and channel.</t>
  </si>
  <si>
    <t>1.26.1.7 Maintain advertisement statistics per product category, meta-tag and search term.</t>
  </si>
  <si>
    <t>1.26.2 26.2 Record product related activity</t>
  </si>
  <si>
    <t>1.26.2.1 Collect online product click-through responses, per channel.</t>
  </si>
  <si>
    <t>1.26.2.2 Collect products listed in the online shop product search results.</t>
  </si>
  <si>
    <t>1.26.2.3 Collect online shop product search responses.</t>
  </si>
  <si>
    <t>1.26.2.4 At least the following events are logged per channel for statistical and customer profiling purposes:</t>
  </si>
  <si>
    <t>1.26.2.4.1 Method used to find the content (promoted, search, etc.).</t>
  </si>
  <si>
    <t>1.26.2.4.2 Advert click-through to online shop</t>
  </si>
  <si>
    <t>1.26.2.4.3 Display teaser (banner, teaser, online shop search results/internet search, etc.)</t>
  </si>
  <si>
    <t>1.26.2.4.4 Display full content</t>
  </si>
  <si>
    <t>1.26.2.4.5 Add/remove advertised product from the user favourites, or wish lists</t>
  </si>
  <si>
    <t>1.26.2.4.6 Add/remove advertised product from the shopping cart</t>
  </si>
  <si>
    <t>1.26.2.4.7 Purchase advertised product (online payment processed)</t>
  </si>
  <si>
    <t>1.26.2.5 Reconcile all collected data for each product and promotion.</t>
  </si>
  <si>
    <t>1.26.2.6 Maintain product statistics per campaign, advertisement and channel.</t>
  </si>
  <si>
    <t>1.26.2.7 Maintain product statistics per product category, meta-tag and search term.</t>
  </si>
  <si>
    <t>1.26.3 26.3 Record special content related activity</t>
  </si>
  <si>
    <t>1.26.3.1 Collect online (other than online shop) special content presentations, per format and channel.</t>
  </si>
  <si>
    <t>1.26.3.2 Collect advertisements promoted in the online shop, per presentation format.</t>
  </si>
  <si>
    <t>1.26.3.3 Collect articles listed in the online shop product search results.</t>
  </si>
  <si>
    <t>1.26.3.4 At least the following events are logged per channel for statistical and customer profiling purposes:</t>
  </si>
  <si>
    <t>1.26.3.4.1 Method used to find the content (promoted, search, etc.).</t>
  </si>
  <si>
    <t>1.26.3.4.2 Advert click-through to online shop</t>
  </si>
  <si>
    <t>1.26.3.4.3 Display teaser (banner, teaser, online shop search results/internet search, etc.)</t>
  </si>
  <si>
    <t>1.26.3.4.4 Display full content</t>
  </si>
  <si>
    <t>1.26.3.4.5 Follow link in article to products search</t>
  </si>
  <si>
    <t>1.26.3.4.6 Add/remove article linked product from the user favourites, or wish lists</t>
  </si>
  <si>
    <t>1.26.3.4.7 Add/remove article linked product from the shopping cart</t>
  </si>
  <si>
    <t>1.26.3.4.8 Purchase article linked product (online payment processed)</t>
  </si>
  <si>
    <t>1.26.3.4.9 Add/remove article from the user library</t>
  </si>
  <si>
    <t>1.26.3.5 Reconcile all collected data for each article.</t>
  </si>
  <si>
    <t>1.26.3.6 Maintain article statistics per channel.</t>
  </si>
  <si>
    <t>1.26.3.7 Maintain product statistics per article category, meta-tag and search term.</t>
  </si>
  <si>
    <t>1.26.4 26.4 Identify online shop visitors</t>
  </si>
  <si>
    <t>1.26.4.1 Apply acceptable cookie and other methods to uniquely identify and track the activity and preferences of unique anonymous users over time, across sessions.</t>
  </si>
  <si>
    <t>1.26.4.2 Use logged in user details to track the activity and preferences of each user (customer and business) over time, across sessions.</t>
  </si>
  <si>
    <t>1.26.4.3 Where a user is a logged in customer, attribute the activity to that customer.</t>
  </si>
  <si>
    <t>1.26.5 26.5 Compile and track website activity per user</t>
  </si>
  <si>
    <t>1.26.5.1 Track clicks per link, button and page for both anonymous and logged-in users.</t>
  </si>
  <si>
    <t>1.26.5.2 Track time spent on pages</t>
  </si>
  <si>
    <t>1.26.5.3 Compile hourly/daily statistics per link, button, menu item, promoted item and page.</t>
  </si>
  <si>
    <t>1.26.5.4 Record and automatically alert online shop administrators of broken links and other online shop errors.</t>
  </si>
  <si>
    <t>1.26.6 26.6 Track meta-tag activity</t>
  </si>
  <si>
    <t>1.26.6.1 Using advertising, product and article statistics, identify the following:</t>
  </si>
  <si>
    <t>1.26.6.1.1 Frequency of meta-tag and synonym use over time</t>
  </si>
  <si>
    <t>1.26.6.1.2 Frequency of meta-tag and synonym use per campaign and special event</t>
  </si>
  <si>
    <t>1.26.6.1.3 Frequency of meta-tag hierarchy and dimension use over time</t>
  </si>
  <si>
    <t>1.26.6.1.4 Frequency of meta-tag hierarchy and dimension use per campaign and special event</t>
  </si>
  <si>
    <t>1.26.6.1.5 Match of meta-tags to search terms</t>
  </si>
  <si>
    <t>1.26.7 26.7 Compile and track search term activity</t>
  </si>
  <si>
    <t>1.26.7.1 Using advertising, product and article statistics, identify the following:</t>
  </si>
  <si>
    <t>1.26.7.1.1 Frequency of search-term and word use over time</t>
  </si>
  <si>
    <t>1.26.7.1.2 Frequency of search-term and word use per campaign and special event</t>
  </si>
  <si>
    <t>1.26.7.1.3 Search terms/words with no matching meta-tags</t>
  </si>
  <si>
    <t>1.26.7.1.4 Search terms that returned no results</t>
  </si>
  <si>
    <t>1.26.7.1.5 Search terms that did/not result in a product view</t>
  </si>
  <si>
    <t>1.26.7.1.6 Search terms that did/not result in a product purchase</t>
  </si>
  <si>
    <t>1.26.8 26.8 Track customer preferences</t>
  </si>
  <si>
    <t>1.26.8.1 Track meta-tags and search terms used by each customer, in order to identify and prioritise the meta-tags currently relevant to each customer.</t>
  </si>
  <si>
    <t>1.26.8.2 Track products visited, bookmarked, purchased and returned by each customer, in order to identify and prioritise the meta-tags and products currently relevant to each customer.</t>
  </si>
  <si>
    <t>1.26.8.3 Track articles visited and bookmarked by each customer, in order to identify and prioritise the meta-tags currently relevant (most used) to each customer.</t>
  </si>
  <si>
    <t>1.26.8.4 Also see the Online Shop Recommended Content section</t>
  </si>
  <si>
    <t>1.26.9 26.9 Record customer order events</t>
  </si>
  <si>
    <t>1.26.9.1 Record the significant customer order lifecycle events across time, to include:</t>
  </si>
  <si>
    <t>1.26.9.1.1 Basket size and value</t>
  </si>
  <si>
    <t>1.26.9.1.2 Product quantity, unit price and total price</t>
  </si>
  <si>
    <t>1.26.9.2 Record the significant customer order lifecycle events per advertisement, campaign and special event (include same metrics as above).</t>
  </si>
  <si>
    <t>1.26.9.3 Record the significant customer order lifecycle events per supplier (include same metrics as above).</t>
  </si>
  <si>
    <t>1.26.10 26.10 Record customer return request events</t>
  </si>
  <si>
    <t>1.26.10.1 Record the significant customer return request lifecycle events across time, to include:</t>
  </si>
  <si>
    <t>1.26.10.1.1 Order basket size and value</t>
  </si>
  <si>
    <t>1.26.10.1.2 Return basket size and value</t>
  </si>
  <si>
    <t>1.26.10.1.3 Purchased product quantity, unit price and total price</t>
  </si>
  <si>
    <t>1.26.10.1.4 Returned product quantity, unit price and total price</t>
  </si>
  <si>
    <t>1.26.10.2 Record the significant customer return request lifecycle events per advertisement, campaign and special event (include same metrics as above).</t>
  </si>
  <si>
    <t>1.26.10.3 Record the significant customer return request lifecycle events per supplier (include same metrics as above).</t>
  </si>
  <si>
    <t>1.26.11 26.11 Record supplier order fulfilment events</t>
  </si>
  <si>
    <t>1.26.11.1 Record the significant supplier order lifecycle events across time, to include:</t>
  </si>
  <si>
    <t>1.26.11.1.1 Basket size and value</t>
  </si>
  <si>
    <t>1.26.11.1.2 Ordered product quantity, unit price and total price</t>
  </si>
  <si>
    <t>1.26.11.1.3 Confirmed product quantity, unit price and total price</t>
  </si>
  <si>
    <t>1.26.11.1.4 Fulfilled product quantity, unit price and total price</t>
  </si>
  <si>
    <t>1.26.11.2 Record the significant supplier order lifecycle events per advertisement, campaign and special event (include same metrics as above).</t>
  </si>
  <si>
    <t>1.26.11.3 Record the significant customer order and return lifecycle events per supplier (include same metrics as above), as detailed in the following requirements:</t>
  </si>
  <si>
    <t>1.26.11.3.1 Record customer order events</t>
  </si>
  <si>
    <t>1.26.11.3.2 Record customer return request events</t>
  </si>
  <si>
    <t>1.27 27 Supplier Orders Fulfilment</t>
  </si>
  <si>
    <t>1.27.1 27.1 Integrate online shop with each supplier</t>
  </si>
  <si>
    <t>1.27.1.1 As Shoprite adheres to the GS1 standard for EDI, it is recommended that the GS1 EDI standard be adopted for interfacing documents with suppliers.</t>
  </si>
  <si>
    <t>1.27.1.2 For Transpharm, any suitable existing interfaces for submitting orders may be used.</t>
  </si>
  <si>
    <t>1.27.1.3 Integrate the online shop with the supplier ordering system, in order to:</t>
  </si>
  <si>
    <t>1.27.1.3.1 Place a supplier order</t>
  </si>
  <si>
    <t>1.27.1.3.2 Receive the confirmation for a new/updated supplier order (with their internal order reference)</t>
  </si>
  <si>
    <t>1.27.1.3.3 Update or cancel a supplier order</t>
  </si>
  <si>
    <t>1.27.1.3.4 Receive the confirmation for an updated/cancelled supplier order</t>
  </si>
  <si>
    <t>1.27.1.3.5 Receive a fulfilment status updates for a supplier order</t>
  </si>
  <si>
    <t>1.27.1.3.6 Submit the courier waybill details to the supplier for a picked supplier order</t>
  </si>
  <si>
    <t>1.27.1.4 Integrate the online shop with the supplier stock management solution, in order to:</t>
  </si>
  <si>
    <t>1.27.1.4.1 Receive status updates on the availability of product / packs</t>
  </si>
  <si>
    <t>1.27.1.5 Also see the relevant requirements in the following sections:</t>
  </si>
  <si>
    <t>1.27.1.5.1 Customer Orders Management</t>
  </si>
  <si>
    <t>1.27.1.5.2 B2C Co Parcel Packing and Dispatch</t>
  </si>
  <si>
    <t>1.27.2 27.2 A supplier manages the fulfilment of a supplier order across their distribution centres and depots</t>
  </si>
  <si>
    <t>1.27.2.1 The supplier centrally receives and manages all supplier orders to be fulfilled.</t>
  </si>
  <si>
    <t>1.27.2.2 A supplier internal order must automatically be created for each received new supplier order.</t>
  </si>
  <si>
    <t>1.27.2.2.1 Use the received product barcode to identify a product pack to allocate to the supplier's internal order</t>
  </si>
  <si>
    <t>1.27.2.2.2 Record the supplier order number as external reference on the internal order</t>
  </si>
  <si>
    <t>1.27.2.2.3 Automatically assess stock availability and confirm the stock availability, along with the internal order number</t>
  </si>
  <si>
    <t>1.27.2.3 The supplier centrally allocates each received supplier order to the appropriate warehouse to fulfil, to be based on:</t>
  </si>
  <si>
    <t>1.27.2.3.1 Stock availability in each warehouse</t>
  </si>
  <si>
    <t>1.27.2.3.2 Warehouse closest to the delivery address (reduced courier cost/time)</t>
  </si>
  <si>
    <t>1.27.2.4 As the location where an supplier order is being fulfilled is managed transparently by the supplier, they may transfer the order to a new fulfilment location.</t>
  </si>
  <si>
    <t>1.27.2.4.1 A status update for the supplier order must be sent to the business, to notify them of the new location where the order is being fulfilled.</t>
  </si>
  <si>
    <t>1.27.2.5 The existing supplier internal order must automatically be updated for each received supplier order update (update, cancel).</t>
  </si>
  <si>
    <t>1.27.2.5.1 Use the received product barcode to identify a product pack to allocate to the supplier's internal order</t>
  </si>
  <si>
    <t>1.27.2.5.2 Update the product quantities to match the updated supplier order</t>
  </si>
  <si>
    <t>1.27.2.5.3 Automatically assess stock availability and confirm the stock availability</t>
  </si>
  <si>
    <t>1.27.2.5.4 Changes to a supplier order that is already packed may be refused.</t>
  </si>
  <si>
    <t>1.27.2.6 The supplier centrally manages and notifies their allocated warehouse with any changes to an allocated supplier order update, cancel).</t>
  </si>
  <si>
    <t>1.27.2.7 The fulfilment status of each supplier order must be centrally managed, in order to automatically report the progress of the supplier order back to the business.</t>
  </si>
  <si>
    <t>1.27.2.8 Also see the relevant requirements in the Customer Orders Management section.</t>
  </si>
  <si>
    <t>1.27.3 27.3 Fulfil supplier orders on behalf of the business</t>
  </si>
  <si>
    <t>1.27.3.1 The supplier fulfilment department must implement procedures and related checks to ensure supplier documentation is not packed with the supplied products.</t>
  </si>
  <si>
    <t>1.27.3.2 The supplier fulfilment department must use the business supplied functionality to retrieve and print the customer statement and waybill label for the packed order, as detailed in the View and print the customer documentation for a supplier from the online shop requirement.</t>
  </si>
  <si>
    <t>1.27.3.3 Pack the supplier statement in the package with the products (not the supplier's invoice).</t>
  </si>
  <si>
    <t>1.27.3.4 Apply the printed waybill label to the sealed order package (not the supplier's own waybill label).</t>
  </si>
  <si>
    <t>1.27.3.5 Also see the relevant requirements in the Customer Orders Management section.</t>
  </si>
  <si>
    <t>1.27.4 27.4 View and print the customer documentation for a supplier from the online shop</t>
  </si>
  <si>
    <t>1.27.4.1 Provide the following via the online shop, to be used by the fulfilment department of the supplier, to generate the documentation to be included in the fulfilled order:</t>
  </si>
  <si>
    <t>1.27.4.2 Present a page, prompting the user to scan their order barcode.</t>
  </si>
  <si>
    <t>1.27.4.3 On submitting the supplier barcode/reference, retrieve and display the matching supplier order, indicating only lines confirmed as packed.</t>
  </si>
  <si>
    <t>1.27.4.4 Provide the ability to present and then print a customer statement matching the products confirmed as packed for the supplier order, to contain at least the following:</t>
  </si>
  <si>
    <t>1.27.4.4.1 The words: "Customer Statement" and "Packed on behalf of"</t>
  </si>
  <si>
    <t>1.27.4.4.2 Business branding, name, address and contact details</t>
  </si>
  <si>
    <t>1.27.4.4.3 Customer full name and delivery address</t>
  </si>
  <si>
    <t>1.27.4.4.4 Customer Order Reference</t>
  </si>
  <si>
    <t>1.27.4.4.5 Supplier Order Reference (number and barcode)</t>
  </si>
  <si>
    <t>1.27.4.4.6 Supplier's internal order number (number and barcode)</t>
  </si>
  <si>
    <t>1.27.4.4.7 Date-time statement is printed</t>
  </si>
  <si>
    <t>1.27.4.4.8 List of packed products confirmed as packed for the given supplier order</t>
  </si>
  <si>
    <t>1.27.4.4.9 Total VAT for supplied products</t>
  </si>
  <si>
    <t>1.27.4.4.10 Total Sales Value for supplied products</t>
  </si>
  <si>
    <t>1.27.4.5 Print the following details for each applicable product or pack in the list of packed products on the customer statement (include only products confirmed packed for that supplier order):</t>
  </si>
  <si>
    <t>1.27.4.5.1 Supplier's Product Number</t>
  </si>
  <si>
    <t>1.27.4.5.2 Product description from the supplier order</t>
  </si>
  <si>
    <t>1.27.4.5.3 Quantity picked</t>
  </si>
  <si>
    <t>1.27.4.6 Provide the ability to present and print a waybill label for the supplier order, to contain at least the following details:</t>
  </si>
  <si>
    <t>1.27.4.6.1 Provided waybill number (number and barcode)</t>
  </si>
  <si>
    <t>1.27.4.6.2 Delivery contact details and address</t>
  </si>
  <si>
    <t>1.27.4.6.3 Business name</t>
  </si>
  <si>
    <t>1.27.4.6.4 Origin address of the package</t>
  </si>
  <si>
    <t>1.27.4.7 Also see the following:</t>
  </si>
  <si>
    <t>1.27.4.7.1 Back-office User Registration section</t>
  </si>
  <si>
    <t>1.27.4.7.2 Online Shop - Present an online shop for logged-in back-office users requirement</t>
  </si>
  <si>
    <t>1.27.4.7.3 Online Shop - Back-office User Profile requirement</t>
  </si>
  <si>
    <t>1.28 28 Establish B2C Co as Business</t>
  </si>
  <si>
    <t>1.28.1 28.1 Register the B2C as legal entity</t>
  </si>
  <si>
    <t>1.28.1.1 Define and agree the name under which B2C Co will trade, with input from Shoprite (Directors, Marketing and Legal).</t>
  </si>
  <si>
    <t>1.28.1.2 Identify, agree and appoint the directors of B2C Co under direction from Shoprite (Directors and Legal).</t>
  </si>
  <si>
    <t>1.28.1.3 Register B2C Co as a business entity in South Africa with the Companies and Intellectual Property Commission (CIPC).</t>
  </si>
  <si>
    <t>1.28.1.4 Register the B2C Co as business with SARS for Tax and VAT purposes.</t>
  </si>
  <si>
    <t>1.28.2 28.2 Register the B2C legal entity with a trading bank account</t>
  </si>
  <si>
    <t>1.28.2.1 Register an online trading retail business account for B2C Co.</t>
  </si>
  <si>
    <t>1.28.3 28.3 Configure B2C Co as company in the Shoprite financial systems</t>
  </si>
  <si>
    <t>1.28.3.1 Configure B2C co as new business in the Shoprite Finance (SAP Finance) system, with the company and tax registration details.</t>
  </si>
  <si>
    <t>1.28.3.2 Configure the B2C trading chart of account in the Shoprite financial systems.</t>
  </si>
  <si>
    <t>1.28.3.3 Assign access to manage the B2C Co chart of accounts to the Shoprite Pharmacy divisional financial manager and their financial administrators - initially from the Transpharm finance office.</t>
  </si>
  <si>
    <t>1.28.3.4 Configure the B2C Co banking in the Shoprite financial system.</t>
  </si>
  <si>
    <t>1.28.3.5 Configure the B2C Co for tax in the Shoprite financial system.</t>
  </si>
  <si>
    <t>1.28.4 28.4 Configure B2C Co as company for trading in the Shoprite retail system</t>
  </si>
  <si>
    <t>1.28.4.1 Configure B2C Co in the Shoprite retail system for trading against the configured chart of accounts in the Shoprite financial system.</t>
  </si>
  <si>
    <t>1.28.4.2 Configure the B2C Co online site for trading in the Shoprite retail and any related systems.</t>
  </si>
  <si>
    <t>1.28.4.3 The B2C Co will not keep trading stock, as all orders will be fulfilled directly by its suppliers.</t>
  </si>
  <si>
    <t>1.28.4.4 Provide the designated buyer access to the B2C Co range and pricing in the Shoprite retail system.</t>
  </si>
  <si>
    <t>1.28.4.5 Also see the following sections:</t>
  </si>
  <si>
    <t>1.28.4.5.1 Product Classification Structures</t>
  </si>
  <si>
    <t>1.28.4.5.2 Product and Service Suppliers</t>
  </si>
  <si>
    <t>1.28.4.5.3 Product and Service Catalogue</t>
  </si>
  <si>
    <t>1.28.4.5.4 Product Pricing</t>
  </si>
  <si>
    <t>1.28.5 28.5 Configure B2C Co as company for trading in the Shoprite customer-facing systems</t>
  </si>
  <si>
    <t>1.28.5.1 Configure B2C Co in the Shoprite customer-facing systems for trading against the configured chart of accounts in the Shoprite financial system and Shoprite retail system.</t>
  </si>
  <si>
    <t>1.28.5.2 Configure the B2C Co online site for trading against the Shoprite retail system and Shoprite financial system.</t>
  </si>
  <si>
    <t>1.28.5.3 Provide the designated B2C staff training and access to the B2C Co configurations in the customer-facing systems as required to perform their duties in those systems.</t>
  </si>
  <si>
    <t>1.28.5.4 Also see the following sections:</t>
  </si>
  <si>
    <t>1.28.5.4.1 Product Classification Structures</t>
  </si>
  <si>
    <t>1.28.5.4.2 Product and Service Catalogue</t>
  </si>
  <si>
    <t>1.28.5.4.3 Product Pricing</t>
  </si>
  <si>
    <t>1.28.5.4.4 B2C Co Marketing</t>
  </si>
  <si>
    <t>1.28.5.4.5 Advertising</t>
  </si>
  <si>
    <t>1.28.5.4.6 Special Content (Articles)</t>
  </si>
  <si>
    <t>1.28.5.4.7 Content Enrichment</t>
  </si>
  <si>
    <t>1.28.6 28.6 Interface B2C sales payment transaction audit information from the B2C shop to the Shoprite financial system</t>
  </si>
  <si>
    <t>1.28.6.1 Sales transactions from the online store must automatically be interfaced to the Shoprite financial system.</t>
  </si>
  <si>
    <t>1.28.7 28.7 Configure B2C Co in the Shoprite HR systems</t>
  </si>
  <si>
    <t>1.28.7.1 Approve and configure the basic B2C Co organisation structure in the Shoprite HR system, associated to the B2C Co chart of accounts in the Shoprite financial system for payroll and related purposes.</t>
  </si>
  <si>
    <t>1.28.7.2 Configure the B2C Co online site as location for staff in the Shoprite HR system.</t>
  </si>
  <si>
    <t>1.29 29 Establish IT Support for B2C Co</t>
  </si>
  <si>
    <t>1.29.1 29.1 Configure B2C Co in the Shoprite IT systems</t>
  </si>
  <si>
    <t>1.29.1.1 Configure B2C Co business and trading site in the Shoprite site management systems.</t>
  </si>
  <si>
    <t>1.29.1.2 Configure the B2C Co business and trading site in the Shoprite IT operational systems.</t>
  </si>
  <si>
    <t>1.29.1.3 Register a domain for the B2C Co online store.</t>
  </si>
  <si>
    <t>1.29.1.4 Register the B2C Co domain for email use with the Shoprite systems and allocate email addresses to the key staff.</t>
  </si>
  <si>
    <t>1.30 30 Customer Retention Enhancements (next phase)</t>
  </si>
  <si>
    <t>1.30.1 30.1 Maintain a Discount Vouchers System</t>
  </si>
  <si>
    <t>1.30.1.1 Maintain a record of all discount vouchers.</t>
  </si>
  <si>
    <t>1.30.1.2 Track the use of each voucher by a signed-ibn customer.</t>
  </si>
  <si>
    <t>1.30.1.3 A voucher may only be used once by a customer.</t>
  </si>
  <si>
    <t>1.30.2 30.2 Maintain sales promotion discount vouchers</t>
  </si>
  <si>
    <t>1.30.2.1 A sales promotion discount voucher may be used for the following purposes:</t>
  </si>
  <si>
    <t>1.30.2.1.1 Thank you to new customer, to get them to return.</t>
  </si>
  <si>
    <t>1.30.2.1.2 A customer who made a big purchase.</t>
  </si>
  <si>
    <t>1.30.2.1.3 A customer who has not made any purchases for a while.</t>
  </si>
  <si>
    <t>1.30.2.2 Any customer may use this type of voucher.</t>
  </si>
  <si>
    <t>1.30.2.3 A customer is identified to be notified of this type of voucher, based on the following criteria:</t>
  </si>
  <si>
    <t>1.30.2.3.1 Frequency of purchase in the recent number (selectable) of months.</t>
  </si>
  <si>
    <t>1.30.2.3.2 Total value (in a range) of purchases in the recent number of months.</t>
  </si>
  <si>
    <t>1.30.2.3.3 Age of last (selectable) purchase.</t>
  </si>
  <si>
    <t>1.30.2.4 The voucher value may be manually assigned as follows:</t>
  </si>
  <si>
    <t>1.30.2.4.1 % of the total basket value of next purchase</t>
  </si>
  <si>
    <t>1.30.2.5 The voucher has a start and expiry date.</t>
  </si>
  <si>
    <t>1.30.2.6 These vouchers are communicated directly to only the identified customer via email/SMS.</t>
  </si>
  <si>
    <t>1.30.2.7 These vouchers are advertised in social media.</t>
  </si>
  <si>
    <t>1.30.3 30.3 Maintain customer-specific discount vouchers</t>
  </si>
  <si>
    <t>1.30.3.1 A customer discount voucher may be used for the following purposes:</t>
  </si>
  <si>
    <t>1.30.3.1.1 Thank you to new customer, to get them to return.</t>
  </si>
  <si>
    <t>1.30.3.1.2 A customer who made a big purchase.</t>
  </si>
  <si>
    <t>1.30.3.1.3 A customer who has not made any purchases for a while.</t>
  </si>
  <si>
    <t>1.30.3.2 A customer is identified to receive a voucher, based on the following criteria:</t>
  </si>
  <si>
    <t>1.30.3.2.1 Frequency of purchase in the recent number (selectable) of months.</t>
  </si>
  <si>
    <t>1.30.3.2.2 Total value (in a range) of purchases in the recent number of months.</t>
  </si>
  <si>
    <t>1.30.3.2.3 Age of last (selectable) purchase.</t>
  </si>
  <si>
    <t>1.30.3.3 A customer discount voucher value may be assigned as follows:</t>
  </si>
  <si>
    <t>1.30.3.3.1 % of the total basket value of next purchase</t>
  </si>
  <si>
    <t>1.30.3.4 A personal voucher is active immediately and has an expiry date.</t>
  </si>
  <si>
    <t>1.30.3.5 A personal discount voucher is communicated to the customer via email/SMS.</t>
  </si>
  <si>
    <t>1.30.4 30.4 Maintain product-specific discount vouchers</t>
  </si>
  <si>
    <t>1.30.4.1 A product discount voucher may be used for the following purposes:</t>
  </si>
  <si>
    <t>1.30.4.1.1 Promote a specific product (supplier promotion)</t>
  </si>
  <si>
    <t>1.30.4.2 A customer is identified to be notified of this type of voucher, based on the following criteria:</t>
  </si>
  <si>
    <t>1.30.4.2.1 Frequency of purchase in the recent number (selectable) of months.</t>
  </si>
  <si>
    <t>1.30.4.2.2 Total value (in a range) of purchases in the recent number of months.</t>
  </si>
  <si>
    <t>1.30.4.2.3 Age of last (selectable) purchase.</t>
  </si>
  <si>
    <t>1.30.4.3 The voucher value may be assigned as follows:</t>
  </si>
  <si>
    <t>1.30.4.3.1 % of the value of the next purchase of a specific product</t>
  </si>
  <si>
    <t>1.30.4.4 The voucher may limit the quantity of a given product qualifying for the discount (future).</t>
  </si>
  <si>
    <t>1.30.4.5 The voucher has a start and expiry date.</t>
  </si>
  <si>
    <t>1.30.4.6 These vouchers are communicated directly to only the identified customer via email/SMS.</t>
  </si>
  <si>
    <t>1.30.4.7 These vouchers are advertised in social media.</t>
  </si>
  <si>
    <t>1.30.5 30.5 Use Discount Vouchers at checkout</t>
  </si>
  <si>
    <t>1.30.5.1 A signed-in customer may apply a single discount voucher at checkout.</t>
  </si>
  <si>
    <t>1.30.5.2 A discount is automatically added as line item on the cart, with the total recalculated.</t>
  </si>
  <si>
    <t>1.31 31 B2C Co Parcel Packing and Dispatch</t>
  </si>
  <si>
    <t>1.31.1 31.1 Transpharm prepares orders for B2C Co</t>
  </si>
  <si>
    <t>1.31.1.1 Transpharm will fulfil all B2C orders at their Pretoria warehouse.</t>
  </si>
  <si>
    <t>1.31.1.2 Transpharm will pick and pack all B2C Co orders in open boxes, consolidated per B2C order.</t>
  </si>
  <si>
    <t>1.31.1.3 Transpharm will pack the packed open parcels in totes, for easy processing by the B2C Co parcel packing service.</t>
  </si>
  <si>
    <t>1.31.2 31.2 B2C Co packs customer parcels for prepared Transpharm orders</t>
  </si>
  <si>
    <t>1.31.2.1 The B2C Co parcel packing service will operate from a different physical premise to Transpharm, but located close by/next to the Transpharm dispatch,</t>
  </si>
  <si>
    <t>1.31.2.2 The B2C Co parcel packing service will check the content of each order box.</t>
  </si>
  <si>
    <t>1.31.2.2.1 Check physical products against printed Customer Order.</t>
  </si>
  <si>
    <t>1.31.2.2.2 Register the order as received, by scanning a Transpharm waybill label barcode.</t>
  </si>
  <si>
    <t>1.31.2.2.3 Pack the parcel protective material (paper, or bubble-wrap).</t>
  </si>
  <si>
    <t>1.31.2.2.4 Remove Transpharm documentation from the box.</t>
  </si>
  <si>
    <t>1.31.2.2.5 Insert Printer Customer Invoice/statement in the box.</t>
  </si>
  <si>
    <t>1.31.2.2.6 Print and apply shipping label.</t>
  </si>
  <si>
    <t>1.31.2.2.7 Seal parcel</t>
  </si>
  <si>
    <t>1.31.2.3 The B2C Co parcel packing service will prepare the courier shipment.</t>
  </si>
  <si>
    <t>1.31.2.3.1 Record parcel as ready for dispatch, by scanning the waybill label barcode.</t>
  </si>
  <si>
    <t>1.31.2.3.2 Automatically register each ready-for-dispatch parcel as part of a shipment, interfaced to the national courier for collection.</t>
  </si>
  <si>
    <t>1.31.2.3.3 Print a shipment manifest, for use at time of dispatch.</t>
  </si>
  <si>
    <t>1.31.2.4 The processed Transpharm totes will be stored at the B2C Co parcel packing facility.</t>
  </si>
  <si>
    <t>1.31.2.5 Transpharm will collect the stored empty totes.</t>
  </si>
  <si>
    <t>1.31.3 31.3 B2C Co dispatches own packed customer parcels</t>
  </si>
  <si>
    <t>1.31.3.1 The B2C Co parcel packing service will register the shipment as dispatched (to the courier.</t>
  </si>
  <si>
    <t>1.31.3.1.1 Stage the parcels for dispatch in a dispatch cage/holding area.</t>
  </si>
  <si>
    <t>1.31.3.1.2 Confirm all parcels present for dispatch against the shipping manifest.</t>
  </si>
  <si>
    <t>1.31.3.1.3 Register the shipment as dispatched, by scanning the shipping document barcode.</t>
  </si>
  <si>
    <t>2 Information Requirements</t>
  </si>
  <si>
    <t>2.1 1 Operational Reports</t>
  </si>
  <si>
    <t>2.1.1 1.1 Provide an operational dashboard</t>
  </si>
  <si>
    <t>2.1.1.1 Provide an operational dashboard for use by the following roles:</t>
  </si>
  <si>
    <t>2.1.1.1.1 Promotions Manager</t>
  </si>
  <si>
    <t>2.1.1.1.2 Orders Manager</t>
  </si>
  <si>
    <t>2.1.1.1.3 Contact Centre</t>
  </si>
  <si>
    <t>2.1.1.1.4 Customer Payments</t>
  </si>
  <si>
    <t>2.1.1.2 Each area's dashboard must:</t>
  </si>
  <si>
    <t>2.1.1.2.1 Highlight the exceptions relevant to that business area</t>
  </si>
  <si>
    <t>2.1.1.2.2 Provide hourly/daily performance statistics</t>
  </si>
  <si>
    <t>2.1.2 1.2 Provide operational performance and exception reports</t>
  </si>
  <si>
    <t>2.1.2.1 Provide operational performance and exception reporting for use by the following roles:</t>
  </si>
  <si>
    <t>2.1.2.1.1 Promotions Manager</t>
  </si>
  <si>
    <t>2.1.2.1.2 Product Manager</t>
  </si>
  <si>
    <t>2.1.2.1.3 Orders Manager</t>
  </si>
  <si>
    <t>2.1.2.1.4 Fulfilment Manager</t>
  </si>
  <si>
    <t>2.1.2.1.5 Contact Centre agents and supervisor</t>
  </si>
  <si>
    <t>2.1.2.1.6 Customer Payments Manager</t>
  </si>
  <si>
    <t>2.1.2.1.7 Finance</t>
  </si>
  <si>
    <t>2.1.3 1.3 Report to suppliers on their product performance</t>
  </si>
  <si>
    <t>2.1.3.1 Report to suppliers on their product performance, to cover the following:</t>
  </si>
  <si>
    <t>2.1.3.1.1 Supplier product availability</t>
  </si>
  <si>
    <t>2.1.3.1.2 Supplier product sales over time by category</t>
  </si>
  <si>
    <t>2.1.3.1.3 Supplier product sales per meta-tag dimension</t>
  </si>
  <si>
    <t>2.1.3.1.4 Supplier product sales per supplier advertisement and campaign</t>
  </si>
  <si>
    <t>2.1.3.2 Report to suppliers on key product metrics related to their contracted service levels, as detailed in the Product and Service Suppliers section</t>
  </si>
  <si>
    <t>2.1.4 1.4 Report to suppliers on their fulfilment performance</t>
  </si>
  <si>
    <t>2.1.4.1 Report to suppliers on their fulfilment performance, to cover the following:</t>
  </si>
  <si>
    <t>2.1.4.1.1 Supplier orders over time by product category</t>
  </si>
  <si>
    <t>2.1.4.1.2 Supplier orders over time per supplier advertisement and campaign</t>
  </si>
  <si>
    <t>2.1.4.1.3 Supplier order availability, order confirmation and fulfilment over time (including durations per satus)</t>
  </si>
  <si>
    <t>2.1.4.2 Report to suppliers on key fulfilment metrics related to their contracted service levels, as detailed in the Product and Service Suppliers section</t>
  </si>
  <si>
    <t>2.1.5 1.5 Report on advertisement activity</t>
  </si>
  <si>
    <t>2.1.5.1 Report on advertisement activity across at least the following dimensions:</t>
  </si>
  <si>
    <t>2.1.5.1.1 Channel</t>
  </si>
  <si>
    <t>2.1.5.1.2 Advertisement format</t>
  </si>
  <si>
    <t>2.1.5.1.3 Campaign or special event</t>
  </si>
  <si>
    <t>2.1.5.1.4 Supplier</t>
  </si>
  <si>
    <t>2.1.5.1.5 Product category</t>
  </si>
  <si>
    <t>2.1.5.1.6 Product meta-tag dimension</t>
  </si>
  <si>
    <t>2.1.5.1.7 Life stage of customer's children</t>
  </si>
  <si>
    <t>2.1.5.1.8 Confirmed sales value and margin (ranges)</t>
  </si>
  <si>
    <t>2.1.5.1.9 Time (hour, day, week, month, year, season)</t>
  </si>
  <si>
    <t>2.1.5.1.10 Customer geographic area/location</t>
  </si>
  <si>
    <t>2.1.5.2 Include at least the following metrics for each advertisement:</t>
  </si>
  <si>
    <t>2.1.5.2.1 Views</t>
  </si>
  <si>
    <t>2.1.5.2.2 Clicks</t>
  </si>
  <si>
    <t>2.1.5.2.3 Product ordered (quantity, sales price)</t>
  </si>
  <si>
    <t>2.1.5.2.4 Product added to favourites or wish-list (quantity, sales price)</t>
  </si>
  <si>
    <t>2.1.5.2.5 Product purchased (quantity, sales price)</t>
  </si>
  <si>
    <t>2.1.6 1.6 Report on article activity</t>
  </si>
  <si>
    <t>2.1.6.1 Report on article activity across at least the following dimensions:</t>
  </si>
  <si>
    <t>2.1.6.1.1 Channel</t>
  </si>
  <si>
    <t>2.1.6.1.2 Article format</t>
  </si>
  <si>
    <t>2.1.6.1.3 Current campaign or special event</t>
  </si>
  <si>
    <t>2.1.6.1.4 Article meta-tags and dimensions</t>
  </si>
  <si>
    <t>2.1.6.1.5 Life stage of customer's children</t>
  </si>
  <si>
    <t>2.1.6.1.6 Confirmed sales value and margin (ranges)</t>
  </si>
  <si>
    <t>2.1.6.1.7 Time (hour, day, week, month, year, season)</t>
  </si>
  <si>
    <t>2.1.6.1.8 Customer geographic area/location</t>
  </si>
  <si>
    <t>2.1.6.2 Include at least the following metrics for each article:</t>
  </si>
  <si>
    <t>2.1.6.2.1 Views</t>
  </si>
  <si>
    <t>2.1.6.2.2 Clicks</t>
  </si>
  <si>
    <t>2.1.6.2.3 Article added to library</t>
  </si>
  <si>
    <t>2.1.6.2.4 Article linked product ordered (quantity, sales price)</t>
  </si>
  <si>
    <t>2.1.6.2.5 Article linked product added to favourites or wish-list (quantity, sales price)</t>
  </si>
  <si>
    <t>2.1.6.2.6 Article linked product purchased (quantity, sales price)</t>
  </si>
  <si>
    <t>2.2 2 Analytical Reports</t>
  </si>
  <si>
    <t>2.2.1 2.1 Provide business performance reports</t>
  </si>
  <si>
    <t>2.2.1.1 Provide performance (summary) reporting for use by the following areas in the business:</t>
  </si>
  <si>
    <t>2.2.1.1.1 Senior Management (overall)</t>
  </si>
  <si>
    <t>2.2.1.1.2 Marketing</t>
  </si>
  <si>
    <t>2.2.1.1.3 Promotion Management</t>
  </si>
  <si>
    <t>2.2.1.1.4 Product Management</t>
  </si>
  <si>
    <t>2.2.1.1.5 Orders Management</t>
  </si>
  <si>
    <t>2.2.1.1.6 Operations Management (end-to-end)</t>
  </si>
  <si>
    <t>2.2.1.1.7 Contact Centre</t>
  </si>
  <si>
    <t>2.2.1.1.8 Finance - Banking and Payments</t>
  </si>
  <si>
    <t>2.2.1.1.9 Finance - Suppliers</t>
  </si>
  <si>
    <t>2.2.2 2.2 Report on marketing campaign income and expenses</t>
  </si>
  <si>
    <t>2.2.2.1 Utilise online shop and financial data to report on the effectiveness of campaigns and advertisements at least across the following dimensions:</t>
  </si>
  <si>
    <t>2.2.2.1.1 Channel</t>
  </si>
  <si>
    <t>2.2.2.1.2 Supplier</t>
  </si>
  <si>
    <t>2.2.2.1.3 Campaign or Special event</t>
  </si>
  <si>
    <t>2.2.3 2.3 Report on the use of presented content</t>
  </si>
  <si>
    <t>2.2.3.1 Report on the best and worst performing (sales) products and product categories across the following:</t>
  </si>
  <si>
    <t>2.2.3.1.1 Advertisements</t>
  </si>
  <si>
    <t>2.2.3.1.2 Products</t>
  </si>
  <si>
    <t>2.2.3.1.3 Promotions</t>
  </si>
  <si>
    <t>2.2.3.1.4 Articles</t>
  </si>
  <si>
    <t>2.2.3.1.5 Campaign or special event</t>
  </si>
  <si>
    <t>2.2.3.1.6 Supplier</t>
  </si>
  <si>
    <t>2.2.3.2 Report on the best and worst performing (sales) meta-tags and search terms across the following:</t>
  </si>
  <si>
    <t>2.2.3.2.1 Advertisements</t>
  </si>
  <si>
    <t>2.2.3.2.2 Products</t>
  </si>
  <si>
    <t>2.2.3.2.3 Promotions</t>
  </si>
  <si>
    <t>2.2.3.2.4 Articles</t>
  </si>
  <si>
    <t>2.2.3.2.5 Supplier</t>
  </si>
  <si>
    <t>2.2.3.2.6 Campaign or special event</t>
  </si>
  <si>
    <t>2.2.3.3 Report on the best and worst performing (sales) promoted products across the following:</t>
  </si>
  <si>
    <t>2.2.3.3.1 Category and meta-tag priority</t>
  </si>
  <si>
    <t>2.2.3.3.2 Product priority</t>
  </si>
  <si>
    <t>2.2.3.3.3 Also-bought</t>
  </si>
  <si>
    <t>2.2.3.3.4 Similar products</t>
  </si>
  <si>
    <t>2.2.3.3.5 Supplier</t>
  </si>
  <si>
    <t>2.2.3.3.6 Campaign or special event</t>
  </si>
  <si>
    <t>3 Non-Functional Requirements</t>
  </si>
  <si>
    <t>3.1 1 Regulatory and Compliance</t>
  </si>
  <si>
    <t>3.1.1 1.1 Pharmaceutical regulations</t>
  </si>
  <si>
    <t>3.1.1.1 The business may not sell pharmaceutical products to the public, as it is not a registered pharmacy.</t>
  </si>
  <si>
    <t>3.1.2 1.2 Information Privacy regulations</t>
  </si>
  <si>
    <t>3.1.2.1 Customer information must be protected, as required by the POPIa regulations, to protect customer data in transit and at rest.</t>
  </si>
  <si>
    <t>3.1.2.2 Customer information may only be shared in the Shoprite group as required by the POPIa act, to be allowed based on explicit customer consent.</t>
  </si>
  <si>
    <t>3.1.2.3 Customer information may only be shared with Shoprite service providers and partners as required by the POPIa act, to be allowed based on explicit customer consent.</t>
  </si>
  <si>
    <t>3.2 2 Operational</t>
  </si>
  <si>
    <t>3.2.1 2.1 Geographic Use</t>
  </si>
  <si>
    <t>3.2.1.1 The online store will (initially) be available to only customers in South Africa.</t>
  </si>
  <si>
    <t>3.3 3 Performance</t>
  </si>
  <si>
    <t>3.3.1 3.1 Response time</t>
  </si>
  <si>
    <t>3.3.1.1 Under normal usage conditions, pages must load within 7 seconds.</t>
  </si>
  <si>
    <t>3.3.1.2 Under heavy load conditions, pages must load within 15 seconds.</t>
  </si>
  <si>
    <t>3.3.1.3 Under normal usage conditions, when redirecting between the online shop and the payment gateway, pages must load within 5 seconds.</t>
  </si>
  <si>
    <t>3.3.1.4 Under heavy load conditions, when redirecting between the online shop and the payment gateway, pages must load within 10 seconds (might be timeout sensitive).</t>
  </si>
  <si>
    <t>3.3.2 3.2 Throughput</t>
  </si>
  <si>
    <t>3.3.2.1 Throughput (e.g. transactions per second)</t>
  </si>
  <si>
    <t>3.3.2.2 The payment gateway must cater for at least 10 transactions per second.</t>
  </si>
  <si>
    <t>3.3.3 3.3 Capacity</t>
  </si>
  <si>
    <t>3.3.3.1 Under normal usage conditions, the online shop must cater for at least the following number of concurrent users:</t>
  </si>
  <si>
    <t>3.3.3.1.1 50 anonymous</t>
  </si>
  <si>
    <t>3.3.3.1.2 10 customers</t>
  </si>
  <si>
    <t>3.3.3.1.3 10 back-office users</t>
  </si>
  <si>
    <t>3.3.3.2 Under normal usage conditions, online shop must cater for at least the following number of transactions (per second):</t>
  </si>
  <si>
    <t>3.3.3.2.1 10 searches</t>
  </si>
  <si>
    <t>3.3.3.2.2 20 shopping cart additions/removals</t>
  </si>
  <si>
    <t>3.3.3.2.3 10 payment transactions</t>
  </si>
  <si>
    <t>3.3.3.3 Under load conditions, it must be possible to scale the capacity dynamically by adding processing and storage resources (e.g. Black Friday).</t>
  </si>
  <si>
    <t>3.3.4 3.4 Degradation</t>
  </si>
  <si>
    <t>3.3.4.1 Under load, the online shop must reduce the number of products returned in a search.</t>
  </si>
  <si>
    <t>3.3.4.2 The online shop must queue paid for customer orders for processing.</t>
  </si>
  <si>
    <t>3.3.5 3.5 Backup</t>
  </si>
  <si>
    <t>3.3.5.1 Transactions must be backed up within 5 minutes.</t>
  </si>
  <si>
    <t>3.3.5.2 New and changed customer profiles must be backed up within 1 hour.</t>
  </si>
  <si>
    <t>3.3.5.3 Product and promotion changes must be backed up at least daily.</t>
  </si>
  <si>
    <t>3.3.5.4 Advertisement changes must be backed up at least daily.</t>
  </si>
  <si>
    <t>3.4 4 Reliability, Availability and Integrity</t>
  </si>
  <si>
    <t>3.4.1 4.1 Reliability</t>
  </si>
  <si>
    <t>3.4.1.1 The online shop must always record a full transaction, never a partial transaction.</t>
  </si>
  <si>
    <t>3.4.1.2 Confirmation that a change has been applied must always only be reflected/reported one the change has been applied in full.</t>
  </si>
  <si>
    <t>3.4.2 4.2 Availability</t>
  </si>
  <si>
    <t>3.4.2.1 The online shop must be available to process to be used from at least 4am until 2am, but preferably 24x7x365..</t>
  </si>
  <si>
    <t>3.4.2.2 The online shop may be down for scheduled maintenance during non-peak times of the night, for no longer than 4 hours at a time.</t>
  </si>
  <si>
    <t>3.4.2.3 Also refer to the Response times requirement in the Performance section.</t>
  </si>
  <si>
    <t>3.4.2.4 Availability Requirements: Specify % of time available ( xx.xx%), hours of use, maintenance access, degraded mode operations etc.</t>
  </si>
  <si>
    <t>3.4.2.5 Mean Time Between Failures (MTBF) – this is usually specified in hours, but it could also be specified in terms of days, months, or years.</t>
  </si>
  <si>
    <t>3.4.2.6 Mean Time To Repair (MTTR) – how long is the system allowed to be out of operation after it has failed?</t>
  </si>
  <si>
    <t>3.4.3 4.3 Storage</t>
  </si>
  <si>
    <t>3.4.3.1 New storage will be required for the following:</t>
  </si>
  <si>
    <t>3.4.3.1.1 Online shop infrastructure</t>
  </si>
  <si>
    <t>3.4.3.1.2 Users and customers</t>
  </si>
  <si>
    <t>3.4.3.1.3 Products and their enrichment</t>
  </si>
  <si>
    <t>3.4.3.1.4 Advertisements</t>
  </si>
  <si>
    <t>3.4.3.1.5 Articles</t>
  </si>
  <si>
    <t>3.4.3.1.6 Shopping carts</t>
  </si>
  <si>
    <t>3.4.3.1.7 Online transactions</t>
  </si>
  <si>
    <t>3.4.3.1.8 Customer Orders</t>
  </si>
  <si>
    <t>3.4.3.1.9 Customer Returns, Return requests</t>
  </si>
  <si>
    <t>3.4.3.1.10 Supplier Orders, Order Confirmations</t>
  </si>
  <si>
    <t>3.4.3.1.11 Customer messages</t>
  </si>
  <si>
    <t>3.4.3.1.12 Payment transactions</t>
  </si>
  <si>
    <t>3.4.3.1.13 Temporary storage for supplier ad courier integration</t>
  </si>
  <si>
    <t>3.4.3.2 Additional storage will be required for the following:</t>
  </si>
  <si>
    <t>3.4.3.2.1 Transpharm call centre infrastructure, where the new call centre will be hosted (up-scale over time)</t>
  </si>
  <si>
    <t>3.4.3.2.2 Financial accounting</t>
  </si>
  <si>
    <t>3.4.3.2.3 Financial transactions</t>
  </si>
  <si>
    <t>3.4.3.3 Articles may be retained indefinitely, or a number of years.</t>
  </si>
  <si>
    <t>3.4.4 4.4 Usability and Channel requirements</t>
  </si>
  <si>
    <t>3.4.4.1 Initially, the online shop will only be available as a website.</t>
  </si>
  <si>
    <t>3.4.4.2 Communication with customers may be added via WhatsApp.</t>
  </si>
  <si>
    <t>3.4.4.3 The online shop must use language that is easy to understand for its intended audience and demographics.</t>
  </si>
  <si>
    <t>3.4.5 4.5 Styling</t>
  </si>
  <si>
    <t>3.4.5.1 The online shop must be clearly branded to differentiate the business.</t>
  </si>
  <si>
    <t>3.4.5.2 The online store must apply modern styling standards, methods and technologies to ensure it is:</t>
  </si>
  <si>
    <t>3.4.5.2.1 Easy and intuitive to use</t>
  </si>
  <si>
    <t>3.4.5.2.2 Quick to load</t>
  </si>
  <si>
    <t>3.4.5.2.3 Responsive to different display form factors (phone, tablet, pc)</t>
  </si>
  <si>
    <t>3.5 5 Security</t>
  </si>
  <si>
    <t>3.5.1 5.1 Access Control</t>
  </si>
  <si>
    <t>3.5.1.1 User access to the online shop must be controlled using username and password.</t>
  </si>
  <si>
    <t>3.5.1.2 Consider using two-factor authentication for selected customer profile actions.</t>
  </si>
  <si>
    <t>3.5.1.3 Encrypt customer data in transit and at rest, to ensure compliance to Shoprite and regulatory information protection standards.</t>
  </si>
  <si>
    <t>3.5.1.4 Limit access to customer details by back-office role, as well as on the system and storage levels.</t>
  </si>
  <si>
    <t>3.5.2 5.2 Hacking Protection</t>
  </si>
  <si>
    <t>3.5.2.1 Apply security measures to protect the online shop and customer data from impersonation, hacking/exploitation and denial of service attacks.</t>
  </si>
  <si>
    <t>4 Data Requirements</t>
  </si>
  <si>
    <t>4.1 1 Customer Data Security</t>
  </si>
  <si>
    <t>4.1.1 1.1 Securely store customer profile</t>
  </si>
  <si>
    <t>4.1.1.1 Customer profile data must be stored securely.</t>
  </si>
  <si>
    <t>4.1.1.2 Customer transaction data must be stored securely.</t>
  </si>
  <si>
    <t>4.1.1.3 Customer transaction data may only be shared with partners of the business if explicit consent from the customer is recorded.</t>
  </si>
  <si>
    <t>4.1.2 1.2 Archive old customer profiles</t>
  </si>
  <si>
    <t>4.1.2.1 The customer profile of resigned, or abandoned users must be anonymised for use in statistical analysis only.</t>
  </si>
  <si>
    <t>4.1.2.2 The full profile must be removed from operational use.</t>
  </si>
  <si>
    <t>4.2 2 Customer Data Sharing</t>
  </si>
  <si>
    <t>4.2.1 2.1 Adhere to customer consent to share</t>
  </si>
  <si>
    <t>4.2.1.1 The online store terms and conditions must explicitly state the legal entities that will have access to a customer's data.</t>
  </si>
  <si>
    <t>4.2.1.2 Explicit mention must be made of the privacy of their children's details.</t>
  </si>
  <si>
    <t>5 Constraints, Assumptions, Issues, Risks</t>
  </si>
  <si>
    <t>5.1 1 Constraints, Assumptions, Issues, Risks</t>
  </si>
  <si>
    <t>5.1.1 1.1 Constraints</t>
  </si>
  <si>
    <t>5.1.1.1 The ability to deliver the solution is subject to the availability of the resources of the Shoprite IT and related software service providers required to deliver the solution.</t>
  </si>
  <si>
    <t>5.1.1.2 The business solution will only implement capabilities that are available in the chosen IT systems and technologies.</t>
  </si>
  <si>
    <t>5.1.1.3 Communication with suppliers will be automated by using systems integration technologies that meet Shoprite standards.</t>
  </si>
  <si>
    <t>5.1.1.4 Communication with couriers will be automated by using systems integration technologies that meet Shoprite standards.</t>
  </si>
  <si>
    <t>5.1.2 1.2 Assumptions</t>
  </si>
  <si>
    <t>5.1.2.1 Each B2C Co product will be supplied by a specific supplier (not multiple sources).</t>
  </si>
  <si>
    <t>5.1.3 1.3 Issues</t>
  </si>
  <si>
    <t>5.1.3.1 To limit/prevent possible market cannibalisation of the market, the envisaged brand and how it fits into the bigger Shoprite strategic roadmap will have to be agreed with Shoprite senior management.</t>
  </si>
  <si>
    <t>5.1.3.2 In order to provide a minimum viable solution in as short a time as possible, the capabilities and functions required for the business solution will have to be prioritised (extending capabilities and functions in an agreed roadmap and maturing over time).</t>
  </si>
  <si>
    <t>5.1.3.3 In order to be able to deliver the solution, budget allocation and delivery prioritisation will have to be agreed with Shoprite senior management.</t>
  </si>
  <si>
    <t>5.1.4 1.4 Risks</t>
  </si>
  <si>
    <t>5.1.4.1 The initiative may be merged into a bigger Shoprite initiative focused on the same/similar market.</t>
  </si>
  <si>
    <t>5.1.4.2 The initiative may be delayed due to it not being prioritised for the 20201 financial year.</t>
  </si>
  <si>
    <t>5.1.5 1.5 Organisational Change</t>
  </si>
  <si>
    <t>5.1.5.1 This is a new business being established, to operate in South Africa.</t>
  </si>
  <si>
    <t>5.1.5.2 Initially, the business will be supported by existing Transpharm staff in the following areas:</t>
  </si>
  <si>
    <t>5.1.5.2.1 Contact centre</t>
  </si>
  <si>
    <t>5.1.5.2.2 Buying</t>
  </si>
  <si>
    <t>5.1.5.2.3 Marketing</t>
  </si>
  <si>
    <t>5.1.5.2.4 Operations</t>
  </si>
  <si>
    <t>5.1.5.2.5 Finance</t>
  </si>
  <si>
    <t>5.1.5.2.6 HR</t>
  </si>
  <si>
    <t>5.1.5.3 The following key positions will require dedicated staff:</t>
  </si>
  <si>
    <t>5.1.5.3.1 Buyer</t>
  </si>
  <si>
    <t>5.1.5.3.2 Marketing</t>
  </si>
  <si>
    <t>6 Terminology</t>
  </si>
  <si>
    <t>6.1 1 Business</t>
  </si>
  <si>
    <t>6.1.1 1.1 Business / B2C Co</t>
  </si>
  <si>
    <t>6.1.1.1 The new subsidiary legal business entity to be registered and operated under Transpharm (or a subsidiary of Transpharm), to serve the identified target market in South Africa.</t>
  </si>
  <si>
    <t>6.1.2 1.2 Supplier</t>
  </si>
  <si>
    <t>6.1.2.1 A supplier of products to/via B2C Co for sale to consumers.</t>
  </si>
  <si>
    <t>6.1.3 1.3 Marketing</t>
  </si>
  <si>
    <t>6.1.3.1 The business capability for B2C Co to market and advertise end-to end on the B2C Co website and multiple other channels.</t>
  </si>
  <si>
    <t>6.1.4 1.4 Online shop</t>
  </si>
  <si>
    <t>6.1.4.1 The B2C Co online shopping website via which a customer purchases products and in future possibly services.</t>
  </si>
  <si>
    <t>6.1.5 1.5 Website</t>
  </si>
  <si>
    <t>6.1.5.1 Alternate reference to the online shop.</t>
  </si>
  <si>
    <t>6.2 2 Marketing</t>
  </si>
  <si>
    <t>6.2.1 2.1 baby</t>
  </si>
  <si>
    <t>6.2.1.1 For the purposes of the business, this covers includes the unborn child, as well as the infant and toddler stages of a business.</t>
  </si>
  <si>
    <t>6.2.2 2.2 baby development</t>
  </si>
  <si>
    <t>6.2.2.1 The stages of development of a baby, from pregnancy through to being a toddler.</t>
  </si>
  <si>
    <t>6.2.2.2 Reference: https://en.wikipedia.org/wiki/Toddler#Developmental_milestones</t>
  </si>
  <si>
    <t>6.2.3 2.3 newborn</t>
  </si>
  <si>
    <t>6.2.3.1 A newborn is, in colloquial use, an infant who is only hours, days, or up to one month old.</t>
  </si>
  <si>
    <t>6.2.4 2.4 infant</t>
  </si>
  <si>
    <t>6.2.4.1 An infant is the more formal or specialised synonym for "baby", the very young offspring of a human.</t>
  </si>
  <si>
    <t>6.2.4.2 Reference: https://en.wikipedia.org/wiki/Infant</t>
  </si>
  <si>
    <t>6.2.5 2.5 toddler</t>
  </si>
  <si>
    <t>6.2.5.1 A toddler is a child approximately 12 to 36 months old. The toddler years are a time of great cognitive, emotional and social development. The word is derived from "to toddle", which means to walk unsteadily, like a child of this age.</t>
  </si>
  <si>
    <t>6.2.5.2 Reference: https://en.wikipedia.org/wiki/Toddler</t>
  </si>
  <si>
    <t>6.3 3 Customer</t>
  </si>
  <si>
    <t>6.3.1 3.1 Customer</t>
  </si>
  <si>
    <t>6.3.1.1 A person registered with the online shop, for the purpose to purchase the products and use the related services offered via the online shop.</t>
  </si>
  <si>
    <t>6.3.2 3.2 Visitor</t>
  </si>
  <si>
    <t>6.3.2.1 A customer or member of the public that uses the B2C Co online shop without being logged in (not identified).</t>
  </si>
  <si>
    <t>6.3.3 3.3 Customer - Direct</t>
  </si>
  <si>
    <t>6.3.3.1 A customer or potential customer that contacts the B2C Co contact centre.</t>
  </si>
  <si>
    <t>6.3.4 3.4 Customer - Anonymous</t>
  </si>
  <si>
    <t>6.3.4.1 This is an alternate reference to Visitor.</t>
  </si>
  <si>
    <t>6.3.5 3.5 Customer - Website</t>
  </si>
  <si>
    <t>6.3.5.1 A customer that uses the B2C Co online shop and who is logged in (identified).</t>
  </si>
  <si>
    <t>6.3.6 3.6 Favourites-list</t>
  </si>
  <si>
    <t>6.3.6.1 List of products wanted to be ordered on a regular basis.</t>
  </si>
  <si>
    <t>6.3.7 3.7 Wish-list</t>
  </si>
  <si>
    <t>6.3.7.1 List of products to be ordered once-off at a future date/out of stock.</t>
  </si>
  <si>
    <t>6.4 4 Advertisement</t>
  </si>
  <si>
    <t>6.4.1 4.1 Advertisement</t>
  </si>
  <si>
    <t>6.4.1.1 A promotion of a product or event</t>
  </si>
  <si>
    <t>6.4.2 4.2 Online shop advertisement</t>
  </si>
  <si>
    <t>6.4.2.1 An advertisement presented on the online shop.</t>
  </si>
  <si>
    <t>6.4.3 4.3 Online advertisement</t>
  </si>
  <si>
    <t>6.4.3.1 An advertisement published to an online marketing channel other than the online shop.</t>
  </si>
  <si>
    <t>6.4.4 4.4 Promotion</t>
  </si>
  <si>
    <t>6.5 5 Product</t>
  </si>
  <si>
    <t>6.5.1 5.1 B2C Co advertised product</t>
  </si>
  <si>
    <t>6.5.1.1 A product for which there is an advertisement defined. It may be published online, or on the website.</t>
  </si>
  <si>
    <t>6.5.2 5.2 Web advertised product</t>
  </si>
  <si>
    <t>6.5.2.1 A product for which there is an advertisement defined and which is presented on the website.</t>
  </si>
  <si>
    <t>6.5.3 5.3 Promoted brand</t>
  </si>
  <si>
    <t>6.5.3.1 A brand for which the supplier has a promotion agreement with B2C Co. The brand and related products are given a higher rank in the website search results.</t>
  </si>
  <si>
    <t>6.5.4 5.4 Promoted product</t>
  </si>
  <si>
    <t>6.5.4.1 A product for which the supplier has a promotion agreement with B2C Co. The product is given a higher rank in the website search results.</t>
  </si>
  <si>
    <t>6.5.5 5.5 Frequently-bough product</t>
  </si>
  <si>
    <t>6.5.5.1 A product often listed in a purchase (purchased shopping cart) that also contains the product currently being viewed/purchased on the website.</t>
  </si>
  <si>
    <t>6.5.6 5.6 Similar product</t>
  </si>
  <si>
    <t>6.5.6.1 A product with the same meta-tags as the product currently being viewed on the website.</t>
  </si>
  <si>
    <t>6.5.7 5.7 UOM</t>
  </si>
  <si>
    <t>6.5.7.1 Unit of Measure For a physical product, this represents a specific quantity (quantity/volume) that can be ordered or sold.</t>
  </si>
  <si>
    <t>6.5.8 5.8 Each</t>
  </si>
  <si>
    <t>6.5.8.1 The smallest individual product unit that can be sold (e.g. tin of baby formula).</t>
  </si>
  <si>
    <t>6.5.9 5.9 BMC</t>
  </si>
  <si>
    <t>6.5.9.1 Base Merchandise Category This is the most-detail level grouping of similar products.</t>
  </si>
  <si>
    <t>6.5.10 5.10 Proposed Selling Price (excl)</t>
  </si>
  <si>
    <t>6.5.10.1 The selling price for a product/service before VAT and rounding rules are applied.</t>
  </si>
  <si>
    <t>6.5.11 5.11 Proposed Selling Price (incl)</t>
  </si>
  <si>
    <t>6.5.11.1 The proposed selling price for a product/service with VAT applied, but not rounding rules.</t>
  </si>
  <si>
    <t>6.5.12 5.12 Selling Price (incl)</t>
  </si>
  <si>
    <t>6.5.12.1 The proposed selling price (incl) for a product/service with the price rounding rules applied.</t>
  </si>
  <si>
    <t>6.5.13 5.13 Selling Price (excl)</t>
  </si>
  <si>
    <t>6.5.13.1 The selling price (incl) of a product/service, with the applicable VAT deducted.</t>
  </si>
  <si>
    <t>6.5.14 5.14 Promotional Price</t>
  </si>
  <si>
    <t>6.5.14.1 A temporary price (VAT inclusive) at which a product/service is to be sold, while that promotion is valid.</t>
  </si>
  <si>
    <t>6.5.15 5.15 Price Of The Day / Ruling Price</t>
  </si>
  <si>
    <t>6.5.15.1 The effective selling price for a product/service at a given time and date, derived by overriding the selling price (incl) with the latest-starting promotional price.</t>
  </si>
  <si>
    <t>6.6 6 Special Content</t>
  </si>
  <si>
    <t>6.6.1 6.1 Special Content</t>
  </si>
  <si>
    <t>6.6.1.1 Content being presented on the website as value-add information for customers. It may be in the form of an article, or a checklist.</t>
  </si>
  <si>
    <t>6.6.1.2 All special content has publishing and customer-relevance criteria assigned, used to ensure it is presented to relevant customers.</t>
  </si>
  <si>
    <t>6.6.2 6.2 Article</t>
  </si>
  <si>
    <t>6.6.2.1 An article contains formatted text and images that support the article topic.</t>
  </si>
  <si>
    <t>6.6.3 6.3 Checklist</t>
  </si>
  <si>
    <t>6.6.3.1 A checklist is an article that also contains a specific list of products, product types and/or tasks that are relevant to that article.</t>
  </si>
  <si>
    <t>6.6.4 6.4 Checklist task item</t>
  </si>
  <si>
    <t>6.6.4.1 A checklist item with a subject and supporting explanatory text.</t>
  </si>
  <si>
    <t>6.6.5 6.5 Checklist article item</t>
  </si>
  <si>
    <t>6.6.5.1 A checklist task item with a link to a specific product.</t>
  </si>
  <si>
    <t>6.6.6 6.6 Checklist article type item</t>
  </si>
  <si>
    <t>6.6.6.1 A checklist task item with a link to perform a pre-defined search.</t>
  </si>
  <si>
    <t>6.7 7 Technology</t>
  </si>
  <si>
    <t>6.7.1 7.1 CTI</t>
  </si>
  <si>
    <t>6.7.1.1 Computer technology integration</t>
  </si>
  <si>
    <t>6.7.1.2 Computer telephony integration, also called computer–telephone integration or CTI, is a common name for any technology that allows interactions on a telephone and a computer to be integrated or coordinated.</t>
  </si>
  <si>
    <t>6.7.1.3 Reference: https://en.wikipedia.org/wiki/Computer_telephony_integration</t>
  </si>
  <si>
    <t>6.7.2 7.2 EDI</t>
  </si>
  <si>
    <t>6.7.2.1 Electronic data interchange</t>
  </si>
  <si>
    <t>6.7.2.2 Electronic data interchange is the concept of businesses electronically communicating information that was traditionally communicated on paper, such as purchase orders and invoices. Technical standards for EDI exist to facilitate parties transacting such instruments without having to make special arrangements.</t>
  </si>
  <si>
    <t>6.7.2.3 Reference: https://en.wikipedia.org/wiki/Electronic_data_interchange</t>
  </si>
  <si>
    <t>6.7.3 7.3 Faceted Search</t>
  </si>
  <si>
    <t>6.7.3.1 Faceted search is a technique which involves augmenting traditional search techniques with a faceted navigation system, allowing users to narrow down search results by applying multiple filters based on faceted classification of the items.</t>
  </si>
  <si>
    <t>6.7.3.2 Reference: https://en.wikipedia.org/wiki/Faceted_search</t>
  </si>
  <si>
    <t>U</t>
  </si>
  <si>
    <t>Urgency</t>
  </si>
  <si>
    <t>C</t>
  </si>
  <si>
    <t>MH</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</si>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</sst>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13" x14ac:knownFonts="1">
    <font>
      <sz val="10"/>
      <color rgb="FF000000"/>
      <name val="Arial"/>
    </font>
    <font>
      <sz val="10"/>
      <color theme="1"/>
      <name val="Arial"/>
    </font>
    <font>
      <i/>
      <sz val="10"/>
      <color theme="1"/>
      <name val="Arial"/>
    </font>
    <font>
      <b/>
      <u/>
      <sz val="10"/>
      <color theme="1"/>
      <name val="Arial"/>
    </font>
    <font>
      <b/>
      <u/>
      <sz val="10"/>
      <color theme="1"/>
      <name val="Arial"/>
    </font>
    <font>
      <b/>
      <u/>
      <sz val="10"/>
      <color theme="1"/>
      <name val="Arial"/>
    </font>
    <font>
      <b/>
      <sz val="10"/>
      <color theme="1"/>
      <name val="Arial"/>
    </font>
    <font>
      <b/>
      <sz val="8"/>
      <color theme="1"/>
      <name val="Arial"/>
    </font>
    <font>
      <sz val="8"/>
      <color theme="1"/>
      <name val="Arial"/>
    </font>
    <font>
      <b/>
      <sz val="12"/>
      <color rgb="FF000000"/>
      <name val="Arial"/>
    </font>
    <font>
      <b/>
      <sz val="10"/>
      <color rgb="FF000000"/>
      <name val="Arial"/>
    </font>
    <font>
      <u/>
      <sz val="10"/>
      <color rgb="FF0000FF"/>
      <name val="Arial"/>
    </font>
    <font>
      <b/>
      <sz val="10"/>
      <name val="Arial"/>
    </font>
  </fonts>
  <fills count="13">
    <fill>
      <patternFill patternType="none"/>
    </fill>
    <fill>
      <patternFill patternType="gray125"/>
    </fill>
    <fill>
      <patternFill patternType="solid">
        <fgColor rgb="FFFFFF00"/>
        <bgColor rgb="FFFFFF00"/>
      </patternFill>
    </fill>
    <fill>
      <patternFill patternType="solid">
        <fgColor rgb="FFD9D9D9"/>
        <bgColor rgb="FFD9D9D9"/>
      </patternFill>
    </fill>
    <fill>
      <patternFill patternType="solid">
        <fgColor rgb="FF999999"/>
        <bgColor rgb="FF999999"/>
      </patternFill>
    </fill>
    <fill>
      <patternFill patternType="solid">
        <fgColor rgb="FFA2C4C9"/>
        <bgColor rgb="FFA2C4C9"/>
      </patternFill>
    </fill>
    <fill>
      <patternFill patternType="solid">
        <fgColor rgb="FFEFEFEF"/>
        <bgColor rgb="FFEFEFEF"/>
      </patternFill>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DEDEDE"/>
        <bgColor rgb="FFDEDEDE"/>
      </patternFill>
    </fill>
    <fill>
      <patternFill patternType="solid">
        <fgColor rgb="FFFFF2CC"/>
        <bgColor rgb="FFFFF2CC"/>
      </patternFill>
    </fill>
    <fill>
      <patternFill patternType="solid">
        <fgColor rgb="FFD0E0E3"/>
        <bgColor rgb="FFD0E0E3"/>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37">
    <xf numFmtId="0" fontId="0" fillId="0" borderId="0" xfId="0" applyFont="1" applyAlignment="1"/>
    <xf numFmtId="0" fontId="1" fillId="0" borderId="0" xfId="0" applyFont="1" applyAlignment="1"/>
    <xf numFmtId="0" fontId="1" fillId="0" borderId="0" xfId="0" applyFont="1" applyAlignment="1">
      <alignment horizontal="right"/>
    </xf>
    <xf numFmtId="0" fontId="1" fillId="2" borderId="0" xfId="0" applyFont="1" applyFill="1" applyAlignment="1"/>
    <xf numFmtId="0" fontId="2" fillId="0" borderId="0" xfId="0" applyFont="1" applyAlignment="1">
      <alignment horizontal="right"/>
    </xf>
    <xf numFmtId="0" fontId="1" fillId="0" borderId="0" xfId="0" applyFont="1"/>
    <xf numFmtId="0" fontId="1" fillId="0" borderId="0" xfId="0" applyFont="1" applyAlignment="1">
      <alignment horizontal="center"/>
    </xf>
    <xf numFmtId="0" fontId="3" fillId="3" borderId="1" xfId="0" applyFont="1" applyFill="1" applyBorder="1" applyAlignment="1"/>
    <xf numFmtId="0" fontId="4" fillId="3" borderId="2" xfId="0" applyFont="1" applyFill="1" applyBorder="1" applyAlignment="1">
      <alignment horizontal="center"/>
    </xf>
    <xf numFmtId="0" fontId="5" fillId="3" borderId="3" xfId="0" applyFont="1" applyFill="1" applyBorder="1" applyAlignment="1">
      <alignment horizontal="center"/>
    </xf>
    <xf numFmtId="0" fontId="1" fillId="0" borderId="4" xfId="0" applyFont="1" applyBorder="1"/>
    <xf numFmtId="0" fontId="1" fillId="2" borderId="0" xfId="0" applyFont="1" applyFill="1" applyAlignment="1">
      <alignment horizontal="center"/>
    </xf>
    <xf numFmtId="0" fontId="1" fillId="2" borderId="5" xfId="0" applyFont="1" applyFill="1" applyBorder="1" applyAlignment="1">
      <alignment horizontal="center"/>
    </xf>
    <xf numFmtId="0" fontId="1" fillId="0" borderId="5" xfId="0" applyFont="1" applyBorder="1" applyAlignment="1">
      <alignment horizontal="center"/>
    </xf>
    <xf numFmtId="0" fontId="1" fillId="2" borderId="0" xfId="0" applyFont="1" applyFill="1" applyAlignment="1">
      <alignment horizontal="center"/>
    </xf>
    <xf numFmtId="0" fontId="1" fillId="2" borderId="0" xfId="0" quotePrefix="1" applyFont="1" applyFill="1" applyAlignment="1">
      <alignment horizontal="center"/>
    </xf>
    <xf numFmtId="0" fontId="1" fillId="4" borderId="0" xfId="0" applyFont="1" applyFill="1" applyAlignment="1">
      <alignment horizontal="center"/>
    </xf>
    <xf numFmtId="0" fontId="1" fillId="4" borderId="0" xfId="0" applyFont="1" applyFill="1" applyAlignment="1">
      <alignment horizontal="center"/>
    </xf>
    <xf numFmtId="0" fontId="1" fillId="4" borderId="5" xfId="0" applyFont="1" applyFill="1" applyBorder="1" applyAlignment="1">
      <alignment horizontal="center"/>
    </xf>
    <xf numFmtId="0" fontId="1" fillId="0" borderId="6" xfId="0" applyFont="1" applyBorder="1"/>
    <xf numFmtId="0" fontId="1" fillId="4" borderId="7" xfId="0" applyFont="1" applyFill="1" applyBorder="1" applyAlignment="1">
      <alignment horizontal="center"/>
    </xf>
    <xf numFmtId="0" fontId="1" fillId="4" borderId="7" xfId="0" applyFont="1" applyFill="1" applyBorder="1" applyAlignment="1">
      <alignment horizontal="center"/>
    </xf>
    <xf numFmtId="0" fontId="1" fillId="4" borderId="8" xfId="0" applyFont="1" applyFill="1" applyBorder="1" applyAlignment="1">
      <alignment horizontal="center"/>
    </xf>
    <xf numFmtId="0" fontId="1" fillId="0" borderId="0" xfId="0" applyFont="1" applyAlignment="1">
      <alignment horizontal="center"/>
    </xf>
    <xf numFmtId="0" fontId="6" fillId="3" borderId="0" xfId="0" applyFont="1" applyFill="1" applyAlignment="1">
      <alignment horizontal="right"/>
    </xf>
    <xf numFmtId="0" fontId="6" fillId="3" borderId="0" xfId="0" applyFont="1" applyFill="1" applyAlignment="1">
      <alignment horizontal="center"/>
    </xf>
    <xf numFmtId="0" fontId="6" fillId="3" borderId="0" xfId="0" applyFont="1" applyFill="1" applyAlignment="1">
      <alignment horizontal="center"/>
    </xf>
    <xf numFmtId="0" fontId="1" fillId="0" borderId="0" xfId="0" applyFont="1"/>
    <xf numFmtId="0" fontId="1" fillId="0" borderId="0" xfId="0" applyFont="1" applyAlignment="1">
      <alignment horizontal="right"/>
    </xf>
    <xf numFmtId="0" fontId="6" fillId="3" borderId="0" xfId="0" applyFont="1" applyFill="1" applyAlignment="1">
      <alignment vertical="top" wrapText="1"/>
    </xf>
    <xf numFmtId="0" fontId="6" fillId="3" borderId="0" xfId="0" applyFont="1" applyFill="1" applyAlignment="1">
      <alignment horizontal="center" vertical="top" wrapText="1"/>
    </xf>
    <xf numFmtId="0" fontId="2" fillId="3" borderId="0" xfId="0" applyFont="1" applyFill="1" applyAlignment="1">
      <alignment vertical="top" wrapText="1"/>
    </xf>
    <xf numFmtId="0" fontId="1" fillId="3" borderId="0" xfId="0" applyFont="1" applyFill="1" applyAlignment="1">
      <alignment vertical="top" wrapText="1"/>
    </xf>
    <xf numFmtId="0" fontId="6" fillId="2" borderId="0" xfId="0" applyFont="1" applyFill="1" applyAlignment="1">
      <alignment horizontal="center" vertical="top" wrapText="1"/>
    </xf>
    <xf numFmtId="0" fontId="6" fillId="2" borderId="0" xfId="0" applyFont="1" applyFill="1" applyAlignment="1">
      <alignment vertical="top" wrapText="1"/>
    </xf>
    <xf numFmtId="0" fontId="1" fillId="0" borderId="0" xfId="0" applyFont="1" applyAlignment="1">
      <alignment vertical="top" wrapText="1"/>
    </xf>
    <xf numFmtId="1" fontId="6" fillId="5" borderId="0" xfId="0" applyNumberFormat="1" applyFont="1" applyFill="1" applyAlignment="1">
      <alignment horizontal="right" vertical="top"/>
    </xf>
    <xf numFmtId="0" fontId="1" fillId="0" borderId="0" xfId="0" applyFont="1" applyAlignment="1">
      <alignment horizontal="left" vertical="top" wrapText="1"/>
    </xf>
    <xf numFmtId="0" fontId="1" fillId="0" borderId="0" xfId="0" applyFont="1" applyAlignment="1">
      <alignment vertical="top" wrapText="1"/>
    </xf>
    <xf numFmtId="0" fontId="1" fillId="0" borderId="0" xfId="0" applyFont="1" applyAlignment="1">
      <alignment horizontal="center" vertical="top"/>
    </xf>
    <xf numFmtId="0" fontId="2" fillId="0" borderId="0" xfId="0" applyFont="1" applyAlignment="1">
      <alignment vertical="top" wrapText="1"/>
    </xf>
    <xf numFmtId="0" fontId="1" fillId="0" borderId="0" xfId="0" applyFont="1" applyAlignment="1">
      <alignment horizontal="center" vertical="top"/>
    </xf>
    <xf numFmtId="0" fontId="1" fillId="0" borderId="0" xfId="0" applyFont="1" applyAlignment="1">
      <alignment vertical="top"/>
    </xf>
    <xf numFmtId="2" fontId="1" fillId="6" borderId="0" xfId="0" applyNumberFormat="1" applyFont="1" applyFill="1" applyAlignment="1">
      <alignment horizontal="right" vertical="top"/>
    </xf>
    <xf numFmtId="0" fontId="1" fillId="0" borderId="0" xfId="0" applyFont="1" applyAlignment="1">
      <alignment horizontal="right" vertical="top" wrapText="1"/>
    </xf>
    <xf numFmtId="0" fontId="1" fillId="0" borderId="0" xfId="0" applyFont="1" applyAlignment="1">
      <alignment wrapText="1"/>
    </xf>
    <xf numFmtId="0" fontId="2" fillId="0" borderId="0" xfId="0" applyFont="1" applyAlignment="1">
      <alignment horizontal="center" vertical="top"/>
    </xf>
    <xf numFmtId="0" fontId="1" fillId="0" borderId="0" xfId="0" applyFont="1" applyAlignment="1">
      <alignment vertical="top" wrapText="1"/>
    </xf>
    <xf numFmtId="1" fontId="1" fillId="6" borderId="0" xfId="0" applyNumberFormat="1" applyFont="1" applyFill="1" applyAlignment="1">
      <alignment horizontal="right" vertical="top"/>
    </xf>
    <xf numFmtId="0" fontId="1" fillId="0" borderId="0" xfId="0" applyFont="1" applyAlignment="1">
      <alignment wrapText="1"/>
    </xf>
    <xf numFmtId="0" fontId="1" fillId="0" borderId="0" xfId="0" applyFont="1" applyAlignment="1">
      <alignment vertical="top"/>
    </xf>
    <xf numFmtId="0" fontId="1" fillId="0" borderId="0" xfId="0" applyFont="1" applyAlignment="1">
      <alignment wrapText="1"/>
    </xf>
    <xf numFmtId="0" fontId="2" fillId="0" borderId="0" xfId="0" applyFont="1"/>
    <xf numFmtId="0" fontId="1" fillId="0" borderId="0" xfId="0" applyFont="1" applyAlignment="1">
      <alignment horizontal="right" vertical="top" wrapText="1"/>
    </xf>
    <xf numFmtId="0" fontId="1" fillId="0" borderId="0" xfId="0" applyFont="1" applyAlignment="1">
      <alignment vertical="top" wrapText="1"/>
    </xf>
    <xf numFmtId="0" fontId="2" fillId="0" borderId="0" xfId="0" applyFont="1" applyAlignment="1">
      <alignment horizontal="center" vertical="top"/>
    </xf>
    <xf numFmtId="0" fontId="1" fillId="0" borderId="0" xfId="0" applyFont="1" applyAlignment="1">
      <alignment horizontal="center" vertical="top"/>
    </xf>
    <xf numFmtId="0" fontId="1" fillId="0" borderId="0" xfId="0" applyFont="1" applyAlignment="1"/>
    <xf numFmtId="0" fontId="2" fillId="0" borderId="0" xfId="0" applyFont="1" applyAlignment="1">
      <alignment horizontal="center" vertical="top"/>
    </xf>
    <xf numFmtId="2" fontId="1" fillId="0" borderId="0" xfId="0" applyNumberFormat="1" applyFont="1" applyAlignment="1">
      <alignment horizontal="right" vertical="top" wrapText="1"/>
    </xf>
    <xf numFmtId="0" fontId="6" fillId="7" borderId="0" xfId="0" applyFont="1" applyFill="1" applyAlignment="1">
      <alignment horizontal="center" vertical="top"/>
    </xf>
    <xf numFmtId="0" fontId="6" fillId="7" borderId="0" xfId="0" applyFont="1" applyFill="1" applyAlignment="1">
      <alignment vertical="top"/>
    </xf>
    <xf numFmtId="0" fontId="6" fillId="7" borderId="0" xfId="0" applyFont="1" applyFill="1" applyAlignment="1">
      <alignment vertical="top" wrapText="1"/>
    </xf>
    <xf numFmtId="0" fontId="6" fillId="7" borderId="0" xfId="0" applyFont="1" applyFill="1" applyAlignment="1">
      <alignment vertical="top"/>
    </xf>
    <xf numFmtId="0" fontId="6" fillId="7" borderId="0" xfId="0" applyFont="1" applyFill="1" applyAlignment="1">
      <alignment horizontal="center" vertical="top"/>
    </xf>
    <xf numFmtId="0" fontId="7" fillId="7" borderId="0" xfId="0" applyFont="1" applyFill="1" applyAlignment="1">
      <alignment horizontal="left" vertical="top" wrapText="1"/>
    </xf>
    <xf numFmtId="0" fontId="1" fillId="8" borderId="0" xfId="0" applyFont="1" applyFill="1" applyAlignment="1">
      <alignment horizontal="center" vertical="top"/>
    </xf>
    <xf numFmtId="0" fontId="1" fillId="8" borderId="0" xfId="0" applyFont="1" applyFill="1" applyAlignment="1">
      <alignment vertical="top"/>
    </xf>
    <xf numFmtId="164" fontId="1" fillId="8" borderId="0" xfId="0" applyNumberFormat="1" applyFont="1" applyFill="1" applyAlignment="1">
      <alignment horizontal="center" vertical="top"/>
    </xf>
    <xf numFmtId="0" fontId="1" fillId="8" borderId="0" xfId="0" applyFont="1" applyFill="1" applyAlignment="1">
      <alignment vertical="top" wrapText="1"/>
    </xf>
    <xf numFmtId="0" fontId="1" fillId="8" borderId="0" xfId="0" applyFont="1" applyFill="1" applyAlignment="1">
      <alignment horizontal="center" vertical="top"/>
    </xf>
    <xf numFmtId="0" fontId="8" fillId="6" borderId="0" xfId="0" applyFont="1" applyFill="1" applyAlignment="1">
      <alignment horizontal="left" vertical="top" wrapText="1"/>
    </xf>
    <xf numFmtId="0" fontId="1" fillId="6" borderId="0" xfId="0" applyFont="1" applyFill="1" applyAlignment="1">
      <alignment horizontal="center" vertical="top"/>
    </xf>
    <xf numFmtId="0" fontId="1" fillId="9" borderId="0" xfId="0" applyFont="1" applyFill="1" applyAlignment="1">
      <alignment horizontal="center" vertical="top"/>
    </xf>
    <xf numFmtId="0" fontId="1" fillId="9" borderId="0" xfId="0" applyFont="1" applyFill="1" applyAlignment="1">
      <alignment vertical="top"/>
    </xf>
    <xf numFmtId="164" fontId="1" fillId="9" borderId="0" xfId="0" applyNumberFormat="1" applyFont="1" applyFill="1" applyAlignment="1">
      <alignment horizontal="center" vertical="top"/>
    </xf>
    <xf numFmtId="0" fontId="1" fillId="9" borderId="0" xfId="0" applyFont="1" applyFill="1" applyAlignment="1">
      <alignment vertical="top" wrapText="1"/>
    </xf>
    <xf numFmtId="0" fontId="1" fillId="9" borderId="0" xfId="0" applyFont="1" applyFill="1" applyAlignment="1">
      <alignment horizontal="center" vertical="top"/>
    </xf>
    <xf numFmtId="2" fontId="1" fillId="8" borderId="0" xfId="0" applyNumberFormat="1" applyFont="1" applyFill="1" applyAlignment="1">
      <alignment horizontal="center" vertical="top"/>
    </xf>
    <xf numFmtId="2" fontId="1" fillId="9" borderId="0" xfId="0" applyNumberFormat="1" applyFont="1" applyFill="1" applyAlignment="1">
      <alignment horizontal="center" vertical="top"/>
    </xf>
    <xf numFmtId="0" fontId="2" fillId="8" borderId="0" xfId="0" applyFont="1" applyFill="1" applyAlignment="1">
      <alignment horizontal="center" vertical="top"/>
    </xf>
    <xf numFmtId="0" fontId="2" fillId="6" borderId="0" xfId="0" applyFont="1" applyFill="1" applyAlignment="1">
      <alignment horizontal="center" vertical="top"/>
    </xf>
    <xf numFmtId="0" fontId="1" fillId="6" borderId="0" xfId="0" applyFont="1" applyFill="1" applyAlignment="1">
      <alignment horizontal="center" vertical="top"/>
    </xf>
    <xf numFmtId="2" fontId="1" fillId="8" borderId="0" xfId="0" applyNumberFormat="1" applyFont="1" applyFill="1" applyAlignment="1">
      <alignment horizontal="center" vertical="top"/>
    </xf>
    <xf numFmtId="0" fontId="8" fillId="6" borderId="0" xfId="0" applyFont="1" applyFill="1" applyAlignment="1">
      <alignment horizontal="left" vertical="top" wrapText="1"/>
    </xf>
    <xf numFmtId="0" fontId="8" fillId="8" borderId="0" xfId="0" applyFont="1" applyFill="1" applyAlignment="1">
      <alignment horizontal="left" vertical="top" wrapText="1"/>
    </xf>
    <xf numFmtId="0" fontId="8" fillId="9" borderId="0" xfId="0" applyFont="1" applyFill="1" applyAlignment="1">
      <alignment horizontal="left" vertical="top" wrapText="1"/>
    </xf>
    <xf numFmtId="0" fontId="1" fillId="10" borderId="0" xfId="0" applyFont="1" applyFill="1" applyAlignment="1">
      <alignment horizontal="center" vertical="top"/>
    </xf>
    <xf numFmtId="0" fontId="1" fillId="10" borderId="0" xfId="0" applyFont="1" applyFill="1" applyAlignment="1">
      <alignment vertical="top"/>
    </xf>
    <xf numFmtId="0" fontId="1" fillId="10" borderId="0" xfId="0" applyFont="1" applyFill="1" applyAlignment="1">
      <alignment vertical="top" wrapText="1"/>
    </xf>
    <xf numFmtId="0" fontId="8" fillId="10" borderId="0" xfId="0" applyFont="1" applyFill="1" applyAlignment="1">
      <alignment horizontal="left" vertical="top" wrapText="1"/>
    </xf>
    <xf numFmtId="0" fontId="8" fillId="0" borderId="0" xfId="0" applyFont="1" applyAlignment="1">
      <alignment horizontal="left" vertical="top" wrapText="1"/>
    </xf>
    <xf numFmtId="0" fontId="6" fillId="3" borderId="0" xfId="0" applyFont="1" applyFill="1"/>
    <xf numFmtId="164" fontId="1" fillId="0" borderId="0" xfId="0" applyNumberFormat="1" applyFont="1" applyAlignment="1">
      <alignment horizontal="center"/>
    </xf>
    <xf numFmtId="0" fontId="1" fillId="11" borderId="0" xfId="0" applyFont="1" applyFill="1" applyAlignment="1">
      <alignment horizontal="center"/>
    </xf>
    <xf numFmtId="0" fontId="9" fillId="0" borderId="0" xfId="0" applyFont="1" applyAlignment="1">
      <alignment vertical="top"/>
    </xf>
    <xf numFmtId="0" fontId="10" fillId="3" borderId="9" xfId="0" applyFont="1" applyFill="1" applyBorder="1" applyAlignment="1">
      <alignment vertical="top" wrapText="1"/>
    </xf>
    <xf numFmtId="0" fontId="6" fillId="6" borderId="9" xfId="0" applyFont="1" applyFill="1" applyBorder="1" applyAlignment="1">
      <alignment vertical="top"/>
    </xf>
    <xf numFmtId="0" fontId="6" fillId="6" borderId="9" xfId="0" applyFont="1" applyFill="1" applyBorder="1" applyAlignment="1">
      <alignment vertical="top" wrapText="1"/>
    </xf>
    <xf numFmtId="0" fontId="1" fillId="6" borderId="9" xfId="0" applyFont="1" applyFill="1" applyBorder="1" applyAlignment="1">
      <alignment vertical="top" wrapText="1"/>
    </xf>
    <xf numFmtId="0" fontId="1" fillId="6" borderId="9" xfId="0" applyFont="1" applyFill="1" applyBorder="1" applyAlignment="1">
      <alignment vertical="top" wrapText="1"/>
    </xf>
    <xf numFmtId="0" fontId="1" fillId="0" borderId="9" xfId="0" applyFont="1" applyBorder="1" applyAlignment="1">
      <alignment vertical="top"/>
    </xf>
    <xf numFmtId="0" fontId="1" fillId="0" borderId="9" xfId="0" applyFont="1" applyBorder="1" applyAlignment="1">
      <alignment vertical="top" wrapText="1"/>
    </xf>
    <xf numFmtId="0" fontId="6" fillId="0" borderId="0" xfId="0" applyFont="1" applyAlignment="1">
      <alignment vertical="top"/>
    </xf>
    <xf numFmtId="0" fontId="6" fillId="3" borderId="9" xfId="0" applyFont="1" applyFill="1" applyBorder="1" applyAlignment="1">
      <alignment vertical="top"/>
    </xf>
    <xf numFmtId="0" fontId="6" fillId="3" borderId="9" xfId="0" applyFont="1" applyFill="1" applyBorder="1" applyAlignment="1">
      <alignment vertical="top" wrapText="1"/>
    </xf>
    <xf numFmtId="0" fontId="1" fillId="0" borderId="9" xfId="0" applyFont="1" applyBorder="1" applyAlignment="1">
      <alignment vertical="top"/>
    </xf>
    <xf numFmtId="0" fontId="1" fillId="0" borderId="9" xfId="0" applyFont="1" applyBorder="1" applyAlignment="1">
      <alignment vertical="top" wrapText="1"/>
    </xf>
    <xf numFmtId="0" fontId="6" fillId="3" borderId="9" xfId="0" applyFont="1" applyFill="1" applyBorder="1" applyAlignment="1">
      <alignment horizontal="center" vertical="top" wrapText="1"/>
    </xf>
    <xf numFmtId="0" fontId="1" fillId="0" borderId="9" xfId="0" applyFont="1" applyBorder="1" applyAlignment="1">
      <alignment horizontal="center" vertical="top" wrapText="1"/>
    </xf>
    <xf numFmtId="0" fontId="1" fillId="3" borderId="0" xfId="0" applyFont="1" applyFill="1" applyAlignment="1">
      <alignment horizontal="center" vertical="top"/>
    </xf>
    <xf numFmtId="0" fontId="8" fillId="3" borderId="0" xfId="0" applyFont="1" applyFill="1" applyAlignment="1">
      <alignment horizontal="center" vertical="top" wrapText="1"/>
    </xf>
    <xf numFmtId="0" fontId="8" fillId="3" borderId="0" xfId="0" applyFont="1" applyFill="1" applyAlignment="1">
      <alignment vertical="top" wrapText="1"/>
    </xf>
    <xf numFmtId="0" fontId="8" fillId="0" borderId="0" xfId="0" applyFont="1" applyAlignment="1">
      <alignment horizontal="center" vertical="top" wrapText="1"/>
    </xf>
    <xf numFmtId="0" fontId="1" fillId="11" borderId="0" xfId="0" applyFont="1" applyFill="1" applyAlignment="1">
      <alignment horizontal="center" vertical="top"/>
    </xf>
    <xf numFmtId="0" fontId="8" fillId="11" borderId="0" xfId="0" applyFont="1" applyFill="1" applyAlignment="1">
      <alignment horizontal="center" vertical="top" wrapText="1"/>
    </xf>
    <xf numFmtId="0" fontId="1" fillId="11" borderId="0" xfId="0" applyFont="1" applyFill="1" applyAlignment="1">
      <alignment horizontal="center" vertical="top"/>
    </xf>
    <xf numFmtId="0" fontId="1" fillId="3" borderId="0" xfId="0" applyFont="1" applyFill="1" applyAlignment="1">
      <alignment horizontal="center" vertical="top"/>
    </xf>
    <xf numFmtId="0" fontId="8" fillId="11" borderId="0" xfId="0" applyFont="1" applyFill="1" applyAlignment="1">
      <alignment vertical="top" wrapText="1"/>
    </xf>
    <xf numFmtId="0" fontId="8" fillId="12" borderId="0" xfId="0" applyFont="1" applyFill="1" applyAlignment="1">
      <alignment vertical="top" wrapText="1"/>
    </xf>
    <xf numFmtId="0" fontId="8" fillId="11" borderId="0" xfId="0" applyFont="1" applyFill="1" applyAlignment="1">
      <alignment horizontal="center" vertical="top" wrapText="1"/>
    </xf>
    <xf numFmtId="0" fontId="8" fillId="0" borderId="0" xfId="0" applyFont="1" applyAlignment="1">
      <alignment vertical="top" wrapText="1"/>
    </xf>
    <xf numFmtId="0" fontId="8" fillId="0" borderId="0" xfId="0" applyFont="1" applyAlignment="1">
      <alignment horizontal="center" vertical="top" wrapText="1"/>
    </xf>
    <xf numFmtId="0" fontId="1" fillId="4" borderId="0" xfId="0" applyFont="1" applyFill="1" applyAlignment="1">
      <alignment vertical="top" wrapText="1"/>
    </xf>
    <xf numFmtId="0" fontId="11" fillId="0" borderId="0" xfId="0" applyFont="1" applyAlignment="1">
      <alignment vertical="top"/>
    </xf>
    <xf numFmtId="0" fontId="1" fillId="0" borderId="0" xfId="0" applyFont="1" applyAlignment="1">
      <alignment horizontal="left" vertical="top"/>
    </xf>
    <xf numFmtId="0" fontId="8" fillId="0" borderId="0" xfId="0" applyFont="1" applyAlignment="1">
      <alignment vertical="top" wrapText="1"/>
    </xf>
    <xf numFmtId="0" fontId="1" fillId="0" borderId="0" xfId="0" applyFont="1" applyAlignment="1">
      <alignment horizontal="left" vertical="top"/>
    </xf>
    <xf numFmtId="0" fontId="6" fillId="3" borderId="1" xfId="0" applyFont="1" applyFill="1" applyBorder="1" applyAlignment="1">
      <alignment horizontal="center"/>
    </xf>
    <xf numFmtId="0" fontId="6" fillId="3" borderId="3" xfId="0" applyFont="1" applyFill="1" applyBorder="1" applyAlignment="1">
      <alignment horizontal="center"/>
    </xf>
    <xf numFmtId="0" fontId="1" fillId="0" borderId="0" xfId="0" applyFont="1" applyAlignment="1">
      <alignment horizontal="center"/>
    </xf>
    <xf numFmtId="0" fontId="6" fillId="3" borderId="10" xfId="0" applyFont="1" applyFill="1" applyBorder="1" applyAlignment="1">
      <alignment horizontal="center"/>
    </xf>
    <xf numFmtId="0" fontId="1" fillId="0" borderId="4" xfId="0" applyFont="1" applyBorder="1" applyAlignment="1">
      <alignment horizontal="center"/>
    </xf>
    <xf numFmtId="0" fontId="1" fillId="0" borderId="11"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cellXfs>
  <cellStyles count="1">
    <cellStyle name="Normal" xfId="0" builtinId="0"/>
  </cellStyles>
  <dxfs count="14">
    <dxf>
      <font>
        <b/>
      </font>
      <fill>
        <patternFill patternType="solid">
          <fgColor rgb="FFD9D9D9"/>
          <bgColor rgb="FFD9D9D9"/>
        </patternFill>
      </fill>
    </dxf>
    <dxf>
      <font>
        <b/>
      </font>
      <fill>
        <patternFill patternType="solid">
          <fgColor rgb="FFD9D9D9"/>
          <bgColor rgb="FFD9D9D9"/>
        </patternFill>
      </fill>
    </dxf>
    <dxf>
      <font>
        <b/>
      </font>
      <fill>
        <patternFill patternType="solid">
          <fgColor rgb="FFD9D9D9"/>
          <bgColor rgb="FFD9D9D9"/>
        </patternFill>
      </fill>
    </dxf>
    <dxf>
      <font>
        <b/>
      </font>
      <fill>
        <patternFill patternType="solid">
          <fgColor rgb="FFD9D9D9"/>
          <bgColor rgb="FFD9D9D9"/>
        </patternFill>
      </fill>
    </dxf>
    <dxf>
      <font>
        <b/>
      </font>
      <fill>
        <patternFill patternType="solid">
          <fgColor rgb="FFD9D9D9"/>
          <bgColor rgb="FFD9D9D9"/>
        </patternFill>
      </fill>
    </dxf>
    <dxf>
      <font>
        <b/>
      </font>
      <fill>
        <patternFill patternType="solid">
          <fgColor rgb="FFD9D9D9"/>
          <bgColor rgb="FFD9D9D9"/>
        </patternFill>
      </fill>
    </dxf>
    <dxf>
      <font>
        <b/>
      </font>
      <fill>
        <patternFill patternType="solid">
          <fgColor rgb="FFB7E1CD"/>
          <bgColor rgb="FFB7E1CD"/>
        </patternFill>
      </fill>
    </dxf>
    <dxf>
      <fill>
        <patternFill patternType="solid">
          <fgColor rgb="FFFFE599"/>
          <bgColor rgb="FFFFE599"/>
        </patternFill>
      </fill>
    </dxf>
    <dxf>
      <fill>
        <patternFill patternType="solid">
          <fgColor rgb="FFB7E1CD"/>
          <bgColor rgb="FFB7E1CD"/>
        </patternFill>
      </fill>
    </dxf>
    <dxf>
      <font>
        <b/>
      </font>
      <fill>
        <patternFill patternType="solid">
          <fgColor rgb="FFA4C2F4"/>
          <bgColor rgb="FFA4C2F4"/>
        </patternFill>
      </fill>
    </dxf>
    <dxf>
      <font>
        <b/>
      </font>
      <fill>
        <patternFill patternType="solid">
          <fgColor rgb="FFA2C4C9"/>
          <bgColor rgb="FFA2C4C9"/>
        </patternFill>
      </fill>
    </dxf>
    <dxf>
      <fill>
        <patternFill patternType="solid">
          <fgColor rgb="FFB6D7A8"/>
          <bgColor rgb="FFB6D7A8"/>
        </patternFill>
      </fill>
    </dxf>
    <dxf>
      <font>
        <b/>
      </font>
      <fill>
        <patternFill patternType="solid">
          <fgColor rgb="FFA2C4C9"/>
          <bgColor rgb="FFA2C4C9"/>
        </patternFill>
      </fill>
    </dxf>
    <dxf>
      <fill>
        <patternFill patternType="solid">
          <fgColor rgb="FFB6D7A8"/>
          <bgColor rgb="FFB6D7A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008"/>
  <sheetViews>
    <sheetView workbookViewId="0">
      <selection activeCell="B7" sqref="B7"/>
    </sheetView>
  </sheetViews>
  <sheetFormatPr defaultColWidth="14.44140625" defaultRowHeight="15.75" customHeight="1" x14ac:dyDescent="0.25"/>
  <cols>
    <col min="1" max="1" width="9.5546875" customWidth="1"/>
    <col min="2" max="2" width="76" customWidth="1"/>
    <col min="3" max="4" width="6.5546875" customWidth="1"/>
    <col min="5" max="5" width="2.109375" customWidth="1"/>
    <col min="9" max="9" width="35" customWidth="1"/>
  </cols>
  <sheetData>
    <row r="1" spans="1:8" x14ac:dyDescent="0.25">
      <c r="A1" s="1"/>
      <c r="B1" s="1"/>
      <c r="C1" s="1"/>
      <c r="D1" s="1"/>
      <c r="E1" s="1"/>
    </row>
    <row r="2" spans="1:8" x14ac:dyDescent="0.25">
      <c r="A2" s="1"/>
      <c r="B2" s="2" t="s">
        <v>0</v>
      </c>
      <c r="C2" s="3" t="str">
        <f t="shared" ref="C2:D2" si="0">CHAR(9)&amp;"• "</f>
        <v xml:space="preserve">	• </v>
      </c>
      <c r="D2" s="1" t="str">
        <f t="shared" si="0"/>
        <v xml:space="preserve">	• </v>
      </c>
      <c r="E2" s="1"/>
    </row>
    <row r="3" spans="1:8" x14ac:dyDescent="0.25">
      <c r="A3" s="1"/>
      <c r="B3" s="4" t="s">
        <v>1</v>
      </c>
      <c r="C3" s="1"/>
      <c r="D3" s="1"/>
      <c r="E3" s="1"/>
    </row>
    <row r="4" spans="1:8" x14ac:dyDescent="0.25">
      <c r="A4" s="1"/>
      <c r="B4" s="1"/>
      <c r="C4" s="1"/>
      <c r="D4" s="1"/>
      <c r="E4" s="1"/>
    </row>
    <row r="5" spans="1:8" x14ac:dyDescent="0.25">
      <c r="A5" s="1"/>
      <c r="B5" s="1"/>
      <c r="C5" s="1"/>
      <c r="D5" s="1"/>
      <c r="E5" s="1"/>
    </row>
    <row r="6" spans="1:8" x14ac:dyDescent="0.25">
      <c r="A6" s="1"/>
      <c r="B6" s="1"/>
      <c r="C6" s="1"/>
      <c r="D6" s="1"/>
      <c r="E6" s="1"/>
    </row>
    <row r="7" spans="1:8" x14ac:dyDescent="0.25">
      <c r="A7" s="1"/>
      <c r="B7" s="1"/>
      <c r="C7" s="1"/>
      <c r="D7" s="1"/>
      <c r="E7" s="1"/>
    </row>
    <row r="8" spans="1:8" x14ac:dyDescent="0.25">
      <c r="A8" s="1"/>
      <c r="B8" s="1"/>
      <c r="C8" s="1"/>
      <c r="D8" s="1"/>
      <c r="E8" s="1"/>
    </row>
    <row r="9" spans="1:8" x14ac:dyDescent="0.25">
      <c r="A9" s="5"/>
      <c r="B9" s="1"/>
      <c r="C9" s="6"/>
      <c r="D9" s="6"/>
      <c r="E9" s="6"/>
    </row>
    <row r="10" spans="1:8" x14ac:dyDescent="0.25">
      <c r="B10" s="7" t="s">
        <v>2</v>
      </c>
      <c r="C10" s="8" t="s">
        <v>3</v>
      </c>
      <c r="D10" s="8" t="s">
        <v>4</v>
      </c>
      <c r="E10" s="9" t="s">
        <v>5</v>
      </c>
      <c r="F10" s="8" t="s">
        <v>6</v>
      </c>
      <c r="G10" s="9" t="s">
        <v>7</v>
      </c>
      <c r="H10" s="9" t="s">
        <v>8</v>
      </c>
    </row>
    <row r="11" spans="1:8" x14ac:dyDescent="0.25">
      <c r="B11" s="10" t="s">
        <v>9</v>
      </c>
      <c r="C11" s="11">
        <v>0</v>
      </c>
      <c r="D11" s="11"/>
      <c r="E11" s="12"/>
      <c r="F11" s="11" t="s">
        <v>10</v>
      </c>
      <c r="G11" s="12" t="s">
        <v>11</v>
      </c>
      <c r="H11" s="13"/>
    </row>
    <row r="12" spans="1:8" x14ac:dyDescent="0.25">
      <c r="B12" s="10" t="s">
        <v>12</v>
      </c>
      <c r="C12" s="11">
        <v>1</v>
      </c>
      <c r="D12" s="11" t="s">
        <v>13</v>
      </c>
      <c r="E12" s="12">
        <v>1</v>
      </c>
      <c r="F12" s="11" t="s">
        <v>10</v>
      </c>
      <c r="G12" s="12" t="s">
        <v>11</v>
      </c>
      <c r="H12" s="13"/>
    </row>
    <row r="13" spans="1:8" x14ac:dyDescent="0.25">
      <c r="B13" s="10" t="s">
        <v>14</v>
      </c>
      <c r="C13" s="11">
        <v>1</v>
      </c>
      <c r="D13" s="11" t="s">
        <v>15</v>
      </c>
      <c r="E13" s="12">
        <v>2</v>
      </c>
      <c r="F13" s="11" t="s">
        <v>10</v>
      </c>
      <c r="G13" s="12" t="s">
        <v>11</v>
      </c>
      <c r="H13" s="13" t="s">
        <v>16</v>
      </c>
    </row>
    <row r="14" spans="1:8" x14ac:dyDescent="0.25">
      <c r="B14" s="10" t="s">
        <v>17</v>
      </c>
      <c r="C14" s="11">
        <v>1</v>
      </c>
      <c r="D14" s="11" t="s">
        <v>18</v>
      </c>
      <c r="E14" s="12">
        <v>3</v>
      </c>
      <c r="F14" s="11" t="s">
        <v>10</v>
      </c>
      <c r="G14" s="12" t="s">
        <v>11</v>
      </c>
      <c r="H14" s="13"/>
    </row>
    <row r="15" spans="1:8" x14ac:dyDescent="0.25">
      <c r="B15" s="10" t="s">
        <v>19</v>
      </c>
      <c r="C15" s="11">
        <v>1</v>
      </c>
      <c r="D15" s="11" t="s">
        <v>20</v>
      </c>
      <c r="E15" s="12">
        <v>4</v>
      </c>
      <c r="F15" s="11" t="s">
        <v>10</v>
      </c>
      <c r="G15" s="12" t="s">
        <v>11</v>
      </c>
      <c r="H15" s="13"/>
    </row>
    <row r="16" spans="1:8" x14ac:dyDescent="0.25">
      <c r="B16" s="10" t="s">
        <v>21</v>
      </c>
      <c r="C16" s="11">
        <v>1</v>
      </c>
      <c r="D16" s="11" t="s">
        <v>22</v>
      </c>
      <c r="E16" s="12">
        <v>6</v>
      </c>
      <c r="F16" s="11" t="s">
        <v>23</v>
      </c>
      <c r="G16" s="12" t="s">
        <v>24</v>
      </c>
      <c r="H16" s="13"/>
    </row>
    <row r="17" spans="2:11" x14ac:dyDescent="0.25">
      <c r="B17" s="10" t="s">
        <v>25</v>
      </c>
      <c r="C17" s="11">
        <v>1</v>
      </c>
      <c r="D17" s="14"/>
      <c r="E17" s="12">
        <v>5</v>
      </c>
      <c r="F17" s="15" t="s">
        <v>26</v>
      </c>
      <c r="G17" s="12" t="s">
        <v>11</v>
      </c>
      <c r="H17" s="13"/>
    </row>
    <row r="18" spans="2:11" x14ac:dyDescent="0.25">
      <c r="B18" s="10" t="s">
        <v>27</v>
      </c>
      <c r="C18" s="16">
        <v>1</v>
      </c>
      <c r="D18" s="17"/>
      <c r="E18" s="18" t="s">
        <v>28</v>
      </c>
      <c r="F18" s="16"/>
      <c r="G18" s="18"/>
      <c r="H18" s="18"/>
    </row>
    <row r="19" spans="2:11" x14ac:dyDescent="0.25">
      <c r="B19" s="19" t="s">
        <v>29</v>
      </c>
      <c r="C19" s="20">
        <v>1</v>
      </c>
      <c r="D19" s="21"/>
      <c r="E19" s="22" t="s">
        <v>28</v>
      </c>
      <c r="F19" s="20"/>
      <c r="G19" s="22"/>
      <c r="H19" s="22"/>
    </row>
    <row r="20" spans="2:11" x14ac:dyDescent="0.25">
      <c r="C20" s="23"/>
      <c r="D20" s="23"/>
      <c r="E20" s="23"/>
    </row>
    <row r="21" spans="2:11" x14ac:dyDescent="0.25">
      <c r="C21" s="23"/>
      <c r="D21" s="23"/>
      <c r="E21" s="23"/>
    </row>
    <row r="22" spans="2:11" x14ac:dyDescent="0.25">
      <c r="C22" s="23"/>
      <c r="D22" s="23"/>
      <c r="E22" s="23"/>
    </row>
    <row r="23" spans="2:11" x14ac:dyDescent="0.25">
      <c r="C23" s="23"/>
      <c r="D23" s="23"/>
      <c r="E23" s="23"/>
    </row>
    <row r="24" spans="2:11" x14ac:dyDescent="0.25">
      <c r="C24" s="23"/>
      <c r="D24" s="23"/>
      <c r="E24" s="23"/>
    </row>
    <row r="25" spans="2:11" x14ac:dyDescent="0.25">
      <c r="B25" s="24" t="str">
        <f t="array" ref="B25:B30">Config!B1:B6</f>
        <v>Urgency</v>
      </c>
      <c r="C25" s="25" t="s">
        <v>30</v>
      </c>
      <c r="D25" s="26" t="s">
        <v>31</v>
      </c>
      <c r="E25" s="23"/>
      <c r="F25" s="26" t="str">
        <f t="array" ref="F25:K25">TRANSPOSE(Config!D2:D7)</f>
        <v>Phase 1</v>
      </c>
      <c r="G25" s="26" t="str">
        <v>Phase 2</v>
      </c>
      <c r="H25" s="26" t="str">
        <v>Phase 3</v>
      </c>
      <c r="I25" s="26" t="str">
        <v>Phase 4</v>
      </c>
      <c r="J25" s="27" t="str">
        <v>Later</v>
      </c>
      <c r="K25" s="27" t="str">
        <v>Never</v>
      </c>
    </row>
    <row r="26" spans="2:11" x14ac:dyDescent="0.25">
      <c r="B26" s="28" t="str">
        <v>Critical</v>
      </c>
      <c r="C26" s="23">
        <f ca="1">COUNTIFS('Requirements List'!L:L,$B26)</f>
        <v>0</v>
      </c>
      <c r="D26" s="23">
        <f t="shared" ref="D26:D30" ca="1" si="1">C26-SUM(F26:J26)</f>
        <v>0</v>
      </c>
      <c r="E26" s="23"/>
      <c r="F26" s="23">
        <f>COUNTIFS('Requirements List'!O:O,$B26,'Requirements List'!P:P,F$25)</f>
        <v>0</v>
      </c>
      <c r="G26" s="23">
        <f>COUNTIFS('Requirements List'!P:P,$B26,'Requirements List'!Q:Q,G$25)</f>
        <v>0</v>
      </c>
      <c r="H26" s="23">
        <f>COUNTIFS('Requirements List'!Q:Q,$B26,'Requirements List'!R:R,H$25)</f>
        <v>0</v>
      </c>
      <c r="I26" s="23">
        <f>COUNTIFS('Requirements List'!R:R,$B26,'Requirements List'!S:S,I$25)</f>
        <v>0</v>
      </c>
    </row>
    <row r="27" spans="2:11" x14ac:dyDescent="0.25">
      <c r="B27" s="28" t="str">
        <v>High</v>
      </c>
      <c r="C27" s="23">
        <f ca="1">COUNTIFS('Requirements List'!L:L,$B27)</f>
        <v>0</v>
      </c>
      <c r="D27" s="23">
        <f t="shared" ca="1" si="1"/>
        <v>0</v>
      </c>
      <c r="E27" s="23"/>
      <c r="F27" s="23">
        <f>COUNTIFS('Requirements List'!O:O,$B27,'Requirements List'!P:P,F$25)</f>
        <v>0</v>
      </c>
      <c r="G27" s="23">
        <f>COUNTIFS('Requirements List'!P:P,$B27,'Requirements List'!Q:Q,G$25)</f>
        <v>0</v>
      </c>
      <c r="H27" s="23">
        <f>COUNTIFS('Requirements List'!Q:Q,$B27,'Requirements List'!R:R,H$25)</f>
        <v>0</v>
      </c>
      <c r="I27" s="23">
        <f>COUNTIFS('Requirements List'!R:R,$B27,'Requirements List'!S:S,I$25)</f>
        <v>0</v>
      </c>
    </row>
    <row r="28" spans="2:11" x14ac:dyDescent="0.25">
      <c r="B28" s="28" t="str">
        <v>Medium-high</v>
      </c>
      <c r="C28" s="23">
        <f ca="1">COUNTIFS('Requirements List'!L:L,$B28)</f>
        <v>0</v>
      </c>
      <c r="D28" s="23">
        <f t="shared" ca="1" si="1"/>
        <v>0</v>
      </c>
      <c r="E28" s="23"/>
      <c r="F28" s="23">
        <f>COUNTIFS('Requirements List'!O:O,$B28,'Requirements List'!P:P,F$25)</f>
        <v>0</v>
      </c>
      <c r="G28" s="23">
        <f>COUNTIFS('Requirements List'!P:P,$B28,'Requirements List'!Q:Q,G$25)</f>
        <v>0</v>
      </c>
      <c r="H28" s="23">
        <f>COUNTIFS('Requirements List'!Q:Q,$B28,'Requirements List'!R:R,H$25)</f>
        <v>0</v>
      </c>
      <c r="I28" s="23">
        <f>COUNTIFS('Requirements List'!R:R,$B28,'Requirements List'!S:S,I$25)</f>
        <v>0</v>
      </c>
    </row>
    <row r="29" spans="2:11" x14ac:dyDescent="0.25">
      <c r="B29" s="28" t="str">
        <v>Medium</v>
      </c>
      <c r="C29" s="23">
        <f ca="1">COUNTIFS('Requirements List'!L:L,$B29)</f>
        <v>0</v>
      </c>
      <c r="D29" s="23">
        <f t="shared" ca="1" si="1"/>
        <v>0</v>
      </c>
      <c r="E29" s="23"/>
      <c r="F29" s="23">
        <f>COUNTIFS('Requirements List'!O:O,$B29,'Requirements List'!P:P,F$25)</f>
        <v>0</v>
      </c>
      <c r="G29" s="23">
        <f>COUNTIFS('Requirements List'!P:P,$B29,'Requirements List'!Q:Q,G$25)</f>
        <v>0</v>
      </c>
      <c r="H29" s="23">
        <f>COUNTIFS('Requirements List'!Q:Q,$B29,'Requirements List'!R:R,H$25)</f>
        <v>0</v>
      </c>
      <c r="I29" s="23">
        <f>COUNTIFS('Requirements List'!R:R,$B29,'Requirements List'!S:S,I$25)</f>
        <v>0</v>
      </c>
    </row>
    <row r="30" spans="2:11" x14ac:dyDescent="0.25">
      <c r="B30" s="28" t="str">
        <v>Low</v>
      </c>
      <c r="C30" s="23">
        <f ca="1">COUNTIFS('Requirements List'!L:L,$B30)</f>
        <v>0</v>
      </c>
      <c r="D30" s="23">
        <f t="shared" ca="1" si="1"/>
        <v>0</v>
      </c>
      <c r="E30" s="23"/>
      <c r="F30" s="23">
        <f>COUNTIFS('Requirements List'!O:O,$B30,'Requirements List'!P:P,F$25)</f>
        <v>0</v>
      </c>
      <c r="G30" s="23">
        <f>COUNTIFS('Requirements List'!P:P,$B30,'Requirements List'!Q:Q,G$25)</f>
        <v>0</v>
      </c>
      <c r="H30" s="23">
        <f>COUNTIFS('Requirements List'!Q:Q,$B30,'Requirements List'!R:R,H$25)</f>
        <v>0</v>
      </c>
      <c r="I30" s="23">
        <f>COUNTIFS('Requirements List'!R:R,$B30,'Requirements List'!S:S,I$25)</f>
        <v>0</v>
      </c>
    </row>
    <row r="31" spans="2:11" x14ac:dyDescent="0.25">
      <c r="C31" s="23"/>
      <c r="D31" s="23"/>
      <c r="E31" s="23"/>
    </row>
    <row r="32" spans="2:11" x14ac:dyDescent="0.25">
      <c r="C32" s="23"/>
      <c r="D32" s="23"/>
      <c r="E32" s="23"/>
    </row>
    <row r="33" spans="3:5" x14ac:dyDescent="0.25">
      <c r="C33" s="23"/>
      <c r="D33" s="23"/>
      <c r="E33" s="23"/>
    </row>
    <row r="34" spans="3:5" x14ac:dyDescent="0.25">
      <c r="C34" s="23"/>
      <c r="D34" s="23"/>
      <c r="E34" s="23"/>
    </row>
    <row r="35" spans="3:5" x14ac:dyDescent="0.25">
      <c r="C35" s="23"/>
      <c r="D35" s="23"/>
      <c r="E35" s="23"/>
    </row>
    <row r="36" spans="3:5" x14ac:dyDescent="0.25">
      <c r="C36" s="23"/>
      <c r="D36" s="23"/>
      <c r="E36" s="23"/>
    </row>
    <row r="37" spans="3:5" x14ac:dyDescent="0.25">
      <c r="C37" s="23"/>
      <c r="D37" s="23"/>
      <c r="E37" s="23"/>
    </row>
    <row r="38" spans="3:5" x14ac:dyDescent="0.25">
      <c r="C38" s="23"/>
      <c r="D38" s="23"/>
      <c r="E38" s="23"/>
    </row>
    <row r="39" spans="3:5" x14ac:dyDescent="0.25">
      <c r="C39" s="23"/>
      <c r="D39" s="23"/>
      <c r="E39" s="23"/>
    </row>
    <row r="40" spans="3:5" x14ac:dyDescent="0.25">
      <c r="C40" s="23"/>
      <c r="D40" s="23"/>
      <c r="E40" s="23"/>
    </row>
    <row r="41" spans="3:5" x14ac:dyDescent="0.25">
      <c r="C41" s="23"/>
      <c r="D41" s="23"/>
      <c r="E41" s="23"/>
    </row>
    <row r="42" spans="3:5" x14ac:dyDescent="0.25">
      <c r="C42" s="23"/>
      <c r="D42" s="23"/>
      <c r="E42" s="23"/>
    </row>
    <row r="43" spans="3:5" x14ac:dyDescent="0.25">
      <c r="C43" s="23"/>
      <c r="D43" s="23"/>
      <c r="E43" s="23"/>
    </row>
    <row r="44" spans="3:5" x14ac:dyDescent="0.25">
      <c r="C44" s="23"/>
      <c r="D44" s="23"/>
      <c r="E44" s="23"/>
    </row>
    <row r="45" spans="3:5" x14ac:dyDescent="0.25">
      <c r="C45" s="23"/>
      <c r="D45" s="23"/>
      <c r="E45" s="23"/>
    </row>
    <row r="46" spans="3:5" x14ac:dyDescent="0.25">
      <c r="C46" s="23"/>
      <c r="D46" s="23"/>
      <c r="E46" s="23"/>
    </row>
    <row r="47" spans="3:5" x14ac:dyDescent="0.25">
      <c r="C47" s="23"/>
      <c r="D47" s="23"/>
      <c r="E47" s="23"/>
    </row>
    <row r="48" spans="3:5" x14ac:dyDescent="0.25">
      <c r="C48" s="23"/>
      <c r="D48" s="23"/>
      <c r="E48" s="23"/>
    </row>
    <row r="49" spans="3:5" x14ac:dyDescent="0.25">
      <c r="C49" s="23"/>
      <c r="D49" s="23"/>
      <c r="E49" s="23"/>
    </row>
    <row r="50" spans="3:5" x14ac:dyDescent="0.25">
      <c r="C50" s="23"/>
      <c r="D50" s="23"/>
      <c r="E50" s="23"/>
    </row>
    <row r="51" spans="3:5" x14ac:dyDescent="0.25">
      <c r="C51" s="23"/>
      <c r="D51" s="23"/>
      <c r="E51" s="23"/>
    </row>
    <row r="52" spans="3:5" x14ac:dyDescent="0.25">
      <c r="C52" s="23"/>
      <c r="D52" s="23"/>
      <c r="E52" s="23"/>
    </row>
    <row r="53" spans="3:5" x14ac:dyDescent="0.25">
      <c r="C53" s="23"/>
      <c r="D53" s="23"/>
      <c r="E53" s="23"/>
    </row>
    <row r="54" spans="3:5" x14ac:dyDescent="0.25">
      <c r="C54" s="23"/>
      <c r="D54" s="23"/>
      <c r="E54" s="23"/>
    </row>
    <row r="55" spans="3:5" x14ac:dyDescent="0.25">
      <c r="C55" s="23"/>
      <c r="D55" s="23"/>
      <c r="E55" s="23"/>
    </row>
    <row r="56" spans="3:5" x14ac:dyDescent="0.25">
      <c r="C56" s="23"/>
      <c r="D56" s="23"/>
      <c r="E56" s="23"/>
    </row>
    <row r="57" spans="3:5" x14ac:dyDescent="0.25">
      <c r="C57" s="23"/>
      <c r="D57" s="23"/>
      <c r="E57" s="23"/>
    </row>
    <row r="58" spans="3:5" x14ac:dyDescent="0.25">
      <c r="C58" s="23"/>
      <c r="D58" s="23"/>
      <c r="E58" s="23"/>
    </row>
    <row r="59" spans="3:5" x14ac:dyDescent="0.25">
      <c r="C59" s="23"/>
      <c r="D59" s="23"/>
      <c r="E59" s="23"/>
    </row>
    <row r="60" spans="3:5" x14ac:dyDescent="0.25">
      <c r="C60" s="23"/>
      <c r="D60" s="23"/>
      <c r="E60" s="23"/>
    </row>
    <row r="61" spans="3:5" x14ac:dyDescent="0.25">
      <c r="C61" s="23"/>
      <c r="D61" s="23"/>
      <c r="E61" s="23"/>
    </row>
    <row r="62" spans="3:5" x14ac:dyDescent="0.25">
      <c r="C62" s="23"/>
      <c r="D62" s="23"/>
      <c r="E62" s="23"/>
    </row>
    <row r="63" spans="3:5" x14ac:dyDescent="0.25">
      <c r="C63" s="23"/>
      <c r="D63" s="23"/>
      <c r="E63" s="23"/>
    </row>
    <row r="64" spans="3:5" x14ac:dyDescent="0.25">
      <c r="C64" s="23"/>
      <c r="D64" s="23"/>
      <c r="E64" s="23"/>
    </row>
    <row r="65" spans="3:5" x14ac:dyDescent="0.25">
      <c r="C65" s="23"/>
      <c r="D65" s="23"/>
      <c r="E65" s="23"/>
    </row>
    <row r="66" spans="3:5" x14ac:dyDescent="0.25">
      <c r="C66" s="23"/>
      <c r="D66" s="23"/>
      <c r="E66" s="23"/>
    </row>
    <row r="67" spans="3:5" x14ac:dyDescent="0.25">
      <c r="C67" s="23"/>
      <c r="D67" s="23"/>
      <c r="E67" s="23"/>
    </row>
    <row r="68" spans="3:5" x14ac:dyDescent="0.25">
      <c r="C68" s="23"/>
      <c r="D68" s="23"/>
      <c r="E68" s="23"/>
    </row>
    <row r="69" spans="3:5" x14ac:dyDescent="0.25">
      <c r="C69" s="23"/>
      <c r="D69" s="23"/>
      <c r="E69" s="23"/>
    </row>
    <row r="70" spans="3:5" x14ac:dyDescent="0.25">
      <c r="C70" s="23"/>
      <c r="D70" s="23"/>
      <c r="E70" s="23"/>
    </row>
    <row r="71" spans="3:5" x14ac:dyDescent="0.25">
      <c r="C71" s="23"/>
      <c r="D71" s="23"/>
      <c r="E71" s="23"/>
    </row>
    <row r="72" spans="3:5" x14ac:dyDescent="0.25">
      <c r="C72" s="23"/>
      <c r="D72" s="23"/>
      <c r="E72" s="23"/>
    </row>
    <row r="73" spans="3:5" x14ac:dyDescent="0.25">
      <c r="C73" s="23"/>
      <c r="D73" s="23"/>
      <c r="E73" s="23"/>
    </row>
    <row r="74" spans="3:5" x14ac:dyDescent="0.25">
      <c r="C74" s="23"/>
      <c r="D74" s="23"/>
      <c r="E74" s="23"/>
    </row>
    <row r="75" spans="3:5" x14ac:dyDescent="0.25">
      <c r="C75" s="23"/>
      <c r="D75" s="23"/>
      <c r="E75" s="23"/>
    </row>
    <row r="76" spans="3:5" x14ac:dyDescent="0.25">
      <c r="C76" s="23"/>
      <c r="D76" s="23"/>
      <c r="E76" s="23"/>
    </row>
    <row r="77" spans="3:5" x14ac:dyDescent="0.25">
      <c r="C77" s="23"/>
      <c r="D77" s="23"/>
      <c r="E77" s="23"/>
    </row>
    <row r="78" spans="3:5" x14ac:dyDescent="0.25">
      <c r="C78" s="23"/>
      <c r="D78" s="23"/>
      <c r="E78" s="23"/>
    </row>
    <row r="79" spans="3:5" x14ac:dyDescent="0.25">
      <c r="C79" s="23"/>
      <c r="D79" s="23"/>
      <c r="E79" s="23"/>
    </row>
    <row r="80" spans="3:5" x14ac:dyDescent="0.25">
      <c r="C80" s="23"/>
      <c r="D80" s="23"/>
      <c r="E80" s="23"/>
    </row>
    <row r="81" spans="3:5" x14ac:dyDescent="0.25">
      <c r="C81" s="23"/>
      <c r="D81" s="23"/>
      <c r="E81" s="23"/>
    </row>
    <row r="82" spans="3:5" x14ac:dyDescent="0.25">
      <c r="C82" s="23"/>
      <c r="D82" s="23"/>
      <c r="E82" s="23"/>
    </row>
    <row r="83" spans="3:5" x14ac:dyDescent="0.25">
      <c r="C83" s="23"/>
      <c r="D83" s="23"/>
      <c r="E83" s="23"/>
    </row>
    <row r="84" spans="3:5" x14ac:dyDescent="0.25">
      <c r="C84" s="23"/>
      <c r="D84" s="23"/>
      <c r="E84" s="23"/>
    </row>
    <row r="85" spans="3:5" x14ac:dyDescent="0.25">
      <c r="C85" s="23"/>
      <c r="D85" s="23"/>
      <c r="E85" s="23"/>
    </row>
    <row r="86" spans="3:5" x14ac:dyDescent="0.25">
      <c r="C86" s="23"/>
      <c r="D86" s="23"/>
      <c r="E86" s="23"/>
    </row>
    <row r="87" spans="3:5" x14ac:dyDescent="0.25">
      <c r="C87" s="23"/>
      <c r="D87" s="23"/>
      <c r="E87" s="23"/>
    </row>
    <row r="88" spans="3:5" x14ac:dyDescent="0.25">
      <c r="C88" s="23"/>
      <c r="D88" s="23"/>
      <c r="E88" s="23"/>
    </row>
    <row r="89" spans="3:5" x14ac:dyDescent="0.25">
      <c r="C89" s="23"/>
      <c r="D89" s="23"/>
      <c r="E89" s="23"/>
    </row>
    <row r="90" spans="3:5" x14ac:dyDescent="0.25">
      <c r="C90" s="23"/>
      <c r="D90" s="23"/>
      <c r="E90" s="23"/>
    </row>
    <row r="91" spans="3:5" x14ac:dyDescent="0.25">
      <c r="C91" s="23"/>
      <c r="D91" s="23"/>
      <c r="E91" s="23"/>
    </row>
    <row r="92" spans="3:5" x14ac:dyDescent="0.25">
      <c r="C92" s="23"/>
      <c r="D92" s="23"/>
      <c r="E92" s="23"/>
    </row>
    <row r="93" spans="3:5" x14ac:dyDescent="0.25">
      <c r="C93" s="23"/>
      <c r="D93" s="23"/>
      <c r="E93" s="23"/>
    </row>
    <row r="94" spans="3:5" x14ac:dyDescent="0.25">
      <c r="C94" s="23"/>
      <c r="D94" s="23"/>
      <c r="E94" s="23"/>
    </row>
    <row r="95" spans="3:5" x14ac:dyDescent="0.25">
      <c r="C95" s="23"/>
      <c r="D95" s="23"/>
      <c r="E95" s="23"/>
    </row>
    <row r="96" spans="3:5" x14ac:dyDescent="0.25">
      <c r="C96" s="23"/>
      <c r="D96" s="23"/>
      <c r="E96" s="23"/>
    </row>
    <row r="97" spans="3:5" x14ac:dyDescent="0.25">
      <c r="C97" s="23"/>
      <c r="D97" s="23"/>
      <c r="E97" s="23"/>
    </row>
    <row r="98" spans="3:5" x14ac:dyDescent="0.25">
      <c r="C98" s="23"/>
      <c r="D98" s="23"/>
      <c r="E98" s="23"/>
    </row>
    <row r="99" spans="3:5" x14ac:dyDescent="0.25">
      <c r="C99" s="23"/>
      <c r="D99" s="23"/>
      <c r="E99" s="23"/>
    </row>
    <row r="100" spans="3:5" x14ac:dyDescent="0.25">
      <c r="C100" s="23"/>
      <c r="D100" s="23"/>
      <c r="E100" s="23"/>
    </row>
    <row r="101" spans="3:5" x14ac:dyDescent="0.25">
      <c r="C101" s="23"/>
      <c r="D101" s="23"/>
      <c r="E101" s="23"/>
    </row>
    <row r="102" spans="3:5" x14ac:dyDescent="0.25">
      <c r="C102" s="23"/>
      <c r="D102" s="23"/>
      <c r="E102" s="23"/>
    </row>
    <row r="103" spans="3:5" x14ac:dyDescent="0.25">
      <c r="C103" s="23"/>
      <c r="D103" s="23"/>
      <c r="E103" s="23"/>
    </row>
    <row r="104" spans="3:5" x14ac:dyDescent="0.25">
      <c r="C104" s="23"/>
      <c r="D104" s="23"/>
      <c r="E104" s="23"/>
    </row>
    <row r="105" spans="3:5" x14ac:dyDescent="0.25">
      <c r="C105" s="23"/>
      <c r="D105" s="23"/>
      <c r="E105" s="23"/>
    </row>
    <row r="106" spans="3:5" x14ac:dyDescent="0.25">
      <c r="C106" s="23"/>
      <c r="D106" s="23"/>
      <c r="E106" s="23"/>
    </row>
    <row r="107" spans="3:5" x14ac:dyDescent="0.25">
      <c r="C107" s="23"/>
      <c r="D107" s="23"/>
      <c r="E107" s="23"/>
    </row>
    <row r="108" spans="3:5" x14ac:dyDescent="0.25">
      <c r="C108" s="23"/>
      <c r="D108" s="23"/>
      <c r="E108" s="23"/>
    </row>
    <row r="109" spans="3:5" x14ac:dyDescent="0.25">
      <c r="C109" s="23"/>
      <c r="D109" s="23"/>
      <c r="E109" s="23"/>
    </row>
    <row r="110" spans="3:5" x14ac:dyDescent="0.25">
      <c r="C110" s="23"/>
      <c r="D110" s="23"/>
      <c r="E110" s="23"/>
    </row>
    <row r="111" spans="3:5" x14ac:dyDescent="0.25">
      <c r="C111" s="23"/>
      <c r="D111" s="23"/>
      <c r="E111" s="23"/>
    </row>
    <row r="112" spans="3:5" x14ac:dyDescent="0.25">
      <c r="C112" s="23"/>
      <c r="D112" s="23"/>
      <c r="E112" s="23"/>
    </row>
    <row r="113" spans="3:5" x14ac:dyDescent="0.25">
      <c r="C113" s="23"/>
      <c r="D113" s="23"/>
      <c r="E113" s="23"/>
    </row>
    <row r="114" spans="3:5" x14ac:dyDescent="0.25">
      <c r="C114" s="23"/>
      <c r="D114" s="23"/>
      <c r="E114" s="23"/>
    </row>
    <row r="115" spans="3:5" x14ac:dyDescent="0.25">
      <c r="C115" s="23"/>
      <c r="D115" s="23"/>
      <c r="E115" s="23"/>
    </row>
    <row r="116" spans="3:5" x14ac:dyDescent="0.25">
      <c r="C116" s="23"/>
      <c r="D116" s="23"/>
      <c r="E116" s="23"/>
    </row>
    <row r="117" spans="3:5" x14ac:dyDescent="0.25">
      <c r="C117" s="23"/>
      <c r="D117" s="23"/>
      <c r="E117" s="23"/>
    </row>
    <row r="118" spans="3:5" x14ac:dyDescent="0.25">
      <c r="C118" s="23"/>
      <c r="D118" s="23"/>
      <c r="E118" s="23"/>
    </row>
    <row r="119" spans="3:5" x14ac:dyDescent="0.25">
      <c r="C119" s="23"/>
      <c r="D119" s="23"/>
      <c r="E119" s="23"/>
    </row>
    <row r="120" spans="3:5" x14ac:dyDescent="0.25">
      <c r="C120" s="23"/>
      <c r="D120" s="23"/>
      <c r="E120" s="23"/>
    </row>
    <row r="121" spans="3:5" x14ac:dyDescent="0.25">
      <c r="C121" s="23"/>
      <c r="D121" s="23"/>
      <c r="E121" s="23"/>
    </row>
    <row r="122" spans="3:5" x14ac:dyDescent="0.25">
      <c r="C122" s="23"/>
      <c r="D122" s="23"/>
      <c r="E122" s="23"/>
    </row>
    <row r="123" spans="3:5" x14ac:dyDescent="0.25">
      <c r="C123" s="23"/>
      <c r="D123" s="23"/>
      <c r="E123" s="23"/>
    </row>
    <row r="124" spans="3:5" x14ac:dyDescent="0.25">
      <c r="C124" s="23"/>
      <c r="D124" s="23"/>
      <c r="E124" s="23"/>
    </row>
    <row r="125" spans="3:5" x14ac:dyDescent="0.25">
      <c r="C125" s="23"/>
      <c r="D125" s="23"/>
      <c r="E125" s="23"/>
    </row>
    <row r="126" spans="3:5" x14ac:dyDescent="0.25">
      <c r="C126" s="23"/>
      <c r="D126" s="23"/>
      <c r="E126" s="23"/>
    </row>
    <row r="127" spans="3:5" x14ac:dyDescent="0.25">
      <c r="C127" s="23"/>
      <c r="D127" s="23"/>
      <c r="E127" s="23"/>
    </row>
    <row r="128" spans="3:5" x14ac:dyDescent="0.25">
      <c r="C128" s="23"/>
      <c r="D128" s="23"/>
      <c r="E128" s="23"/>
    </row>
    <row r="129" spans="3:5" x14ac:dyDescent="0.25">
      <c r="C129" s="23"/>
      <c r="D129" s="23"/>
      <c r="E129" s="23"/>
    </row>
    <row r="130" spans="3:5" x14ac:dyDescent="0.25">
      <c r="C130" s="23"/>
      <c r="D130" s="23"/>
      <c r="E130" s="23"/>
    </row>
    <row r="131" spans="3:5" x14ac:dyDescent="0.25">
      <c r="C131" s="23"/>
      <c r="D131" s="23"/>
      <c r="E131" s="23"/>
    </row>
    <row r="132" spans="3:5" x14ac:dyDescent="0.25">
      <c r="C132" s="23"/>
      <c r="D132" s="23"/>
      <c r="E132" s="23"/>
    </row>
    <row r="133" spans="3:5" x14ac:dyDescent="0.25">
      <c r="C133" s="23"/>
      <c r="D133" s="23"/>
      <c r="E133" s="23"/>
    </row>
    <row r="134" spans="3:5" x14ac:dyDescent="0.25">
      <c r="C134" s="23"/>
      <c r="D134" s="23"/>
      <c r="E134" s="23"/>
    </row>
    <row r="135" spans="3:5" x14ac:dyDescent="0.25">
      <c r="C135" s="23"/>
      <c r="D135" s="23"/>
      <c r="E135" s="23"/>
    </row>
    <row r="136" spans="3:5" x14ac:dyDescent="0.25">
      <c r="C136" s="23"/>
      <c r="D136" s="23"/>
      <c r="E136" s="23"/>
    </row>
    <row r="137" spans="3:5" x14ac:dyDescent="0.25">
      <c r="C137" s="23"/>
      <c r="D137" s="23"/>
      <c r="E137" s="23"/>
    </row>
    <row r="138" spans="3:5" x14ac:dyDescent="0.25">
      <c r="C138" s="23"/>
      <c r="D138" s="23"/>
      <c r="E138" s="23"/>
    </row>
    <row r="139" spans="3:5" x14ac:dyDescent="0.25">
      <c r="C139" s="23"/>
      <c r="D139" s="23"/>
      <c r="E139" s="23"/>
    </row>
    <row r="140" spans="3:5" x14ac:dyDescent="0.25">
      <c r="C140" s="23"/>
      <c r="D140" s="23"/>
      <c r="E140" s="23"/>
    </row>
    <row r="141" spans="3:5" x14ac:dyDescent="0.25">
      <c r="C141" s="23"/>
      <c r="D141" s="23"/>
      <c r="E141" s="23"/>
    </row>
    <row r="142" spans="3:5" x14ac:dyDescent="0.25">
      <c r="C142" s="23"/>
      <c r="D142" s="23"/>
      <c r="E142" s="23"/>
    </row>
    <row r="143" spans="3:5" x14ac:dyDescent="0.25">
      <c r="C143" s="23"/>
      <c r="D143" s="23"/>
      <c r="E143" s="23"/>
    </row>
    <row r="144" spans="3:5" x14ac:dyDescent="0.25">
      <c r="C144" s="23"/>
      <c r="D144" s="23"/>
      <c r="E144" s="23"/>
    </row>
    <row r="145" spans="3:5" x14ac:dyDescent="0.25">
      <c r="C145" s="23"/>
      <c r="D145" s="23"/>
      <c r="E145" s="23"/>
    </row>
    <row r="146" spans="3:5" x14ac:dyDescent="0.25">
      <c r="C146" s="23"/>
      <c r="D146" s="23"/>
      <c r="E146" s="23"/>
    </row>
    <row r="147" spans="3:5" x14ac:dyDescent="0.25">
      <c r="C147" s="23"/>
      <c r="D147" s="23"/>
      <c r="E147" s="23"/>
    </row>
    <row r="148" spans="3:5" x14ac:dyDescent="0.25">
      <c r="C148" s="23"/>
      <c r="D148" s="23"/>
      <c r="E148" s="23"/>
    </row>
    <row r="149" spans="3:5" x14ac:dyDescent="0.25">
      <c r="C149" s="23"/>
      <c r="D149" s="23"/>
      <c r="E149" s="23"/>
    </row>
    <row r="150" spans="3:5" x14ac:dyDescent="0.25">
      <c r="C150" s="23"/>
      <c r="D150" s="23"/>
      <c r="E150" s="23"/>
    </row>
    <row r="151" spans="3:5" x14ac:dyDescent="0.25">
      <c r="C151" s="23"/>
      <c r="D151" s="23"/>
      <c r="E151" s="23"/>
    </row>
    <row r="152" spans="3:5" x14ac:dyDescent="0.25">
      <c r="C152" s="23"/>
      <c r="D152" s="23"/>
      <c r="E152" s="23"/>
    </row>
    <row r="153" spans="3:5" x14ac:dyDescent="0.25">
      <c r="C153" s="23"/>
      <c r="D153" s="23"/>
      <c r="E153" s="23"/>
    </row>
    <row r="154" spans="3:5" x14ac:dyDescent="0.25">
      <c r="C154" s="23"/>
      <c r="D154" s="23"/>
      <c r="E154" s="23"/>
    </row>
    <row r="155" spans="3:5" x14ac:dyDescent="0.25">
      <c r="C155" s="23"/>
      <c r="D155" s="23"/>
      <c r="E155" s="23"/>
    </row>
    <row r="156" spans="3:5" x14ac:dyDescent="0.25">
      <c r="C156" s="23"/>
      <c r="D156" s="23"/>
      <c r="E156" s="23"/>
    </row>
    <row r="157" spans="3:5" x14ac:dyDescent="0.25">
      <c r="C157" s="23"/>
      <c r="D157" s="23"/>
      <c r="E157" s="23"/>
    </row>
    <row r="158" spans="3:5" x14ac:dyDescent="0.25">
      <c r="C158" s="23"/>
      <c r="D158" s="23"/>
      <c r="E158" s="23"/>
    </row>
    <row r="159" spans="3:5" x14ac:dyDescent="0.25">
      <c r="C159" s="23"/>
      <c r="D159" s="23"/>
      <c r="E159" s="23"/>
    </row>
    <row r="160" spans="3:5" x14ac:dyDescent="0.25">
      <c r="C160" s="23"/>
      <c r="D160" s="23"/>
      <c r="E160" s="23"/>
    </row>
    <row r="161" spans="3:5" x14ac:dyDescent="0.25">
      <c r="C161" s="23"/>
      <c r="D161" s="23"/>
      <c r="E161" s="23"/>
    </row>
    <row r="162" spans="3:5" x14ac:dyDescent="0.25">
      <c r="C162" s="23"/>
      <c r="D162" s="23"/>
      <c r="E162" s="23"/>
    </row>
    <row r="163" spans="3:5" x14ac:dyDescent="0.25">
      <c r="C163" s="23"/>
      <c r="D163" s="23"/>
      <c r="E163" s="23"/>
    </row>
    <row r="164" spans="3:5" x14ac:dyDescent="0.25">
      <c r="C164" s="23"/>
      <c r="D164" s="23"/>
      <c r="E164" s="23"/>
    </row>
    <row r="165" spans="3:5" x14ac:dyDescent="0.25">
      <c r="C165" s="23"/>
      <c r="D165" s="23"/>
      <c r="E165" s="23"/>
    </row>
    <row r="166" spans="3:5" x14ac:dyDescent="0.25">
      <c r="C166" s="23"/>
      <c r="D166" s="23"/>
      <c r="E166" s="23"/>
    </row>
    <row r="167" spans="3:5" x14ac:dyDescent="0.25">
      <c r="C167" s="23"/>
      <c r="D167" s="23"/>
      <c r="E167" s="23"/>
    </row>
    <row r="168" spans="3:5" x14ac:dyDescent="0.25">
      <c r="C168" s="23"/>
      <c r="D168" s="23"/>
      <c r="E168" s="23"/>
    </row>
    <row r="169" spans="3:5" x14ac:dyDescent="0.25">
      <c r="C169" s="23"/>
      <c r="D169" s="23"/>
      <c r="E169" s="23"/>
    </row>
    <row r="170" spans="3:5" x14ac:dyDescent="0.25">
      <c r="C170" s="23"/>
      <c r="D170" s="23"/>
      <c r="E170" s="23"/>
    </row>
    <row r="171" spans="3:5" x14ac:dyDescent="0.25">
      <c r="C171" s="23"/>
      <c r="D171" s="23"/>
      <c r="E171" s="23"/>
    </row>
    <row r="172" spans="3:5" x14ac:dyDescent="0.25">
      <c r="C172" s="23"/>
      <c r="D172" s="23"/>
      <c r="E172" s="23"/>
    </row>
    <row r="173" spans="3:5" x14ac:dyDescent="0.25">
      <c r="C173" s="23"/>
      <c r="D173" s="23"/>
      <c r="E173" s="23"/>
    </row>
    <row r="174" spans="3:5" x14ac:dyDescent="0.25">
      <c r="C174" s="23"/>
      <c r="D174" s="23"/>
      <c r="E174" s="23"/>
    </row>
    <row r="175" spans="3:5" x14ac:dyDescent="0.25">
      <c r="C175" s="23"/>
      <c r="D175" s="23"/>
      <c r="E175" s="23"/>
    </row>
    <row r="176" spans="3:5" x14ac:dyDescent="0.25">
      <c r="C176" s="23"/>
      <c r="D176" s="23"/>
      <c r="E176" s="23"/>
    </row>
    <row r="177" spans="3:5" x14ac:dyDescent="0.25">
      <c r="C177" s="23"/>
      <c r="D177" s="23"/>
      <c r="E177" s="23"/>
    </row>
    <row r="178" spans="3:5" x14ac:dyDescent="0.25">
      <c r="C178" s="23"/>
      <c r="D178" s="23"/>
      <c r="E178" s="23"/>
    </row>
    <row r="179" spans="3:5" x14ac:dyDescent="0.25">
      <c r="C179" s="23"/>
      <c r="D179" s="23"/>
      <c r="E179" s="23"/>
    </row>
    <row r="180" spans="3:5" x14ac:dyDescent="0.25">
      <c r="C180" s="23"/>
      <c r="D180" s="23"/>
      <c r="E180" s="23"/>
    </row>
    <row r="181" spans="3:5" x14ac:dyDescent="0.25">
      <c r="C181" s="23"/>
      <c r="D181" s="23"/>
      <c r="E181" s="23"/>
    </row>
    <row r="182" spans="3:5" x14ac:dyDescent="0.25">
      <c r="C182" s="23"/>
      <c r="D182" s="23"/>
      <c r="E182" s="23"/>
    </row>
    <row r="183" spans="3:5" x14ac:dyDescent="0.25">
      <c r="C183" s="23"/>
      <c r="D183" s="23"/>
      <c r="E183" s="23"/>
    </row>
    <row r="184" spans="3:5" x14ac:dyDescent="0.25">
      <c r="C184" s="23"/>
      <c r="D184" s="23"/>
      <c r="E184" s="23"/>
    </row>
    <row r="185" spans="3:5" x14ac:dyDescent="0.25">
      <c r="C185" s="23"/>
      <c r="D185" s="23"/>
      <c r="E185" s="23"/>
    </row>
    <row r="186" spans="3:5" x14ac:dyDescent="0.25">
      <c r="C186" s="23"/>
      <c r="D186" s="23"/>
      <c r="E186" s="23"/>
    </row>
    <row r="187" spans="3:5" x14ac:dyDescent="0.25">
      <c r="C187" s="23"/>
      <c r="D187" s="23"/>
      <c r="E187" s="23"/>
    </row>
    <row r="188" spans="3:5" x14ac:dyDescent="0.25">
      <c r="C188" s="23"/>
      <c r="D188" s="23"/>
      <c r="E188" s="23"/>
    </row>
    <row r="189" spans="3:5" x14ac:dyDescent="0.25">
      <c r="C189" s="23"/>
      <c r="D189" s="23"/>
      <c r="E189" s="23"/>
    </row>
    <row r="190" spans="3:5" x14ac:dyDescent="0.25">
      <c r="C190" s="23"/>
      <c r="D190" s="23"/>
      <c r="E190" s="23"/>
    </row>
    <row r="191" spans="3:5" x14ac:dyDescent="0.25">
      <c r="C191" s="23"/>
      <c r="D191" s="23"/>
      <c r="E191" s="23"/>
    </row>
    <row r="192" spans="3:5" x14ac:dyDescent="0.25">
      <c r="C192" s="23"/>
      <c r="D192" s="23"/>
      <c r="E192" s="23"/>
    </row>
    <row r="193" spans="3:5" x14ac:dyDescent="0.25">
      <c r="C193" s="23"/>
      <c r="D193" s="23"/>
      <c r="E193" s="23"/>
    </row>
    <row r="194" spans="3:5" x14ac:dyDescent="0.25">
      <c r="C194" s="23"/>
      <c r="D194" s="23"/>
      <c r="E194" s="23"/>
    </row>
    <row r="195" spans="3:5" x14ac:dyDescent="0.25">
      <c r="C195" s="23"/>
      <c r="D195" s="23"/>
      <c r="E195" s="23"/>
    </row>
    <row r="196" spans="3:5" x14ac:dyDescent="0.25">
      <c r="C196" s="23"/>
      <c r="D196" s="23"/>
      <c r="E196" s="23"/>
    </row>
    <row r="197" spans="3:5" x14ac:dyDescent="0.25">
      <c r="C197" s="23"/>
      <c r="D197" s="23"/>
      <c r="E197" s="23"/>
    </row>
    <row r="198" spans="3:5" x14ac:dyDescent="0.25">
      <c r="C198" s="23"/>
      <c r="D198" s="23"/>
      <c r="E198" s="23"/>
    </row>
    <row r="199" spans="3:5" x14ac:dyDescent="0.25">
      <c r="C199" s="23"/>
      <c r="D199" s="23"/>
      <c r="E199" s="23"/>
    </row>
    <row r="200" spans="3:5" x14ac:dyDescent="0.25">
      <c r="C200" s="23"/>
      <c r="D200" s="23"/>
      <c r="E200" s="23"/>
    </row>
    <row r="201" spans="3:5" x14ac:dyDescent="0.25">
      <c r="C201" s="23"/>
      <c r="D201" s="23"/>
      <c r="E201" s="23"/>
    </row>
    <row r="202" spans="3:5" x14ac:dyDescent="0.25">
      <c r="C202" s="23"/>
      <c r="D202" s="23"/>
      <c r="E202" s="23"/>
    </row>
    <row r="203" spans="3:5" x14ac:dyDescent="0.25">
      <c r="C203" s="23"/>
      <c r="D203" s="23"/>
      <c r="E203" s="23"/>
    </row>
    <row r="204" spans="3:5" x14ac:dyDescent="0.25">
      <c r="C204" s="23"/>
      <c r="D204" s="23"/>
      <c r="E204" s="23"/>
    </row>
    <row r="205" spans="3:5" x14ac:dyDescent="0.25">
      <c r="C205" s="23"/>
      <c r="D205" s="23"/>
      <c r="E205" s="23"/>
    </row>
    <row r="206" spans="3:5" x14ac:dyDescent="0.25">
      <c r="C206" s="23"/>
      <c r="D206" s="23"/>
      <c r="E206" s="23"/>
    </row>
    <row r="207" spans="3:5" x14ac:dyDescent="0.25">
      <c r="C207" s="23"/>
      <c r="D207" s="23"/>
      <c r="E207" s="23"/>
    </row>
    <row r="208" spans="3:5" x14ac:dyDescent="0.25">
      <c r="C208" s="23"/>
      <c r="D208" s="23"/>
      <c r="E208" s="23"/>
    </row>
    <row r="209" spans="3:5" x14ac:dyDescent="0.25">
      <c r="C209" s="23"/>
      <c r="D209" s="23"/>
      <c r="E209" s="23"/>
    </row>
    <row r="210" spans="3:5" x14ac:dyDescent="0.25">
      <c r="C210" s="23"/>
      <c r="D210" s="23"/>
      <c r="E210" s="23"/>
    </row>
    <row r="211" spans="3:5" x14ac:dyDescent="0.25">
      <c r="C211" s="23"/>
      <c r="D211" s="23"/>
      <c r="E211" s="23"/>
    </row>
    <row r="212" spans="3:5" x14ac:dyDescent="0.25">
      <c r="C212" s="23"/>
      <c r="D212" s="23"/>
      <c r="E212" s="23"/>
    </row>
    <row r="213" spans="3:5" x14ac:dyDescent="0.25">
      <c r="C213" s="23"/>
      <c r="D213" s="23"/>
      <c r="E213" s="23"/>
    </row>
    <row r="214" spans="3:5" x14ac:dyDescent="0.25">
      <c r="C214" s="23"/>
      <c r="D214" s="23"/>
      <c r="E214" s="23"/>
    </row>
    <row r="215" spans="3:5" x14ac:dyDescent="0.25">
      <c r="C215" s="23"/>
      <c r="D215" s="23"/>
      <c r="E215" s="23"/>
    </row>
    <row r="216" spans="3:5" x14ac:dyDescent="0.25">
      <c r="C216" s="23"/>
      <c r="D216" s="23"/>
      <c r="E216" s="23"/>
    </row>
    <row r="217" spans="3:5" x14ac:dyDescent="0.25">
      <c r="C217" s="23"/>
      <c r="D217" s="23"/>
      <c r="E217" s="23"/>
    </row>
    <row r="218" spans="3:5" x14ac:dyDescent="0.25">
      <c r="C218" s="23"/>
      <c r="D218" s="23"/>
      <c r="E218" s="23"/>
    </row>
    <row r="219" spans="3:5" x14ac:dyDescent="0.25">
      <c r="C219" s="23"/>
      <c r="D219" s="23"/>
      <c r="E219" s="23"/>
    </row>
    <row r="220" spans="3:5" x14ac:dyDescent="0.25">
      <c r="C220" s="23"/>
      <c r="D220" s="23"/>
      <c r="E220" s="23"/>
    </row>
    <row r="221" spans="3:5" x14ac:dyDescent="0.25">
      <c r="C221" s="23"/>
      <c r="D221" s="23"/>
      <c r="E221" s="23"/>
    </row>
    <row r="222" spans="3:5" x14ac:dyDescent="0.25">
      <c r="C222" s="23"/>
      <c r="D222" s="23"/>
      <c r="E222" s="23"/>
    </row>
    <row r="223" spans="3:5" x14ac:dyDescent="0.25">
      <c r="C223" s="23"/>
      <c r="D223" s="23"/>
      <c r="E223" s="23"/>
    </row>
    <row r="224" spans="3:5" x14ac:dyDescent="0.25">
      <c r="C224" s="23"/>
      <c r="D224" s="23"/>
      <c r="E224" s="23"/>
    </row>
    <row r="225" spans="3:5" x14ac:dyDescent="0.25">
      <c r="C225" s="23"/>
      <c r="D225" s="23"/>
      <c r="E225" s="23"/>
    </row>
    <row r="226" spans="3:5" x14ac:dyDescent="0.25">
      <c r="C226" s="23"/>
      <c r="D226" s="23"/>
      <c r="E226" s="23"/>
    </row>
    <row r="227" spans="3:5" x14ac:dyDescent="0.25">
      <c r="C227" s="23"/>
      <c r="D227" s="23"/>
      <c r="E227" s="23"/>
    </row>
    <row r="228" spans="3:5" x14ac:dyDescent="0.25">
      <c r="C228" s="23"/>
      <c r="D228" s="23"/>
      <c r="E228" s="23"/>
    </row>
    <row r="229" spans="3:5" x14ac:dyDescent="0.25">
      <c r="C229" s="23"/>
      <c r="D229" s="23"/>
      <c r="E229" s="23"/>
    </row>
    <row r="230" spans="3:5" x14ac:dyDescent="0.25">
      <c r="C230" s="23"/>
      <c r="D230" s="23"/>
      <c r="E230" s="23"/>
    </row>
    <row r="231" spans="3:5" x14ac:dyDescent="0.25">
      <c r="C231" s="23"/>
      <c r="D231" s="23"/>
      <c r="E231" s="23"/>
    </row>
    <row r="232" spans="3:5" x14ac:dyDescent="0.25">
      <c r="C232" s="23"/>
      <c r="D232" s="23"/>
      <c r="E232" s="23"/>
    </row>
    <row r="233" spans="3:5" x14ac:dyDescent="0.25">
      <c r="C233" s="23"/>
      <c r="D233" s="23"/>
      <c r="E233" s="23"/>
    </row>
    <row r="234" spans="3:5" x14ac:dyDescent="0.25">
      <c r="C234" s="23"/>
      <c r="D234" s="23"/>
      <c r="E234" s="23"/>
    </row>
    <row r="235" spans="3:5" x14ac:dyDescent="0.25">
      <c r="C235" s="23"/>
      <c r="D235" s="23"/>
      <c r="E235" s="23"/>
    </row>
    <row r="236" spans="3:5" x14ac:dyDescent="0.25">
      <c r="C236" s="23"/>
      <c r="D236" s="23"/>
      <c r="E236" s="23"/>
    </row>
    <row r="237" spans="3:5" x14ac:dyDescent="0.25">
      <c r="C237" s="23"/>
      <c r="D237" s="23"/>
      <c r="E237" s="23"/>
    </row>
    <row r="238" spans="3:5" x14ac:dyDescent="0.25">
      <c r="C238" s="23"/>
      <c r="D238" s="23"/>
      <c r="E238" s="23"/>
    </row>
    <row r="239" spans="3:5" x14ac:dyDescent="0.25">
      <c r="C239" s="23"/>
      <c r="D239" s="23"/>
      <c r="E239" s="23"/>
    </row>
    <row r="240" spans="3:5" x14ac:dyDescent="0.25">
      <c r="C240" s="23"/>
      <c r="D240" s="23"/>
      <c r="E240" s="23"/>
    </row>
    <row r="241" spans="3:5" x14ac:dyDescent="0.25">
      <c r="C241" s="23"/>
      <c r="D241" s="23"/>
      <c r="E241" s="23"/>
    </row>
    <row r="242" spans="3:5" x14ac:dyDescent="0.25">
      <c r="C242" s="23"/>
      <c r="D242" s="23"/>
      <c r="E242" s="23"/>
    </row>
    <row r="243" spans="3:5" x14ac:dyDescent="0.25">
      <c r="C243" s="23"/>
      <c r="D243" s="23"/>
      <c r="E243" s="23"/>
    </row>
    <row r="244" spans="3:5" x14ac:dyDescent="0.25">
      <c r="C244" s="23"/>
      <c r="D244" s="23"/>
      <c r="E244" s="23"/>
    </row>
    <row r="245" spans="3:5" x14ac:dyDescent="0.25">
      <c r="C245" s="23"/>
      <c r="D245" s="23"/>
      <c r="E245" s="23"/>
    </row>
    <row r="246" spans="3:5" x14ac:dyDescent="0.25">
      <c r="C246" s="23"/>
      <c r="D246" s="23"/>
      <c r="E246" s="23"/>
    </row>
    <row r="247" spans="3:5" x14ac:dyDescent="0.25">
      <c r="C247" s="23"/>
      <c r="D247" s="23"/>
      <c r="E247" s="23"/>
    </row>
    <row r="248" spans="3:5" x14ac:dyDescent="0.25">
      <c r="C248" s="23"/>
      <c r="D248" s="23"/>
      <c r="E248" s="23"/>
    </row>
    <row r="249" spans="3:5" x14ac:dyDescent="0.25">
      <c r="C249" s="23"/>
      <c r="D249" s="23"/>
      <c r="E249" s="23"/>
    </row>
    <row r="250" spans="3:5" x14ac:dyDescent="0.25">
      <c r="C250" s="23"/>
      <c r="D250" s="23"/>
      <c r="E250" s="23"/>
    </row>
    <row r="251" spans="3:5" x14ac:dyDescent="0.25">
      <c r="C251" s="23"/>
      <c r="D251" s="23"/>
      <c r="E251" s="23"/>
    </row>
    <row r="252" spans="3:5" x14ac:dyDescent="0.25">
      <c r="C252" s="23"/>
      <c r="D252" s="23"/>
      <c r="E252" s="23"/>
    </row>
    <row r="253" spans="3:5" x14ac:dyDescent="0.25">
      <c r="C253" s="23"/>
      <c r="D253" s="23"/>
      <c r="E253" s="23"/>
    </row>
    <row r="254" spans="3:5" x14ac:dyDescent="0.25">
      <c r="C254" s="23"/>
      <c r="D254" s="23"/>
      <c r="E254" s="23"/>
    </row>
    <row r="255" spans="3:5" x14ac:dyDescent="0.25">
      <c r="C255" s="23"/>
      <c r="D255" s="23"/>
      <c r="E255" s="23"/>
    </row>
    <row r="256" spans="3:5" x14ac:dyDescent="0.25">
      <c r="C256" s="23"/>
      <c r="D256" s="23"/>
      <c r="E256" s="23"/>
    </row>
    <row r="257" spans="3:5" x14ac:dyDescent="0.25">
      <c r="C257" s="23"/>
      <c r="D257" s="23"/>
      <c r="E257" s="23"/>
    </row>
    <row r="258" spans="3:5" x14ac:dyDescent="0.25">
      <c r="C258" s="23"/>
      <c r="D258" s="23"/>
      <c r="E258" s="23"/>
    </row>
    <row r="259" spans="3:5" x14ac:dyDescent="0.25">
      <c r="C259" s="23"/>
      <c r="D259" s="23"/>
      <c r="E259" s="23"/>
    </row>
    <row r="260" spans="3:5" x14ac:dyDescent="0.25">
      <c r="C260" s="23"/>
      <c r="D260" s="23"/>
      <c r="E260" s="23"/>
    </row>
    <row r="261" spans="3:5" x14ac:dyDescent="0.25">
      <c r="C261" s="23"/>
      <c r="D261" s="23"/>
      <c r="E261" s="23"/>
    </row>
    <row r="262" spans="3:5" x14ac:dyDescent="0.25">
      <c r="C262" s="23"/>
      <c r="D262" s="23"/>
      <c r="E262" s="23"/>
    </row>
    <row r="263" spans="3:5" x14ac:dyDescent="0.25">
      <c r="C263" s="23"/>
      <c r="D263" s="23"/>
      <c r="E263" s="23"/>
    </row>
    <row r="264" spans="3:5" x14ac:dyDescent="0.25">
      <c r="C264" s="23"/>
      <c r="D264" s="23"/>
      <c r="E264" s="23"/>
    </row>
    <row r="265" spans="3:5" x14ac:dyDescent="0.25">
      <c r="C265" s="23"/>
      <c r="D265" s="23"/>
      <c r="E265" s="23"/>
    </row>
    <row r="266" spans="3:5" x14ac:dyDescent="0.25">
      <c r="C266" s="23"/>
      <c r="D266" s="23"/>
      <c r="E266" s="23"/>
    </row>
    <row r="267" spans="3:5" x14ac:dyDescent="0.25">
      <c r="C267" s="23"/>
      <c r="D267" s="23"/>
      <c r="E267" s="23"/>
    </row>
    <row r="268" spans="3:5" x14ac:dyDescent="0.25">
      <c r="C268" s="23"/>
      <c r="D268" s="23"/>
      <c r="E268" s="23"/>
    </row>
    <row r="269" spans="3:5" x14ac:dyDescent="0.25">
      <c r="C269" s="23"/>
      <c r="D269" s="23"/>
      <c r="E269" s="23"/>
    </row>
    <row r="270" spans="3:5" x14ac:dyDescent="0.25">
      <c r="C270" s="23"/>
      <c r="D270" s="23"/>
      <c r="E270" s="23"/>
    </row>
    <row r="271" spans="3:5" x14ac:dyDescent="0.25">
      <c r="C271" s="23"/>
      <c r="D271" s="23"/>
      <c r="E271" s="23"/>
    </row>
    <row r="272" spans="3:5" x14ac:dyDescent="0.25">
      <c r="C272" s="23"/>
      <c r="D272" s="23"/>
      <c r="E272" s="23"/>
    </row>
    <row r="273" spans="3:5" x14ac:dyDescent="0.25">
      <c r="C273" s="23"/>
      <c r="D273" s="23"/>
      <c r="E273" s="23"/>
    </row>
    <row r="274" spans="3:5" x14ac:dyDescent="0.25">
      <c r="C274" s="23"/>
      <c r="D274" s="23"/>
      <c r="E274" s="23"/>
    </row>
    <row r="275" spans="3:5" x14ac:dyDescent="0.25">
      <c r="C275" s="23"/>
      <c r="D275" s="23"/>
      <c r="E275" s="23"/>
    </row>
    <row r="276" spans="3:5" x14ac:dyDescent="0.25">
      <c r="C276" s="23"/>
      <c r="D276" s="23"/>
      <c r="E276" s="23"/>
    </row>
    <row r="277" spans="3:5" x14ac:dyDescent="0.25">
      <c r="C277" s="23"/>
      <c r="D277" s="23"/>
      <c r="E277" s="23"/>
    </row>
    <row r="278" spans="3:5" x14ac:dyDescent="0.25">
      <c r="C278" s="23"/>
      <c r="D278" s="23"/>
      <c r="E278" s="23"/>
    </row>
    <row r="279" spans="3:5" x14ac:dyDescent="0.25">
      <c r="C279" s="23"/>
      <c r="D279" s="23"/>
      <c r="E279" s="23"/>
    </row>
    <row r="280" spans="3:5" x14ac:dyDescent="0.25">
      <c r="C280" s="23"/>
      <c r="D280" s="23"/>
      <c r="E280" s="23"/>
    </row>
    <row r="281" spans="3:5" x14ac:dyDescent="0.25">
      <c r="C281" s="23"/>
      <c r="D281" s="23"/>
      <c r="E281" s="23"/>
    </row>
    <row r="282" spans="3:5" x14ac:dyDescent="0.25">
      <c r="C282" s="23"/>
      <c r="D282" s="23"/>
      <c r="E282" s="23"/>
    </row>
    <row r="283" spans="3:5" x14ac:dyDescent="0.25">
      <c r="C283" s="23"/>
      <c r="D283" s="23"/>
      <c r="E283" s="23"/>
    </row>
    <row r="284" spans="3:5" x14ac:dyDescent="0.25">
      <c r="C284" s="23"/>
      <c r="D284" s="23"/>
      <c r="E284" s="23"/>
    </row>
    <row r="285" spans="3:5" x14ac:dyDescent="0.25">
      <c r="C285" s="23"/>
      <c r="D285" s="23"/>
      <c r="E285" s="23"/>
    </row>
    <row r="286" spans="3:5" x14ac:dyDescent="0.25">
      <c r="C286" s="23"/>
      <c r="D286" s="23"/>
      <c r="E286" s="23"/>
    </row>
    <row r="287" spans="3:5" x14ac:dyDescent="0.25">
      <c r="C287" s="23"/>
      <c r="D287" s="23"/>
      <c r="E287" s="23"/>
    </row>
    <row r="288" spans="3:5" x14ac:dyDescent="0.25">
      <c r="C288" s="23"/>
      <c r="D288" s="23"/>
      <c r="E288" s="23"/>
    </row>
    <row r="289" spans="3:5" x14ac:dyDescent="0.25">
      <c r="C289" s="23"/>
      <c r="D289" s="23"/>
      <c r="E289" s="23"/>
    </row>
    <row r="290" spans="3:5" x14ac:dyDescent="0.25">
      <c r="C290" s="23"/>
      <c r="D290" s="23"/>
      <c r="E290" s="23"/>
    </row>
    <row r="291" spans="3:5" x14ac:dyDescent="0.25">
      <c r="C291" s="23"/>
      <c r="D291" s="23"/>
      <c r="E291" s="23"/>
    </row>
    <row r="292" spans="3:5" x14ac:dyDescent="0.25">
      <c r="C292" s="23"/>
      <c r="D292" s="23"/>
      <c r="E292" s="23"/>
    </row>
    <row r="293" spans="3:5" x14ac:dyDescent="0.25">
      <c r="C293" s="23"/>
      <c r="D293" s="23"/>
      <c r="E293" s="23"/>
    </row>
    <row r="294" spans="3:5" x14ac:dyDescent="0.25">
      <c r="C294" s="23"/>
      <c r="D294" s="23"/>
      <c r="E294" s="23"/>
    </row>
    <row r="295" spans="3:5" x14ac:dyDescent="0.25">
      <c r="C295" s="23"/>
      <c r="D295" s="23"/>
      <c r="E295" s="23"/>
    </row>
    <row r="296" spans="3:5" x14ac:dyDescent="0.25">
      <c r="C296" s="23"/>
      <c r="D296" s="23"/>
      <c r="E296" s="23"/>
    </row>
    <row r="297" spans="3:5" x14ac:dyDescent="0.25">
      <c r="C297" s="23"/>
      <c r="D297" s="23"/>
      <c r="E297" s="23"/>
    </row>
    <row r="298" spans="3:5" x14ac:dyDescent="0.25">
      <c r="C298" s="23"/>
      <c r="D298" s="23"/>
      <c r="E298" s="23"/>
    </row>
    <row r="299" spans="3:5" x14ac:dyDescent="0.25">
      <c r="C299" s="23"/>
      <c r="D299" s="23"/>
      <c r="E299" s="23"/>
    </row>
    <row r="300" spans="3:5" x14ac:dyDescent="0.25">
      <c r="C300" s="23"/>
      <c r="D300" s="23"/>
      <c r="E300" s="23"/>
    </row>
    <row r="301" spans="3:5" x14ac:dyDescent="0.25">
      <c r="C301" s="23"/>
      <c r="D301" s="23"/>
      <c r="E301" s="23"/>
    </row>
    <row r="302" spans="3:5" x14ac:dyDescent="0.25">
      <c r="C302" s="23"/>
      <c r="D302" s="23"/>
      <c r="E302" s="23"/>
    </row>
    <row r="303" spans="3:5" x14ac:dyDescent="0.25">
      <c r="C303" s="23"/>
      <c r="D303" s="23"/>
      <c r="E303" s="23"/>
    </row>
    <row r="304" spans="3:5" x14ac:dyDescent="0.25">
      <c r="C304" s="23"/>
      <c r="D304" s="23"/>
      <c r="E304" s="23"/>
    </row>
    <row r="305" spans="3:5" x14ac:dyDescent="0.25">
      <c r="C305" s="23"/>
      <c r="D305" s="23"/>
      <c r="E305" s="23"/>
    </row>
    <row r="306" spans="3:5" x14ac:dyDescent="0.25">
      <c r="C306" s="23"/>
      <c r="D306" s="23"/>
      <c r="E306" s="23"/>
    </row>
    <row r="307" spans="3:5" x14ac:dyDescent="0.25">
      <c r="C307" s="23"/>
      <c r="D307" s="23"/>
      <c r="E307" s="23"/>
    </row>
    <row r="308" spans="3:5" x14ac:dyDescent="0.25">
      <c r="C308" s="23"/>
      <c r="D308" s="23"/>
      <c r="E308" s="23"/>
    </row>
    <row r="309" spans="3:5" x14ac:dyDescent="0.25">
      <c r="C309" s="23"/>
      <c r="D309" s="23"/>
      <c r="E309" s="23"/>
    </row>
    <row r="310" spans="3:5" x14ac:dyDescent="0.25">
      <c r="C310" s="23"/>
      <c r="D310" s="23"/>
      <c r="E310" s="23"/>
    </row>
    <row r="311" spans="3:5" x14ac:dyDescent="0.25">
      <c r="C311" s="23"/>
      <c r="D311" s="23"/>
      <c r="E311" s="23"/>
    </row>
    <row r="312" spans="3:5" x14ac:dyDescent="0.25">
      <c r="C312" s="23"/>
      <c r="D312" s="23"/>
      <c r="E312" s="23"/>
    </row>
    <row r="313" spans="3:5" x14ac:dyDescent="0.25">
      <c r="C313" s="23"/>
      <c r="D313" s="23"/>
      <c r="E313" s="23"/>
    </row>
    <row r="314" spans="3:5" x14ac:dyDescent="0.25">
      <c r="C314" s="23"/>
      <c r="D314" s="23"/>
      <c r="E314" s="23"/>
    </row>
    <row r="315" spans="3:5" x14ac:dyDescent="0.25">
      <c r="C315" s="23"/>
      <c r="D315" s="23"/>
      <c r="E315" s="23"/>
    </row>
    <row r="316" spans="3:5" x14ac:dyDescent="0.25">
      <c r="C316" s="23"/>
      <c r="D316" s="23"/>
      <c r="E316" s="23"/>
    </row>
    <row r="317" spans="3:5" x14ac:dyDescent="0.25">
      <c r="C317" s="23"/>
      <c r="D317" s="23"/>
      <c r="E317" s="23"/>
    </row>
    <row r="318" spans="3:5" x14ac:dyDescent="0.25">
      <c r="C318" s="23"/>
      <c r="D318" s="23"/>
      <c r="E318" s="23"/>
    </row>
    <row r="319" spans="3:5" x14ac:dyDescent="0.25">
      <c r="C319" s="23"/>
      <c r="D319" s="23"/>
      <c r="E319" s="23"/>
    </row>
    <row r="320" spans="3:5" x14ac:dyDescent="0.25">
      <c r="C320" s="23"/>
      <c r="D320" s="23"/>
      <c r="E320" s="23"/>
    </row>
    <row r="321" spans="3:5" x14ac:dyDescent="0.25">
      <c r="C321" s="23"/>
      <c r="D321" s="23"/>
      <c r="E321" s="23"/>
    </row>
    <row r="322" spans="3:5" x14ac:dyDescent="0.25">
      <c r="C322" s="23"/>
      <c r="D322" s="23"/>
      <c r="E322" s="23"/>
    </row>
    <row r="323" spans="3:5" x14ac:dyDescent="0.25">
      <c r="C323" s="23"/>
      <c r="D323" s="23"/>
      <c r="E323" s="23"/>
    </row>
    <row r="324" spans="3:5" x14ac:dyDescent="0.25">
      <c r="C324" s="23"/>
      <c r="D324" s="23"/>
      <c r="E324" s="23"/>
    </row>
    <row r="325" spans="3:5" x14ac:dyDescent="0.25">
      <c r="C325" s="23"/>
      <c r="D325" s="23"/>
      <c r="E325" s="23"/>
    </row>
    <row r="326" spans="3:5" x14ac:dyDescent="0.25">
      <c r="C326" s="23"/>
      <c r="D326" s="23"/>
      <c r="E326" s="23"/>
    </row>
    <row r="327" spans="3:5" x14ac:dyDescent="0.25">
      <c r="C327" s="23"/>
      <c r="D327" s="23"/>
      <c r="E327" s="23"/>
    </row>
    <row r="328" spans="3:5" x14ac:dyDescent="0.25">
      <c r="C328" s="23"/>
      <c r="D328" s="23"/>
      <c r="E328" s="23"/>
    </row>
    <row r="329" spans="3:5" x14ac:dyDescent="0.25">
      <c r="C329" s="23"/>
      <c r="D329" s="23"/>
      <c r="E329" s="23"/>
    </row>
    <row r="330" spans="3:5" x14ac:dyDescent="0.25">
      <c r="C330" s="23"/>
      <c r="D330" s="23"/>
      <c r="E330" s="23"/>
    </row>
    <row r="331" spans="3:5" x14ac:dyDescent="0.25">
      <c r="C331" s="23"/>
      <c r="D331" s="23"/>
      <c r="E331" s="23"/>
    </row>
    <row r="332" spans="3:5" x14ac:dyDescent="0.25">
      <c r="C332" s="23"/>
      <c r="D332" s="23"/>
      <c r="E332" s="23"/>
    </row>
    <row r="333" spans="3:5" x14ac:dyDescent="0.25">
      <c r="C333" s="23"/>
      <c r="D333" s="23"/>
      <c r="E333" s="23"/>
    </row>
    <row r="334" spans="3:5" x14ac:dyDescent="0.25">
      <c r="C334" s="23"/>
      <c r="D334" s="23"/>
      <c r="E334" s="23"/>
    </row>
    <row r="335" spans="3:5" x14ac:dyDescent="0.25">
      <c r="C335" s="23"/>
      <c r="D335" s="23"/>
      <c r="E335" s="23"/>
    </row>
    <row r="336" spans="3:5" x14ac:dyDescent="0.25">
      <c r="C336" s="23"/>
      <c r="D336" s="23"/>
      <c r="E336" s="23"/>
    </row>
    <row r="337" spans="3:5" x14ac:dyDescent="0.25">
      <c r="C337" s="23"/>
      <c r="D337" s="23"/>
      <c r="E337" s="23"/>
    </row>
    <row r="338" spans="3:5" x14ac:dyDescent="0.25">
      <c r="C338" s="23"/>
      <c r="D338" s="23"/>
      <c r="E338" s="23"/>
    </row>
    <row r="339" spans="3:5" x14ac:dyDescent="0.25">
      <c r="C339" s="23"/>
      <c r="D339" s="23"/>
      <c r="E339" s="23"/>
    </row>
    <row r="340" spans="3:5" x14ac:dyDescent="0.25">
      <c r="C340" s="23"/>
      <c r="D340" s="23"/>
      <c r="E340" s="23"/>
    </row>
    <row r="341" spans="3:5" x14ac:dyDescent="0.25">
      <c r="C341" s="23"/>
      <c r="D341" s="23"/>
      <c r="E341" s="23"/>
    </row>
    <row r="342" spans="3:5" x14ac:dyDescent="0.25">
      <c r="C342" s="23"/>
      <c r="D342" s="23"/>
      <c r="E342" s="23"/>
    </row>
    <row r="343" spans="3:5" x14ac:dyDescent="0.25">
      <c r="C343" s="23"/>
      <c r="D343" s="23"/>
      <c r="E343" s="23"/>
    </row>
    <row r="344" spans="3:5" x14ac:dyDescent="0.25">
      <c r="C344" s="23"/>
      <c r="D344" s="23"/>
      <c r="E344" s="23"/>
    </row>
    <row r="345" spans="3:5" x14ac:dyDescent="0.25">
      <c r="C345" s="23"/>
      <c r="D345" s="23"/>
      <c r="E345" s="23"/>
    </row>
    <row r="346" spans="3:5" x14ac:dyDescent="0.25">
      <c r="C346" s="23"/>
      <c r="D346" s="23"/>
      <c r="E346" s="23"/>
    </row>
    <row r="347" spans="3:5" x14ac:dyDescent="0.25">
      <c r="C347" s="23"/>
      <c r="D347" s="23"/>
      <c r="E347" s="23"/>
    </row>
    <row r="348" spans="3:5" x14ac:dyDescent="0.25">
      <c r="C348" s="23"/>
      <c r="D348" s="23"/>
      <c r="E348" s="23"/>
    </row>
    <row r="349" spans="3:5" x14ac:dyDescent="0.25">
      <c r="C349" s="23"/>
      <c r="D349" s="23"/>
      <c r="E349" s="23"/>
    </row>
    <row r="350" spans="3:5" x14ac:dyDescent="0.25">
      <c r="C350" s="23"/>
      <c r="D350" s="23"/>
      <c r="E350" s="23"/>
    </row>
    <row r="351" spans="3:5" x14ac:dyDescent="0.25">
      <c r="C351" s="23"/>
      <c r="D351" s="23"/>
      <c r="E351" s="23"/>
    </row>
    <row r="352" spans="3:5" x14ac:dyDescent="0.25">
      <c r="C352" s="23"/>
      <c r="D352" s="23"/>
      <c r="E352" s="23"/>
    </row>
    <row r="353" spans="3:5" x14ac:dyDescent="0.25">
      <c r="C353" s="23"/>
      <c r="D353" s="23"/>
      <c r="E353" s="23"/>
    </row>
    <row r="354" spans="3:5" x14ac:dyDescent="0.25">
      <c r="C354" s="23"/>
      <c r="D354" s="23"/>
      <c r="E354" s="23"/>
    </row>
    <row r="355" spans="3:5" x14ac:dyDescent="0.25">
      <c r="C355" s="23"/>
      <c r="D355" s="23"/>
      <c r="E355" s="23"/>
    </row>
    <row r="356" spans="3:5" x14ac:dyDescent="0.25">
      <c r="C356" s="23"/>
      <c r="D356" s="23"/>
      <c r="E356" s="23"/>
    </row>
    <row r="357" spans="3:5" x14ac:dyDescent="0.25">
      <c r="C357" s="23"/>
      <c r="D357" s="23"/>
      <c r="E357" s="23"/>
    </row>
    <row r="358" spans="3:5" x14ac:dyDescent="0.25">
      <c r="C358" s="23"/>
      <c r="D358" s="23"/>
      <c r="E358" s="23"/>
    </row>
    <row r="359" spans="3:5" x14ac:dyDescent="0.25">
      <c r="C359" s="23"/>
      <c r="D359" s="23"/>
      <c r="E359" s="23"/>
    </row>
    <row r="360" spans="3:5" x14ac:dyDescent="0.25">
      <c r="C360" s="23"/>
      <c r="D360" s="23"/>
      <c r="E360" s="23"/>
    </row>
    <row r="361" spans="3:5" x14ac:dyDescent="0.25">
      <c r="C361" s="23"/>
      <c r="D361" s="23"/>
      <c r="E361" s="23"/>
    </row>
    <row r="362" spans="3:5" x14ac:dyDescent="0.25">
      <c r="C362" s="23"/>
      <c r="D362" s="23"/>
      <c r="E362" s="23"/>
    </row>
    <row r="363" spans="3:5" x14ac:dyDescent="0.25">
      <c r="C363" s="23"/>
      <c r="D363" s="23"/>
      <c r="E363" s="23"/>
    </row>
    <row r="364" spans="3:5" x14ac:dyDescent="0.25">
      <c r="C364" s="23"/>
      <c r="D364" s="23"/>
      <c r="E364" s="23"/>
    </row>
    <row r="365" spans="3:5" x14ac:dyDescent="0.25">
      <c r="C365" s="23"/>
      <c r="D365" s="23"/>
      <c r="E365" s="23"/>
    </row>
    <row r="366" spans="3:5" x14ac:dyDescent="0.25">
      <c r="C366" s="23"/>
      <c r="D366" s="23"/>
      <c r="E366" s="23"/>
    </row>
    <row r="367" spans="3:5" x14ac:dyDescent="0.25">
      <c r="C367" s="23"/>
      <c r="D367" s="23"/>
      <c r="E367" s="23"/>
    </row>
    <row r="368" spans="3:5" x14ac:dyDescent="0.25">
      <c r="C368" s="23"/>
      <c r="D368" s="23"/>
      <c r="E368" s="23"/>
    </row>
    <row r="369" spans="3:5" x14ac:dyDescent="0.25">
      <c r="C369" s="23"/>
      <c r="D369" s="23"/>
      <c r="E369" s="23"/>
    </row>
    <row r="370" spans="3:5" x14ac:dyDescent="0.25">
      <c r="C370" s="23"/>
      <c r="D370" s="23"/>
      <c r="E370" s="23"/>
    </row>
    <row r="371" spans="3:5" x14ac:dyDescent="0.25">
      <c r="C371" s="23"/>
      <c r="D371" s="23"/>
      <c r="E371" s="23"/>
    </row>
    <row r="372" spans="3:5" x14ac:dyDescent="0.25">
      <c r="C372" s="23"/>
      <c r="D372" s="23"/>
      <c r="E372" s="23"/>
    </row>
    <row r="373" spans="3:5" x14ac:dyDescent="0.25">
      <c r="C373" s="23"/>
      <c r="D373" s="23"/>
      <c r="E373" s="23"/>
    </row>
    <row r="374" spans="3:5" x14ac:dyDescent="0.25">
      <c r="C374" s="23"/>
      <c r="D374" s="23"/>
      <c r="E374" s="23"/>
    </row>
    <row r="375" spans="3:5" x14ac:dyDescent="0.25">
      <c r="C375" s="23"/>
      <c r="D375" s="23"/>
      <c r="E375" s="23"/>
    </row>
    <row r="376" spans="3:5" x14ac:dyDescent="0.25">
      <c r="C376" s="23"/>
      <c r="D376" s="23"/>
      <c r="E376" s="23"/>
    </row>
    <row r="377" spans="3:5" x14ac:dyDescent="0.25">
      <c r="C377" s="23"/>
      <c r="D377" s="23"/>
      <c r="E377" s="23"/>
    </row>
    <row r="378" spans="3:5" x14ac:dyDescent="0.25">
      <c r="C378" s="23"/>
      <c r="D378" s="23"/>
      <c r="E378" s="23"/>
    </row>
    <row r="379" spans="3:5" x14ac:dyDescent="0.25">
      <c r="C379" s="23"/>
      <c r="D379" s="23"/>
      <c r="E379" s="23"/>
    </row>
    <row r="380" spans="3:5" x14ac:dyDescent="0.25">
      <c r="C380" s="23"/>
      <c r="D380" s="23"/>
      <c r="E380" s="23"/>
    </row>
    <row r="381" spans="3:5" x14ac:dyDescent="0.25">
      <c r="C381" s="23"/>
      <c r="D381" s="23"/>
      <c r="E381" s="23"/>
    </row>
    <row r="382" spans="3:5" x14ac:dyDescent="0.25">
      <c r="C382" s="23"/>
      <c r="D382" s="23"/>
      <c r="E382" s="23"/>
    </row>
    <row r="383" spans="3:5" x14ac:dyDescent="0.25">
      <c r="C383" s="23"/>
      <c r="D383" s="23"/>
      <c r="E383" s="23"/>
    </row>
    <row r="384" spans="3:5" x14ac:dyDescent="0.25">
      <c r="C384" s="23"/>
      <c r="D384" s="23"/>
      <c r="E384" s="23"/>
    </row>
    <row r="385" spans="3:5" x14ac:dyDescent="0.25">
      <c r="C385" s="23"/>
      <c r="D385" s="23"/>
      <c r="E385" s="23"/>
    </row>
    <row r="386" spans="3:5" x14ac:dyDescent="0.25">
      <c r="C386" s="23"/>
      <c r="D386" s="23"/>
      <c r="E386" s="23"/>
    </row>
    <row r="387" spans="3:5" x14ac:dyDescent="0.25">
      <c r="C387" s="23"/>
      <c r="D387" s="23"/>
      <c r="E387" s="23"/>
    </row>
    <row r="388" spans="3:5" x14ac:dyDescent="0.25">
      <c r="C388" s="23"/>
      <c r="D388" s="23"/>
      <c r="E388" s="23"/>
    </row>
    <row r="389" spans="3:5" x14ac:dyDescent="0.25">
      <c r="C389" s="23"/>
      <c r="D389" s="23"/>
      <c r="E389" s="23"/>
    </row>
    <row r="390" spans="3:5" x14ac:dyDescent="0.25">
      <c r="C390" s="23"/>
      <c r="D390" s="23"/>
      <c r="E390" s="23"/>
    </row>
    <row r="391" spans="3:5" x14ac:dyDescent="0.25">
      <c r="C391" s="23"/>
      <c r="D391" s="23"/>
      <c r="E391" s="23"/>
    </row>
    <row r="392" spans="3:5" x14ac:dyDescent="0.25">
      <c r="C392" s="23"/>
      <c r="D392" s="23"/>
      <c r="E392" s="23"/>
    </row>
    <row r="393" spans="3:5" x14ac:dyDescent="0.25">
      <c r="C393" s="23"/>
      <c r="D393" s="23"/>
      <c r="E393" s="23"/>
    </row>
    <row r="394" spans="3:5" x14ac:dyDescent="0.25">
      <c r="C394" s="23"/>
      <c r="D394" s="23"/>
      <c r="E394" s="23"/>
    </row>
    <row r="395" spans="3:5" x14ac:dyDescent="0.25">
      <c r="C395" s="23"/>
      <c r="D395" s="23"/>
      <c r="E395" s="23"/>
    </row>
    <row r="396" spans="3:5" x14ac:dyDescent="0.25">
      <c r="C396" s="23"/>
      <c r="D396" s="23"/>
      <c r="E396" s="23"/>
    </row>
    <row r="397" spans="3:5" x14ac:dyDescent="0.25">
      <c r="C397" s="23"/>
      <c r="D397" s="23"/>
      <c r="E397" s="23"/>
    </row>
    <row r="398" spans="3:5" x14ac:dyDescent="0.25">
      <c r="C398" s="23"/>
      <c r="D398" s="23"/>
      <c r="E398" s="23"/>
    </row>
    <row r="399" spans="3:5" x14ac:dyDescent="0.25">
      <c r="C399" s="23"/>
      <c r="D399" s="23"/>
      <c r="E399" s="23"/>
    </row>
    <row r="400" spans="3:5" x14ac:dyDescent="0.25">
      <c r="C400" s="23"/>
      <c r="D400" s="23"/>
      <c r="E400" s="23"/>
    </row>
    <row r="401" spans="3:5" x14ac:dyDescent="0.25">
      <c r="C401" s="23"/>
      <c r="D401" s="23"/>
      <c r="E401" s="23"/>
    </row>
    <row r="402" spans="3:5" x14ac:dyDescent="0.25">
      <c r="C402" s="23"/>
      <c r="D402" s="23"/>
      <c r="E402" s="23"/>
    </row>
    <row r="403" spans="3:5" x14ac:dyDescent="0.25">
      <c r="C403" s="23"/>
      <c r="D403" s="23"/>
      <c r="E403" s="23"/>
    </row>
    <row r="404" spans="3:5" x14ac:dyDescent="0.25">
      <c r="C404" s="23"/>
      <c r="D404" s="23"/>
      <c r="E404" s="23"/>
    </row>
    <row r="405" spans="3:5" x14ac:dyDescent="0.25">
      <c r="C405" s="23"/>
      <c r="D405" s="23"/>
      <c r="E405" s="23"/>
    </row>
    <row r="406" spans="3:5" x14ac:dyDescent="0.25">
      <c r="C406" s="23"/>
      <c r="D406" s="23"/>
      <c r="E406" s="23"/>
    </row>
    <row r="407" spans="3:5" x14ac:dyDescent="0.25">
      <c r="C407" s="23"/>
      <c r="D407" s="23"/>
      <c r="E407" s="23"/>
    </row>
    <row r="408" spans="3:5" x14ac:dyDescent="0.25">
      <c r="C408" s="23"/>
      <c r="D408" s="23"/>
      <c r="E408" s="23"/>
    </row>
    <row r="409" spans="3:5" x14ac:dyDescent="0.25">
      <c r="C409" s="23"/>
      <c r="D409" s="23"/>
      <c r="E409" s="23"/>
    </row>
    <row r="410" spans="3:5" x14ac:dyDescent="0.25">
      <c r="C410" s="23"/>
      <c r="D410" s="23"/>
      <c r="E410" s="23"/>
    </row>
    <row r="411" spans="3:5" x14ac:dyDescent="0.25">
      <c r="C411" s="23"/>
      <c r="D411" s="23"/>
      <c r="E411" s="23"/>
    </row>
    <row r="412" spans="3:5" x14ac:dyDescent="0.25">
      <c r="C412" s="23"/>
      <c r="D412" s="23"/>
      <c r="E412" s="23"/>
    </row>
    <row r="413" spans="3:5" x14ac:dyDescent="0.25">
      <c r="C413" s="23"/>
      <c r="D413" s="23"/>
      <c r="E413" s="23"/>
    </row>
    <row r="414" spans="3:5" x14ac:dyDescent="0.25">
      <c r="C414" s="23"/>
      <c r="D414" s="23"/>
      <c r="E414" s="23"/>
    </row>
    <row r="415" spans="3:5" x14ac:dyDescent="0.25">
      <c r="C415" s="23"/>
      <c r="D415" s="23"/>
      <c r="E415" s="23"/>
    </row>
    <row r="416" spans="3:5" x14ac:dyDescent="0.25">
      <c r="C416" s="23"/>
      <c r="D416" s="23"/>
      <c r="E416" s="23"/>
    </row>
    <row r="417" spans="3:5" x14ac:dyDescent="0.25">
      <c r="C417" s="23"/>
      <c r="D417" s="23"/>
      <c r="E417" s="23"/>
    </row>
    <row r="418" spans="3:5" x14ac:dyDescent="0.25">
      <c r="C418" s="23"/>
      <c r="D418" s="23"/>
      <c r="E418" s="23"/>
    </row>
    <row r="419" spans="3:5" x14ac:dyDescent="0.25">
      <c r="C419" s="23"/>
      <c r="D419" s="23"/>
      <c r="E419" s="23"/>
    </row>
    <row r="420" spans="3:5" x14ac:dyDescent="0.25">
      <c r="C420" s="23"/>
      <c r="D420" s="23"/>
      <c r="E420" s="23"/>
    </row>
    <row r="421" spans="3:5" x14ac:dyDescent="0.25">
      <c r="C421" s="23"/>
      <c r="D421" s="23"/>
      <c r="E421" s="23"/>
    </row>
    <row r="422" spans="3:5" x14ac:dyDescent="0.25">
      <c r="C422" s="23"/>
      <c r="D422" s="23"/>
      <c r="E422" s="23"/>
    </row>
    <row r="423" spans="3:5" x14ac:dyDescent="0.25">
      <c r="C423" s="23"/>
      <c r="D423" s="23"/>
      <c r="E423" s="23"/>
    </row>
    <row r="424" spans="3:5" x14ac:dyDescent="0.25">
      <c r="C424" s="23"/>
      <c r="D424" s="23"/>
      <c r="E424" s="23"/>
    </row>
    <row r="425" spans="3:5" x14ac:dyDescent="0.25">
      <c r="C425" s="23"/>
      <c r="D425" s="23"/>
      <c r="E425" s="23"/>
    </row>
    <row r="426" spans="3:5" x14ac:dyDescent="0.25">
      <c r="C426" s="23"/>
      <c r="D426" s="23"/>
      <c r="E426" s="23"/>
    </row>
    <row r="427" spans="3:5" x14ac:dyDescent="0.25">
      <c r="C427" s="23"/>
      <c r="D427" s="23"/>
      <c r="E427" s="23"/>
    </row>
    <row r="428" spans="3:5" x14ac:dyDescent="0.25">
      <c r="C428" s="23"/>
      <c r="D428" s="23"/>
      <c r="E428" s="23"/>
    </row>
    <row r="429" spans="3:5" x14ac:dyDescent="0.25">
      <c r="C429" s="23"/>
      <c r="D429" s="23"/>
      <c r="E429" s="23"/>
    </row>
    <row r="430" spans="3:5" x14ac:dyDescent="0.25">
      <c r="C430" s="23"/>
      <c r="D430" s="23"/>
      <c r="E430" s="23"/>
    </row>
    <row r="431" spans="3:5" x14ac:dyDescent="0.25">
      <c r="C431" s="23"/>
      <c r="D431" s="23"/>
      <c r="E431" s="23"/>
    </row>
    <row r="432" spans="3:5" x14ac:dyDescent="0.25">
      <c r="C432" s="23"/>
      <c r="D432" s="23"/>
      <c r="E432" s="23"/>
    </row>
    <row r="433" spans="3:5" x14ac:dyDescent="0.25">
      <c r="C433" s="23"/>
      <c r="D433" s="23"/>
      <c r="E433" s="23"/>
    </row>
    <row r="434" spans="3:5" x14ac:dyDescent="0.25">
      <c r="C434" s="23"/>
      <c r="D434" s="23"/>
      <c r="E434" s="23"/>
    </row>
    <row r="435" spans="3:5" x14ac:dyDescent="0.25">
      <c r="C435" s="23"/>
      <c r="D435" s="23"/>
      <c r="E435" s="23"/>
    </row>
    <row r="436" spans="3:5" x14ac:dyDescent="0.25">
      <c r="C436" s="23"/>
      <c r="D436" s="23"/>
      <c r="E436" s="23"/>
    </row>
    <row r="437" spans="3:5" x14ac:dyDescent="0.25">
      <c r="C437" s="23"/>
      <c r="D437" s="23"/>
      <c r="E437" s="23"/>
    </row>
    <row r="438" spans="3:5" x14ac:dyDescent="0.25">
      <c r="C438" s="23"/>
      <c r="D438" s="23"/>
      <c r="E438" s="23"/>
    </row>
    <row r="439" spans="3:5" x14ac:dyDescent="0.25">
      <c r="C439" s="23"/>
      <c r="D439" s="23"/>
      <c r="E439" s="23"/>
    </row>
    <row r="440" spans="3:5" x14ac:dyDescent="0.25">
      <c r="C440" s="23"/>
      <c r="D440" s="23"/>
      <c r="E440" s="23"/>
    </row>
    <row r="441" spans="3:5" x14ac:dyDescent="0.25">
      <c r="C441" s="23"/>
      <c r="D441" s="23"/>
      <c r="E441" s="23"/>
    </row>
    <row r="442" spans="3:5" x14ac:dyDescent="0.25">
      <c r="C442" s="23"/>
      <c r="D442" s="23"/>
      <c r="E442" s="23"/>
    </row>
    <row r="443" spans="3:5" x14ac:dyDescent="0.25">
      <c r="C443" s="23"/>
      <c r="D443" s="23"/>
      <c r="E443" s="23"/>
    </row>
    <row r="444" spans="3:5" x14ac:dyDescent="0.25">
      <c r="C444" s="23"/>
      <c r="D444" s="23"/>
      <c r="E444" s="23"/>
    </row>
    <row r="445" spans="3:5" x14ac:dyDescent="0.25">
      <c r="C445" s="23"/>
      <c r="D445" s="23"/>
      <c r="E445" s="23"/>
    </row>
    <row r="446" spans="3:5" x14ac:dyDescent="0.25">
      <c r="C446" s="23"/>
      <c r="D446" s="23"/>
      <c r="E446" s="23"/>
    </row>
    <row r="447" spans="3:5" x14ac:dyDescent="0.25">
      <c r="C447" s="23"/>
      <c r="D447" s="23"/>
      <c r="E447" s="23"/>
    </row>
    <row r="448" spans="3:5" x14ac:dyDescent="0.25">
      <c r="C448" s="23"/>
      <c r="D448" s="23"/>
      <c r="E448" s="23"/>
    </row>
    <row r="449" spans="3:5" x14ac:dyDescent="0.25">
      <c r="C449" s="23"/>
      <c r="D449" s="23"/>
      <c r="E449" s="23"/>
    </row>
    <row r="450" spans="3:5" x14ac:dyDescent="0.25">
      <c r="C450" s="23"/>
      <c r="D450" s="23"/>
      <c r="E450" s="23"/>
    </row>
    <row r="451" spans="3:5" x14ac:dyDescent="0.25">
      <c r="C451" s="23"/>
      <c r="D451" s="23"/>
      <c r="E451" s="23"/>
    </row>
    <row r="452" spans="3:5" x14ac:dyDescent="0.25">
      <c r="C452" s="23"/>
      <c r="D452" s="23"/>
      <c r="E452" s="23"/>
    </row>
    <row r="453" spans="3:5" x14ac:dyDescent="0.25">
      <c r="C453" s="23"/>
      <c r="D453" s="23"/>
      <c r="E453" s="23"/>
    </row>
    <row r="454" spans="3:5" x14ac:dyDescent="0.25">
      <c r="C454" s="23"/>
      <c r="D454" s="23"/>
      <c r="E454" s="23"/>
    </row>
    <row r="455" spans="3:5" x14ac:dyDescent="0.25">
      <c r="C455" s="23"/>
      <c r="D455" s="23"/>
      <c r="E455" s="23"/>
    </row>
    <row r="456" spans="3:5" x14ac:dyDescent="0.25">
      <c r="C456" s="23"/>
      <c r="D456" s="23"/>
      <c r="E456" s="23"/>
    </row>
    <row r="457" spans="3:5" x14ac:dyDescent="0.25">
      <c r="C457" s="23"/>
      <c r="D457" s="23"/>
      <c r="E457" s="23"/>
    </row>
    <row r="458" spans="3:5" x14ac:dyDescent="0.25">
      <c r="C458" s="23"/>
      <c r="D458" s="23"/>
      <c r="E458" s="23"/>
    </row>
    <row r="459" spans="3:5" x14ac:dyDescent="0.25">
      <c r="C459" s="23"/>
      <c r="D459" s="23"/>
      <c r="E459" s="23"/>
    </row>
    <row r="460" spans="3:5" x14ac:dyDescent="0.25">
      <c r="C460" s="23"/>
      <c r="D460" s="23"/>
      <c r="E460" s="23"/>
    </row>
    <row r="461" spans="3:5" x14ac:dyDescent="0.25">
      <c r="C461" s="23"/>
      <c r="D461" s="23"/>
      <c r="E461" s="23"/>
    </row>
    <row r="462" spans="3:5" x14ac:dyDescent="0.25">
      <c r="C462" s="23"/>
      <c r="D462" s="23"/>
      <c r="E462" s="23"/>
    </row>
    <row r="463" spans="3:5" x14ac:dyDescent="0.25">
      <c r="C463" s="23"/>
      <c r="D463" s="23"/>
      <c r="E463" s="23"/>
    </row>
    <row r="464" spans="3:5" x14ac:dyDescent="0.25">
      <c r="C464" s="23"/>
      <c r="D464" s="23"/>
      <c r="E464" s="23"/>
    </row>
    <row r="465" spans="3:5" x14ac:dyDescent="0.25">
      <c r="C465" s="23"/>
      <c r="D465" s="23"/>
      <c r="E465" s="23"/>
    </row>
    <row r="466" spans="3:5" x14ac:dyDescent="0.25">
      <c r="C466" s="23"/>
      <c r="D466" s="23"/>
      <c r="E466" s="23"/>
    </row>
    <row r="467" spans="3:5" x14ac:dyDescent="0.25">
      <c r="C467" s="23"/>
      <c r="D467" s="23"/>
      <c r="E467" s="23"/>
    </row>
    <row r="468" spans="3:5" x14ac:dyDescent="0.25">
      <c r="C468" s="23"/>
      <c r="D468" s="23"/>
      <c r="E468" s="23"/>
    </row>
    <row r="469" spans="3:5" x14ac:dyDescent="0.25">
      <c r="C469" s="23"/>
      <c r="D469" s="23"/>
      <c r="E469" s="23"/>
    </row>
    <row r="470" spans="3:5" x14ac:dyDescent="0.25">
      <c r="C470" s="23"/>
      <c r="D470" s="23"/>
      <c r="E470" s="23"/>
    </row>
    <row r="471" spans="3:5" x14ac:dyDescent="0.25">
      <c r="C471" s="23"/>
      <c r="D471" s="23"/>
      <c r="E471" s="23"/>
    </row>
    <row r="472" spans="3:5" x14ac:dyDescent="0.25">
      <c r="C472" s="23"/>
      <c r="D472" s="23"/>
      <c r="E472" s="23"/>
    </row>
    <row r="473" spans="3:5" x14ac:dyDescent="0.25">
      <c r="C473" s="23"/>
      <c r="D473" s="23"/>
      <c r="E473" s="23"/>
    </row>
    <row r="474" spans="3:5" x14ac:dyDescent="0.25">
      <c r="C474" s="23"/>
      <c r="D474" s="23"/>
      <c r="E474" s="23"/>
    </row>
    <row r="475" spans="3:5" x14ac:dyDescent="0.25">
      <c r="C475" s="23"/>
      <c r="D475" s="23"/>
      <c r="E475" s="23"/>
    </row>
    <row r="476" spans="3:5" x14ac:dyDescent="0.25">
      <c r="C476" s="23"/>
      <c r="D476" s="23"/>
      <c r="E476" s="23"/>
    </row>
    <row r="477" spans="3:5" x14ac:dyDescent="0.25">
      <c r="C477" s="23"/>
      <c r="D477" s="23"/>
      <c r="E477" s="23"/>
    </row>
    <row r="478" spans="3:5" x14ac:dyDescent="0.25">
      <c r="C478" s="23"/>
      <c r="D478" s="23"/>
      <c r="E478" s="23"/>
    </row>
    <row r="479" spans="3:5" x14ac:dyDescent="0.25">
      <c r="C479" s="23"/>
      <c r="D479" s="23"/>
      <c r="E479" s="23"/>
    </row>
    <row r="480" spans="3:5" x14ac:dyDescent="0.25">
      <c r="C480" s="23"/>
      <c r="D480" s="23"/>
      <c r="E480" s="23"/>
    </row>
    <row r="481" spans="3:5" x14ac:dyDescent="0.25">
      <c r="C481" s="23"/>
      <c r="D481" s="23"/>
      <c r="E481" s="23"/>
    </row>
    <row r="482" spans="3:5" x14ac:dyDescent="0.25">
      <c r="C482" s="23"/>
      <c r="D482" s="23"/>
      <c r="E482" s="23"/>
    </row>
    <row r="483" spans="3:5" x14ac:dyDescent="0.25">
      <c r="C483" s="23"/>
      <c r="D483" s="23"/>
      <c r="E483" s="23"/>
    </row>
    <row r="484" spans="3:5" x14ac:dyDescent="0.25">
      <c r="C484" s="23"/>
      <c r="D484" s="23"/>
      <c r="E484" s="23"/>
    </row>
    <row r="485" spans="3:5" x14ac:dyDescent="0.25">
      <c r="C485" s="23"/>
      <c r="D485" s="23"/>
      <c r="E485" s="23"/>
    </row>
    <row r="486" spans="3:5" x14ac:dyDescent="0.25">
      <c r="C486" s="23"/>
      <c r="D486" s="23"/>
      <c r="E486" s="23"/>
    </row>
    <row r="487" spans="3:5" x14ac:dyDescent="0.25">
      <c r="C487" s="23"/>
      <c r="D487" s="23"/>
      <c r="E487" s="23"/>
    </row>
    <row r="488" spans="3:5" x14ac:dyDescent="0.25">
      <c r="C488" s="23"/>
      <c r="D488" s="23"/>
      <c r="E488" s="23"/>
    </row>
    <row r="489" spans="3:5" x14ac:dyDescent="0.25">
      <c r="C489" s="23"/>
      <c r="D489" s="23"/>
      <c r="E489" s="23"/>
    </row>
    <row r="490" spans="3:5" x14ac:dyDescent="0.25">
      <c r="C490" s="23"/>
      <c r="D490" s="23"/>
      <c r="E490" s="23"/>
    </row>
    <row r="491" spans="3:5" x14ac:dyDescent="0.25">
      <c r="C491" s="23"/>
      <c r="D491" s="23"/>
      <c r="E491" s="23"/>
    </row>
    <row r="492" spans="3:5" x14ac:dyDescent="0.25">
      <c r="C492" s="23"/>
      <c r="D492" s="23"/>
      <c r="E492" s="23"/>
    </row>
    <row r="493" spans="3:5" x14ac:dyDescent="0.25">
      <c r="C493" s="23"/>
      <c r="D493" s="23"/>
      <c r="E493" s="23"/>
    </row>
    <row r="494" spans="3:5" x14ac:dyDescent="0.25">
      <c r="C494" s="23"/>
      <c r="D494" s="23"/>
      <c r="E494" s="23"/>
    </row>
    <row r="495" spans="3:5" x14ac:dyDescent="0.25">
      <c r="C495" s="23"/>
      <c r="D495" s="23"/>
      <c r="E495" s="23"/>
    </row>
    <row r="496" spans="3:5" x14ac:dyDescent="0.25">
      <c r="C496" s="23"/>
      <c r="D496" s="23"/>
      <c r="E496" s="23"/>
    </row>
    <row r="497" spans="3:5" x14ac:dyDescent="0.25">
      <c r="C497" s="23"/>
      <c r="D497" s="23"/>
      <c r="E497" s="23"/>
    </row>
    <row r="498" spans="3:5" x14ac:dyDescent="0.25">
      <c r="C498" s="23"/>
      <c r="D498" s="23"/>
      <c r="E498" s="23"/>
    </row>
    <row r="499" spans="3:5" x14ac:dyDescent="0.25">
      <c r="C499" s="23"/>
      <c r="D499" s="23"/>
      <c r="E499" s="23"/>
    </row>
    <row r="500" spans="3:5" x14ac:dyDescent="0.25">
      <c r="C500" s="23"/>
      <c r="D500" s="23"/>
      <c r="E500" s="23"/>
    </row>
    <row r="501" spans="3:5" x14ac:dyDescent="0.25">
      <c r="C501" s="23"/>
      <c r="D501" s="23"/>
      <c r="E501" s="23"/>
    </row>
    <row r="502" spans="3:5" x14ac:dyDescent="0.25">
      <c r="C502" s="23"/>
      <c r="D502" s="23"/>
      <c r="E502" s="23"/>
    </row>
    <row r="503" spans="3:5" x14ac:dyDescent="0.25">
      <c r="C503" s="23"/>
      <c r="D503" s="23"/>
      <c r="E503" s="23"/>
    </row>
    <row r="504" spans="3:5" x14ac:dyDescent="0.25">
      <c r="C504" s="23"/>
      <c r="D504" s="23"/>
      <c r="E504" s="23"/>
    </row>
    <row r="505" spans="3:5" x14ac:dyDescent="0.25">
      <c r="C505" s="23"/>
      <c r="D505" s="23"/>
      <c r="E505" s="23"/>
    </row>
    <row r="506" spans="3:5" x14ac:dyDescent="0.25">
      <c r="C506" s="23"/>
      <c r="D506" s="23"/>
      <c r="E506" s="23"/>
    </row>
    <row r="507" spans="3:5" x14ac:dyDescent="0.25">
      <c r="C507" s="23"/>
      <c r="D507" s="23"/>
      <c r="E507" s="23"/>
    </row>
    <row r="508" spans="3:5" x14ac:dyDescent="0.25">
      <c r="C508" s="23"/>
      <c r="D508" s="23"/>
      <c r="E508" s="23"/>
    </row>
    <row r="509" spans="3:5" x14ac:dyDescent="0.25">
      <c r="C509" s="23"/>
      <c r="D509" s="23"/>
      <c r="E509" s="23"/>
    </row>
    <row r="510" spans="3:5" x14ac:dyDescent="0.25">
      <c r="C510" s="23"/>
      <c r="D510" s="23"/>
      <c r="E510" s="23"/>
    </row>
    <row r="511" spans="3:5" x14ac:dyDescent="0.25">
      <c r="C511" s="23"/>
      <c r="D511" s="23"/>
      <c r="E511" s="23"/>
    </row>
    <row r="512" spans="3:5" x14ac:dyDescent="0.25">
      <c r="C512" s="23"/>
      <c r="D512" s="23"/>
      <c r="E512" s="23"/>
    </row>
    <row r="513" spans="3:5" x14ac:dyDescent="0.25">
      <c r="C513" s="23"/>
      <c r="D513" s="23"/>
      <c r="E513" s="23"/>
    </row>
    <row r="514" spans="3:5" x14ac:dyDescent="0.25">
      <c r="C514" s="23"/>
      <c r="D514" s="23"/>
      <c r="E514" s="23"/>
    </row>
    <row r="515" spans="3:5" x14ac:dyDescent="0.25">
      <c r="C515" s="23"/>
      <c r="D515" s="23"/>
      <c r="E515" s="23"/>
    </row>
    <row r="516" spans="3:5" x14ac:dyDescent="0.25">
      <c r="C516" s="23"/>
      <c r="D516" s="23"/>
      <c r="E516" s="23"/>
    </row>
    <row r="517" spans="3:5" x14ac:dyDescent="0.25">
      <c r="C517" s="23"/>
      <c r="D517" s="23"/>
      <c r="E517" s="23"/>
    </row>
    <row r="518" spans="3:5" x14ac:dyDescent="0.25">
      <c r="C518" s="23"/>
      <c r="D518" s="23"/>
      <c r="E518" s="23"/>
    </row>
    <row r="519" spans="3:5" x14ac:dyDescent="0.25">
      <c r="C519" s="23"/>
      <c r="D519" s="23"/>
      <c r="E519" s="23"/>
    </row>
    <row r="520" spans="3:5" x14ac:dyDescent="0.25">
      <c r="C520" s="23"/>
      <c r="D520" s="23"/>
      <c r="E520" s="23"/>
    </row>
    <row r="521" spans="3:5" x14ac:dyDescent="0.25">
      <c r="C521" s="23"/>
      <c r="D521" s="23"/>
      <c r="E521" s="23"/>
    </row>
    <row r="522" spans="3:5" x14ac:dyDescent="0.25">
      <c r="C522" s="23"/>
      <c r="D522" s="23"/>
      <c r="E522" s="23"/>
    </row>
    <row r="523" spans="3:5" x14ac:dyDescent="0.25">
      <c r="C523" s="23"/>
      <c r="D523" s="23"/>
      <c r="E523" s="23"/>
    </row>
    <row r="524" spans="3:5" x14ac:dyDescent="0.25">
      <c r="C524" s="23"/>
      <c r="D524" s="23"/>
      <c r="E524" s="23"/>
    </row>
    <row r="525" spans="3:5" x14ac:dyDescent="0.25">
      <c r="C525" s="23"/>
      <c r="D525" s="23"/>
      <c r="E525" s="23"/>
    </row>
    <row r="526" spans="3:5" x14ac:dyDescent="0.25">
      <c r="C526" s="23"/>
      <c r="D526" s="23"/>
      <c r="E526" s="23"/>
    </row>
    <row r="527" spans="3:5" x14ac:dyDescent="0.25">
      <c r="C527" s="23"/>
      <c r="D527" s="23"/>
      <c r="E527" s="23"/>
    </row>
    <row r="528" spans="3:5" x14ac:dyDescent="0.25">
      <c r="C528" s="23"/>
      <c r="D528" s="23"/>
      <c r="E528" s="23"/>
    </row>
    <row r="529" spans="3:5" x14ac:dyDescent="0.25">
      <c r="C529" s="23"/>
      <c r="D529" s="23"/>
      <c r="E529" s="23"/>
    </row>
    <row r="530" spans="3:5" x14ac:dyDescent="0.25">
      <c r="C530" s="23"/>
      <c r="D530" s="23"/>
      <c r="E530" s="23"/>
    </row>
    <row r="531" spans="3:5" x14ac:dyDescent="0.25">
      <c r="C531" s="23"/>
      <c r="D531" s="23"/>
      <c r="E531" s="23"/>
    </row>
    <row r="532" spans="3:5" x14ac:dyDescent="0.25">
      <c r="C532" s="23"/>
      <c r="D532" s="23"/>
      <c r="E532" s="23"/>
    </row>
    <row r="533" spans="3:5" x14ac:dyDescent="0.25">
      <c r="C533" s="23"/>
      <c r="D533" s="23"/>
      <c r="E533" s="23"/>
    </row>
    <row r="534" spans="3:5" x14ac:dyDescent="0.25">
      <c r="C534" s="23"/>
      <c r="D534" s="23"/>
      <c r="E534" s="23"/>
    </row>
    <row r="535" spans="3:5" x14ac:dyDescent="0.25">
      <c r="C535" s="23"/>
      <c r="D535" s="23"/>
      <c r="E535" s="23"/>
    </row>
    <row r="536" spans="3:5" x14ac:dyDescent="0.25">
      <c r="C536" s="23"/>
      <c r="D536" s="23"/>
      <c r="E536" s="23"/>
    </row>
    <row r="537" spans="3:5" x14ac:dyDescent="0.25">
      <c r="C537" s="23"/>
      <c r="D537" s="23"/>
      <c r="E537" s="23"/>
    </row>
    <row r="538" spans="3:5" x14ac:dyDescent="0.25">
      <c r="C538" s="23"/>
      <c r="D538" s="23"/>
      <c r="E538" s="23"/>
    </row>
    <row r="539" spans="3:5" x14ac:dyDescent="0.25">
      <c r="C539" s="23"/>
      <c r="D539" s="23"/>
      <c r="E539" s="23"/>
    </row>
    <row r="540" spans="3:5" x14ac:dyDescent="0.25">
      <c r="C540" s="23"/>
      <c r="D540" s="23"/>
      <c r="E540" s="23"/>
    </row>
    <row r="541" spans="3:5" x14ac:dyDescent="0.25">
      <c r="C541" s="23"/>
      <c r="D541" s="23"/>
      <c r="E541" s="23"/>
    </row>
    <row r="542" spans="3:5" x14ac:dyDescent="0.25">
      <c r="C542" s="23"/>
      <c r="D542" s="23"/>
      <c r="E542" s="23"/>
    </row>
    <row r="543" spans="3:5" x14ac:dyDescent="0.25">
      <c r="C543" s="23"/>
      <c r="D543" s="23"/>
      <c r="E543" s="23"/>
    </row>
    <row r="544" spans="3:5" x14ac:dyDescent="0.25">
      <c r="C544" s="23"/>
      <c r="D544" s="23"/>
      <c r="E544" s="23"/>
    </row>
    <row r="545" spans="3:5" x14ac:dyDescent="0.25">
      <c r="C545" s="23"/>
      <c r="D545" s="23"/>
      <c r="E545" s="23"/>
    </row>
    <row r="546" spans="3:5" x14ac:dyDescent="0.25">
      <c r="C546" s="23"/>
      <c r="D546" s="23"/>
      <c r="E546" s="23"/>
    </row>
    <row r="547" spans="3:5" x14ac:dyDescent="0.25">
      <c r="C547" s="23"/>
      <c r="D547" s="23"/>
      <c r="E547" s="23"/>
    </row>
    <row r="548" spans="3:5" x14ac:dyDescent="0.25">
      <c r="C548" s="23"/>
      <c r="D548" s="23"/>
      <c r="E548" s="23"/>
    </row>
    <row r="549" spans="3:5" x14ac:dyDescent="0.25">
      <c r="C549" s="23"/>
      <c r="D549" s="23"/>
      <c r="E549" s="23"/>
    </row>
    <row r="550" spans="3:5" x14ac:dyDescent="0.25">
      <c r="C550" s="23"/>
      <c r="D550" s="23"/>
      <c r="E550" s="23"/>
    </row>
    <row r="551" spans="3:5" x14ac:dyDescent="0.25">
      <c r="C551" s="23"/>
      <c r="D551" s="23"/>
      <c r="E551" s="23"/>
    </row>
    <row r="552" spans="3:5" x14ac:dyDescent="0.25">
      <c r="C552" s="23"/>
      <c r="D552" s="23"/>
      <c r="E552" s="23"/>
    </row>
    <row r="553" spans="3:5" x14ac:dyDescent="0.25">
      <c r="C553" s="23"/>
      <c r="D553" s="23"/>
      <c r="E553" s="23"/>
    </row>
    <row r="554" spans="3:5" x14ac:dyDescent="0.25">
      <c r="C554" s="23"/>
      <c r="D554" s="23"/>
      <c r="E554" s="23"/>
    </row>
    <row r="555" spans="3:5" x14ac:dyDescent="0.25">
      <c r="C555" s="23"/>
      <c r="D555" s="23"/>
      <c r="E555" s="23"/>
    </row>
    <row r="556" spans="3:5" x14ac:dyDescent="0.25">
      <c r="C556" s="23"/>
      <c r="D556" s="23"/>
      <c r="E556" s="23"/>
    </row>
    <row r="557" spans="3:5" x14ac:dyDescent="0.25">
      <c r="C557" s="23"/>
      <c r="D557" s="23"/>
      <c r="E557" s="23"/>
    </row>
    <row r="558" spans="3:5" x14ac:dyDescent="0.25">
      <c r="C558" s="23"/>
      <c r="D558" s="23"/>
      <c r="E558" s="23"/>
    </row>
    <row r="559" spans="3:5" x14ac:dyDescent="0.25">
      <c r="C559" s="23"/>
      <c r="D559" s="23"/>
      <c r="E559" s="23"/>
    </row>
    <row r="560" spans="3:5" x14ac:dyDescent="0.25">
      <c r="C560" s="23"/>
      <c r="D560" s="23"/>
      <c r="E560" s="23"/>
    </row>
    <row r="561" spans="3:5" x14ac:dyDescent="0.25">
      <c r="C561" s="23"/>
      <c r="D561" s="23"/>
      <c r="E561" s="23"/>
    </row>
    <row r="562" spans="3:5" x14ac:dyDescent="0.25">
      <c r="C562" s="23"/>
      <c r="D562" s="23"/>
      <c r="E562" s="23"/>
    </row>
    <row r="563" spans="3:5" x14ac:dyDescent="0.25">
      <c r="C563" s="23"/>
      <c r="D563" s="23"/>
      <c r="E563" s="23"/>
    </row>
    <row r="564" spans="3:5" x14ac:dyDescent="0.25">
      <c r="C564" s="23"/>
      <c r="D564" s="23"/>
      <c r="E564" s="23"/>
    </row>
    <row r="565" spans="3:5" x14ac:dyDescent="0.25">
      <c r="C565" s="23"/>
      <c r="D565" s="23"/>
      <c r="E565" s="23"/>
    </row>
    <row r="566" spans="3:5" x14ac:dyDescent="0.25">
      <c r="C566" s="23"/>
      <c r="D566" s="23"/>
      <c r="E566" s="23"/>
    </row>
    <row r="567" spans="3:5" x14ac:dyDescent="0.25">
      <c r="C567" s="23"/>
      <c r="D567" s="23"/>
      <c r="E567" s="23"/>
    </row>
    <row r="568" spans="3:5" x14ac:dyDescent="0.25">
      <c r="C568" s="23"/>
      <c r="D568" s="23"/>
      <c r="E568" s="23"/>
    </row>
    <row r="569" spans="3:5" x14ac:dyDescent="0.25">
      <c r="C569" s="23"/>
      <c r="D569" s="23"/>
      <c r="E569" s="23"/>
    </row>
    <row r="570" spans="3:5" x14ac:dyDescent="0.25">
      <c r="C570" s="23"/>
      <c r="D570" s="23"/>
      <c r="E570" s="23"/>
    </row>
    <row r="571" spans="3:5" x14ac:dyDescent="0.25">
      <c r="C571" s="23"/>
      <c r="D571" s="23"/>
      <c r="E571" s="23"/>
    </row>
    <row r="572" spans="3:5" x14ac:dyDescent="0.25">
      <c r="C572" s="23"/>
      <c r="D572" s="23"/>
      <c r="E572" s="23"/>
    </row>
    <row r="573" spans="3:5" x14ac:dyDescent="0.25">
      <c r="C573" s="23"/>
      <c r="D573" s="23"/>
      <c r="E573" s="23"/>
    </row>
    <row r="574" spans="3:5" x14ac:dyDescent="0.25">
      <c r="C574" s="23"/>
      <c r="D574" s="23"/>
      <c r="E574" s="23"/>
    </row>
    <row r="575" spans="3:5" x14ac:dyDescent="0.25">
      <c r="C575" s="23"/>
      <c r="D575" s="23"/>
      <c r="E575" s="23"/>
    </row>
    <row r="576" spans="3:5" x14ac:dyDescent="0.25">
      <c r="C576" s="23"/>
      <c r="D576" s="23"/>
      <c r="E576" s="23"/>
    </row>
    <row r="577" spans="3:5" x14ac:dyDescent="0.25">
      <c r="C577" s="23"/>
      <c r="D577" s="23"/>
      <c r="E577" s="23"/>
    </row>
    <row r="578" spans="3:5" x14ac:dyDescent="0.25">
      <c r="C578" s="23"/>
      <c r="D578" s="23"/>
      <c r="E578" s="23"/>
    </row>
    <row r="579" spans="3:5" x14ac:dyDescent="0.25">
      <c r="C579" s="23"/>
      <c r="D579" s="23"/>
      <c r="E579" s="23"/>
    </row>
    <row r="580" spans="3:5" x14ac:dyDescent="0.25">
      <c r="C580" s="23"/>
      <c r="D580" s="23"/>
      <c r="E580" s="23"/>
    </row>
    <row r="581" spans="3:5" x14ac:dyDescent="0.25">
      <c r="C581" s="23"/>
      <c r="D581" s="23"/>
      <c r="E581" s="23"/>
    </row>
    <row r="582" spans="3:5" x14ac:dyDescent="0.25">
      <c r="C582" s="23"/>
      <c r="D582" s="23"/>
      <c r="E582" s="23"/>
    </row>
    <row r="583" spans="3:5" x14ac:dyDescent="0.25">
      <c r="C583" s="23"/>
      <c r="D583" s="23"/>
      <c r="E583" s="23"/>
    </row>
    <row r="584" spans="3:5" x14ac:dyDescent="0.25">
      <c r="C584" s="23"/>
      <c r="D584" s="23"/>
      <c r="E584" s="23"/>
    </row>
    <row r="585" spans="3:5" x14ac:dyDescent="0.25">
      <c r="C585" s="23"/>
      <c r="D585" s="23"/>
      <c r="E585" s="23"/>
    </row>
    <row r="586" spans="3:5" x14ac:dyDescent="0.25">
      <c r="C586" s="23"/>
      <c r="D586" s="23"/>
      <c r="E586" s="23"/>
    </row>
    <row r="587" spans="3:5" x14ac:dyDescent="0.25">
      <c r="C587" s="23"/>
      <c r="D587" s="23"/>
      <c r="E587" s="23"/>
    </row>
    <row r="588" spans="3:5" x14ac:dyDescent="0.25">
      <c r="C588" s="23"/>
      <c r="D588" s="23"/>
      <c r="E588" s="23"/>
    </row>
    <row r="589" spans="3:5" x14ac:dyDescent="0.25">
      <c r="C589" s="23"/>
      <c r="D589" s="23"/>
      <c r="E589" s="23"/>
    </row>
    <row r="590" spans="3:5" x14ac:dyDescent="0.25">
      <c r="C590" s="23"/>
      <c r="D590" s="23"/>
      <c r="E590" s="23"/>
    </row>
    <row r="591" spans="3:5" x14ac:dyDescent="0.25">
      <c r="C591" s="23"/>
      <c r="D591" s="23"/>
      <c r="E591" s="23"/>
    </row>
    <row r="592" spans="3:5" x14ac:dyDescent="0.25">
      <c r="C592" s="23"/>
      <c r="D592" s="23"/>
      <c r="E592" s="23"/>
    </row>
    <row r="593" spans="3:5" x14ac:dyDescent="0.25">
      <c r="C593" s="23"/>
      <c r="D593" s="23"/>
      <c r="E593" s="23"/>
    </row>
    <row r="594" spans="3:5" x14ac:dyDescent="0.25">
      <c r="C594" s="23"/>
      <c r="D594" s="23"/>
      <c r="E594" s="23"/>
    </row>
    <row r="595" spans="3:5" x14ac:dyDescent="0.25">
      <c r="C595" s="23"/>
      <c r="D595" s="23"/>
      <c r="E595" s="23"/>
    </row>
    <row r="596" spans="3:5" x14ac:dyDescent="0.25">
      <c r="C596" s="23"/>
      <c r="D596" s="23"/>
      <c r="E596" s="23"/>
    </row>
    <row r="597" spans="3:5" x14ac:dyDescent="0.25">
      <c r="C597" s="23"/>
      <c r="D597" s="23"/>
      <c r="E597" s="23"/>
    </row>
    <row r="598" spans="3:5" x14ac:dyDescent="0.25">
      <c r="C598" s="23"/>
      <c r="D598" s="23"/>
      <c r="E598" s="23"/>
    </row>
    <row r="599" spans="3:5" x14ac:dyDescent="0.25">
      <c r="C599" s="23"/>
      <c r="D599" s="23"/>
      <c r="E599" s="23"/>
    </row>
    <row r="600" spans="3:5" x14ac:dyDescent="0.25">
      <c r="C600" s="23"/>
      <c r="D600" s="23"/>
      <c r="E600" s="23"/>
    </row>
    <row r="601" spans="3:5" x14ac:dyDescent="0.25">
      <c r="C601" s="23"/>
      <c r="D601" s="23"/>
      <c r="E601" s="23"/>
    </row>
    <row r="602" spans="3:5" x14ac:dyDescent="0.25">
      <c r="C602" s="23"/>
      <c r="D602" s="23"/>
      <c r="E602" s="23"/>
    </row>
    <row r="603" spans="3:5" x14ac:dyDescent="0.25">
      <c r="C603" s="23"/>
      <c r="D603" s="23"/>
      <c r="E603" s="23"/>
    </row>
    <row r="604" spans="3:5" x14ac:dyDescent="0.25">
      <c r="C604" s="23"/>
      <c r="D604" s="23"/>
      <c r="E604" s="23"/>
    </row>
    <row r="605" spans="3:5" x14ac:dyDescent="0.25">
      <c r="C605" s="23"/>
      <c r="D605" s="23"/>
      <c r="E605" s="23"/>
    </row>
    <row r="606" spans="3:5" x14ac:dyDescent="0.25">
      <c r="C606" s="23"/>
      <c r="D606" s="23"/>
      <c r="E606" s="23"/>
    </row>
    <row r="607" spans="3:5" x14ac:dyDescent="0.25">
      <c r="C607" s="23"/>
      <c r="D607" s="23"/>
      <c r="E607" s="23"/>
    </row>
    <row r="608" spans="3:5" x14ac:dyDescent="0.25">
      <c r="C608" s="23"/>
      <c r="D608" s="23"/>
      <c r="E608" s="23"/>
    </row>
    <row r="609" spans="3:5" x14ac:dyDescent="0.25">
      <c r="C609" s="23"/>
      <c r="D609" s="23"/>
      <c r="E609" s="23"/>
    </row>
    <row r="610" spans="3:5" x14ac:dyDescent="0.25">
      <c r="C610" s="23"/>
      <c r="D610" s="23"/>
      <c r="E610" s="23"/>
    </row>
    <row r="611" spans="3:5" x14ac:dyDescent="0.25">
      <c r="C611" s="23"/>
      <c r="D611" s="23"/>
      <c r="E611" s="23"/>
    </row>
    <row r="612" spans="3:5" x14ac:dyDescent="0.25">
      <c r="C612" s="23"/>
      <c r="D612" s="23"/>
      <c r="E612" s="23"/>
    </row>
    <row r="613" spans="3:5" x14ac:dyDescent="0.25">
      <c r="C613" s="23"/>
      <c r="D613" s="23"/>
      <c r="E613" s="23"/>
    </row>
    <row r="614" spans="3:5" x14ac:dyDescent="0.25">
      <c r="C614" s="23"/>
      <c r="D614" s="23"/>
      <c r="E614" s="23"/>
    </row>
    <row r="615" spans="3:5" x14ac:dyDescent="0.25">
      <c r="C615" s="23"/>
      <c r="D615" s="23"/>
      <c r="E615" s="23"/>
    </row>
    <row r="616" spans="3:5" x14ac:dyDescent="0.25">
      <c r="C616" s="23"/>
      <c r="D616" s="23"/>
      <c r="E616" s="23"/>
    </row>
    <row r="617" spans="3:5" x14ac:dyDescent="0.25">
      <c r="C617" s="23"/>
      <c r="D617" s="23"/>
      <c r="E617" s="23"/>
    </row>
    <row r="618" spans="3:5" x14ac:dyDescent="0.25">
      <c r="C618" s="23"/>
      <c r="D618" s="23"/>
      <c r="E618" s="23"/>
    </row>
    <row r="619" spans="3:5" x14ac:dyDescent="0.25">
      <c r="C619" s="23"/>
      <c r="D619" s="23"/>
      <c r="E619" s="23"/>
    </row>
    <row r="620" spans="3:5" x14ac:dyDescent="0.25">
      <c r="C620" s="23"/>
      <c r="D620" s="23"/>
      <c r="E620" s="23"/>
    </row>
    <row r="621" spans="3:5" x14ac:dyDescent="0.25">
      <c r="C621" s="23"/>
      <c r="D621" s="23"/>
      <c r="E621" s="23"/>
    </row>
    <row r="622" spans="3:5" x14ac:dyDescent="0.25">
      <c r="C622" s="23"/>
      <c r="D622" s="23"/>
      <c r="E622" s="23"/>
    </row>
    <row r="623" spans="3:5" x14ac:dyDescent="0.25">
      <c r="C623" s="23"/>
      <c r="D623" s="23"/>
      <c r="E623" s="23"/>
    </row>
    <row r="624" spans="3:5" x14ac:dyDescent="0.25">
      <c r="C624" s="23"/>
      <c r="D624" s="23"/>
      <c r="E624" s="23"/>
    </row>
    <row r="625" spans="3:5" x14ac:dyDescent="0.25">
      <c r="C625" s="23"/>
      <c r="D625" s="23"/>
      <c r="E625" s="23"/>
    </row>
    <row r="626" spans="3:5" x14ac:dyDescent="0.25">
      <c r="C626" s="23"/>
      <c r="D626" s="23"/>
      <c r="E626" s="23"/>
    </row>
    <row r="627" spans="3:5" x14ac:dyDescent="0.25">
      <c r="C627" s="23"/>
      <c r="D627" s="23"/>
      <c r="E627" s="23"/>
    </row>
    <row r="628" spans="3:5" x14ac:dyDescent="0.25">
      <c r="C628" s="23"/>
      <c r="D628" s="23"/>
      <c r="E628" s="23"/>
    </row>
    <row r="629" spans="3:5" x14ac:dyDescent="0.25">
      <c r="C629" s="23"/>
      <c r="D629" s="23"/>
      <c r="E629" s="23"/>
    </row>
    <row r="630" spans="3:5" x14ac:dyDescent="0.25">
      <c r="C630" s="23"/>
      <c r="D630" s="23"/>
      <c r="E630" s="23"/>
    </row>
    <row r="631" spans="3:5" x14ac:dyDescent="0.25">
      <c r="C631" s="23"/>
      <c r="D631" s="23"/>
      <c r="E631" s="23"/>
    </row>
    <row r="632" spans="3:5" x14ac:dyDescent="0.25">
      <c r="C632" s="23"/>
      <c r="D632" s="23"/>
      <c r="E632" s="23"/>
    </row>
    <row r="633" spans="3:5" x14ac:dyDescent="0.25">
      <c r="C633" s="23"/>
      <c r="D633" s="23"/>
      <c r="E633" s="23"/>
    </row>
    <row r="634" spans="3:5" x14ac:dyDescent="0.25">
      <c r="C634" s="23"/>
      <c r="D634" s="23"/>
      <c r="E634" s="23"/>
    </row>
    <row r="635" spans="3:5" x14ac:dyDescent="0.25">
      <c r="C635" s="23"/>
      <c r="D635" s="23"/>
      <c r="E635" s="23"/>
    </row>
    <row r="636" spans="3:5" x14ac:dyDescent="0.25">
      <c r="C636" s="23"/>
      <c r="D636" s="23"/>
      <c r="E636" s="23"/>
    </row>
    <row r="637" spans="3:5" x14ac:dyDescent="0.25">
      <c r="C637" s="23"/>
      <c r="D637" s="23"/>
      <c r="E637" s="23"/>
    </row>
    <row r="638" spans="3:5" x14ac:dyDescent="0.25">
      <c r="C638" s="23"/>
      <c r="D638" s="23"/>
      <c r="E638" s="23"/>
    </row>
    <row r="639" spans="3:5" x14ac:dyDescent="0.25">
      <c r="C639" s="23"/>
      <c r="D639" s="23"/>
      <c r="E639" s="23"/>
    </row>
    <row r="640" spans="3:5" x14ac:dyDescent="0.25">
      <c r="C640" s="23"/>
      <c r="D640" s="23"/>
      <c r="E640" s="23"/>
    </row>
    <row r="641" spans="3:5" x14ac:dyDescent="0.25">
      <c r="C641" s="23"/>
      <c r="D641" s="23"/>
      <c r="E641" s="23"/>
    </row>
    <row r="642" spans="3:5" x14ac:dyDescent="0.25">
      <c r="C642" s="23"/>
      <c r="D642" s="23"/>
      <c r="E642" s="23"/>
    </row>
    <row r="643" spans="3:5" x14ac:dyDescent="0.25">
      <c r="C643" s="23"/>
      <c r="D643" s="23"/>
      <c r="E643" s="23"/>
    </row>
    <row r="644" spans="3:5" x14ac:dyDescent="0.25">
      <c r="C644" s="23"/>
      <c r="D644" s="23"/>
      <c r="E644" s="23"/>
    </row>
    <row r="645" spans="3:5" x14ac:dyDescent="0.25">
      <c r="C645" s="23"/>
      <c r="D645" s="23"/>
      <c r="E645" s="23"/>
    </row>
    <row r="646" spans="3:5" x14ac:dyDescent="0.25">
      <c r="C646" s="23"/>
      <c r="D646" s="23"/>
      <c r="E646" s="23"/>
    </row>
    <row r="647" spans="3:5" x14ac:dyDescent="0.25">
      <c r="C647" s="23"/>
      <c r="D647" s="23"/>
      <c r="E647" s="23"/>
    </row>
    <row r="648" spans="3:5" x14ac:dyDescent="0.25">
      <c r="C648" s="23"/>
      <c r="D648" s="23"/>
      <c r="E648" s="23"/>
    </row>
    <row r="649" spans="3:5" x14ac:dyDescent="0.25">
      <c r="C649" s="23"/>
      <c r="D649" s="23"/>
      <c r="E649" s="23"/>
    </row>
    <row r="650" spans="3:5" x14ac:dyDescent="0.25">
      <c r="C650" s="23"/>
      <c r="D650" s="23"/>
      <c r="E650" s="23"/>
    </row>
    <row r="651" spans="3:5" x14ac:dyDescent="0.25">
      <c r="C651" s="23"/>
      <c r="D651" s="23"/>
      <c r="E651" s="23"/>
    </row>
    <row r="652" spans="3:5" x14ac:dyDescent="0.25">
      <c r="C652" s="23"/>
      <c r="D652" s="23"/>
      <c r="E652" s="23"/>
    </row>
    <row r="653" spans="3:5" x14ac:dyDescent="0.25">
      <c r="C653" s="23"/>
      <c r="D653" s="23"/>
      <c r="E653" s="23"/>
    </row>
    <row r="654" spans="3:5" x14ac:dyDescent="0.25">
      <c r="C654" s="23"/>
      <c r="D654" s="23"/>
      <c r="E654" s="23"/>
    </row>
    <row r="655" spans="3:5" x14ac:dyDescent="0.25">
      <c r="C655" s="23"/>
      <c r="D655" s="23"/>
      <c r="E655" s="23"/>
    </row>
    <row r="656" spans="3:5" x14ac:dyDescent="0.25">
      <c r="C656" s="23"/>
      <c r="D656" s="23"/>
      <c r="E656" s="23"/>
    </row>
    <row r="657" spans="3:5" x14ac:dyDescent="0.25">
      <c r="C657" s="23"/>
      <c r="D657" s="23"/>
      <c r="E657" s="23"/>
    </row>
    <row r="658" spans="3:5" x14ac:dyDescent="0.25">
      <c r="C658" s="23"/>
      <c r="D658" s="23"/>
      <c r="E658" s="23"/>
    </row>
    <row r="659" spans="3:5" x14ac:dyDescent="0.25">
      <c r="C659" s="23"/>
      <c r="D659" s="23"/>
      <c r="E659" s="23"/>
    </row>
    <row r="660" spans="3:5" x14ac:dyDescent="0.25">
      <c r="C660" s="23"/>
      <c r="D660" s="23"/>
      <c r="E660" s="23"/>
    </row>
    <row r="661" spans="3:5" x14ac:dyDescent="0.25">
      <c r="C661" s="23"/>
      <c r="D661" s="23"/>
      <c r="E661" s="23"/>
    </row>
    <row r="662" spans="3:5" x14ac:dyDescent="0.25">
      <c r="C662" s="23"/>
      <c r="D662" s="23"/>
      <c r="E662" s="23"/>
    </row>
    <row r="663" spans="3:5" x14ac:dyDescent="0.25">
      <c r="C663" s="23"/>
      <c r="D663" s="23"/>
      <c r="E663" s="23"/>
    </row>
    <row r="664" spans="3:5" x14ac:dyDescent="0.25">
      <c r="C664" s="23"/>
      <c r="D664" s="23"/>
      <c r="E664" s="23"/>
    </row>
    <row r="665" spans="3:5" x14ac:dyDescent="0.25">
      <c r="C665" s="23"/>
      <c r="D665" s="23"/>
      <c r="E665" s="23"/>
    </row>
    <row r="666" spans="3:5" x14ac:dyDescent="0.25">
      <c r="C666" s="23"/>
      <c r="D666" s="23"/>
      <c r="E666" s="23"/>
    </row>
    <row r="667" spans="3:5" x14ac:dyDescent="0.25">
      <c r="C667" s="23"/>
      <c r="D667" s="23"/>
      <c r="E667" s="23"/>
    </row>
    <row r="668" spans="3:5" x14ac:dyDescent="0.25">
      <c r="C668" s="23"/>
      <c r="D668" s="23"/>
      <c r="E668" s="23"/>
    </row>
    <row r="669" spans="3:5" x14ac:dyDescent="0.25">
      <c r="C669" s="23"/>
      <c r="D669" s="23"/>
      <c r="E669" s="23"/>
    </row>
    <row r="670" spans="3:5" x14ac:dyDescent="0.25">
      <c r="C670" s="23"/>
      <c r="D670" s="23"/>
      <c r="E670" s="23"/>
    </row>
    <row r="671" spans="3:5" x14ac:dyDescent="0.25">
      <c r="C671" s="23"/>
      <c r="D671" s="23"/>
      <c r="E671" s="23"/>
    </row>
    <row r="672" spans="3:5" x14ac:dyDescent="0.25">
      <c r="C672" s="23"/>
      <c r="D672" s="23"/>
      <c r="E672" s="23"/>
    </row>
    <row r="673" spans="3:5" x14ac:dyDescent="0.25">
      <c r="C673" s="23"/>
      <c r="D673" s="23"/>
      <c r="E673" s="23"/>
    </row>
    <row r="674" spans="3:5" x14ac:dyDescent="0.25">
      <c r="C674" s="23"/>
      <c r="D674" s="23"/>
      <c r="E674" s="23"/>
    </row>
    <row r="675" spans="3:5" x14ac:dyDescent="0.25">
      <c r="C675" s="23"/>
      <c r="D675" s="23"/>
      <c r="E675" s="23"/>
    </row>
    <row r="676" spans="3:5" x14ac:dyDescent="0.25">
      <c r="C676" s="23"/>
      <c r="D676" s="23"/>
      <c r="E676" s="23"/>
    </row>
    <row r="677" spans="3:5" x14ac:dyDescent="0.25">
      <c r="C677" s="23"/>
      <c r="D677" s="23"/>
      <c r="E677" s="23"/>
    </row>
    <row r="678" spans="3:5" x14ac:dyDescent="0.25">
      <c r="C678" s="23"/>
      <c r="D678" s="23"/>
      <c r="E678" s="23"/>
    </row>
    <row r="679" spans="3:5" x14ac:dyDescent="0.25">
      <c r="C679" s="23"/>
      <c r="D679" s="23"/>
      <c r="E679" s="23"/>
    </row>
    <row r="680" spans="3:5" x14ac:dyDescent="0.25">
      <c r="C680" s="23"/>
      <c r="D680" s="23"/>
      <c r="E680" s="23"/>
    </row>
    <row r="681" spans="3:5" x14ac:dyDescent="0.25">
      <c r="C681" s="23"/>
      <c r="D681" s="23"/>
      <c r="E681" s="23"/>
    </row>
    <row r="682" spans="3:5" x14ac:dyDescent="0.25">
      <c r="C682" s="23"/>
      <c r="D682" s="23"/>
      <c r="E682" s="23"/>
    </row>
    <row r="683" spans="3:5" x14ac:dyDescent="0.25">
      <c r="C683" s="23"/>
      <c r="D683" s="23"/>
      <c r="E683" s="23"/>
    </row>
    <row r="684" spans="3:5" x14ac:dyDescent="0.25">
      <c r="C684" s="23"/>
      <c r="D684" s="23"/>
      <c r="E684" s="23"/>
    </row>
    <row r="685" spans="3:5" x14ac:dyDescent="0.25">
      <c r="C685" s="23"/>
      <c r="D685" s="23"/>
      <c r="E685" s="23"/>
    </row>
    <row r="686" spans="3:5" x14ac:dyDescent="0.25">
      <c r="C686" s="23"/>
      <c r="D686" s="23"/>
      <c r="E686" s="23"/>
    </row>
    <row r="687" spans="3:5" x14ac:dyDescent="0.25">
      <c r="C687" s="23"/>
      <c r="D687" s="23"/>
      <c r="E687" s="23"/>
    </row>
    <row r="688" spans="3:5" x14ac:dyDescent="0.25">
      <c r="C688" s="23"/>
      <c r="D688" s="23"/>
      <c r="E688" s="23"/>
    </row>
    <row r="689" spans="3:5" x14ac:dyDescent="0.25">
      <c r="C689" s="23"/>
      <c r="D689" s="23"/>
      <c r="E689" s="23"/>
    </row>
    <row r="690" spans="3:5" x14ac:dyDescent="0.25">
      <c r="C690" s="23"/>
      <c r="D690" s="23"/>
      <c r="E690" s="23"/>
    </row>
    <row r="691" spans="3:5" x14ac:dyDescent="0.25">
      <c r="C691" s="23"/>
      <c r="D691" s="23"/>
      <c r="E691" s="23"/>
    </row>
    <row r="692" spans="3:5" x14ac:dyDescent="0.25">
      <c r="C692" s="23"/>
      <c r="D692" s="23"/>
      <c r="E692" s="23"/>
    </row>
    <row r="693" spans="3:5" x14ac:dyDescent="0.25">
      <c r="C693" s="23"/>
      <c r="D693" s="23"/>
      <c r="E693" s="23"/>
    </row>
    <row r="694" spans="3:5" x14ac:dyDescent="0.25">
      <c r="C694" s="23"/>
      <c r="D694" s="23"/>
      <c r="E694" s="23"/>
    </row>
    <row r="695" spans="3:5" x14ac:dyDescent="0.25">
      <c r="C695" s="23"/>
      <c r="D695" s="23"/>
      <c r="E695" s="23"/>
    </row>
    <row r="696" spans="3:5" x14ac:dyDescent="0.25">
      <c r="C696" s="23"/>
      <c r="D696" s="23"/>
      <c r="E696" s="23"/>
    </row>
    <row r="697" spans="3:5" x14ac:dyDescent="0.25">
      <c r="C697" s="23"/>
      <c r="D697" s="23"/>
      <c r="E697" s="23"/>
    </row>
    <row r="698" spans="3:5" x14ac:dyDescent="0.25">
      <c r="C698" s="23"/>
      <c r="D698" s="23"/>
      <c r="E698" s="23"/>
    </row>
    <row r="699" spans="3:5" x14ac:dyDescent="0.25">
      <c r="C699" s="23"/>
      <c r="D699" s="23"/>
      <c r="E699" s="23"/>
    </row>
    <row r="700" spans="3:5" x14ac:dyDescent="0.25">
      <c r="C700" s="23"/>
      <c r="D700" s="23"/>
      <c r="E700" s="23"/>
    </row>
    <row r="701" spans="3:5" x14ac:dyDescent="0.25">
      <c r="C701" s="23"/>
      <c r="D701" s="23"/>
      <c r="E701" s="23"/>
    </row>
    <row r="702" spans="3:5" x14ac:dyDescent="0.25">
      <c r="C702" s="23"/>
      <c r="D702" s="23"/>
      <c r="E702" s="23"/>
    </row>
    <row r="703" spans="3:5" x14ac:dyDescent="0.25">
      <c r="C703" s="23"/>
      <c r="D703" s="23"/>
      <c r="E703" s="23"/>
    </row>
    <row r="704" spans="3:5" x14ac:dyDescent="0.25">
      <c r="C704" s="23"/>
      <c r="D704" s="23"/>
      <c r="E704" s="23"/>
    </row>
    <row r="705" spans="3:5" x14ac:dyDescent="0.25">
      <c r="C705" s="23"/>
      <c r="D705" s="23"/>
      <c r="E705" s="23"/>
    </row>
    <row r="706" spans="3:5" x14ac:dyDescent="0.25">
      <c r="C706" s="23"/>
      <c r="D706" s="23"/>
      <c r="E706" s="23"/>
    </row>
    <row r="707" spans="3:5" x14ac:dyDescent="0.25">
      <c r="C707" s="23"/>
      <c r="D707" s="23"/>
      <c r="E707" s="23"/>
    </row>
    <row r="708" spans="3:5" x14ac:dyDescent="0.25">
      <c r="C708" s="23"/>
      <c r="D708" s="23"/>
      <c r="E708" s="23"/>
    </row>
    <row r="709" spans="3:5" x14ac:dyDescent="0.25">
      <c r="C709" s="23"/>
      <c r="D709" s="23"/>
      <c r="E709" s="23"/>
    </row>
    <row r="710" spans="3:5" x14ac:dyDescent="0.25">
      <c r="C710" s="23"/>
      <c r="D710" s="23"/>
      <c r="E710" s="23"/>
    </row>
    <row r="711" spans="3:5" x14ac:dyDescent="0.25">
      <c r="C711" s="23"/>
      <c r="D711" s="23"/>
      <c r="E711" s="23"/>
    </row>
    <row r="712" spans="3:5" x14ac:dyDescent="0.25">
      <c r="C712" s="23"/>
      <c r="D712" s="23"/>
      <c r="E712" s="23"/>
    </row>
    <row r="713" spans="3:5" x14ac:dyDescent="0.25">
      <c r="C713" s="23"/>
      <c r="D713" s="23"/>
      <c r="E713" s="23"/>
    </row>
    <row r="714" spans="3:5" x14ac:dyDescent="0.25">
      <c r="C714" s="23"/>
      <c r="D714" s="23"/>
      <c r="E714" s="23"/>
    </row>
    <row r="715" spans="3:5" x14ac:dyDescent="0.25">
      <c r="C715" s="23"/>
      <c r="D715" s="23"/>
      <c r="E715" s="23"/>
    </row>
    <row r="716" spans="3:5" x14ac:dyDescent="0.25">
      <c r="C716" s="23"/>
      <c r="D716" s="23"/>
      <c r="E716" s="23"/>
    </row>
    <row r="717" spans="3:5" x14ac:dyDescent="0.25">
      <c r="C717" s="23"/>
      <c r="D717" s="23"/>
      <c r="E717" s="23"/>
    </row>
    <row r="718" spans="3:5" x14ac:dyDescent="0.25">
      <c r="C718" s="23"/>
      <c r="D718" s="23"/>
      <c r="E718" s="23"/>
    </row>
    <row r="719" spans="3:5" x14ac:dyDescent="0.25">
      <c r="C719" s="23"/>
      <c r="D719" s="23"/>
      <c r="E719" s="23"/>
    </row>
    <row r="720" spans="3:5" x14ac:dyDescent="0.25">
      <c r="C720" s="23"/>
      <c r="D720" s="23"/>
      <c r="E720" s="23"/>
    </row>
    <row r="721" spans="3:5" x14ac:dyDescent="0.25">
      <c r="C721" s="23"/>
      <c r="D721" s="23"/>
      <c r="E721" s="23"/>
    </row>
    <row r="722" spans="3:5" x14ac:dyDescent="0.25">
      <c r="C722" s="23"/>
      <c r="D722" s="23"/>
      <c r="E722" s="23"/>
    </row>
    <row r="723" spans="3:5" x14ac:dyDescent="0.25">
      <c r="C723" s="23"/>
      <c r="D723" s="23"/>
      <c r="E723" s="23"/>
    </row>
    <row r="724" spans="3:5" x14ac:dyDescent="0.25">
      <c r="C724" s="23"/>
      <c r="D724" s="23"/>
      <c r="E724" s="23"/>
    </row>
    <row r="725" spans="3:5" x14ac:dyDescent="0.25">
      <c r="C725" s="23"/>
      <c r="D725" s="23"/>
      <c r="E725" s="23"/>
    </row>
    <row r="726" spans="3:5" x14ac:dyDescent="0.25">
      <c r="C726" s="23"/>
      <c r="D726" s="23"/>
      <c r="E726" s="23"/>
    </row>
    <row r="727" spans="3:5" x14ac:dyDescent="0.25">
      <c r="C727" s="23"/>
      <c r="D727" s="23"/>
      <c r="E727" s="23"/>
    </row>
    <row r="728" spans="3:5" x14ac:dyDescent="0.25">
      <c r="C728" s="23"/>
      <c r="D728" s="23"/>
      <c r="E728" s="23"/>
    </row>
    <row r="729" spans="3:5" x14ac:dyDescent="0.25">
      <c r="C729" s="23"/>
      <c r="D729" s="23"/>
      <c r="E729" s="23"/>
    </row>
    <row r="730" spans="3:5" x14ac:dyDescent="0.25">
      <c r="C730" s="23"/>
      <c r="D730" s="23"/>
      <c r="E730" s="23"/>
    </row>
    <row r="731" spans="3:5" x14ac:dyDescent="0.25">
      <c r="C731" s="23"/>
      <c r="D731" s="23"/>
      <c r="E731" s="23"/>
    </row>
    <row r="732" spans="3:5" x14ac:dyDescent="0.25">
      <c r="C732" s="23"/>
      <c r="D732" s="23"/>
      <c r="E732" s="23"/>
    </row>
    <row r="733" spans="3:5" x14ac:dyDescent="0.25">
      <c r="C733" s="23"/>
      <c r="D733" s="23"/>
      <c r="E733" s="23"/>
    </row>
    <row r="734" spans="3:5" x14ac:dyDescent="0.25">
      <c r="C734" s="23"/>
      <c r="D734" s="23"/>
      <c r="E734" s="23"/>
    </row>
    <row r="735" spans="3:5" x14ac:dyDescent="0.25">
      <c r="C735" s="23"/>
      <c r="D735" s="23"/>
      <c r="E735" s="23"/>
    </row>
    <row r="736" spans="3:5" x14ac:dyDescent="0.25">
      <c r="C736" s="23"/>
      <c r="D736" s="23"/>
      <c r="E736" s="23"/>
    </row>
    <row r="737" spans="3:5" x14ac:dyDescent="0.25">
      <c r="C737" s="23"/>
      <c r="D737" s="23"/>
      <c r="E737" s="23"/>
    </row>
    <row r="738" spans="3:5" x14ac:dyDescent="0.25">
      <c r="C738" s="23"/>
      <c r="D738" s="23"/>
      <c r="E738" s="23"/>
    </row>
    <row r="739" spans="3:5" x14ac:dyDescent="0.25">
      <c r="C739" s="23"/>
      <c r="D739" s="23"/>
      <c r="E739" s="23"/>
    </row>
    <row r="740" spans="3:5" x14ac:dyDescent="0.25">
      <c r="C740" s="23"/>
      <c r="D740" s="23"/>
      <c r="E740" s="23"/>
    </row>
    <row r="741" spans="3:5" x14ac:dyDescent="0.25">
      <c r="C741" s="23"/>
      <c r="D741" s="23"/>
      <c r="E741" s="23"/>
    </row>
    <row r="742" spans="3:5" x14ac:dyDescent="0.25">
      <c r="C742" s="23"/>
      <c r="D742" s="23"/>
      <c r="E742" s="23"/>
    </row>
    <row r="743" spans="3:5" x14ac:dyDescent="0.25">
      <c r="C743" s="23"/>
      <c r="D743" s="23"/>
      <c r="E743" s="23"/>
    </row>
    <row r="744" spans="3:5" x14ac:dyDescent="0.25">
      <c r="C744" s="23"/>
      <c r="D744" s="23"/>
      <c r="E744" s="23"/>
    </row>
    <row r="745" spans="3:5" x14ac:dyDescent="0.25">
      <c r="C745" s="23"/>
      <c r="D745" s="23"/>
      <c r="E745" s="23"/>
    </row>
    <row r="746" spans="3:5" x14ac:dyDescent="0.25">
      <c r="C746" s="23"/>
      <c r="D746" s="23"/>
      <c r="E746" s="23"/>
    </row>
    <row r="747" spans="3:5" x14ac:dyDescent="0.25">
      <c r="C747" s="23"/>
      <c r="D747" s="23"/>
      <c r="E747" s="23"/>
    </row>
    <row r="748" spans="3:5" x14ac:dyDescent="0.25">
      <c r="C748" s="23"/>
      <c r="D748" s="23"/>
      <c r="E748" s="23"/>
    </row>
    <row r="749" spans="3:5" x14ac:dyDescent="0.25">
      <c r="C749" s="23"/>
      <c r="D749" s="23"/>
      <c r="E749" s="23"/>
    </row>
    <row r="750" spans="3:5" x14ac:dyDescent="0.25">
      <c r="C750" s="23"/>
      <c r="D750" s="23"/>
      <c r="E750" s="23"/>
    </row>
    <row r="751" spans="3:5" x14ac:dyDescent="0.25">
      <c r="C751" s="23"/>
      <c r="D751" s="23"/>
      <c r="E751" s="23"/>
    </row>
    <row r="752" spans="3:5" x14ac:dyDescent="0.25">
      <c r="C752" s="23"/>
      <c r="D752" s="23"/>
      <c r="E752" s="23"/>
    </row>
    <row r="753" spans="3:5" x14ac:dyDescent="0.25">
      <c r="C753" s="23"/>
      <c r="D753" s="23"/>
      <c r="E753" s="23"/>
    </row>
    <row r="754" spans="3:5" x14ac:dyDescent="0.25">
      <c r="C754" s="23"/>
      <c r="D754" s="23"/>
      <c r="E754" s="23"/>
    </row>
    <row r="755" spans="3:5" x14ac:dyDescent="0.25">
      <c r="C755" s="23"/>
      <c r="D755" s="23"/>
      <c r="E755" s="23"/>
    </row>
    <row r="756" spans="3:5" x14ac:dyDescent="0.25">
      <c r="C756" s="23"/>
      <c r="D756" s="23"/>
      <c r="E756" s="23"/>
    </row>
    <row r="757" spans="3:5" x14ac:dyDescent="0.25">
      <c r="C757" s="23"/>
      <c r="D757" s="23"/>
      <c r="E757" s="23"/>
    </row>
    <row r="758" spans="3:5" x14ac:dyDescent="0.25">
      <c r="C758" s="23"/>
      <c r="D758" s="23"/>
      <c r="E758" s="23"/>
    </row>
    <row r="759" spans="3:5" x14ac:dyDescent="0.25">
      <c r="C759" s="23"/>
      <c r="D759" s="23"/>
      <c r="E759" s="23"/>
    </row>
    <row r="760" spans="3:5" x14ac:dyDescent="0.25">
      <c r="C760" s="23"/>
      <c r="D760" s="23"/>
      <c r="E760" s="23"/>
    </row>
    <row r="761" spans="3:5" x14ac:dyDescent="0.25">
      <c r="C761" s="23"/>
      <c r="D761" s="23"/>
      <c r="E761" s="23"/>
    </row>
    <row r="762" spans="3:5" x14ac:dyDescent="0.25">
      <c r="C762" s="23"/>
      <c r="D762" s="23"/>
      <c r="E762" s="23"/>
    </row>
    <row r="763" spans="3:5" x14ac:dyDescent="0.25">
      <c r="C763" s="23"/>
      <c r="D763" s="23"/>
      <c r="E763" s="23"/>
    </row>
    <row r="764" spans="3:5" x14ac:dyDescent="0.25">
      <c r="C764" s="23"/>
      <c r="D764" s="23"/>
      <c r="E764" s="23"/>
    </row>
    <row r="765" spans="3:5" x14ac:dyDescent="0.25">
      <c r="C765" s="23"/>
      <c r="D765" s="23"/>
      <c r="E765" s="23"/>
    </row>
    <row r="766" spans="3:5" x14ac:dyDescent="0.25">
      <c r="C766" s="23"/>
      <c r="D766" s="23"/>
      <c r="E766" s="23"/>
    </row>
    <row r="767" spans="3:5" x14ac:dyDescent="0.25">
      <c r="C767" s="23"/>
      <c r="D767" s="23"/>
      <c r="E767" s="23"/>
    </row>
    <row r="768" spans="3:5" x14ac:dyDescent="0.25">
      <c r="C768" s="23"/>
      <c r="D768" s="23"/>
      <c r="E768" s="23"/>
    </row>
    <row r="769" spans="3:5" x14ac:dyDescent="0.25">
      <c r="C769" s="23"/>
      <c r="D769" s="23"/>
      <c r="E769" s="23"/>
    </row>
    <row r="770" spans="3:5" x14ac:dyDescent="0.25">
      <c r="C770" s="23"/>
      <c r="D770" s="23"/>
      <c r="E770" s="23"/>
    </row>
    <row r="771" spans="3:5" x14ac:dyDescent="0.25">
      <c r="C771" s="23"/>
      <c r="D771" s="23"/>
      <c r="E771" s="23"/>
    </row>
    <row r="772" spans="3:5" x14ac:dyDescent="0.25">
      <c r="C772" s="23"/>
      <c r="D772" s="23"/>
      <c r="E772" s="23"/>
    </row>
    <row r="773" spans="3:5" x14ac:dyDescent="0.25">
      <c r="C773" s="23"/>
      <c r="D773" s="23"/>
      <c r="E773" s="23"/>
    </row>
    <row r="774" spans="3:5" x14ac:dyDescent="0.25">
      <c r="C774" s="23"/>
      <c r="D774" s="23"/>
      <c r="E774" s="23"/>
    </row>
    <row r="775" spans="3:5" x14ac:dyDescent="0.25">
      <c r="C775" s="23"/>
      <c r="D775" s="23"/>
      <c r="E775" s="23"/>
    </row>
    <row r="776" spans="3:5" x14ac:dyDescent="0.25">
      <c r="C776" s="23"/>
      <c r="D776" s="23"/>
      <c r="E776" s="23"/>
    </row>
    <row r="777" spans="3:5" x14ac:dyDescent="0.25">
      <c r="C777" s="23"/>
      <c r="D777" s="23"/>
      <c r="E777" s="23"/>
    </row>
    <row r="778" spans="3:5" x14ac:dyDescent="0.25">
      <c r="C778" s="23"/>
      <c r="D778" s="23"/>
      <c r="E778" s="23"/>
    </row>
    <row r="779" spans="3:5" x14ac:dyDescent="0.25">
      <c r="C779" s="23"/>
      <c r="D779" s="23"/>
      <c r="E779" s="23"/>
    </row>
    <row r="780" spans="3:5" x14ac:dyDescent="0.25">
      <c r="C780" s="23"/>
      <c r="D780" s="23"/>
      <c r="E780" s="23"/>
    </row>
    <row r="781" spans="3:5" x14ac:dyDescent="0.25">
      <c r="C781" s="23"/>
      <c r="D781" s="23"/>
      <c r="E781" s="23"/>
    </row>
    <row r="782" spans="3:5" x14ac:dyDescent="0.25">
      <c r="C782" s="23"/>
      <c r="D782" s="23"/>
      <c r="E782" s="23"/>
    </row>
    <row r="783" spans="3:5" x14ac:dyDescent="0.25">
      <c r="C783" s="23"/>
      <c r="D783" s="23"/>
      <c r="E783" s="23"/>
    </row>
    <row r="784" spans="3:5" x14ac:dyDescent="0.25">
      <c r="C784" s="23"/>
      <c r="D784" s="23"/>
      <c r="E784" s="23"/>
    </row>
    <row r="785" spans="3:5" x14ac:dyDescent="0.25">
      <c r="C785" s="23"/>
      <c r="D785" s="23"/>
      <c r="E785" s="23"/>
    </row>
    <row r="786" spans="3:5" x14ac:dyDescent="0.25">
      <c r="C786" s="23"/>
      <c r="D786" s="23"/>
      <c r="E786" s="23"/>
    </row>
    <row r="787" spans="3:5" x14ac:dyDescent="0.25">
      <c r="C787" s="23"/>
      <c r="D787" s="23"/>
      <c r="E787" s="23"/>
    </row>
    <row r="788" spans="3:5" x14ac:dyDescent="0.25">
      <c r="C788" s="23"/>
      <c r="D788" s="23"/>
      <c r="E788" s="23"/>
    </row>
    <row r="789" spans="3:5" x14ac:dyDescent="0.25">
      <c r="C789" s="23"/>
      <c r="D789" s="23"/>
      <c r="E789" s="23"/>
    </row>
    <row r="790" spans="3:5" x14ac:dyDescent="0.25">
      <c r="C790" s="23"/>
      <c r="D790" s="23"/>
      <c r="E790" s="23"/>
    </row>
    <row r="791" spans="3:5" x14ac:dyDescent="0.25">
      <c r="C791" s="23"/>
      <c r="D791" s="23"/>
      <c r="E791" s="23"/>
    </row>
    <row r="792" spans="3:5" x14ac:dyDescent="0.25">
      <c r="C792" s="23"/>
      <c r="D792" s="23"/>
      <c r="E792" s="23"/>
    </row>
    <row r="793" spans="3:5" x14ac:dyDescent="0.25">
      <c r="C793" s="23"/>
      <c r="D793" s="23"/>
      <c r="E793" s="23"/>
    </row>
    <row r="794" spans="3:5" x14ac:dyDescent="0.25">
      <c r="C794" s="23"/>
      <c r="D794" s="23"/>
      <c r="E794" s="23"/>
    </row>
    <row r="795" spans="3:5" x14ac:dyDescent="0.25">
      <c r="C795" s="23"/>
      <c r="D795" s="23"/>
      <c r="E795" s="23"/>
    </row>
    <row r="796" spans="3:5" x14ac:dyDescent="0.25">
      <c r="C796" s="23"/>
      <c r="D796" s="23"/>
      <c r="E796" s="23"/>
    </row>
    <row r="797" spans="3:5" x14ac:dyDescent="0.25">
      <c r="C797" s="23"/>
      <c r="D797" s="23"/>
      <c r="E797" s="23"/>
    </row>
    <row r="798" spans="3:5" x14ac:dyDescent="0.25">
      <c r="C798" s="23"/>
      <c r="D798" s="23"/>
      <c r="E798" s="23"/>
    </row>
    <row r="799" spans="3:5" x14ac:dyDescent="0.25">
      <c r="C799" s="23"/>
      <c r="D799" s="23"/>
      <c r="E799" s="23"/>
    </row>
    <row r="800" spans="3:5" x14ac:dyDescent="0.25">
      <c r="C800" s="23"/>
      <c r="D800" s="23"/>
      <c r="E800" s="23"/>
    </row>
    <row r="801" spans="3:5" x14ac:dyDescent="0.25">
      <c r="C801" s="23"/>
      <c r="D801" s="23"/>
      <c r="E801" s="23"/>
    </row>
    <row r="802" spans="3:5" x14ac:dyDescent="0.25">
      <c r="C802" s="23"/>
      <c r="D802" s="23"/>
      <c r="E802" s="23"/>
    </row>
    <row r="803" spans="3:5" x14ac:dyDescent="0.25">
      <c r="C803" s="23"/>
      <c r="D803" s="23"/>
      <c r="E803" s="23"/>
    </row>
    <row r="804" spans="3:5" x14ac:dyDescent="0.25">
      <c r="C804" s="23"/>
      <c r="D804" s="23"/>
      <c r="E804" s="23"/>
    </row>
    <row r="805" spans="3:5" x14ac:dyDescent="0.25">
      <c r="C805" s="23"/>
      <c r="D805" s="23"/>
      <c r="E805" s="23"/>
    </row>
    <row r="806" spans="3:5" x14ac:dyDescent="0.25">
      <c r="C806" s="23"/>
      <c r="D806" s="23"/>
      <c r="E806" s="23"/>
    </row>
    <row r="807" spans="3:5" x14ac:dyDescent="0.25">
      <c r="C807" s="23"/>
      <c r="D807" s="23"/>
      <c r="E807" s="23"/>
    </row>
    <row r="808" spans="3:5" x14ac:dyDescent="0.25">
      <c r="C808" s="23"/>
      <c r="D808" s="23"/>
      <c r="E808" s="23"/>
    </row>
    <row r="809" spans="3:5" x14ac:dyDescent="0.25">
      <c r="C809" s="23"/>
      <c r="D809" s="23"/>
      <c r="E809" s="23"/>
    </row>
    <row r="810" spans="3:5" x14ac:dyDescent="0.25">
      <c r="C810" s="23"/>
      <c r="D810" s="23"/>
      <c r="E810" s="23"/>
    </row>
    <row r="811" spans="3:5" x14ac:dyDescent="0.25">
      <c r="C811" s="23"/>
      <c r="D811" s="23"/>
      <c r="E811" s="23"/>
    </row>
    <row r="812" spans="3:5" x14ac:dyDescent="0.25">
      <c r="C812" s="23"/>
      <c r="D812" s="23"/>
      <c r="E812" s="23"/>
    </row>
    <row r="813" spans="3:5" x14ac:dyDescent="0.25">
      <c r="C813" s="23"/>
      <c r="D813" s="23"/>
      <c r="E813" s="23"/>
    </row>
    <row r="814" spans="3:5" x14ac:dyDescent="0.25">
      <c r="C814" s="23"/>
      <c r="D814" s="23"/>
      <c r="E814" s="23"/>
    </row>
    <row r="815" spans="3:5" x14ac:dyDescent="0.25">
      <c r="C815" s="23"/>
      <c r="D815" s="23"/>
      <c r="E815" s="23"/>
    </row>
    <row r="816" spans="3:5" x14ac:dyDescent="0.25">
      <c r="C816" s="23"/>
      <c r="D816" s="23"/>
      <c r="E816" s="23"/>
    </row>
    <row r="817" spans="3:5" x14ac:dyDescent="0.25">
      <c r="C817" s="23"/>
      <c r="D817" s="23"/>
      <c r="E817" s="23"/>
    </row>
    <row r="818" spans="3:5" x14ac:dyDescent="0.25">
      <c r="C818" s="23"/>
      <c r="D818" s="23"/>
      <c r="E818" s="23"/>
    </row>
    <row r="819" spans="3:5" x14ac:dyDescent="0.25">
      <c r="C819" s="23"/>
      <c r="D819" s="23"/>
      <c r="E819" s="23"/>
    </row>
    <row r="820" spans="3:5" x14ac:dyDescent="0.25">
      <c r="C820" s="23"/>
      <c r="D820" s="23"/>
      <c r="E820" s="23"/>
    </row>
    <row r="821" spans="3:5" x14ac:dyDescent="0.25">
      <c r="C821" s="23"/>
      <c r="D821" s="23"/>
      <c r="E821" s="23"/>
    </row>
    <row r="822" spans="3:5" x14ac:dyDescent="0.25">
      <c r="C822" s="23"/>
      <c r="D822" s="23"/>
      <c r="E822" s="23"/>
    </row>
    <row r="823" spans="3:5" x14ac:dyDescent="0.25">
      <c r="C823" s="23"/>
      <c r="D823" s="23"/>
      <c r="E823" s="23"/>
    </row>
    <row r="824" spans="3:5" x14ac:dyDescent="0.25">
      <c r="C824" s="23"/>
      <c r="D824" s="23"/>
      <c r="E824" s="23"/>
    </row>
    <row r="825" spans="3:5" x14ac:dyDescent="0.25">
      <c r="C825" s="23"/>
      <c r="D825" s="23"/>
      <c r="E825" s="23"/>
    </row>
    <row r="826" spans="3:5" x14ac:dyDescent="0.25">
      <c r="C826" s="23"/>
      <c r="D826" s="23"/>
      <c r="E826" s="23"/>
    </row>
    <row r="827" spans="3:5" x14ac:dyDescent="0.25">
      <c r="C827" s="23"/>
      <c r="D827" s="23"/>
      <c r="E827" s="23"/>
    </row>
    <row r="828" spans="3:5" x14ac:dyDescent="0.25">
      <c r="C828" s="23"/>
      <c r="D828" s="23"/>
      <c r="E828" s="23"/>
    </row>
    <row r="829" spans="3:5" x14ac:dyDescent="0.25">
      <c r="C829" s="23"/>
      <c r="D829" s="23"/>
      <c r="E829" s="23"/>
    </row>
    <row r="830" spans="3:5" x14ac:dyDescent="0.25">
      <c r="C830" s="23"/>
      <c r="D830" s="23"/>
      <c r="E830" s="23"/>
    </row>
    <row r="831" spans="3:5" x14ac:dyDescent="0.25">
      <c r="C831" s="23"/>
      <c r="D831" s="23"/>
      <c r="E831" s="23"/>
    </row>
    <row r="832" spans="3:5" x14ac:dyDescent="0.25">
      <c r="C832" s="23"/>
      <c r="D832" s="23"/>
      <c r="E832" s="23"/>
    </row>
    <row r="833" spans="3:5" x14ac:dyDescent="0.25">
      <c r="C833" s="23"/>
      <c r="D833" s="23"/>
      <c r="E833" s="23"/>
    </row>
    <row r="834" spans="3:5" x14ac:dyDescent="0.25">
      <c r="C834" s="23"/>
      <c r="D834" s="23"/>
      <c r="E834" s="23"/>
    </row>
    <row r="835" spans="3:5" x14ac:dyDescent="0.25">
      <c r="C835" s="23"/>
      <c r="D835" s="23"/>
      <c r="E835" s="23"/>
    </row>
    <row r="836" spans="3:5" x14ac:dyDescent="0.25">
      <c r="C836" s="23"/>
      <c r="D836" s="23"/>
      <c r="E836" s="23"/>
    </row>
    <row r="837" spans="3:5" x14ac:dyDescent="0.25">
      <c r="C837" s="23"/>
      <c r="D837" s="23"/>
      <c r="E837" s="23"/>
    </row>
    <row r="838" spans="3:5" x14ac:dyDescent="0.25">
      <c r="C838" s="23"/>
      <c r="D838" s="23"/>
      <c r="E838" s="23"/>
    </row>
    <row r="839" spans="3:5" x14ac:dyDescent="0.25">
      <c r="C839" s="23"/>
      <c r="D839" s="23"/>
      <c r="E839" s="23"/>
    </row>
    <row r="840" spans="3:5" x14ac:dyDescent="0.25">
      <c r="C840" s="23"/>
      <c r="D840" s="23"/>
      <c r="E840" s="23"/>
    </row>
    <row r="841" spans="3:5" x14ac:dyDescent="0.25">
      <c r="C841" s="23"/>
      <c r="D841" s="23"/>
      <c r="E841" s="23"/>
    </row>
    <row r="842" spans="3:5" x14ac:dyDescent="0.25">
      <c r="C842" s="23"/>
      <c r="D842" s="23"/>
      <c r="E842" s="23"/>
    </row>
    <row r="843" spans="3:5" x14ac:dyDescent="0.25">
      <c r="C843" s="23"/>
      <c r="D843" s="23"/>
      <c r="E843" s="23"/>
    </row>
    <row r="844" spans="3:5" x14ac:dyDescent="0.25">
      <c r="C844" s="23"/>
      <c r="D844" s="23"/>
      <c r="E844" s="23"/>
    </row>
    <row r="845" spans="3:5" x14ac:dyDescent="0.25">
      <c r="C845" s="23"/>
      <c r="D845" s="23"/>
      <c r="E845" s="23"/>
    </row>
    <row r="846" spans="3:5" x14ac:dyDescent="0.25">
      <c r="C846" s="23"/>
      <c r="D846" s="23"/>
      <c r="E846" s="23"/>
    </row>
    <row r="847" spans="3:5" x14ac:dyDescent="0.25">
      <c r="C847" s="23"/>
      <c r="D847" s="23"/>
      <c r="E847" s="23"/>
    </row>
    <row r="848" spans="3:5" x14ac:dyDescent="0.25">
      <c r="C848" s="23"/>
      <c r="D848" s="23"/>
      <c r="E848" s="23"/>
    </row>
    <row r="849" spans="3:5" x14ac:dyDescent="0.25">
      <c r="C849" s="23"/>
      <c r="D849" s="23"/>
      <c r="E849" s="23"/>
    </row>
    <row r="850" spans="3:5" x14ac:dyDescent="0.25">
      <c r="C850" s="23"/>
      <c r="D850" s="23"/>
      <c r="E850" s="23"/>
    </row>
    <row r="851" spans="3:5" x14ac:dyDescent="0.25">
      <c r="C851" s="23"/>
      <c r="D851" s="23"/>
      <c r="E851" s="23"/>
    </row>
    <row r="852" spans="3:5" x14ac:dyDescent="0.25">
      <c r="C852" s="23"/>
      <c r="D852" s="23"/>
      <c r="E852" s="23"/>
    </row>
    <row r="853" spans="3:5" x14ac:dyDescent="0.25">
      <c r="C853" s="23"/>
      <c r="D853" s="23"/>
      <c r="E853" s="23"/>
    </row>
    <row r="854" spans="3:5" x14ac:dyDescent="0.25">
      <c r="C854" s="23"/>
      <c r="D854" s="23"/>
      <c r="E854" s="23"/>
    </row>
    <row r="855" spans="3:5" x14ac:dyDescent="0.25">
      <c r="C855" s="23"/>
      <c r="D855" s="23"/>
      <c r="E855" s="23"/>
    </row>
    <row r="856" spans="3:5" x14ac:dyDescent="0.25">
      <c r="C856" s="23"/>
      <c r="D856" s="23"/>
      <c r="E856" s="23"/>
    </row>
    <row r="857" spans="3:5" x14ac:dyDescent="0.25">
      <c r="C857" s="23"/>
      <c r="D857" s="23"/>
      <c r="E857" s="23"/>
    </row>
    <row r="858" spans="3:5" x14ac:dyDescent="0.25">
      <c r="C858" s="23"/>
      <c r="D858" s="23"/>
      <c r="E858" s="23"/>
    </row>
    <row r="859" spans="3:5" x14ac:dyDescent="0.25">
      <c r="C859" s="23"/>
      <c r="D859" s="23"/>
      <c r="E859" s="23"/>
    </row>
    <row r="860" spans="3:5" x14ac:dyDescent="0.25">
      <c r="C860" s="23"/>
      <c r="D860" s="23"/>
      <c r="E860" s="23"/>
    </row>
    <row r="861" spans="3:5" x14ac:dyDescent="0.25">
      <c r="C861" s="23"/>
      <c r="D861" s="23"/>
      <c r="E861" s="23"/>
    </row>
    <row r="862" spans="3:5" x14ac:dyDescent="0.25">
      <c r="C862" s="23"/>
      <c r="D862" s="23"/>
      <c r="E862" s="23"/>
    </row>
    <row r="863" spans="3:5" x14ac:dyDescent="0.25">
      <c r="C863" s="23"/>
      <c r="D863" s="23"/>
      <c r="E863" s="23"/>
    </row>
    <row r="864" spans="3:5" x14ac:dyDescent="0.25">
      <c r="C864" s="23"/>
      <c r="D864" s="23"/>
      <c r="E864" s="23"/>
    </row>
    <row r="865" spans="3:5" x14ac:dyDescent="0.25">
      <c r="C865" s="23"/>
      <c r="D865" s="23"/>
      <c r="E865" s="23"/>
    </row>
    <row r="866" spans="3:5" x14ac:dyDescent="0.25">
      <c r="C866" s="23"/>
      <c r="D866" s="23"/>
      <c r="E866" s="23"/>
    </row>
    <row r="867" spans="3:5" x14ac:dyDescent="0.25">
      <c r="C867" s="23"/>
      <c r="D867" s="23"/>
      <c r="E867" s="23"/>
    </row>
    <row r="868" spans="3:5" x14ac:dyDescent="0.25">
      <c r="C868" s="23"/>
      <c r="D868" s="23"/>
      <c r="E868" s="23"/>
    </row>
    <row r="869" spans="3:5" x14ac:dyDescent="0.25">
      <c r="C869" s="23"/>
      <c r="D869" s="23"/>
      <c r="E869" s="23"/>
    </row>
    <row r="870" spans="3:5" x14ac:dyDescent="0.25">
      <c r="C870" s="23"/>
      <c r="D870" s="23"/>
      <c r="E870" s="23"/>
    </row>
    <row r="871" spans="3:5" x14ac:dyDescent="0.25">
      <c r="C871" s="23"/>
      <c r="D871" s="23"/>
      <c r="E871" s="23"/>
    </row>
    <row r="872" spans="3:5" x14ac:dyDescent="0.25">
      <c r="C872" s="23"/>
      <c r="D872" s="23"/>
      <c r="E872" s="23"/>
    </row>
    <row r="873" spans="3:5" x14ac:dyDescent="0.25">
      <c r="C873" s="23"/>
      <c r="D873" s="23"/>
      <c r="E873" s="23"/>
    </row>
    <row r="874" spans="3:5" x14ac:dyDescent="0.25">
      <c r="C874" s="23"/>
      <c r="D874" s="23"/>
      <c r="E874" s="23"/>
    </row>
    <row r="875" spans="3:5" x14ac:dyDescent="0.25">
      <c r="C875" s="23"/>
      <c r="D875" s="23"/>
      <c r="E875" s="23"/>
    </row>
    <row r="876" spans="3:5" x14ac:dyDescent="0.25">
      <c r="C876" s="23"/>
      <c r="D876" s="23"/>
      <c r="E876" s="23"/>
    </row>
    <row r="877" spans="3:5" x14ac:dyDescent="0.25">
      <c r="C877" s="23"/>
      <c r="D877" s="23"/>
      <c r="E877" s="23"/>
    </row>
    <row r="878" spans="3:5" x14ac:dyDescent="0.25">
      <c r="C878" s="23"/>
      <c r="D878" s="23"/>
      <c r="E878" s="23"/>
    </row>
    <row r="879" spans="3:5" x14ac:dyDescent="0.25">
      <c r="C879" s="23"/>
      <c r="D879" s="23"/>
      <c r="E879" s="23"/>
    </row>
    <row r="880" spans="3:5" x14ac:dyDescent="0.25">
      <c r="C880" s="23"/>
      <c r="D880" s="23"/>
      <c r="E880" s="23"/>
    </row>
    <row r="881" spans="3:5" x14ac:dyDescent="0.25">
      <c r="C881" s="23"/>
      <c r="D881" s="23"/>
      <c r="E881" s="23"/>
    </row>
    <row r="882" spans="3:5" x14ac:dyDescent="0.25">
      <c r="C882" s="23"/>
      <c r="D882" s="23"/>
      <c r="E882" s="23"/>
    </row>
    <row r="883" spans="3:5" x14ac:dyDescent="0.25">
      <c r="C883" s="23"/>
      <c r="D883" s="23"/>
      <c r="E883" s="23"/>
    </row>
    <row r="884" spans="3:5" x14ac:dyDescent="0.25">
      <c r="C884" s="23"/>
      <c r="D884" s="23"/>
      <c r="E884" s="23"/>
    </row>
    <row r="885" spans="3:5" x14ac:dyDescent="0.25">
      <c r="C885" s="23"/>
      <c r="D885" s="23"/>
      <c r="E885" s="23"/>
    </row>
    <row r="886" spans="3:5" x14ac:dyDescent="0.25">
      <c r="C886" s="23"/>
      <c r="D886" s="23"/>
      <c r="E886" s="23"/>
    </row>
    <row r="887" spans="3:5" x14ac:dyDescent="0.25">
      <c r="C887" s="23"/>
      <c r="D887" s="23"/>
      <c r="E887" s="23"/>
    </row>
    <row r="888" spans="3:5" x14ac:dyDescent="0.25">
      <c r="C888" s="23"/>
      <c r="D888" s="23"/>
      <c r="E888" s="23"/>
    </row>
    <row r="889" spans="3:5" x14ac:dyDescent="0.25">
      <c r="C889" s="23"/>
      <c r="D889" s="23"/>
      <c r="E889" s="23"/>
    </row>
    <row r="890" spans="3:5" x14ac:dyDescent="0.25">
      <c r="C890" s="23"/>
      <c r="D890" s="23"/>
      <c r="E890" s="23"/>
    </row>
    <row r="891" spans="3:5" x14ac:dyDescent="0.25">
      <c r="C891" s="23"/>
      <c r="D891" s="23"/>
      <c r="E891" s="23"/>
    </row>
    <row r="892" spans="3:5" x14ac:dyDescent="0.25">
      <c r="C892" s="23"/>
      <c r="D892" s="23"/>
      <c r="E892" s="23"/>
    </row>
    <row r="893" spans="3:5" x14ac:dyDescent="0.25">
      <c r="C893" s="23"/>
      <c r="D893" s="23"/>
      <c r="E893" s="23"/>
    </row>
    <row r="894" spans="3:5" x14ac:dyDescent="0.25">
      <c r="C894" s="23"/>
      <c r="D894" s="23"/>
      <c r="E894" s="23"/>
    </row>
    <row r="895" spans="3:5" x14ac:dyDescent="0.25">
      <c r="C895" s="23"/>
      <c r="D895" s="23"/>
      <c r="E895" s="23"/>
    </row>
    <row r="896" spans="3:5" x14ac:dyDescent="0.25">
      <c r="C896" s="23"/>
      <c r="D896" s="23"/>
      <c r="E896" s="23"/>
    </row>
    <row r="897" spans="3:5" x14ac:dyDescent="0.25">
      <c r="C897" s="23"/>
      <c r="D897" s="23"/>
      <c r="E897" s="23"/>
    </row>
    <row r="898" spans="3:5" x14ac:dyDescent="0.25">
      <c r="C898" s="23"/>
      <c r="D898" s="23"/>
      <c r="E898" s="23"/>
    </row>
    <row r="899" spans="3:5" x14ac:dyDescent="0.25">
      <c r="C899" s="23"/>
      <c r="D899" s="23"/>
      <c r="E899" s="23"/>
    </row>
    <row r="900" spans="3:5" x14ac:dyDescent="0.25">
      <c r="C900" s="23"/>
      <c r="D900" s="23"/>
      <c r="E900" s="23"/>
    </row>
    <row r="901" spans="3:5" x14ac:dyDescent="0.25">
      <c r="C901" s="23"/>
      <c r="D901" s="23"/>
      <c r="E901" s="23"/>
    </row>
    <row r="902" spans="3:5" x14ac:dyDescent="0.25">
      <c r="C902" s="23"/>
      <c r="D902" s="23"/>
      <c r="E902" s="23"/>
    </row>
    <row r="903" spans="3:5" x14ac:dyDescent="0.25">
      <c r="C903" s="23"/>
      <c r="D903" s="23"/>
      <c r="E903" s="23"/>
    </row>
    <row r="904" spans="3:5" x14ac:dyDescent="0.25">
      <c r="C904" s="23"/>
      <c r="D904" s="23"/>
      <c r="E904" s="23"/>
    </row>
    <row r="905" spans="3:5" x14ac:dyDescent="0.25">
      <c r="C905" s="23"/>
      <c r="D905" s="23"/>
      <c r="E905" s="23"/>
    </row>
    <row r="906" spans="3:5" x14ac:dyDescent="0.25">
      <c r="C906" s="23"/>
      <c r="D906" s="23"/>
      <c r="E906" s="23"/>
    </row>
    <row r="907" spans="3:5" x14ac:dyDescent="0.25">
      <c r="C907" s="23"/>
      <c r="D907" s="23"/>
      <c r="E907" s="23"/>
    </row>
    <row r="908" spans="3:5" x14ac:dyDescent="0.25">
      <c r="C908" s="23"/>
      <c r="D908" s="23"/>
      <c r="E908" s="23"/>
    </row>
    <row r="909" spans="3:5" x14ac:dyDescent="0.25">
      <c r="C909" s="23"/>
      <c r="D909" s="23"/>
      <c r="E909" s="23"/>
    </row>
    <row r="910" spans="3:5" x14ac:dyDescent="0.25">
      <c r="C910" s="23"/>
      <c r="D910" s="23"/>
      <c r="E910" s="23"/>
    </row>
    <row r="911" spans="3:5" x14ac:dyDescent="0.25">
      <c r="C911" s="23"/>
      <c r="D911" s="23"/>
      <c r="E911" s="23"/>
    </row>
    <row r="912" spans="3:5" x14ac:dyDescent="0.25">
      <c r="C912" s="23"/>
      <c r="D912" s="23"/>
      <c r="E912" s="23"/>
    </row>
    <row r="913" spans="3:5" x14ac:dyDescent="0.25">
      <c r="C913" s="23"/>
      <c r="D913" s="23"/>
      <c r="E913" s="23"/>
    </row>
    <row r="914" spans="3:5" x14ac:dyDescent="0.25">
      <c r="C914" s="23"/>
      <c r="D914" s="23"/>
      <c r="E914" s="23"/>
    </row>
    <row r="915" spans="3:5" x14ac:dyDescent="0.25">
      <c r="C915" s="23"/>
      <c r="D915" s="23"/>
      <c r="E915" s="23"/>
    </row>
    <row r="916" spans="3:5" x14ac:dyDescent="0.25">
      <c r="C916" s="23"/>
      <c r="D916" s="23"/>
      <c r="E916" s="23"/>
    </row>
    <row r="917" spans="3:5" x14ac:dyDescent="0.25">
      <c r="C917" s="23"/>
      <c r="D917" s="23"/>
      <c r="E917" s="23"/>
    </row>
    <row r="918" spans="3:5" x14ac:dyDescent="0.25">
      <c r="C918" s="23"/>
      <c r="D918" s="23"/>
      <c r="E918" s="23"/>
    </row>
    <row r="919" spans="3:5" x14ac:dyDescent="0.25">
      <c r="C919" s="23"/>
      <c r="D919" s="23"/>
      <c r="E919" s="23"/>
    </row>
    <row r="920" spans="3:5" x14ac:dyDescent="0.25">
      <c r="C920" s="23"/>
      <c r="D920" s="23"/>
      <c r="E920" s="23"/>
    </row>
    <row r="921" spans="3:5" x14ac:dyDescent="0.25">
      <c r="C921" s="23"/>
      <c r="D921" s="23"/>
      <c r="E921" s="23"/>
    </row>
    <row r="922" spans="3:5" x14ac:dyDescent="0.25">
      <c r="C922" s="23"/>
      <c r="D922" s="23"/>
      <c r="E922" s="23"/>
    </row>
    <row r="923" spans="3:5" x14ac:dyDescent="0.25">
      <c r="C923" s="23"/>
      <c r="D923" s="23"/>
      <c r="E923" s="23"/>
    </row>
    <row r="924" spans="3:5" x14ac:dyDescent="0.25">
      <c r="C924" s="23"/>
      <c r="D924" s="23"/>
      <c r="E924" s="23"/>
    </row>
    <row r="925" spans="3:5" x14ac:dyDescent="0.25">
      <c r="C925" s="23"/>
      <c r="D925" s="23"/>
      <c r="E925" s="23"/>
    </row>
    <row r="926" spans="3:5" x14ac:dyDescent="0.25">
      <c r="C926" s="23"/>
      <c r="D926" s="23"/>
      <c r="E926" s="23"/>
    </row>
    <row r="927" spans="3:5" x14ac:dyDescent="0.25">
      <c r="C927" s="23"/>
      <c r="D927" s="23"/>
      <c r="E927" s="23"/>
    </row>
    <row r="928" spans="3:5" x14ac:dyDescent="0.25">
      <c r="C928" s="23"/>
      <c r="D928" s="23"/>
      <c r="E928" s="23"/>
    </row>
    <row r="929" spans="3:5" x14ac:dyDescent="0.25">
      <c r="C929" s="23"/>
      <c r="D929" s="23"/>
      <c r="E929" s="23"/>
    </row>
    <row r="930" spans="3:5" x14ac:dyDescent="0.25">
      <c r="C930" s="23"/>
      <c r="D930" s="23"/>
      <c r="E930" s="23"/>
    </row>
    <row r="931" spans="3:5" x14ac:dyDescent="0.25">
      <c r="C931" s="23"/>
      <c r="D931" s="23"/>
      <c r="E931" s="23"/>
    </row>
    <row r="932" spans="3:5" x14ac:dyDescent="0.25">
      <c r="C932" s="23"/>
      <c r="D932" s="23"/>
      <c r="E932" s="23"/>
    </row>
    <row r="933" spans="3:5" x14ac:dyDescent="0.25">
      <c r="C933" s="23"/>
      <c r="D933" s="23"/>
      <c r="E933" s="23"/>
    </row>
    <row r="934" spans="3:5" x14ac:dyDescent="0.25">
      <c r="C934" s="23"/>
      <c r="D934" s="23"/>
      <c r="E934" s="23"/>
    </row>
    <row r="935" spans="3:5" x14ac:dyDescent="0.25">
      <c r="C935" s="23"/>
      <c r="D935" s="23"/>
      <c r="E935" s="23"/>
    </row>
    <row r="936" spans="3:5" x14ac:dyDescent="0.25">
      <c r="C936" s="23"/>
      <c r="D936" s="23"/>
      <c r="E936" s="23"/>
    </row>
    <row r="937" spans="3:5" x14ac:dyDescent="0.25">
      <c r="C937" s="23"/>
      <c r="D937" s="23"/>
      <c r="E937" s="23"/>
    </row>
    <row r="938" spans="3:5" x14ac:dyDescent="0.25">
      <c r="C938" s="23"/>
      <c r="D938" s="23"/>
      <c r="E938" s="23"/>
    </row>
    <row r="939" spans="3:5" x14ac:dyDescent="0.25">
      <c r="C939" s="23"/>
      <c r="D939" s="23"/>
      <c r="E939" s="23"/>
    </row>
    <row r="940" spans="3:5" x14ac:dyDescent="0.25">
      <c r="C940" s="23"/>
      <c r="D940" s="23"/>
      <c r="E940" s="23"/>
    </row>
    <row r="941" spans="3:5" x14ac:dyDescent="0.25">
      <c r="C941" s="23"/>
      <c r="D941" s="23"/>
      <c r="E941" s="23"/>
    </row>
    <row r="942" spans="3:5" x14ac:dyDescent="0.25">
      <c r="C942" s="23"/>
      <c r="D942" s="23"/>
      <c r="E942" s="23"/>
    </row>
    <row r="943" spans="3:5" x14ac:dyDescent="0.25">
      <c r="C943" s="23"/>
      <c r="D943" s="23"/>
      <c r="E943" s="23"/>
    </row>
    <row r="944" spans="3:5" x14ac:dyDescent="0.25">
      <c r="C944" s="23"/>
      <c r="D944" s="23"/>
      <c r="E944" s="23"/>
    </row>
    <row r="945" spans="3:5" x14ac:dyDescent="0.25">
      <c r="C945" s="23"/>
      <c r="D945" s="23"/>
      <c r="E945" s="23"/>
    </row>
    <row r="946" spans="3:5" x14ac:dyDescent="0.25">
      <c r="C946" s="23"/>
      <c r="D946" s="23"/>
      <c r="E946" s="23"/>
    </row>
    <row r="947" spans="3:5" x14ac:dyDescent="0.25">
      <c r="C947" s="23"/>
      <c r="D947" s="23"/>
      <c r="E947" s="23"/>
    </row>
    <row r="948" spans="3:5" x14ac:dyDescent="0.25">
      <c r="C948" s="23"/>
      <c r="D948" s="23"/>
      <c r="E948" s="23"/>
    </row>
    <row r="949" spans="3:5" x14ac:dyDescent="0.25">
      <c r="C949" s="23"/>
      <c r="D949" s="23"/>
      <c r="E949" s="23"/>
    </row>
    <row r="950" spans="3:5" x14ac:dyDescent="0.25">
      <c r="C950" s="23"/>
      <c r="D950" s="23"/>
      <c r="E950" s="23"/>
    </row>
    <row r="951" spans="3:5" x14ac:dyDescent="0.25">
      <c r="C951" s="23"/>
      <c r="D951" s="23"/>
      <c r="E951" s="23"/>
    </row>
    <row r="952" spans="3:5" x14ac:dyDescent="0.25">
      <c r="C952" s="23"/>
      <c r="D952" s="23"/>
      <c r="E952" s="23"/>
    </row>
    <row r="953" spans="3:5" x14ac:dyDescent="0.25">
      <c r="C953" s="23"/>
      <c r="D953" s="23"/>
      <c r="E953" s="23"/>
    </row>
    <row r="954" spans="3:5" x14ac:dyDescent="0.25">
      <c r="C954" s="23"/>
      <c r="D954" s="23"/>
      <c r="E954" s="23"/>
    </row>
    <row r="955" spans="3:5" x14ac:dyDescent="0.25">
      <c r="C955" s="23"/>
      <c r="D955" s="23"/>
      <c r="E955" s="23"/>
    </row>
    <row r="956" spans="3:5" x14ac:dyDescent="0.25">
      <c r="C956" s="23"/>
      <c r="D956" s="23"/>
      <c r="E956" s="23"/>
    </row>
    <row r="957" spans="3:5" x14ac:dyDescent="0.25">
      <c r="C957" s="23"/>
      <c r="D957" s="23"/>
      <c r="E957" s="23"/>
    </row>
    <row r="958" spans="3:5" x14ac:dyDescent="0.25">
      <c r="C958" s="23"/>
      <c r="D958" s="23"/>
      <c r="E958" s="23"/>
    </row>
    <row r="959" spans="3:5" x14ac:dyDescent="0.25">
      <c r="C959" s="23"/>
      <c r="D959" s="23"/>
      <c r="E959" s="23"/>
    </row>
    <row r="960" spans="3:5" x14ac:dyDescent="0.25">
      <c r="C960" s="23"/>
      <c r="D960" s="23"/>
      <c r="E960" s="23"/>
    </row>
    <row r="961" spans="3:5" x14ac:dyDescent="0.25">
      <c r="C961" s="23"/>
      <c r="D961" s="23"/>
      <c r="E961" s="23"/>
    </row>
    <row r="962" spans="3:5" x14ac:dyDescent="0.25">
      <c r="C962" s="23"/>
      <c r="D962" s="23"/>
      <c r="E962" s="23"/>
    </row>
    <row r="963" spans="3:5" x14ac:dyDescent="0.25">
      <c r="C963" s="23"/>
      <c r="D963" s="23"/>
      <c r="E963" s="23"/>
    </row>
    <row r="964" spans="3:5" x14ac:dyDescent="0.25">
      <c r="C964" s="23"/>
      <c r="D964" s="23"/>
      <c r="E964" s="23"/>
    </row>
    <row r="965" spans="3:5" x14ac:dyDescent="0.25">
      <c r="C965" s="23"/>
      <c r="D965" s="23"/>
      <c r="E965" s="23"/>
    </row>
    <row r="966" spans="3:5" x14ac:dyDescent="0.25">
      <c r="C966" s="23"/>
      <c r="D966" s="23"/>
      <c r="E966" s="23"/>
    </row>
    <row r="967" spans="3:5" x14ac:dyDescent="0.25">
      <c r="C967" s="23"/>
      <c r="D967" s="23"/>
      <c r="E967" s="23"/>
    </row>
    <row r="968" spans="3:5" x14ac:dyDescent="0.25">
      <c r="C968" s="23"/>
      <c r="D968" s="23"/>
      <c r="E968" s="23"/>
    </row>
    <row r="969" spans="3:5" x14ac:dyDescent="0.25">
      <c r="C969" s="23"/>
      <c r="D969" s="23"/>
      <c r="E969" s="23"/>
    </row>
    <row r="970" spans="3:5" x14ac:dyDescent="0.25">
      <c r="C970" s="23"/>
      <c r="D970" s="23"/>
      <c r="E970" s="23"/>
    </row>
    <row r="971" spans="3:5" x14ac:dyDescent="0.25">
      <c r="C971" s="23"/>
      <c r="D971" s="23"/>
      <c r="E971" s="23"/>
    </row>
    <row r="972" spans="3:5" x14ac:dyDescent="0.25">
      <c r="C972" s="23"/>
      <c r="D972" s="23"/>
      <c r="E972" s="23"/>
    </row>
    <row r="973" spans="3:5" x14ac:dyDescent="0.25">
      <c r="C973" s="23"/>
      <c r="D973" s="23"/>
      <c r="E973" s="23"/>
    </row>
    <row r="974" spans="3:5" x14ac:dyDescent="0.25">
      <c r="C974" s="23"/>
      <c r="D974" s="23"/>
      <c r="E974" s="23"/>
    </row>
    <row r="975" spans="3:5" x14ac:dyDescent="0.25">
      <c r="C975" s="23"/>
      <c r="D975" s="23"/>
      <c r="E975" s="23"/>
    </row>
    <row r="976" spans="3:5" x14ac:dyDescent="0.25">
      <c r="C976" s="23"/>
      <c r="D976" s="23"/>
      <c r="E976" s="23"/>
    </row>
    <row r="977" spans="3:5" x14ac:dyDescent="0.25">
      <c r="C977" s="23"/>
      <c r="D977" s="23"/>
      <c r="E977" s="23"/>
    </row>
    <row r="978" spans="3:5" x14ac:dyDescent="0.25">
      <c r="C978" s="23"/>
      <c r="D978" s="23"/>
      <c r="E978" s="23"/>
    </row>
    <row r="979" spans="3:5" x14ac:dyDescent="0.25">
      <c r="C979" s="23"/>
      <c r="D979" s="23"/>
      <c r="E979" s="23"/>
    </row>
    <row r="980" spans="3:5" x14ac:dyDescent="0.25">
      <c r="C980" s="23"/>
      <c r="D980" s="23"/>
      <c r="E980" s="23"/>
    </row>
    <row r="981" spans="3:5" x14ac:dyDescent="0.25">
      <c r="C981" s="23"/>
      <c r="D981" s="23"/>
      <c r="E981" s="23"/>
    </row>
    <row r="982" spans="3:5" x14ac:dyDescent="0.25">
      <c r="C982" s="23"/>
      <c r="D982" s="23"/>
      <c r="E982" s="23"/>
    </row>
    <row r="983" spans="3:5" x14ac:dyDescent="0.25">
      <c r="C983" s="23"/>
      <c r="D983" s="23"/>
      <c r="E983" s="23"/>
    </row>
    <row r="984" spans="3:5" x14ac:dyDescent="0.25">
      <c r="C984" s="23"/>
      <c r="D984" s="23"/>
      <c r="E984" s="23"/>
    </row>
    <row r="985" spans="3:5" x14ac:dyDescent="0.25">
      <c r="C985" s="23"/>
      <c r="D985" s="23"/>
      <c r="E985" s="23"/>
    </row>
    <row r="986" spans="3:5" x14ac:dyDescent="0.25">
      <c r="C986" s="23"/>
      <c r="D986" s="23"/>
      <c r="E986" s="23"/>
    </row>
    <row r="987" spans="3:5" x14ac:dyDescent="0.25">
      <c r="C987" s="23"/>
      <c r="D987" s="23"/>
      <c r="E987" s="23"/>
    </row>
    <row r="988" spans="3:5" x14ac:dyDescent="0.25">
      <c r="C988" s="23"/>
      <c r="D988" s="23"/>
      <c r="E988" s="23"/>
    </row>
    <row r="989" spans="3:5" x14ac:dyDescent="0.25">
      <c r="C989" s="23"/>
      <c r="D989" s="23"/>
      <c r="E989" s="23"/>
    </row>
    <row r="990" spans="3:5" x14ac:dyDescent="0.25">
      <c r="C990" s="23"/>
      <c r="D990" s="23"/>
      <c r="E990" s="23"/>
    </row>
    <row r="991" spans="3:5" x14ac:dyDescent="0.25">
      <c r="C991" s="23"/>
      <c r="D991" s="23"/>
      <c r="E991" s="23"/>
    </row>
    <row r="992" spans="3:5" x14ac:dyDescent="0.25">
      <c r="C992" s="23"/>
      <c r="D992" s="23"/>
      <c r="E992" s="23"/>
    </row>
    <row r="993" spans="3:5" x14ac:dyDescent="0.25">
      <c r="C993" s="23"/>
      <c r="D993" s="23"/>
      <c r="E993" s="23"/>
    </row>
    <row r="994" spans="3:5" x14ac:dyDescent="0.25">
      <c r="C994" s="23"/>
      <c r="D994" s="23"/>
      <c r="E994" s="23"/>
    </row>
    <row r="995" spans="3:5" x14ac:dyDescent="0.25">
      <c r="C995" s="23"/>
      <c r="D995" s="23"/>
      <c r="E995" s="23"/>
    </row>
    <row r="996" spans="3:5" x14ac:dyDescent="0.25">
      <c r="C996" s="23"/>
      <c r="D996" s="23"/>
      <c r="E996" s="23"/>
    </row>
    <row r="997" spans="3:5" x14ac:dyDescent="0.25">
      <c r="C997" s="23"/>
      <c r="D997" s="23"/>
      <c r="E997" s="23"/>
    </row>
    <row r="998" spans="3:5" x14ac:dyDescent="0.25">
      <c r="C998" s="23"/>
      <c r="D998" s="23"/>
      <c r="E998" s="23"/>
    </row>
    <row r="999" spans="3:5" x14ac:dyDescent="0.25">
      <c r="C999" s="23"/>
      <c r="D999" s="23"/>
      <c r="E999" s="23"/>
    </row>
    <row r="1000" spans="3:5" x14ac:dyDescent="0.25">
      <c r="C1000" s="23"/>
      <c r="D1000" s="23"/>
      <c r="E1000" s="23"/>
    </row>
    <row r="1001" spans="3:5" x14ac:dyDescent="0.25">
      <c r="C1001" s="23"/>
      <c r="D1001" s="23"/>
      <c r="E1001" s="23"/>
    </row>
    <row r="1002" spans="3:5" x14ac:dyDescent="0.25">
      <c r="C1002" s="23"/>
      <c r="D1002" s="23"/>
      <c r="E1002" s="23"/>
    </row>
    <row r="1003" spans="3:5" x14ac:dyDescent="0.25">
      <c r="C1003" s="23"/>
      <c r="D1003" s="23"/>
      <c r="E1003" s="23"/>
    </row>
    <row r="1004" spans="3:5" x14ac:dyDescent="0.25">
      <c r="C1004" s="23"/>
      <c r="D1004" s="23"/>
      <c r="E1004" s="23"/>
    </row>
    <row r="1005" spans="3:5" x14ac:dyDescent="0.25">
      <c r="C1005" s="23"/>
      <c r="D1005" s="23"/>
      <c r="E1005" s="23"/>
    </row>
    <row r="1006" spans="3:5" x14ac:dyDescent="0.25">
      <c r="C1006" s="23"/>
      <c r="D1006" s="23"/>
      <c r="E1006" s="23"/>
    </row>
    <row r="1007" spans="3:5" x14ac:dyDescent="0.25">
      <c r="C1007" s="23"/>
      <c r="D1007" s="23"/>
      <c r="E1007" s="23"/>
    </row>
    <row r="1008" spans="3:5" x14ac:dyDescent="0.25">
      <c r="C1008" s="23"/>
      <c r="D1008" s="23"/>
      <c r="E1008" s="2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28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4.44140625" defaultRowHeight="15.75" customHeight="1" x14ac:dyDescent="0.25"/>
  <cols>
    <col min="1" max="1" width="7.88671875" customWidth="1"/>
    <col min="2" max="2" width="31.33203125" customWidth="1"/>
    <col min="3" max="3" width="32.33203125" customWidth="1"/>
    <col min="6" max="7" width="58.88671875" customWidth="1"/>
    <col min="8" max="8" width="7.5546875" customWidth="1"/>
    <col min="11" max="11" width="29.109375" customWidth="1"/>
  </cols>
  <sheetData>
    <row r="1" spans="1:29" x14ac:dyDescent="0.25">
      <c r="A1" s="29" t="s">
        <v>42</v>
      </c>
      <c r="B1" s="29" t="s">
        <v>43</v>
      </c>
      <c r="C1" s="29" t="s">
        <v>44</v>
      </c>
      <c r="D1" s="30" t="s">
        <v>45</v>
      </c>
      <c r="E1" s="30" t="s">
        <v>46</v>
      </c>
      <c r="F1" s="31" t="s">
        <v>47</v>
      </c>
      <c r="G1" s="32" t="s">
        <v>48</v>
      </c>
      <c r="H1" s="33" t="s">
        <v>49</v>
      </c>
      <c r="I1" s="34" t="s">
        <v>50</v>
      </c>
      <c r="J1" s="34" t="s">
        <v>51</v>
      </c>
      <c r="K1" s="34" t="s">
        <v>52</v>
      </c>
      <c r="L1" s="35"/>
      <c r="M1" s="35"/>
      <c r="N1" s="35"/>
      <c r="O1" s="35"/>
      <c r="P1" s="35"/>
      <c r="Q1" s="35"/>
      <c r="R1" s="35"/>
      <c r="S1" s="35"/>
      <c r="T1" s="35"/>
      <c r="U1" s="35"/>
      <c r="V1" s="35"/>
      <c r="W1" s="35"/>
      <c r="X1" s="35"/>
      <c r="Y1" s="35"/>
      <c r="Z1" s="35"/>
      <c r="AA1" s="35"/>
      <c r="AB1" s="35"/>
      <c r="AC1" s="35"/>
    </row>
    <row r="2" spans="1:29" x14ac:dyDescent="0.25">
      <c r="A2" s="36">
        <f t="shared" ref="A2:A342" si="0">IF(LEN($B2)=0,"",IF(LEN($C2&amp;$G2)=0,ROUNDDOWN(MAX($A$1:$A1),0)+1,MAX($A$1:$A1)+0.01))</f>
        <v>1</v>
      </c>
      <c r="B2" s="37" t="s">
        <v>53</v>
      </c>
      <c r="C2" s="38"/>
      <c r="D2" s="39" t="s">
        <v>37</v>
      </c>
      <c r="E2" s="39" t="s">
        <v>54</v>
      </c>
      <c r="F2" s="40" t="str">
        <f t="array" ref="F2:F298">IF(LEN($B2:$B298)=0,"",$A2:$A1284&amp;" "&amp;$B2:$B1284)</f>
        <v>1 Business Positioning</v>
      </c>
      <c r="G2" s="35"/>
      <c r="H2" s="41" t="str">
        <f t="array" aca="1" ref="H2:H342" ca="1">IF(LEN($G2:$G342)=0,"",COUNTIF('Requirements List'!$H$1:$H$342,$A2:$A1284)+COUNTIF('Requirements List'!$I$1:$I$342,$A2:$A1284))</f>
        <v/>
      </c>
      <c r="I2" s="42"/>
      <c r="J2" s="42"/>
      <c r="K2" s="42"/>
      <c r="L2" s="42"/>
      <c r="M2" s="42"/>
      <c r="N2" s="42"/>
      <c r="O2" s="42"/>
      <c r="P2" s="42"/>
      <c r="Q2" s="42"/>
      <c r="R2" s="42"/>
      <c r="S2" s="42"/>
      <c r="T2" s="42"/>
      <c r="U2" s="42"/>
      <c r="V2" s="42"/>
      <c r="W2" s="42"/>
      <c r="X2" s="42"/>
      <c r="Y2" s="42"/>
      <c r="Z2" s="42"/>
      <c r="AA2" s="42"/>
      <c r="AB2" s="42"/>
      <c r="AC2" s="42"/>
    </row>
    <row r="3" spans="1:29" x14ac:dyDescent="0.25">
      <c r="A3" s="43" t="e">
        <f t="shared" ca="1" si="0"/>
        <v>#NAME?</v>
      </c>
      <c r="B3" s="44" t="s">
        <v>55</v>
      </c>
      <c r="C3" s="45" t="s">
        <v>56</v>
      </c>
      <c r="D3" s="39" t="s">
        <v>37</v>
      </c>
      <c r="E3" s="39" t="s">
        <v>54</v>
      </c>
      <c r="F3" s="40" t="e">
        <f ca="1"/>
        <v>#NAME?</v>
      </c>
      <c r="G3" s="35" t="e">
        <f ca="1">"- "&amp;_xludf.textjoin("
- ",TRUE,C4:C8)</f>
        <v>#NAME?</v>
      </c>
      <c r="H3" s="41" t="e">
        <f ca="1"/>
        <v>#NAME?</v>
      </c>
      <c r="I3" s="42"/>
      <c r="J3" s="42"/>
      <c r="K3" s="42"/>
      <c r="L3" s="42"/>
      <c r="M3" s="42"/>
      <c r="N3" s="42"/>
      <c r="O3" s="42"/>
      <c r="P3" s="42"/>
      <c r="Q3" s="42"/>
      <c r="R3" s="42"/>
      <c r="S3" s="42"/>
      <c r="T3" s="42"/>
      <c r="U3" s="42"/>
      <c r="V3" s="42"/>
      <c r="W3" s="42"/>
      <c r="X3" s="42"/>
      <c r="Y3" s="42"/>
      <c r="Z3" s="42"/>
      <c r="AA3" s="42"/>
      <c r="AB3" s="42"/>
      <c r="AC3" s="42"/>
    </row>
    <row r="4" spans="1:29" x14ac:dyDescent="0.25">
      <c r="A4" s="43" t="str">
        <f t="shared" si="0"/>
        <v/>
      </c>
      <c r="B4" s="44"/>
      <c r="C4" s="38" t="s">
        <v>56</v>
      </c>
      <c r="D4" s="46" t="str">
        <f t="shared" ref="D4:E4" si="1">D$3</f>
        <v>Critical</v>
      </c>
      <c r="E4" s="46" t="str">
        <f t="shared" si="1"/>
        <v>Phase 1</v>
      </c>
      <c r="F4" s="40" t="str">
        <v/>
      </c>
      <c r="G4" s="35"/>
      <c r="H4" s="41" t="str">
        <f ca="1"/>
        <v/>
      </c>
      <c r="I4" s="42"/>
      <c r="J4" s="42"/>
      <c r="K4" s="42"/>
      <c r="L4" s="42"/>
      <c r="M4" s="42"/>
      <c r="N4" s="42"/>
      <c r="O4" s="42"/>
      <c r="P4" s="42"/>
      <c r="Q4" s="42"/>
      <c r="R4" s="42"/>
      <c r="S4" s="42"/>
      <c r="T4" s="42"/>
      <c r="U4" s="42"/>
      <c r="V4" s="42"/>
      <c r="W4" s="42"/>
      <c r="X4" s="42"/>
      <c r="Y4" s="42"/>
      <c r="Z4" s="42"/>
      <c r="AA4" s="42"/>
      <c r="AB4" s="42"/>
      <c r="AC4" s="42"/>
    </row>
    <row r="5" spans="1:29" x14ac:dyDescent="0.25">
      <c r="A5" s="43" t="str">
        <f t="shared" si="0"/>
        <v/>
      </c>
      <c r="B5" s="44"/>
      <c r="C5" s="47" t="s">
        <v>57</v>
      </c>
      <c r="D5" s="46" t="str">
        <f t="shared" ref="D5:E5" si="2">D$3</f>
        <v>Critical</v>
      </c>
      <c r="E5" s="46" t="str">
        <f t="shared" si="2"/>
        <v>Phase 1</v>
      </c>
      <c r="F5" s="40" t="str">
        <v/>
      </c>
      <c r="G5" s="35"/>
      <c r="H5" s="41" t="str">
        <f ca="1"/>
        <v/>
      </c>
      <c r="I5" s="42"/>
      <c r="J5" s="42"/>
      <c r="K5" s="42"/>
      <c r="L5" s="42"/>
      <c r="M5" s="42"/>
      <c r="N5" s="42"/>
      <c r="O5" s="42"/>
      <c r="P5" s="42"/>
      <c r="Q5" s="42"/>
      <c r="R5" s="42"/>
      <c r="S5" s="42"/>
      <c r="T5" s="42"/>
      <c r="U5" s="42"/>
      <c r="V5" s="42"/>
      <c r="W5" s="42"/>
      <c r="X5" s="42"/>
      <c r="Y5" s="42"/>
      <c r="Z5" s="42"/>
      <c r="AA5" s="42"/>
      <c r="AB5" s="42"/>
      <c r="AC5" s="42"/>
    </row>
    <row r="6" spans="1:29" x14ac:dyDescent="0.25">
      <c r="A6" s="43" t="str">
        <f t="shared" si="0"/>
        <v/>
      </c>
      <c r="B6" s="44"/>
      <c r="C6" s="47" t="s">
        <v>58</v>
      </c>
      <c r="D6" s="46" t="str">
        <f t="shared" ref="D6:E6" si="3">D$3</f>
        <v>Critical</v>
      </c>
      <c r="E6" s="46" t="str">
        <f t="shared" si="3"/>
        <v>Phase 1</v>
      </c>
      <c r="F6" s="40" t="str">
        <v/>
      </c>
      <c r="G6" s="35"/>
      <c r="H6" s="41" t="str">
        <f ca="1"/>
        <v/>
      </c>
      <c r="I6" s="42"/>
      <c r="J6" s="42"/>
      <c r="K6" s="42"/>
      <c r="L6" s="42"/>
      <c r="M6" s="42"/>
      <c r="N6" s="42"/>
      <c r="O6" s="42"/>
      <c r="P6" s="42"/>
      <c r="Q6" s="42"/>
      <c r="R6" s="42"/>
      <c r="S6" s="42"/>
      <c r="T6" s="42"/>
      <c r="U6" s="42"/>
      <c r="V6" s="42"/>
      <c r="W6" s="42"/>
      <c r="X6" s="42"/>
      <c r="Y6" s="42"/>
      <c r="Z6" s="42"/>
      <c r="AA6" s="42"/>
      <c r="AB6" s="42"/>
      <c r="AC6" s="42"/>
    </row>
    <row r="7" spans="1:29" x14ac:dyDescent="0.25">
      <c r="A7" s="43" t="str">
        <f t="shared" si="0"/>
        <v/>
      </c>
      <c r="B7" s="44"/>
      <c r="C7" s="38"/>
      <c r="D7" s="39"/>
      <c r="E7" s="39"/>
      <c r="F7" s="40" t="str">
        <v/>
      </c>
      <c r="G7" s="35"/>
      <c r="H7" s="41" t="str">
        <f ca="1"/>
        <v/>
      </c>
      <c r="I7" s="42"/>
      <c r="J7" s="42"/>
      <c r="K7" s="42"/>
      <c r="L7" s="42"/>
      <c r="M7" s="42"/>
      <c r="N7" s="42"/>
      <c r="O7" s="42"/>
      <c r="P7" s="42"/>
      <c r="Q7" s="42"/>
      <c r="R7" s="42"/>
      <c r="S7" s="42"/>
      <c r="T7" s="42"/>
      <c r="U7" s="42"/>
      <c r="V7" s="42"/>
      <c r="W7" s="42"/>
      <c r="X7" s="42"/>
      <c r="Y7" s="42"/>
      <c r="Z7" s="42"/>
      <c r="AA7" s="42"/>
      <c r="AB7" s="42"/>
      <c r="AC7" s="42"/>
    </row>
    <row r="8" spans="1:29" x14ac:dyDescent="0.25">
      <c r="A8" s="43" t="str">
        <f t="shared" si="0"/>
        <v/>
      </c>
      <c r="B8" s="44"/>
      <c r="C8" s="38"/>
      <c r="D8" s="39"/>
      <c r="E8" s="39"/>
      <c r="F8" s="40" t="str">
        <v/>
      </c>
      <c r="G8" s="35"/>
      <c r="H8" s="41" t="str">
        <f ca="1"/>
        <v/>
      </c>
      <c r="I8" s="42"/>
      <c r="J8" s="42"/>
      <c r="K8" s="42"/>
      <c r="L8" s="42"/>
      <c r="M8" s="42"/>
      <c r="N8" s="42"/>
      <c r="O8" s="42"/>
      <c r="P8" s="42"/>
      <c r="Q8" s="42"/>
      <c r="R8" s="42"/>
      <c r="S8" s="42"/>
      <c r="T8" s="42"/>
      <c r="U8" s="42"/>
      <c r="V8" s="42"/>
      <c r="W8" s="42"/>
      <c r="X8" s="42"/>
      <c r="Y8" s="42"/>
      <c r="Z8" s="42"/>
      <c r="AA8" s="42"/>
      <c r="AB8" s="42"/>
      <c r="AC8" s="42"/>
    </row>
    <row r="9" spans="1:29" x14ac:dyDescent="0.25">
      <c r="A9" s="43" t="str">
        <f t="shared" si="0"/>
        <v/>
      </c>
      <c r="B9" s="44"/>
      <c r="C9" s="38"/>
      <c r="D9" s="39"/>
      <c r="E9" s="39"/>
      <c r="F9" s="40" t="str">
        <v/>
      </c>
      <c r="G9" s="35"/>
      <c r="H9" s="41" t="str">
        <f ca="1"/>
        <v/>
      </c>
      <c r="I9" s="42"/>
      <c r="J9" s="42"/>
      <c r="K9" s="42"/>
      <c r="L9" s="42"/>
      <c r="M9" s="42"/>
      <c r="N9" s="42"/>
      <c r="O9" s="42"/>
      <c r="P9" s="42"/>
      <c r="Q9" s="42"/>
      <c r="R9" s="42"/>
      <c r="S9" s="42"/>
      <c r="T9" s="42"/>
      <c r="U9" s="42"/>
      <c r="V9" s="42"/>
      <c r="W9" s="42"/>
      <c r="X9" s="42"/>
      <c r="Y9" s="42"/>
      <c r="Z9" s="42"/>
      <c r="AA9" s="42"/>
      <c r="AB9" s="42"/>
      <c r="AC9" s="42"/>
    </row>
    <row r="10" spans="1:29" x14ac:dyDescent="0.25">
      <c r="A10" s="43" t="e">
        <f t="shared" ca="1" si="0"/>
        <v>#NAME?</v>
      </c>
      <c r="B10" s="44" t="s">
        <v>59</v>
      </c>
      <c r="C10" s="45" t="s">
        <v>60</v>
      </c>
      <c r="D10" s="39" t="s">
        <v>37</v>
      </c>
      <c r="E10" s="39" t="s">
        <v>54</v>
      </c>
      <c r="F10" s="40" t="e">
        <f ca="1"/>
        <v>#NAME?</v>
      </c>
      <c r="G10" s="35" t="str">
        <f>C10</f>
        <v>The B2C online shop will be operated by B2C Co, a to-be-named entity that will operate as an independent business, separate from Transpharm.</v>
      </c>
      <c r="H10" s="41">
        <f ca="1"/>
        <v>201</v>
      </c>
      <c r="I10" s="42"/>
      <c r="J10" s="42"/>
      <c r="K10" s="42"/>
      <c r="L10" s="42"/>
      <c r="M10" s="42"/>
      <c r="N10" s="42"/>
      <c r="O10" s="42"/>
      <c r="P10" s="42"/>
      <c r="Q10" s="42"/>
      <c r="R10" s="42"/>
      <c r="S10" s="42"/>
      <c r="T10" s="42"/>
      <c r="U10" s="42"/>
      <c r="V10" s="42"/>
      <c r="W10" s="42"/>
      <c r="X10" s="42"/>
      <c r="Y10" s="42"/>
      <c r="Z10" s="42"/>
      <c r="AA10" s="42"/>
      <c r="AB10" s="42"/>
      <c r="AC10" s="42"/>
    </row>
    <row r="11" spans="1:29" x14ac:dyDescent="0.25">
      <c r="A11" s="43" t="str">
        <f t="shared" si="0"/>
        <v/>
      </c>
      <c r="B11" s="44"/>
      <c r="C11" s="38"/>
      <c r="D11" s="39"/>
      <c r="E11" s="39"/>
      <c r="F11" s="40" t="str">
        <v/>
      </c>
      <c r="G11" s="35"/>
      <c r="H11" s="41" t="str">
        <f ca="1"/>
        <v/>
      </c>
      <c r="I11" s="42"/>
      <c r="J11" s="42"/>
      <c r="K11" s="42"/>
      <c r="L11" s="42"/>
      <c r="M11" s="42"/>
      <c r="N11" s="42"/>
      <c r="O11" s="42"/>
      <c r="P11" s="42"/>
      <c r="Q11" s="42"/>
      <c r="R11" s="42"/>
      <c r="S11" s="42"/>
      <c r="T11" s="42"/>
      <c r="U11" s="42"/>
      <c r="V11" s="42"/>
      <c r="W11" s="42"/>
      <c r="X11" s="42"/>
      <c r="Y11" s="42"/>
      <c r="Z11" s="42"/>
      <c r="AA11" s="42"/>
      <c r="AB11" s="42"/>
      <c r="AC11" s="42"/>
    </row>
    <row r="12" spans="1:29" x14ac:dyDescent="0.25">
      <c r="A12" s="43" t="str">
        <f t="shared" si="0"/>
        <v/>
      </c>
      <c r="B12" s="44"/>
      <c r="C12" s="38"/>
      <c r="D12" s="39"/>
      <c r="E12" s="39"/>
      <c r="F12" s="40" t="str">
        <v/>
      </c>
      <c r="G12" s="35"/>
      <c r="H12" s="41" t="str">
        <f ca="1"/>
        <v/>
      </c>
      <c r="I12" s="42"/>
      <c r="J12" s="42"/>
      <c r="K12" s="42"/>
      <c r="L12" s="42"/>
      <c r="M12" s="42"/>
      <c r="N12" s="42"/>
      <c r="O12" s="42"/>
      <c r="P12" s="42"/>
      <c r="Q12" s="42"/>
      <c r="R12" s="42"/>
      <c r="S12" s="42"/>
      <c r="T12" s="42"/>
      <c r="U12" s="42"/>
      <c r="V12" s="42"/>
      <c r="W12" s="42"/>
      <c r="X12" s="42"/>
      <c r="Y12" s="42"/>
      <c r="Z12" s="42"/>
      <c r="AA12" s="42"/>
      <c r="AB12" s="42"/>
      <c r="AC12" s="42"/>
    </row>
    <row r="13" spans="1:29" x14ac:dyDescent="0.25">
      <c r="A13" s="43" t="e">
        <f t="shared" ca="1" si="0"/>
        <v>#NAME?</v>
      </c>
      <c r="B13" s="44" t="s">
        <v>61</v>
      </c>
      <c r="C13" s="45"/>
      <c r="D13" s="39" t="s">
        <v>37</v>
      </c>
      <c r="E13" s="39" t="s">
        <v>54</v>
      </c>
      <c r="F13" s="40" t="e">
        <f ca="1"/>
        <v>#NAME?</v>
      </c>
      <c r="G13" s="35" t="e">
        <f ca="1">"- "&amp;_xludf.textjoin("
- ",TRUE,C14:C18)</f>
        <v>#NAME?</v>
      </c>
      <c r="H13" s="41" t="e">
        <f ca="1"/>
        <v>#NAME?</v>
      </c>
      <c r="I13" s="42"/>
      <c r="J13" s="42"/>
      <c r="K13" s="42"/>
      <c r="L13" s="42"/>
      <c r="M13" s="42"/>
      <c r="N13" s="42"/>
      <c r="O13" s="42"/>
      <c r="P13" s="42"/>
      <c r="Q13" s="42"/>
      <c r="R13" s="42"/>
      <c r="S13" s="42"/>
      <c r="T13" s="42"/>
      <c r="U13" s="42"/>
      <c r="V13" s="42"/>
      <c r="W13" s="42"/>
      <c r="X13" s="42"/>
      <c r="Y13" s="42"/>
      <c r="Z13" s="42"/>
      <c r="AA13" s="42"/>
      <c r="AB13" s="42"/>
      <c r="AC13" s="42"/>
    </row>
    <row r="14" spans="1:29" x14ac:dyDescent="0.25">
      <c r="A14" s="43" t="str">
        <f t="shared" si="0"/>
        <v/>
      </c>
      <c r="B14" s="44"/>
      <c r="C14" s="38" t="s">
        <v>62</v>
      </c>
      <c r="D14" s="39" t="str">
        <f t="shared" ref="D14:E14" si="4">D$13</f>
        <v>Critical</v>
      </c>
      <c r="E14" s="39" t="str">
        <f t="shared" si="4"/>
        <v>Phase 1</v>
      </c>
      <c r="F14" s="40" t="str">
        <v/>
      </c>
      <c r="G14" s="35"/>
      <c r="H14" s="41" t="str">
        <f ca="1"/>
        <v/>
      </c>
      <c r="I14" s="42"/>
      <c r="J14" s="42"/>
      <c r="K14" s="42"/>
      <c r="L14" s="42"/>
      <c r="M14" s="42"/>
      <c r="N14" s="42"/>
      <c r="O14" s="42"/>
      <c r="P14" s="42"/>
      <c r="Q14" s="42"/>
      <c r="R14" s="42"/>
      <c r="S14" s="42"/>
      <c r="T14" s="42"/>
      <c r="U14" s="42"/>
      <c r="V14" s="42"/>
      <c r="W14" s="42"/>
      <c r="X14" s="42"/>
      <c r="Y14" s="42"/>
      <c r="Z14" s="42"/>
      <c r="AA14" s="42"/>
      <c r="AB14" s="42"/>
      <c r="AC14" s="42"/>
    </row>
    <row r="15" spans="1:29" x14ac:dyDescent="0.25">
      <c r="A15" s="43" t="str">
        <f t="shared" si="0"/>
        <v/>
      </c>
      <c r="B15" s="44"/>
      <c r="C15" s="38" t="s">
        <v>63</v>
      </c>
      <c r="D15" s="39" t="str">
        <f t="shared" ref="D15:E15" si="5">D$13</f>
        <v>Critical</v>
      </c>
      <c r="E15" s="39" t="str">
        <f t="shared" si="5"/>
        <v>Phase 1</v>
      </c>
      <c r="F15" s="40" t="str">
        <v/>
      </c>
      <c r="G15" s="35"/>
      <c r="H15" s="41" t="str">
        <f ca="1"/>
        <v/>
      </c>
      <c r="I15" s="42"/>
      <c r="J15" s="42"/>
      <c r="K15" s="42"/>
      <c r="L15" s="42"/>
      <c r="M15" s="42"/>
      <c r="N15" s="42"/>
      <c r="O15" s="42"/>
      <c r="P15" s="42"/>
      <c r="Q15" s="42"/>
      <c r="R15" s="42"/>
      <c r="S15" s="42"/>
      <c r="T15" s="42"/>
      <c r="U15" s="42"/>
      <c r="V15" s="42"/>
      <c r="W15" s="42"/>
      <c r="X15" s="42"/>
      <c r="Y15" s="42"/>
      <c r="Z15" s="42"/>
      <c r="AA15" s="42"/>
      <c r="AB15" s="42"/>
      <c r="AC15" s="42"/>
    </row>
    <row r="16" spans="1:29" x14ac:dyDescent="0.25">
      <c r="A16" s="43" t="str">
        <f t="shared" si="0"/>
        <v/>
      </c>
      <c r="B16" s="44"/>
      <c r="C16" s="38" t="s">
        <v>64</v>
      </c>
      <c r="D16" s="39" t="str">
        <f t="shared" ref="D16:E16" si="6">D$13</f>
        <v>Critical</v>
      </c>
      <c r="E16" s="39" t="str">
        <f t="shared" si="6"/>
        <v>Phase 1</v>
      </c>
      <c r="F16" s="40" t="str">
        <v/>
      </c>
      <c r="G16" s="35"/>
      <c r="H16" s="41" t="str">
        <f ca="1"/>
        <v/>
      </c>
      <c r="I16" s="42"/>
      <c r="J16" s="42"/>
      <c r="K16" s="42"/>
      <c r="L16" s="42"/>
      <c r="M16" s="42"/>
      <c r="N16" s="42"/>
      <c r="O16" s="42"/>
      <c r="P16" s="42"/>
      <c r="Q16" s="42"/>
      <c r="R16" s="42"/>
      <c r="S16" s="42"/>
      <c r="T16" s="42"/>
      <c r="U16" s="42"/>
      <c r="V16" s="42"/>
      <c r="W16" s="42"/>
      <c r="X16" s="42"/>
      <c r="Y16" s="42"/>
      <c r="Z16" s="42"/>
      <c r="AA16" s="42"/>
      <c r="AB16" s="42"/>
      <c r="AC16" s="42"/>
    </row>
    <row r="17" spans="1:29" x14ac:dyDescent="0.25">
      <c r="A17" s="43" t="str">
        <f t="shared" si="0"/>
        <v/>
      </c>
      <c r="B17" s="44"/>
      <c r="C17" s="38"/>
      <c r="D17" s="39"/>
      <c r="E17" s="39"/>
      <c r="F17" s="40" t="str">
        <v/>
      </c>
      <c r="G17" s="35"/>
      <c r="H17" s="41" t="str">
        <f ca="1"/>
        <v/>
      </c>
      <c r="I17" s="42"/>
      <c r="J17" s="42"/>
      <c r="K17" s="42"/>
      <c r="L17" s="42"/>
      <c r="M17" s="42"/>
      <c r="N17" s="42"/>
      <c r="O17" s="42"/>
      <c r="P17" s="42"/>
      <c r="Q17" s="42"/>
      <c r="R17" s="42"/>
      <c r="S17" s="42"/>
      <c r="T17" s="42"/>
      <c r="U17" s="42"/>
      <c r="V17" s="42"/>
      <c r="W17" s="42"/>
      <c r="X17" s="42"/>
      <c r="Y17" s="42"/>
      <c r="Z17" s="42"/>
      <c r="AA17" s="42"/>
      <c r="AB17" s="42"/>
      <c r="AC17" s="42"/>
    </row>
    <row r="18" spans="1:29" x14ac:dyDescent="0.25">
      <c r="A18" s="43" t="str">
        <f t="shared" si="0"/>
        <v/>
      </c>
      <c r="B18" s="44"/>
      <c r="C18" s="38"/>
      <c r="D18" s="39"/>
      <c r="E18" s="39"/>
      <c r="F18" s="40" t="str">
        <v/>
      </c>
      <c r="G18" s="35"/>
      <c r="H18" s="41" t="str">
        <f ca="1"/>
        <v/>
      </c>
      <c r="I18" s="42"/>
      <c r="J18" s="42"/>
      <c r="K18" s="42"/>
      <c r="L18" s="42"/>
      <c r="M18" s="42"/>
      <c r="N18" s="42"/>
      <c r="O18" s="42"/>
      <c r="P18" s="42"/>
      <c r="Q18" s="42"/>
      <c r="R18" s="42"/>
      <c r="S18" s="42"/>
      <c r="T18" s="42"/>
      <c r="U18" s="42"/>
      <c r="V18" s="42"/>
      <c r="W18" s="42"/>
      <c r="X18" s="42"/>
      <c r="Y18" s="42"/>
      <c r="Z18" s="42"/>
      <c r="AA18" s="42"/>
      <c r="AB18" s="42"/>
      <c r="AC18" s="42"/>
    </row>
    <row r="19" spans="1:29" x14ac:dyDescent="0.25">
      <c r="A19" s="43" t="e">
        <f t="shared" ca="1" si="0"/>
        <v>#NAME?</v>
      </c>
      <c r="B19" s="44" t="s">
        <v>65</v>
      </c>
      <c r="C19" s="45"/>
      <c r="D19" s="39" t="s">
        <v>37</v>
      </c>
      <c r="E19" s="39" t="s">
        <v>54</v>
      </c>
      <c r="F19" s="40" t="e">
        <f ca="1"/>
        <v>#NAME?</v>
      </c>
      <c r="G19" s="35" t="e">
        <f ca="1">"- "&amp;_xludf.textjoin("
- ",TRUE,C20:C24)</f>
        <v>#NAME?</v>
      </c>
      <c r="H19" s="41" t="e">
        <f ca="1"/>
        <v>#NAME?</v>
      </c>
      <c r="I19" s="42"/>
      <c r="J19" s="42"/>
      <c r="K19" s="42"/>
      <c r="L19" s="42"/>
      <c r="M19" s="42"/>
      <c r="N19" s="42"/>
      <c r="O19" s="42"/>
      <c r="P19" s="42"/>
      <c r="Q19" s="42"/>
      <c r="R19" s="42"/>
      <c r="S19" s="42"/>
      <c r="T19" s="42"/>
      <c r="U19" s="42"/>
      <c r="V19" s="42"/>
      <c r="W19" s="42"/>
      <c r="X19" s="42"/>
      <c r="Y19" s="42"/>
      <c r="Z19" s="42"/>
      <c r="AA19" s="42"/>
      <c r="AB19" s="42"/>
      <c r="AC19" s="42"/>
    </row>
    <row r="20" spans="1:29" x14ac:dyDescent="0.25">
      <c r="A20" s="43" t="str">
        <f t="shared" si="0"/>
        <v/>
      </c>
      <c r="B20" s="44"/>
      <c r="C20" s="38" t="s">
        <v>66</v>
      </c>
      <c r="D20" s="46" t="str">
        <f t="shared" ref="D20:E20" si="7">D$19</f>
        <v>Critical</v>
      </c>
      <c r="E20" s="46" t="str">
        <f t="shared" si="7"/>
        <v>Phase 1</v>
      </c>
      <c r="F20" s="40" t="str">
        <v/>
      </c>
      <c r="G20" s="35"/>
      <c r="H20" s="41" t="str">
        <f ca="1"/>
        <v/>
      </c>
      <c r="I20" s="42"/>
      <c r="J20" s="42"/>
      <c r="K20" s="42"/>
      <c r="L20" s="42"/>
      <c r="M20" s="42"/>
      <c r="N20" s="42"/>
      <c r="O20" s="42"/>
      <c r="P20" s="42"/>
      <c r="Q20" s="42"/>
      <c r="R20" s="42"/>
      <c r="S20" s="42"/>
      <c r="T20" s="42"/>
      <c r="U20" s="42"/>
      <c r="V20" s="42"/>
      <c r="W20" s="42"/>
      <c r="X20" s="42"/>
      <c r="Y20" s="42"/>
      <c r="Z20" s="42"/>
      <c r="AA20" s="42"/>
      <c r="AB20" s="42"/>
      <c r="AC20" s="42"/>
    </row>
    <row r="21" spans="1:29" x14ac:dyDescent="0.25">
      <c r="A21" s="43" t="str">
        <f t="shared" si="0"/>
        <v/>
      </c>
      <c r="B21" s="44"/>
      <c r="C21" s="38" t="s">
        <v>67</v>
      </c>
      <c r="D21" s="46" t="str">
        <f t="shared" ref="D21:E21" si="8">D$19</f>
        <v>Critical</v>
      </c>
      <c r="E21" s="46" t="str">
        <f t="shared" si="8"/>
        <v>Phase 1</v>
      </c>
      <c r="F21" s="40" t="str">
        <v/>
      </c>
      <c r="G21" s="35"/>
      <c r="H21" s="41" t="str">
        <f ca="1"/>
        <v/>
      </c>
      <c r="I21" s="42"/>
      <c r="J21" s="42"/>
      <c r="K21" s="42"/>
      <c r="L21" s="42"/>
      <c r="M21" s="42"/>
      <c r="N21" s="42"/>
      <c r="O21" s="42"/>
      <c r="P21" s="42"/>
      <c r="Q21" s="42"/>
      <c r="R21" s="42"/>
      <c r="S21" s="42"/>
      <c r="T21" s="42"/>
      <c r="U21" s="42"/>
      <c r="V21" s="42"/>
      <c r="W21" s="42"/>
      <c r="X21" s="42"/>
      <c r="Y21" s="42"/>
      <c r="Z21" s="42"/>
      <c r="AA21" s="42"/>
      <c r="AB21" s="42"/>
      <c r="AC21" s="42"/>
    </row>
    <row r="22" spans="1:29" x14ac:dyDescent="0.25">
      <c r="A22" s="43" t="str">
        <f t="shared" si="0"/>
        <v/>
      </c>
      <c r="B22" s="44"/>
      <c r="C22" s="38" t="s">
        <v>68</v>
      </c>
      <c r="D22" s="46" t="str">
        <f t="shared" ref="D22:E22" si="9">D$19</f>
        <v>Critical</v>
      </c>
      <c r="E22" s="46" t="str">
        <f t="shared" si="9"/>
        <v>Phase 1</v>
      </c>
      <c r="F22" s="40" t="str">
        <v/>
      </c>
      <c r="G22" s="35"/>
      <c r="H22" s="41" t="str">
        <f ca="1"/>
        <v/>
      </c>
      <c r="I22" s="42"/>
      <c r="J22" s="42"/>
      <c r="K22" s="42"/>
      <c r="L22" s="42"/>
      <c r="M22" s="42"/>
      <c r="N22" s="42"/>
      <c r="O22" s="42"/>
      <c r="P22" s="42"/>
      <c r="Q22" s="42"/>
      <c r="R22" s="42"/>
      <c r="S22" s="42"/>
      <c r="T22" s="42"/>
      <c r="U22" s="42"/>
      <c r="V22" s="42"/>
      <c r="W22" s="42"/>
      <c r="X22" s="42"/>
      <c r="Y22" s="42"/>
      <c r="Z22" s="42"/>
      <c r="AA22" s="42"/>
      <c r="AB22" s="42"/>
      <c r="AC22" s="42"/>
    </row>
    <row r="23" spans="1:29" x14ac:dyDescent="0.25">
      <c r="A23" s="43" t="str">
        <f t="shared" si="0"/>
        <v/>
      </c>
      <c r="B23" s="44"/>
      <c r="C23" s="38" t="s">
        <v>69</v>
      </c>
      <c r="D23" s="46" t="str">
        <f t="shared" ref="D23:E23" si="10">D$19</f>
        <v>Critical</v>
      </c>
      <c r="E23" s="46" t="str">
        <f t="shared" si="10"/>
        <v>Phase 1</v>
      </c>
      <c r="F23" s="40" t="str">
        <v/>
      </c>
      <c r="G23" s="35"/>
      <c r="H23" s="41" t="str">
        <f ca="1"/>
        <v/>
      </c>
      <c r="I23" s="42"/>
      <c r="J23" s="42"/>
      <c r="K23" s="42"/>
      <c r="L23" s="42"/>
      <c r="M23" s="42"/>
      <c r="N23" s="42"/>
      <c r="O23" s="42"/>
      <c r="P23" s="42"/>
      <c r="Q23" s="42"/>
      <c r="R23" s="42"/>
      <c r="S23" s="42"/>
      <c r="T23" s="42"/>
      <c r="U23" s="42"/>
      <c r="V23" s="42"/>
      <c r="W23" s="42"/>
      <c r="X23" s="42"/>
      <c r="Y23" s="42"/>
      <c r="Z23" s="42"/>
      <c r="AA23" s="42"/>
      <c r="AB23" s="42"/>
      <c r="AC23" s="42"/>
    </row>
    <row r="24" spans="1:29" x14ac:dyDescent="0.25">
      <c r="A24" s="43" t="str">
        <f t="shared" si="0"/>
        <v/>
      </c>
      <c r="B24" s="44"/>
      <c r="C24" s="38" t="s">
        <v>70</v>
      </c>
      <c r="D24" s="39"/>
      <c r="E24" s="39"/>
      <c r="F24" s="40" t="str">
        <v/>
      </c>
      <c r="G24" s="35"/>
      <c r="H24" s="41" t="str">
        <f ca="1"/>
        <v/>
      </c>
      <c r="I24" s="42"/>
      <c r="J24" s="42"/>
      <c r="K24" s="42"/>
      <c r="L24" s="42"/>
      <c r="M24" s="42"/>
      <c r="N24" s="42"/>
      <c r="O24" s="42"/>
      <c r="P24" s="42"/>
      <c r="Q24" s="42"/>
      <c r="R24" s="42"/>
      <c r="S24" s="42"/>
      <c r="T24" s="42"/>
      <c r="U24" s="42"/>
      <c r="V24" s="42"/>
      <c r="W24" s="42"/>
      <c r="X24" s="42"/>
      <c r="Y24" s="42"/>
      <c r="Z24" s="42"/>
      <c r="AA24" s="42"/>
      <c r="AB24" s="42"/>
      <c r="AC24" s="42"/>
    </row>
    <row r="25" spans="1:29" x14ac:dyDescent="0.25">
      <c r="A25" s="43" t="str">
        <f t="shared" si="0"/>
        <v/>
      </c>
      <c r="B25" s="44"/>
      <c r="C25" s="38"/>
      <c r="D25" s="39"/>
      <c r="E25" s="39"/>
      <c r="F25" s="40" t="str">
        <v/>
      </c>
      <c r="G25" s="35"/>
      <c r="H25" s="41" t="str">
        <f ca="1"/>
        <v/>
      </c>
      <c r="I25" s="42"/>
      <c r="J25" s="42"/>
      <c r="K25" s="42"/>
      <c r="L25" s="42"/>
      <c r="M25" s="42"/>
      <c r="N25" s="42"/>
      <c r="O25" s="42"/>
      <c r="P25" s="42"/>
      <c r="Q25" s="42"/>
      <c r="R25" s="42"/>
      <c r="S25" s="42"/>
      <c r="T25" s="42"/>
      <c r="U25" s="42"/>
      <c r="V25" s="42"/>
      <c r="W25" s="42"/>
      <c r="X25" s="42"/>
      <c r="Y25" s="42"/>
      <c r="Z25" s="42"/>
      <c r="AA25" s="42"/>
      <c r="AB25" s="42"/>
      <c r="AC25" s="42"/>
    </row>
    <row r="26" spans="1:29" x14ac:dyDescent="0.25">
      <c r="A26" s="43" t="str">
        <f t="shared" si="0"/>
        <v/>
      </c>
      <c r="B26" s="44"/>
      <c r="C26" s="38"/>
      <c r="D26" s="39"/>
      <c r="E26" s="39"/>
      <c r="F26" s="40" t="str">
        <v/>
      </c>
      <c r="G26" s="35"/>
      <c r="H26" s="41" t="str">
        <f ca="1"/>
        <v/>
      </c>
      <c r="I26" s="42"/>
      <c r="J26" s="42"/>
      <c r="K26" s="42"/>
      <c r="L26" s="42"/>
      <c r="M26" s="42"/>
      <c r="N26" s="42"/>
      <c r="O26" s="42"/>
      <c r="P26" s="42"/>
      <c r="Q26" s="42"/>
      <c r="R26" s="42"/>
      <c r="S26" s="42"/>
      <c r="T26" s="42"/>
      <c r="U26" s="42"/>
      <c r="V26" s="42"/>
      <c r="W26" s="42"/>
      <c r="X26" s="42"/>
      <c r="Y26" s="42"/>
      <c r="Z26" s="42"/>
      <c r="AA26" s="42"/>
      <c r="AB26" s="42"/>
      <c r="AC26" s="42"/>
    </row>
    <row r="27" spans="1:29" x14ac:dyDescent="0.25">
      <c r="A27" s="48" t="e">
        <f t="shared" ca="1" si="0"/>
        <v>#NAME?</v>
      </c>
      <c r="B27" s="37" t="s">
        <v>71</v>
      </c>
      <c r="C27" s="38"/>
      <c r="D27" s="39" t="s">
        <v>37</v>
      </c>
      <c r="E27" s="39" t="s">
        <v>54</v>
      </c>
      <c r="F27" s="40" t="e">
        <f ca="1"/>
        <v>#NAME?</v>
      </c>
      <c r="G27" s="35"/>
      <c r="H27" s="41" t="str">
        <f ca="1"/>
        <v/>
      </c>
      <c r="I27" s="42"/>
      <c r="J27" s="42"/>
      <c r="K27" s="42"/>
      <c r="L27" s="42"/>
      <c r="M27" s="42"/>
      <c r="N27" s="42"/>
      <c r="O27" s="42"/>
      <c r="P27" s="42"/>
      <c r="Q27" s="42"/>
      <c r="R27" s="42"/>
      <c r="S27" s="42"/>
      <c r="T27" s="42"/>
      <c r="U27" s="42"/>
      <c r="V27" s="42"/>
      <c r="W27" s="42"/>
      <c r="X27" s="42"/>
      <c r="Y27" s="42"/>
      <c r="Z27" s="42"/>
      <c r="AA27" s="42"/>
      <c r="AB27" s="42"/>
      <c r="AC27" s="42"/>
    </row>
    <row r="28" spans="1:29" x14ac:dyDescent="0.25">
      <c r="A28" s="43" t="e">
        <f t="shared" ca="1" si="0"/>
        <v>#NAME?</v>
      </c>
      <c r="B28" s="44" t="s">
        <v>72</v>
      </c>
      <c r="C28" s="45"/>
      <c r="D28" s="39" t="s">
        <v>37</v>
      </c>
      <c r="E28" s="39" t="s">
        <v>54</v>
      </c>
      <c r="F28" s="40" t="e">
        <f ca="1"/>
        <v>#NAME?</v>
      </c>
      <c r="G28" s="35" t="e">
        <f ca="1">B28&amp;" "&amp;_xludf.textjoin(", ",TRUE,C29:C32)</f>
        <v>#NAME?</v>
      </c>
      <c r="H28" s="41" t="e">
        <f ca="1"/>
        <v>#NAME?</v>
      </c>
      <c r="I28" s="42"/>
      <c r="J28" s="42"/>
      <c r="K28" s="42"/>
      <c r="L28" s="42"/>
      <c r="M28" s="42"/>
      <c r="N28" s="42"/>
      <c r="O28" s="42"/>
      <c r="P28" s="42"/>
      <c r="Q28" s="42"/>
      <c r="R28" s="42"/>
      <c r="S28" s="42"/>
      <c r="T28" s="42"/>
      <c r="U28" s="42"/>
      <c r="V28" s="42"/>
      <c r="W28" s="42"/>
      <c r="X28" s="42"/>
      <c r="Y28" s="42"/>
      <c r="Z28" s="42"/>
      <c r="AA28" s="42"/>
      <c r="AB28" s="42"/>
      <c r="AC28" s="42"/>
    </row>
    <row r="29" spans="1:29" x14ac:dyDescent="0.25">
      <c r="A29" s="43" t="str">
        <f t="shared" si="0"/>
        <v/>
      </c>
      <c r="B29" s="38"/>
      <c r="C29" s="38" t="s">
        <v>73</v>
      </c>
      <c r="D29" s="46" t="str">
        <f t="shared" ref="D29:E29" si="11">D$28</f>
        <v>Critical</v>
      </c>
      <c r="E29" s="46" t="str">
        <f t="shared" si="11"/>
        <v>Phase 1</v>
      </c>
      <c r="F29" s="40" t="str">
        <v/>
      </c>
      <c r="G29" s="35"/>
      <c r="H29" s="41" t="str">
        <f ca="1"/>
        <v/>
      </c>
      <c r="I29" s="42"/>
      <c r="J29" s="42"/>
      <c r="K29" s="42"/>
      <c r="L29" s="42"/>
      <c r="M29" s="42"/>
      <c r="N29" s="42"/>
      <c r="O29" s="42"/>
      <c r="P29" s="42"/>
      <c r="Q29" s="42"/>
      <c r="R29" s="42"/>
      <c r="S29" s="42"/>
      <c r="T29" s="42"/>
      <c r="U29" s="42"/>
      <c r="V29" s="42"/>
      <c r="W29" s="42"/>
      <c r="X29" s="42"/>
      <c r="Y29" s="42"/>
      <c r="Z29" s="42"/>
      <c r="AA29" s="42"/>
      <c r="AB29" s="42"/>
      <c r="AC29" s="42"/>
    </row>
    <row r="30" spans="1:29" x14ac:dyDescent="0.25">
      <c r="A30" s="43" t="str">
        <f t="shared" si="0"/>
        <v/>
      </c>
      <c r="B30" s="38"/>
      <c r="C30" s="38" t="s">
        <v>74</v>
      </c>
      <c r="D30" s="46" t="str">
        <f t="shared" ref="D30:E30" si="12">D$28</f>
        <v>Critical</v>
      </c>
      <c r="E30" s="46" t="str">
        <f t="shared" si="12"/>
        <v>Phase 1</v>
      </c>
      <c r="F30" s="40" t="str">
        <v/>
      </c>
      <c r="G30" s="35"/>
      <c r="H30" s="41" t="str">
        <f ca="1"/>
        <v/>
      </c>
      <c r="I30" s="42"/>
      <c r="J30" s="42"/>
      <c r="K30" s="42"/>
      <c r="L30" s="42"/>
      <c r="M30" s="42"/>
      <c r="N30" s="42"/>
      <c r="O30" s="42"/>
      <c r="P30" s="42"/>
      <c r="Q30" s="42"/>
      <c r="R30" s="42"/>
      <c r="S30" s="42"/>
      <c r="T30" s="42"/>
      <c r="U30" s="42"/>
      <c r="V30" s="42"/>
      <c r="W30" s="42"/>
      <c r="X30" s="42"/>
      <c r="Y30" s="42"/>
      <c r="Z30" s="42"/>
      <c r="AA30" s="42"/>
      <c r="AB30" s="42"/>
      <c r="AC30" s="42"/>
    </row>
    <row r="31" spans="1:29" x14ac:dyDescent="0.25">
      <c r="A31" s="43" t="str">
        <f t="shared" si="0"/>
        <v/>
      </c>
      <c r="B31" s="38"/>
      <c r="C31" s="38" t="s">
        <v>75</v>
      </c>
      <c r="D31" s="46" t="str">
        <f t="shared" ref="D31:E31" si="13">D$28</f>
        <v>Critical</v>
      </c>
      <c r="E31" s="46" t="str">
        <f t="shared" si="13"/>
        <v>Phase 1</v>
      </c>
      <c r="F31" s="40" t="str">
        <v/>
      </c>
      <c r="G31" s="35"/>
      <c r="H31" s="41" t="str">
        <f ca="1"/>
        <v/>
      </c>
      <c r="I31" s="42"/>
      <c r="J31" s="42"/>
      <c r="K31" s="42"/>
      <c r="L31" s="42"/>
      <c r="M31" s="42"/>
      <c r="N31" s="42"/>
      <c r="O31" s="42"/>
      <c r="P31" s="42"/>
      <c r="Q31" s="42"/>
      <c r="R31" s="42"/>
      <c r="S31" s="42"/>
      <c r="T31" s="42"/>
      <c r="U31" s="42"/>
      <c r="V31" s="42"/>
      <c r="W31" s="42"/>
      <c r="X31" s="42"/>
      <c r="Y31" s="42"/>
      <c r="Z31" s="42"/>
      <c r="AA31" s="42"/>
      <c r="AB31" s="42"/>
      <c r="AC31" s="42"/>
    </row>
    <row r="32" spans="1:29" x14ac:dyDescent="0.25">
      <c r="A32" s="43" t="str">
        <f t="shared" si="0"/>
        <v/>
      </c>
      <c r="B32" s="38"/>
      <c r="C32" s="38"/>
      <c r="D32" s="39"/>
      <c r="E32" s="39"/>
      <c r="F32" s="40" t="str">
        <v/>
      </c>
      <c r="G32" s="35"/>
      <c r="H32" s="41" t="str">
        <f ca="1"/>
        <v/>
      </c>
      <c r="I32" s="42"/>
      <c r="J32" s="42"/>
      <c r="K32" s="42"/>
      <c r="L32" s="42"/>
      <c r="M32" s="42"/>
      <c r="N32" s="42"/>
      <c r="O32" s="42"/>
      <c r="P32" s="42"/>
      <c r="Q32" s="42"/>
      <c r="R32" s="42"/>
      <c r="S32" s="42"/>
      <c r="T32" s="42"/>
      <c r="U32" s="42"/>
      <c r="V32" s="42"/>
      <c r="W32" s="42"/>
      <c r="X32" s="42"/>
      <c r="Y32" s="42"/>
      <c r="Z32" s="42"/>
      <c r="AA32" s="42"/>
      <c r="AB32" s="42"/>
      <c r="AC32" s="42"/>
    </row>
    <row r="33" spans="1:29" x14ac:dyDescent="0.25">
      <c r="A33" s="43" t="e">
        <f t="shared" ca="1" si="0"/>
        <v>#NAME?</v>
      </c>
      <c r="B33" s="44" t="s">
        <v>76</v>
      </c>
      <c r="C33" s="45" t="s">
        <v>77</v>
      </c>
      <c r="D33" s="39" t="s">
        <v>37</v>
      </c>
      <c r="E33" s="39" t="s">
        <v>54</v>
      </c>
      <c r="F33" s="40" t="e">
        <f ca="1"/>
        <v>#NAME?</v>
      </c>
      <c r="G33" s="35" t="e">
        <f ca="1">"- "&amp;_xludf.textjoin("
- ",TRUE,C34:C38)</f>
        <v>#NAME?</v>
      </c>
      <c r="H33" s="41" t="e">
        <f ca="1"/>
        <v>#NAME?</v>
      </c>
      <c r="I33" s="42"/>
      <c r="J33" s="42"/>
      <c r="K33" s="42"/>
      <c r="L33" s="42"/>
      <c r="M33" s="42"/>
      <c r="N33" s="42"/>
      <c r="O33" s="42"/>
      <c r="P33" s="42"/>
      <c r="Q33" s="42"/>
      <c r="R33" s="42"/>
      <c r="S33" s="42"/>
      <c r="T33" s="42"/>
      <c r="U33" s="42"/>
      <c r="V33" s="42"/>
      <c r="W33" s="42"/>
      <c r="X33" s="42"/>
      <c r="Y33" s="42"/>
      <c r="Z33" s="42"/>
      <c r="AA33" s="42"/>
      <c r="AB33" s="42"/>
      <c r="AC33" s="42"/>
    </row>
    <row r="34" spans="1:29" x14ac:dyDescent="0.25">
      <c r="A34" s="43" t="str">
        <f t="shared" si="0"/>
        <v/>
      </c>
      <c r="B34" s="44"/>
      <c r="C34" s="38" t="s">
        <v>78</v>
      </c>
      <c r="D34" s="39" t="s">
        <v>37</v>
      </c>
      <c r="E34" s="39" t="s">
        <v>54</v>
      </c>
      <c r="F34" s="40" t="str">
        <v/>
      </c>
      <c r="G34" s="35"/>
      <c r="H34" s="41" t="str">
        <f ca="1"/>
        <v/>
      </c>
      <c r="I34" s="42"/>
      <c r="J34" s="42"/>
      <c r="K34" s="42"/>
      <c r="L34" s="42"/>
      <c r="M34" s="42"/>
      <c r="N34" s="42"/>
      <c r="O34" s="42"/>
      <c r="P34" s="42"/>
      <c r="Q34" s="42"/>
      <c r="R34" s="42"/>
      <c r="S34" s="42"/>
      <c r="T34" s="42"/>
      <c r="U34" s="42"/>
      <c r="V34" s="42"/>
      <c r="W34" s="42"/>
      <c r="X34" s="42"/>
      <c r="Y34" s="42"/>
      <c r="Z34" s="42"/>
      <c r="AA34" s="42"/>
      <c r="AB34" s="42"/>
      <c r="AC34" s="42"/>
    </row>
    <row r="35" spans="1:29" x14ac:dyDescent="0.25">
      <c r="A35" s="43" t="str">
        <f t="shared" si="0"/>
        <v/>
      </c>
      <c r="B35" s="44"/>
      <c r="C35" s="38" t="s">
        <v>79</v>
      </c>
      <c r="D35" s="39" t="s">
        <v>37</v>
      </c>
      <c r="E35" s="39" t="s">
        <v>54</v>
      </c>
      <c r="F35" s="40" t="str">
        <v/>
      </c>
      <c r="G35" s="35"/>
      <c r="H35" s="41" t="str">
        <f ca="1"/>
        <v/>
      </c>
      <c r="I35" s="42"/>
      <c r="J35" s="42"/>
      <c r="K35" s="42"/>
      <c r="L35" s="42"/>
      <c r="M35" s="42"/>
      <c r="N35" s="42"/>
      <c r="O35" s="42"/>
      <c r="P35" s="42"/>
      <c r="Q35" s="42"/>
      <c r="R35" s="42"/>
      <c r="S35" s="42"/>
      <c r="T35" s="42"/>
      <c r="U35" s="42"/>
      <c r="V35" s="42"/>
      <c r="W35" s="42"/>
      <c r="X35" s="42"/>
      <c r="Y35" s="42"/>
      <c r="Z35" s="42"/>
      <c r="AA35" s="42"/>
      <c r="AB35" s="42"/>
      <c r="AC35" s="42"/>
    </row>
    <row r="36" spans="1:29" x14ac:dyDescent="0.25">
      <c r="A36" s="43" t="str">
        <f t="shared" si="0"/>
        <v/>
      </c>
      <c r="B36" s="44"/>
      <c r="C36" s="38" t="s">
        <v>80</v>
      </c>
      <c r="D36" s="39" t="s">
        <v>38</v>
      </c>
      <c r="E36" s="39" t="s">
        <v>54</v>
      </c>
      <c r="F36" s="40" t="str">
        <v/>
      </c>
      <c r="G36" s="35"/>
      <c r="H36" s="41" t="str">
        <f ca="1"/>
        <v/>
      </c>
      <c r="I36" s="42"/>
      <c r="J36" s="42"/>
      <c r="K36" s="42"/>
      <c r="L36" s="42"/>
      <c r="M36" s="42"/>
      <c r="N36" s="42"/>
      <c r="O36" s="42"/>
      <c r="P36" s="42"/>
      <c r="Q36" s="42"/>
      <c r="R36" s="42"/>
      <c r="S36" s="42"/>
      <c r="T36" s="42"/>
      <c r="U36" s="42"/>
      <c r="V36" s="42"/>
      <c r="W36" s="42"/>
      <c r="X36" s="42"/>
      <c r="Y36" s="42"/>
      <c r="Z36" s="42"/>
      <c r="AA36" s="42"/>
      <c r="AB36" s="42"/>
      <c r="AC36" s="42"/>
    </row>
    <row r="37" spans="1:29" x14ac:dyDescent="0.25">
      <c r="A37" s="43" t="str">
        <f t="shared" si="0"/>
        <v/>
      </c>
      <c r="B37" s="44"/>
      <c r="C37" s="38"/>
      <c r="D37" s="39"/>
      <c r="E37" s="39"/>
      <c r="F37" s="40" t="str">
        <v/>
      </c>
      <c r="G37" s="35"/>
      <c r="H37" s="41" t="str">
        <f ca="1"/>
        <v/>
      </c>
      <c r="I37" s="42"/>
      <c r="J37" s="42"/>
      <c r="K37" s="42"/>
      <c r="L37" s="42"/>
      <c r="M37" s="42"/>
      <c r="N37" s="42"/>
      <c r="O37" s="42"/>
      <c r="P37" s="42"/>
      <c r="Q37" s="42"/>
      <c r="R37" s="42"/>
      <c r="S37" s="42"/>
      <c r="T37" s="42"/>
      <c r="U37" s="42"/>
      <c r="V37" s="42"/>
      <c r="W37" s="42"/>
      <c r="X37" s="42"/>
      <c r="Y37" s="42"/>
      <c r="Z37" s="42"/>
      <c r="AA37" s="42"/>
      <c r="AB37" s="42"/>
      <c r="AC37" s="42"/>
    </row>
    <row r="38" spans="1:29" x14ac:dyDescent="0.25">
      <c r="A38" s="43" t="str">
        <f t="shared" si="0"/>
        <v/>
      </c>
      <c r="B38" s="44"/>
      <c r="C38" s="38"/>
      <c r="D38" s="39"/>
      <c r="E38" s="39"/>
      <c r="F38" s="40" t="str">
        <v/>
      </c>
      <c r="G38" s="35"/>
      <c r="H38" s="41" t="str">
        <f ca="1"/>
        <v/>
      </c>
      <c r="I38" s="42"/>
      <c r="J38" s="42"/>
      <c r="K38" s="42"/>
      <c r="L38" s="42"/>
      <c r="M38" s="42"/>
      <c r="N38" s="42"/>
      <c r="O38" s="42"/>
      <c r="P38" s="42"/>
      <c r="Q38" s="42"/>
      <c r="R38" s="42"/>
      <c r="S38" s="42"/>
      <c r="T38" s="42"/>
      <c r="U38" s="42"/>
      <c r="V38" s="42"/>
      <c r="W38" s="42"/>
      <c r="X38" s="42"/>
      <c r="Y38" s="42"/>
      <c r="Z38" s="42"/>
      <c r="AA38" s="42"/>
      <c r="AB38" s="42"/>
      <c r="AC38" s="42"/>
    </row>
    <row r="39" spans="1:29" x14ac:dyDescent="0.25">
      <c r="A39" s="43" t="str">
        <f t="shared" si="0"/>
        <v/>
      </c>
      <c r="B39" s="44"/>
      <c r="C39" s="38"/>
      <c r="D39" s="39"/>
      <c r="E39" s="39"/>
      <c r="F39" s="40" t="str">
        <v/>
      </c>
      <c r="G39" s="35"/>
      <c r="H39" s="41" t="str">
        <f ca="1"/>
        <v/>
      </c>
      <c r="I39" s="42"/>
      <c r="J39" s="42"/>
      <c r="K39" s="42"/>
      <c r="L39" s="42"/>
      <c r="M39" s="42"/>
      <c r="N39" s="42"/>
      <c r="O39" s="42"/>
      <c r="P39" s="42"/>
      <c r="Q39" s="42"/>
      <c r="R39" s="42"/>
      <c r="S39" s="42"/>
      <c r="T39" s="42"/>
      <c r="U39" s="42"/>
      <c r="V39" s="42"/>
      <c r="W39" s="42"/>
      <c r="X39" s="42"/>
      <c r="Y39" s="42"/>
      <c r="Z39" s="42"/>
      <c r="AA39" s="42"/>
      <c r="AB39" s="42"/>
      <c r="AC39" s="42"/>
    </row>
    <row r="40" spans="1:29" x14ac:dyDescent="0.25">
      <c r="A40" s="43" t="e">
        <f t="shared" ca="1" si="0"/>
        <v>#NAME?</v>
      </c>
      <c r="B40" s="44" t="s">
        <v>81</v>
      </c>
      <c r="C40" s="49" t="s">
        <v>82</v>
      </c>
      <c r="D40" s="39" t="s">
        <v>41</v>
      </c>
      <c r="E40" s="39" t="s">
        <v>34</v>
      </c>
      <c r="F40" s="40" t="e">
        <f ca="1"/>
        <v>#NAME?</v>
      </c>
      <c r="G40" s="35" t="str">
        <f>C40</f>
        <v>Sell Services later only</v>
      </c>
      <c r="H40" s="41">
        <f ca="1"/>
        <v>201</v>
      </c>
      <c r="I40" s="42"/>
      <c r="J40" s="42"/>
      <c r="K40" s="42"/>
      <c r="L40" s="42"/>
      <c r="M40" s="42"/>
      <c r="N40" s="42"/>
      <c r="O40" s="42"/>
      <c r="P40" s="42"/>
      <c r="Q40" s="42"/>
      <c r="R40" s="42"/>
      <c r="S40" s="42"/>
      <c r="T40" s="42"/>
      <c r="U40" s="42"/>
      <c r="V40" s="42"/>
      <c r="W40" s="42"/>
      <c r="X40" s="42"/>
      <c r="Y40" s="42"/>
      <c r="Z40" s="42"/>
      <c r="AA40" s="42"/>
      <c r="AB40" s="42"/>
      <c r="AC40" s="42"/>
    </row>
    <row r="41" spans="1:29" x14ac:dyDescent="0.25">
      <c r="A41" s="43" t="str">
        <f t="shared" si="0"/>
        <v/>
      </c>
      <c r="B41" s="44"/>
      <c r="C41" s="38"/>
      <c r="D41" s="39"/>
      <c r="E41" s="39"/>
      <c r="F41" s="40" t="str">
        <v/>
      </c>
      <c r="G41" s="35"/>
      <c r="H41" s="41" t="str">
        <f ca="1"/>
        <v/>
      </c>
      <c r="I41" s="42"/>
      <c r="J41" s="42"/>
      <c r="K41" s="42"/>
      <c r="L41" s="42"/>
      <c r="M41" s="42"/>
      <c r="N41" s="42"/>
      <c r="O41" s="42"/>
      <c r="P41" s="42"/>
      <c r="Q41" s="42"/>
      <c r="R41" s="42"/>
      <c r="S41" s="42"/>
      <c r="T41" s="42"/>
      <c r="U41" s="42"/>
      <c r="V41" s="42"/>
      <c r="W41" s="42"/>
      <c r="X41" s="42"/>
      <c r="Y41" s="42"/>
      <c r="Z41" s="42"/>
      <c r="AA41" s="42"/>
      <c r="AB41" s="42"/>
      <c r="AC41" s="42"/>
    </row>
    <row r="42" spans="1:29" x14ac:dyDescent="0.25">
      <c r="A42" s="43" t="e">
        <f t="shared" ca="1" si="0"/>
        <v>#NAME?</v>
      </c>
      <c r="B42" s="44" t="s">
        <v>83</v>
      </c>
      <c r="C42" s="45" t="s">
        <v>84</v>
      </c>
      <c r="D42" s="39" t="s">
        <v>37</v>
      </c>
      <c r="E42" s="39" t="s">
        <v>54</v>
      </c>
      <c r="F42" s="40" t="e">
        <f ca="1"/>
        <v>#NAME?</v>
      </c>
      <c r="G42" s="35" t="str">
        <f>C42</f>
        <v>List &amp; range products in Shoprite Retail system (SAP Retail).</v>
      </c>
      <c r="H42" s="41">
        <f ca="1"/>
        <v>201</v>
      </c>
      <c r="I42" s="42"/>
      <c r="J42" s="42"/>
      <c r="K42" s="42"/>
      <c r="L42" s="42"/>
      <c r="M42" s="42"/>
      <c r="N42" s="42"/>
      <c r="O42" s="42"/>
      <c r="P42" s="42"/>
      <c r="Q42" s="42"/>
      <c r="R42" s="42"/>
      <c r="S42" s="42"/>
      <c r="T42" s="42"/>
      <c r="U42" s="42"/>
      <c r="V42" s="42"/>
      <c r="W42" s="42"/>
      <c r="X42" s="42"/>
      <c r="Y42" s="42"/>
      <c r="Z42" s="42"/>
      <c r="AA42" s="42"/>
      <c r="AB42" s="42"/>
      <c r="AC42" s="42"/>
    </row>
    <row r="43" spans="1:29" x14ac:dyDescent="0.25">
      <c r="A43" s="43" t="str">
        <f t="shared" si="0"/>
        <v/>
      </c>
      <c r="B43" s="38"/>
      <c r="C43" s="38"/>
      <c r="D43" s="39"/>
      <c r="E43" s="39"/>
      <c r="F43" s="40" t="str">
        <v/>
      </c>
      <c r="G43" s="35"/>
      <c r="H43" s="41" t="str">
        <f ca="1"/>
        <v/>
      </c>
      <c r="I43" s="42"/>
      <c r="J43" s="42"/>
      <c r="K43" s="42"/>
      <c r="L43" s="42"/>
      <c r="M43" s="42"/>
      <c r="N43" s="42"/>
      <c r="O43" s="42"/>
      <c r="P43" s="42"/>
      <c r="Q43" s="42"/>
      <c r="R43" s="42"/>
      <c r="S43" s="42"/>
      <c r="T43" s="42"/>
      <c r="U43" s="42"/>
      <c r="V43" s="42"/>
      <c r="W43" s="42"/>
      <c r="X43" s="42"/>
      <c r="Y43" s="42"/>
      <c r="Z43" s="42"/>
      <c r="AA43" s="42"/>
      <c r="AB43" s="42"/>
      <c r="AC43" s="42"/>
    </row>
    <row r="44" spans="1:29" x14ac:dyDescent="0.25">
      <c r="A44" s="43" t="e">
        <f t="shared" ca="1" si="0"/>
        <v>#NAME?</v>
      </c>
      <c r="B44" s="44" t="s">
        <v>85</v>
      </c>
      <c r="C44" s="45" t="s">
        <v>86</v>
      </c>
      <c r="D44" s="39" t="s">
        <v>37</v>
      </c>
      <c r="E44" s="39" t="s">
        <v>54</v>
      </c>
      <c r="F44" s="40" t="e">
        <f ca="1"/>
        <v>#NAME?</v>
      </c>
      <c r="G44" s="35" t="str">
        <f>C44</f>
        <v>Manage product pricing in the Shoprite Retail system (SAP Retail).</v>
      </c>
      <c r="H44" s="41">
        <f ca="1"/>
        <v>201</v>
      </c>
      <c r="I44" s="42"/>
      <c r="J44" s="42"/>
      <c r="K44" s="42"/>
      <c r="L44" s="42"/>
      <c r="M44" s="42"/>
      <c r="N44" s="42"/>
      <c r="O44" s="42"/>
      <c r="P44" s="42"/>
      <c r="Q44" s="42"/>
      <c r="R44" s="42"/>
      <c r="S44" s="42"/>
      <c r="T44" s="42"/>
      <c r="U44" s="42"/>
      <c r="V44" s="42"/>
      <c r="W44" s="42"/>
      <c r="X44" s="42"/>
      <c r="Y44" s="42"/>
      <c r="Z44" s="42"/>
      <c r="AA44" s="42"/>
      <c r="AB44" s="42"/>
      <c r="AC44" s="42"/>
    </row>
    <row r="45" spans="1:29" x14ac:dyDescent="0.25">
      <c r="A45" s="43" t="str">
        <f t="shared" si="0"/>
        <v/>
      </c>
      <c r="B45" s="38"/>
      <c r="C45" s="38"/>
      <c r="D45" s="39"/>
      <c r="E45" s="39"/>
      <c r="F45" s="40" t="str">
        <v/>
      </c>
      <c r="G45" s="35"/>
      <c r="H45" s="41" t="str">
        <f ca="1"/>
        <v/>
      </c>
      <c r="I45" s="42"/>
      <c r="J45" s="42"/>
      <c r="K45" s="42"/>
      <c r="L45" s="42"/>
      <c r="M45" s="42"/>
      <c r="N45" s="42"/>
      <c r="O45" s="42"/>
      <c r="P45" s="42"/>
      <c r="Q45" s="42"/>
      <c r="R45" s="42"/>
      <c r="S45" s="42"/>
      <c r="T45" s="42"/>
      <c r="U45" s="42"/>
      <c r="V45" s="42"/>
      <c r="W45" s="42"/>
      <c r="X45" s="42"/>
      <c r="Y45" s="42"/>
      <c r="Z45" s="42"/>
      <c r="AA45" s="42"/>
      <c r="AB45" s="42"/>
      <c r="AC45" s="42"/>
    </row>
    <row r="46" spans="1:29" x14ac:dyDescent="0.25">
      <c r="A46" s="43" t="e">
        <f t="shared" ca="1" si="0"/>
        <v>#NAME?</v>
      </c>
      <c r="B46" s="44" t="s">
        <v>87</v>
      </c>
      <c r="C46" s="45" t="s">
        <v>88</v>
      </c>
      <c r="D46" s="39" t="s">
        <v>37</v>
      </c>
      <c r="E46" s="39" t="s">
        <v>54</v>
      </c>
      <c r="F46" s="40" t="e">
        <f ca="1"/>
        <v>#NAME?</v>
      </c>
      <c r="G46" s="35" t="str">
        <f>C46</f>
        <v>Manage the enrichment of product for online sale in the Shoprite Marketing system (SAP Hybris).</v>
      </c>
      <c r="H46" s="41">
        <f ca="1"/>
        <v>201</v>
      </c>
      <c r="I46" s="42"/>
      <c r="J46" s="42"/>
      <c r="K46" s="42"/>
      <c r="L46" s="42"/>
      <c r="M46" s="42"/>
      <c r="N46" s="42"/>
      <c r="O46" s="42"/>
      <c r="P46" s="42"/>
      <c r="Q46" s="42"/>
      <c r="R46" s="42"/>
      <c r="S46" s="42"/>
      <c r="T46" s="42"/>
      <c r="U46" s="42"/>
      <c r="V46" s="42"/>
      <c r="W46" s="42"/>
      <c r="X46" s="42"/>
      <c r="Y46" s="42"/>
      <c r="Z46" s="42"/>
      <c r="AA46" s="42"/>
      <c r="AB46" s="42"/>
      <c r="AC46" s="42"/>
    </row>
    <row r="47" spans="1:29" x14ac:dyDescent="0.25">
      <c r="A47" s="43" t="str">
        <f t="shared" si="0"/>
        <v/>
      </c>
      <c r="B47" s="38"/>
      <c r="C47" s="38"/>
      <c r="D47" s="39"/>
      <c r="E47" s="39"/>
      <c r="F47" s="40" t="str">
        <v/>
      </c>
      <c r="G47" s="35"/>
      <c r="H47" s="41" t="str">
        <f ca="1"/>
        <v/>
      </c>
      <c r="I47" s="42"/>
      <c r="J47" s="42"/>
      <c r="K47" s="42"/>
      <c r="L47" s="42"/>
      <c r="M47" s="42"/>
      <c r="N47" s="42"/>
      <c r="O47" s="42"/>
      <c r="P47" s="42"/>
      <c r="Q47" s="42"/>
      <c r="R47" s="42"/>
      <c r="S47" s="42"/>
      <c r="T47" s="42"/>
      <c r="U47" s="42"/>
      <c r="V47" s="42"/>
      <c r="W47" s="42"/>
      <c r="X47" s="42"/>
      <c r="Y47" s="42"/>
      <c r="Z47" s="42"/>
      <c r="AA47" s="42"/>
      <c r="AB47" s="42"/>
      <c r="AC47" s="42"/>
    </row>
    <row r="48" spans="1:29" x14ac:dyDescent="0.25">
      <c r="A48" s="43" t="str">
        <f t="shared" si="0"/>
        <v/>
      </c>
      <c r="B48" s="37"/>
      <c r="C48" s="38"/>
      <c r="D48" s="39"/>
      <c r="E48" s="39"/>
      <c r="F48" s="40" t="str">
        <v/>
      </c>
      <c r="G48" s="35"/>
      <c r="H48" s="41" t="str">
        <f ca="1"/>
        <v/>
      </c>
      <c r="I48" s="42"/>
      <c r="J48" s="42"/>
      <c r="K48" s="42"/>
      <c r="L48" s="42"/>
      <c r="M48" s="42"/>
      <c r="N48" s="42"/>
      <c r="O48" s="42"/>
      <c r="P48" s="42"/>
      <c r="Q48" s="42"/>
      <c r="R48" s="42"/>
      <c r="S48" s="42"/>
      <c r="T48" s="42"/>
      <c r="U48" s="42"/>
      <c r="V48" s="42"/>
      <c r="W48" s="42"/>
      <c r="X48" s="42"/>
      <c r="Y48" s="42"/>
      <c r="Z48" s="42"/>
      <c r="AA48" s="42"/>
      <c r="AB48" s="42"/>
      <c r="AC48" s="42"/>
    </row>
    <row r="49" spans="1:29" x14ac:dyDescent="0.25">
      <c r="A49" s="43" t="str">
        <f t="shared" si="0"/>
        <v/>
      </c>
      <c r="B49" s="37"/>
      <c r="C49" s="38"/>
      <c r="D49" s="39"/>
      <c r="E49" s="39"/>
      <c r="F49" s="40" t="str">
        <v/>
      </c>
      <c r="G49" s="35"/>
      <c r="H49" s="41" t="str">
        <f ca="1"/>
        <v/>
      </c>
      <c r="I49" s="42"/>
      <c r="J49" s="42"/>
      <c r="K49" s="42"/>
      <c r="L49" s="42"/>
      <c r="M49" s="42"/>
      <c r="N49" s="42"/>
      <c r="O49" s="42"/>
      <c r="P49" s="42"/>
      <c r="Q49" s="42"/>
      <c r="R49" s="42"/>
      <c r="S49" s="42"/>
      <c r="T49" s="42"/>
      <c r="U49" s="42"/>
      <c r="V49" s="42"/>
      <c r="W49" s="42"/>
      <c r="X49" s="42"/>
      <c r="Y49" s="42"/>
      <c r="Z49" s="42"/>
      <c r="AA49" s="42"/>
      <c r="AB49" s="42"/>
      <c r="AC49" s="42"/>
    </row>
    <row r="50" spans="1:29" x14ac:dyDescent="0.25">
      <c r="A50" s="43" t="str">
        <f t="shared" si="0"/>
        <v/>
      </c>
      <c r="B50" s="37"/>
      <c r="C50" s="38"/>
      <c r="D50" s="39"/>
      <c r="E50" s="39"/>
      <c r="F50" s="40" t="str">
        <v/>
      </c>
      <c r="G50" s="35"/>
      <c r="H50" s="41" t="str">
        <f ca="1"/>
        <v/>
      </c>
      <c r="I50" s="42"/>
      <c r="J50" s="42"/>
      <c r="K50" s="42"/>
      <c r="L50" s="42"/>
      <c r="M50" s="42"/>
      <c r="N50" s="42"/>
      <c r="O50" s="42"/>
      <c r="P50" s="42"/>
      <c r="Q50" s="42"/>
      <c r="R50" s="42"/>
      <c r="S50" s="42"/>
      <c r="T50" s="42"/>
      <c r="U50" s="42"/>
      <c r="V50" s="42"/>
      <c r="W50" s="42"/>
      <c r="X50" s="42"/>
      <c r="Y50" s="42"/>
      <c r="Z50" s="42"/>
      <c r="AA50" s="42"/>
      <c r="AB50" s="42"/>
      <c r="AC50" s="42"/>
    </row>
    <row r="51" spans="1:29" x14ac:dyDescent="0.25">
      <c r="A51" s="43" t="str">
        <f t="shared" si="0"/>
        <v/>
      </c>
      <c r="B51" s="37"/>
      <c r="C51" s="38"/>
      <c r="D51" s="39"/>
      <c r="E51" s="39"/>
      <c r="F51" s="40" t="str">
        <v/>
      </c>
      <c r="G51" s="35"/>
      <c r="H51" s="41" t="str">
        <f ca="1"/>
        <v/>
      </c>
      <c r="I51" s="42"/>
      <c r="J51" s="42"/>
      <c r="K51" s="42"/>
      <c r="L51" s="42"/>
      <c r="M51" s="42"/>
      <c r="N51" s="42"/>
      <c r="O51" s="42"/>
      <c r="P51" s="42"/>
      <c r="Q51" s="42"/>
      <c r="R51" s="42"/>
      <c r="S51" s="42"/>
      <c r="T51" s="42"/>
      <c r="U51" s="42"/>
      <c r="V51" s="42"/>
      <c r="W51" s="42"/>
      <c r="X51" s="42"/>
      <c r="Y51" s="42"/>
      <c r="Z51" s="42"/>
      <c r="AA51" s="42"/>
      <c r="AB51" s="42"/>
      <c r="AC51" s="42"/>
    </row>
    <row r="52" spans="1:29" x14ac:dyDescent="0.25">
      <c r="A52" s="48" t="e">
        <f t="shared" ca="1" si="0"/>
        <v>#NAME?</v>
      </c>
      <c r="B52" s="37" t="s">
        <v>89</v>
      </c>
      <c r="C52" s="38"/>
      <c r="D52" s="39" t="s">
        <v>37</v>
      </c>
      <c r="E52" s="39" t="s">
        <v>54</v>
      </c>
      <c r="F52" s="40" t="e">
        <f ca="1"/>
        <v>#NAME?</v>
      </c>
      <c r="G52" s="35"/>
      <c r="H52" s="41" t="str">
        <f ca="1"/>
        <v/>
      </c>
      <c r="I52" s="42"/>
      <c r="J52" s="42"/>
      <c r="K52" s="42"/>
      <c r="L52" s="42"/>
      <c r="M52" s="42"/>
      <c r="N52" s="42"/>
      <c r="O52" s="42"/>
      <c r="P52" s="42"/>
      <c r="Q52" s="42"/>
      <c r="R52" s="42"/>
      <c r="S52" s="42"/>
      <c r="T52" s="42"/>
      <c r="U52" s="42"/>
      <c r="V52" s="42"/>
      <c r="W52" s="42"/>
      <c r="X52" s="42"/>
      <c r="Y52" s="42"/>
      <c r="Z52" s="42"/>
      <c r="AA52" s="42"/>
      <c r="AB52" s="42"/>
      <c r="AC52" s="42"/>
    </row>
    <row r="53" spans="1:29" x14ac:dyDescent="0.25">
      <c r="A53" s="43" t="e">
        <f t="shared" ca="1" si="0"/>
        <v>#NAME?</v>
      </c>
      <c r="B53" s="44" t="s">
        <v>90</v>
      </c>
      <c r="C53" s="49"/>
      <c r="D53" s="39" t="s">
        <v>37</v>
      </c>
      <c r="E53" s="39" t="s">
        <v>54</v>
      </c>
      <c r="F53" s="40" t="e">
        <f ca="1"/>
        <v>#NAME?</v>
      </c>
      <c r="G53" s="35" t="e">
        <f ca="1">"- "&amp;_xludf.textjoin("
- ",TRUE,C54:C58)</f>
        <v>#NAME?</v>
      </c>
      <c r="H53" s="41" t="e">
        <f ca="1"/>
        <v>#NAME?</v>
      </c>
      <c r="I53" s="42"/>
      <c r="J53" s="42"/>
      <c r="K53" s="42"/>
      <c r="L53" s="42"/>
      <c r="M53" s="42"/>
      <c r="N53" s="42"/>
      <c r="O53" s="42"/>
      <c r="P53" s="42"/>
      <c r="Q53" s="42"/>
      <c r="R53" s="42"/>
      <c r="S53" s="42"/>
      <c r="T53" s="42"/>
      <c r="U53" s="42"/>
      <c r="V53" s="42"/>
      <c r="W53" s="42"/>
      <c r="X53" s="42"/>
      <c r="Y53" s="42"/>
      <c r="Z53" s="42"/>
      <c r="AA53" s="42"/>
      <c r="AB53" s="42"/>
      <c r="AC53" s="50" t="s">
        <v>91</v>
      </c>
    </row>
    <row r="54" spans="1:29" x14ac:dyDescent="0.25">
      <c r="A54" s="43" t="str">
        <f t="shared" si="0"/>
        <v/>
      </c>
      <c r="B54" s="38"/>
      <c r="C54" s="38" t="s">
        <v>92</v>
      </c>
      <c r="D54" s="39" t="s">
        <v>37</v>
      </c>
      <c r="E54" s="39" t="s">
        <v>54</v>
      </c>
      <c r="F54" s="40" t="str">
        <v/>
      </c>
      <c r="G54" s="35"/>
      <c r="H54" s="41" t="str">
        <f ca="1"/>
        <v/>
      </c>
      <c r="I54" s="42"/>
      <c r="J54" s="42"/>
      <c r="K54" s="42"/>
      <c r="L54" s="42"/>
      <c r="M54" s="42"/>
      <c r="N54" s="42"/>
      <c r="O54" s="42"/>
      <c r="P54" s="42"/>
      <c r="Q54" s="42"/>
      <c r="R54" s="42"/>
      <c r="S54" s="42"/>
      <c r="T54" s="42"/>
      <c r="U54" s="42"/>
      <c r="V54" s="42"/>
      <c r="W54" s="42"/>
      <c r="X54" s="42"/>
      <c r="Y54" s="42"/>
      <c r="Z54" s="42"/>
      <c r="AA54" s="42"/>
      <c r="AB54" s="42"/>
      <c r="AC54" s="42"/>
    </row>
    <row r="55" spans="1:29" x14ac:dyDescent="0.25">
      <c r="A55" s="43" t="str">
        <f t="shared" si="0"/>
        <v/>
      </c>
      <c r="B55" s="38"/>
      <c r="C55" s="38" t="s">
        <v>93</v>
      </c>
      <c r="D55" s="39" t="s">
        <v>37</v>
      </c>
      <c r="E55" s="39" t="s">
        <v>54</v>
      </c>
      <c r="F55" s="40" t="str">
        <v/>
      </c>
      <c r="G55" s="35"/>
      <c r="H55" s="41" t="str">
        <f ca="1"/>
        <v/>
      </c>
      <c r="I55" s="42"/>
      <c r="J55" s="42"/>
      <c r="K55" s="42"/>
      <c r="L55" s="42"/>
      <c r="M55" s="42"/>
      <c r="N55" s="42"/>
      <c r="O55" s="42"/>
      <c r="P55" s="42"/>
      <c r="Q55" s="42"/>
      <c r="R55" s="42"/>
      <c r="S55" s="42"/>
      <c r="T55" s="42"/>
      <c r="U55" s="42"/>
      <c r="V55" s="42"/>
      <c r="W55" s="42"/>
      <c r="X55" s="42"/>
      <c r="Y55" s="42"/>
      <c r="Z55" s="42"/>
      <c r="AA55" s="42"/>
      <c r="AB55" s="42"/>
      <c r="AC55" s="42"/>
    </row>
    <row r="56" spans="1:29" x14ac:dyDescent="0.25">
      <c r="A56" s="43" t="str">
        <f t="shared" si="0"/>
        <v/>
      </c>
      <c r="B56" s="38"/>
      <c r="C56" s="38" t="s">
        <v>94</v>
      </c>
      <c r="D56" s="39" t="s">
        <v>37</v>
      </c>
      <c r="E56" s="39" t="s">
        <v>54</v>
      </c>
      <c r="F56" s="40" t="str">
        <v/>
      </c>
      <c r="G56" s="35"/>
      <c r="H56" s="41" t="str">
        <f ca="1"/>
        <v/>
      </c>
      <c r="I56" s="42"/>
      <c r="J56" s="42"/>
      <c r="K56" s="42"/>
      <c r="L56" s="42"/>
      <c r="M56" s="42"/>
      <c r="N56" s="42"/>
      <c r="O56" s="42"/>
      <c r="P56" s="42"/>
      <c r="Q56" s="42"/>
      <c r="R56" s="42"/>
      <c r="S56" s="42"/>
      <c r="T56" s="42"/>
      <c r="U56" s="42"/>
      <c r="V56" s="42"/>
      <c r="W56" s="42"/>
      <c r="X56" s="42"/>
      <c r="Y56" s="42"/>
      <c r="Z56" s="42"/>
      <c r="AA56" s="42"/>
      <c r="AB56" s="42"/>
      <c r="AC56" s="42"/>
    </row>
    <row r="57" spans="1:29" x14ac:dyDescent="0.25">
      <c r="A57" s="43" t="str">
        <f t="shared" si="0"/>
        <v/>
      </c>
      <c r="B57" s="38"/>
      <c r="C57" s="38" t="s">
        <v>95</v>
      </c>
      <c r="D57" s="39" t="s">
        <v>37</v>
      </c>
      <c r="E57" s="39" t="s">
        <v>54</v>
      </c>
      <c r="F57" s="40" t="str">
        <v/>
      </c>
      <c r="G57" s="35"/>
      <c r="H57" s="41" t="str">
        <f ca="1"/>
        <v/>
      </c>
      <c r="I57" s="42"/>
      <c r="J57" s="42"/>
      <c r="K57" s="42"/>
      <c r="L57" s="42"/>
      <c r="M57" s="42"/>
      <c r="N57" s="42"/>
      <c r="O57" s="42"/>
      <c r="P57" s="42"/>
      <c r="Q57" s="42"/>
      <c r="R57" s="42"/>
      <c r="S57" s="42"/>
      <c r="T57" s="42"/>
      <c r="U57" s="42"/>
      <c r="V57" s="42"/>
      <c r="W57" s="42"/>
      <c r="X57" s="42"/>
      <c r="Y57" s="42"/>
      <c r="Z57" s="42"/>
      <c r="AA57" s="42"/>
      <c r="AB57" s="42"/>
      <c r="AC57" s="42"/>
    </row>
    <row r="58" spans="1:29" x14ac:dyDescent="0.25">
      <c r="A58" s="43" t="str">
        <f t="shared" si="0"/>
        <v/>
      </c>
      <c r="B58" s="44"/>
      <c r="C58" s="38" t="s">
        <v>96</v>
      </c>
      <c r="D58" s="39" t="s">
        <v>37</v>
      </c>
      <c r="E58" s="39" t="s">
        <v>54</v>
      </c>
      <c r="F58" s="40" t="str">
        <v/>
      </c>
      <c r="G58" s="35"/>
      <c r="H58" s="41" t="str">
        <f ca="1"/>
        <v/>
      </c>
      <c r="I58" s="42"/>
      <c r="J58" s="42"/>
      <c r="K58" s="42"/>
      <c r="L58" s="42"/>
      <c r="M58" s="42"/>
      <c r="N58" s="42"/>
      <c r="O58" s="42"/>
      <c r="P58" s="42"/>
      <c r="Q58" s="42"/>
      <c r="R58" s="42"/>
      <c r="S58" s="42"/>
      <c r="T58" s="42"/>
      <c r="U58" s="42"/>
      <c r="V58" s="42"/>
      <c r="W58" s="42"/>
      <c r="X58" s="42"/>
      <c r="Y58" s="42"/>
      <c r="Z58" s="42"/>
      <c r="AA58" s="42"/>
      <c r="AB58" s="42"/>
      <c r="AC58" s="42"/>
    </row>
    <row r="59" spans="1:29" x14ac:dyDescent="0.25">
      <c r="A59" s="43" t="str">
        <f t="shared" si="0"/>
        <v/>
      </c>
      <c r="B59" s="44"/>
      <c r="C59" s="38"/>
      <c r="D59" s="39"/>
      <c r="E59" s="39"/>
      <c r="F59" s="40" t="str">
        <v/>
      </c>
      <c r="G59" s="35"/>
      <c r="H59" s="41" t="str">
        <f ca="1"/>
        <v/>
      </c>
      <c r="I59" s="42"/>
      <c r="J59" s="42"/>
      <c r="K59" s="42"/>
      <c r="L59" s="42"/>
      <c r="M59" s="42"/>
      <c r="N59" s="42"/>
      <c r="O59" s="42"/>
      <c r="P59" s="42"/>
      <c r="Q59" s="42"/>
      <c r="R59" s="42"/>
      <c r="S59" s="42"/>
      <c r="T59" s="42"/>
      <c r="U59" s="42"/>
      <c r="V59" s="42"/>
      <c r="W59" s="42"/>
      <c r="X59" s="42"/>
      <c r="Y59" s="42"/>
      <c r="Z59" s="42"/>
      <c r="AA59" s="42"/>
      <c r="AB59" s="42"/>
      <c r="AC59" s="42"/>
    </row>
    <row r="60" spans="1:29" x14ac:dyDescent="0.25">
      <c r="A60" s="43" t="e">
        <f t="shared" ca="1" si="0"/>
        <v>#NAME?</v>
      </c>
      <c r="B60" s="44" t="s">
        <v>97</v>
      </c>
      <c r="C60" s="49" t="s">
        <v>98</v>
      </c>
      <c r="D60" s="39" t="s">
        <v>37</v>
      </c>
      <c r="E60" s="39" t="s">
        <v>54</v>
      </c>
      <c r="F60" s="40" t="e">
        <f ca="1"/>
        <v>#NAME?</v>
      </c>
      <c r="G60" s="35" t="str">
        <f>C60</f>
        <v>Actively maktet the business brand, its promotions and products across online channels.</v>
      </c>
      <c r="H60" s="41">
        <f ca="1"/>
        <v>201</v>
      </c>
      <c r="I60" s="42"/>
      <c r="J60" s="42"/>
      <c r="K60" s="42"/>
      <c r="L60" s="42"/>
      <c r="M60" s="42"/>
      <c r="N60" s="42"/>
      <c r="O60" s="42"/>
      <c r="P60" s="42"/>
      <c r="Q60" s="42"/>
      <c r="R60" s="42"/>
      <c r="S60" s="42"/>
      <c r="T60" s="42"/>
      <c r="U60" s="42"/>
      <c r="V60" s="42"/>
      <c r="W60" s="42"/>
      <c r="X60" s="42"/>
      <c r="Y60" s="42"/>
      <c r="Z60" s="42"/>
      <c r="AA60" s="42"/>
      <c r="AB60" s="42"/>
      <c r="AC60" s="42"/>
    </row>
    <row r="61" spans="1:29" x14ac:dyDescent="0.25">
      <c r="A61" s="43" t="str">
        <f t="shared" si="0"/>
        <v/>
      </c>
      <c r="B61" s="44"/>
      <c r="C61" s="38"/>
      <c r="D61" s="39"/>
      <c r="E61" s="39"/>
      <c r="F61" s="40" t="str">
        <v/>
      </c>
      <c r="G61" s="35"/>
      <c r="H61" s="41" t="str">
        <f ca="1"/>
        <v/>
      </c>
      <c r="I61" s="42"/>
      <c r="J61" s="42"/>
      <c r="K61" s="42"/>
      <c r="L61" s="42"/>
      <c r="M61" s="42"/>
      <c r="N61" s="42"/>
      <c r="O61" s="42"/>
      <c r="P61" s="42"/>
      <c r="Q61" s="42"/>
      <c r="R61" s="42"/>
      <c r="S61" s="42"/>
      <c r="T61" s="42"/>
      <c r="U61" s="42"/>
      <c r="V61" s="42"/>
      <c r="W61" s="42"/>
      <c r="X61" s="42"/>
      <c r="Y61" s="42"/>
      <c r="Z61" s="42"/>
      <c r="AA61" s="42"/>
      <c r="AB61" s="42"/>
      <c r="AC61" s="42"/>
    </row>
    <row r="62" spans="1:29" x14ac:dyDescent="0.25">
      <c r="A62" s="43" t="e">
        <f t="shared" ca="1" si="0"/>
        <v>#NAME?</v>
      </c>
      <c r="B62" s="44" t="s">
        <v>99</v>
      </c>
      <c r="C62" s="49" t="s">
        <v>100</v>
      </c>
      <c r="D62" s="39" t="s">
        <v>38</v>
      </c>
      <c r="E62" s="39" t="s">
        <v>54</v>
      </c>
      <c r="F62" s="40" t="e">
        <f ca="1"/>
        <v>#NAME?</v>
      </c>
      <c r="G62" s="35" t="str">
        <f>C62</f>
        <v>Track advertisements across channels</v>
      </c>
      <c r="H62" s="41">
        <f ca="1"/>
        <v>201</v>
      </c>
      <c r="I62" s="42"/>
      <c r="J62" s="42"/>
      <c r="K62" s="42"/>
      <c r="L62" s="42"/>
      <c r="M62" s="42"/>
      <c r="N62" s="42"/>
      <c r="O62" s="42"/>
      <c r="P62" s="42"/>
      <c r="Q62" s="42"/>
      <c r="R62" s="42"/>
      <c r="S62" s="42"/>
      <c r="T62" s="42"/>
      <c r="U62" s="42"/>
      <c r="V62" s="42"/>
      <c r="W62" s="42"/>
      <c r="X62" s="42"/>
      <c r="Y62" s="42"/>
      <c r="Z62" s="42"/>
      <c r="AA62" s="42"/>
      <c r="AB62" s="42"/>
      <c r="AC62" s="42"/>
    </row>
    <row r="63" spans="1:29" x14ac:dyDescent="0.25">
      <c r="A63" s="43" t="str">
        <f t="shared" si="0"/>
        <v/>
      </c>
      <c r="B63" s="44"/>
      <c r="C63" s="38"/>
      <c r="D63" s="39"/>
      <c r="E63" s="39"/>
      <c r="F63" s="40" t="str">
        <v/>
      </c>
      <c r="G63" s="35"/>
      <c r="H63" s="41" t="str">
        <f ca="1"/>
        <v/>
      </c>
      <c r="I63" s="42"/>
      <c r="J63" s="42"/>
      <c r="K63" s="42"/>
      <c r="L63" s="42"/>
      <c r="M63" s="42"/>
      <c r="N63" s="42"/>
      <c r="O63" s="42"/>
      <c r="P63" s="42"/>
      <c r="Q63" s="42"/>
      <c r="R63" s="42"/>
      <c r="S63" s="42"/>
      <c r="T63" s="42"/>
      <c r="U63" s="42"/>
      <c r="V63" s="42"/>
      <c r="W63" s="42"/>
      <c r="X63" s="42"/>
      <c r="Y63" s="42"/>
      <c r="Z63" s="42"/>
      <c r="AA63" s="42"/>
      <c r="AB63" s="42"/>
      <c r="AC63" s="42"/>
    </row>
    <row r="64" spans="1:29" x14ac:dyDescent="0.25">
      <c r="A64" s="43" t="e">
        <f t="shared" ca="1" si="0"/>
        <v>#NAME?</v>
      </c>
      <c r="B64" s="44" t="s">
        <v>101</v>
      </c>
      <c r="C64" s="49" t="s">
        <v>102</v>
      </c>
      <c r="D64" s="39" t="s">
        <v>40</v>
      </c>
      <c r="E64" s="39" t="s">
        <v>54</v>
      </c>
      <c r="F64" s="40" t="e">
        <f ca="1"/>
        <v>#NAME?</v>
      </c>
      <c r="G64" s="35" t="str">
        <f>C64</f>
        <v>Present informative articles to customers as applicable to a specific category of product/type of customer.</v>
      </c>
      <c r="H64" s="41">
        <f ca="1"/>
        <v>201</v>
      </c>
      <c r="I64" s="42"/>
      <c r="J64" s="42"/>
      <c r="K64" s="42"/>
      <c r="L64" s="42"/>
      <c r="M64" s="42"/>
      <c r="N64" s="42"/>
      <c r="O64" s="42"/>
      <c r="P64" s="42"/>
      <c r="Q64" s="42"/>
      <c r="R64" s="42"/>
      <c r="S64" s="42"/>
      <c r="T64" s="42"/>
      <c r="U64" s="42"/>
      <c r="V64" s="42"/>
      <c r="W64" s="42"/>
      <c r="X64" s="42"/>
      <c r="Y64" s="42"/>
      <c r="Z64" s="42"/>
      <c r="AA64" s="42"/>
      <c r="AB64" s="42"/>
      <c r="AC64" s="42"/>
    </row>
    <row r="65" spans="1:29" x14ac:dyDescent="0.25">
      <c r="A65" s="43" t="str">
        <f t="shared" si="0"/>
        <v/>
      </c>
      <c r="B65" s="38"/>
      <c r="C65" s="38"/>
      <c r="D65" s="39"/>
      <c r="E65" s="39"/>
      <c r="F65" s="40" t="str">
        <v/>
      </c>
      <c r="G65" s="35"/>
      <c r="H65" s="41" t="str">
        <f ca="1"/>
        <v/>
      </c>
      <c r="I65" s="42"/>
      <c r="J65" s="42"/>
      <c r="K65" s="42"/>
      <c r="L65" s="42"/>
      <c r="M65" s="42"/>
      <c r="N65" s="42"/>
      <c r="O65" s="42"/>
      <c r="P65" s="42"/>
      <c r="Q65" s="42"/>
      <c r="R65" s="42"/>
      <c r="S65" s="42"/>
      <c r="T65" s="42"/>
      <c r="U65" s="42"/>
      <c r="V65" s="42"/>
      <c r="W65" s="42"/>
      <c r="X65" s="42"/>
      <c r="Y65" s="42"/>
      <c r="Z65" s="42"/>
      <c r="AA65" s="42"/>
      <c r="AB65" s="42"/>
      <c r="AC65" s="42"/>
    </row>
    <row r="66" spans="1:29" x14ac:dyDescent="0.25">
      <c r="A66" s="43" t="e">
        <f t="shared" ca="1" si="0"/>
        <v>#NAME?</v>
      </c>
      <c r="B66" s="44" t="s">
        <v>103</v>
      </c>
      <c r="C66" s="49"/>
      <c r="D66" s="46" t="str">
        <f t="shared" ref="D66:D68" si="14">D$64</f>
        <v>Medium</v>
      </c>
      <c r="E66" s="39" t="s">
        <v>54</v>
      </c>
      <c r="F66" s="40" t="e">
        <f ca="1"/>
        <v>#NAME?</v>
      </c>
      <c r="G66" s="35" t="e">
        <f ca="1">"- "&amp;_xludf.textjoin("
- ",TRUE,C67:C69)</f>
        <v>#NAME?</v>
      </c>
      <c r="H66" s="41" t="e">
        <f ca="1"/>
        <v>#NAME?</v>
      </c>
      <c r="I66" s="42"/>
      <c r="J66" s="42"/>
      <c r="K66" s="42"/>
      <c r="L66" s="42"/>
      <c r="M66" s="42"/>
      <c r="N66" s="42"/>
      <c r="O66" s="42"/>
      <c r="P66" s="42"/>
      <c r="Q66" s="42"/>
      <c r="R66" s="42"/>
      <c r="S66" s="42"/>
      <c r="T66" s="42"/>
      <c r="U66" s="42"/>
      <c r="V66" s="42"/>
      <c r="W66" s="42"/>
      <c r="X66" s="42"/>
      <c r="Y66" s="42"/>
      <c r="Z66" s="42"/>
      <c r="AA66" s="42"/>
      <c r="AB66" s="42"/>
      <c r="AC66" s="42"/>
    </row>
    <row r="67" spans="1:29" x14ac:dyDescent="0.25">
      <c r="A67" s="43" t="str">
        <f t="shared" si="0"/>
        <v/>
      </c>
      <c r="B67" s="38"/>
      <c r="C67" s="38" t="s">
        <v>104</v>
      </c>
      <c r="D67" s="46" t="str">
        <f t="shared" si="14"/>
        <v>Medium</v>
      </c>
      <c r="E67" s="46" t="str">
        <f t="shared" ref="E67:E68" si="15">E$66</f>
        <v>Phase 1</v>
      </c>
      <c r="F67" s="40" t="str">
        <v/>
      </c>
      <c r="G67" s="35"/>
      <c r="H67" s="41" t="str">
        <f ca="1"/>
        <v/>
      </c>
      <c r="I67" s="42"/>
      <c r="J67" s="42"/>
      <c r="K67" s="42"/>
      <c r="L67" s="42"/>
      <c r="M67" s="42"/>
      <c r="N67" s="42"/>
      <c r="O67" s="42"/>
      <c r="P67" s="42"/>
      <c r="Q67" s="42"/>
      <c r="R67" s="42"/>
      <c r="S67" s="42"/>
      <c r="T67" s="42"/>
      <c r="U67" s="42"/>
      <c r="V67" s="42"/>
      <c r="W67" s="42"/>
      <c r="X67" s="42"/>
      <c r="Y67" s="42"/>
      <c r="Z67" s="42"/>
      <c r="AA67" s="42"/>
      <c r="AB67" s="42"/>
      <c r="AC67" s="42"/>
    </row>
    <row r="68" spans="1:29" x14ac:dyDescent="0.25">
      <c r="A68" s="43" t="str">
        <f t="shared" si="0"/>
        <v/>
      </c>
      <c r="B68" s="38"/>
      <c r="C68" s="38" t="s">
        <v>105</v>
      </c>
      <c r="D68" s="46" t="str">
        <f t="shared" si="14"/>
        <v>Medium</v>
      </c>
      <c r="E68" s="46" t="str">
        <f t="shared" si="15"/>
        <v>Phase 1</v>
      </c>
      <c r="F68" s="40" t="str">
        <v/>
      </c>
      <c r="G68" s="35"/>
      <c r="H68" s="41" t="str">
        <f ca="1"/>
        <v/>
      </c>
      <c r="I68" s="42"/>
      <c r="J68" s="42"/>
      <c r="K68" s="42"/>
      <c r="L68" s="42"/>
      <c r="M68" s="42"/>
      <c r="N68" s="42"/>
      <c r="O68" s="42"/>
      <c r="P68" s="42"/>
      <c r="Q68" s="42"/>
      <c r="R68" s="42"/>
      <c r="S68" s="42"/>
      <c r="T68" s="42"/>
      <c r="U68" s="42"/>
      <c r="V68" s="42"/>
      <c r="W68" s="42"/>
      <c r="X68" s="42"/>
      <c r="Y68" s="42"/>
      <c r="Z68" s="42"/>
      <c r="AA68" s="42"/>
      <c r="AB68" s="42"/>
      <c r="AC68" s="42"/>
    </row>
    <row r="69" spans="1:29" x14ac:dyDescent="0.25">
      <c r="A69" s="43" t="str">
        <f t="shared" si="0"/>
        <v/>
      </c>
      <c r="B69" s="38"/>
      <c r="C69" s="38"/>
      <c r="D69" s="39"/>
      <c r="E69" s="46"/>
      <c r="F69" s="40" t="str">
        <v/>
      </c>
      <c r="G69" s="35"/>
      <c r="H69" s="41" t="str">
        <f ca="1"/>
        <v/>
      </c>
      <c r="I69" s="42"/>
      <c r="J69" s="42"/>
      <c r="K69" s="42"/>
      <c r="L69" s="42"/>
      <c r="M69" s="42"/>
      <c r="N69" s="42"/>
      <c r="O69" s="42"/>
      <c r="P69" s="42"/>
      <c r="Q69" s="42"/>
      <c r="R69" s="42"/>
      <c r="S69" s="42"/>
      <c r="T69" s="42"/>
      <c r="U69" s="42"/>
      <c r="V69" s="42"/>
      <c r="W69" s="42"/>
      <c r="X69" s="42"/>
      <c r="Y69" s="42"/>
      <c r="Z69" s="42"/>
      <c r="AA69" s="42"/>
      <c r="AB69" s="42"/>
      <c r="AC69" s="42"/>
    </row>
    <row r="70" spans="1:29" x14ac:dyDescent="0.25">
      <c r="A70" s="43" t="str">
        <f t="shared" si="0"/>
        <v/>
      </c>
      <c r="B70" s="38"/>
      <c r="C70" s="38"/>
      <c r="D70" s="39"/>
      <c r="E70" s="46"/>
      <c r="F70" s="40" t="str">
        <v/>
      </c>
      <c r="G70" s="35"/>
      <c r="H70" s="41" t="str">
        <f ca="1"/>
        <v/>
      </c>
      <c r="I70" s="42"/>
      <c r="J70" s="42"/>
      <c r="K70" s="42"/>
      <c r="L70" s="42"/>
      <c r="M70" s="42"/>
      <c r="N70" s="42"/>
      <c r="O70" s="42"/>
      <c r="P70" s="42"/>
      <c r="Q70" s="42"/>
      <c r="R70" s="42"/>
      <c r="S70" s="42"/>
      <c r="T70" s="42"/>
      <c r="U70" s="42"/>
      <c r="V70" s="42"/>
      <c r="W70" s="42"/>
      <c r="X70" s="42"/>
      <c r="Y70" s="42"/>
      <c r="Z70" s="42"/>
      <c r="AA70" s="42"/>
      <c r="AB70" s="42"/>
      <c r="AC70" s="42"/>
    </row>
    <row r="71" spans="1:29" x14ac:dyDescent="0.25">
      <c r="A71" s="43" t="e">
        <f t="shared" ca="1" si="0"/>
        <v>#NAME?</v>
      </c>
      <c r="B71" s="44" t="s">
        <v>106</v>
      </c>
      <c r="C71" s="49"/>
      <c r="D71" s="39" t="s">
        <v>37</v>
      </c>
      <c r="E71" s="39" t="s">
        <v>54</v>
      </c>
      <c r="F71" s="40" t="e">
        <f ca="1"/>
        <v>#NAME?</v>
      </c>
      <c r="G71" s="35" t="e">
        <f ca="1">B71&amp;" "&amp; _xludf.textjoin(", ",TRUE,C72:C78)</f>
        <v>#NAME?</v>
      </c>
      <c r="H71" s="41" t="e">
        <f ca="1"/>
        <v>#NAME?</v>
      </c>
      <c r="I71" s="42"/>
      <c r="J71" s="42"/>
      <c r="K71" s="42"/>
      <c r="L71" s="42"/>
      <c r="M71" s="42"/>
      <c r="N71" s="42"/>
      <c r="O71" s="42"/>
      <c r="P71" s="42"/>
      <c r="Q71" s="42"/>
      <c r="R71" s="42"/>
      <c r="S71" s="42"/>
      <c r="T71" s="42"/>
      <c r="U71" s="42"/>
      <c r="V71" s="42"/>
      <c r="W71" s="42"/>
      <c r="X71" s="42"/>
      <c r="Y71" s="42"/>
      <c r="Z71" s="42"/>
      <c r="AA71" s="42"/>
      <c r="AB71" s="42"/>
      <c r="AC71" s="42"/>
    </row>
    <row r="72" spans="1:29" x14ac:dyDescent="0.25">
      <c r="A72" s="43" t="str">
        <f t="shared" si="0"/>
        <v/>
      </c>
      <c r="B72" s="38"/>
      <c r="C72" s="38" t="s">
        <v>107</v>
      </c>
      <c r="D72" s="46" t="str">
        <f t="shared" ref="D72:E72" si="16">D$71</f>
        <v>Critical</v>
      </c>
      <c r="E72" s="46" t="str">
        <f t="shared" si="16"/>
        <v>Phase 1</v>
      </c>
      <c r="F72" s="40" t="str">
        <v/>
      </c>
      <c r="G72" s="35"/>
      <c r="H72" s="41" t="str">
        <f ca="1"/>
        <v/>
      </c>
      <c r="I72" s="42"/>
      <c r="J72" s="42"/>
      <c r="K72" s="42"/>
      <c r="L72" s="42"/>
      <c r="M72" s="42"/>
      <c r="N72" s="42"/>
      <c r="O72" s="42"/>
      <c r="P72" s="42"/>
      <c r="Q72" s="42"/>
      <c r="R72" s="42"/>
      <c r="S72" s="42"/>
      <c r="T72" s="42"/>
      <c r="U72" s="42"/>
      <c r="V72" s="42"/>
      <c r="W72" s="42"/>
      <c r="X72" s="42"/>
      <c r="Y72" s="42"/>
      <c r="Z72" s="42"/>
      <c r="AA72" s="42"/>
      <c r="AB72" s="42"/>
      <c r="AC72" s="42"/>
    </row>
    <row r="73" spans="1:29" x14ac:dyDescent="0.25">
      <c r="A73" s="43" t="str">
        <f t="shared" si="0"/>
        <v/>
      </c>
      <c r="B73" s="38"/>
      <c r="C73" s="38" t="s">
        <v>108</v>
      </c>
      <c r="D73" s="46" t="str">
        <f t="shared" ref="D73:E73" si="17">D$71</f>
        <v>Critical</v>
      </c>
      <c r="E73" s="46" t="str">
        <f t="shared" si="17"/>
        <v>Phase 1</v>
      </c>
      <c r="F73" s="40" t="str">
        <v/>
      </c>
      <c r="G73" s="35"/>
      <c r="H73" s="41" t="str">
        <f ca="1"/>
        <v/>
      </c>
      <c r="I73" s="42"/>
      <c r="J73" s="42"/>
      <c r="K73" s="42"/>
      <c r="L73" s="42"/>
      <c r="M73" s="42"/>
      <c r="N73" s="42"/>
      <c r="O73" s="42"/>
      <c r="P73" s="42"/>
      <c r="Q73" s="42"/>
      <c r="R73" s="42"/>
      <c r="S73" s="42"/>
      <c r="T73" s="42"/>
      <c r="U73" s="42"/>
      <c r="V73" s="42"/>
      <c r="W73" s="42"/>
      <c r="X73" s="42"/>
      <c r="Y73" s="42"/>
      <c r="Z73" s="42"/>
      <c r="AA73" s="42"/>
      <c r="AB73" s="42"/>
      <c r="AC73" s="42"/>
    </row>
    <row r="74" spans="1:29" x14ac:dyDescent="0.25">
      <c r="A74" s="43" t="str">
        <f t="shared" si="0"/>
        <v/>
      </c>
      <c r="B74" s="38"/>
      <c r="C74" s="38" t="s">
        <v>109</v>
      </c>
      <c r="D74" s="46" t="str">
        <f t="shared" ref="D74:E74" si="18">D$71</f>
        <v>Critical</v>
      </c>
      <c r="E74" s="46" t="str">
        <f t="shared" si="18"/>
        <v>Phase 1</v>
      </c>
      <c r="F74" s="40" t="str">
        <v/>
      </c>
      <c r="G74" s="35"/>
      <c r="H74" s="41" t="str">
        <f ca="1"/>
        <v/>
      </c>
      <c r="I74" s="42"/>
      <c r="J74" s="42"/>
      <c r="K74" s="42"/>
      <c r="L74" s="42"/>
      <c r="M74" s="42"/>
      <c r="N74" s="42"/>
      <c r="O74" s="42"/>
      <c r="P74" s="42"/>
      <c r="Q74" s="42"/>
      <c r="R74" s="42"/>
      <c r="S74" s="42"/>
      <c r="T74" s="42"/>
      <c r="U74" s="42"/>
      <c r="V74" s="42"/>
      <c r="W74" s="42"/>
      <c r="X74" s="42"/>
      <c r="Y74" s="42"/>
      <c r="Z74" s="42"/>
      <c r="AA74" s="42"/>
      <c r="AB74" s="42"/>
      <c r="AC74" s="42"/>
    </row>
    <row r="75" spans="1:29" x14ac:dyDescent="0.25">
      <c r="A75" s="43" t="str">
        <f t="shared" si="0"/>
        <v/>
      </c>
      <c r="B75" s="38"/>
      <c r="C75" s="38" t="s">
        <v>110</v>
      </c>
      <c r="D75" s="46" t="str">
        <f t="shared" ref="D75:E75" si="19">D$71</f>
        <v>Critical</v>
      </c>
      <c r="E75" s="46" t="str">
        <f t="shared" si="19"/>
        <v>Phase 1</v>
      </c>
      <c r="F75" s="40" t="str">
        <v/>
      </c>
      <c r="G75" s="35"/>
      <c r="H75" s="41" t="str">
        <f ca="1"/>
        <v/>
      </c>
      <c r="I75" s="42"/>
      <c r="J75" s="42"/>
      <c r="K75" s="42"/>
      <c r="L75" s="42"/>
      <c r="M75" s="42"/>
      <c r="N75" s="42"/>
      <c r="O75" s="42"/>
      <c r="P75" s="42"/>
      <c r="Q75" s="42"/>
      <c r="R75" s="42"/>
      <c r="S75" s="42"/>
      <c r="T75" s="42"/>
      <c r="U75" s="42"/>
      <c r="V75" s="42"/>
      <c r="W75" s="42"/>
      <c r="X75" s="42"/>
      <c r="Y75" s="42"/>
      <c r="Z75" s="42"/>
      <c r="AA75" s="42"/>
      <c r="AB75" s="42"/>
      <c r="AC75" s="42"/>
    </row>
    <row r="76" spans="1:29" x14ac:dyDescent="0.25">
      <c r="A76" s="43" t="str">
        <f t="shared" si="0"/>
        <v/>
      </c>
      <c r="B76" s="38"/>
      <c r="C76" s="38" t="s">
        <v>111</v>
      </c>
      <c r="D76" s="46" t="str">
        <f t="shared" ref="D76:E76" si="20">D$71</f>
        <v>Critical</v>
      </c>
      <c r="E76" s="46" t="str">
        <f t="shared" si="20"/>
        <v>Phase 1</v>
      </c>
      <c r="F76" s="40" t="str">
        <v/>
      </c>
      <c r="G76" s="35"/>
      <c r="H76" s="41" t="str">
        <f ca="1"/>
        <v/>
      </c>
      <c r="I76" s="42"/>
      <c r="J76" s="42"/>
      <c r="K76" s="42"/>
      <c r="L76" s="42"/>
      <c r="M76" s="42"/>
      <c r="N76" s="42"/>
      <c r="O76" s="42"/>
      <c r="P76" s="42"/>
      <c r="Q76" s="42"/>
      <c r="R76" s="42"/>
      <c r="S76" s="42"/>
      <c r="T76" s="42"/>
      <c r="U76" s="42"/>
      <c r="V76" s="42"/>
      <c r="W76" s="42"/>
      <c r="X76" s="42"/>
      <c r="Y76" s="42"/>
      <c r="Z76" s="42"/>
      <c r="AA76" s="42"/>
      <c r="AB76" s="42"/>
      <c r="AC76" s="42"/>
    </row>
    <row r="77" spans="1:29" x14ac:dyDescent="0.25">
      <c r="A77" s="43" t="str">
        <f t="shared" si="0"/>
        <v/>
      </c>
      <c r="B77" s="38"/>
      <c r="C77" s="38" t="s">
        <v>112</v>
      </c>
      <c r="D77" s="46" t="str">
        <f t="shared" ref="D77:E77" si="21">D$71</f>
        <v>Critical</v>
      </c>
      <c r="E77" s="46" t="str">
        <f t="shared" si="21"/>
        <v>Phase 1</v>
      </c>
      <c r="F77" s="40" t="str">
        <v/>
      </c>
      <c r="G77" s="35"/>
      <c r="H77" s="41" t="str">
        <f ca="1"/>
        <v/>
      </c>
      <c r="I77" s="42"/>
      <c r="J77" s="42"/>
      <c r="K77" s="42"/>
      <c r="L77" s="42"/>
      <c r="M77" s="42"/>
      <c r="N77" s="42"/>
      <c r="O77" s="42"/>
      <c r="P77" s="42"/>
      <c r="Q77" s="42"/>
      <c r="R77" s="42"/>
      <c r="S77" s="42"/>
      <c r="T77" s="42"/>
      <c r="U77" s="42"/>
      <c r="V77" s="42"/>
      <c r="W77" s="42"/>
      <c r="X77" s="42"/>
      <c r="Y77" s="42"/>
      <c r="Z77" s="42"/>
      <c r="AA77" s="42"/>
      <c r="AB77" s="42"/>
      <c r="AC77" s="42"/>
    </row>
    <row r="78" spans="1:29" x14ac:dyDescent="0.25">
      <c r="A78" s="43" t="str">
        <f t="shared" si="0"/>
        <v/>
      </c>
      <c r="B78" s="38"/>
      <c r="C78" s="38"/>
      <c r="D78" s="39"/>
      <c r="E78" s="39"/>
      <c r="F78" s="40" t="str">
        <v/>
      </c>
      <c r="G78" s="35"/>
      <c r="H78" s="41" t="str">
        <f ca="1"/>
        <v/>
      </c>
      <c r="I78" s="42"/>
      <c r="J78" s="42"/>
      <c r="K78" s="42"/>
      <c r="L78" s="42"/>
      <c r="M78" s="42"/>
      <c r="N78" s="42"/>
      <c r="O78" s="42"/>
      <c r="P78" s="42"/>
      <c r="Q78" s="42"/>
      <c r="R78" s="42"/>
      <c r="S78" s="42"/>
      <c r="T78" s="42"/>
      <c r="U78" s="42"/>
      <c r="V78" s="42"/>
      <c r="W78" s="42"/>
      <c r="X78" s="42"/>
      <c r="Y78" s="42"/>
      <c r="Z78" s="42"/>
      <c r="AA78" s="42"/>
      <c r="AB78" s="42"/>
      <c r="AC78" s="42"/>
    </row>
    <row r="79" spans="1:29" x14ac:dyDescent="0.25">
      <c r="A79" s="48" t="e">
        <f t="shared" ca="1" si="0"/>
        <v>#NAME?</v>
      </c>
      <c r="B79" s="37" t="s">
        <v>113</v>
      </c>
      <c r="C79" s="38"/>
      <c r="D79" s="39" t="s">
        <v>37</v>
      </c>
      <c r="E79" s="39" t="s">
        <v>54</v>
      </c>
      <c r="F79" s="40" t="e">
        <f ca="1"/>
        <v>#NAME?</v>
      </c>
      <c r="G79" s="35"/>
      <c r="H79" s="41" t="str">
        <f ca="1"/>
        <v/>
      </c>
      <c r="I79" s="42"/>
      <c r="J79" s="42"/>
      <c r="K79" s="42"/>
      <c r="L79" s="42"/>
      <c r="M79" s="42"/>
      <c r="N79" s="42"/>
      <c r="O79" s="42"/>
      <c r="P79" s="42"/>
      <c r="Q79" s="42"/>
      <c r="R79" s="42"/>
      <c r="S79" s="42"/>
      <c r="T79" s="42"/>
      <c r="U79" s="42"/>
      <c r="V79" s="42"/>
      <c r="W79" s="42"/>
      <c r="X79" s="42"/>
      <c r="Y79" s="42"/>
      <c r="Z79" s="42"/>
      <c r="AA79" s="42"/>
      <c r="AB79" s="42"/>
      <c r="AC79" s="42"/>
    </row>
    <row r="80" spans="1:29" x14ac:dyDescent="0.25">
      <c r="A80" s="43" t="e">
        <f t="shared" ca="1" si="0"/>
        <v>#NAME?</v>
      </c>
      <c r="B80" s="44" t="s">
        <v>113</v>
      </c>
      <c r="C80" s="45" t="s">
        <v>114</v>
      </c>
      <c r="D80" s="39" t="s">
        <v>37</v>
      </c>
      <c r="E80" s="39" t="s">
        <v>54</v>
      </c>
      <c r="F80" s="40" t="e">
        <f ca="1"/>
        <v>#NAME?</v>
      </c>
      <c r="G80" s="35" t="str">
        <f>C80</f>
        <v>Contract the supplier to fulfill customer orders and receive returned products directly.</v>
      </c>
      <c r="H80" s="41">
        <f ca="1"/>
        <v>201</v>
      </c>
      <c r="I80" s="42"/>
      <c r="J80" s="42"/>
      <c r="K80" s="42"/>
      <c r="L80" s="42"/>
      <c r="M80" s="42"/>
      <c r="N80" s="42"/>
      <c r="O80" s="42"/>
      <c r="P80" s="42"/>
      <c r="Q80" s="42"/>
      <c r="R80" s="42"/>
      <c r="S80" s="42"/>
      <c r="T80" s="42"/>
      <c r="U80" s="42"/>
      <c r="V80" s="42"/>
      <c r="W80" s="42"/>
      <c r="X80" s="42"/>
      <c r="Y80" s="42"/>
      <c r="Z80" s="42"/>
      <c r="AA80" s="42"/>
      <c r="AB80" s="42"/>
      <c r="AC80" s="42"/>
    </row>
    <row r="81" spans="1:29" x14ac:dyDescent="0.25">
      <c r="A81" s="43" t="str">
        <f t="shared" si="0"/>
        <v/>
      </c>
      <c r="B81" s="38"/>
      <c r="C81" s="38"/>
      <c r="D81" s="39"/>
      <c r="E81" s="39"/>
      <c r="F81" s="40" t="str">
        <v/>
      </c>
      <c r="G81" s="35"/>
      <c r="H81" s="41" t="str">
        <f ca="1"/>
        <v/>
      </c>
      <c r="I81" s="42"/>
      <c r="J81" s="42"/>
      <c r="K81" s="42"/>
      <c r="L81" s="42"/>
      <c r="M81" s="42"/>
      <c r="N81" s="42"/>
      <c r="O81" s="42"/>
      <c r="P81" s="42"/>
      <c r="Q81" s="42"/>
      <c r="R81" s="42"/>
      <c r="S81" s="42"/>
      <c r="T81" s="42"/>
      <c r="U81" s="42"/>
      <c r="V81" s="42"/>
      <c r="W81" s="42"/>
      <c r="X81" s="42"/>
      <c r="Y81" s="42"/>
      <c r="Z81" s="42"/>
      <c r="AA81" s="42"/>
      <c r="AB81" s="42"/>
      <c r="AC81" s="42"/>
    </row>
    <row r="82" spans="1:29" x14ac:dyDescent="0.25">
      <c r="A82" s="43" t="e">
        <f t="shared" ca="1" si="0"/>
        <v>#NAME?</v>
      </c>
      <c r="B82" s="44" t="s">
        <v>115</v>
      </c>
      <c r="C82" s="45" t="s">
        <v>116</v>
      </c>
      <c r="D82" s="39" t="s">
        <v>37</v>
      </c>
      <c r="E82" s="39" t="s">
        <v>54</v>
      </c>
      <c r="F82" s="40" t="e">
        <f ca="1"/>
        <v>#NAME?</v>
      </c>
      <c r="G82" s="35" t="str">
        <f>C82</f>
        <v>The upplier will provide real-time (interfaced) updates of stock availability changes.</v>
      </c>
      <c r="H82" s="41">
        <f ca="1"/>
        <v>201</v>
      </c>
      <c r="I82" s="42"/>
      <c r="J82" s="42"/>
      <c r="K82" s="42"/>
      <c r="L82" s="42"/>
      <c r="M82" s="42"/>
      <c r="N82" s="42"/>
      <c r="O82" s="42"/>
      <c r="P82" s="42"/>
      <c r="Q82" s="42"/>
      <c r="R82" s="42"/>
      <c r="S82" s="42"/>
      <c r="T82" s="42"/>
      <c r="U82" s="42"/>
      <c r="V82" s="42"/>
      <c r="W82" s="42"/>
      <c r="X82" s="42"/>
      <c r="Y82" s="42"/>
      <c r="Z82" s="42"/>
      <c r="AA82" s="42"/>
      <c r="AB82" s="42"/>
      <c r="AC82" s="42"/>
    </row>
    <row r="83" spans="1:29" x14ac:dyDescent="0.25">
      <c r="A83" s="43" t="str">
        <f t="shared" si="0"/>
        <v/>
      </c>
      <c r="B83" s="38"/>
      <c r="C83" s="38"/>
      <c r="D83" s="39"/>
      <c r="E83" s="39"/>
      <c r="F83" s="40" t="str">
        <v/>
      </c>
      <c r="G83" s="35"/>
      <c r="H83" s="41" t="str">
        <f ca="1"/>
        <v/>
      </c>
      <c r="I83" s="42"/>
      <c r="J83" s="42"/>
      <c r="K83" s="42"/>
      <c r="L83" s="42"/>
      <c r="M83" s="42"/>
      <c r="N83" s="42"/>
      <c r="O83" s="42"/>
      <c r="P83" s="42"/>
      <c r="Q83" s="42"/>
      <c r="R83" s="42"/>
      <c r="S83" s="42"/>
      <c r="T83" s="42"/>
      <c r="U83" s="42"/>
      <c r="V83" s="42"/>
      <c r="W83" s="42"/>
      <c r="X83" s="42"/>
      <c r="Y83" s="42"/>
      <c r="Z83" s="42"/>
      <c r="AA83" s="42"/>
      <c r="AB83" s="42"/>
      <c r="AC83" s="42"/>
    </row>
    <row r="84" spans="1:29" x14ac:dyDescent="0.25">
      <c r="A84" s="43" t="e">
        <f t="shared" ca="1" si="0"/>
        <v>#NAME?</v>
      </c>
      <c r="B84" s="44" t="s">
        <v>117</v>
      </c>
      <c r="C84" s="45" t="s">
        <v>118</v>
      </c>
      <c r="D84" s="39" t="s">
        <v>37</v>
      </c>
      <c r="E84" s="39" t="s">
        <v>54</v>
      </c>
      <c r="F84" s="40" t="e">
        <f ca="1"/>
        <v>#NAME?</v>
      </c>
      <c r="G84" s="35" t="str">
        <f>C84</f>
        <v>Centrally interface supplier orders with the supplier, who will manage each order from their across their warehouses/depots..</v>
      </c>
      <c r="H84" s="41">
        <f ca="1"/>
        <v>201</v>
      </c>
      <c r="I84" s="42"/>
      <c r="J84" s="42"/>
      <c r="K84" s="42"/>
      <c r="L84" s="42"/>
      <c r="M84" s="42"/>
      <c r="N84" s="42"/>
      <c r="O84" s="42"/>
      <c r="P84" s="42"/>
      <c r="Q84" s="42"/>
      <c r="R84" s="42"/>
      <c r="S84" s="42"/>
      <c r="T84" s="42"/>
      <c r="U84" s="42"/>
      <c r="V84" s="42"/>
      <c r="W84" s="42"/>
      <c r="X84" s="42"/>
      <c r="Y84" s="42"/>
      <c r="Z84" s="42"/>
      <c r="AA84" s="42"/>
      <c r="AB84" s="42"/>
      <c r="AC84" s="42"/>
    </row>
    <row r="85" spans="1:29" x14ac:dyDescent="0.25">
      <c r="A85" s="43" t="str">
        <f t="shared" si="0"/>
        <v/>
      </c>
      <c r="B85" s="38"/>
      <c r="C85" s="38"/>
      <c r="D85" s="39"/>
      <c r="E85" s="39"/>
      <c r="F85" s="40" t="str">
        <v/>
      </c>
      <c r="G85" s="35"/>
      <c r="H85" s="41" t="str">
        <f ca="1"/>
        <v/>
      </c>
      <c r="I85" s="42"/>
      <c r="J85" s="42"/>
      <c r="K85" s="42"/>
      <c r="L85" s="42"/>
      <c r="M85" s="42"/>
      <c r="N85" s="42"/>
      <c r="O85" s="42"/>
      <c r="P85" s="42"/>
      <c r="Q85" s="42"/>
      <c r="R85" s="42"/>
      <c r="S85" s="42"/>
      <c r="T85" s="42"/>
      <c r="U85" s="42"/>
      <c r="V85" s="42"/>
      <c r="W85" s="42"/>
      <c r="X85" s="42"/>
      <c r="Y85" s="42"/>
      <c r="Z85" s="42"/>
      <c r="AA85" s="42"/>
      <c r="AB85" s="42"/>
      <c r="AC85" s="42"/>
    </row>
    <row r="86" spans="1:29" x14ac:dyDescent="0.25">
      <c r="A86" s="43" t="e">
        <f t="shared" ca="1" si="0"/>
        <v>#NAME?</v>
      </c>
      <c r="B86" s="44" t="s">
        <v>119</v>
      </c>
      <c r="C86" s="45" t="s">
        <v>120</v>
      </c>
      <c r="D86" s="39" t="s">
        <v>37</v>
      </c>
      <c r="E86" s="39" t="s">
        <v>54</v>
      </c>
      <c r="F86" s="40" t="e">
        <f ca="1"/>
        <v>#NAME?</v>
      </c>
      <c r="G86" s="35" t="str">
        <f>C86</f>
        <v>Inform the business of the progress to fulfill a supplier order.</v>
      </c>
      <c r="H86" s="41">
        <f ca="1"/>
        <v>201</v>
      </c>
      <c r="I86" s="42"/>
      <c r="J86" s="42"/>
      <c r="K86" s="42"/>
      <c r="L86" s="42"/>
      <c r="M86" s="42"/>
      <c r="N86" s="42"/>
      <c r="O86" s="42"/>
      <c r="P86" s="42"/>
      <c r="Q86" s="42"/>
      <c r="R86" s="42"/>
      <c r="S86" s="42"/>
      <c r="T86" s="42"/>
      <c r="U86" s="42"/>
      <c r="V86" s="42"/>
      <c r="W86" s="42"/>
      <c r="X86" s="42"/>
      <c r="Y86" s="42"/>
      <c r="Z86" s="42"/>
      <c r="AA86" s="42"/>
      <c r="AB86" s="42"/>
      <c r="AC86" s="42"/>
    </row>
    <row r="87" spans="1:29" x14ac:dyDescent="0.25">
      <c r="A87" s="43" t="str">
        <f t="shared" si="0"/>
        <v/>
      </c>
      <c r="B87" s="38"/>
      <c r="C87" s="38"/>
      <c r="D87" s="39"/>
      <c r="E87" s="39"/>
      <c r="F87" s="40" t="str">
        <v/>
      </c>
      <c r="G87" s="35"/>
      <c r="H87" s="41" t="str">
        <f ca="1"/>
        <v/>
      </c>
      <c r="I87" s="42"/>
      <c r="J87" s="42"/>
      <c r="K87" s="42"/>
      <c r="L87" s="42"/>
      <c r="M87" s="42"/>
      <c r="N87" s="42"/>
      <c r="O87" s="42"/>
      <c r="P87" s="42"/>
      <c r="Q87" s="42"/>
      <c r="R87" s="42"/>
      <c r="S87" s="42"/>
      <c r="T87" s="42"/>
      <c r="U87" s="42"/>
      <c r="V87" s="42"/>
      <c r="W87" s="42"/>
      <c r="X87" s="42"/>
      <c r="Y87" s="42"/>
      <c r="Z87" s="42"/>
      <c r="AA87" s="42"/>
      <c r="AB87" s="42"/>
      <c r="AC87" s="42"/>
    </row>
    <row r="88" spans="1:29" x14ac:dyDescent="0.25">
      <c r="A88" s="43" t="e">
        <f t="shared" ca="1" si="0"/>
        <v>#NAME?</v>
      </c>
      <c r="B88" s="44" t="s">
        <v>121</v>
      </c>
      <c r="C88" s="45" t="s">
        <v>122</v>
      </c>
      <c r="D88" s="39" t="s">
        <v>37</v>
      </c>
      <c r="E88" s="39" t="s">
        <v>54</v>
      </c>
      <c r="F88" s="40" t="e">
        <f ca="1"/>
        <v>#NAME?</v>
      </c>
      <c r="G88" s="35" t="str">
        <f>C88</f>
        <v>Supplier direcly receives a returned product from a customer.</v>
      </c>
      <c r="H88" s="41">
        <f ca="1"/>
        <v>201</v>
      </c>
      <c r="I88" s="42"/>
      <c r="J88" s="42"/>
      <c r="K88" s="42"/>
      <c r="L88" s="42"/>
      <c r="M88" s="42"/>
      <c r="N88" s="42"/>
      <c r="O88" s="42"/>
      <c r="P88" s="42"/>
      <c r="Q88" s="42"/>
      <c r="R88" s="42"/>
      <c r="S88" s="42"/>
      <c r="T88" s="42"/>
      <c r="U88" s="42"/>
      <c r="V88" s="42"/>
      <c r="W88" s="42"/>
      <c r="X88" s="42"/>
      <c r="Y88" s="42"/>
      <c r="Z88" s="42"/>
      <c r="AA88" s="42"/>
      <c r="AB88" s="42"/>
      <c r="AC88" s="42"/>
    </row>
    <row r="89" spans="1:29" x14ac:dyDescent="0.25">
      <c r="A89" s="43" t="str">
        <f t="shared" si="0"/>
        <v/>
      </c>
      <c r="B89" s="38"/>
      <c r="C89" s="38"/>
      <c r="D89" s="39"/>
      <c r="E89" s="39"/>
      <c r="F89" s="40" t="str">
        <v/>
      </c>
      <c r="G89" s="35"/>
      <c r="H89" s="41" t="str">
        <f ca="1"/>
        <v/>
      </c>
      <c r="I89" s="42"/>
      <c r="J89" s="42"/>
      <c r="K89" s="42"/>
      <c r="L89" s="42"/>
      <c r="M89" s="42"/>
      <c r="N89" s="42"/>
      <c r="O89" s="42"/>
      <c r="P89" s="42"/>
      <c r="Q89" s="42"/>
      <c r="R89" s="42"/>
      <c r="S89" s="42"/>
      <c r="T89" s="42"/>
      <c r="U89" s="42"/>
      <c r="V89" s="42"/>
      <c r="W89" s="42"/>
      <c r="X89" s="42"/>
      <c r="Y89" s="42"/>
      <c r="Z89" s="42"/>
      <c r="AA89" s="42"/>
      <c r="AB89" s="42"/>
      <c r="AC89" s="42"/>
    </row>
    <row r="90" spans="1:29" x14ac:dyDescent="0.25">
      <c r="A90" s="43" t="e">
        <f t="shared" ca="1" si="0"/>
        <v>#NAME?</v>
      </c>
      <c r="B90" s="44" t="s">
        <v>123</v>
      </c>
      <c r="C90" s="45" t="s">
        <v>124</v>
      </c>
      <c r="D90" s="39" t="s">
        <v>37</v>
      </c>
      <c r="E90" s="39" t="s">
        <v>54</v>
      </c>
      <c r="F90" s="40" t="e">
        <f ca="1"/>
        <v>#NAME?</v>
      </c>
      <c r="G90" s="35" t="str">
        <f>C90</f>
        <v>The supplier will provide real-time (interfaced) information updates of key supplier order status changes.</v>
      </c>
      <c r="H90" s="41">
        <f ca="1"/>
        <v>201</v>
      </c>
      <c r="I90" s="42"/>
      <c r="J90" s="42"/>
      <c r="K90" s="42"/>
      <c r="L90" s="42"/>
      <c r="M90" s="42"/>
      <c r="N90" s="42"/>
      <c r="O90" s="42"/>
      <c r="P90" s="42"/>
      <c r="Q90" s="42"/>
      <c r="R90" s="42"/>
      <c r="S90" s="42"/>
      <c r="T90" s="42"/>
      <c r="U90" s="42"/>
      <c r="V90" s="42"/>
      <c r="W90" s="42"/>
      <c r="X90" s="42"/>
      <c r="Y90" s="42"/>
      <c r="Z90" s="42"/>
      <c r="AA90" s="42"/>
      <c r="AB90" s="42"/>
      <c r="AC90" s="42"/>
    </row>
    <row r="91" spans="1:29" x14ac:dyDescent="0.25">
      <c r="A91" s="43" t="str">
        <f t="shared" si="0"/>
        <v/>
      </c>
      <c r="B91" s="38"/>
      <c r="C91" s="38"/>
      <c r="D91" s="39"/>
      <c r="E91" s="39"/>
      <c r="F91" s="40" t="str">
        <v/>
      </c>
      <c r="G91" s="35"/>
      <c r="H91" s="41" t="str">
        <f ca="1"/>
        <v/>
      </c>
      <c r="I91" s="42"/>
      <c r="J91" s="42"/>
      <c r="K91" s="42"/>
      <c r="L91" s="42"/>
      <c r="M91" s="42"/>
      <c r="N91" s="42"/>
      <c r="O91" s="42"/>
      <c r="P91" s="42"/>
      <c r="Q91" s="42"/>
      <c r="R91" s="42"/>
      <c r="S91" s="42"/>
      <c r="T91" s="42"/>
      <c r="U91" s="42"/>
      <c r="V91" s="42"/>
      <c r="W91" s="42"/>
      <c r="X91" s="42"/>
      <c r="Y91" s="42"/>
      <c r="Z91" s="42"/>
      <c r="AA91" s="42"/>
      <c r="AB91" s="42"/>
      <c r="AC91" s="42"/>
    </row>
    <row r="92" spans="1:29" x14ac:dyDescent="0.25">
      <c r="A92" s="43" t="str">
        <f t="shared" si="0"/>
        <v/>
      </c>
      <c r="B92" s="38"/>
      <c r="C92" s="38"/>
      <c r="D92" s="39"/>
      <c r="E92" s="39"/>
      <c r="F92" s="40" t="str">
        <v/>
      </c>
      <c r="G92" s="35"/>
      <c r="H92" s="41" t="str">
        <f ca="1"/>
        <v/>
      </c>
      <c r="I92" s="42"/>
      <c r="J92" s="42"/>
      <c r="K92" s="42"/>
      <c r="L92" s="42"/>
      <c r="M92" s="42"/>
      <c r="N92" s="42"/>
      <c r="O92" s="42"/>
      <c r="P92" s="42"/>
      <c r="Q92" s="42"/>
      <c r="R92" s="42"/>
      <c r="S92" s="42"/>
      <c r="T92" s="42"/>
      <c r="U92" s="42"/>
      <c r="V92" s="42"/>
      <c r="W92" s="42"/>
      <c r="X92" s="42"/>
      <c r="Y92" s="42"/>
      <c r="Z92" s="42"/>
      <c r="AA92" s="42"/>
      <c r="AB92" s="42"/>
      <c r="AC92" s="42"/>
    </row>
    <row r="93" spans="1:29" x14ac:dyDescent="0.25">
      <c r="A93" s="43" t="str">
        <f t="shared" si="0"/>
        <v/>
      </c>
      <c r="B93" s="38"/>
      <c r="C93" s="38"/>
      <c r="D93" s="39"/>
      <c r="E93" s="39"/>
      <c r="F93" s="40" t="str">
        <v/>
      </c>
      <c r="G93" s="35"/>
      <c r="H93" s="41" t="str">
        <f ca="1"/>
        <v/>
      </c>
      <c r="I93" s="42"/>
      <c r="J93" s="42"/>
      <c r="K93" s="42"/>
      <c r="L93" s="42"/>
      <c r="M93" s="42"/>
      <c r="N93" s="42"/>
      <c r="O93" s="42"/>
      <c r="P93" s="42"/>
      <c r="Q93" s="42"/>
      <c r="R93" s="42"/>
      <c r="S93" s="42"/>
      <c r="T93" s="42"/>
      <c r="U93" s="42"/>
      <c r="V93" s="42"/>
      <c r="W93" s="42"/>
      <c r="X93" s="42"/>
      <c r="Y93" s="42"/>
      <c r="Z93" s="42"/>
      <c r="AA93" s="42"/>
      <c r="AB93" s="42"/>
      <c r="AC93" s="42"/>
    </row>
    <row r="94" spans="1:29" x14ac:dyDescent="0.25">
      <c r="A94" s="48" t="e">
        <f t="shared" ca="1" si="0"/>
        <v>#NAME?</v>
      </c>
      <c r="B94" s="37" t="s">
        <v>125</v>
      </c>
      <c r="C94" s="38"/>
      <c r="D94" s="39" t="s">
        <v>37</v>
      </c>
      <c r="E94" s="39" t="s">
        <v>54</v>
      </c>
      <c r="F94" s="40" t="e">
        <f ca="1"/>
        <v>#NAME?</v>
      </c>
      <c r="G94" s="35"/>
      <c r="H94" s="41" t="str">
        <f ca="1"/>
        <v/>
      </c>
      <c r="I94" s="42"/>
      <c r="J94" s="42"/>
      <c r="K94" s="42"/>
      <c r="L94" s="42"/>
      <c r="M94" s="42"/>
      <c r="N94" s="42"/>
      <c r="O94" s="42"/>
      <c r="P94" s="42"/>
      <c r="Q94" s="42"/>
      <c r="R94" s="42"/>
      <c r="S94" s="42"/>
      <c r="T94" s="42"/>
      <c r="U94" s="42"/>
      <c r="V94" s="42"/>
      <c r="W94" s="42"/>
      <c r="X94" s="42"/>
      <c r="Y94" s="42"/>
      <c r="Z94" s="42"/>
      <c r="AA94" s="42"/>
      <c r="AB94" s="42"/>
      <c r="AC94" s="42"/>
    </row>
    <row r="95" spans="1:29" x14ac:dyDescent="0.25">
      <c r="A95" s="43" t="e">
        <f t="shared" ca="1" si="0"/>
        <v>#NAME?</v>
      </c>
      <c r="B95" s="44" t="s">
        <v>126</v>
      </c>
      <c r="C95" s="49" t="s">
        <v>127</v>
      </c>
      <c r="D95" s="39" t="s">
        <v>37</v>
      </c>
      <c r="E95" s="39" t="s">
        <v>54</v>
      </c>
      <c r="F95" s="40" t="e">
        <f ca="1"/>
        <v>#NAME?</v>
      </c>
      <c r="G95" s="35" t="e">
        <f ca="1">"- "&amp;_xludf.textjoin("
- ",TRUE,C96:C100)</f>
        <v>#NAME?</v>
      </c>
      <c r="H95" s="41" t="e">
        <f ca="1"/>
        <v>#NAME?</v>
      </c>
      <c r="I95" s="42"/>
      <c r="J95" s="42"/>
      <c r="K95" s="42"/>
      <c r="L95" s="42"/>
      <c r="M95" s="42"/>
      <c r="N95" s="42"/>
      <c r="O95" s="42"/>
      <c r="P95" s="42"/>
      <c r="Q95" s="42"/>
      <c r="R95" s="42"/>
      <c r="S95" s="42"/>
      <c r="T95" s="42"/>
      <c r="U95" s="42"/>
      <c r="V95" s="42"/>
      <c r="W95" s="42"/>
      <c r="X95" s="42"/>
      <c r="Y95" s="42"/>
      <c r="Z95" s="42"/>
      <c r="AA95" s="42"/>
      <c r="AB95" s="42"/>
      <c r="AC95" s="42"/>
    </row>
    <row r="96" spans="1:29" x14ac:dyDescent="0.25">
      <c r="A96" s="43" t="str">
        <f t="shared" si="0"/>
        <v/>
      </c>
      <c r="B96" s="44"/>
      <c r="C96" s="45" t="s">
        <v>128</v>
      </c>
      <c r="D96" s="39"/>
      <c r="E96" s="39"/>
      <c r="F96" s="40" t="str">
        <v/>
      </c>
      <c r="G96" s="35"/>
      <c r="H96" s="41" t="str">
        <f ca="1"/>
        <v/>
      </c>
      <c r="I96" s="42"/>
      <c r="J96" s="42"/>
      <c r="K96" s="42"/>
      <c r="L96" s="42"/>
      <c r="M96" s="42"/>
      <c r="N96" s="42"/>
      <c r="O96" s="42"/>
      <c r="P96" s="42"/>
      <c r="Q96" s="42"/>
      <c r="R96" s="42"/>
      <c r="S96" s="42"/>
      <c r="T96" s="42"/>
      <c r="U96" s="42"/>
      <c r="V96" s="42"/>
      <c r="W96" s="42"/>
      <c r="X96" s="42"/>
      <c r="Y96" s="42"/>
      <c r="Z96" s="42"/>
      <c r="AA96" s="42"/>
      <c r="AB96" s="42"/>
      <c r="AC96" s="42"/>
    </row>
    <row r="97" spans="1:29" x14ac:dyDescent="0.25">
      <c r="A97" s="43" t="str">
        <f t="shared" si="0"/>
        <v/>
      </c>
      <c r="B97" s="44"/>
      <c r="C97" s="45" t="s">
        <v>129</v>
      </c>
      <c r="D97" s="39"/>
      <c r="E97" s="39"/>
      <c r="F97" s="40" t="str">
        <v/>
      </c>
      <c r="G97" s="35"/>
      <c r="H97" s="41" t="str">
        <f ca="1"/>
        <v/>
      </c>
      <c r="I97" s="42"/>
      <c r="J97" s="42"/>
      <c r="K97" s="42"/>
      <c r="L97" s="42"/>
      <c r="M97" s="42"/>
      <c r="N97" s="42"/>
      <c r="O97" s="42"/>
      <c r="P97" s="42"/>
      <c r="Q97" s="42"/>
      <c r="R97" s="42"/>
      <c r="S97" s="42"/>
      <c r="T97" s="42"/>
      <c r="U97" s="42"/>
      <c r="V97" s="42"/>
      <c r="W97" s="42"/>
      <c r="X97" s="42"/>
      <c r="Y97" s="42"/>
      <c r="Z97" s="42"/>
      <c r="AA97" s="42"/>
      <c r="AB97" s="42"/>
      <c r="AC97" s="42"/>
    </row>
    <row r="98" spans="1:29" x14ac:dyDescent="0.25">
      <c r="A98" s="43" t="str">
        <f t="shared" si="0"/>
        <v/>
      </c>
      <c r="B98" s="44"/>
      <c r="C98" s="51" t="s">
        <v>130</v>
      </c>
      <c r="D98" s="39"/>
      <c r="E98" s="39"/>
      <c r="F98" s="40" t="str">
        <v/>
      </c>
      <c r="G98" s="35"/>
      <c r="H98" s="41" t="str">
        <f ca="1"/>
        <v/>
      </c>
      <c r="I98" s="42"/>
      <c r="J98" s="42"/>
      <c r="K98" s="42"/>
      <c r="L98" s="42"/>
      <c r="M98" s="42"/>
      <c r="N98" s="42"/>
      <c r="O98" s="42"/>
      <c r="P98" s="42"/>
      <c r="Q98" s="42"/>
      <c r="R98" s="42"/>
      <c r="S98" s="42"/>
      <c r="T98" s="42"/>
      <c r="U98" s="42"/>
      <c r="V98" s="42"/>
      <c r="W98" s="42"/>
      <c r="X98" s="42"/>
      <c r="Y98" s="42"/>
      <c r="Z98" s="42"/>
      <c r="AA98" s="42"/>
      <c r="AB98" s="42"/>
      <c r="AC98" s="42"/>
    </row>
    <row r="99" spans="1:29" x14ac:dyDescent="0.25">
      <c r="A99" s="43" t="str">
        <f t="shared" si="0"/>
        <v/>
      </c>
      <c r="B99" s="44"/>
      <c r="C99" s="45"/>
      <c r="D99" s="39"/>
      <c r="E99" s="39"/>
      <c r="F99" s="40" t="str">
        <v/>
      </c>
      <c r="G99" s="35"/>
      <c r="H99" s="41" t="str">
        <f ca="1"/>
        <v/>
      </c>
      <c r="I99" s="42"/>
      <c r="J99" s="42"/>
      <c r="K99" s="42"/>
      <c r="L99" s="42"/>
      <c r="M99" s="42"/>
      <c r="N99" s="42"/>
      <c r="O99" s="42"/>
      <c r="P99" s="42"/>
      <c r="Q99" s="42"/>
      <c r="R99" s="42"/>
      <c r="S99" s="42"/>
      <c r="T99" s="42"/>
      <c r="U99" s="42"/>
      <c r="V99" s="42"/>
      <c r="W99" s="42"/>
      <c r="X99" s="42"/>
      <c r="Y99" s="42"/>
      <c r="Z99" s="42"/>
      <c r="AA99" s="42"/>
      <c r="AB99" s="42"/>
      <c r="AC99" s="42"/>
    </row>
    <row r="100" spans="1:29" x14ac:dyDescent="0.25">
      <c r="A100" s="43" t="str">
        <f t="shared" si="0"/>
        <v/>
      </c>
      <c r="B100" s="44"/>
      <c r="C100" s="45"/>
      <c r="D100" s="39"/>
      <c r="E100" s="39"/>
      <c r="F100" s="40" t="str">
        <v/>
      </c>
      <c r="G100" s="35"/>
      <c r="H100" s="41" t="str">
        <f ca="1"/>
        <v/>
      </c>
      <c r="I100" s="42"/>
      <c r="J100" s="42"/>
      <c r="K100" s="42"/>
      <c r="L100" s="42"/>
      <c r="M100" s="42"/>
      <c r="N100" s="42"/>
      <c r="O100" s="42"/>
      <c r="P100" s="42"/>
      <c r="Q100" s="42"/>
      <c r="R100" s="42"/>
      <c r="S100" s="42"/>
      <c r="T100" s="42"/>
      <c r="U100" s="42"/>
      <c r="V100" s="42"/>
      <c r="W100" s="42"/>
      <c r="X100" s="42"/>
      <c r="Y100" s="42"/>
      <c r="Z100" s="42"/>
      <c r="AA100" s="42"/>
      <c r="AB100" s="42"/>
      <c r="AC100" s="42"/>
    </row>
    <row r="101" spans="1:29" x14ac:dyDescent="0.25">
      <c r="A101" s="43" t="str">
        <f t="shared" si="0"/>
        <v/>
      </c>
      <c r="B101" s="44"/>
      <c r="C101" s="45"/>
      <c r="D101" s="39"/>
      <c r="E101" s="39"/>
      <c r="F101" s="40" t="str">
        <v/>
      </c>
      <c r="G101" s="35"/>
      <c r="H101" s="41" t="str">
        <f ca="1"/>
        <v/>
      </c>
      <c r="I101" s="42"/>
      <c r="J101" s="42"/>
      <c r="K101" s="42"/>
      <c r="L101" s="42"/>
      <c r="M101" s="42"/>
      <c r="N101" s="42"/>
      <c r="O101" s="42"/>
      <c r="P101" s="42"/>
      <c r="Q101" s="42"/>
      <c r="R101" s="42"/>
      <c r="S101" s="42"/>
      <c r="T101" s="42"/>
      <c r="U101" s="42"/>
      <c r="V101" s="42"/>
      <c r="W101" s="42"/>
      <c r="X101" s="42"/>
      <c r="Y101" s="42"/>
      <c r="Z101" s="42"/>
      <c r="AA101" s="42"/>
      <c r="AB101" s="42"/>
      <c r="AC101" s="42"/>
    </row>
    <row r="102" spans="1:29" x14ac:dyDescent="0.25">
      <c r="A102" s="43" t="str">
        <f t="shared" si="0"/>
        <v/>
      </c>
      <c r="B102" s="44"/>
      <c r="C102" s="49"/>
      <c r="D102" s="39"/>
      <c r="E102" s="39"/>
      <c r="F102" s="40" t="str">
        <v/>
      </c>
      <c r="G102" s="35"/>
      <c r="H102" s="41" t="str">
        <f ca="1"/>
        <v/>
      </c>
      <c r="I102" s="42"/>
      <c r="J102" s="42"/>
      <c r="K102" s="42"/>
      <c r="L102" s="42"/>
      <c r="M102" s="42"/>
      <c r="N102" s="42"/>
      <c r="O102" s="42"/>
      <c r="P102" s="42"/>
      <c r="Q102" s="42"/>
      <c r="R102" s="42"/>
      <c r="S102" s="42"/>
      <c r="T102" s="42"/>
      <c r="U102" s="42"/>
      <c r="V102" s="42"/>
      <c r="W102" s="42"/>
      <c r="X102" s="42"/>
      <c r="Y102" s="42"/>
      <c r="Z102" s="42"/>
      <c r="AA102" s="42"/>
      <c r="AB102" s="42"/>
      <c r="AC102" s="42"/>
    </row>
    <row r="103" spans="1:29" x14ac:dyDescent="0.25">
      <c r="A103" s="43" t="str">
        <f t="shared" si="0"/>
        <v/>
      </c>
      <c r="B103" s="44"/>
      <c r="C103" s="38"/>
      <c r="D103" s="39"/>
      <c r="E103" s="39"/>
      <c r="F103" s="40" t="str">
        <v/>
      </c>
      <c r="G103" s="35"/>
      <c r="H103" s="41" t="str">
        <f ca="1"/>
        <v/>
      </c>
      <c r="I103" s="42"/>
      <c r="J103" s="42"/>
      <c r="K103" s="42"/>
      <c r="L103" s="42"/>
      <c r="M103" s="42"/>
      <c r="N103" s="42"/>
      <c r="O103" s="42"/>
      <c r="P103" s="42"/>
      <c r="Q103" s="42"/>
      <c r="R103" s="42"/>
      <c r="S103" s="42"/>
      <c r="T103" s="42"/>
      <c r="U103" s="42"/>
      <c r="V103" s="42"/>
      <c r="W103" s="42"/>
      <c r="X103" s="42"/>
      <c r="Y103" s="42"/>
      <c r="Z103" s="42"/>
      <c r="AA103" s="42"/>
      <c r="AB103" s="42"/>
      <c r="AC103" s="42"/>
    </row>
    <row r="104" spans="1:29" x14ac:dyDescent="0.25">
      <c r="A104" s="43" t="e">
        <f t="shared" ca="1" si="0"/>
        <v>#NAME?</v>
      </c>
      <c r="B104" s="44" t="s">
        <v>131</v>
      </c>
      <c r="C104" s="45" t="s">
        <v>132</v>
      </c>
      <c r="D104" s="39" t="s">
        <v>37</v>
      </c>
      <c r="E104" s="39" t="s">
        <v>54</v>
      </c>
      <c r="F104" s="40" t="e">
        <f ca="1"/>
        <v>#NAME?</v>
      </c>
      <c r="G104" s="35" t="str">
        <f>C104</f>
        <v>The business will inform the courier to collect the parcel at the supplier's warehouse/depot address for delivery, or at the customer's address for return to the supplier.</v>
      </c>
      <c r="H104" s="41">
        <f ca="1"/>
        <v>201</v>
      </c>
      <c r="I104" s="42"/>
      <c r="J104" s="42"/>
      <c r="K104" s="42"/>
      <c r="L104" s="42"/>
      <c r="M104" s="42"/>
      <c r="N104" s="42"/>
      <c r="O104" s="42"/>
      <c r="P104" s="42"/>
      <c r="Q104" s="42"/>
      <c r="R104" s="42"/>
      <c r="S104" s="42"/>
      <c r="T104" s="42"/>
      <c r="U104" s="42"/>
      <c r="V104" s="42"/>
      <c r="W104" s="42"/>
      <c r="X104" s="42"/>
      <c r="Y104" s="42"/>
      <c r="Z104" s="42"/>
      <c r="AA104" s="42"/>
      <c r="AB104" s="42"/>
      <c r="AC104" s="42"/>
    </row>
    <row r="105" spans="1:29" x14ac:dyDescent="0.25">
      <c r="A105" s="43" t="str">
        <f t="shared" si="0"/>
        <v/>
      </c>
      <c r="B105" s="44"/>
      <c r="C105" s="49"/>
      <c r="D105" s="39"/>
      <c r="E105" s="39"/>
      <c r="F105" s="40" t="str">
        <v/>
      </c>
      <c r="G105" s="35"/>
      <c r="H105" s="41" t="str">
        <f ca="1"/>
        <v/>
      </c>
      <c r="I105" s="42"/>
      <c r="J105" s="42"/>
      <c r="K105" s="42"/>
      <c r="L105" s="42"/>
      <c r="M105" s="42"/>
      <c r="N105" s="42"/>
      <c r="O105" s="42"/>
      <c r="P105" s="42"/>
      <c r="Q105" s="42"/>
      <c r="R105" s="42"/>
      <c r="S105" s="42"/>
      <c r="T105" s="42"/>
      <c r="U105" s="42"/>
      <c r="V105" s="42"/>
      <c r="W105" s="42"/>
      <c r="X105" s="42"/>
      <c r="Y105" s="42"/>
      <c r="Z105" s="42"/>
      <c r="AA105" s="42"/>
      <c r="AB105" s="42"/>
      <c r="AC105" s="42"/>
    </row>
    <row r="106" spans="1:29" x14ac:dyDescent="0.25">
      <c r="A106" s="43" t="str">
        <f t="shared" si="0"/>
        <v/>
      </c>
      <c r="B106" s="44"/>
      <c r="C106" s="49"/>
      <c r="D106" s="39"/>
      <c r="E106" s="39"/>
      <c r="F106" s="40" t="str">
        <v/>
      </c>
      <c r="G106" s="35"/>
      <c r="H106" s="41" t="str">
        <f ca="1"/>
        <v/>
      </c>
      <c r="I106" s="42"/>
      <c r="J106" s="42"/>
      <c r="K106" s="42"/>
      <c r="L106" s="42"/>
      <c r="M106" s="42"/>
      <c r="N106" s="42"/>
      <c r="O106" s="42"/>
      <c r="P106" s="42"/>
      <c r="Q106" s="42"/>
      <c r="R106" s="42"/>
      <c r="S106" s="42"/>
      <c r="T106" s="42"/>
      <c r="U106" s="42"/>
      <c r="V106" s="42"/>
      <c r="W106" s="42"/>
      <c r="X106" s="42"/>
      <c r="Y106" s="42"/>
      <c r="Z106" s="42"/>
      <c r="AA106" s="42"/>
      <c r="AB106" s="42"/>
      <c r="AC106" s="42"/>
    </row>
    <row r="107" spans="1:29" x14ac:dyDescent="0.25">
      <c r="A107" s="43" t="str">
        <f t="shared" si="0"/>
        <v/>
      </c>
      <c r="B107" s="38"/>
      <c r="C107" s="35"/>
      <c r="D107" s="41"/>
      <c r="E107" s="41"/>
      <c r="F107" s="40" t="str">
        <v/>
      </c>
      <c r="G107" s="35"/>
      <c r="H107" s="41" t="str">
        <f ca="1"/>
        <v/>
      </c>
      <c r="I107" s="42"/>
      <c r="J107" s="42"/>
      <c r="K107" s="42"/>
      <c r="L107" s="42"/>
      <c r="M107" s="42"/>
      <c r="N107" s="42"/>
      <c r="O107" s="42"/>
      <c r="P107" s="42"/>
      <c r="Q107" s="42"/>
      <c r="R107" s="42"/>
      <c r="S107" s="42"/>
      <c r="T107" s="42"/>
      <c r="U107" s="42"/>
      <c r="V107" s="42"/>
      <c r="W107" s="42"/>
      <c r="X107" s="42"/>
      <c r="Y107" s="42"/>
      <c r="Z107" s="42"/>
      <c r="AA107" s="42"/>
      <c r="AB107" s="42"/>
      <c r="AC107" s="42"/>
    </row>
    <row r="108" spans="1:29" x14ac:dyDescent="0.25">
      <c r="A108" s="43" t="e">
        <f t="shared" ca="1" si="0"/>
        <v>#NAME?</v>
      </c>
      <c r="B108" s="44" t="s">
        <v>133</v>
      </c>
      <c r="C108" s="49" t="s">
        <v>134</v>
      </c>
      <c r="D108" s="39" t="s">
        <v>37</v>
      </c>
      <c r="E108" s="39" t="s">
        <v>54</v>
      </c>
      <c r="F108" s="40" t="e">
        <f ca="1"/>
        <v>#NAME?</v>
      </c>
      <c r="G108" s="35" t="str">
        <f>C108</f>
        <v>Supplier warehouse/depot that packed the order receives any returns.</v>
      </c>
      <c r="H108" s="41">
        <f ca="1"/>
        <v>201</v>
      </c>
      <c r="I108" s="42"/>
      <c r="J108" s="42"/>
      <c r="K108" s="42"/>
      <c r="L108" s="42"/>
      <c r="M108" s="42"/>
      <c r="N108" s="42"/>
      <c r="O108" s="42"/>
      <c r="P108" s="42"/>
      <c r="Q108" s="42"/>
      <c r="R108" s="42"/>
      <c r="S108" s="42"/>
      <c r="T108" s="42"/>
      <c r="U108" s="42"/>
      <c r="V108" s="42"/>
      <c r="W108" s="42"/>
      <c r="X108" s="42"/>
      <c r="Y108" s="42"/>
      <c r="Z108" s="42"/>
      <c r="AA108" s="42"/>
      <c r="AB108" s="42"/>
      <c r="AC108" s="42"/>
    </row>
    <row r="109" spans="1:29" x14ac:dyDescent="0.25">
      <c r="A109" s="43" t="str">
        <f t="shared" si="0"/>
        <v/>
      </c>
      <c r="B109" s="49"/>
      <c r="D109" s="23"/>
      <c r="E109" s="23"/>
      <c r="F109" s="52" t="str">
        <v/>
      </c>
      <c r="H109" s="23" t="str">
        <f ca="1"/>
        <v/>
      </c>
    </row>
    <row r="110" spans="1:29" x14ac:dyDescent="0.25">
      <c r="A110" s="43" t="str">
        <f t="shared" si="0"/>
        <v/>
      </c>
      <c r="B110" s="49"/>
      <c r="D110" s="23"/>
      <c r="E110" s="23"/>
      <c r="F110" s="52" t="str">
        <v/>
      </c>
      <c r="H110" s="23" t="str">
        <f ca="1"/>
        <v/>
      </c>
    </row>
    <row r="111" spans="1:29" x14ac:dyDescent="0.25">
      <c r="A111" s="43" t="str">
        <f t="shared" si="0"/>
        <v/>
      </c>
      <c r="B111" s="38"/>
      <c r="C111" s="35"/>
      <c r="D111" s="41"/>
      <c r="E111" s="41"/>
      <c r="F111" s="40" t="str">
        <v/>
      </c>
      <c r="G111" s="35"/>
      <c r="H111" s="41" t="str">
        <f ca="1"/>
        <v/>
      </c>
      <c r="I111" s="42"/>
      <c r="J111" s="42"/>
      <c r="K111" s="42"/>
      <c r="L111" s="42"/>
      <c r="M111" s="42"/>
      <c r="N111" s="42"/>
      <c r="O111" s="42"/>
      <c r="P111" s="42"/>
      <c r="Q111" s="42"/>
      <c r="R111" s="42"/>
      <c r="S111" s="42"/>
      <c r="T111" s="42"/>
      <c r="U111" s="42"/>
      <c r="V111" s="42"/>
      <c r="W111" s="42"/>
      <c r="X111" s="42"/>
      <c r="Y111" s="42"/>
      <c r="Z111" s="42"/>
      <c r="AA111" s="42"/>
      <c r="AB111" s="42"/>
      <c r="AC111" s="42"/>
    </row>
    <row r="112" spans="1:29" x14ac:dyDescent="0.25">
      <c r="A112" s="48" t="e">
        <f t="shared" ca="1" si="0"/>
        <v>#NAME?</v>
      </c>
      <c r="B112" s="37" t="s">
        <v>135</v>
      </c>
      <c r="C112" s="38"/>
      <c r="D112" s="39" t="s">
        <v>37</v>
      </c>
      <c r="E112" s="39" t="s">
        <v>54</v>
      </c>
      <c r="F112" s="40" t="e">
        <f ca="1"/>
        <v>#NAME?</v>
      </c>
      <c r="G112" s="35"/>
      <c r="H112" s="41" t="str">
        <f ca="1"/>
        <v/>
      </c>
      <c r="I112" s="42"/>
      <c r="J112" s="42"/>
      <c r="K112" s="42"/>
      <c r="L112" s="42"/>
      <c r="M112" s="42"/>
      <c r="N112" s="42"/>
      <c r="O112" s="42"/>
      <c r="P112" s="42"/>
      <c r="Q112" s="42"/>
      <c r="R112" s="42"/>
      <c r="S112" s="42"/>
      <c r="T112" s="42"/>
      <c r="U112" s="42"/>
      <c r="V112" s="42"/>
      <c r="W112" s="42"/>
      <c r="X112" s="42"/>
      <c r="Y112" s="42"/>
      <c r="Z112" s="42"/>
      <c r="AA112" s="42"/>
      <c r="AB112" s="42"/>
      <c r="AC112" s="42"/>
    </row>
    <row r="113" spans="1:29" x14ac:dyDescent="0.25">
      <c r="A113" s="43" t="e">
        <f t="shared" ca="1" si="0"/>
        <v>#NAME?</v>
      </c>
      <c r="B113" s="44" t="s">
        <v>136</v>
      </c>
      <c r="C113" s="49"/>
      <c r="D113" s="39" t="s">
        <v>37</v>
      </c>
      <c r="E113" s="39" t="s">
        <v>54</v>
      </c>
      <c r="F113" s="40" t="e">
        <f ca="1"/>
        <v>#NAME?</v>
      </c>
      <c r="G113" s="35" t="e">
        <f ca="1">"- "&amp;_xludf.textjoin("
- ",TRUE,$C114:$C119)</f>
        <v>#NAME?</v>
      </c>
      <c r="H113" s="41" t="e">
        <f ca="1"/>
        <v>#NAME?</v>
      </c>
      <c r="I113" s="42"/>
      <c r="J113" s="42"/>
      <c r="K113" s="42"/>
      <c r="L113" s="42"/>
      <c r="M113" s="42"/>
      <c r="N113" s="42"/>
      <c r="O113" s="42"/>
      <c r="P113" s="42"/>
      <c r="Q113" s="42"/>
      <c r="R113" s="42"/>
      <c r="S113" s="42"/>
      <c r="T113" s="42"/>
      <c r="U113" s="42"/>
      <c r="V113" s="42"/>
      <c r="W113" s="42"/>
      <c r="X113" s="42"/>
      <c r="Y113" s="42"/>
      <c r="Z113" s="42"/>
      <c r="AA113" s="42"/>
      <c r="AB113" s="42"/>
      <c r="AC113" s="42"/>
    </row>
    <row r="114" spans="1:29" x14ac:dyDescent="0.25">
      <c r="A114" s="43" t="str">
        <f t="shared" si="0"/>
        <v/>
      </c>
      <c r="B114" s="44"/>
      <c r="C114" s="49" t="s">
        <v>137</v>
      </c>
      <c r="D114" s="39"/>
      <c r="E114" s="39"/>
      <c r="F114" s="40" t="str">
        <v/>
      </c>
      <c r="G114" s="35"/>
      <c r="H114" s="41" t="str">
        <f ca="1"/>
        <v/>
      </c>
      <c r="I114" s="42"/>
      <c r="J114" s="42"/>
      <c r="K114" s="42"/>
      <c r="L114" s="42"/>
      <c r="M114" s="42"/>
      <c r="N114" s="42"/>
      <c r="O114" s="42"/>
      <c r="P114" s="42"/>
      <c r="Q114" s="42"/>
      <c r="R114" s="42"/>
      <c r="S114" s="42"/>
      <c r="T114" s="42"/>
      <c r="U114" s="42"/>
      <c r="V114" s="42"/>
      <c r="W114" s="42"/>
      <c r="X114" s="42"/>
      <c r="Y114" s="42"/>
      <c r="Z114" s="42"/>
      <c r="AA114" s="42"/>
      <c r="AB114" s="42"/>
      <c r="AC114" s="42"/>
    </row>
    <row r="115" spans="1:29" x14ac:dyDescent="0.25">
      <c r="A115" s="43" t="str">
        <f t="shared" si="0"/>
        <v/>
      </c>
      <c r="B115" s="44"/>
      <c r="C115" s="49" t="s">
        <v>138</v>
      </c>
      <c r="D115" s="39"/>
      <c r="E115" s="39"/>
      <c r="F115" s="40" t="str">
        <v/>
      </c>
      <c r="G115" s="35"/>
      <c r="H115" s="41" t="str">
        <f ca="1"/>
        <v/>
      </c>
      <c r="I115" s="42"/>
      <c r="J115" s="42"/>
      <c r="K115" s="42"/>
      <c r="L115" s="42"/>
      <c r="M115" s="42"/>
      <c r="N115" s="42"/>
      <c r="O115" s="42"/>
      <c r="P115" s="42"/>
      <c r="Q115" s="42"/>
      <c r="R115" s="42"/>
      <c r="S115" s="42"/>
      <c r="T115" s="42"/>
      <c r="U115" s="42"/>
      <c r="V115" s="42"/>
      <c r="W115" s="42"/>
      <c r="X115" s="42"/>
      <c r="Y115" s="42"/>
      <c r="Z115" s="42"/>
      <c r="AA115" s="42"/>
      <c r="AB115" s="42"/>
      <c r="AC115" s="42"/>
    </row>
    <row r="116" spans="1:29" x14ac:dyDescent="0.25">
      <c r="A116" s="43" t="str">
        <f t="shared" si="0"/>
        <v/>
      </c>
      <c r="B116" s="49"/>
      <c r="C116" s="49"/>
      <c r="D116" s="23"/>
      <c r="E116" s="23"/>
      <c r="F116" s="40" t="str">
        <v/>
      </c>
      <c r="G116" s="35"/>
      <c r="H116" s="41" t="str">
        <f ca="1"/>
        <v/>
      </c>
      <c r="I116" s="42"/>
      <c r="J116" s="42"/>
      <c r="K116" s="42"/>
      <c r="L116" s="42"/>
      <c r="M116" s="42"/>
      <c r="N116" s="42"/>
      <c r="O116" s="42"/>
      <c r="P116" s="42"/>
      <c r="Q116" s="42"/>
      <c r="R116" s="42"/>
      <c r="S116" s="42"/>
      <c r="T116" s="42"/>
      <c r="U116" s="42"/>
      <c r="V116" s="42"/>
      <c r="W116" s="42"/>
      <c r="X116" s="42"/>
      <c r="Y116" s="42"/>
      <c r="Z116" s="42"/>
      <c r="AA116" s="42"/>
      <c r="AB116" s="42"/>
      <c r="AC116" s="42"/>
    </row>
    <row r="117" spans="1:29" x14ac:dyDescent="0.25">
      <c r="A117" s="43" t="str">
        <f t="shared" si="0"/>
        <v/>
      </c>
      <c r="B117" s="35"/>
      <c r="C117" s="38"/>
      <c r="D117" s="41"/>
      <c r="E117" s="41"/>
      <c r="F117" s="40" t="str">
        <v/>
      </c>
      <c r="G117" s="35"/>
      <c r="H117" s="41" t="str">
        <f ca="1"/>
        <v/>
      </c>
      <c r="I117" s="42"/>
      <c r="J117" s="42"/>
      <c r="K117" s="42"/>
      <c r="L117" s="42"/>
      <c r="M117" s="42"/>
      <c r="N117" s="42"/>
      <c r="O117" s="42"/>
      <c r="P117" s="42"/>
      <c r="Q117" s="42"/>
      <c r="R117" s="42"/>
      <c r="S117" s="42"/>
      <c r="T117" s="42"/>
      <c r="U117" s="42"/>
      <c r="V117" s="42"/>
      <c r="W117" s="42"/>
      <c r="X117" s="42"/>
      <c r="Y117" s="42"/>
      <c r="Z117" s="42"/>
      <c r="AA117" s="42"/>
      <c r="AB117" s="42"/>
      <c r="AC117" s="42"/>
    </row>
    <row r="118" spans="1:29" x14ac:dyDescent="0.25">
      <c r="A118" s="43" t="str">
        <f t="shared" si="0"/>
        <v/>
      </c>
      <c r="B118" s="35"/>
      <c r="C118" s="35"/>
      <c r="D118" s="41"/>
      <c r="E118" s="41"/>
      <c r="F118" s="40" t="str">
        <v/>
      </c>
      <c r="G118" s="35"/>
      <c r="H118" s="41" t="str">
        <f ca="1"/>
        <v/>
      </c>
      <c r="I118" s="42"/>
      <c r="J118" s="42"/>
      <c r="K118" s="42"/>
      <c r="L118" s="42"/>
      <c r="M118" s="42"/>
      <c r="N118" s="42"/>
      <c r="O118" s="42"/>
      <c r="P118" s="42"/>
      <c r="Q118" s="42"/>
      <c r="R118" s="42"/>
      <c r="S118" s="42"/>
      <c r="T118" s="42"/>
      <c r="U118" s="42"/>
      <c r="V118" s="42"/>
      <c r="W118" s="42"/>
      <c r="X118" s="42"/>
      <c r="Y118" s="42"/>
      <c r="Z118" s="42"/>
      <c r="AA118" s="42"/>
      <c r="AB118" s="42"/>
      <c r="AC118" s="42"/>
    </row>
    <row r="119" spans="1:29" x14ac:dyDescent="0.25">
      <c r="A119" s="43" t="str">
        <f t="shared" si="0"/>
        <v/>
      </c>
      <c r="B119" s="35"/>
      <c r="C119" s="35"/>
      <c r="D119" s="41"/>
      <c r="E119" s="41"/>
      <c r="F119" s="40" t="str">
        <v/>
      </c>
      <c r="G119" s="35"/>
      <c r="H119" s="41" t="str">
        <f ca="1"/>
        <v/>
      </c>
      <c r="I119" s="42"/>
      <c r="J119" s="42"/>
      <c r="K119" s="42"/>
      <c r="L119" s="42"/>
      <c r="M119" s="42"/>
      <c r="N119" s="42"/>
      <c r="O119" s="42"/>
      <c r="P119" s="42"/>
      <c r="Q119" s="42"/>
      <c r="R119" s="42"/>
      <c r="S119" s="42"/>
      <c r="T119" s="42"/>
      <c r="U119" s="42"/>
      <c r="V119" s="42"/>
      <c r="W119" s="42"/>
      <c r="X119" s="42"/>
      <c r="Y119" s="42"/>
      <c r="Z119" s="42"/>
      <c r="AA119" s="42"/>
      <c r="AB119" s="42"/>
      <c r="AC119" s="42"/>
    </row>
    <row r="120" spans="1:29" x14ac:dyDescent="0.25">
      <c r="A120" s="43" t="str">
        <f t="shared" si="0"/>
        <v/>
      </c>
      <c r="B120" s="35"/>
      <c r="C120" s="35"/>
      <c r="D120" s="41"/>
      <c r="E120" s="41"/>
      <c r="F120" s="40" t="str">
        <v/>
      </c>
      <c r="G120" s="35"/>
      <c r="H120" s="41" t="str">
        <f ca="1"/>
        <v/>
      </c>
      <c r="I120" s="42"/>
      <c r="J120" s="42"/>
      <c r="K120" s="42"/>
      <c r="L120" s="42"/>
      <c r="M120" s="42"/>
      <c r="N120" s="42"/>
      <c r="O120" s="42"/>
      <c r="P120" s="42"/>
      <c r="Q120" s="42"/>
      <c r="R120" s="42"/>
      <c r="S120" s="42"/>
      <c r="T120" s="42"/>
      <c r="U120" s="42"/>
      <c r="V120" s="42"/>
      <c r="W120" s="42"/>
      <c r="X120" s="42"/>
      <c r="Y120" s="42"/>
      <c r="Z120" s="42"/>
      <c r="AA120" s="42"/>
      <c r="AB120" s="42"/>
      <c r="AC120" s="42"/>
    </row>
    <row r="121" spans="1:29" x14ac:dyDescent="0.25">
      <c r="A121" s="43" t="str">
        <f t="shared" si="0"/>
        <v/>
      </c>
      <c r="B121" s="35"/>
      <c r="C121" s="35"/>
      <c r="D121" s="41"/>
      <c r="E121" s="41"/>
      <c r="F121" s="40" t="str">
        <v/>
      </c>
      <c r="G121" s="35"/>
      <c r="H121" s="41" t="str">
        <f ca="1"/>
        <v/>
      </c>
      <c r="I121" s="42"/>
      <c r="J121" s="42"/>
      <c r="K121" s="42"/>
      <c r="L121" s="42"/>
      <c r="M121" s="42"/>
      <c r="N121" s="42"/>
      <c r="O121" s="42"/>
      <c r="P121" s="42"/>
      <c r="Q121" s="42"/>
      <c r="R121" s="42"/>
      <c r="S121" s="42"/>
      <c r="T121" s="42"/>
      <c r="U121" s="42"/>
      <c r="V121" s="42"/>
      <c r="W121" s="42"/>
      <c r="X121" s="42"/>
      <c r="Y121" s="42"/>
      <c r="Z121" s="42"/>
      <c r="AA121" s="42"/>
      <c r="AB121" s="42"/>
      <c r="AC121" s="42"/>
    </row>
    <row r="122" spans="1:29" x14ac:dyDescent="0.25">
      <c r="A122" s="48" t="e">
        <f t="shared" ca="1" si="0"/>
        <v>#NAME?</v>
      </c>
      <c r="B122" s="37" t="s">
        <v>139</v>
      </c>
      <c r="C122" s="38"/>
      <c r="D122" s="39" t="s">
        <v>37</v>
      </c>
      <c r="E122" s="39" t="s">
        <v>54</v>
      </c>
      <c r="F122" s="40" t="e">
        <f ca="1"/>
        <v>#NAME?</v>
      </c>
      <c r="G122" s="35"/>
      <c r="H122" s="41" t="str">
        <f ca="1"/>
        <v/>
      </c>
      <c r="I122" s="42"/>
      <c r="J122" s="42"/>
      <c r="K122" s="42"/>
      <c r="L122" s="42"/>
      <c r="M122" s="42"/>
      <c r="N122" s="42"/>
      <c r="O122" s="42"/>
      <c r="P122" s="42"/>
      <c r="Q122" s="42"/>
      <c r="R122" s="42"/>
      <c r="S122" s="42"/>
      <c r="T122" s="42"/>
      <c r="U122" s="42"/>
      <c r="V122" s="42"/>
      <c r="W122" s="42"/>
      <c r="X122" s="42"/>
      <c r="Y122" s="42"/>
      <c r="Z122" s="42"/>
      <c r="AA122" s="42"/>
      <c r="AB122" s="42"/>
      <c r="AC122" s="42"/>
    </row>
    <row r="123" spans="1:29" x14ac:dyDescent="0.25">
      <c r="A123" s="43" t="e">
        <f t="shared" ca="1" si="0"/>
        <v>#NAME?</v>
      </c>
      <c r="B123" s="44" t="s">
        <v>140</v>
      </c>
      <c r="C123" s="45"/>
      <c r="D123" s="39" t="s">
        <v>37</v>
      </c>
      <c r="E123" s="39" t="s">
        <v>54</v>
      </c>
      <c r="F123" s="40" t="e">
        <f ca="1"/>
        <v>#NAME?</v>
      </c>
      <c r="G123" s="35" t="e">
        <f ca="1">"- "&amp;_xludf.textjoin("
- ",TRUE,$C124:$C129)</f>
        <v>#NAME?</v>
      </c>
      <c r="H123" s="41" t="e">
        <f ca="1"/>
        <v>#NAME?</v>
      </c>
      <c r="I123" s="42"/>
      <c r="J123" s="42"/>
      <c r="K123" s="42"/>
      <c r="L123" s="42"/>
      <c r="M123" s="42"/>
      <c r="N123" s="42"/>
      <c r="O123" s="42"/>
      <c r="P123" s="42"/>
      <c r="Q123" s="42"/>
      <c r="R123" s="42"/>
      <c r="S123" s="42"/>
      <c r="T123" s="42"/>
      <c r="U123" s="42"/>
      <c r="V123" s="42"/>
      <c r="W123" s="42"/>
      <c r="X123" s="42"/>
      <c r="Y123" s="42"/>
      <c r="Z123" s="42"/>
      <c r="AA123" s="42"/>
      <c r="AB123" s="42"/>
      <c r="AC123" s="42"/>
    </row>
    <row r="124" spans="1:29" x14ac:dyDescent="0.25">
      <c r="A124" s="43" t="str">
        <f t="shared" si="0"/>
        <v/>
      </c>
      <c r="B124" s="44"/>
      <c r="C124" s="45" t="s">
        <v>141</v>
      </c>
      <c r="D124" s="46" t="str">
        <f t="shared" ref="D124:E124" si="22">D$123</f>
        <v>Critical</v>
      </c>
      <c r="E124" s="46" t="str">
        <f t="shared" si="22"/>
        <v>Phase 1</v>
      </c>
      <c r="F124" s="40" t="str">
        <v/>
      </c>
      <c r="G124" s="35"/>
      <c r="H124" s="41" t="str">
        <f ca="1"/>
        <v/>
      </c>
      <c r="I124" s="42"/>
      <c r="J124" s="42"/>
      <c r="K124" s="42"/>
      <c r="L124" s="42"/>
      <c r="M124" s="42"/>
      <c r="N124" s="42"/>
      <c r="O124" s="42"/>
      <c r="P124" s="42"/>
      <c r="Q124" s="42"/>
      <c r="R124" s="42"/>
      <c r="S124" s="42"/>
      <c r="T124" s="42"/>
      <c r="U124" s="42"/>
      <c r="V124" s="42"/>
      <c r="W124" s="42"/>
      <c r="X124" s="42"/>
      <c r="Y124" s="42"/>
      <c r="Z124" s="42"/>
      <c r="AA124" s="42"/>
      <c r="AB124" s="42"/>
      <c r="AC124" s="42"/>
    </row>
    <row r="125" spans="1:29" x14ac:dyDescent="0.25">
      <c r="A125" s="43" t="str">
        <f t="shared" si="0"/>
        <v/>
      </c>
      <c r="B125" s="44"/>
      <c r="C125" s="45" t="s">
        <v>142</v>
      </c>
      <c r="D125" s="46" t="str">
        <f t="shared" ref="D125:E125" si="23">D$123</f>
        <v>Critical</v>
      </c>
      <c r="E125" s="46" t="str">
        <f t="shared" si="23"/>
        <v>Phase 1</v>
      </c>
      <c r="F125" s="40" t="str">
        <v/>
      </c>
      <c r="G125" s="35"/>
      <c r="H125" s="41" t="str">
        <f ca="1"/>
        <v/>
      </c>
      <c r="I125" s="42"/>
      <c r="J125" s="42"/>
      <c r="K125" s="42"/>
      <c r="L125" s="42"/>
      <c r="M125" s="42"/>
      <c r="N125" s="42"/>
      <c r="O125" s="42"/>
      <c r="P125" s="42"/>
      <c r="Q125" s="42"/>
      <c r="R125" s="42"/>
      <c r="S125" s="42"/>
      <c r="T125" s="42"/>
      <c r="U125" s="42"/>
      <c r="V125" s="42"/>
      <c r="W125" s="42"/>
      <c r="X125" s="42"/>
      <c r="Y125" s="42"/>
      <c r="Z125" s="42"/>
      <c r="AA125" s="42"/>
      <c r="AB125" s="42"/>
      <c r="AC125" s="42"/>
    </row>
    <row r="126" spans="1:29" x14ac:dyDescent="0.25">
      <c r="A126" s="43" t="str">
        <f t="shared" si="0"/>
        <v/>
      </c>
      <c r="B126" s="44"/>
      <c r="C126" s="45" t="s">
        <v>143</v>
      </c>
      <c r="D126" s="46" t="str">
        <f t="shared" ref="D126:E126" si="24">D$123</f>
        <v>Critical</v>
      </c>
      <c r="E126" s="46" t="str">
        <f t="shared" si="24"/>
        <v>Phase 1</v>
      </c>
      <c r="F126" s="40" t="str">
        <v/>
      </c>
      <c r="G126" s="35"/>
      <c r="H126" s="41" t="str">
        <f ca="1"/>
        <v/>
      </c>
      <c r="I126" s="42"/>
      <c r="J126" s="42"/>
      <c r="K126" s="42"/>
      <c r="L126" s="42"/>
      <c r="M126" s="42"/>
      <c r="N126" s="42"/>
      <c r="O126" s="42"/>
      <c r="P126" s="42"/>
      <c r="Q126" s="42"/>
      <c r="R126" s="42"/>
      <c r="S126" s="42"/>
      <c r="T126" s="42"/>
      <c r="U126" s="42"/>
      <c r="V126" s="42"/>
      <c r="W126" s="42"/>
      <c r="X126" s="42"/>
      <c r="Y126" s="42"/>
      <c r="Z126" s="42"/>
      <c r="AA126" s="42"/>
      <c r="AB126" s="42"/>
      <c r="AC126" s="42"/>
    </row>
    <row r="127" spans="1:29" x14ac:dyDescent="0.25">
      <c r="A127" s="43" t="str">
        <f t="shared" si="0"/>
        <v/>
      </c>
      <c r="B127" s="44"/>
      <c r="C127" s="45"/>
      <c r="D127" s="39"/>
      <c r="E127" s="39"/>
      <c r="F127" s="40" t="str">
        <v/>
      </c>
      <c r="G127" s="35"/>
      <c r="H127" s="41" t="str">
        <f ca="1"/>
        <v/>
      </c>
      <c r="I127" s="42"/>
      <c r="J127" s="42"/>
      <c r="K127" s="42"/>
      <c r="L127" s="42"/>
      <c r="M127" s="42"/>
      <c r="N127" s="42"/>
      <c r="O127" s="42"/>
      <c r="P127" s="42"/>
      <c r="Q127" s="42"/>
      <c r="R127" s="42"/>
      <c r="S127" s="42"/>
      <c r="T127" s="42"/>
      <c r="U127" s="42"/>
      <c r="V127" s="42"/>
      <c r="W127" s="42"/>
      <c r="X127" s="42"/>
      <c r="Y127" s="42"/>
      <c r="Z127" s="42"/>
      <c r="AA127" s="42"/>
      <c r="AB127" s="42"/>
      <c r="AC127" s="42"/>
    </row>
    <row r="128" spans="1:29" x14ac:dyDescent="0.25">
      <c r="A128" s="43" t="str">
        <f t="shared" si="0"/>
        <v/>
      </c>
      <c r="B128" s="44"/>
      <c r="C128" s="45"/>
      <c r="D128" s="39"/>
      <c r="E128" s="39"/>
      <c r="F128" s="40" t="str">
        <v/>
      </c>
      <c r="G128" s="35"/>
      <c r="H128" s="41" t="str">
        <f ca="1"/>
        <v/>
      </c>
      <c r="I128" s="42"/>
      <c r="J128" s="42"/>
      <c r="K128" s="42"/>
      <c r="L128" s="42"/>
      <c r="M128" s="42"/>
      <c r="N128" s="42"/>
      <c r="O128" s="42"/>
      <c r="P128" s="42"/>
      <c r="Q128" s="42"/>
      <c r="R128" s="42"/>
      <c r="S128" s="42"/>
      <c r="T128" s="42"/>
      <c r="U128" s="42"/>
      <c r="V128" s="42"/>
      <c r="W128" s="42"/>
      <c r="X128" s="42"/>
      <c r="Y128" s="42"/>
      <c r="Z128" s="42"/>
      <c r="AA128" s="42"/>
      <c r="AB128" s="42"/>
      <c r="AC128" s="42"/>
    </row>
    <row r="129" spans="1:29" x14ac:dyDescent="0.25">
      <c r="A129" s="43" t="str">
        <f t="shared" si="0"/>
        <v/>
      </c>
      <c r="B129" s="44"/>
      <c r="C129" s="45"/>
      <c r="D129" s="39"/>
      <c r="E129" s="39"/>
      <c r="F129" s="40" t="str">
        <v/>
      </c>
      <c r="G129" s="35"/>
      <c r="H129" s="41" t="str">
        <f ca="1"/>
        <v/>
      </c>
      <c r="I129" s="42"/>
      <c r="J129" s="42"/>
      <c r="K129" s="42"/>
      <c r="L129" s="42"/>
      <c r="M129" s="42"/>
      <c r="N129" s="42"/>
      <c r="O129" s="42"/>
      <c r="P129" s="42"/>
      <c r="Q129" s="42"/>
      <c r="R129" s="42"/>
      <c r="S129" s="42"/>
      <c r="T129" s="42"/>
      <c r="U129" s="42"/>
      <c r="V129" s="42"/>
      <c r="W129" s="42"/>
      <c r="X129" s="42"/>
      <c r="Y129" s="42"/>
      <c r="Z129" s="42"/>
      <c r="AA129" s="42"/>
      <c r="AB129" s="42"/>
      <c r="AC129" s="42"/>
    </row>
    <row r="130" spans="1:29" x14ac:dyDescent="0.25">
      <c r="A130" s="43" t="str">
        <f t="shared" si="0"/>
        <v/>
      </c>
      <c r="B130" s="44"/>
      <c r="C130" s="45"/>
      <c r="D130" s="39"/>
      <c r="E130" s="39"/>
      <c r="F130" s="40" t="str">
        <v/>
      </c>
      <c r="G130" s="35"/>
      <c r="H130" s="41" t="str">
        <f ca="1"/>
        <v/>
      </c>
      <c r="I130" s="42"/>
      <c r="J130" s="42"/>
      <c r="K130" s="42"/>
      <c r="L130" s="42"/>
      <c r="M130" s="42"/>
      <c r="N130" s="42"/>
      <c r="O130" s="42"/>
      <c r="P130" s="42"/>
      <c r="Q130" s="42"/>
      <c r="R130" s="42"/>
      <c r="S130" s="42"/>
      <c r="T130" s="42"/>
      <c r="U130" s="42"/>
      <c r="V130" s="42"/>
      <c r="W130" s="42"/>
      <c r="X130" s="42"/>
      <c r="Y130" s="42"/>
      <c r="Z130" s="42"/>
      <c r="AA130" s="42"/>
      <c r="AB130" s="42"/>
      <c r="AC130" s="42"/>
    </row>
    <row r="131" spans="1:29" x14ac:dyDescent="0.25">
      <c r="A131" s="43" t="e">
        <f t="shared" ca="1" si="0"/>
        <v>#NAME?</v>
      </c>
      <c r="B131" s="44" t="s">
        <v>144</v>
      </c>
      <c r="C131" s="45"/>
      <c r="D131" s="39" t="s">
        <v>37</v>
      </c>
      <c r="E131" s="39" t="s">
        <v>54</v>
      </c>
      <c r="F131" s="40" t="e">
        <f ca="1"/>
        <v>#NAME?</v>
      </c>
      <c r="G131" s="35" t="e">
        <f ca="1">"- "&amp;_xludf.textjoin("
- ",TRUE,$C132:$C137)</f>
        <v>#NAME?</v>
      </c>
      <c r="H131" s="41" t="e">
        <f ca="1"/>
        <v>#NAME?</v>
      </c>
      <c r="I131" s="42"/>
      <c r="J131" s="42"/>
      <c r="K131" s="42"/>
      <c r="L131" s="42"/>
      <c r="M131" s="42"/>
      <c r="N131" s="42"/>
      <c r="O131" s="42"/>
      <c r="P131" s="42"/>
      <c r="Q131" s="42"/>
      <c r="R131" s="42"/>
      <c r="S131" s="42"/>
      <c r="T131" s="42"/>
      <c r="U131" s="42"/>
      <c r="V131" s="42"/>
      <c r="W131" s="42"/>
      <c r="X131" s="42"/>
      <c r="Y131" s="42"/>
      <c r="Z131" s="42"/>
      <c r="AA131" s="42"/>
      <c r="AB131" s="42"/>
      <c r="AC131" s="42"/>
    </row>
    <row r="132" spans="1:29" x14ac:dyDescent="0.25">
      <c r="A132" s="43" t="str">
        <f t="shared" si="0"/>
        <v/>
      </c>
      <c r="B132" s="53"/>
      <c r="C132" s="54" t="s">
        <v>145</v>
      </c>
      <c r="D132" s="55" t="str">
        <f t="shared" ref="D132:E132" si="25">D$131</f>
        <v>Critical</v>
      </c>
      <c r="E132" s="55" t="str">
        <f t="shared" si="25"/>
        <v>Phase 1</v>
      </c>
      <c r="F132" s="40" t="str">
        <v/>
      </c>
      <c r="G132" s="35"/>
      <c r="H132" s="41" t="str">
        <f ca="1"/>
        <v/>
      </c>
      <c r="I132" s="42"/>
      <c r="J132" s="42"/>
      <c r="K132" s="42"/>
      <c r="L132" s="42"/>
      <c r="M132" s="42"/>
      <c r="N132" s="42"/>
      <c r="O132" s="42"/>
      <c r="P132" s="42"/>
      <c r="Q132" s="42"/>
      <c r="R132" s="42"/>
      <c r="S132" s="42"/>
      <c r="T132" s="42"/>
      <c r="U132" s="42"/>
      <c r="V132" s="42"/>
      <c r="W132" s="42"/>
      <c r="X132" s="42"/>
      <c r="Y132" s="42"/>
      <c r="Z132" s="42"/>
      <c r="AA132" s="42"/>
      <c r="AB132" s="42"/>
      <c r="AC132" s="42"/>
    </row>
    <row r="133" spans="1:29" x14ac:dyDescent="0.25">
      <c r="A133" s="43" t="str">
        <f t="shared" si="0"/>
        <v/>
      </c>
      <c r="B133" s="53"/>
      <c r="C133" s="38" t="s">
        <v>146</v>
      </c>
      <c r="D133" s="55" t="str">
        <f t="shared" ref="D133:E133" si="26">D$131</f>
        <v>Critical</v>
      </c>
      <c r="E133" s="55" t="str">
        <f t="shared" si="26"/>
        <v>Phase 1</v>
      </c>
      <c r="F133" s="40" t="str">
        <v/>
      </c>
      <c r="G133" s="35"/>
      <c r="H133" s="41" t="str">
        <f ca="1"/>
        <v/>
      </c>
      <c r="I133" s="42"/>
      <c r="J133" s="42"/>
      <c r="K133" s="42"/>
      <c r="L133" s="42"/>
      <c r="M133" s="42"/>
      <c r="N133" s="42"/>
      <c r="O133" s="42"/>
      <c r="P133" s="42"/>
      <c r="Q133" s="42"/>
      <c r="R133" s="42"/>
      <c r="S133" s="42"/>
      <c r="T133" s="42"/>
      <c r="U133" s="42"/>
      <c r="V133" s="42"/>
      <c r="W133" s="42"/>
      <c r="X133" s="42"/>
      <c r="Y133" s="42"/>
      <c r="Z133" s="42"/>
      <c r="AA133" s="42"/>
      <c r="AB133" s="42"/>
      <c r="AC133" s="42"/>
    </row>
    <row r="134" spans="1:29" x14ac:dyDescent="0.25">
      <c r="A134" s="43" t="str">
        <f t="shared" si="0"/>
        <v/>
      </c>
      <c r="B134" s="53"/>
      <c r="C134" s="38" t="s">
        <v>147</v>
      </c>
      <c r="D134" s="55" t="str">
        <f t="shared" ref="D134:E134" si="27">D$131</f>
        <v>Critical</v>
      </c>
      <c r="E134" s="55" t="str">
        <f t="shared" si="27"/>
        <v>Phase 1</v>
      </c>
      <c r="F134" s="40" t="str">
        <v/>
      </c>
      <c r="G134" s="35"/>
      <c r="H134" s="41" t="str">
        <f ca="1"/>
        <v/>
      </c>
      <c r="I134" s="42"/>
      <c r="J134" s="42"/>
      <c r="K134" s="42"/>
      <c r="L134" s="42"/>
      <c r="M134" s="42"/>
      <c r="N134" s="42"/>
      <c r="O134" s="42"/>
      <c r="P134" s="42"/>
      <c r="Q134" s="42"/>
      <c r="R134" s="42"/>
      <c r="S134" s="42"/>
      <c r="T134" s="42"/>
      <c r="U134" s="42"/>
      <c r="V134" s="42"/>
      <c r="W134" s="42"/>
      <c r="X134" s="42"/>
      <c r="Y134" s="42"/>
      <c r="Z134" s="42"/>
      <c r="AA134" s="42"/>
      <c r="AB134" s="42"/>
      <c r="AC134" s="42"/>
    </row>
    <row r="135" spans="1:29" x14ac:dyDescent="0.25">
      <c r="A135" s="43" t="str">
        <f t="shared" si="0"/>
        <v/>
      </c>
      <c r="B135" s="53"/>
      <c r="C135" s="38" t="s">
        <v>148</v>
      </c>
      <c r="D135" s="55" t="str">
        <f t="shared" ref="D135:E135" si="28">D$131</f>
        <v>Critical</v>
      </c>
      <c r="E135" s="55" t="str">
        <f t="shared" si="28"/>
        <v>Phase 1</v>
      </c>
      <c r="F135" s="40" t="str">
        <v/>
      </c>
      <c r="G135" s="35"/>
      <c r="H135" s="41" t="str">
        <f ca="1"/>
        <v/>
      </c>
      <c r="I135" s="42"/>
      <c r="J135" s="42"/>
      <c r="K135" s="42"/>
      <c r="L135" s="42"/>
      <c r="M135" s="42"/>
      <c r="N135" s="42"/>
      <c r="O135" s="42"/>
      <c r="P135" s="42"/>
      <c r="Q135" s="42"/>
      <c r="R135" s="42"/>
      <c r="S135" s="42"/>
      <c r="T135" s="42"/>
      <c r="U135" s="42"/>
      <c r="V135" s="42"/>
      <c r="W135" s="42"/>
      <c r="X135" s="42"/>
      <c r="Y135" s="42"/>
      <c r="Z135" s="42"/>
      <c r="AA135" s="42"/>
      <c r="AB135" s="42"/>
      <c r="AC135" s="42"/>
    </row>
    <row r="136" spans="1:29" x14ac:dyDescent="0.25">
      <c r="A136" s="43" t="str">
        <f t="shared" si="0"/>
        <v/>
      </c>
      <c r="B136" s="53"/>
      <c r="C136" s="38" t="s">
        <v>149</v>
      </c>
      <c r="D136" s="55" t="str">
        <f t="shared" ref="D136:E136" si="29">D$131</f>
        <v>Critical</v>
      </c>
      <c r="E136" s="55" t="str">
        <f t="shared" si="29"/>
        <v>Phase 1</v>
      </c>
      <c r="F136" s="40" t="str">
        <v/>
      </c>
      <c r="G136" s="35"/>
      <c r="H136" s="41" t="str">
        <f ca="1"/>
        <v/>
      </c>
      <c r="I136" s="42"/>
      <c r="J136" s="42"/>
      <c r="K136" s="42"/>
      <c r="L136" s="42"/>
      <c r="M136" s="42"/>
      <c r="N136" s="42"/>
      <c r="O136" s="42"/>
      <c r="P136" s="42"/>
      <c r="Q136" s="42"/>
      <c r="R136" s="42"/>
      <c r="S136" s="42"/>
      <c r="T136" s="42"/>
      <c r="U136" s="42"/>
      <c r="V136" s="42"/>
      <c r="W136" s="42"/>
      <c r="X136" s="42"/>
      <c r="Y136" s="42"/>
      <c r="Z136" s="42"/>
      <c r="AA136" s="42"/>
      <c r="AB136" s="42"/>
      <c r="AC136" s="42"/>
    </row>
    <row r="137" spans="1:29" x14ac:dyDescent="0.25">
      <c r="A137" s="43" t="str">
        <f t="shared" si="0"/>
        <v/>
      </c>
      <c r="B137" s="53"/>
      <c r="C137" s="38" t="s">
        <v>150</v>
      </c>
      <c r="D137" s="55" t="str">
        <f t="shared" ref="D137:E137" si="30">D$131</f>
        <v>Critical</v>
      </c>
      <c r="E137" s="55" t="str">
        <f t="shared" si="30"/>
        <v>Phase 1</v>
      </c>
      <c r="F137" s="40" t="str">
        <v/>
      </c>
      <c r="G137" s="35"/>
      <c r="H137" s="41" t="str">
        <f ca="1"/>
        <v/>
      </c>
      <c r="I137" s="42"/>
      <c r="J137" s="42"/>
      <c r="K137" s="42"/>
      <c r="L137" s="42"/>
      <c r="M137" s="42"/>
      <c r="N137" s="42"/>
      <c r="O137" s="42"/>
      <c r="P137" s="42"/>
      <c r="Q137" s="42"/>
      <c r="R137" s="42"/>
      <c r="S137" s="42"/>
      <c r="T137" s="42"/>
      <c r="U137" s="42"/>
      <c r="V137" s="42"/>
      <c r="W137" s="42"/>
      <c r="X137" s="42"/>
      <c r="Y137" s="42"/>
      <c r="Z137" s="42"/>
      <c r="AA137" s="42"/>
      <c r="AB137" s="42"/>
      <c r="AC137" s="42"/>
    </row>
    <row r="138" spans="1:29" x14ac:dyDescent="0.25">
      <c r="A138" s="43" t="str">
        <f t="shared" si="0"/>
        <v/>
      </c>
      <c r="B138" s="53"/>
      <c r="C138" s="38"/>
      <c r="D138" s="41"/>
      <c r="E138" s="41"/>
      <c r="F138" s="40" t="str">
        <v/>
      </c>
      <c r="G138" s="35"/>
      <c r="H138" s="41" t="str">
        <f ca="1"/>
        <v/>
      </c>
      <c r="I138" s="42"/>
      <c r="J138" s="42"/>
      <c r="K138" s="42"/>
      <c r="L138" s="42"/>
      <c r="M138" s="42"/>
      <c r="N138" s="42"/>
      <c r="O138" s="42"/>
      <c r="P138" s="42"/>
      <c r="Q138" s="42"/>
      <c r="R138" s="42"/>
      <c r="S138" s="42"/>
      <c r="T138" s="42"/>
      <c r="U138" s="42"/>
      <c r="V138" s="42"/>
      <c r="W138" s="42"/>
      <c r="X138" s="42"/>
      <c r="Y138" s="42"/>
      <c r="Z138" s="42"/>
      <c r="AA138" s="42"/>
      <c r="AB138" s="42"/>
      <c r="AC138" s="42"/>
    </row>
    <row r="139" spans="1:29" x14ac:dyDescent="0.25">
      <c r="A139" s="43" t="e">
        <f t="shared" ca="1" si="0"/>
        <v>#NAME?</v>
      </c>
      <c r="B139" s="44" t="s">
        <v>151</v>
      </c>
      <c r="C139" s="49"/>
      <c r="D139" s="39" t="s">
        <v>37</v>
      </c>
      <c r="E139" s="39" t="s">
        <v>54</v>
      </c>
      <c r="F139" s="40" t="e">
        <f ca="1"/>
        <v>#NAME?</v>
      </c>
      <c r="G139" s="35" t="e">
        <f ca="1">"- "&amp;_xludf.textjoin("
- ",TRUE,$C140:$C143)</f>
        <v>#NAME?</v>
      </c>
      <c r="H139" s="41" t="e">
        <f ca="1"/>
        <v>#NAME?</v>
      </c>
      <c r="I139" s="42"/>
      <c r="J139" s="42"/>
      <c r="K139" s="42"/>
      <c r="L139" s="42"/>
      <c r="M139" s="42"/>
      <c r="N139" s="42"/>
      <c r="O139" s="42"/>
      <c r="P139" s="42"/>
      <c r="Q139" s="42"/>
      <c r="R139" s="42"/>
      <c r="S139" s="42"/>
      <c r="T139" s="42"/>
      <c r="U139" s="42"/>
      <c r="V139" s="42"/>
      <c r="W139" s="42"/>
      <c r="X139" s="42"/>
      <c r="Y139" s="42"/>
      <c r="Z139" s="42"/>
      <c r="AA139" s="42"/>
      <c r="AB139" s="42"/>
      <c r="AC139" s="42"/>
    </row>
    <row r="140" spans="1:29" x14ac:dyDescent="0.25">
      <c r="A140" s="43" t="str">
        <f t="shared" si="0"/>
        <v/>
      </c>
      <c r="B140" s="35"/>
      <c r="C140" s="38" t="s">
        <v>152</v>
      </c>
      <c r="D140" s="41" t="str">
        <f t="shared" ref="D140:E140" si="31">D$139</f>
        <v>Critical</v>
      </c>
      <c r="E140" s="41" t="str">
        <f t="shared" si="31"/>
        <v>Phase 1</v>
      </c>
      <c r="F140" s="40" t="str">
        <v/>
      </c>
      <c r="G140" s="35"/>
      <c r="H140" s="41" t="str">
        <f ca="1"/>
        <v/>
      </c>
      <c r="I140" s="42"/>
      <c r="J140" s="42"/>
      <c r="K140" s="42"/>
      <c r="L140" s="42"/>
      <c r="M140" s="42"/>
      <c r="N140" s="42"/>
      <c r="O140" s="42"/>
      <c r="P140" s="42"/>
      <c r="Q140" s="42"/>
      <c r="R140" s="42"/>
      <c r="S140" s="42"/>
      <c r="T140" s="42"/>
      <c r="U140" s="42"/>
      <c r="V140" s="42"/>
      <c r="W140" s="42"/>
      <c r="X140" s="42"/>
      <c r="Y140" s="42"/>
      <c r="Z140" s="42"/>
      <c r="AA140" s="42"/>
      <c r="AB140" s="42"/>
      <c r="AC140" s="42"/>
    </row>
    <row r="141" spans="1:29" x14ac:dyDescent="0.25">
      <c r="A141" s="43" t="str">
        <f t="shared" si="0"/>
        <v/>
      </c>
      <c r="B141" s="35"/>
      <c r="C141" s="35"/>
      <c r="D141" s="41"/>
      <c r="E141" s="41"/>
      <c r="F141" s="40" t="str">
        <v/>
      </c>
      <c r="G141" s="35"/>
      <c r="H141" s="41" t="str">
        <f ca="1"/>
        <v/>
      </c>
      <c r="I141" s="42"/>
      <c r="J141" s="42"/>
      <c r="K141" s="42"/>
      <c r="L141" s="42"/>
      <c r="M141" s="42"/>
      <c r="N141" s="42"/>
      <c r="O141" s="42"/>
      <c r="P141" s="42"/>
      <c r="Q141" s="42"/>
      <c r="R141" s="42"/>
      <c r="S141" s="42"/>
      <c r="T141" s="42"/>
      <c r="U141" s="42"/>
      <c r="V141" s="42"/>
      <c r="W141" s="42"/>
      <c r="X141" s="42"/>
      <c r="Y141" s="42"/>
      <c r="Z141" s="42"/>
      <c r="AA141" s="42"/>
      <c r="AB141" s="42"/>
      <c r="AC141" s="42"/>
    </row>
    <row r="142" spans="1:29" x14ac:dyDescent="0.25">
      <c r="A142" s="43" t="str">
        <f t="shared" si="0"/>
        <v/>
      </c>
      <c r="B142" s="35"/>
      <c r="C142" s="35"/>
      <c r="D142" s="41"/>
      <c r="E142" s="41"/>
      <c r="F142" s="40" t="str">
        <v/>
      </c>
      <c r="G142" s="35"/>
      <c r="H142" s="41" t="str">
        <f ca="1"/>
        <v/>
      </c>
      <c r="I142" s="42"/>
      <c r="J142" s="42"/>
      <c r="K142" s="42"/>
      <c r="L142" s="42"/>
      <c r="M142" s="42"/>
      <c r="N142" s="42"/>
      <c r="O142" s="42"/>
      <c r="P142" s="42"/>
      <c r="Q142" s="42"/>
      <c r="R142" s="42"/>
      <c r="S142" s="42"/>
      <c r="T142" s="42"/>
      <c r="U142" s="42"/>
      <c r="V142" s="42"/>
      <c r="W142" s="42"/>
      <c r="X142" s="42"/>
      <c r="Y142" s="42"/>
      <c r="Z142" s="42"/>
      <c r="AA142" s="42"/>
      <c r="AB142" s="42"/>
      <c r="AC142" s="42"/>
    </row>
    <row r="143" spans="1:29" x14ac:dyDescent="0.25">
      <c r="A143" s="43" t="str">
        <f t="shared" si="0"/>
        <v/>
      </c>
      <c r="B143" s="35"/>
      <c r="C143" s="35"/>
      <c r="D143" s="41"/>
      <c r="E143" s="41"/>
      <c r="F143" s="40" t="str">
        <v/>
      </c>
      <c r="G143" s="35"/>
      <c r="H143" s="41" t="str">
        <f ca="1"/>
        <v/>
      </c>
      <c r="I143" s="42"/>
      <c r="J143" s="42"/>
      <c r="K143" s="42"/>
      <c r="L143" s="42"/>
      <c r="M143" s="42"/>
      <c r="N143" s="42"/>
      <c r="O143" s="42"/>
      <c r="P143" s="42"/>
      <c r="Q143" s="42"/>
      <c r="R143" s="42"/>
      <c r="S143" s="42"/>
      <c r="T143" s="42"/>
      <c r="U143" s="42"/>
      <c r="V143" s="42"/>
      <c r="W143" s="42"/>
      <c r="X143" s="42"/>
      <c r="Y143" s="42"/>
      <c r="Z143" s="42"/>
      <c r="AA143" s="42"/>
      <c r="AB143" s="42"/>
      <c r="AC143" s="42"/>
    </row>
    <row r="144" spans="1:29" x14ac:dyDescent="0.25">
      <c r="A144" s="43" t="str">
        <f t="shared" si="0"/>
        <v/>
      </c>
      <c r="B144" s="35"/>
      <c r="C144" s="35"/>
      <c r="D144" s="41"/>
      <c r="E144" s="41"/>
      <c r="F144" s="40" t="str">
        <v/>
      </c>
      <c r="G144" s="35"/>
      <c r="H144" s="41" t="str">
        <f ca="1"/>
        <v/>
      </c>
      <c r="I144" s="42"/>
      <c r="J144" s="42"/>
      <c r="K144" s="42"/>
      <c r="L144" s="42"/>
      <c r="M144" s="42"/>
      <c r="N144" s="42"/>
      <c r="O144" s="42"/>
      <c r="P144" s="42"/>
      <c r="Q144" s="42"/>
      <c r="R144" s="42"/>
      <c r="S144" s="42"/>
      <c r="T144" s="42"/>
      <c r="U144" s="42"/>
      <c r="V144" s="42"/>
      <c r="W144" s="42"/>
      <c r="X144" s="42"/>
      <c r="Y144" s="42"/>
      <c r="Z144" s="42"/>
      <c r="AA144" s="42"/>
      <c r="AB144" s="42"/>
      <c r="AC144" s="42"/>
    </row>
    <row r="145" spans="1:29" x14ac:dyDescent="0.25">
      <c r="A145" s="43" t="e">
        <f t="shared" ca="1" si="0"/>
        <v>#NAME?</v>
      </c>
      <c r="B145" s="44" t="s">
        <v>153</v>
      </c>
      <c r="C145" s="49"/>
      <c r="D145" s="39" t="s">
        <v>37</v>
      </c>
      <c r="E145" s="39" t="s">
        <v>54</v>
      </c>
      <c r="F145" s="40" t="e">
        <f ca="1"/>
        <v>#NAME?</v>
      </c>
      <c r="G145" s="35" t="e">
        <f ca="1">"- "&amp;_xludf.textjoin("
- ",TRUE,$C146:$C149)</f>
        <v>#NAME?</v>
      </c>
      <c r="H145" s="41" t="e">
        <f ca="1"/>
        <v>#NAME?</v>
      </c>
      <c r="I145" s="42"/>
      <c r="J145" s="42"/>
      <c r="K145" s="42"/>
      <c r="L145" s="42"/>
      <c r="M145" s="42"/>
      <c r="N145" s="42"/>
      <c r="O145" s="42"/>
      <c r="P145" s="42"/>
      <c r="Q145" s="42"/>
      <c r="R145" s="42"/>
      <c r="S145" s="42"/>
      <c r="T145" s="42"/>
      <c r="U145" s="42"/>
      <c r="V145" s="42"/>
      <c r="W145" s="42"/>
      <c r="X145" s="42"/>
      <c r="Y145" s="42"/>
      <c r="Z145" s="42"/>
      <c r="AA145" s="42"/>
      <c r="AB145" s="42"/>
      <c r="AC145" s="42"/>
    </row>
    <row r="146" spans="1:29" x14ac:dyDescent="0.25">
      <c r="A146" s="43" t="str">
        <f t="shared" si="0"/>
        <v/>
      </c>
      <c r="B146" s="35"/>
      <c r="C146" s="38" t="s">
        <v>154</v>
      </c>
      <c r="D146" s="55" t="str">
        <f t="shared" ref="D146:E146" si="32">D$145</f>
        <v>Critical</v>
      </c>
      <c r="E146" s="55" t="str">
        <f t="shared" si="32"/>
        <v>Phase 1</v>
      </c>
      <c r="F146" s="40" t="str">
        <v/>
      </c>
      <c r="G146" s="35"/>
      <c r="H146" s="41" t="str">
        <f ca="1"/>
        <v/>
      </c>
      <c r="I146" s="42"/>
      <c r="J146" s="42"/>
      <c r="K146" s="42"/>
      <c r="L146" s="42"/>
      <c r="M146" s="42"/>
      <c r="N146" s="42"/>
      <c r="O146" s="42"/>
      <c r="P146" s="42"/>
      <c r="Q146" s="42"/>
      <c r="R146" s="42"/>
      <c r="S146" s="42"/>
      <c r="T146" s="42"/>
      <c r="U146" s="42"/>
      <c r="V146" s="42"/>
      <c r="W146" s="42"/>
      <c r="X146" s="42"/>
      <c r="Y146" s="42"/>
      <c r="Z146" s="42"/>
      <c r="AA146" s="42"/>
      <c r="AB146" s="42"/>
      <c r="AC146" s="42"/>
    </row>
    <row r="147" spans="1:29" x14ac:dyDescent="0.25">
      <c r="A147" s="43" t="str">
        <f t="shared" si="0"/>
        <v/>
      </c>
      <c r="B147" s="35"/>
      <c r="C147" s="38" t="s">
        <v>155</v>
      </c>
      <c r="D147" s="55" t="str">
        <f t="shared" ref="D147:E147" si="33">D$145</f>
        <v>Critical</v>
      </c>
      <c r="E147" s="55" t="str">
        <f t="shared" si="33"/>
        <v>Phase 1</v>
      </c>
      <c r="F147" s="40" t="str">
        <v/>
      </c>
      <c r="G147" s="35"/>
      <c r="H147" s="41" t="str">
        <f ca="1"/>
        <v/>
      </c>
      <c r="I147" s="42"/>
      <c r="J147" s="42"/>
      <c r="K147" s="42"/>
      <c r="L147" s="42"/>
      <c r="M147" s="42"/>
      <c r="N147" s="42"/>
      <c r="O147" s="42"/>
      <c r="P147" s="42"/>
      <c r="Q147" s="42"/>
      <c r="R147" s="42"/>
      <c r="S147" s="42"/>
      <c r="T147" s="42"/>
      <c r="U147" s="42"/>
      <c r="V147" s="42"/>
      <c r="W147" s="42"/>
      <c r="X147" s="42"/>
      <c r="Y147" s="42"/>
      <c r="Z147" s="42"/>
      <c r="AA147" s="42"/>
      <c r="AB147" s="42"/>
      <c r="AC147" s="42"/>
    </row>
    <row r="148" spans="1:29" x14ac:dyDescent="0.25">
      <c r="A148" s="43" t="str">
        <f t="shared" si="0"/>
        <v/>
      </c>
      <c r="B148" s="35"/>
      <c r="C148" s="38" t="s">
        <v>156</v>
      </c>
      <c r="D148" s="55" t="str">
        <f t="shared" ref="D148:E148" si="34">D$145</f>
        <v>Critical</v>
      </c>
      <c r="E148" s="55" t="str">
        <f t="shared" si="34"/>
        <v>Phase 1</v>
      </c>
      <c r="F148" s="40" t="str">
        <v/>
      </c>
      <c r="G148" s="35"/>
      <c r="H148" s="41" t="str">
        <f ca="1"/>
        <v/>
      </c>
      <c r="I148" s="42"/>
      <c r="J148" s="42"/>
      <c r="K148" s="42"/>
      <c r="L148" s="42"/>
      <c r="M148" s="42"/>
      <c r="N148" s="42"/>
      <c r="O148" s="42"/>
      <c r="P148" s="42"/>
      <c r="Q148" s="42"/>
      <c r="R148" s="42"/>
      <c r="S148" s="42"/>
      <c r="T148" s="42"/>
      <c r="U148" s="42"/>
      <c r="V148" s="42"/>
      <c r="W148" s="42"/>
      <c r="X148" s="42"/>
      <c r="Y148" s="42"/>
      <c r="Z148" s="42"/>
      <c r="AA148" s="42"/>
      <c r="AB148" s="42"/>
      <c r="AC148" s="42"/>
    </row>
    <row r="149" spans="1:29" x14ac:dyDescent="0.25">
      <c r="A149" s="43" t="str">
        <f t="shared" si="0"/>
        <v/>
      </c>
      <c r="B149" s="35"/>
      <c r="C149" s="38" t="s">
        <v>157</v>
      </c>
      <c r="D149" s="55" t="str">
        <f t="shared" ref="D149:E149" si="35">D$145</f>
        <v>Critical</v>
      </c>
      <c r="E149" s="55" t="str">
        <f t="shared" si="35"/>
        <v>Phase 1</v>
      </c>
      <c r="F149" s="40" t="str">
        <v/>
      </c>
      <c r="G149" s="35"/>
      <c r="H149" s="41" t="str">
        <f ca="1"/>
        <v/>
      </c>
      <c r="I149" s="42"/>
      <c r="J149" s="42"/>
      <c r="K149" s="42"/>
      <c r="L149" s="42"/>
      <c r="M149" s="42"/>
      <c r="N149" s="42"/>
      <c r="O149" s="42"/>
      <c r="P149" s="42"/>
      <c r="Q149" s="42"/>
      <c r="R149" s="42"/>
      <c r="S149" s="42"/>
      <c r="T149" s="42"/>
      <c r="U149" s="42"/>
      <c r="V149" s="42"/>
      <c r="W149" s="42"/>
      <c r="X149" s="42"/>
      <c r="Y149" s="42"/>
      <c r="Z149" s="42"/>
      <c r="AA149" s="42"/>
      <c r="AB149" s="42"/>
      <c r="AC149" s="42"/>
    </row>
    <row r="150" spans="1:29" x14ac:dyDescent="0.25">
      <c r="A150" s="43" t="str">
        <f t="shared" si="0"/>
        <v/>
      </c>
      <c r="B150" s="35"/>
      <c r="C150" s="38"/>
      <c r="D150" s="41"/>
      <c r="E150" s="41"/>
      <c r="F150" s="40" t="str">
        <v/>
      </c>
      <c r="G150" s="35"/>
      <c r="H150" s="41" t="str">
        <f ca="1"/>
        <v/>
      </c>
      <c r="I150" s="42"/>
      <c r="J150" s="42"/>
      <c r="K150" s="42"/>
      <c r="L150" s="42"/>
      <c r="M150" s="42"/>
      <c r="N150" s="42"/>
      <c r="O150" s="42"/>
      <c r="P150" s="42"/>
      <c r="Q150" s="42"/>
      <c r="R150" s="42"/>
      <c r="S150" s="42"/>
      <c r="T150" s="42"/>
      <c r="U150" s="42"/>
      <c r="V150" s="42"/>
      <c r="W150" s="42"/>
      <c r="X150" s="42"/>
      <c r="Y150" s="42"/>
      <c r="Z150" s="42"/>
      <c r="AA150" s="42"/>
      <c r="AB150" s="42"/>
      <c r="AC150" s="42"/>
    </row>
    <row r="151" spans="1:29" x14ac:dyDescent="0.25">
      <c r="A151" s="43" t="str">
        <f t="shared" si="0"/>
        <v/>
      </c>
      <c r="B151" s="47"/>
      <c r="C151" s="42"/>
      <c r="D151" s="56"/>
      <c r="E151" s="56"/>
      <c r="F151" s="42" t="str">
        <v/>
      </c>
      <c r="G151" s="42"/>
      <c r="H151" s="41" t="str">
        <f ca="1"/>
        <v/>
      </c>
      <c r="I151" s="42"/>
      <c r="J151" s="42"/>
      <c r="K151" s="42"/>
      <c r="L151" s="42"/>
      <c r="M151" s="42"/>
      <c r="N151" s="42"/>
      <c r="O151" s="42"/>
      <c r="P151" s="42"/>
      <c r="Q151" s="42"/>
      <c r="R151" s="42"/>
      <c r="S151" s="42"/>
      <c r="T151" s="42"/>
      <c r="U151" s="42"/>
      <c r="V151" s="42"/>
      <c r="W151" s="42"/>
      <c r="X151" s="42"/>
      <c r="Y151" s="42"/>
      <c r="Z151" s="42"/>
      <c r="AA151" s="42"/>
      <c r="AB151" s="42"/>
      <c r="AC151" s="42"/>
    </row>
    <row r="152" spans="1:29" x14ac:dyDescent="0.25">
      <c r="A152" s="43" t="e">
        <f t="shared" ca="1" si="0"/>
        <v>#NAME?</v>
      </c>
      <c r="B152" s="44" t="s">
        <v>158</v>
      </c>
      <c r="C152" s="57"/>
      <c r="D152" s="39" t="s">
        <v>38</v>
      </c>
      <c r="E152" s="56" t="s">
        <v>54</v>
      </c>
      <c r="F152" s="40" t="e">
        <f ca="1"/>
        <v>#NAME?</v>
      </c>
      <c r="G152" s="35" t="e">
        <f ca="1">"- "&amp;_xludf.textjoin("
- ",TRUE,$C153:$C156)</f>
        <v>#NAME?</v>
      </c>
      <c r="H152" s="41" t="e">
        <f ca="1"/>
        <v>#NAME?</v>
      </c>
      <c r="I152" s="42"/>
      <c r="J152" s="42"/>
      <c r="K152" s="42"/>
      <c r="L152" s="42"/>
      <c r="M152" s="42"/>
      <c r="N152" s="42"/>
      <c r="O152" s="42"/>
      <c r="P152" s="42"/>
      <c r="Q152" s="42"/>
      <c r="R152" s="42"/>
      <c r="S152" s="42"/>
      <c r="T152" s="42"/>
      <c r="U152" s="42"/>
      <c r="V152" s="42"/>
      <c r="W152" s="42"/>
      <c r="X152" s="42"/>
      <c r="Y152" s="42"/>
      <c r="Z152" s="42"/>
      <c r="AA152" s="42"/>
      <c r="AB152" s="42"/>
      <c r="AC152" s="42"/>
    </row>
    <row r="153" spans="1:29" x14ac:dyDescent="0.25">
      <c r="A153" s="43" t="str">
        <f t="shared" si="0"/>
        <v/>
      </c>
      <c r="B153" s="47"/>
      <c r="C153" s="35" t="s">
        <v>159</v>
      </c>
      <c r="D153" s="58" t="str">
        <f t="shared" ref="D153:E153" si="36">D$152</f>
        <v>High</v>
      </c>
      <c r="E153" s="58" t="str">
        <f t="shared" si="36"/>
        <v>Phase 1</v>
      </c>
      <c r="F153" s="42" t="str">
        <v/>
      </c>
      <c r="G153" s="42"/>
      <c r="H153" s="41" t="str">
        <f ca="1"/>
        <v/>
      </c>
      <c r="I153" s="42"/>
      <c r="J153" s="42"/>
      <c r="K153" s="42"/>
      <c r="L153" s="42"/>
      <c r="M153" s="42"/>
      <c r="N153" s="42"/>
      <c r="O153" s="42"/>
      <c r="P153" s="42"/>
      <c r="Q153" s="42"/>
      <c r="R153" s="42"/>
      <c r="S153" s="42"/>
      <c r="T153" s="42"/>
      <c r="U153" s="42"/>
      <c r="V153" s="42"/>
      <c r="W153" s="42"/>
      <c r="X153" s="42"/>
      <c r="Y153" s="42"/>
      <c r="Z153" s="42"/>
      <c r="AA153" s="42"/>
      <c r="AB153" s="42"/>
      <c r="AC153" s="42"/>
    </row>
    <row r="154" spans="1:29" x14ac:dyDescent="0.25">
      <c r="A154" s="43" t="str">
        <f t="shared" si="0"/>
        <v/>
      </c>
      <c r="B154" s="47"/>
      <c r="C154" s="35"/>
      <c r="D154" s="56"/>
      <c r="E154" s="56"/>
      <c r="F154" s="42" t="str">
        <v/>
      </c>
      <c r="G154" s="42"/>
      <c r="H154" s="41" t="str">
        <f ca="1"/>
        <v/>
      </c>
      <c r="I154" s="42"/>
      <c r="J154" s="42"/>
      <c r="K154" s="42"/>
      <c r="L154" s="42"/>
      <c r="M154" s="42"/>
      <c r="N154" s="42"/>
      <c r="O154" s="42"/>
      <c r="P154" s="42"/>
      <c r="Q154" s="42"/>
      <c r="R154" s="42"/>
      <c r="S154" s="42"/>
      <c r="T154" s="42"/>
      <c r="U154" s="42"/>
      <c r="V154" s="42"/>
      <c r="W154" s="42"/>
      <c r="X154" s="42"/>
      <c r="Y154" s="42"/>
      <c r="Z154" s="42"/>
      <c r="AA154" s="42"/>
      <c r="AB154" s="42"/>
      <c r="AC154" s="42"/>
    </row>
    <row r="155" spans="1:29" x14ac:dyDescent="0.25">
      <c r="A155" s="43" t="str">
        <f t="shared" si="0"/>
        <v/>
      </c>
      <c r="B155" s="47"/>
      <c r="C155" s="35"/>
      <c r="D155" s="56"/>
      <c r="E155" s="56"/>
      <c r="F155" s="42" t="str">
        <v/>
      </c>
      <c r="G155" s="42"/>
      <c r="H155" s="41" t="str">
        <f ca="1"/>
        <v/>
      </c>
      <c r="I155" s="42"/>
      <c r="J155" s="42"/>
      <c r="K155" s="42"/>
      <c r="L155" s="42"/>
      <c r="M155" s="42"/>
      <c r="N155" s="42"/>
      <c r="O155" s="42"/>
      <c r="P155" s="42"/>
      <c r="Q155" s="42"/>
      <c r="R155" s="42"/>
      <c r="S155" s="42"/>
      <c r="T155" s="42"/>
      <c r="U155" s="42"/>
      <c r="V155" s="42"/>
      <c r="W155" s="42"/>
      <c r="X155" s="42"/>
      <c r="Y155" s="42"/>
      <c r="Z155" s="42"/>
      <c r="AA155" s="42"/>
      <c r="AB155" s="42"/>
      <c r="AC155" s="42"/>
    </row>
    <row r="156" spans="1:29" x14ac:dyDescent="0.25">
      <c r="A156" s="43" t="str">
        <f t="shared" si="0"/>
        <v/>
      </c>
      <c r="B156" s="47"/>
      <c r="C156" s="35"/>
      <c r="D156" s="56"/>
      <c r="E156" s="56"/>
      <c r="F156" s="42" t="str">
        <v/>
      </c>
      <c r="G156" s="42"/>
      <c r="H156" s="41" t="str">
        <f ca="1"/>
        <v/>
      </c>
      <c r="I156" s="42"/>
      <c r="J156" s="42"/>
      <c r="K156" s="42"/>
      <c r="L156" s="42"/>
      <c r="M156" s="42"/>
      <c r="N156" s="42"/>
      <c r="O156" s="42"/>
      <c r="P156" s="42"/>
      <c r="Q156" s="42"/>
      <c r="R156" s="42"/>
      <c r="S156" s="42"/>
      <c r="T156" s="42"/>
      <c r="U156" s="42"/>
      <c r="V156" s="42"/>
      <c r="W156" s="42"/>
      <c r="X156" s="42"/>
      <c r="Y156" s="42"/>
      <c r="Z156" s="42"/>
      <c r="AA156" s="42"/>
      <c r="AB156" s="42"/>
      <c r="AC156" s="42"/>
    </row>
    <row r="157" spans="1:29" x14ac:dyDescent="0.25">
      <c r="A157" s="43" t="str">
        <f t="shared" si="0"/>
        <v/>
      </c>
      <c r="B157" s="47"/>
      <c r="C157" s="35"/>
      <c r="D157" s="56"/>
      <c r="E157" s="56"/>
      <c r="F157" s="42" t="str">
        <v/>
      </c>
      <c r="G157" s="42"/>
      <c r="H157" s="41" t="str">
        <f ca="1"/>
        <v/>
      </c>
      <c r="I157" s="42"/>
      <c r="J157" s="42"/>
      <c r="K157" s="42"/>
      <c r="L157" s="42"/>
      <c r="M157" s="42"/>
      <c r="N157" s="42"/>
      <c r="O157" s="42"/>
      <c r="P157" s="42"/>
      <c r="Q157" s="42"/>
      <c r="R157" s="42"/>
      <c r="S157" s="42"/>
      <c r="T157" s="42"/>
      <c r="U157" s="42"/>
      <c r="V157" s="42"/>
      <c r="W157" s="42"/>
      <c r="X157" s="42"/>
      <c r="Y157" s="42"/>
      <c r="Z157" s="42"/>
      <c r="AA157" s="42"/>
      <c r="AB157" s="42"/>
      <c r="AC157" s="42"/>
    </row>
    <row r="158" spans="1:29" x14ac:dyDescent="0.25">
      <c r="A158" s="43" t="e">
        <f t="shared" ca="1" si="0"/>
        <v>#NAME?</v>
      </c>
      <c r="B158" s="44" t="s">
        <v>160</v>
      </c>
      <c r="C158" s="49"/>
      <c r="D158" s="39" t="s">
        <v>37</v>
      </c>
      <c r="E158" s="39" t="s">
        <v>54</v>
      </c>
      <c r="F158" s="40" t="e">
        <f ca="1"/>
        <v>#NAME?</v>
      </c>
      <c r="G158" s="35" t="e">
        <f ca="1">"- "&amp;_xludf.textjoin("
- ",TRUE,$C159:$C160)</f>
        <v>#NAME?</v>
      </c>
      <c r="H158" s="41" t="e">
        <f ca="1"/>
        <v>#NAME?</v>
      </c>
      <c r="I158" s="42"/>
      <c r="J158" s="42"/>
      <c r="K158" s="42"/>
      <c r="L158" s="42"/>
      <c r="M158" s="42"/>
      <c r="N158" s="42"/>
      <c r="O158" s="42"/>
      <c r="P158" s="42"/>
      <c r="Q158" s="42"/>
      <c r="R158" s="42"/>
      <c r="S158" s="42"/>
      <c r="T158" s="42"/>
      <c r="U158" s="42"/>
      <c r="V158" s="42"/>
      <c r="W158" s="42"/>
      <c r="X158" s="42"/>
      <c r="Y158" s="42"/>
      <c r="Z158" s="42"/>
      <c r="AA158" s="42"/>
      <c r="AB158" s="42"/>
      <c r="AC158" s="42"/>
    </row>
    <row r="159" spans="1:29" x14ac:dyDescent="0.25">
      <c r="A159" s="43" t="str">
        <f t="shared" si="0"/>
        <v/>
      </c>
      <c r="B159" s="35"/>
      <c r="C159" s="38" t="s">
        <v>161</v>
      </c>
      <c r="D159" s="55" t="str">
        <f t="shared" ref="D159:E159" si="37">D$158</f>
        <v>Critical</v>
      </c>
      <c r="E159" s="55" t="str">
        <f t="shared" si="37"/>
        <v>Phase 1</v>
      </c>
      <c r="F159" s="40" t="str">
        <v/>
      </c>
      <c r="G159" s="35"/>
      <c r="H159" s="41" t="str">
        <f ca="1"/>
        <v/>
      </c>
      <c r="I159" s="42"/>
      <c r="J159" s="42"/>
      <c r="K159" s="42"/>
      <c r="L159" s="42"/>
      <c r="M159" s="42"/>
      <c r="N159" s="42"/>
      <c r="O159" s="42"/>
      <c r="P159" s="42"/>
      <c r="Q159" s="42"/>
      <c r="R159" s="42"/>
      <c r="S159" s="42"/>
      <c r="T159" s="42"/>
      <c r="U159" s="42"/>
      <c r="V159" s="42"/>
      <c r="W159" s="42"/>
      <c r="X159" s="42"/>
      <c r="Y159" s="42"/>
      <c r="Z159" s="42"/>
      <c r="AA159" s="42"/>
      <c r="AB159" s="42"/>
      <c r="AC159" s="42"/>
    </row>
    <row r="160" spans="1:29" x14ac:dyDescent="0.25">
      <c r="A160" s="43" t="str">
        <f t="shared" si="0"/>
        <v/>
      </c>
      <c r="B160" s="35"/>
      <c r="C160" s="38" t="s">
        <v>162</v>
      </c>
      <c r="D160" s="55" t="str">
        <f t="shared" ref="D160:E160" si="38">D$158</f>
        <v>Critical</v>
      </c>
      <c r="E160" s="55" t="str">
        <f t="shared" si="38"/>
        <v>Phase 1</v>
      </c>
      <c r="F160" s="40" t="str">
        <v/>
      </c>
      <c r="G160" s="35"/>
      <c r="H160" s="41" t="str">
        <f ca="1"/>
        <v/>
      </c>
      <c r="I160" s="42"/>
      <c r="J160" s="42"/>
      <c r="K160" s="42"/>
      <c r="L160" s="42"/>
      <c r="M160" s="42"/>
      <c r="N160" s="42"/>
      <c r="O160" s="42"/>
      <c r="P160" s="42"/>
      <c r="Q160" s="42"/>
      <c r="R160" s="42"/>
      <c r="S160" s="42"/>
      <c r="T160" s="42"/>
      <c r="U160" s="42"/>
      <c r="V160" s="42"/>
      <c r="W160" s="42"/>
      <c r="X160" s="42"/>
      <c r="Y160" s="42"/>
      <c r="Z160" s="42"/>
      <c r="AA160" s="42"/>
      <c r="AB160" s="42"/>
      <c r="AC160" s="42"/>
    </row>
    <row r="161" spans="1:29" x14ac:dyDescent="0.25">
      <c r="A161" s="43" t="str">
        <f t="shared" si="0"/>
        <v/>
      </c>
      <c r="B161" s="35"/>
      <c r="C161" s="38"/>
      <c r="D161" s="41"/>
      <c r="E161" s="41"/>
      <c r="F161" s="40" t="str">
        <v/>
      </c>
      <c r="G161" s="35"/>
      <c r="H161" s="41" t="str">
        <f ca="1"/>
        <v/>
      </c>
      <c r="I161" s="42"/>
      <c r="J161" s="42"/>
      <c r="K161" s="42"/>
      <c r="L161" s="42"/>
      <c r="M161" s="42"/>
      <c r="N161" s="42"/>
      <c r="O161" s="42"/>
      <c r="P161" s="42"/>
      <c r="Q161" s="42"/>
      <c r="R161" s="42"/>
      <c r="S161" s="42"/>
      <c r="T161" s="42"/>
      <c r="U161" s="42"/>
      <c r="V161" s="42"/>
      <c r="W161" s="42"/>
      <c r="X161" s="42"/>
      <c r="Y161" s="42"/>
      <c r="Z161" s="42"/>
      <c r="AA161" s="42"/>
      <c r="AB161" s="42"/>
      <c r="AC161" s="42"/>
    </row>
    <row r="162" spans="1:29" x14ac:dyDescent="0.25">
      <c r="A162" s="43" t="e">
        <f t="shared" ca="1" si="0"/>
        <v>#NAME?</v>
      </c>
      <c r="B162" s="44" t="s">
        <v>163</v>
      </c>
      <c r="C162" s="45" t="s">
        <v>164</v>
      </c>
      <c r="D162" s="46" t="str">
        <f>D$33</f>
        <v>Critical</v>
      </c>
      <c r="E162" s="39" t="s">
        <v>54</v>
      </c>
      <c r="F162" s="40" t="e">
        <f ca="1"/>
        <v>#NAME?</v>
      </c>
      <c r="G162" s="35" t="str">
        <f>C162</f>
        <v>A customer may maintain a personal list of products they like (and want to purchase often).</v>
      </c>
      <c r="H162" s="41">
        <f ca="1"/>
        <v>201</v>
      </c>
      <c r="I162" s="42"/>
      <c r="J162" s="42"/>
      <c r="K162" s="42"/>
      <c r="L162" s="42"/>
      <c r="M162" s="42"/>
      <c r="N162" s="42"/>
      <c r="O162" s="42"/>
      <c r="P162" s="42"/>
      <c r="Q162" s="42"/>
      <c r="R162" s="42"/>
      <c r="S162" s="42"/>
      <c r="T162" s="42"/>
      <c r="U162" s="42"/>
      <c r="V162" s="42"/>
      <c r="W162" s="42"/>
      <c r="X162" s="42"/>
      <c r="Y162" s="42"/>
      <c r="Z162" s="42"/>
      <c r="AA162" s="42"/>
      <c r="AB162" s="42"/>
      <c r="AC162" s="42"/>
    </row>
    <row r="163" spans="1:29" x14ac:dyDescent="0.25">
      <c r="A163" s="43" t="str">
        <f t="shared" si="0"/>
        <v/>
      </c>
      <c r="B163" s="35"/>
      <c r="C163" s="38"/>
      <c r="D163" s="41"/>
      <c r="E163" s="41"/>
      <c r="F163" s="40" t="str">
        <v/>
      </c>
      <c r="G163" s="35"/>
      <c r="H163" s="41" t="str">
        <f ca="1"/>
        <v/>
      </c>
      <c r="I163" s="42"/>
      <c r="J163" s="42"/>
      <c r="K163" s="42"/>
      <c r="L163" s="42"/>
      <c r="M163" s="42"/>
      <c r="N163" s="42"/>
      <c r="O163" s="42"/>
      <c r="P163" s="42"/>
      <c r="Q163" s="42"/>
      <c r="R163" s="42"/>
      <c r="S163" s="42"/>
      <c r="T163" s="42"/>
      <c r="U163" s="42"/>
      <c r="V163" s="42"/>
      <c r="W163" s="42"/>
      <c r="X163" s="42"/>
      <c r="Y163" s="42"/>
      <c r="Z163" s="42"/>
      <c r="AA163" s="42"/>
      <c r="AB163" s="42"/>
      <c r="AC163" s="42"/>
    </row>
    <row r="164" spans="1:29" x14ac:dyDescent="0.25">
      <c r="A164" s="43" t="e">
        <f t="shared" ca="1" si="0"/>
        <v>#NAME?</v>
      </c>
      <c r="B164" s="44" t="s">
        <v>165</v>
      </c>
      <c r="C164" s="45" t="s">
        <v>166</v>
      </c>
      <c r="D164" s="39" t="s">
        <v>38</v>
      </c>
      <c r="E164" s="39" t="s">
        <v>54</v>
      </c>
      <c r="F164" s="40" t="e">
        <f ca="1"/>
        <v>#NAME?</v>
      </c>
      <c r="G164" s="35" t="str">
        <f>C164</f>
        <v>A customer may maintain a personal list of products they like (and may want to purchase in the future).</v>
      </c>
      <c r="H164" s="41">
        <f ca="1"/>
        <v>201</v>
      </c>
      <c r="I164" s="42"/>
      <c r="J164" s="42"/>
      <c r="K164" s="42"/>
      <c r="L164" s="42"/>
      <c r="M164" s="42"/>
      <c r="N164" s="42"/>
      <c r="O164" s="42"/>
      <c r="P164" s="42"/>
      <c r="Q164" s="42"/>
      <c r="R164" s="42"/>
      <c r="S164" s="42"/>
      <c r="T164" s="42"/>
      <c r="U164" s="42"/>
      <c r="V164" s="42"/>
      <c r="W164" s="42"/>
      <c r="X164" s="42"/>
      <c r="Y164" s="42"/>
      <c r="Z164" s="42"/>
      <c r="AA164" s="42"/>
      <c r="AB164" s="42"/>
      <c r="AC164" s="42"/>
    </row>
    <row r="165" spans="1:29" x14ac:dyDescent="0.25">
      <c r="A165" s="43" t="str">
        <f t="shared" si="0"/>
        <v/>
      </c>
      <c r="B165" s="35"/>
      <c r="C165" s="38"/>
      <c r="D165" s="41"/>
      <c r="E165" s="41"/>
      <c r="F165" s="40" t="str">
        <v/>
      </c>
      <c r="G165" s="35"/>
      <c r="H165" s="41" t="str">
        <f ca="1"/>
        <v/>
      </c>
      <c r="I165" s="42"/>
      <c r="J165" s="42"/>
      <c r="K165" s="42"/>
      <c r="L165" s="42"/>
      <c r="M165" s="42"/>
      <c r="N165" s="42"/>
      <c r="O165" s="42"/>
      <c r="P165" s="42"/>
      <c r="Q165" s="42"/>
      <c r="R165" s="42"/>
      <c r="S165" s="42"/>
      <c r="T165" s="42"/>
      <c r="U165" s="42"/>
      <c r="V165" s="42"/>
      <c r="W165" s="42"/>
      <c r="X165" s="42"/>
      <c r="Y165" s="42"/>
      <c r="Z165" s="42"/>
      <c r="AA165" s="42"/>
      <c r="AB165" s="42"/>
      <c r="AC165" s="42"/>
    </row>
    <row r="166" spans="1:29" x14ac:dyDescent="0.25">
      <c r="A166" s="43" t="str">
        <f t="shared" si="0"/>
        <v/>
      </c>
      <c r="B166" s="35"/>
      <c r="C166" s="38"/>
      <c r="D166" s="41"/>
      <c r="E166" s="41"/>
      <c r="F166" s="40" t="str">
        <v/>
      </c>
      <c r="G166" s="35"/>
      <c r="H166" s="41" t="str">
        <f ca="1"/>
        <v/>
      </c>
      <c r="I166" s="42"/>
      <c r="J166" s="42"/>
      <c r="K166" s="42"/>
      <c r="L166" s="42"/>
      <c r="M166" s="42"/>
      <c r="N166" s="42"/>
      <c r="O166" s="42"/>
      <c r="P166" s="42"/>
      <c r="Q166" s="42"/>
      <c r="R166" s="42"/>
      <c r="S166" s="42"/>
      <c r="T166" s="42"/>
      <c r="U166" s="42"/>
      <c r="V166" s="42"/>
      <c r="W166" s="42"/>
      <c r="X166" s="42"/>
      <c r="Y166" s="42"/>
      <c r="Z166" s="42"/>
      <c r="AA166" s="42"/>
      <c r="AB166" s="42"/>
      <c r="AC166" s="42"/>
    </row>
    <row r="167" spans="1:29" x14ac:dyDescent="0.25">
      <c r="A167" s="43" t="e">
        <f t="shared" ca="1" si="0"/>
        <v>#NAME?</v>
      </c>
      <c r="B167" s="44" t="s">
        <v>167</v>
      </c>
      <c r="C167" s="49" t="s">
        <v>168</v>
      </c>
      <c r="D167" s="46" t="str">
        <f t="shared" ref="D167:E167" si="39">D$66</f>
        <v>Medium</v>
      </c>
      <c r="E167" s="46" t="str">
        <f t="shared" si="39"/>
        <v>Phase 1</v>
      </c>
      <c r="F167" s="40" t="e">
        <f ca="1"/>
        <v>#NAME?</v>
      </c>
      <c r="G167" s="35" t="str">
        <f>C167</f>
        <v>A customer may maintain a personal library of articles they like.</v>
      </c>
      <c r="H167" s="41">
        <f ca="1"/>
        <v>201</v>
      </c>
      <c r="I167" s="42"/>
      <c r="J167" s="42"/>
      <c r="K167" s="42"/>
      <c r="L167" s="42"/>
      <c r="M167" s="42"/>
      <c r="N167" s="42"/>
      <c r="O167" s="42"/>
      <c r="P167" s="42"/>
      <c r="Q167" s="42"/>
      <c r="R167" s="42"/>
      <c r="S167" s="42"/>
      <c r="T167" s="42"/>
      <c r="U167" s="42"/>
      <c r="V167" s="42"/>
      <c r="W167" s="42"/>
      <c r="X167" s="42"/>
      <c r="Y167" s="42"/>
      <c r="Z167" s="42"/>
      <c r="AA167" s="42"/>
      <c r="AB167" s="42"/>
      <c r="AC167" s="42"/>
    </row>
    <row r="168" spans="1:29" x14ac:dyDescent="0.25">
      <c r="A168" s="43" t="str">
        <f t="shared" si="0"/>
        <v/>
      </c>
      <c r="B168" s="35"/>
      <c r="C168" s="38"/>
      <c r="D168" s="41"/>
      <c r="E168" s="41"/>
      <c r="F168" s="40" t="str">
        <v/>
      </c>
      <c r="G168" s="35"/>
      <c r="H168" s="41" t="str">
        <f ca="1"/>
        <v/>
      </c>
      <c r="I168" s="42"/>
      <c r="J168" s="42"/>
      <c r="K168" s="42"/>
      <c r="L168" s="42"/>
      <c r="M168" s="42"/>
      <c r="N168" s="42"/>
      <c r="O168" s="42"/>
      <c r="P168" s="42"/>
      <c r="Q168" s="42"/>
      <c r="R168" s="42"/>
      <c r="S168" s="42"/>
      <c r="T168" s="42"/>
      <c r="U168" s="42"/>
      <c r="V168" s="42"/>
      <c r="W168" s="42"/>
      <c r="X168" s="42"/>
      <c r="Y168" s="42"/>
      <c r="Z168" s="42"/>
      <c r="AA168" s="42"/>
      <c r="AB168" s="42"/>
      <c r="AC168" s="42"/>
    </row>
    <row r="169" spans="1:29" x14ac:dyDescent="0.25">
      <c r="A169" s="43" t="e">
        <f t="shared" ca="1" si="0"/>
        <v>#NAME?</v>
      </c>
      <c r="B169" s="44" t="s">
        <v>169</v>
      </c>
      <c r="C169" s="45"/>
      <c r="D169" s="46" t="s">
        <v>37</v>
      </c>
      <c r="E169" s="46" t="s">
        <v>54</v>
      </c>
      <c r="F169" s="40" t="e">
        <f ca="1"/>
        <v>#NAME?</v>
      </c>
      <c r="G169" s="35" t="e">
        <f ca="1">"- "&amp;_xludf.textjoin("
- ",TRUE,$C170:$C192)</f>
        <v>#NAME?</v>
      </c>
      <c r="H169" s="41" t="e">
        <f ca="1"/>
        <v>#NAME?</v>
      </c>
      <c r="I169" s="42"/>
      <c r="J169" s="42"/>
      <c r="K169" s="42"/>
      <c r="L169" s="42"/>
      <c r="M169" s="42"/>
      <c r="N169" s="42"/>
      <c r="O169" s="42"/>
      <c r="P169" s="42"/>
      <c r="Q169" s="42"/>
      <c r="R169" s="42"/>
      <c r="S169" s="42"/>
      <c r="T169" s="42"/>
      <c r="U169" s="42"/>
      <c r="V169" s="42"/>
      <c r="W169" s="42"/>
      <c r="X169" s="42"/>
      <c r="Y169" s="42"/>
      <c r="Z169" s="42"/>
      <c r="AA169" s="42"/>
      <c r="AB169" s="42"/>
      <c r="AC169" s="42"/>
    </row>
    <row r="170" spans="1:29" x14ac:dyDescent="0.25">
      <c r="A170" s="43" t="str">
        <f t="shared" si="0"/>
        <v/>
      </c>
      <c r="B170" s="35"/>
      <c r="C170" s="38" t="s">
        <v>170</v>
      </c>
      <c r="D170" s="55" t="str">
        <f t="shared" ref="D170:E170" si="40">D$169</f>
        <v>Critical</v>
      </c>
      <c r="E170" s="55" t="str">
        <f t="shared" si="40"/>
        <v>Phase 1</v>
      </c>
      <c r="F170" s="40" t="str">
        <v/>
      </c>
      <c r="G170" s="35"/>
      <c r="H170" s="41" t="str">
        <f ca="1"/>
        <v/>
      </c>
      <c r="I170" s="42"/>
      <c r="J170" s="42"/>
      <c r="K170" s="42"/>
      <c r="L170" s="42"/>
      <c r="M170" s="42"/>
      <c r="N170" s="42"/>
      <c r="O170" s="42"/>
      <c r="P170" s="42"/>
      <c r="Q170" s="42"/>
      <c r="R170" s="42"/>
      <c r="S170" s="42"/>
      <c r="T170" s="42"/>
      <c r="U170" s="42"/>
      <c r="V170" s="42"/>
      <c r="W170" s="42"/>
      <c r="X170" s="42"/>
      <c r="Y170" s="42"/>
      <c r="Z170" s="42"/>
      <c r="AA170" s="42"/>
      <c r="AB170" s="42"/>
      <c r="AC170" s="42"/>
    </row>
    <row r="171" spans="1:29" x14ac:dyDescent="0.25">
      <c r="A171" s="43" t="str">
        <f t="shared" si="0"/>
        <v/>
      </c>
      <c r="B171" s="35"/>
      <c r="C171" s="38" t="s">
        <v>171</v>
      </c>
      <c r="D171" s="55" t="str">
        <f t="shared" ref="D171:E171" si="41">D$169</f>
        <v>Critical</v>
      </c>
      <c r="E171" s="55" t="str">
        <f t="shared" si="41"/>
        <v>Phase 1</v>
      </c>
      <c r="F171" s="40" t="str">
        <v/>
      </c>
      <c r="G171" s="35"/>
      <c r="H171" s="41" t="str">
        <f ca="1"/>
        <v/>
      </c>
      <c r="I171" s="42"/>
      <c r="J171" s="42"/>
      <c r="K171" s="42"/>
      <c r="L171" s="42"/>
      <c r="M171" s="42"/>
      <c r="N171" s="42"/>
      <c r="O171" s="42"/>
      <c r="P171" s="42"/>
      <c r="Q171" s="42"/>
      <c r="R171" s="42"/>
      <c r="S171" s="42"/>
      <c r="T171" s="42"/>
      <c r="U171" s="42"/>
      <c r="V171" s="42"/>
      <c r="W171" s="42"/>
      <c r="X171" s="42"/>
      <c r="Y171" s="42"/>
      <c r="Z171" s="42"/>
      <c r="AA171" s="42"/>
      <c r="AB171" s="42"/>
      <c r="AC171" s="42"/>
    </row>
    <row r="172" spans="1:29" x14ac:dyDescent="0.25">
      <c r="A172" s="43" t="str">
        <f t="shared" si="0"/>
        <v/>
      </c>
      <c r="B172" s="35"/>
      <c r="C172" s="38" t="s">
        <v>172</v>
      </c>
      <c r="D172" s="55" t="str">
        <f t="shared" ref="D172:E172" si="42">D$169</f>
        <v>Critical</v>
      </c>
      <c r="E172" s="55" t="str">
        <f t="shared" si="42"/>
        <v>Phase 1</v>
      </c>
      <c r="F172" s="40" t="str">
        <v/>
      </c>
      <c r="G172" s="35"/>
      <c r="H172" s="41" t="str">
        <f ca="1"/>
        <v/>
      </c>
      <c r="I172" s="42"/>
      <c r="J172" s="42"/>
      <c r="K172" s="42"/>
      <c r="L172" s="42"/>
      <c r="M172" s="42"/>
      <c r="N172" s="42"/>
      <c r="O172" s="42"/>
      <c r="P172" s="42"/>
      <c r="Q172" s="42"/>
      <c r="R172" s="42"/>
      <c r="S172" s="42"/>
      <c r="T172" s="42"/>
      <c r="U172" s="42"/>
      <c r="V172" s="42"/>
      <c r="W172" s="42"/>
      <c r="X172" s="42"/>
      <c r="Y172" s="42"/>
      <c r="Z172" s="42"/>
      <c r="AA172" s="42"/>
      <c r="AB172" s="42"/>
      <c r="AC172" s="42"/>
    </row>
    <row r="173" spans="1:29" x14ac:dyDescent="0.25">
      <c r="A173" s="43" t="str">
        <f t="shared" si="0"/>
        <v/>
      </c>
      <c r="B173" s="35"/>
      <c r="C173" s="38"/>
      <c r="D173" s="41"/>
      <c r="E173" s="41"/>
      <c r="F173" s="40" t="str">
        <v/>
      </c>
      <c r="G173" s="35"/>
      <c r="H173" s="41" t="str">
        <f ca="1"/>
        <v/>
      </c>
      <c r="I173" s="42"/>
      <c r="J173" s="42"/>
      <c r="K173" s="42"/>
      <c r="L173" s="42"/>
      <c r="M173" s="42"/>
      <c r="N173" s="42"/>
      <c r="O173" s="42"/>
      <c r="P173" s="42"/>
      <c r="Q173" s="42"/>
      <c r="R173" s="42"/>
      <c r="S173" s="42"/>
      <c r="T173" s="42"/>
      <c r="U173" s="42"/>
      <c r="V173" s="42"/>
      <c r="W173" s="42"/>
      <c r="X173" s="42"/>
      <c r="Y173" s="42"/>
      <c r="Z173" s="42"/>
      <c r="AA173" s="42"/>
      <c r="AB173" s="42"/>
      <c r="AC173" s="42"/>
    </row>
    <row r="174" spans="1:29" x14ac:dyDescent="0.25">
      <c r="A174" s="43" t="e">
        <f t="shared" ca="1" si="0"/>
        <v>#NAME?</v>
      </c>
      <c r="B174" s="44" t="s">
        <v>173</v>
      </c>
      <c r="C174" s="45"/>
      <c r="D174" s="46" t="s">
        <v>37</v>
      </c>
      <c r="E174" s="46" t="s">
        <v>54</v>
      </c>
      <c r="F174" s="40" t="e">
        <f ca="1"/>
        <v>#NAME?</v>
      </c>
      <c r="G174" s="35" t="e">
        <f ca="1">"- "&amp;_xludf.textjoin("
- ",TRUE,$C175:$C186)</f>
        <v>#NAME?</v>
      </c>
      <c r="H174" s="41" t="e">
        <f ca="1"/>
        <v>#NAME?</v>
      </c>
      <c r="I174" s="42"/>
      <c r="J174" s="42"/>
      <c r="K174" s="42"/>
      <c r="L174" s="42"/>
      <c r="M174" s="42"/>
      <c r="N174" s="42"/>
      <c r="O174" s="42"/>
      <c r="P174" s="42"/>
      <c r="Q174" s="42"/>
      <c r="R174" s="42"/>
      <c r="S174" s="42"/>
      <c r="T174" s="42"/>
      <c r="U174" s="42"/>
      <c r="V174" s="42"/>
      <c r="W174" s="42"/>
      <c r="X174" s="42"/>
      <c r="Y174" s="42"/>
      <c r="Z174" s="42"/>
      <c r="AA174" s="42"/>
      <c r="AB174" s="42"/>
      <c r="AC174" s="42"/>
    </row>
    <row r="175" spans="1:29" x14ac:dyDescent="0.25">
      <c r="A175" s="43" t="str">
        <f t="shared" si="0"/>
        <v/>
      </c>
      <c r="B175" s="35"/>
      <c r="C175" s="38" t="s">
        <v>174</v>
      </c>
      <c r="D175" s="55" t="str">
        <f t="shared" ref="D175:E175" si="43">D$174</f>
        <v>Critical</v>
      </c>
      <c r="E175" s="55" t="str">
        <f t="shared" si="43"/>
        <v>Phase 1</v>
      </c>
      <c r="F175" s="40" t="str">
        <v/>
      </c>
      <c r="G175" s="35"/>
      <c r="H175" s="41" t="str">
        <f ca="1"/>
        <v/>
      </c>
      <c r="I175" s="42"/>
      <c r="J175" s="42"/>
      <c r="K175" s="42"/>
      <c r="L175" s="42"/>
      <c r="M175" s="42"/>
      <c r="N175" s="42"/>
      <c r="O175" s="42"/>
      <c r="P175" s="42"/>
      <c r="Q175" s="42"/>
      <c r="R175" s="42"/>
      <c r="S175" s="42"/>
      <c r="T175" s="42"/>
      <c r="U175" s="42"/>
      <c r="V175" s="42"/>
      <c r="W175" s="42"/>
      <c r="X175" s="42"/>
      <c r="Y175" s="42"/>
      <c r="Z175" s="42"/>
      <c r="AA175" s="42"/>
      <c r="AB175" s="42"/>
      <c r="AC175" s="42"/>
    </row>
    <row r="176" spans="1:29" x14ac:dyDescent="0.25">
      <c r="A176" s="43" t="str">
        <f t="shared" si="0"/>
        <v/>
      </c>
      <c r="B176" s="35"/>
      <c r="C176" s="38" t="s">
        <v>175</v>
      </c>
      <c r="D176" s="55" t="str">
        <f t="shared" ref="D176:E176" si="44">D$174</f>
        <v>Critical</v>
      </c>
      <c r="E176" s="55" t="str">
        <f t="shared" si="44"/>
        <v>Phase 1</v>
      </c>
      <c r="F176" s="40" t="str">
        <v/>
      </c>
      <c r="G176" s="35"/>
      <c r="H176" s="41" t="str">
        <f ca="1"/>
        <v/>
      </c>
      <c r="I176" s="42"/>
      <c r="J176" s="42"/>
      <c r="K176" s="42"/>
      <c r="L176" s="42"/>
      <c r="M176" s="42"/>
      <c r="N176" s="42"/>
      <c r="O176" s="42"/>
      <c r="P176" s="42"/>
      <c r="Q176" s="42"/>
      <c r="R176" s="42"/>
      <c r="S176" s="42"/>
      <c r="T176" s="42"/>
      <c r="U176" s="42"/>
      <c r="V176" s="42"/>
      <c r="W176" s="42"/>
      <c r="X176" s="42"/>
      <c r="Y176" s="42"/>
      <c r="Z176" s="42"/>
      <c r="AA176" s="42"/>
      <c r="AB176" s="42"/>
      <c r="AC176" s="42"/>
    </row>
    <row r="177" spans="1:29" x14ac:dyDescent="0.25">
      <c r="A177" s="43" t="str">
        <f t="shared" si="0"/>
        <v/>
      </c>
      <c r="B177" s="35"/>
      <c r="C177" s="38" t="s">
        <v>176</v>
      </c>
      <c r="D177" s="55" t="str">
        <f t="shared" ref="D177:E177" si="45">D$174</f>
        <v>Critical</v>
      </c>
      <c r="E177" s="55" t="str">
        <f t="shared" si="45"/>
        <v>Phase 1</v>
      </c>
      <c r="F177" s="40" t="str">
        <v/>
      </c>
      <c r="G177" s="35"/>
      <c r="H177" s="41" t="str">
        <f ca="1"/>
        <v/>
      </c>
      <c r="I177" s="42"/>
      <c r="J177" s="42"/>
      <c r="K177" s="42"/>
      <c r="L177" s="42"/>
      <c r="M177" s="42"/>
      <c r="N177" s="42"/>
      <c r="O177" s="42"/>
      <c r="P177" s="42"/>
      <c r="Q177" s="42"/>
      <c r="R177" s="42"/>
      <c r="S177" s="42"/>
      <c r="T177" s="42"/>
      <c r="U177" s="42"/>
      <c r="V177" s="42"/>
      <c r="W177" s="42"/>
      <c r="X177" s="42"/>
      <c r="Y177" s="42"/>
      <c r="Z177" s="42"/>
      <c r="AA177" s="42"/>
      <c r="AB177" s="42"/>
      <c r="AC177" s="42"/>
    </row>
    <row r="178" spans="1:29" x14ac:dyDescent="0.25">
      <c r="A178" s="43" t="str">
        <f t="shared" si="0"/>
        <v/>
      </c>
      <c r="B178" s="35"/>
      <c r="C178" s="38" t="s">
        <v>177</v>
      </c>
      <c r="D178" s="55" t="str">
        <f t="shared" ref="D178:E178" si="46">D$174</f>
        <v>Critical</v>
      </c>
      <c r="E178" s="55" t="str">
        <f t="shared" si="46"/>
        <v>Phase 1</v>
      </c>
      <c r="F178" s="40" t="str">
        <v/>
      </c>
      <c r="G178" s="35"/>
      <c r="H178" s="41" t="str">
        <f ca="1"/>
        <v/>
      </c>
      <c r="I178" s="42"/>
      <c r="J178" s="42"/>
      <c r="K178" s="42"/>
      <c r="L178" s="42"/>
      <c r="M178" s="42"/>
      <c r="N178" s="42"/>
      <c r="O178" s="42"/>
      <c r="P178" s="42"/>
      <c r="Q178" s="42"/>
      <c r="R178" s="42"/>
      <c r="S178" s="42"/>
      <c r="T178" s="42"/>
      <c r="U178" s="42"/>
      <c r="V178" s="42"/>
      <c r="W178" s="42"/>
      <c r="X178" s="42"/>
      <c r="Y178" s="42"/>
      <c r="Z178" s="42"/>
      <c r="AA178" s="42"/>
      <c r="AB178" s="42"/>
      <c r="AC178" s="42"/>
    </row>
    <row r="179" spans="1:29" x14ac:dyDescent="0.25">
      <c r="A179" s="43" t="str">
        <f t="shared" si="0"/>
        <v/>
      </c>
      <c r="B179" s="35"/>
      <c r="C179" s="38" t="s">
        <v>178</v>
      </c>
      <c r="D179" s="55" t="str">
        <f t="shared" ref="D179:E179" si="47">D$174</f>
        <v>Critical</v>
      </c>
      <c r="E179" s="55" t="str">
        <f t="shared" si="47"/>
        <v>Phase 1</v>
      </c>
      <c r="F179" s="40" t="str">
        <v/>
      </c>
      <c r="G179" s="35"/>
      <c r="H179" s="41" t="str">
        <f ca="1"/>
        <v/>
      </c>
      <c r="I179" s="42"/>
      <c r="J179" s="42"/>
      <c r="K179" s="42"/>
      <c r="L179" s="42"/>
      <c r="M179" s="42"/>
      <c r="N179" s="42"/>
      <c r="O179" s="42"/>
      <c r="P179" s="42"/>
      <c r="Q179" s="42"/>
      <c r="R179" s="42"/>
      <c r="S179" s="42"/>
      <c r="T179" s="42"/>
      <c r="U179" s="42"/>
      <c r="V179" s="42"/>
      <c r="W179" s="42"/>
      <c r="X179" s="42"/>
      <c r="Y179" s="42"/>
      <c r="Z179" s="42"/>
      <c r="AA179" s="42"/>
      <c r="AB179" s="42"/>
      <c r="AC179" s="42"/>
    </row>
    <row r="180" spans="1:29" x14ac:dyDescent="0.25">
      <c r="A180" s="43" t="str">
        <f t="shared" si="0"/>
        <v/>
      </c>
      <c r="B180" s="35"/>
      <c r="C180" s="38" t="s">
        <v>179</v>
      </c>
      <c r="D180" s="55" t="str">
        <f t="shared" ref="D180:E180" si="48">D$174</f>
        <v>Critical</v>
      </c>
      <c r="E180" s="55" t="str">
        <f t="shared" si="48"/>
        <v>Phase 1</v>
      </c>
      <c r="F180" s="40" t="str">
        <v/>
      </c>
      <c r="G180" s="35"/>
      <c r="H180" s="41" t="str">
        <f ca="1"/>
        <v/>
      </c>
      <c r="I180" s="42"/>
      <c r="J180" s="42"/>
      <c r="K180" s="42"/>
      <c r="L180" s="42"/>
      <c r="M180" s="42"/>
      <c r="N180" s="42"/>
      <c r="O180" s="42"/>
      <c r="P180" s="42"/>
      <c r="Q180" s="42"/>
      <c r="R180" s="42"/>
      <c r="S180" s="42"/>
      <c r="T180" s="42"/>
      <c r="U180" s="42"/>
      <c r="V180" s="42"/>
      <c r="W180" s="42"/>
      <c r="X180" s="42"/>
      <c r="Y180" s="42"/>
      <c r="Z180" s="42"/>
      <c r="AA180" s="42"/>
      <c r="AB180" s="42"/>
      <c r="AC180" s="42"/>
    </row>
    <row r="181" spans="1:29" x14ac:dyDescent="0.25">
      <c r="A181" s="43" t="str">
        <f t="shared" si="0"/>
        <v/>
      </c>
      <c r="B181" s="35"/>
      <c r="C181" s="38" t="s">
        <v>180</v>
      </c>
      <c r="D181" s="55" t="str">
        <f t="shared" ref="D181:E181" si="49">D$174</f>
        <v>Critical</v>
      </c>
      <c r="E181" s="55" t="str">
        <f t="shared" si="49"/>
        <v>Phase 1</v>
      </c>
      <c r="F181" s="40" t="str">
        <v/>
      </c>
      <c r="G181" s="35"/>
      <c r="H181" s="41" t="str">
        <f ca="1"/>
        <v/>
      </c>
      <c r="I181" s="42"/>
      <c r="J181" s="42"/>
      <c r="K181" s="42"/>
      <c r="L181" s="42"/>
      <c r="M181" s="42"/>
      <c r="N181" s="42"/>
      <c r="O181" s="42"/>
      <c r="P181" s="42"/>
      <c r="Q181" s="42"/>
      <c r="R181" s="42"/>
      <c r="S181" s="42"/>
      <c r="T181" s="42"/>
      <c r="U181" s="42"/>
      <c r="V181" s="42"/>
      <c r="W181" s="42"/>
      <c r="X181" s="42"/>
      <c r="Y181" s="42"/>
      <c r="Z181" s="42"/>
      <c r="AA181" s="42"/>
      <c r="AB181" s="42"/>
      <c r="AC181" s="42"/>
    </row>
    <row r="182" spans="1:29" x14ac:dyDescent="0.25">
      <c r="A182" s="43" t="str">
        <f t="shared" si="0"/>
        <v/>
      </c>
      <c r="B182" s="35"/>
      <c r="C182" s="38" t="s">
        <v>181</v>
      </c>
      <c r="D182" s="55" t="str">
        <f t="shared" ref="D182:E182" si="50">D$174</f>
        <v>Critical</v>
      </c>
      <c r="E182" s="55" t="str">
        <f t="shared" si="50"/>
        <v>Phase 1</v>
      </c>
      <c r="F182" s="40" t="str">
        <v/>
      </c>
      <c r="G182" s="35"/>
      <c r="H182" s="41" t="str">
        <f ca="1"/>
        <v/>
      </c>
      <c r="I182" s="42"/>
      <c r="J182" s="42"/>
      <c r="K182" s="42"/>
      <c r="L182" s="42"/>
      <c r="M182" s="42"/>
      <c r="N182" s="42"/>
      <c r="O182" s="42"/>
      <c r="P182" s="42"/>
      <c r="Q182" s="42"/>
      <c r="R182" s="42"/>
      <c r="S182" s="42"/>
      <c r="T182" s="42"/>
      <c r="U182" s="42"/>
      <c r="V182" s="42"/>
      <c r="W182" s="42"/>
      <c r="X182" s="42"/>
      <c r="Y182" s="42"/>
      <c r="Z182" s="42"/>
      <c r="AA182" s="42"/>
      <c r="AB182" s="42"/>
      <c r="AC182" s="42"/>
    </row>
    <row r="183" spans="1:29" x14ac:dyDescent="0.25">
      <c r="A183" s="43" t="str">
        <f t="shared" si="0"/>
        <v/>
      </c>
      <c r="B183" s="35"/>
      <c r="C183" s="38"/>
      <c r="D183" s="41"/>
      <c r="E183" s="41"/>
      <c r="F183" s="40" t="str">
        <v/>
      </c>
      <c r="G183" s="35"/>
      <c r="H183" s="41" t="str">
        <f ca="1"/>
        <v/>
      </c>
      <c r="I183" s="42"/>
      <c r="J183" s="42"/>
      <c r="K183" s="42"/>
      <c r="L183" s="42"/>
      <c r="M183" s="42"/>
      <c r="N183" s="42"/>
      <c r="O183" s="42"/>
      <c r="P183" s="42"/>
      <c r="Q183" s="42"/>
      <c r="R183" s="42"/>
      <c r="S183" s="42"/>
      <c r="T183" s="42"/>
      <c r="U183" s="42"/>
      <c r="V183" s="42"/>
      <c r="W183" s="42"/>
      <c r="X183" s="42"/>
      <c r="Y183" s="42"/>
      <c r="Z183" s="42"/>
      <c r="AA183" s="42"/>
      <c r="AB183" s="42"/>
      <c r="AC183" s="42"/>
    </row>
    <row r="184" spans="1:29" x14ac:dyDescent="0.25">
      <c r="A184" s="43" t="str">
        <f t="shared" si="0"/>
        <v/>
      </c>
      <c r="B184" s="35"/>
      <c r="C184" s="38"/>
      <c r="D184" s="41"/>
      <c r="E184" s="41"/>
      <c r="F184" s="40" t="str">
        <v/>
      </c>
      <c r="G184" s="35"/>
      <c r="H184" s="41" t="str">
        <f ca="1"/>
        <v/>
      </c>
      <c r="I184" s="42"/>
      <c r="J184" s="42"/>
      <c r="K184" s="42"/>
      <c r="L184" s="42"/>
      <c r="M184" s="42"/>
      <c r="N184" s="42"/>
      <c r="O184" s="42"/>
      <c r="P184" s="42"/>
      <c r="Q184" s="42"/>
      <c r="R184" s="42"/>
      <c r="S184" s="42"/>
      <c r="T184" s="42"/>
      <c r="U184" s="42"/>
      <c r="V184" s="42"/>
      <c r="W184" s="42"/>
      <c r="X184" s="42"/>
      <c r="Y184" s="42"/>
      <c r="Z184" s="42"/>
      <c r="AA184" s="42"/>
      <c r="AB184" s="42"/>
      <c r="AC184" s="42"/>
    </row>
    <row r="185" spans="1:29" x14ac:dyDescent="0.25">
      <c r="A185" s="43" t="str">
        <f t="shared" si="0"/>
        <v/>
      </c>
      <c r="B185" s="35"/>
      <c r="C185" s="38"/>
      <c r="D185" s="41"/>
      <c r="E185" s="41"/>
      <c r="F185" s="40" t="str">
        <v/>
      </c>
      <c r="G185" s="35"/>
      <c r="H185" s="41" t="str">
        <f ca="1"/>
        <v/>
      </c>
      <c r="I185" s="42"/>
      <c r="J185" s="42"/>
      <c r="K185" s="42"/>
      <c r="L185" s="42"/>
      <c r="M185" s="42"/>
      <c r="N185" s="42"/>
      <c r="O185" s="42"/>
      <c r="P185" s="42"/>
      <c r="Q185" s="42"/>
      <c r="R185" s="42"/>
      <c r="S185" s="42"/>
      <c r="T185" s="42"/>
      <c r="U185" s="42"/>
      <c r="V185" s="42"/>
      <c r="W185" s="42"/>
      <c r="X185" s="42"/>
      <c r="Y185" s="42"/>
      <c r="Z185" s="42"/>
      <c r="AA185" s="42"/>
      <c r="AB185" s="42"/>
      <c r="AC185" s="42"/>
    </row>
    <row r="186" spans="1:29" x14ac:dyDescent="0.25">
      <c r="A186" s="43" t="str">
        <f t="shared" si="0"/>
        <v/>
      </c>
      <c r="B186" s="35"/>
      <c r="C186" s="38"/>
      <c r="D186" s="41"/>
      <c r="E186" s="41"/>
      <c r="F186" s="40" t="str">
        <v/>
      </c>
      <c r="G186" s="35"/>
      <c r="H186" s="41" t="str">
        <f ca="1"/>
        <v/>
      </c>
      <c r="I186" s="42"/>
      <c r="J186" s="42"/>
      <c r="K186" s="42"/>
      <c r="L186" s="42"/>
      <c r="M186" s="42"/>
      <c r="N186" s="42"/>
      <c r="O186" s="42"/>
      <c r="P186" s="42"/>
      <c r="Q186" s="42"/>
      <c r="R186" s="42"/>
      <c r="S186" s="42"/>
      <c r="T186" s="42"/>
      <c r="U186" s="42"/>
      <c r="V186" s="42"/>
      <c r="W186" s="42"/>
      <c r="X186" s="42"/>
      <c r="Y186" s="42"/>
      <c r="Z186" s="42"/>
      <c r="AA186" s="42"/>
      <c r="AB186" s="42"/>
      <c r="AC186" s="42"/>
    </row>
    <row r="187" spans="1:29" x14ac:dyDescent="0.25">
      <c r="A187" s="43" t="str">
        <f t="shared" si="0"/>
        <v/>
      </c>
      <c r="B187" s="35"/>
      <c r="C187" s="38"/>
      <c r="D187" s="41"/>
      <c r="E187" s="41"/>
      <c r="F187" s="40" t="str">
        <v/>
      </c>
      <c r="G187" s="35"/>
      <c r="H187" s="41" t="str">
        <f ca="1"/>
        <v/>
      </c>
      <c r="I187" s="42"/>
      <c r="J187" s="42"/>
      <c r="K187" s="42"/>
      <c r="L187" s="42"/>
      <c r="M187" s="42"/>
      <c r="N187" s="42"/>
      <c r="O187" s="42"/>
      <c r="P187" s="42"/>
      <c r="Q187" s="42"/>
      <c r="R187" s="42"/>
      <c r="S187" s="42"/>
      <c r="T187" s="42"/>
      <c r="U187" s="42"/>
      <c r="V187" s="42"/>
      <c r="W187" s="42"/>
      <c r="X187" s="42"/>
      <c r="Y187" s="42"/>
      <c r="Z187" s="42"/>
      <c r="AA187" s="42"/>
      <c r="AB187" s="42"/>
      <c r="AC187" s="42"/>
    </row>
    <row r="188" spans="1:29" x14ac:dyDescent="0.25">
      <c r="A188" s="43" t="e">
        <f t="shared" ca="1" si="0"/>
        <v>#NAME?</v>
      </c>
      <c r="B188" s="44" t="s">
        <v>182</v>
      </c>
      <c r="C188" s="45"/>
      <c r="D188" s="46" t="str">
        <f>D$53</f>
        <v>Critical</v>
      </c>
      <c r="E188" s="46" t="str">
        <f>E$66</f>
        <v>Phase 1</v>
      </c>
      <c r="F188" s="40" t="e">
        <f ca="1"/>
        <v>#NAME?</v>
      </c>
      <c r="G188" s="35" t="e">
        <f ca="1">"- "&amp;_xludf.textjoin("
- ",TRUE,$C189:$C193)</f>
        <v>#NAME?</v>
      </c>
      <c r="H188" s="41" t="e">
        <f ca="1"/>
        <v>#NAME?</v>
      </c>
      <c r="I188" s="42"/>
      <c r="J188" s="42"/>
      <c r="K188" s="42"/>
      <c r="L188" s="42"/>
      <c r="M188" s="42"/>
      <c r="N188" s="42"/>
      <c r="O188" s="42"/>
      <c r="P188" s="42"/>
      <c r="Q188" s="42"/>
      <c r="R188" s="42"/>
      <c r="S188" s="42"/>
      <c r="T188" s="42"/>
      <c r="U188" s="42"/>
      <c r="V188" s="42"/>
      <c r="W188" s="42"/>
      <c r="X188" s="42"/>
      <c r="Y188" s="42"/>
      <c r="Z188" s="42"/>
      <c r="AA188" s="42"/>
      <c r="AB188" s="42"/>
      <c r="AC188" s="42"/>
    </row>
    <row r="189" spans="1:29" x14ac:dyDescent="0.25">
      <c r="A189" s="43" t="str">
        <f t="shared" si="0"/>
        <v/>
      </c>
      <c r="B189" s="35"/>
      <c r="C189" s="38" t="s">
        <v>183</v>
      </c>
      <c r="D189" s="55" t="str">
        <f t="shared" ref="D189:E189" si="51">D$188</f>
        <v>Critical</v>
      </c>
      <c r="E189" s="55" t="str">
        <f t="shared" si="51"/>
        <v>Phase 1</v>
      </c>
      <c r="F189" s="40" t="str">
        <v/>
      </c>
      <c r="G189" s="35"/>
      <c r="H189" s="41" t="str">
        <f ca="1"/>
        <v/>
      </c>
      <c r="I189" s="42"/>
      <c r="J189" s="42"/>
      <c r="K189" s="42"/>
      <c r="L189" s="42"/>
      <c r="M189" s="42"/>
      <c r="N189" s="42"/>
      <c r="O189" s="42"/>
      <c r="P189" s="42"/>
      <c r="Q189" s="42"/>
      <c r="R189" s="42"/>
      <c r="S189" s="42"/>
      <c r="T189" s="42"/>
      <c r="U189" s="42"/>
      <c r="V189" s="42"/>
      <c r="W189" s="42"/>
      <c r="X189" s="42"/>
      <c r="Y189" s="42"/>
      <c r="Z189" s="42"/>
      <c r="AA189" s="42"/>
      <c r="AB189" s="42"/>
      <c r="AC189" s="42"/>
    </row>
    <row r="190" spans="1:29" x14ac:dyDescent="0.25">
      <c r="A190" s="43" t="str">
        <f t="shared" si="0"/>
        <v/>
      </c>
      <c r="B190" s="35"/>
      <c r="C190" s="38" t="s">
        <v>184</v>
      </c>
      <c r="D190" s="55" t="str">
        <f t="shared" ref="D190:E190" si="52">D$188</f>
        <v>Critical</v>
      </c>
      <c r="E190" s="55" t="str">
        <f t="shared" si="52"/>
        <v>Phase 1</v>
      </c>
      <c r="F190" s="40" t="str">
        <v/>
      </c>
      <c r="G190" s="35"/>
      <c r="H190" s="41" t="str">
        <f ca="1"/>
        <v/>
      </c>
      <c r="I190" s="42"/>
      <c r="J190" s="42"/>
      <c r="K190" s="42"/>
      <c r="L190" s="42"/>
      <c r="M190" s="42"/>
      <c r="N190" s="42"/>
      <c r="O190" s="42"/>
      <c r="P190" s="42"/>
      <c r="Q190" s="42"/>
      <c r="R190" s="42"/>
      <c r="S190" s="42"/>
      <c r="T190" s="42"/>
      <c r="U190" s="42"/>
      <c r="V190" s="42"/>
      <c r="W190" s="42"/>
      <c r="X190" s="42"/>
      <c r="Y190" s="42"/>
      <c r="Z190" s="42"/>
      <c r="AA190" s="42"/>
      <c r="AB190" s="42"/>
      <c r="AC190" s="42"/>
    </row>
    <row r="191" spans="1:29" x14ac:dyDescent="0.25">
      <c r="A191" s="43" t="str">
        <f t="shared" si="0"/>
        <v/>
      </c>
      <c r="B191" s="35"/>
      <c r="C191" s="38"/>
      <c r="D191" s="41"/>
      <c r="E191" s="41"/>
      <c r="F191" s="40" t="str">
        <v/>
      </c>
      <c r="G191" s="35"/>
      <c r="H191" s="41" t="str">
        <f ca="1"/>
        <v/>
      </c>
      <c r="I191" s="42"/>
      <c r="J191" s="42"/>
      <c r="K191" s="42"/>
      <c r="L191" s="42"/>
      <c r="M191" s="42"/>
      <c r="N191" s="42"/>
      <c r="O191" s="42"/>
      <c r="P191" s="42"/>
      <c r="Q191" s="42"/>
      <c r="R191" s="42"/>
      <c r="S191" s="42"/>
      <c r="T191" s="42"/>
      <c r="U191" s="42"/>
      <c r="V191" s="42"/>
      <c r="W191" s="42"/>
      <c r="X191" s="42"/>
      <c r="Y191" s="42"/>
      <c r="Z191" s="42"/>
      <c r="AA191" s="42"/>
      <c r="AB191" s="42"/>
      <c r="AC191" s="42"/>
    </row>
    <row r="192" spans="1:29" x14ac:dyDescent="0.25">
      <c r="A192" s="43" t="str">
        <f t="shared" si="0"/>
        <v/>
      </c>
      <c r="B192" s="35"/>
      <c r="C192" s="38"/>
      <c r="D192" s="41"/>
      <c r="E192" s="41"/>
      <c r="F192" s="40" t="str">
        <v/>
      </c>
      <c r="G192" s="35"/>
      <c r="H192" s="41" t="str">
        <f ca="1"/>
        <v/>
      </c>
      <c r="I192" s="42"/>
      <c r="J192" s="42"/>
      <c r="K192" s="42"/>
      <c r="L192" s="42"/>
      <c r="M192" s="42"/>
      <c r="N192" s="42"/>
      <c r="O192" s="42"/>
      <c r="P192" s="42"/>
      <c r="Q192" s="42"/>
      <c r="R192" s="42"/>
      <c r="S192" s="42"/>
      <c r="T192" s="42"/>
      <c r="U192" s="42"/>
      <c r="V192" s="42"/>
      <c r="W192" s="42"/>
      <c r="X192" s="42"/>
      <c r="Y192" s="42"/>
      <c r="Z192" s="42"/>
      <c r="AA192" s="42"/>
      <c r="AB192" s="42"/>
      <c r="AC192" s="42"/>
    </row>
    <row r="193" spans="1:29" x14ac:dyDescent="0.25">
      <c r="A193" s="43" t="str">
        <f t="shared" si="0"/>
        <v/>
      </c>
      <c r="B193" s="35"/>
      <c r="C193" s="38"/>
      <c r="D193" s="41"/>
      <c r="E193" s="41"/>
      <c r="F193" s="40" t="str">
        <v/>
      </c>
      <c r="G193" s="35"/>
      <c r="H193" s="41" t="str">
        <f ca="1"/>
        <v/>
      </c>
      <c r="I193" s="42"/>
      <c r="J193" s="42"/>
      <c r="K193" s="42"/>
      <c r="L193" s="42"/>
      <c r="M193" s="42"/>
      <c r="N193" s="42"/>
      <c r="O193" s="42"/>
      <c r="P193" s="42"/>
      <c r="Q193" s="42"/>
      <c r="R193" s="42"/>
      <c r="S193" s="42"/>
      <c r="T193" s="42"/>
      <c r="U193" s="42"/>
      <c r="V193" s="42"/>
      <c r="W193" s="42"/>
      <c r="X193" s="42"/>
      <c r="Y193" s="42"/>
      <c r="Z193" s="42"/>
      <c r="AA193" s="42"/>
      <c r="AB193" s="42"/>
      <c r="AC193" s="42"/>
    </row>
    <row r="194" spans="1:29" x14ac:dyDescent="0.25">
      <c r="A194" s="43" t="str">
        <f t="shared" si="0"/>
        <v/>
      </c>
      <c r="B194" s="35"/>
      <c r="C194" s="38"/>
      <c r="D194" s="41"/>
      <c r="E194" s="41"/>
      <c r="F194" s="40" t="str">
        <v/>
      </c>
      <c r="G194" s="35"/>
      <c r="H194" s="41" t="str">
        <f ca="1"/>
        <v/>
      </c>
      <c r="I194" s="42"/>
      <c r="J194" s="42"/>
      <c r="K194" s="42"/>
      <c r="L194" s="42"/>
      <c r="M194" s="42"/>
      <c r="N194" s="42"/>
      <c r="O194" s="42"/>
      <c r="P194" s="42"/>
      <c r="Q194" s="42"/>
      <c r="R194" s="42"/>
      <c r="S194" s="42"/>
      <c r="T194" s="42"/>
      <c r="U194" s="42"/>
      <c r="V194" s="42"/>
      <c r="W194" s="42"/>
      <c r="X194" s="42"/>
      <c r="Y194" s="42"/>
      <c r="Z194" s="42"/>
      <c r="AA194" s="42"/>
      <c r="AB194" s="42"/>
      <c r="AC194" s="42"/>
    </row>
    <row r="195" spans="1:29" x14ac:dyDescent="0.25">
      <c r="A195" s="43" t="e">
        <f t="shared" ca="1" si="0"/>
        <v>#NAME?</v>
      </c>
      <c r="B195" s="44" t="s">
        <v>185</v>
      </c>
      <c r="C195" s="45"/>
      <c r="D195" s="46" t="str">
        <f t="shared" ref="D195:E195" si="53">D$66</f>
        <v>Medium</v>
      </c>
      <c r="E195" s="46" t="str">
        <f t="shared" si="53"/>
        <v>Phase 1</v>
      </c>
      <c r="F195" s="40" t="e">
        <f ca="1"/>
        <v>#NAME?</v>
      </c>
      <c r="G195" s="35" t="e">
        <f ca="1">"- "&amp;_xludf.textjoin("
- ",TRUE,$C196:$C200)</f>
        <v>#NAME?</v>
      </c>
      <c r="H195" s="41" t="e">
        <f ca="1"/>
        <v>#NAME?</v>
      </c>
      <c r="I195" s="42"/>
      <c r="J195" s="42"/>
      <c r="K195" s="42"/>
      <c r="L195" s="42"/>
      <c r="M195" s="42"/>
      <c r="N195" s="42"/>
      <c r="O195" s="42"/>
      <c r="P195" s="42"/>
      <c r="Q195" s="42"/>
      <c r="R195" s="42"/>
      <c r="S195" s="42"/>
      <c r="T195" s="42"/>
      <c r="U195" s="42"/>
      <c r="V195" s="42"/>
      <c r="W195" s="42"/>
      <c r="X195" s="42"/>
      <c r="Y195" s="42"/>
      <c r="Z195" s="42"/>
      <c r="AA195" s="42"/>
      <c r="AB195" s="42"/>
      <c r="AC195" s="42"/>
    </row>
    <row r="196" spans="1:29" x14ac:dyDescent="0.25">
      <c r="A196" s="43" t="str">
        <f t="shared" si="0"/>
        <v/>
      </c>
      <c r="B196" s="35"/>
      <c r="C196" s="38" t="s">
        <v>186</v>
      </c>
      <c r="D196" s="55" t="str">
        <f t="shared" ref="D196:E196" si="54">D$195</f>
        <v>Medium</v>
      </c>
      <c r="E196" s="55" t="str">
        <f t="shared" si="54"/>
        <v>Phase 1</v>
      </c>
      <c r="F196" s="40" t="str">
        <v/>
      </c>
      <c r="G196" s="35"/>
      <c r="H196" s="41" t="str">
        <f ca="1"/>
        <v/>
      </c>
      <c r="I196" s="42"/>
      <c r="J196" s="42"/>
      <c r="K196" s="42"/>
      <c r="L196" s="42"/>
      <c r="M196" s="42"/>
      <c r="N196" s="42"/>
      <c r="O196" s="42"/>
      <c r="P196" s="42"/>
      <c r="Q196" s="42"/>
      <c r="R196" s="42"/>
      <c r="S196" s="42"/>
      <c r="T196" s="42"/>
      <c r="U196" s="42"/>
      <c r="V196" s="42"/>
      <c r="W196" s="42"/>
      <c r="X196" s="42"/>
      <c r="Y196" s="42"/>
      <c r="Z196" s="42"/>
      <c r="AA196" s="42"/>
      <c r="AB196" s="42"/>
      <c r="AC196" s="42"/>
    </row>
    <row r="197" spans="1:29" x14ac:dyDescent="0.25">
      <c r="A197" s="43" t="str">
        <f t="shared" si="0"/>
        <v/>
      </c>
      <c r="B197" s="35"/>
      <c r="C197" s="38" t="s">
        <v>187</v>
      </c>
      <c r="D197" s="55" t="str">
        <f t="shared" ref="D197:E197" si="55">D$195</f>
        <v>Medium</v>
      </c>
      <c r="E197" s="55" t="str">
        <f t="shared" si="55"/>
        <v>Phase 1</v>
      </c>
      <c r="F197" s="40" t="str">
        <v/>
      </c>
      <c r="G197" s="35"/>
      <c r="H197" s="41" t="str">
        <f ca="1"/>
        <v/>
      </c>
      <c r="I197" s="42"/>
      <c r="J197" s="42"/>
      <c r="K197" s="42"/>
      <c r="L197" s="42"/>
      <c r="M197" s="42"/>
      <c r="N197" s="42"/>
      <c r="O197" s="42"/>
      <c r="P197" s="42"/>
      <c r="Q197" s="42"/>
      <c r="R197" s="42"/>
      <c r="S197" s="42"/>
      <c r="T197" s="42"/>
      <c r="U197" s="42"/>
      <c r="V197" s="42"/>
      <c r="W197" s="42"/>
      <c r="X197" s="42"/>
      <c r="Y197" s="42"/>
      <c r="Z197" s="42"/>
      <c r="AA197" s="42"/>
      <c r="AB197" s="42"/>
      <c r="AC197" s="42"/>
    </row>
    <row r="198" spans="1:29" x14ac:dyDescent="0.25">
      <c r="A198" s="43" t="str">
        <f t="shared" si="0"/>
        <v/>
      </c>
      <c r="B198" s="35"/>
      <c r="C198" s="38" t="s">
        <v>188</v>
      </c>
      <c r="D198" s="55" t="str">
        <f t="shared" ref="D198:E198" si="56">D$195</f>
        <v>Medium</v>
      </c>
      <c r="E198" s="55" t="str">
        <f t="shared" si="56"/>
        <v>Phase 1</v>
      </c>
      <c r="F198" s="40" t="str">
        <v/>
      </c>
      <c r="G198" s="35"/>
      <c r="H198" s="41" t="str">
        <f ca="1"/>
        <v/>
      </c>
      <c r="I198" s="42"/>
      <c r="J198" s="42"/>
      <c r="K198" s="42"/>
      <c r="L198" s="42"/>
      <c r="M198" s="42"/>
      <c r="N198" s="42"/>
      <c r="O198" s="42"/>
      <c r="P198" s="42"/>
      <c r="Q198" s="42"/>
      <c r="R198" s="42"/>
      <c r="S198" s="42"/>
      <c r="T198" s="42"/>
      <c r="U198" s="42"/>
      <c r="V198" s="42"/>
      <c r="W198" s="42"/>
      <c r="X198" s="42"/>
      <c r="Y198" s="42"/>
      <c r="Z198" s="42"/>
      <c r="AA198" s="42"/>
      <c r="AB198" s="42"/>
      <c r="AC198" s="42"/>
    </row>
    <row r="199" spans="1:29" x14ac:dyDescent="0.25">
      <c r="A199" s="43" t="str">
        <f t="shared" si="0"/>
        <v/>
      </c>
      <c r="B199" s="35"/>
      <c r="C199" s="38"/>
      <c r="D199" s="41"/>
      <c r="E199" s="41"/>
      <c r="F199" s="40" t="str">
        <v/>
      </c>
      <c r="G199" s="35"/>
      <c r="H199" s="41" t="str">
        <f ca="1"/>
        <v/>
      </c>
      <c r="I199" s="42"/>
      <c r="J199" s="42"/>
      <c r="K199" s="42"/>
      <c r="L199" s="42"/>
      <c r="M199" s="42"/>
      <c r="N199" s="42"/>
      <c r="O199" s="42"/>
      <c r="P199" s="42"/>
      <c r="Q199" s="42"/>
      <c r="R199" s="42"/>
      <c r="S199" s="42"/>
      <c r="T199" s="42"/>
      <c r="U199" s="42"/>
      <c r="V199" s="42"/>
      <c r="W199" s="42"/>
      <c r="X199" s="42"/>
      <c r="Y199" s="42"/>
      <c r="Z199" s="42"/>
      <c r="AA199" s="42"/>
      <c r="AB199" s="42"/>
      <c r="AC199" s="42"/>
    </row>
    <row r="200" spans="1:29" x14ac:dyDescent="0.25">
      <c r="A200" s="43" t="str">
        <f t="shared" si="0"/>
        <v/>
      </c>
      <c r="B200" s="35"/>
      <c r="C200" s="38"/>
      <c r="D200" s="41"/>
      <c r="E200" s="41"/>
      <c r="F200" s="40" t="str">
        <v/>
      </c>
      <c r="G200" s="35"/>
      <c r="H200" s="41" t="str">
        <f ca="1"/>
        <v/>
      </c>
      <c r="I200" s="42"/>
      <c r="J200" s="42"/>
      <c r="K200" s="42"/>
      <c r="L200" s="42"/>
      <c r="M200" s="42"/>
      <c r="N200" s="42"/>
      <c r="O200" s="42"/>
      <c r="P200" s="42"/>
      <c r="Q200" s="42"/>
      <c r="R200" s="42"/>
      <c r="S200" s="42"/>
      <c r="T200" s="42"/>
      <c r="U200" s="42"/>
      <c r="V200" s="42"/>
      <c r="W200" s="42"/>
      <c r="X200" s="42"/>
      <c r="Y200" s="42"/>
      <c r="Z200" s="42"/>
      <c r="AA200" s="42"/>
      <c r="AB200" s="42"/>
      <c r="AC200" s="42"/>
    </row>
    <row r="201" spans="1:29" x14ac:dyDescent="0.25">
      <c r="A201" s="43" t="e">
        <f t="shared" ca="1" si="0"/>
        <v>#NAME?</v>
      </c>
      <c r="B201" s="44" t="s">
        <v>189</v>
      </c>
      <c r="C201" s="45" t="s">
        <v>190</v>
      </c>
      <c r="D201" s="46" t="s">
        <v>38</v>
      </c>
      <c r="E201" s="46" t="s">
        <v>54</v>
      </c>
      <c r="F201" s="40" t="e">
        <f ca="1"/>
        <v>#NAME?</v>
      </c>
      <c r="G201" s="35" t="e">
        <f ca="1">"- "&amp;_xludf.textjoin("
- ",TRUE,$C202:$C206)</f>
        <v>#NAME?</v>
      </c>
      <c r="H201" s="41" t="e">
        <f ca="1"/>
        <v>#NAME?</v>
      </c>
      <c r="I201" s="42"/>
      <c r="J201" s="42"/>
      <c r="K201" s="42"/>
      <c r="L201" s="42"/>
      <c r="M201" s="42"/>
      <c r="N201" s="42"/>
      <c r="O201" s="42"/>
      <c r="P201" s="42"/>
      <c r="Q201" s="42"/>
      <c r="R201" s="42"/>
      <c r="S201" s="42"/>
      <c r="T201" s="42"/>
      <c r="U201" s="42"/>
      <c r="V201" s="42"/>
      <c r="W201" s="42"/>
      <c r="X201" s="42"/>
      <c r="Y201" s="42"/>
      <c r="Z201" s="42"/>
      <c r="AA201" s="42"/>
      <c r="AB201" s="42"/>
      <c r="AC201" s="42"/>
    </row>
    <row r="202" spans="1:29" x14ac:dyDescent="0.25">
      <c r="A202" s="43" t="str">
        <f t="shared" si="0"/>
        <v/>
      </c>
      <c r="B202" s="35"/>
      <c r="C202" s="45" t="s">
        <v>190</v>
      </c>
      <c r="D202" s="55" t="str">
        <f t="shared" ref="D202:E202" si="57">D$201</f>
        <v>High</v>
      </c>
      <c r="E202" s="55" t="str">
        <f t="shared" si="57"/>
        <v>Phase 1</v>
      </c>
      <c r="F202" s="40" t="str">
        <v/>
      </c>
      <c r="G202" s="35"/>
      <c r="H202" s="41" t="str">
        <f ca="1"/>
        <v/>
      </c>
      <c r="I202" s="42"/>
      <c r="J202" s="42"/>
      <c r="K202" s="42"/>
      <c r="L202" s="42"/>
      <c r="M202" s="42"/>
      <c r="N202" s="42"/>
      <c r="O202" s="42"/>
      <c r="P202" s="42"/>
      <c r="Q202" s="42"/>
      <c r="R202" s="42"/>
      <c r="S202" s="42"/>
      <c r="T202" s="42"/>
      <c r="U202" s="42"/>
      <c r="V202" s="42"/>
      <c r="W202" s="42"/>
      <c r="X202" s="42"/>
      <c r="Y202" s="42"/>
      <c r="Z202" s="42"/>
      <c r="AA202" s="42"/>
      <c r="AB202" s="42"/>
      <c r="AC202" s="42"/>
    </row>
    <row r="203" spans="1:29" x14ac:dyDescent="0.25">
      <c r="A203" s="43" t="str">
        <f t="shared" si="0"/>
        <v/>
      </c>
      <c r="B203" s="44"/>
      <c r="C203" s="45" t="s">
        <v>191</v>
      </c>
      <c r="D203" s="55" t="str">
        <f t="shared" ref="D203:E203" si="58">D$201</f>
        <v>High</v>
      </c>
      <c r="E203" s="55" t="str">
        <f t="shared" si="58"/>
        <v>Phase 1</v>
      </c>
      <c r="F203" s="40" t="str">
        <v/>
      </c>
      <c r="G203" s="35"/>
      <c r="H203" s="41" t="str">
        <f ca="1"/>
        <v/>
      </c>
      <c r="I203" s="42"/>
      <c r="J203" s="42"/>
      <c r="K203" s="42"/>
      <c r="L203" s="42"/>
      <c r="M203" s="42"/>
      <c r="N203" s="42"/>
      <c r="O203" s="42"/>
      <c r="P203" s="42"/>
      <c r="Q203" s="42"/>
      <c r="R203" s="42"/>
      <c r="S203" s="42"/>
      <c r="T203" s="42"/>
      <c r="U203" s="42"/>
      <c r="V203" s="42"/>
      <c r="W203" s="42"/>
      <c r="X203" s="42"/>
      <c r="Y203" s="42"/>
      <c r="Z203" s="42"/>
      <c r="AA203" s="42"/>
      <c r="AB203" s="42"/>
      <c r="AC203" s="42"/>
    </row>
    <row r="204" spans="1:29" x14ac:dyDescent="0.25">
      <c r="A204" s="43" t="str">
        <f t="shared" si="0"/>
        <v/>
      </c>
      <c r="B204" s="35"/>
      <c r="C204" s="38"/>
      <c r="D204" s="41"/>
      <c r="E204" s="41"/>
      <c r="F204" s="40" t="str">
        <v/>
      </c>
      <c r="G204" s="35"/>
      <c r="H204" s="41" t="str">
        <f ca="1"/>
        <v/>
      </c>
      <c r="I204" s="42"/>
      <c r="J204" s="42"/>
      <c r="K204" s="42"/>
      <c r="L204" s="42"/>
      <c r="M204" s="42"/>
      <c r="N204" s="42"/>
      <c r="O204" s="42"/>
      <c r="P204" s="42"/>
      <c r="Q204" s="42"/>
      <c r="R204" s="42"/>
      <c r="S204" s="42"/>
      <c r="T204" s="42"/>
      <c r="U204" s="42"/>
      <c r="V204" s="42"/>
      <c r="W204" s="42"/>
      <c r="X204" s="42"/>
      <c r="Y204" s="42"/>
      <c r="Z204" s="42"/>
      <c r="AA204" s="42"/>
      <c r="AB204" s="42"/>
      <c r="AC204" s="42"/>
    </row>
    <row r="205" spans="1:29" x14ac:dyDescent="0.25">
      <c r="A205" s="43" t="str">
        <f t="shared" si="0"/>
        <v/>
      </c>
      <c r="B205" s="35"/>
      <c r="C205" s="38"/>
      <c r="D205" s="41"/>
      <c r="E205" s="41"/>
      <c r="F205" s="40" t="str">
        <v/>
      </c>
      <c r="G205" s="35"/>
      <c r="H205" s="41" t="str">
        <f ca="1"/>
        <v/>
      </c>
      <c r="I205" s="42"/>
      <c r="J205" s="42"/>
      <c r="K205" s="42"/>
      <c r="L205" s="42"/>
      <c r="M205" s="42"/>
      <c r="N205" s="42"/>
      <c r="O205" s="42"/>
      <c r="P205" s="42"/>
      <c r="Q205" s="42"/>
      <c r="R205" s="42"/>
      <c r="S205" s="42"/>
      <c r="T205" s="42"/>
      <c r="U205" s="42"/>
      <c r="V205" s="42"/>
      <c r="W205" s="42"/>
      <c r="X205" s="42"/>
      <c r="Y205" s="42"/>
      <c r="Z205" s="42"/>
      <c r="AA205" s="42"/>
      <c r="AB205" s="42"/>
      <c r="AC205" s="42"/>
    </row>
    <row r="206" spans="1:29" x14ac:dyDescent="0.25">
      <c r="A206" s="43" t="str">
        <f t="shared" si="0"/>
        <v/>
      </c>
      <c r="B206" s="35"/>
      <c r="C206" s="38"/>
      <c r="D206" s="41"/>
      <c r="E206" s="41"/>
      <c r="F206" s="40" t="str">
        <v/>
      </c>
      <c r="G206" s="35"/>
      <c r="H206" s="41" t="str">
        <f ca="1"/>
        <v/>
      </c>
      <c r="I206" s="42"/>
      <c r="J206" s="42"/>
      <c r="K206" s="42"/>
      <c r="L206" s="42"/>
      <c r="M206" s="42"/>
      <c r="N206" s="42"/>
      <c r="O206" s="42"/>
      <c r="P206" s="42"/>
      <c r="Q206" s="42"/>
      <c r="R206" s="42"/>
      <c r="S206" s="42"/>
      <c r="T206" s="42"/>
      <c r="U206" s="42"/>
      <c r="V206" s="42"/>
      <c r="W206" s="42"/>
      <c r="X206" s="42"/>
      <c r="Y206" s="42"/>
      <c r="Z206" s="42"/>
      <c r="AA206" s="42"/>
      <c r="AB206" s="42"/>
      <c r="AC206" s="42"/>
    </row>
    <row r="207" spans="1:29" x14ac:dyDescent="0.25">
      <c r="A207" s="43" t="str">
        <f t="shared" si="0"/>
        <v/>
      </c>
      <c r="B207" s="35"/>
      <c r="C207" s="38"/>
      <c r="D207" s="41"/>
      <c r="E207" s="41"/>
      <c r="F207" s="40" t="str">
        <v/>
      </c>
      <c r="G207" s="35"/>
      <c r="H207" s="41" t="str">
        <f ca="1"/>
        <v/>
      </c>
      <c r="I207" s="42"/>
      <c r="J207" s="42"/>
      <c r="K207" s="42"/>
      <c r="L207" s="42"/>
      <c r="M207" s="42"/>
      <c r="N207" s="42"/>
      <c r="O207" s="42"/>
      <c r="P207" s="42"/>
      <c r="Q207" s="42"/>
      <c r="R207" s="42"/>
      <c r="S207" s="42"/>
      <c r="T207" s="42"/>
      <c r="U207" s="42"/>
      <c r="V207" s="42"/>
      <c r="W207" s="42"/>
      <c r="X207" s="42"/>
      <c r="Y207" s="42"/>
      <c r="Z207" s="42"/>
      <c r="AA207" s="42"/>
      <c r="AB207" s="42"/>
      <c r="AC207" s="42"/>
    </row>
    <row r="208" spans="1:29" x14ac:dyDescent="0.25">
      <c r="A208" s="43" t="e">
        <f t="shared" ca="1" si="0"/>
        <v>#NAME?</v>
      </c>
      <c r="B208" s="44" t="s">
        <v>192</v>
      </c>
      <c r="C208" s="45"/>
      <c r="D208" s="46" t="s">
        <v>37</v>
      </c>
      <c r="E208" s="46" t="s">
        <v>54</v>
      </c>
      <c r="F208" s="40" t="e">
        <f ca="1"/>
        <v>#NAME?</v>
      </c>
      <c r="G208" s="35" t="e">
        <f ca="1">"- "&amp;_xludf.textjoin("
- ",TRUE,$C209:$C213)</f>
        <v>#NAME?</v>
      </c>
      <c r="H208" s="41" t="e">
        <f ca="1"/>
        <v>#NAME?</v>
      </c>
      <c r="I208" s="42"/>
      <c r="J208" s="42"/>
      <c r="K208" s="42"/>
      <c r="L208" s="42"/>
      <c r="M208" s="42"/>
      <c r="N208" s="42"/>
      <c r="O208" s="42"/>
      <c r="P208" s="42"/>
      <c r="Q208" s="42"/>
      <c r="R208" s="42"/>
      <c r="S208" s="42"/>
      <c r="T208" s="42"/>
      <c r="U208" s="42"/>
      <c r="V208" s="42"/>
      <c r="W208" s="42"/>
      <c r="X208" s="42"/>
      <c r="Y208" s="42"/>
      <c r="Z208" s="42"/>
      <c r="AA208" s="42"/>
      <c r="AB208" s="42"/>
      <c r="AC208" s="42"/>
    </row>
    <row r="209" spans="1:29" x14ac:dyDescent="0.25">
      <c r="A209" s="43" t="str">
        <f t="shared" si="0"/>
        <v/>
      </c>
      <c r="B209" s="35"/>
      <c r="C209" s="38" t="s">
        <v>193</v>
      </c>
      <c r="D209" s="55" t="str">
        <f t="shared" ref="D209:E209" si="59">D$208</f>
        <v>Critical</v>
      </c>
      <c r="E209" s="55" t="str">
        <f t="shared" si="59"/>
        <v>Phase 1</v>
      </c>
      <c r="F209" s="40" t="str">
        <v/>
      </c>
      <c r="G209" s="35"/>
      <c r="H209" s="41" t="str">
        <f ca="1"/>
        <v/>
      </c>
      <c r="I209" s="42"/>
      <c r="J209" s="42"/>
      <c r="K209" s="42"/>
      <c r="L209" s="42"/>
      <c r="M209" s="42"/>
      <c r="N209" s="42"/>
      <c r="O209" s="42"/>
      <c r="P209" s="42"/>
      <c r="Q209" s="42"/>
      <c r="R209" s="42"/>
      <c r="S209" s="42"/>
      <c r="T209" s="42"/>
      <c r="U209" s="42"/>
      <c r="V209" s="42"/>
      <c r="W209" s="42"/>
      <c r="X209" s="42"/>
      <c r="Y209" s="42"/>
      <c r="Z209" s="42"/>
      <c r="AA209" s="42"/>
      <c r="AB209" s="42"/>
      <c r="AC209" s="42"/>
    </row>
    <row r="210" spans="1:29" x14ac:dyDescent="0.25">
      <c r="A210" s="43" t="str">
        <f t="shared" si="0"/>
        <v/>
      </c>
      <c r="B210" s="35"/>
      <c r="C210" s="38" t="s">
        <v>194</v>
      </c>
      <c r="D210" s="55" t="str">
        <f t="shared" ref="D210:E210" si="60">D$208</f>
        <v>Critical</v>
      </c>
      <c r="E210" s="55" t="str">
        <f t="shared" si="60"/>
        <v>Phase 1</v>
      </c>
      <c r="F210" s="40" t="str">
        <v/>
      </c>
      <c r="G210" s="35"/>
      <c r="H210" s="41" t="str">
        <f ca="1"/>
        <v/>
      </c>
      <c r="I210" s="42"/>
      <c r="J210" s="42"/>
      <c r="K210" s="42"/>
      <c r="L210" s="42"/>
      <c r="M210" s="42"/>
      <c r="N210" s="42"/>
      <c r="O210" s="42"/>
      <c r="P210" s="42"/>
      <c r="Q210" s="42"/>
      <c r="R210" s="42"/>
      <c r="S210" s="42"/>
      <c r="T210" s="42"/>
      <c r="U210" s="42"/>
      <c r="V210" s="42"/>
      <c r="W210" s="42"/>
      <c r="X210" s="42"/>
      <c r="Y210" s="42"/>
      <c r="Z210" s="42"/>
      <c r="AA210" s="42"/>
      <c r="AB210" s="42"/>
      <c r="AC210" s="42"/>
    </row>
    <row r="211" spans="1:29" x14ac:dyDescent="0.25">
      <c r="A211" s="43" t="str">
        <f t="shared" si="0"/>
        <v/>
      </c>
      <c r="B211" s="35"/>
      <c r="C211" s="38" t="s">
        <v>195</v>
      </c>
      <c r="D211" s="55" t="str">
        <f t="shared" ref="D211:E211" si="61">D$208</f>
        <v>Critical</v>
      </c>
      <c r="E211" s="55" t="str">
        <f t="shared" si="61"/>
        <v>Phase 1</v>
      </c>
      <c r="F211" s="40" t="str">
        <v/>
      </c>
      <c r="G211" s="35"/>
      <c r="H211" s="41" t="str">
        <f ca="1"/>
        <v/>
      </c>
      <c r="I211" s="42"/>
      <c r="J211" s="42"/>
      <c r="K211" s="42"/>
      <c r="L211" s="42"/>
      <c r="M211" s="42"/>
      <c r="N211" s="42"/>
      <c r="O211" s="42"/>
      <c r="P211" s="42"/>
      <c r="Q211" s="42"/>
      <c r="R211" s="42"/>
      <c r="S211" s="42"/>
      <c r="T211" s="42"/>
      <c r="U211" s="42"/>
      <c r="V211" s="42"/>
      <c r="W211" s="42"/>
      <c r="X211" s="42"/>
      <c r="Y211" s="42"/>
      <c r="Z211" s="42"/>
      <c r="AA211" s="42"/>
      <c r="AB211" s="42"/>
      <c r="AC211" s="42"/>
    </row>
    <row r="212" spans="1:29" x14ac:dyDescent="0.25">
      <c r="A212" s="43" t="str">
        <f t="shared" si="0"/>
        <v/>
      </c>
      <c r="B212" s="35"/>
      <c r="C212" s="38" t="s">
        <v>196</v>
      </c>
      <c r="D212" s="55" t="str">
        <f t="shared" ref="D212:E212" si="62">D$208</f>
        <v>Critical</v>
      </c>
      <c r="E212" s="55" t="str">
        <f t="shared" si="62"/>
        <v>Phase 1</v>
      </c>
      <c r="F212" s="40" t="str">
        <v/>
      </c>
      <c r="G212" s="35"/>
      <c r="H212" s="41" t="str">
        <f ca="1"/>
        <v/>
      </c>
      <c r="I212" s="42"/>
      <c r="J212" s="42"/>
      <c r="K212" s="42"/>
      <c r="L212" s="42"/>
      <c r="M212" s="42"/>
      <c r="N212" s="42"/>
      <c r="O212" s="42"/>
      <c r="P212" s="42"/>
      <c r="Q212" s="42"/>
      <c r="R212" s="42"/>
      <c r="S212" s="42"/>
      <c r="T212" s="42"/>
      <c r="U212" s="42"/>
      <c r="V212" s="42"/>
      <c r="W212" s="42"/>
      <c r="X212" s="42"/>
      <c r="Y212" s="42"/>
      <c r="Z212" s="42"/>
      <c r="AA212" s="42"/>
      <c r="AB212" s="42"/>
      <c r="AC212" s="42"/>
    </row>
    <row r="213" spans="1:29" x14ac:dyDescent="0.25">
      <c r="A213" s="43" t="str">
        <f t="shared" si="0"/>
        <v/>
      </c>
      <c r="B213" s="35"/>
      <c r="C213" s="38" t="s">
        <v>197</v>
      </c>
      <c r="D213" s="55" t="str">
        <f t="shared" ref="D213:E213" si="63">D$208</f>
        <v>Critical</v>
      </c>
      <c r="E213" s="55" t="str">
        <f t="shared" si="63"/>
        <v>Phase 1</v>
      </c>
      <c r="F213" s="40" t="str">
        <v/>
      </c>
      <c r="G213" s="35"/>
      <c r="H213" s="41" t="str">
        <f ca="1"/>
        <v/>
      </c>
      <c r="I213" s="42"/>
      <c r="J213" s="42"/>
      <c r="K213" s="42"/>
      <c r="L213" s="42"/>
      <c r="M213" s="42"/>
      <c r="N213" s="42"/>
      <c r="O213" s="42"/>
      <c r="P213" s="42"/>
      <c r="Q213" s="42"/>
      <c r="R213" s="42"/>
      <c r="S213" s="42"/>
      <c r="T213" s="42"/>
      <c r="U213" s="42"/>
      <c r="V213" s="42"/>
      <c r="W213" s="42"/>
      <c r="X213" s="42"/>
      <c r="Y213" s="42"/>
      <c r="Z213" s="42"/>
      <c r="AA213" s="42"/>
      <c r="AB213" s="42"/>
      <c r="AC213" s="42"/>
    </row>
    <row r="214" spans="1:29" x14ac:dyDescent="0.25">
      <c r="A214" s="43" t="str">
        <f t="shared" si="0"/>
        <v/>
      </c>
      <c r="B214" s="35"/>
      <c r="C214" s="38"/>
      <c r="D214" s="41"/>
      <c r="E214" s="41"/>
      <c r="F214" s="40" t="str">
        <v/>
      </c>
      <c r="G214" s="35"/>
      <c r="H214" s="41" t="str">
        <f ca="1"/>
        <v/>
      </c>
      <c r="I214" s="42"/>
      <c r="J214" s="42"/>
      <c r="K214" s="42"/>
      <c r="L214" s="42"/>
      <c r="M214" s="42"/>
      <c r="N214" s="42"/>
      <c r="O214" s="42"/>
      <c r="P214" s="42"/>
      <c r="Q214" s="42"/>
      <c r="R214" s="42"/>
      <c r="S214" s="42"/>
      <c r="T214" s="42"/>
      <c r="U214" s="42"/>
      <c r="V214" s="42"/>
      <c r="W214" s="42"/>
      <c r="X214" s="42"/>
      <c r="Y214" s="42"/>
      <c r="Z214" s="42"/>
      <c r="AA214" s="42"/>
      <c r="AB214" s="42"/>
      <c r="AC214" s="42"/>
    </row>
    <row r="215" spans="1:29" x14ac:dyDescent="0.25">
      <c r="A215" s="43" t="e">
        <f t="shared" ca="1" si="0"/>
        <v>#NAME?</v>
      </c>
      <c r="B215" s="44" t="s">
        <v>198</v>
      </c>
      <c r="C215" s="45"/>
      <c r="D215" s="46" t="s">
        <v>37</v>
      </c>
      <c r="E215" s="46" t="s">
        <v>54</v>
      </c>
      <c r="F215" s="40" t="e">
        <f ca="1"/>
        <v>#NAME?</v>
      </c>
      <c r="G215" s="35" t="e">
        <f ca="1">"- "&amp;_xludf.textjoin("
- ",TRUE,$C216:$C220)</f>
        <v>#NAME?</v>
      </c>
      <c r="H215" s="41" t="e">
        <f ca="1"/>
        <v>#NAME?</v>
      </c>
      <c r="I215" s="42"/>
      <c r="J215" s="42"/>
      <c r="K215" s="42"/>
      <c r="L215" s="42"/>
      <c r="M215" s="42"/>
      <c r="N215" s="42"/>
      <c r="O215" s="42"/>
      <c r="P215" s="42"/>
      <c r="Q215" s="42"/>
      <c r="R215" s="42"/>
      <c r="S215" s="42"/>
      <c r="T215" s="42"/>
      <c r="U215" s="42"/>
      <c r="V215" s="42"/>
      <c r="W215" s="42"/>
      <c r="X215" s="42"/>
      <c r="Y215" s="42"/>
      <c r="Z215" s="42"/>
      <c r="AA215" s="42"/>
      <c r="AB215" s="42"/>
      <c r="AC215" s="42"/>
    </row>
    <row r="216" spans="1:29" x14ac:dyDescent="0.25">
      <c r="A216" s="43" t="str">
        <f t="shared" si="0"/>
        <v/>
      </c>
      <c r="B216" s="35"/>
      <c r="C216" s="38" t="s">
        <v>199</v>
      </c>
      <c r="D216" s="55" t="str">
        <f t="shared" ref="D216:E216" si="64">D$215</f>
        <v>Critical</v>
      </c>
      <c r="E216" s="55" t="str">
        <f t="shared" si="64"/>
        <v>Phase 1</v>
      </c>
      <c r="F216" s="40" t="str">
        <v/>
      </c>
      <c r="G216" s="35"/>
      <c r="H216" s="41" t="str">
        <f ca="1"/>
        <v/>
      </c>
      <c r="I216" s="42"/>
      <c r="J216" s="42"/>
      <c r="K216" s="42"/>
      <c r="L216" s="42"/>
      <c r="M216" s="42"/>
      <c r="N216" s="42"/>
      <c r="O216" s="42"/>
      <c r="P216" s="42"/>
      <c r="Q216" s="42"/>
      <c r="R216" s="42"/>
      <c r="S216" s="42"/>
      <c r="T216" s="42"/>
      <c r="U216" s="42"/>
      <c r="V216" s="42"/>
      <c r="W216" s="42"/>
      <c r="X216" s="42"/>
      <c r="Y216" s="42"/>
      <c r="Z216" s="42"/>
      <c r="AA216" s="42"/>
      <c r="AB216" s="42"/>
      <c r="AC216" s="42"/>
    </row>
    <row r="217" spans="1:29" x14ac:dyDescent="0.25">
      <c r="A217" s="43" t="str">
        <f t="shared" si="0"/>
        <v/>
      </c>
      <c r="B217" s="35"/>
      <c r="C217" s="38" t="s">
        <v>200</v>
      </c>
      <c r="D217" s="55" t="str">
        <f t="shared" ref="D217:E217" si="65">D$215</f>
        <v>Critical</v>
      </c>
      <c r="E217" s="55" t="str">
        <f t="shared" si="65"/>
        <v>Phase 1</v>
      </c>
      <c r="F217" s="40" t="str">
        <v/>
      </c>
      <c r="G217" s="35"/>
      <c r="H217" s="41" t="str">
        <f ca="1"/>
        <v/>
      </c>
      <c r="I217" s="42"/>
      <c r="J217" s="42"/>
      <c r="K217" s="42"/>
      <c r="L217" s="42"/>
      <c r="M217" s="42"/>
      <c r="N217" s="42"/>
      <c r="O217" s="42"/>
      <c r="P217" s="42"/>
      <c r="Q217" s="42"/>
      <c r="R217" s="42"/>
      <c r="S217" s="42"/>
      <c r="T217" s="42"/>
      <c r="U217" s="42"/>
      <c r="V217" s="42"/>
      <c r="W217" s="42"/>
      <c r="X217" s="42"/>
      <c r="Y217" s="42"/>
      <c r="Z217" s="42"/>
      <c r="AA217" s="42"/>
      <c r="AB217" s="42"/>
      <c r="AC217" s="42"/>
    </row>
    <row r="218" spans="1:29" x14ac:dyDescent="0.25">
      <c r="A218" s="43" t="str">
        <f t="shared" si="0"/>
        <v/>
      </c>
      <c r="B218" s="35"/>
      <c r="C218" s="38" t="s">
        <v>201</v>
      </c>
      <c r="D218" s="55" t="str">
        <f t="shared" ref="D218:E218" si="66">D$215</f>
        <v>Critical</v>
      </c>
      <c r="E218" s="55" t="str">
        <f t="shared" si="66"/>
        <v>Phase 1</v>
      </c>
      <c r="F218" s="40" t="str">
        <v/>
      </c>
      <c r="G218" s="35"/>
      <c r="H218" s="41" t="str">
        <f ca="1"/>
        <v/>
      </c>
      <c r="I218" s="42"/>
      <c r="J218" s="42"/>
      <c r="K218" s="42"/>
      <c r="L218" s="42"/>
      <c r="M218" s="42"/>
      <c r="N218" s="42"/>
      <c r="O218" s="42"/>
      <c r="P218" s="42"/>
      <c r="Q218" s="42"/>
      <c r="R218" s="42"/>
      <c r="S218" s="42"/>
      <c r="T218" s="42"/>
      <c r="U218" s="42"/>
      <c r="V218" s="42"/>
      <c r="W218" s="42"/>
      <c r="X218" s="42"/>
      <c r="Y218" s="42"/>
      <c r="Z218" s="42"/>
      <c r="AA218" s="42"/>
      <c r="AB218" s="42"/>
      <c r="AC218" s="42"/>
    </row>
    <row r="219" spans="1:29" x14ac:dyDescent="0.25">
      <c r="A219" s="43" t="str">
        <f t="shared" si="0"/>
        <v/>
      </c>
      <c r="B219" s="35"/>
      <c r="C219" s="38"/>
      <c r="D219" s="41"/>
      <c r="E219" s="41"/>
      <c r="F219" s="40" t="str">
        <v/>
      </c>
      <c r="G219" s="35"/>
      <c r="H219" s="41" t="str">
        <f ca="1"/>
        <v/>
      </c>
      <c r="I219" s="42"/>
      <c r="J219" s="42"/>
      <c r="K219" s="42"/>
      <c r="L219" s="42"/>
      <c r="M219" s="42"/>
      <c r="N219" s="42"/>
      <c r="O219" s="42"/>
      <c r="P219" s="42"/>
      <c r="Q219" s="42"/>
      <c r="R219" s="42"/>
      <c r="S219" s="42"/>
      <c r="T219" s="42"/>
      <c r="U219" s="42"/>
      <c r="V219" s="42"/>
      <c r="W219" s="42"/>
      <c r="X219" s="42"/>
      <c r="Y219" s="42"/>
      <c r="Z219" s="42"/>
      <c r="AA219" s="42"/>
      <c r="AB219" s="42"/>
      <c r="AC219" s="42"/>
    </row>
    <row r="220" spans="1:29" x14ac:dyDescent="0.25">
      <c r="A220" s="43" t="str">
        <f t="shared" si="0"/>
        <v/>
      </c>
      <c r="B220" s="35"/>
      <c r="C220" s="38"/>
      <c r="D220" s="41"/>
      <c r="E220" s="41"/>
      <c r="F220" s="40" t="str">
        <v/>
      </c>
      <c r="G220" s="35"/>
      <c r="H220" s="41" t="str">
        <f ca="1"/>
        <v/>
      </c>
      <c r="I220" s="42"/>
      <c r="J220" s="42"/>
      <c r="K220" s="42"/>
      <c r="L220" s="42"/>
      <c r="M220" s="42"/>
      <c r="N220" s="42"/>
      <c r="O220" s="42"/>
      <c r="P220" s="42"/>
      <c r="Q220" s="42"/>
      <c r="R220" s="42"/>
      <c r="S220" s="42"/>
      <c r="T220" s="42"/>
      <c r="U220" s="42"/>
      <c r="V220" s="42"/>
      <c r="W220" s="42"/>
      <c r="X220" s="42"/>
      <c r="Y220" s="42"/>
      <c r="Z220" s="42"/>
      <c r="AA220" s="42"/>
      <c r="AB220" s="42"/>
      <c r="AC220" s="42"/>
    </row>
    <row r="221" spans="1:29" x14ac:dyDescent="0.25">
      <c r="A221" s="43" t="str">
        <f t="shared" si="0"/>
        <v/>
      </c>
      <c r="B221" s="35"/>
      <c r="C221" s="38"/>
      <c r="D221" s="41"/>
      <c r="E221" s="41"/>
      <c r="F221" s="40" t="str">
        <v/>
      </c>
      <c r="G221" s="35"/>
      <c r="H221" s="41" t="str">
        <f ca="1"/>
        <v/>
      </c>
      <c r="I221" s="42"/>
      <c r="J221" s="42"/>
      <c r="K221" s="42"/>
      <c r="L221" s="42"/>
      <c r="M221" s="42"/>
      <c r="N221" s="42"/>
      <c r="O221" s="42"/>
      <c r="P221" s="42"/>
      <c r="Q221" s="42"/>
      <c r="R221" s="42"/>
      <c r="S221" s="42"/>
      <c r="T221" s="42"/>
      <c r="U221" s="42"/>
      <c r="V221" s="42"/>
      <c r="W221" s="42"/>
      <c r="X221" s="42"/>
      <c r="Y221" s="42"/>
      <c r="Z221" s="42"/>
      <c r="AA221" s="42"/>
      <c r="AB221" s="42"/>
      <c r="AC221" s="42"/>
    </row>
    <row r="222" spans="1:29" x14ac:dyDescent="0.25">
      <c r="A222" s="48" t="e">
        <f t="shared" ca="1" si="0"/>
        <v>#NAME?</v>
      </c>
      <c r="B222" s="37" t="s">
        <v>202</v>
      </c>
      <c r="C222" s="38"/>
      <c r="D222" s="39" t="s">
        <v>37</v>
      </c>
      <c r="E222" s="39" t="s">
        <v>54</v>
      </c>
      <c r="F222" s="40" t="e">
        <f ca="1"/>
        <v>#NAME?</v>
      </c>
      <c r="G222" s="35"/>
      <c r="H222" s="41" t="str">
        <f ca="1"/>
        <v/>
      </c>
      <c r="I222" s="42"/>
      <c r="J222" s="42"/>
      <c r="K222" s="42"/>
      <c r="L222" s="42"/>
      <c r="M222" s="42"/>
      <c r="N222" s="42"/>
      <c r="O222" s="42"/>
      <c r="P222" s="42"/>
      <c r="Q222" s="42"/>
      <c r="R222" s="42"/>
      <c r="S222" s="42"/>
      <c r="T222" s="42"/>
      <c r="U222" s="42"/>
      <c r="V222" s="42"/>
      <c r="W222" s="42"/>
      <c r="X222" s="42"/>
      <c r="Y222" s="42"/>
      <c r="Z222" s="42"/>
      <c r="AA222" s="42"/>
      <c r="AB222" s="42"/>
      <c r="AC222" s="42"/>
    </row>
    <row r="223" spans="1:29" x14ac:dyDescent="0.25">
      <c r="A223" s="43" t="e">
        <f t="shared" ca="1" si="0"/>
        <v>#NAME?</v>
      </c>
      <c r="B223" s="44" t="s">
        <v>203</v>
      </c>
      <c r="C223" s="45"/>
      <c r="D223" s="46" t="s">
        <v>37</v>
      </c>
      <c r="E223" s="46" t="s">
        <v>54</v>
      </c>
      <c r="F223" s="40" t="e">
        <f ca="1"/>
        <v>#NAME?</v>
      </c>
      <c r="G223" s="35" t="e">
        <f ca="1">"- "&amp;_xludf.textjoin("
- ",TRUE,$C224:$C228)</f>
        <v>#NAME?</v>
      </c>
      <c r="H223" s="41" t="e">
        <f ca="1"/>
        <v>#NAME?</v>
      </c>
      <c r="I223" s="42"/>
      <c r="J223" s="42"/>
      <c r="K223" s="42"/>
      <c r="L223" s="42"/>
      <c r="M223" s="42"/>
      <c r="N223" s="42"/>
      <c r="O223" s="42"/>
      <c r="P223" s="42"/>
      <c r="Q223" s="42"/>
      <c r="R223" s="42"/>
      <c r="S223" s="42"/>
      <c r="T223" s="42"/>
      <c r="U223" s="42"/>
      <c r="V223" s="42"/>
      <c r="W223" s="42"/>
      <c r="X223" s="42"/>
      <c r="Y223" s="42"/>
      <c r="Z223" s="42"/>
      <c r="AA223" s="42"/>
      <c r="AB223" s="42"/>
      <c r="AC223" s="42"/>
    </row>
    <row r="224" spans="1:29" x14ac:dyDescent="0.25">
      <c r="A224" s="43" t="str">
        <f t="shared" si="0"/>
        <v/>
      </c>
      <c r="B224" s="35"/>
      <c r="C224" s="38" t="s">
        <v>204</v>
      </c>
      <c r="D224" s="55" t="str">
        <f t="shared" ref="D224:E224" si="67">D$223</f>
        <v>Critical</v>
      </c>
      <c r="E224" s="55" t="str">
        <f t="shared" si="67"/>
        <v>Phase 1</v>
      </c>
      <c r="F224" s="40" t="str">
        <v/>
      </c>
      <c r="G224" s="35"/>
      <c r="H224" s="41" t="str">
        <f ca="1"/>
        <v/>
      </c>
      <c r="I224" s="42"/>
      <c r="J224" s="42"/>
      <c r="K224" s="42"/>
      <c r="L224" s="42"/>
      <c r="M224" s="42"/>
      <c r="N224" s="42"/>
      <c r="O224" s="42"/>
      <c r="P224" s="42"/>
      <c r="Q224" s="42"/>
      <c r="R224" s="42"/>
      <c r="S224" s="42"/>
      <c r="T224" s="42"/>
      <c r="U224" s="42"/>
      <c r="V224" s="42"/>
      <c r="W224" s="42"/>
      <c r="X224" s="42"/>
      <c r="Y224" s="42"/>
      <c r="Z224" s="42"/>
      <c r="AA224" s="42"/>
      <c r="AB224" s="42"/>
      <c r="AC224" s="42"/>
    </row>
    <row r="225" spans="1:29" x14ac:dyDescent="0.25">
      <c r="A225" s="43" t="str">
        <f t="shared" si="0"/>
        <v/>
      </c>
      <c r="B225" s="35"/>
      <c r="C225" s="38" t="s">
        <v>205</v>
      </c>
      <c r="D225" s="55" t="str">
        <f t="shared" ref="D225:E225" si="68">D$223</f>
        <v>Critical</v>
      </c>
      <c r="E225" s="55" t="str">
        <f t="shared" si="68"/>
        <v>Phase 1</v>
      </c>
      <c r="F225" s="40" t="str">
        <v/>
      </c>
      <c r="G225" s="35"/>
      <c r="H225" s="41" t="str">
        <f ca="1"/>
        <v/>
      </c>
      <c r="I225" s="42"/>
      <c r="J225" s="42"/>
      <c r="K225" s="42"/>
      <c r="L225" s="42"/>
      <c r="M225" s="42"/>
      <c r="N225" s="42"/>
      <c r="O225" s="42"/>
      <c r="P225" s="42"/>
      <c r="Q225" s="42"/>
      <c r="R225" s="42"/>
      <c r="S225" s="42"/>
      <c r="T225" s="42"/>
      <c r="U225" s="42"/>
      <c r="V225" s="42"/>
      <c r="W225" s="42"/>
      <c r="X225" s="42"/>
      <c r="Y225" s="42"/>
      <c r="Z225" s="42"/>
      <c r="AA225" s="42"/>
      <c r="AB225" s="42"/>
      <c r="AC225" s="42"/>
    </row>
    <row r="226" spans="1:29" x14ac:dyDescent="0.25">
      <c r="A226" s="43" t="str">
        <f t="shared" si="0"/>
        <v/>
      </c>
      <c r="B226" s="35"/>
      <c r="C226" s="38" t="s">
        <v>206</v>
      </c>
      <c r="D226" s="55" t="str">
        <f t="shared" ref="D226:E226" si="69">D$223</f>
        <v>Critical</v>
      </c>
      <c r="E226" s="55" t="str">
        <f t="shared" si="69"/>
        <v>Phase 1</v>
      </c>
      <c r="F226" s="40" t="str">
        <v/>
      </c>
      <c r="G226" s="35"/>
      <c r="H226" s="41" t="str">
        <f ca="1"/>
        <v/>
      </c>
      <c r="I226" s="42"/>
      <c r="J226" s="42"/>
      <c r="K226" s="42"/>
      <c r="L226" s="42"/>
      <c r="M226" s="42"/>
      <c r="N226" s="42"/>
      <c r="O226" s="42"/>
      <c r="P226" s="42"/>
      <c r="Q226" s="42"/>
      <c r="R226" s="42"/>
      <c r="S226" s="42"/>
      <c r="T226" s="42"/>
      <c r="U226" s="42"/>
      <c r="V226" s="42"/>
      <c r="W226" s="42"/>
      <c r="X226" s="42"/>
      <c r="Y226" s="42"/>
      <c r="Z226" s="42"/>
      <c r="AA226" s="42"/>
      <c r="AB226" s="42"/>
      <c r="AC226" s="42"/>
    </row>
    <row r="227" spans="1:29" x14ac:dyDescent="0.25">
      <c r="A227" s="43" t="str">
        <f t="shared" si="0"/>
        <v/>
      </c>
      <c r="B227" s="35"/>
      <c r="C227" s="38" t="s">
        <v>207</v>
      </c>
      <c r="D227" s="41"/>
      <c r="E227" s="41"/>
      <c r="F227" s="40" t="str">
        <v/>
      </c>
      <c r="G227" s="35"/>
      <c r="H227" s="41" t="str">
        <f ca="1"/>
        <v/>
      </c>
      <c r="I227" s="42"/>
      <c r="J227" s="42"/>
      <c r="K227" s="42"/>
      <c r="L227" s="42"/>
      <c r="M227" s="42"/>
      <c r="N227" s="42"/>
      <c r="O227" s="42"/>
      <c r="P227" s="42"/>
      <c r="Q227" s="42"/>
      <c r="R227" s="42"/>
      <c r="S227" s="42"/>
      <c r="T227" s="42"/>
      <c r="U227" s="42"/>
      <c r="V227" s="42"/>
      <c r="W227" s="42"/>
      <c r="X227" s="42"/>
      <c r="Y227" s="42"/>
      <c r="Z227" s="42"/>
      <c r="AA227" s="42"/>
      <c r="AB227" s="42"/>
      <c r="AC227" s="42"/>
    </row>
    <row r="228" spans="1:29" x14ac:dyDescent="0.25">
      <c r="A228" s="43" t="str">
        <f t="shared" si="0"/>
        <v/>
      </c>
      <c r="B228" s="35"/>
      <c r="C228" s="38"/>
      <c r="D228" s="41"/>
      <c r="E228" s="41"/>
      <c r="F228" s="40" t="str">
        <v/>
      </c>
      <c r="G228" s="35"/>
      <c r="H228" s="41" t="str">
        <f ca="1"/>
        <v/>
      </c>
      <c r="I228" s="42"/>
      <c r="J228" s="42"/>
      <c r="K228" s="42"/>
      <c r="L228" s="42"/>
      <c r="M228" s="42"/>
      <c r="N228" s="42"/>
      <c r="O228" s="42"/>
      <c r="P228" s="42"/>
      <c r="Q228" s="42"/>
      <c r="R228" s="42"/>
      <c r="S228" s="42"/>
      <c r="T228" s="42"/>
      <c r="U228" s="42"/>
      <c r="V228" s="42"/>
      <c r="W228" s="42"/>
      <c r="X228" s="42"/>
      <c r="Y228" s="42"/>
      <c r="Z228" s="42"/>
      <c r="AA228" s="42"/>
      <c r="AB228" s="42"/>
      <c r="AC228" s="42"/>
    </row>
    <row r="229" spans="1:29" x14ac:dyDescent="0.25">
      <c r="A229" s="43" t="str">
        <f t="shared" si="0"/>
        <v/>
      </c>
      <c r="B229" s="35"/>
      <c r="C229" s="38"/>
      <c r="D229" s="41"/>
      <c r="E229" s="41"/>
      <c r="F229" s="40" t="str">
        <v/>
      </c>
      <c r="G229" s="35"/>
      <c r="H229" s="41" t="str">
        <f ca="1"/>
        <v/>
      </c>
      <c r="I229" s="42"/>
      <c r="J229" s="42"/>
      <c r="K229" s="42"/>
      <c r="L229" s="42"/>
      <c r="M229" s="42"/>
      <c r="N229" s="42"/>
      <c r="O229" s="42"/>
      <c r="P229" s="42"/>
      <c r="Q229" s="42"/>
      <c r="R229" s="42"/>
      <c r="S229" s="42"/>
      <c r="T229" s="42"/>
      <c r="U229" s="42"/>
      <c r="V229" s="42"/>
      <c r="W229" s="42"/>
      <c r="X229" s="42"/>
      <c r="Y229" s="42"/>
      <c r="Z229" s="42"/>
      <c r="AA229" s="42"/>
      <c r="AB229" s="42"/>
      <c r="AC229" s="42"/>
    </row>
    <row r="230" spans="1:29" x14ac:dyDescent="0.25">
      <c r="A230" s="43" t="e">
        <f t="shared" ca="1" si="0"/>
        <v>#NAME?</v>
      </c>
      <c r="B230" s="44" t="s">
        <v>208</v>
      </c>
      <c r="C230" s="45"/>
      <c r="D230" s="39" t="s">
        <v>37</v>
      </c>
      <c r="E230" s="39" t="s">
        <v>54</v>
      </c>
      <c r="F230" s="40" t="e">
        <f ca="1"/>
        <v>#NAME?</v>
      </c>
      <c r="G230" s="35" t="e">
        <f ca="1">"- "&amp;_xludf.textjoin("
- ",TRUE,$C231:$C235)</f>
        <v>#NAME?</v>
      </c>
      <c r="H230" s="41" t="e">
        <f ca="1"/>
        <v>#NAME?</v>
      </c>
      <c r="I230" s="42"/>
      <c r="J230" s="42"/>
      <c r="K230" s="42"/>
      <c r="L230" s="42"/>
      <c r="M230" s="42"/>
      <c r="N230" s="42"/>
      <c r="O230" s="42"/>
      <c r="P230" s="42"/>
      <c r="Q230" s="42"/>
      <c r="R230" s="42"/>
      <c r="S230" s="42"/>
      <c r="T230" s="42"/>
      <c r="U230" s="42"/>
      <c r="V230" s="42"/>
      <c r="W230" s="42"/>
      <c r="X230" s="42"/>
      <c r="Y230" s="42"/>
      <c r="Z230" s="42"/>
      <c r="AA230" s="42"/>
      <c r="AB230" s="42"/>
      <c r="AC230" s="42"/>
    </row>
    <row r="231" spans="1:29" x14ac:dyDescent="0.25">
      <c r="A231" s="43" t="str">
        <f t="shared" si="0"/>
        <v/>
      </c>
      <c r="B231" s="35"/>
      <c r="C231" s="38" t="s">
        <v>209</v>
      </c>
      <c r="D231" s="55" t="str">
        <f t="shared" ref="D231:E231" si="70">D$230</f>
        <v>Critical</v>
      </c>
      <c r="E231" s="55" t="str">
        <f t="shared" si="70"/>
        <v>Phase 1</v>
      </c>
      <c r="F231" s="40" t="str">
        <v/>
      </c>
      <c r="G231" s="35"/>
      <c r="H231" s="41" t="str">
        <f ca="1"/>
        <v/>
      </c>
      <c r="I231" s="42"/>
      <c r="J231" s="42"/>
      <c r="K231" s="42"/>
      <c r="L231" s="42"/>
      <c r="M231" s="42"/>
      <c r="N231" s="42"/>
      <c r="O231" s="42"/>
      <c r="P231" s="42"/>
      <c r="Q231" s="42"/>
      <c r="R231" s="42"/>
      <c r="S231" s="42"/>
      <c r="T231" s="42"/>
      <c r="U231" s="42"/>
      <c r="V231" s="42"/>
      <c r="W231" s="42"/>
      <c r="X231" s="42"/>
      <c r="Y231" s="42"/>
      <c r="Z231" s="42"/>
      <c r="AA231" s="42"/>
      <c r="AB231" s="42"/>
      <c r="AC231" s="42"/>
    </row>
    <row r="232" spans="1:29" x14ac:dyDescent="0.25">
      <c r="A232" s="43" t="str">
        <f t="shared" si="0"/>
        <v/>
      </c>
      <c r="B232" s="35"/>
      <c r="C232" s="38" t="s">
        <v>210</v>
      </c>
      <c r="D232" s="55" t="str">
        <f t="shared" ref="D232:E232" si="71">D$230</f>
        <v>Critical</v>
      </c>
      <c r="E232" s="55" t="str">
        <f t="shared" si="71"/>
        <v>Phase 1</v>
      </c>
      <c r="F232" s="40" t="str">
        <v/>
      </c>
      <c r="G232" s="35"/>
      <c r="H232" s="41" t="str">
        <f ca="1"/>
        <v/>
      </c>
      <c r="I232" s="42"/>
      <c r="J232" s="42"/>
      <c r="K232" s="42"/>
      <c r="L232" s="42"/>
      <c r="M232" s="42"/>
      <c r="N232" s="42"/>
      <c r="O232" s="42"/>
      <c r="P232" s="42"/>
      <c r="Q232" s="42"/>
      <c r="R232" s="42"/>
      <c r="S232" s="42"/>
      <c r="T232" s="42"/>
      <c r="U232" s="42"/>
      <c r="V232" s="42"/>
      <c r="W232" s="42"/>
      <c r="X232" s="42"/>
      <c r="Y232" s="42"/>
      <c r="Z232" s="42"/>
      <c r="AA232" s="42"/>
      <c r="AB232" s="42"/>
      <c r="AC232" s="42"/>
    </row>
    <row r="233" spans="1:29" x14ac:dyDescent="0.25">
      <c r="A233" s="43" t="str">
        <f t="shared" si="0"/>
        <v/>
      </c>
      <c r="B233" s="35"/>
      <c r="C233" s="38" t="s">
        <v>211</v>
      </c>
      <c r="D233" s="55" t="str">
        <f t="shared" ref="D233:E233" si="72">D$230</f>
        <v>Critical</v>
      </c>
      <c r="E233" s="55" t="str">
        <f t="shared" si="72"/>
        <v>Phase 1</v>
      </c>
      <c r="F233" s="40" t="str">
        <v/>
      </c>
      <c r="G233" s="35"/>
      <c r="H233" s="41" t="str">
        <f ca="1"/>
        <v/>
      </c>
      <c r="I233" s="42"/>
      <c r="J233" s="42"/>
      <c r="K233" s="42"/>
      <c r="L233" s="42"/>
      <c r="M233" s="42"/>
      <c r="N233" s="42"/>
      <c r="O233" s="42"/>
      <c r="P233" s="42"/>
      <c r="Q233" s="42"/>
      <c r="R233" s="42"/>
      <c r="S233" s="42"/>
      <c r="T233" s="42"/>
      <c r="U233" s="42"/>
      <c r="V233" s="42"/>
      <c r="W233" s="42"/>
      <c r="X233" s="42"/>
      <c r="Y233" s="42"/>
      <c r="Z233" s="42"/>
      <c r="AA233" s="42"/>
      <c r="AB233" s="42"/>
      <c r="AC233" s="42"/>
    </row>
    <row r="234" spans="1:29" x14ac:dyDescent="0.25">
      <c r="A234" s="43" t="str">
        <f t="shared" si="0"/>
        <v/>
      </c>
      <c r="B234" s="35"/>
      <c r="C234" s="38" t="s">
        <v>212</v>
      </c>
      <c r="D234" s="39" t="s">
        <v>38</v>
      </c>
      <c r="E234" s="39" t="s">
        <v>54</v>
      </c>
      <c r="F234" s="40" t="str">
        <v/>
      </c>
      <c r="G234" s="35"/>
      <c r="H234" s="41" t="str">
        <f ca="1"/>
        <v/>
      </c>
      <c r="I234" s="42"/>
      <c r="J234" s="42"/>
      <c r="K234" s="42"/>
      <c r="L234" s="42"/>
      <c r="M234" s="42"/>
      <c r="N234" s="42"/>
      <c r="O234" s="42"/>
      <c r="P234" s="42"/>
      <c r="Q234" s="42"/>
      <c r="R234" s="42"/>
      <c r="S234" s="42"/>
      <c r="T234" s="42"/>
      <c r="U234" s="42"/>
      <c r="V234" s="42"/>
      <c r="W234" s="42"/>
      <c r="X234" s="42"/>
      <c r="Y234" s="42"/>
      <c r="Z234" s="42"/>
      <c r="AA234" s="42"/>
      <c r="AB234" s="42"/>
      <c r="AC234" s="42"/>
    </row>
    <row r="235" spans="1:29" x14ac:dyDescent="0.25">
      <c r="A235" s="43" t="str">
        <f t="shared" si="0"/>
        <v/>
      </c>
      <c r="B235" s="35"/>
      <c r="C235" s="38"/>
      <c r="D235" s="41"/>
      <c r="E235" s="41"/>
      <c r="F235" s="40" t="str">
        <v/>
      </c>
      <c r="G235" s="35"/>
      <c r="H235" s="41" t="str">
        <f ca="1"/>
        <v/>
      </c>
      <c r="I235" s="42"/>
      <c r="J235" s="42"/>
      <c r="K235" s="42"/>
      <c r="L235" s="42"/>
      <c r="M235" s="42"/>
      <c r="N235" s="42"/>
      <c r="O235" s="42"/>
      <c r="P235" s="42"/>
      <c r="Q235" s="42"/>
      <c r="R235" s="42"/>
      <c r="S235" s="42"/>
      <c r="T235" s="42"/>
      <c r="U235" s="42"/>
      <c r="V235" s="42"/>
      <c r="W235" s="42"/>
      <c r="X235" s="42"/>
      <c r="Y235" s="42"/>
      <c r="Z235" s="42"/>
      <c r="AA235" s="42"/>
      <c r="AB235" s="42"/>
      <c r="AC235" s="42"/>
    </row>
    <row r="236" spans="1:29" x14ac:dyDescent="0.25">
      <c r="A236" s="43" t="str">
        <f t="shared" si="0"/>
        <v/>
      </c>
      <c r="B236" s="35"/>
      <c r="C236" s="38"/>
      <c r="D236" s="41"/>
      <c r="E236" s="41"/>
      <c r="F236" s="40" t="str">
        <v/>
      </c>
      <c r="G236" s="35"/>
      <c r="H236" s="41" t="str">
        <f ca="1"/>
        <v/>
      </c>
      <c r="I236" s="42"/>
      <c r="J236" s="42"/>
      <c r="K236" s="42"/>
      <c r="L236" s="42"/>
      <c r="M236" s="42"/>
      <c r="N236" s="42"/>
      <c r="O236" s="42"/>
      <c r="P236" s="42"/>
      <c r="Q236" s="42"/>
      <c r="R236" s="42"/>
      <c r="S236" s="42"/>
      <c r="T236" s="42"/>
      <c r="U236" s="42"/>
      <c r="V236" s="42"/>
      <c r="W236" s="42"/>
      <c r="X236" s="42"/>
      <c r="Y236" s="42"/>
      <c r="Z236" s="42"/>
      <c r="AA236" s="42"/>
      <c r="AB236" s="42"/>
      <c r="AC236" s="42"/>
    </row>
    <row r="237" spans="1:29" x14ac:dyDescent="0.25">
      <c r="A237" s="43" t="e">
        <f t="shared" ca="1" si="0"/>
        <v>#NAME?</v>
      </c>
      <c r="B237" s="44" t="s">
        <v>213</v>
      </c>
      <c r="C237" s="45"/>
      <c r="D237" s="46" t="s">
        <v>37</v>
      </c>
      <c r="E237" s="46" t="s">
        <v>54</v>
      </c>
      <c r="F237" s="40" t="e">
        <f ca="1"/>
        <v>#NAME?</v>
      </c>
      <c r="G237" s="35" t="e">
        <f ca="1">"- "&amp;_xludf.textjoin("
- ",TRUE,$C238:$C242)</f>
        <v>#NAME?</v>
      </c>
      <c r="H237" s="41" t="e">
        <f ca="1"/>
        <v>#NAME?</v>
      </c>
      <c r="I237" s="42"/>
      <c r="J237" s="42"/>
      <c r="K237" s="42"/>
      <c r="L237" s="42"/>
      <c r="M237" s="42"/>
      <c r="N237" s="42"/>
      <c r="O237" s="42"/>
      <c r="P237" s="42"/>
      <c r="Q237" s="42"/>
      <c r="R237" s="42"/>
      <c r="S237" s="42"/>
      <c r="T237" s="42"/>
      <c r="U237" s="42"/>
      <c r="V237" s="42"/>
      <c r="W237" s="42"/>
      <c r="X237" s="42"/>
      <c r="Y237" s="42"/>
      <c r="Z237" s="42"/>
      <c r="AA237" s="42"/>
      <c r="AB237" s="42"/>
      <c r="AC237" s="42"/>
    </row>
    <row r="238" spans="1:29" x14ac:dyDescent="0.25">
      <c r="A238" s="43" t="str">
        <f t="shared" si="0"/>
        <v/>
      </c>
      <c r="B238" s="35"/>
      <c r="C238" s="38" t="s">
        <v>214</v>
      </c>
      <c r="D238" s="55" t="str">
        <f t="shared" ref="D238:E238" si="73">D$237</f>
        <v>Critical</v>
      </c>
      <c r="E238" s="55" t="str">
        <f t="shared" si="73"/>
        <v>Phase 1</v>
      </c>
      <c r="F238" s="40" t="str">
        <v/>
      </c>
      <c r="G238" s="35"/>
      <c r="H238" s="41" t="str">
        <f ca="1"/>
        <v/>
      </c>
      <c r="I238" s="42"/>
      <c r="J238" s="42"/>
      <c r="K238" s="42"/>
      <c r="L238" s="42"/>
      <c r="M238" s="42"/>
      <c r="N238" s="42"/>
      <c r="O238" s="42"/>
      <c r="P238" s="42"/>
      <c r="Q238" s="42"/>
      <c r="R238" s="42"/>
      <c r="S238" s="42"/>
      <c r="T238" s="42"/>
      <c r="U238" s="42"/>
      <c r="V238" s="42"/>
      <c r="W238" s="42"/>
      <c r="X238" s="42"/>
      <c r="Y238" s="42"/>
      <c r="Z238" s="42"/>
      <c r="AA238" s="42"/>
      <c r="AB238" s="42"/>
      <c r="AC238" s="42"/>
    </row>
    <row r="239" spans="1:29" x14ac:dyDescent="0.25">
      <c r="A239" s="43" t="str">
        <f t="shared" si="0"/>
        <v/>
      </c>
      <c r="B239" s="35"/>
      <c r="C239" s="38" t="s">
        <v>215</v>
      </c>
      <c r="D239" s="55" t="str">
        <f t="shared" ref="D239:E239" si="74">D$237</f>
        <v>Critical</v>
      </c>
      <c r="E239" s="55" t="str">
        <f t="shared" si="74"/>
        <v>Phase 1</v>
      </c>
      <c r="F239" s="40" t="str">
        <v/>
      </c>
      <c r="G239" s="35"/>
      <c r="H239" s="41" t="str">
        <f ca="1"/>
        <v/>
      </c>
      <c r="I239" s="42"/>
      <c r="J239" s="42"/>
      <c r="K239" s="42"/>
      <c r="L239" s="42"/>
      <c r="M239" s="42"/>
      <c r="N239" s="42"/>
      <c r="O239" s="42"/>
      <c r="P239" s="42"/>
      <c r="Q239" s="42"/>
      <c r="R239" s="42"/>
      <c r="S239" s="42"/>
      <c r="T239" s="42"/>
      <c r="U239" s="42"/>
      <c r="V239" s="42"/>
      <c r="W239" s="42"/>
      <c r="X239" s="42"/>
      <c r="Y239" s="42"/>
      <c r="Z239" s="42"/>
      <c r="AA239" s="42"/>
      <c r="AB239" s="42"/>
      <c r="AC239" s="42"/>
    </row>
    <row r="240" spans="1:29" x14ac:dyDescent="0.25">
      <c r="A240" s="43" t="str">
        <f t="shared" si="0"/>
        <v/>
      </c>
      <c r="B240" s="35"/>
      <c r="C240" s="38" t="s">
        <v>216</v>
      </c>
      <c r="D240" s="55" t="str">
        <f t="shared" ref="D240:E240" si="75">D$237</f>
        <v>Critical</v>
      </c>
      <c r="E240" s="55" t="str">
        <f t="shared" si="75"/>
        <v>Phase 1</v>
      </c>
      <c r="F240" s="40" t="str">
        <v/>
      </c>
      <c r="G240" s="35"/>
      <c r="H240" s="41" t="str">
        <f ca="1"/>
        <v/>
      </c>
      <c r="I240" s="42"/>
      <c r="J240" s="42"/>
      <c r="K240" s="42"/>
      <c r="L240" s="42"/>
      <c r="M240" s="42"/>
      <c r="N240" s="42"/>
      <c r="O240" s="42"/>
      <c r="P240" s="42"/>
      <c r="Q240" s="42"/>
      <c r="R240" s="42"/>
      <c r="S240" s="42"/>
      <c r="T240" s="42"/>
      <c r="U240" s="42"/>
      <c r="V240" s="42"/>
      <c r="W240" s="42"/>
      <c r="X240" s="42"/>
      <c r="Y240" s="42"/>
      <c r="Z240" s="42"/>
      <c r="AA240" s="42"/>
      <c r="AB240" s="42"/>
      <c r="AC240" s="42"/>
    </row>
    <row r="241" spans="1:29" x14ac:dyDescent="0.25">
      <c r="A241" s="43" t="str">
        <f t="shared" si="0"/>
        <v/>
      </c>
      <c r="B241" s="35"/>
      <c r="C241" s="38" t="s">
        <v>217</v>
      </c>
      <c r="D241" s="55" t="str">
        <f t="shared" ref="D241:E241" si="76">D$237</f>
        <v>Critical</v>
      </c>
      <c r="E241" s="55" t="str">
        <f t="shared" si="76"/>
        <v>Phase 1</v>
      </c>
      <c r="F241" s="40" t="str">
        <v/>
      </c>
      <c r="G241" s="35"/>
      <c r="H241" s="41" t="str">
        <f ca="1"/>
        <v/>
      </c>
      <c r="I241" s="42"/>
      <c r="J241" s="42"/>
      <c r="K241" s="42"/>
      <c r="L241" s="42"/>
      <c r="M241" s="42"/>
      <c r="N241" s="42"/>
      <c r="O241" s="42"/>
      <c r="P241" s="42"/>
      <c r="Q241" s="42"/>
      <c r="R241" s="42"/>
      <c r="S241" s="42"/>
      <c r="T241" s="42"/>
      <c r="U241" s="42"/>
      <c r="V241" s="42"/>
      <c r="W241" s="42"/>
      <c r="X241" s="42"/>
      <c r="Y241" s="42"/>
      <c r="Z241" s="42"/>
      <c r="AA241" s="42"/>
      <c r="AB241" s="42"/>
      <c r="AC241" s="42"/>
    </row>
    <row r="242" spans="1:29" x14ac:dyDescent="0.25">
      <c r="A242" s="43" t="str">
        <f t="shared" si="0"/>
        <v/>
      </c>
      <c r="B242" s="35"/>
      <c r="C242" s="38"/>
      <c r="D242" s="41"/>
      <c r="E242" s="41"/>
      <c r="F242" s="40" t="str">
        <v/>
      </c>
      <c r="G242" s="35"/>
      <c r="H242" s="41" t="str">
        <f ca="1"/>
        <v/>
      </c>
      <c r="I242" s="42"/>
      <c r="J242" s="42"/>
      <c r="K242" s="42"/>
      <c r="L242" s="42"/>
      <c r="M242" s="42"/>
      <c r="N242" s="42"/>
      <c r="O242" s="42"/>
      <c r="P242" s="42"/>
      <c r="Q242" s="42"/>
      <c r="R242" s="42"/>
      <c r="S242" s="42"/>
      <c r="T242" s="42"/>
      <c r="U242" s="42"/>
      <c r="V242" s="42"/>
      <c r="W242" s="42"/>
      <c r="X242" s="42"/>
      <c r="Y242" s="42"/>
      <c r="Z242" s="42"/>
      <c r="AA242" s="42"/>
      <c r="AB242" s="42"/>
      <c r="AC242" s="42"/>
    </row>
    <row r="243" spans="1:29" x14ac:dyDescent="0.25">
      <c r="A243" s="43" t="str">
        <f t="shared" si="0"/>
        <v/>
      </c>
      <c r="B243" s="35"/>
      <c r="C243" s="38"/>
      <c r="D243" s="41"/>
      <c r="E243" s="41"/>
      <c r="F243" s="40" t="str">
        <v/>
      </c>
      <c r="G243" s="35"/>
      <c r="H243" s="41" t="str">
        <f ca="1"/>
        <v/>
      </c>
      <c r="I243" s="42"/>
      <c r="J243" s="42"/>
      <c r="K243" s="42"/>
      <c r="L243" s="42"/>
      <c r="M243" s="42"/>
      <c r="N243" s="42"/>
      <c r="O243" s="42"/>
      <c r="P243" s="42"/>
      <c r="Q243" s="42"/>
      <c r="R243" s="42"/>
      <c r="S243" s="42"/>
      <c r="T243" s="42"/>
      <c r="U243" s="42"/>
      <c r="V243" s="42"/>
      <c r="W243" s="42"/>
      <c r="X243" s="42"/>
      <c r="Y243" s="42"/>
      <c r="Z243" s="42"/>
      <c r="AA243" s="42"/>
      <c r="AB243" s="42"/>
      <c r="AC243" s="42"/>
    </row>
    <row r="244" spans="1:29" x14ac:dyDescent="0.25">
      <c r="A244" s="43" t="e">
        <f t="shared" ca="1" si="0"/>
        <v>#NAME?</v>
      </c>
      <c r="B244" s="44" t="s">
        <v>218</v>
      </c>
      <c r="C244" s="45"/>
      <c r="D244" s="39" t="s">
        <v>37</v>
      </c>
      <c r="E244" s="39" t="s">
        <v>54</v>
      </c>
      <c r="F244" s="40" t="e">
        <f ca="1"/>
        <v>#NAME?</v>
      </c>
      <c r="G244" s="35" t="e">
        <f ca="1">"- "&amp;_xludf.textjoin("
- ",TRUE,$C245:$C249)</f>
        <v>#NAME?</v>
      </c>
      <c r="H244" s="41" t="e">
        <f ca="1"/>
        <v>#NAME?</v>
      </c>
      <c r="I244" s="42"/>
      <c r="J244" s="42"/>
      <c r="K244" s="42"/>
      <c r="L244" s="42"/>
      <c r="M244" s="42"/>
      <c r="N244" s="42"/>
      <c r="O244" s="42"/>
      <c r="P244" s="42"/>
      <c r="Q244" s="42"/>
      <c r="R244" s="42"/>
      <c r="S244" s="42"/>
      <c r="T244" s="42"/>
      <c r="U244" s="42"/>
      <c r="V244" s="42"/>
      <c r="W244" s="42"/>
      <c r="X244" s="42"/>
      <c r="Y244" s="42"/>
      <c r="Z244" s="42"/>
      <c r="AA244" s="42"/>
      <c r="AB244" s="42"/>
      <c r="AC244" s="42"/>
    </row>
    <row r="245" spans="1:29" x14ac:dyDescent="0.25">
      <c r="A245" s="43" t="str">
        <f t="shared" si="0"/>
        <v/>
      </c>
      <c r="B245" s="35"/>
      <c r="C245" s="38" t="s">
        <v>219</v>
      </c>
      <c r="D245" s="55" t="str">
        <f t="shared" ref="D245:E245" si="77">D$244</f>
        <v>Critical</v>
      </c>
      <c r="E245" s="55" t="str">
        <f t="shared" si="77"/>
        <v>Phase 1</v>
      </c>
      <c r="F245" s="40" t="str">
        <v/>
      </c>
      <c r="G245" s="35"/>
      <c r="H245" s="41" t="str">
        <f ca="1"/>
        <v/>
      </c>
      <c r="I245" s="42"/>
      <c r="J245" s="42"/>
      <c r="K245" s="42"/>
      <c r="L245" s="42"/>
      <c r="M245" s="42"/>
      <c r="N245" s="42"/>
      <c r="O245" s="42"/>
      <c r="P245" s="42"/>
      <c r="Q245" s="42"/>
      <c r="R245" s="42"/>
      <c r="S245" s="42"/>
      <c r="T245" s="42"/>
      <c r="U245" s="42"/>
      <c r="V245" s="42"/>
      <c r="W245" s="42"/>
      <c r="X245" s="42"/>
      <c r="Y245" s="42"/>
      <c r="Z245" s="42"/>
      <c r="AA245" s="42"/>
      <c r="AB245" s="42"/>
      <c r="AC245" s="42"/>
    </row>
    <row r="246" spans="1:29" x14ac:dyDescent="0.25">
      <c r="A246" s="43" t="str">
        <f t="shared" si="0"/>
        <v/>
      </c>
      <c r="B246" s="35"/>
      <c r="C246" s="38" t="s">
        <v>220</v>
      </c>
      <c r="D246" s="55" t="str">
        <f t="shared" ref="D246:E246" si="78">D$244</f>
        <v>Critical</v>
      </c>
      <c r="E246" s="55" t="str">
        <f t="shared" si="78"/>
        <v>Phase 1</v>
      </c>
      <c r="F246" s="40" t="str">
        <v/>
      </c>
      <c r="G246" s="35"/>
      <c r="H246" s="41" t="str">
        <f ca="1"/>
        <v/>
      </c>
      <c r="I246" s="42"/>
      <c r="J246" s="42"/>
      <c r="K246" s="42"/>
      <c r="L246" s="42"/>
      <c r="M246" s="42"/>
      <c r="N246" s="42"/>
      <c r="O246" s="42"/>
      <c r="P246" s="42"/>
      <c r="Q246" s="42"/>
      <c r="R246" s="42"/>
      <c r="S246" s="42"/>
      <c r="T246" s="42"/>
      <c r="U246" s="42"/>
      <c r="V246" s="42"/>
      <c r="W246" s="42"/>
      <c r="X246" s="42"/>
      <c r="Y246" s="42"/>
      <c r="Z246" s="42"/>
      <c r="AA246" s="42"/>
      <c r="AB246" s="42"/>
      <c r="AC246" s="42"/>
    </row>
    <row r="247" spans="1:29" x14ac:dyDescent="0.25">
      <c r="A247" s="43" t="str">
        <f t="shared" si="0"/>
        <v/>
      </c>
      <c r="B247" s="35"/>
      <c r="C247" s="38" t="s">
        <v>221</v>
      </c>
      <c r="D247" s="55" t="str">
        <f t="shared" ref="D247:E247" si="79">D$244</f>
        <v>Critical</v>
      </c>
      <c r="E247" s="55" t="str">
        <f t="shared" si="79"/>
        <v>Phase 1</v>
      </c>
      <c r="F247" s="40" t="str">
        <v/>
      </c>
      <c r="G247" s="35"/>
      <c r="H247" s="41" t="str">
        <f ca="1"/>
        <v/>
      </c>
      <c r="I247" s="42"/>
      <c r="J247" s="42"/>
      <c r="K247" s="42"/>
      <c r="L247" s="42"/>
      <c r="M247" s="42"/>
      <c r="N247" s="42"/>
      <c r="O247" s="42"/>
      <c r="P247" s="42"/>
      <c r="Q247" s="42"/>
      <c r="R247" s="42"/>
      <c r="S247" s="42"/>
      <c r="T247" s="42"/>
      <c r="U247" s="42"/>
      <c r="V247" s="42"/>
      <c r="W247" s="42"/>
      <c r="X247" s="42"/>
      <c r="Y247" s="42"/>
      <c r="Z247" s="42"/>
      <c r="AA247" s="42"/>
      <c r="AB247" s="42"/>
      <c r="AC247" s="42"/>
    </row>
    <row r="248" spans="1:29" x14ac:dyDescent="0.25">
      <c r="A248" s="43" t="str">
        <f t="shared" si="0"/>
        <v/>
      </c>
      <c r="B248" s="35"/>
      <c r="C248" s="38" t="s">
        <v>222</v>
      </c>
      <c r="D248" s="55" t="str">
        <f t="shared" ref="D248:E248" si="80">D$244</f>
        <v>Critical</v>
      </c>
      <c r="E248" s="55" t="str">
        <f t="shared" si="80"/>
        <v>Phase 1</v>
      </c>
      <c r="F248" s="40" t="str">
        <v/>
      </c>
      <c r="G248" s="35"/>
      <c r="H248" s="41" t="str">
        <f ca="1"/>
        <v/>
      </c>
      <c r="I248" s="42"/>
      <c r="J248" s="42"/>
      <c r="K248" s="42"/>
      <c r="L248" s="42"/>
      <c r="M248" s="42"/>
      <c r="N248" s="42"/>
      <c r="O248" s="42"/>
      <c r="P248" s="42"/>
      <c r="Q248" s="42"/>
      <c r="R248" s="42"/>
      <c r="S248" s="42"/>
      <c r="T248" s="42"/>
      <c r="U248" s="42"/>
      <c r="V248" s="42"/>
      <c r="W248" s="42"/>
      <c r="X248" s="42"/>
      <c r="Y248" s="42"/>
      <c r="Z248" s="42"/>
      <c r="AA248" s="42"/>
      <c r="AB248" s="42"/>
      <c r="AC248" s="42"/>
    </row>
    <row r="249" spans="1:29" x14ac:dyDescent="0.25">
      <c r="A249" s="43" t="str">
        <f t="shared" si="0"/>
        <v/>
      </c>
      <c r="B249" s="35"/>
      <c r="C249" s="38"/>
      <c r="D249" s="41"/>
      <c r="E249" s="41"/>
      <c r="F249" s="40" t="str">
        <v/>
      </c>
      <c r="G249" s="35"/>
      <c r="H249" s="41" t="str">
        <f ca="1"/>
        <v/>
      </c>
      <c r="I249" s="42"/>
      <c r="J249" s="42"/>
      <c r="K249" s="42"/>
      <c r="L249" s="42"/>
      <c r="M249" s="42"/>
      <c r="N249" s="42"/>
      <c r="O249" s="42"/>
      <c r="P249" s="42"/>
      <c r="Q249" s="42"/>
      <c r="R249" s="42"/>
      <c r="S249" s="42"/>
      <c r="T249" s="42"/>
      <c r="U249" s="42"/>
      <c r="V249" s="42"/>
      <c r="W249" s="42"/>
      <c r="X249" s="42"/>
      <c r="Y249" s="42"/>
      <c r="Z249" s="42"/>
      <c r="AA249" s="42"/>
      <c r="AB249" s="42"/>
      <c r="AC249" s="42"/>
    </row>
    <row r="250" spans="1:29" x14ac:dyDescent="0.25">
      <c r="A250" s="43" t="str">
        <f t="shared" si="0"/>
        <v/>
      </c>
      <c r="B250" s="35"/>
      <c r="C250" s="38"/>
      <c r="D250" s="41"/>
      <c r="E250" s="41"/>
      <c r="F250" s="40" t="str">
        <v/>
      </c>
      <c r="G250" s="35"/>
      <c r="H250" s="41" t="str">
        <f ca="1"/>
        <v/>
      </c>
      <c r="I250" s="42"/>
      <c r="J250" s="42"/>
      <c r="K250" s="42"/>
      <c r="L250" s="42"/>
      <c r="M250" s="42"/>
      <c r="N250" s="42"/>
      <c r="O250" s="42"/>
      <c r="P250" s="42"/>
      <c r="Q250" s="42"/>
      <c r="R250" s="42"/>
      <c r="S250" s="42"/>
      <c r="T250" s="42"/>
      <c r="U250" s="42"/>
      <c r="V250" s="42"/>
      <c r="W250" s="42"/>
      <c r="X250" s="42"/>
      <c r="Y250" s="42"/>
      <c r="Z250" s="42"/>
      <c r="AA250" s="42"/>
      <c r="AB250" s="42"/>
      <c r="AC250" s="42"/>
    </row>
    <row r="251" spans="1:29" x14ac:dyDescent="0.25">
      <c r="A251" s="43" t="e">
        <f t="shared" ca="1" si="0"/>
        <v>#NAME?</v>
      </c>
      <c r="B251" s="44" t="s">
        <v>223</v>
      </c>
      <c r="C251" s="45"/>
      <c r="D251" s="39" t="s">
        <v>37</v>
      </c>
      <c r="E251" s="39" t="s">
        <v>54</v>
      </c>
      <c r="F251" s="40" t="e">
        <f ca="1"/>
        <v>#NAME?</v>
      </c>
      <c r="G251" s="35" t="e">
        <f ca="1">"- "&amp;_xludf.textjoin("
- ",TRUE,$C252:$C256)</f>
        <v>#NAME?</v>
      </c>
      <c r="H251" s="41" t="e">
        <f ca="1"/>
        <v>#NAME?</v>
      </c>
      <c r="I251" s="42"/>
      <c r="J251" s="42"/>
      <c r="K251" s="42"/>
      <c r="L251" s="42"/>
      <c r="M251" s="42"/>
      <c r="N251" s="42"/>
      <c r="O251" s="42"/>
      <c r="P251" s="42"/>
      <c r="Q251" s="42"/>
      <c r="R251" s="42"/>
      <c r="S251" s="42"/>
      <c r="T251" s="42"/>
      <c r="U251" s="42"/>
      <c r="V251" s="42"/>
      <c r="W251" s="42"/>
      <c r="X251" s="42"/>
      <c r="Y251" s="42"/>
      <c r="Z251" s="42"/>
      <c r="AA251" s="42"/>
      <c r="AB251" s="42"/>
      <c r="AC251" s="42"/>
    </row>
    <row r="252" spans="1:29" x14ac:dyDescent="0.25">
      <c r="A252" s="43" t="str">
        <f t="shared" si="0"/>
        <v/>
      </c>
      <c r="B252" s="35"/>
      <c r="C252" s="38" t="s">
        <v>224</v>
      </c>
      <c r="D252" s="55" t="str">
        <f t="shared" ref="D252:E252" si="81">D$251</f>
        <v>Critical</v>
      </c>
      <c r="E252" s="55" t="str">
        <f t="shared" si="81"/>
        <v>Phase 1</v>
      </c>
      <c r="F252" s="40" t="str">
        <v/>
      </c>
      <c r="G252" s="35"/>
      <c r="H252" s="41" t="str">
        <f ca="1"/>
        <v/>
      </c>
      <c r="I252" s="42"/>
      <c r="J252" s="42"/>
      <c r="K252" s="42"/>
      <c r="L252" s="42"/>
      <c r="M252" s="42"/>
      <c r="N252" s="42"/>
      <c r="O252" s="42"/>
      <c r="P252" s="42"/>
      <c r="Q252" s="42"/>
      <c r="R252" s="42"/>
      <c r="S252" s="42"/>
      <c r="T252" s="42"/>
      <c r="U252" s="42"/>
      <c r="V252" s="42"/>
      <c r="W252" s="42"/>
      <c r="X252" s="42"/>
      <c r="Y252" s="42"/>
      <c r="Z252" s="42"/>
      <c r="AA252" s="42"/>
      <c r="AB252" s="42"/>
      <c r="AC252" s="42"/>
    </row>
    <row r="253" spans="1:29" x14ac:dyDescent="0.25">
      <c r="A253" s="43" t="str">
        <f t="shared" si="0"/>
        <v/>
      </c>
      <c r="B253" s="35"/>
      <c r="C253" s="38" t="s">
        <v>225</v>
      </c>
      <c r="D253" s="55" t="str">
        <f t="shared" ref="D253:E253" si="82">D$251</f>
        <v>Critical</v>
      </c>
      <c r="E253" s="55" t="str">
        <f t="shared" si="82"/>
        <v>Phase 1</v>
      </c>
      <c r="F253" s="40" t="str">
        <v/>
      </c>
      <c r="G253" s="35"/>
      <c r="H253" s="41" t="str">
        <f ca="1"/>
        <v/>
      </c>
      <c r="I253" s="42"/>
      <c r="J253" s="42"/>
      <c r="K253" s="42"/>
      <c r="L253" s="42"/>
      <c r="M253" s="42"/>
      <c r="N253" s="42"/>
      <c r="O253" s="42"/>
      <c r="P253" s="42"/>
      <c r="Q253" s="42"/>
      <c r="R253" s="42"/>
      <c r="S253" s="42"/>
      <c r="T253" s="42"/>
      <c r="U253" s="42"/>
      <c r="V253" s="42"/>
      <c r="W253" s="42"/>
      <c r="X253" s="42"/>
      <c r="Y253" s="42"/>
      <c r="Z253" s="42"/>
      <c r="AA253" s="42"/>
      <c r="AB253" s="42"/>
      <c r="AC253" s="42"/>
    </row>
    <row r="254" spans="1:29" x14ac:dyDescent="0.25">
      <c r="A254" s="43" t="str">
        <f t="shared" si="0"/>
        <v/>
      </c>
      <c r="B254" s="35"/>
      <c r="C254" s="38"/>
      <c r="D254" s="55"/>
      <c r="E254" s="55"/>
      <c r="F254" s="40" t="str">
        <v/>
      </c>
      <c r="G254" s="35"/>
      <c r="H254" s="41" t="str">
        <f ca="1"/>
        <v/>
      </c>
      <c r="I254" s="42"/>
      <c r="J254" s="42"/>
      <c r="K254" s="42"/>
      <c r="L254" s="42"/>
      <c r="M254" s="42"/>
      <c r="N254" s="42"/>
      <c r="O254" s="42"/>
      <c r="P254" s="42"/>
      <c r="Q254" s="42"/>
      <c r="R254" s="42"/>
      <c r="S254" s="42"/>
      <c r="T254" s="42"/>
      <c r="U254" s="42"/>
      <c r="V254" s="42"/>
      <c r="W254" s="42"/>
      <c r="X254" s="42"/>
      <c r="Y254" s="42"/>
      <c r="Z254" s="42"/>
      <c r="AA254" s="42"/>
      <c r="AB254" s="42"/>
      <c r="AC254" s="42"/>
    </row>
    <row r="255" spans="1:29" x14ac:dyDescent="0.25">
      <c r="A255" s="43" t="str">
        <f t="shared" si="0"/>
        <v/>
      </c>
      <c r="B255" s="35"/>
      <c r="C255" s="38"/>
      <c r="D255" s="55"/>
      <c r="E255" s="55"/>
      <c r="F255" s="40" t="str">
        <v/>
      </c>
      <c r="G255" s="35"/>
      <c r="H255" s="41" t="str">
        <f ca="1"/>
        <v/>
      </c>
      <c r="I255" s="42"/>
      <c r="J255" s="42"/>
      <c r="K255" s="42"/>
      <c r="L255" s="42"/>
      <c r="M255" s="42"/>
      <c r="N255" s="42"/>
      <c r="O255" s="42"/>
      <c r="P255" s="42"/>
      <c r="Q255" s="42"/>
      <c r="R255" s="42"/>
      <c r="S255" s="42"/>
      <c r="T255" s="42"/>
      <c r="U255" s="42"/>
      <c r="V255" s="42"/>
      <c r="W255" s="42"/>
      <c r="X255" s="42"/>
      <c r="Y255" s="42"/>
      <c r="Z255" s="42"/>
      <c r="AA255" s="42"/>
      <c r="AB255" s="42"/>
      <c r="AC255" s="42"/>
    </row>
    <row r="256" spans="1:29" x14ac:dyDescent="0.25">
      <c r="A256" s="43" t="str">
        <f t="shared" si="0"/>
        <v/>
      </c>
      <c r="B256" s="35"/>
      <c r="C256" s="38"/>
      <c r="D256" s="41"/>
      <c r="E256" s="41"/>
      <c r="F256" s="40" t="str">
        <v/>
      </c>
      <c r="G256" s="35"/>
      <c r="H256" s="41" t="str">
        <f ca="1"/>
        <v/>
      </c>
      <c r="I256" s="42"/>
      <c r="J256" s="42"/>
      <c r="K256" s="42"/>
      <c r="L256" s="42"/>
      <c r="M256" s="42"/>
      <c r="N256" s="42"/>
      <c r="O256" s="42"/>
      <c r="P256" s="42"/>
      <c r="Q256" s="42"/>
      <c r="R256" s="42"/>
      <c r="S256" s="42"/>
      <c r="T256" s="42"/>
      <c r="U256" s="42"/>
      <c r="V256" s="42"/>
      <c r="W256" s="42"/>
      <c r="X256" s="42"/>
      <c r="Y256" s="42"/>
      <c r="Z256" s="42"/>
      <c r="AA256" s="42"/>
      <c r="AB256" s="42"/>
      <c r="AC256" s="42"/>
    </row>
    <row r="257" spans="1:29" x14ac:dyDescent="0.25">
      <c r="A257" s="43" t="str">
        <f t="shared" si="0"/>
        <v/>
      </c>
      <c r="B257" s="35"/>
      <c r="C257" s="38"/>
      <c r="D257" s="41"/>
      <c r="E257" s="41"/>
      <c r="F257" s="40" t="str">
        <v/>
      </c>
      <c r="G257" s="35"/>
      <c r="H257" s="41" t="str">
        <f ca="1"/>
        <v/>
      </c>
      <c r="I257" s="42"/>
      <c r="J257" s="42"/>
      <c r="K257" s="42"/>
      <c r="L257" s="42"/>
      <c r="M257" s="42"/>
      <c r="N257" s="42"/>
      <c r="O257" s="42"/>
      <c r="P257" s="42"/>
      <c r="Q257" s="42"/>
      <c r="R257" s="42"/>
      <c r="S257" s="42"/>
      <c r="T257" s="42"/>
      <c r="U257" s="42"/>
      <c r="V257" s="42"/>
      <c r="W257" s="42"/>
      <c r="X257" s="42"/>
      <c r="Y257" s="42"/>
      <c r="Z257" s="42"/>
      <c r="AA257" s="42"/>
      <c r="AB257" s="42"/>
      <c r="AC257" s="42"/>
    </row>
    <row r="258" spans="1:29" x14ac:dyDescent="0.25">
      <c r="A258" s="43" t="e">
        <f t="shared" ca="1" si="0"/>
        <v>#NAME?</v>
      </c>
      <c r="B258" s="44" t="s">
        <v>226</v>
      </c>
      <c r="C258" s="45"/>
      <c r="D258" s="39" t="s">
        <v>37</v>
      </c>
      <c r="E258" s="39" t="s">
        <v>54</v>
      </c>
      <c r="F258" s="40" t="e">
        <f ca="1"/>
        <v>#NAME?</v>
      </c>
      <c r="G258" s="35" t="e">
        <f ca="1">"- "&amp;_xludf.textjoin("
- ",TRUE,$C259:$C263)</f>
        <v>#NAME?</v>
      </c>
      <c r="H258" s="41" t="e">
        <f ca="1"/>
        <v>#NAME?</v>
      </c>
      <c r="I258" s="42"/>
      <c r="J258" s="42"/>
      <c r="K258" s="42"/>
      <c r="L258" s="42"/>
      <c r="M258" s="42"/>
      <c r="N258" s="42"/>
      <c r="O258" s="42"/>
      <c r="P258" s="42"/>
      <c r="Q258" s="42"/>
      <c r="R258" s="42"/>
      <c r="S258" s="42"/>
      <c r="T258" s="42"/>
      <c r="U258" s="42"/>
      <c r="V258" s="42"/>
      <c r="W258" s="42"/>
      <c r="X258" s="42"/>
      <c r="Y258" s="42"/>
      <c r="Z258" s="42"/>
      <c r="AA258" s="42"/>
      <c r="AB258" s="42"/>
      <c r="AC258" s="42"/>
    </row>
    <row r="259" spans="1:29" x14ac:dyDescent="0.25">
      <c r="A259" s="43" t="str">
        <f t="shared" si="0"/>
        <v/>
      </c>
      <c r="B259" s="35"/>
      <c r="C259" s="38" t="s">
        <v>227</v>
      </c>
      <c r="D259" s="55" t="str">
        <f t="shared" ref="D259:E259" si="83">D$258</f>
        <v>Critical</v>
      </c>
      <c r="E259" s="55" t="str">
        <f t="shared" si="83"/>
        <v>Phase 1</v>
      </c>
      <c r="F259" s="40" t="str">
        <v/>
      </c>
      <c r="G259" s="35"/>
      <c r="H259" s="41" t="str">
        <f ca="1"/>
        <v/>
      </c>
      <c r="I259" s="42"/>
      <c r="J259" s="42"/>
      <c r="K259" s="42"/>
      <c r="L259" s="42"/>
      <c r="M259" s="42"/>
      <c r="N259" s="42"/>
      <c r="O259" s="42"/>
      <c r="P259" s="42"/>
      <c r="Q259" s="42"/>
      <c r="R259" s="42"/>
      <c r="S259" s="42"/>
      <c r="T259" s="42"/>
      <c r="U259" s="42"/>
      <c r="V259" s="42"/>
      <c r="W259" s="42"/>
      <c r="X259" s="42"/>
      <c r="Y259" s="42"/>
      <c r="Z259" s="42"/>
      <c r="AA259" s="42"/>
      <c r="AB259" s="42"/>
      <c r="AC259" s="42"/>
    </row>
    <row r="260" spans="1:29" x14ac:dyDescent="0.25">
      <c r="A260" s="43" t="str">
        <f t="shared" si="0"/>
        <v/>
      </c>
      <c r="B260" s="35"/>
      <c r="C260" s="38" t="s">
        <v>228</v>
      </c>
      <c r="D260" s="55" t="str">
        <f t="shared" ref="D260:E260" si="84">D$258</f>
        <v>Critical</v>
      </c>
      <c r="E260" s="55" t="str">
        <f t="shared" si="84"/>
        <v>Phase 1</v>
      </c>
      <c r="F260" s="40" t="str">
        <v/>
      </c>
      <c r="G260" s="35"/>
      <c r="H260" s="41" t="str">
        <f ca="1"/>
        <v/>
      </c>
      <c r="I260" s="42"/>
      <c r="J260" s="42"/>
      <c r="K260" s="42"/>
      <c r="L260" s="42"/>
      <c r="M260" s="42"/>
      <c r="N260" s="42"/>
      <c r="O260" s="42"/>
      <c r="P260" s="42"/>
      <c r="Q260" s="42"/>
      <c r="R260" s="42"/>
      <c r="S260" s="42"/>
      <c r="T260" s="42"/>
      <c r="U260" s="42"/>
      <c r="V260" s="42"/>
      <c r="W260" s="42"/>
      <c r="X260" s="42"/>
      <c r="Y260" s="42"/>
      <c r="Z260" s="42"/>
      <c r="AA260" s="42"/>
      <c r="AB260" s="42"/>
      <c r="AC260" s="42"/>
    </row>
    <row r="261" spans="1:29" x14ac:dyDescent="0.25">
      <c r="A261" s="43" t="str">
        <f t="shared" si="0"/>
        <v/>
      </c>
      <c r="B261" s="35"/>
      <c r="C261" s="38"/>
      <c r="D261" s="41"/>
      <c r="E261" s="41"/>
      <c r="F261" s="40" t="str">
        <v/>
      </c>
      <c r="G261" s="35"/>
      <c r="H261" s="41" t="str">
        <f ca="1"/>
        <v/>
      </c>
      <c r="I261" s="42"/>
      <c r="J261" s="42"/>
      <c r="K261" s="42"/>
      <c r="L261" s="42"/>
      <c r="M261" s="42"/>
      <c r="N261" s="42"/>
      <c r="O261" s="42"/>
      <c r="P261" s="42"/>
      <c r="Q261" s="42"/>
      <c r="R261" s="42"/>
      <c r="S261" s="42"/>
      <c r="T261" s="42"/>
      <c r="U261" s="42"/>
      <c r="V261" s="42"/>
      <c r="W261" s="42"/>
      <c r="X261" s="42"/>
      <c r="Y261" s="42"/>
      <c r="Z261" s="42"/>
      <c r="AA261" s="42"/>
      <c r="AB261" s="42"/>
      <c r="AC261" s="42"/>
    </row>
    <row r="262" spans="1:29" x14ac:dyDescent="0.25">
      <c r="A262" s="43" t="str">
        <f t="shared" si="0"/>
        <v/>
      </c>
      <c r="B262" s="35"/>
      <c r="C262" s="38"/>
      <c r="D262" s="41"/>
      <c r="E262" s="41"/>
      <c r="F262" s="40" t="str">
        <v/>
      </c>
      <c r="G262" s="35"/>
      <c r="H262" s="41" t="str">
        <f ca="1"/>
        <v/>
      </c>
      <c r="I262" s="42"/>
      <c r="J262" s="42"/>
      <c r="K262" s="42"/>
      <c r="L262" s="42"/>
      <c r="M262" s="42"/>
      <c r="N262" s="42"/>
      <c r="O262" s="42"/>
      <c r="P262" s="42"/>
      <c r="Q262" s="42"/>
      <c r="R262" s="42"/>
      <c r="S262" s="42"/>
      <c r="T262" s="42"/>
      <c r="U262" s="42"/>
      <c r="V262" s="42"/>
      <c r="W262" s="42"/>
      <c r="X262" s="42"/>
      <c r="Y262" s="42"/>
      <c r="Z262" s="42"/>
      <c r="AA262" s="42"/>
      <c r="AB262" s="42"/>
      <c r="AC262" s="42"/>
    </row>
    <row r="263" spans="1:29" x14ac:dyDescent="0.25">
      <c r="A263" s="43" t="str">
        <f t="shared" si="0"/>
        <v/>
      </c>
      <c r="B263" s="35"/>
      <c r="C263" s="38"/>
      <c r="D263" s="41"/>
      <c r="E263" s="41"/>
      <c r="F263" s="40" t="str">
        <v/>
      </c>
      <c r="G263" s="35"/>
      <c r="H263" s="41" t="str">
        <f ca="1"/>
        <v/>
      </c>
      <c r="I263" s="42"/>
      <c r="J263" s="42"/>
      <c r="K263" s="42"/>
      <c r="L263" s="42"/>
      <c r="M263" s="42"/>
      <c r="N263" s="42"/>
      <c r="O263" s="42"/>
      <c r="P263" s="42"/>
      <c r="Q263" s="42"/>
      <c r="R263" s="42"/>
      <c r="S263" s="42"/>
      <c r="T263" s="42"/>
      <c r="U263" s="42"/>
      <c r="V263" s="42"/>
      <c r="W263" s="42"/>
      <c r="X263" s="42"/>
      <c r="Y263" s="42"/>
      <c r="Z263" s="42"/>
      <c r="AA263" s="42"/>
      <c r="AB263" s="42"/>
      <c r="AC263" s="42"/>
    </row>
    <row r="264" spans="1:29" x14ac:dyDescent="0.25">
      <c r="A264" s="43" t="str">
        <f t="shared" si="0"/>
        <v/>
      </c>
      <c r="B264" s="35"/>
      <c r="C264" s="38"/>
      <c r="D264" s="41"/>
      <c r="E264" s="41"/>
      <c r="F264" s="40" t="str">
        <v/>
      </c>
      <c r="G264" s="35"/>
      <c r="H264" s="41" t="str">
        <f ca="1"/>
        <v/>
      </c>
      <c r="I264" s="42"/>
      <c r="J264" s="42"/>
      <c r="K264" s="42"/>
      <c r="L264" s="42"/>
      <c r="M264" s="42"/>
      <c r="N264" s="42"/>
      <c r="O264" s="42"/>
      <c r="P264" s="42"/>
      <c r="Q264" s="42"/>
      <c r="R264" s="42"/>
      <c r="S264" s="42"/>
      <c r="T264" s="42"/>
      <c r="U264" s="42"/>
      <c r="V264" s="42"/>
      <c r="W264" s="42"/>
      <c r="X264" s="42"/>
      <c r="Y264" s="42"/>
      <c r="Z264" s="42"/>
      <c r="AA264" s="42"/>
      <c r="AB264" s="42"/>
      <c r="AC264" s="42"/>
    </row>
    <row r="265" spans="1:29" x14ac:dyDescent="0.25">
      <c r="A265" s="43" t="e">
        <f t="shared" ca="1" si="0"/>
        <v>#NAME?</v>
      </c>
      <c r="B265" s="44" t="s">
        <v>229</v>
      </c>
      <c r="C265" s="45"/>
      <c r="D265" s="39" t="s">
        <v>37</v>
      </c>
      <c r="E265" s="39" t="s">
        <v>54</v>
      </c>
      <c r="F265" s="40" t="e">
        <f ca="1"/>
        <v>#NAME?</v>
      </c>
      <c r="G265" s="35" t="e">
        <f ca="1">"- "&amp;_xludf.textjoin("
- ",TRUE,$C266:$C270)</f>
        <v>#NAME?</v>
      </c>
      <c r="H265" s="41" t="e">
        <f ca="1"/>
        <v>#NAME?</v>
      </c>
      <c r="I265" s="42"/>
      <c r="J265" s="42"/>
      <c r="K265" s="42"/>
      <c r="L265" s="42"/>
      <c r="M265" s="42"/>
      <c r="N265" s="42"/>
      <c r="O265" s="42"/>
      <c r="P265" s="42"/>
      <c r="Q265" s="42"/>
      <c r="R265" s="42"/>
      <c r="S265" s="42"/>
      <c r="T265" s="42"/>
      <c r="U265" s="42"/>
      <c r="V265" s="42"/>
      <c r="W265" s="42"/>
      <c r="X265" s="42"/>
      <c r="Y265" s="42"/>
      <c r="Z265" s="42"/>
      <c r="AA265" s="42"/>
      <c r="AB265" s="42"/>
      <c r="AC265" s="42"/>
    </row>
    <row r="266" spans="1:29" x14ac:dyDescent="0.25">
      <c r="A266" s="43" t="str">
        <f t="shared" si="0"/>
        <v/>
      </c>
      <c r="B266" s="35"/>
      <c r="C266" s="38" t="s">
        <v>230</v>
      </c>
      <c r="D266" s="41"/>
      <c r="E266" s="41"/>
      <c r="F266" s="40" t="str">
        <v/>
      </c>
      <c r="G266" s="35"/>
      <c r="H266" s="41" t="str">
        <f ca="1"/>
        <v/>
      </c>
      <c r="I266" s="42"/>
      <c r="J266" s="42"/>
      <c r="K266" s="42"/>
      <c r="L266" s="42"/>
      <c r="M266" s="42"/>
      <c r="N266" s="42"/>
      <c r="O266" s="42"/>
      <c r="P266" s="42"/>
      <c r="Q266" s="42"/>
      <c r="R266" s="42"/>
      <c r="S266" s="42"/>
      <c r="T266" s="42"/>
      <c r="U266" s="42"/>
      <c r="V266" s="42"/>
      <c r="W266" s="42"/>
      <c r="X266" s="42"/>
      <c r="Y266" s="42"/>
      <c r="Z266" s="42"/>
      <c r="AA266" s="42"/>
      <c r="AB266" s="42"/>
      <c r="AC266" s="42"/>
    </row>
    <row r="267" spans="1:29" x14ac:dyDescent="0.25">
      <c r="A267" s="43" t="str">
        <f t="shared" si="0"/>
        <v/>
      </c>
      <c r="B267" s="35"/>
      <c r="C267" s="38" t="s">
        <v>231</v>
      </c>
      <c r="D267" s="41"/>
      <c r="E267" s="41"/>
      <c r="F267" s="40" t="str">
        <v/>
      </c>
      <c r="G267" s="35"/>
      <c r="H267" s="41" t="str">
        <f ca="1"/>
        <v/>
      </c>
      <c r="I267" s="42"/>
      <c r="J267" s="42"/>
      <c r="K267" s="42"/>
      <c r="L267" s="42"/>
      <c r="M267" s="42"/>
      <c r="N267" s="42"/>
      <c r="O267" s="42"/>
      <c r="P267" s="42"/>
      <c r="Q267" s="42"/>
      <c r="R267" s="42"/>
      <c r="S267" s="42"/>
      <c r="T267" s="42"/>
      <c r="U267" s="42"/>
      <c r="V267" s="42"/>
      <c r="W267" s="42"/>
      <c r="X267" s="42"/>
      <c r="Y267" s="42"/>
      <c r="Z267" s="42"/>
      <c r="AA267" s="42"/>
      <c r="AB267" s="42"/>
      <c r="AC267" s="42"/>
    </row>
    <row r="268" spans="1:29" x14ac:dyDescent="0.25">
      <c r="A268" s="43" t="str">
        <f t="shared" si="0"/>
        <v/>
      </c>
      <c r="B268" s="35"/>
      <c r="C268" s="38" t="s">
        <v>232</v>
      </c>
      <c r="D268" s="41"/>
      <c r="E268" s="41"/>
      <c r="F268" s="40" t="str">
        <v/>
      </c>
      <c r="G268" s="35"/>
      <c r="H268" s="41" t="str">
        <f ca="1"/>
        <v/>
      </c>
      <c r="I268" s="42"/>
      <c r="J268" s="42"/>
      <c r="K268" s="42"/>
      <c r="L268" s="42"/>
      <c r="M268" s="42"/>
      <c r="N268" s="42"/>
      <c r="O268" s="42"/>
      <c r="P268" s="42"/>
      <c r="Q268" s="42"/>
      <c r="R268" s="42"/>
      <c r="S268" s="42"/>
      <c r="T268" s="42"/>
      <c r="U268" s="42"/>
      <c r="V268" s="42"/>
      <c r="W268" s="42"/>
      <c r="X268" s="42"/>
      <c r="Y268" s="42"/>
      <c r="Z268" s="42"/>
      <c r="AA268" s="42"/>
      <c r="AB268" s="42"/>
      <c r="AC268" s="42"/>
    </row>
    <row r="269" spans="1:29" x14ac:dyDescent="0.25">
      <c r="A269" s="43" t="str">
        <f t="shared" si="0"/>
        <v/>
      </c>
      <c r="B269" s="35"/>
      <c r="C269" s="38" t="s">
        <v>233</v>
      </c>
      <c r="D269" s="41"/>
      <c r="E269" s="41"/>
      <c r="F269" s="40" t="str">
        <v/>
      </c>
      <c r="G269" s="35"/>
      <c r="H269" s="41" t="str">
        <f ca="1"/>
        <v/>
      </c>
      <c r="I269" s="42"/>
      <c r="J269" s="42"/>
      <c r="K269" s="42"/>
      <c r="L269" s="42"/>
      <c r="M269" s="42"/>
      <c r="N269" s="42"/>
      <c r="O269" s="42"/>
      <c r="P269" s="42"/>
      <c r="Q269" s="42"/>
      <c r="R269" s="42"/>
      <c r="S269" s="42"/>
      <c r="T269" s="42"/>
      <c r="U269" s="42"/>
      <c r="V269" s="42"/>
      <c r="W269" s="42"/>
      <c r="X269" s="42"/>
      <c r="Y269" s="42"/>
      <c r="Z269" s="42"/>
      <c r="AA269" s="42"/>
      <c r="AB269" s="42"/>
      <c r="AC269" s="42"/>
    </row>
    <row r="270" spans="1:29" x14ac:dyDescent="0.25">
      <c r="A270" s="43" t="str">
        <f t="shared" si="0"/>
        <v/>
      </c>
      <c r="B270" s="35"/>
      <c r="C270" s="38" t="s">
        <v>234</v>
      </c>
      <c r="D270" s="41"/>
      <c r="E270" s="41"/>
      <c r="F270" s="40" t="str">
        <v/>
      </c>
      <c r="G270" s="35"/>
      <c r="H270" s="41" t="str">
        <f ca="1"/>
        <v/>
      </c>
      <c r="I270" s="42"/>
      <c r="J270" s="42"/>
      <c r="K270" s="42"/>
      <c r="L270" s="42"/>
      <c r="M270" s="42"/>
      <c r="N270" s="42"/>
      <c r="O270" s="42"/>
      <c r="P270" s="42"/>
      <c r="Q270" s="42"/>
      <c r="R270" s="42"/>
      <c r="S270" s="42"/>
      <c r="T270" s="42"/>
      <c r="U270" s="42"/>
      <c r="V270" s="42"/>
      <c r="W270" s="42"/>
      <c r="X270" s="42"/>
      <c r="Y270" s="42"/>
      <c r="Z270" s="42"/>
      <c r="AA270" s="42"/>
      <c r="AB270" s="42"/>
      <c r="AC270" s="42"/>
    </row>
    <row r="271" spans="1:29" x14ac:dyDescent="0.25">
      <c r="A271" s="43" t="str">
        <f t="shared" si="0"/>
        <v/>
      </c>
      <c r="B271" s="35"/>
      <c r="C271" s="38"/>
      <c r="D271" s="41"/>
      <c r="E271" s="41"/>
      <c r="F271" s="40" t="str">
        <v/>
      </c>
      <c r="G271" s="35"/>
      <c r="H271" s="41" t="str">
        <f ca="1"/>
        <v/>
      </c>
      <c r="I271" s="42"/>
      <c r="J271" s="42"/>
      <c r="K271" s="42"/>
      <c r="L271" s="42"/>
      <c r="M271" s="42"/>
      <c r="N271" s="42"/>
      <c r="O271" s="42"/>
      <c r="P271" s="42"/>
      <c r="Q271" s="42"/>
      <c r="R271" s="42"/>
      <c r="S271" s="42"/>
      <c r="T271" s="42"/>
      <c r="U271" s="42"/>
      <c r="V271" s="42"/>
      <c r="W271" s="42"/>
      <c r="X271" s="42"/>
      <c r="Y271" s="42"/>
      <c r="Z271" s="42"/>
      <c r="AA271" s="42"/>
      <c r="AB271" s="42"/>
      <c r="AC271" s="42"/>
    </row>
    <row r="272" spans="1:29" x14ac:dyDescent="0.25">
      <c r="A272" s="43" t="str">
        <f t="shared" si="0"/>
        <v/>
      </c>
      <c r="B272" s="35"/>
      <c r="C272" s="38"/>
      <c r="D272" s="41"/>
      <c r="E272" s="41"/>
      <c r="F272" s="40" t="str">
        <v/>
      </c>
      <c r="G272" s="35"/>
      <c r="H272" s="41" t="str">
        <f ca="1"/>
        <v/>
      </c>
      <c r="I272" s="42"/>
      <c r="J272" s="42"/>
      <c r="K272" s="42"/>
      <c r="L272" s="42"/>
      <c r="M272" s="42"/>
      <c r="N272" s="42"/>
      <c r="O272" s="42"/>
      <c r="P272" s="42"/>
      <c r="Q272" s="42"/>
      <c r="R272" s="42"/>
      <c r="S272" s="42"/>
      <c r="T272" s="42"/>
      <c r="U272" s="42"/>
      <c r="V272" s="42"/>
      <c r="W272" s="42"/>
      <c r="X272" s="42"/>
      <c r="Y272" s="42"/>
      <c r="Z272" s="42"/>
      <c r="AA272" s="42"/>
      <c r="AB272" s="42"/>
      <c r="AC272" s="42"/>
    </row>
    <row r="273" spans="1:29" x14ac:dyDescent="0.25">
      <c r="A273" s="48" t="e">
        <f t="shared" ca="1" si="0"/>
        <v>#NAME?</v>
      </c>
      <c r="B273" s="37" t="s">
        <v>235</v>
      </c>
      <c r="C273" s="38"/>
      <c r="D273" s="39" t="s">
        <v>37</v>
      </c>
      <c r="E273" s="39" t="s">
        <v>54</v>
      </c>
      <c r="F273" s="40" t="e">
        <f ca="1"/>
        <v>#NAME?</v>
      </c>
      <c r="G273" s="35"/>
      <c r="H273" s="41" t="str">
        <f ca="1"/>
        <v/>
      </c>
      <c r="I273" s="42"/>
      <c r="J273" s="42"/>
      <c r="K273" s="42"/>
      <c r="L273" s="42"/>
      <c r="M273" s="42"/>
      <c r="N273" s="42"/>
      <c r="O273" s="42"/>
      <c r="P273" s="42"/>
      <c r="Q273" s="42"/>
      <c r="R273" s="42"/>
      <c r="S273" s="42"/>
      <c r="T273" s="42"/>
      <c r="U273" s="42"/>
      <c r="V273" s="42"/>
      <c r="W273" s="42"/>
      <c r="X273" s="42"/>
      <c r="Y273" s="42"/>
      <c r="Z273" s="42"/>
      <c r="AA273" s="42"/>
      <c r="AB273" s="42"/>
      <c r="AC273" s="42"/>
    </row>
    <row r="274" spans="1:29" x14ac:dyDescent="0.25">
      <c r="A274" s="43" t="e">
        <f t="shared" ca="1" si="0"/>
        <v>#NAME?</v>
      </c>
      <c r="B274" s="44" t="s">
        <v>236</v>
      </c>
      <c r="C274" s="45"/>
      <c r="D274" s="39" t="str">
        <f t="shared" ref="D274:E274" si="85">D$273</f>
        <v>Critical</v>
      </c>
      <c r="E274" s="39" t="str">
        <f t="shared" si="85"/>
        <v>Phase 1</v>
      </c>
      <c r="F274" s="40" t="e">
        <f ca="1"/>
        <v>#NAME?</v>
      </c>
      <c r="G274" s="35" t="e">
        <f ca="1">"- "&amp;_xludf.textjoin("
- ",TRUE,$C275:$C279)</f>
        <v>#NAME?</v>
      </c>
      <c r="H274" s="41" t="e">
        <f ca="1"/>
        <v>#NAME?</v>
      </c>
      <c r="I274" s="42"/>
      <c r="J274" s="42"/>
      <c r="K274" s="42"/>
      <c r="L274" s="42"/>
      <c r="M274" s="42"/>
      <c r="N274" s="42"/>
      <c r="O274" s="42"/>
      <c r="P274" s="42"/>
      <c r="Q274" s="42"/>
      <c r="R274" s="42"/>
      <c r="S274" s="42"/>
      <c r="T274" s="42"/>
      <c r="U274" s="42"/>
      <c r="V274" s="42"/>
      <c r="W274" s="42"/>
      <c r="X274" s="42"/>
      <c r="Y274" s="42"/>
      <c r="Z274" s="42"/>
      <c r="AA274" s="42"/>
      <c r="AB274" s="42"/>
      <c r="AC274" s="42"/>
    </row>
    <row r="275" spans="1:29" x14ac:dyDescent="0.25">
      <c r="A275" s="43" t="str">
        <f t="shared" si="0"/>
        <v/>
      </c>
      <c r="B275" s="35"/>
      <c r="C275" s="38" t="s">
        <v>237</v>
      </c>
      <c r="D275" s="55" t="str">
        <f t="shared" ref="D275:E275" si="86">D$274</f>
        <v>Critical</v>
      </c>
      <c r="E275" s="55" t="str">
        <f t="shared" si="86"/>
        <v>Phase 1</v>
      </c>
      <c r="F275" s="40" t="str">
        <v/>
      </c>
      <c r="G275" s="35"/>
      <c r="H275" s="41" t="str">
        <f ca="1"/>
        <v/>
      </c>
      <c r="I275" s="42"/>
      <c r="J275" s="42"/>
      <c r="K275" s="42"/>
      <c r="L275" s="42"/>
      <c r="M275" s="42"/>
      <c r="N275" s="42"/>
      <c r="O275" s="42"/>
      <c r="P275" s="42"/>
      <c r="Q275" s="42"/>
      <c r="R275" s="42"/>
      <c r="S275" s="42"/>
      <c r="T275" s="42"/>
      <c r="U275" s="42"/>
      <c r="V275" s="42"/>
      <c r="W275" s="42"/>
      <c r="X275" s="42"/>
      <c r="Y275" s="42"/>
      <c r="Z275" s="42"/>
      <c r="AA275" s="42"/>
      <c r="AB275" s="42"/>
      <c r="AC275" s="42"/>
    </row>
    <row r="276" spans="1:29" x14ac:dyDescent="0.25">
      <c r="A276" s="43" t="str">
        <f t="shared" si="0"/>
        <v/>
      </c>
      <c r="B276" s="35"/>
      <c r="C276" s="38" t="s">
        <v>238</v>
      </c>
      <c r="D276" s="55" t="str">
        <f t="shared" ref="D276:E276" si="87">D$274</f>
        <v>Critical</v>
      </c>
      <c r="E276" s="55" t="str">
        <f t="shared" si="87"/>
        <v>Phase 1</v>
      </c>
      <c r="F276" s="40" t="str">
        <v/>
      </c>
      <c r="G276" s="35"/>
      <c r="H276" s="41" t="str">
        <f ca="1"/>
        <v/>
      </c>
      <c r="I276" s="42"/>
      <c r="J276" s="42"/>
      <c r="K276" s="42"/>
      <c r="L276" s="42"/>
      <c r="M276" s="42"/>
      <c r="N276" s="42"/>
      <c r="O276" s="42"/>
      <c r="P276" s="42"/>
      <c r="Q276" s="42"/>
      <c r="R276" s="42"/>
      <c r="S276" s="42"/>
      <c r="T276" s="42"/>
      <c r="U276" s="42"/>
      <c r="V276" s="42"/>
      <c r="W276" s="42"/>
      <c r="X276" s="42"/>
      <c r="Y276" s="42"/>
      <c r="Z276" s="42"/>
      <c r="AA276" s="42"/>
      <c r="AB276" s="42"/>
      <c r="AC276" s="42"/>
    </row>
    <row r="277" spans="1:29" x14ac:dyDescent="0.25">
      <c r="A277" s="43" t="str">
        <f t="shared" si="0"/>
        <v/>
      </c>
      <c r="B277" s="35"/>
      <c r="C277" s="38" t="s">
        <v>239</v>
      </c>
      <c r="D277" s="39" t="s">
        <v>38</v>
      </c>
      <c r="E277" s="39" t="s">
        <v>54</v>
      </c>
      <c r="F277" s="40" t="str">
        <v/>
      </c>
      <c r="G277" s="35"/>
      <c r="H277" s="41" t="str">
        <f ca="1"/>
        <v/>
      </c>
      <c r="I277" s="42"/>
      <c r="J277" s="42"/>
      <c r="K277" s="42"/>
      <c r="L277" s="42"/>
      <c r="M277" s="42"/>
      <c r="N277" s="42"/>
      <c r="O277" s="42"/>
      <c r="P277" s="42"/>
      <c r="Q277" s="42"/>
      <c r="R277" s="42"/>
      <c r="S277" s="42"/>
      <c r="T277" s="42"/>
      <c r="U277" s="42"/>
      <c r="V277" s="42"/>
      <c r="W277" s="42"/>
      <c r="X277" s="42"/>
      <c r="Y277" s="42"/>
      <c r="Z277" s="42"/>
      <c r="AA277" s="42"/>
      <c r="AB277" s="42"/>
      <c r="AC277" s="42"/>
    </row>
    <row r="278" spans="1:29" x14ac:dyDescent="0.25">
      <c r="A278" s="43" t="str">
        <f t="shared" si="0"/>
        <v/>
      </c>
      <c r="B278" s="35"/>
      <c r="C278" s="38" t="s">
        <v>240</v>
      </c>
      <c r="D278" s="55" t="str">
        <f t="shared" ref="D278:E278" si="88">D$274</f>
        <v>Critical</v>
      </c>
      <c r="E278" s="55" t="str">
        <f t="shared" si="88"/>
        <v>Phase 1</v>
      </c>
      <c r="F278" s="40" t="str">
        <v/>
      </c>
      <c r="G278" s="35"/>
      <c r="H278" s="41" t="str">
        <f ca="1"/>
        <v/>
      </c>
      <c r="I278" s="42"/>
      <c r="J278" s="42"/>
      <c r="K278" s="42"/>
      <c r="L278" s="42"/>
      <c r="M278" s="42"/>
      <c r="N278" s="42"/>
      <c r="O278" s="42"/>
      <c r="P278" s="42"/>
      <c r="Q278" s="42"/>
      <c r="R278" s="42"/>
      <c r="S278" s="42"/>
      <c r="T278" s="42"/>
      <c r="U278" s="42"/>
      <c r="V278" s="42"/>
      <c r="W278" s="42"/>
      <c r="X278" s="42"/>
      <c r="Y278" s="42"/>
      <c r="Z278" s="42"/>
      <c r="AA278" s="42"/>
      <c r="AB278" s="42"/>
      <c r="AC278" s="42"/>
    </row>
    <row r="279" spans="1:29" x14ac:dyDescent="0.25">
      <c r="A279" s="43" t="str">
        <f t="shared" si="0"/>
        <v/>
      </c>
      <c r="B279" s="35"/>
      <c r="C279" s="38"/>
      <c r="D279" s="41"/>
      <c r="E279" s="41"/>
      <c r="F279" s="40" t="str">
        <v/>
      </c>
      <c r="G279" s="35"/>
      <c r="H279" s="41" t="str">
        <f ca="1"/>
        <v/>
      </c>
      <c r="I279" s="42"/>
      <c r="J279" s="42"/>
      <c r="K279" s="42"/>
      <c r="L279" s="42"/>
      <c r="M279" s="42"/>
      <c r="N279" s="42"/>
      <c r="O279" s="42"/>
      <c r="P279" s="42"/>
      <c r="Q279" s="42"/>
      <c r="R279" s="42"/>
      <c r="S279" s="42"/>
      <c r="T279" s="42"/>
      <c r="U279" s="42"/>
      <c r="V279" s="42"/>
      <c r="W279" s="42"/>
      <c r="X279" s="42"/>
      <c r="Y279" s="42"/>
      <c r="Z279" s="42"/>
      <c r="AA279" s="42"/>
      <c r="AB279" s="42"/>
      <c r="AC279" s="42"/>
    </row>
    <row r="280" spans="1:29" x14ac:dyDescent="0.25">
      <c r="A280" s="43" t="str">
        <f t="shared" si="0"/>
        <v/>
      </c>
      <c r="B280" s="35"/>
      <c r="C280" s="38"/>
      <c r="D280" s="41"/>
      <c r="E280" s="41"/>
      <c r="F280" s="40" t="str">
        <v/>
      </c>
      <c r="G280" s="35"/>
      <c r="H280" s="41" t="str">
        <f ca="1"/>
        <v/>
      </c>
      <c r="I280" s="42"/>
      <c r="J280" s="42"/>
      <c r="K280" s="42"/>
      <c r="L280" s="42"/>
      <c r="M280" s="42"/>
      <c r="N280" s="42"/>
      <c r="O280" s="42"/>
      <c r="P280" s="42"/>
      <c r="Q280" s="42"/>
      <c r="R280" s="42"/>
      <c r="S280" s="42"/>
      <c r="T280" s="42"/>
      <c r="U280" s="42"/>
      <c r="V280" s="42"/>
      <c r="W280" s="42"/>
      <c r="X280" s="42"/>
      <c r="Y280" s="42"/>
      <c r="Z280" s="42"/>
      <c r="AA280" s="42"/>
      <c r="AB280" s="42"/>
      <c r="AC280" s="42"/>
    </row>
    <row r="281" spans="1:29" x14ac:dyDescent="0.25">
      <c r="A281" s="43" t="e">
        <f t="shared" ca="1" si="0"/>
        <v>#NAME?</v>
      </c>
      <c r="B281" s="44" t="s">
        <v>241</v>
      </c>
      <c r="C281" s="45"/>
      <c r="D281" s="39" t="s">
        <v>37</v>
      </c>
      <c r="E281" s="39" t="s">
        <v>54</v>
      </c>
      <c r="F281" s="40" t="e">
        <f ca="1"/>
        <v>#NAME?</v>
      </c>
      <c r="G281" s="35" t="e">
        <f ca="1">"- "&amp;_xludf.textjoin("
- ",TRUE,$C282:$C286)</f>
        <v>#NAME?</v>
      </c>
      <c r="H281" s="41" t="e">
        <f ca="1"/>
        <v>#NAME?</v>
      </c>
      <c r="I281" s="42"/>
      <c r="J281" s="42"/>
      <c r="K281" s="42"/>
      <c r="L281" s="42"/>
      <c r="M281" s="42"/>
      <c r="N281" s="42"/>
      <c r="O281" s="42"/>
      <c r="P281" s="42"/>
      <c r="Q281" s="42"/>
      <c r="R281" s="42"/>
      <c r="S281" s="42"/>
      <c r="T281" s="42"/>
      <c r="U281" s="42"/>
      <c r="V281" s="42"/>
      <c r="W281" s="42"/>
      <c r="X281" s="42"/>
      <c r="Y281" s="42"/>
      <c r="Z281" s="42"/>
      <c r="AA281" s="42"/>
      <c r="AB281" s="42"/>
      <c r="AC281" s="42"/>
    </row>
    <row r="282" spans="1:29" x14ac:dyDescent="0.25">
      <c r="A282" s="43" t="str">
        <f t="shared" si="0"/>
        <v/>
      </c>
      <c r="B282" s="35"/>
      <c r="C282" s="38" t="s">
        <v>242</v>
      </c>
      <c r="D282" s="55" t="str">
        <f t="shared" ref="D282:E282" si="89">D$281</f>
        <v>Critical</v>
      </c>
      <c r="E282" s="55" t="str">
        <f t="shared" si="89"/>
        <v>Phase 1</v>
      </c>
      <c r="F282" s="40" t="str">
        <v/>
      </c>
      <c r="G282" s="35"/>
      <c r="H282" s="41" t="str">
        <f ca="1"/>
        <v/>
      </c>
      <c r="I282" s="42"/>
      <c r="J282" s="42"/>
      <c r="K282" s="42"/>
      <c r="L282" s="42"/>
      <c r="M282" s="42"/>
      <c r="N282" s="42"/>
      <c r="O282" s="42"/>
      <c r="P282" s="42"/>
      <c r="Q282" s="42"/>
      <c r="R282" s="42"/>
      <c r="S282" s="42"/>
      <c r="T282" s="42"/>
      <c r="U282" s="42"/>
      <c r="V282" s="42"/>
      <c r="W282" s="42"/>
      <c r="X282" s="42"/>
      <c r="Y282" s="42"/>
      <c r="Z282" s="42"/>
      <c r="AA282" s="42"/>
      <c r="AB282" s="42"/>
      <c r="AC282" s="42"/>
    </row>
    <row r="283" spans="1:29" x14ac:dyDescent="0.25">
      <c r="A283" s="43" t="str">
        <f t="shared" si="0"/>
        <v/>
      </c>
      <c r="B283" s="35"/>
      <c r="C283" s="38" t="s">
        <v>243</v>
      </c>
      <c r="D283" s="55" t="str">
        <f t="shared" ref="D283:E283" si="90">D$281</f>
        <v>Critical</v>
      </c>
      <c r="E283" s="55" t="str">
        <f t="shared" si="90"/>
        <v>Phase 1</v>
      </c>
      <c r="F283" s="40" t="str">
        <v/>
      </c>
      <c r="G283" s="35"/>
      <c r="H283" s="41" t="str">
        <f ca="1"/>
        <v/>
      </c>
      <c r="I283" s="42"/>
      <c r="J283" s="42"/>
      <c r="K283" s="42"/>
      <c r="L283" s="42"/>
      <c r="M283" s="42"/>
      <c r="N283" s="42"/>
      <c r="O283" s="42"/>
      <c r="P283" s="42"/>
      <c r="Q283" s="42"/>
      <c r="R283" s="42"/>
      <c r="S283" s="42"/>
      <c r="T283" s="42"/>
      <c r="U283" s="42"/>
      <c r="V283" s="42"/>
      <c r="W283" s="42"/>
      <c r="X283" s="42"/>
      <c r="Y283" s="42"/>
      <c r="Z283" s="42"/>
      <c r="AA283" s="42"/>
      <c r="AB283" s="42"/>
      <c r="AC283" s="42"/>
    </row>
    <row r="284" spans="1:29" x14ac:dyDescent="0.25">
      <c r="A284" s="43" t="str">
        <f t="shared" si="0"/>
        <v/>
      </c>
      <c r="B284" s="35"/>
      <c r="C284" s="38" t="s">
        <v>244</v>
      </c>
      <c r="D284" s="39" t="s">
        <v>38</v>
      </c>
      <c r="E284" s="39" t="s">
        <v>54</v>
      </c>
      <c r="F284" s="40" t="str">
        <v/>
      </c>
      <c r="G284" s="35"/>
      <c r="H284" s="41" t="str">
        <f ca="1"/>
        <v/>
      </c>
      <c r="I284" s="42"/>
      <c r="J284" s="42"/>
      <c r="K284" s="42"/>
      <c r="L284" s="42"/>
      <c r="M284" s="42"/>
      <c r="N284" s="42"/>
      <c r="O284" s="42"/>
      <c r="P284" s="42"/>
      <c r="Q284" s="42"/>
      <c r="R284" s="42"/>
      <c r="S284" s="42"/>
      <c r="T284" s="42"/>
      <c r="U284" s="42"/>
      <c r="V284" s="42"/>
      <c r="W284" s="42"/>
      <c r="X284" s="42"/>
      <c r="Y284" s="42"/>
      <c r="Z284" s="42"/>
      <c r="AA284" s="42"/>
      <c r="AB284" s="42"/>
      <c r="AC284" s="42"/>
    </row>
    <row r="285" spans="1:29" x14ac:dyDescent="0.25">
      <c r="A285" s="43" t="str">
        <f t="shared" si="0"/>
        <v/>
      </c>
      <c r="B285" s="35"/>
      <c r="C285" s="38"/>
      <c r="D285" s="41"/>
      <c r="E285" s="41"/>
      <c r="F285" s="40" t="str">
        <v/>
      </c>
      <c r="G285" s="35"/>
      <c r="H285" s="41" t="str">
        <f ca="1"/>
        <v/>
      </c>
      <c r="I285" s="42"/>
      <c r="J285" s="42"/>
      <c r="K285" s="42"/>
      <c r="L285" s="42"/>
      <c r="M285" s="42"/>
      <c r="N285" s="42"/>
      <c r="O285" s="42"/>
      <c r="P285" s="42"/>
      <c r="Q285" s="42"/>
      <c r="R285" s="42"/>
      <c r="S285" s="42"/>
      <c r="T285" s="42"/>
      <c r="U285" s="42"/>
      <c r="V285" s="42"/>
      <c r="W285" s="42"/>
      <c r="X285" s="42"/>
      <c r="Y285" s="42"/>
      <c r="Z285" s="42"/>
      <c r="AA285" s="42"/>
      <c r="AB285" s="42"/>
      <c r="AC285" s="42"/>
    </row>
    <row r="286" spans="1:29" x14ac:dyDescent="0.25">
      <c r="A286" s="43" t="str">
        <f t="shared" si="0"/>
        <v/>
      </c>
      <c r="B286" s="35"/>
      <c r="C286" s="38"/>
      <c r="D286" s="41"/>
      <c r="E286" s="41"/>
      <c r="F286" s="40" t="str">
        <v/>
      </c>
      <c r="G286" s="35"/>
      <c r="H286" s="41" t="str">
        <f ca="1"/>
        <v/>
      </c>
      <c r="I286" s="42"/>
      <c r="J286" s="42"/>
      <c r="K286" s="42"/>
      <c r="L286" s="42"/>
      <c r="M286" s="42"/>
      <c r="N286" s="42"/>
      <c r="O286" s="42"/>
      <c r="P286" s="42"/>
      <c r="Q286" s="42"/>
      <c r="R286" s="42"/>
      <c r="S286" s="42"/>
      <c r="T286" s="42"/>
      <c r="U286" s="42"/>
      <c r="V286" s="42"/>
      <c r="W286" s="42"/>
      <c r="X286" s="42"/>
      <c r="Y286" s="42"/>
      <c r="Z286" s="42"/>
      <c r="AA286" s="42"/>
      <c r="AB286" s="42"/>
      <c r="AC286" s="42"/>
    </row>
    <row r="287" spans="1:29" x14ac:dyDescent="0.25">
      <c r="A287" s="43" t="str">
        <f t="shared" si="0"/>
        <v/>
      </c>
      <c r="B287" s="35"/>
      <c r="C287" s="38"/>
      <c r="D287" s="41"/>
      <c r="E287" s="41"/>
      <c r="F287" s="40" t="str">
        <v/>
      </c>
      <c r="G287" s="35"/>
      <c r="H287" s="41" t="str">
        <f ca="1"/>
        <v/>
      </c>
      <c r="I287" s="42"/>
      <c r="J287" s="42"/>
      <c r="K287" s="42"/>
      <c r="L287" s="42"/>
      <c r="M287" s="42"/>
      <c r="N287" s="42"/>
      <c r="O287" s="42"/>
      <c r="P287" s="42"/>
      <c r="Q287" s="42"/>
      <c r="R287" s="42"/>
      <c r="S287" s="42"/>
      <c r="T287" s="42"/>
      <c r="U287" s="42"/>
      <c r="V287" s="42"/>
      <c r="W287" s="42"/>
      <c r="X287" s="42"/>
      <c r="Y287" s="42"/>
      <c r="Z287" s="42"/>
      <c r="AA287" s="42"/>
      <c r="AB287" s="42"/>
      <c r="AC287" s="42"/>
    </row>
    <row r="288" spans="1:29" x14ac:dyDescent="0.25">
      <c r="A288" s="43" t="e">
        <f t="shared" ca="1" si="0"/>
        <v>#NAME?</v>
      </c>
      <c r="B288" s="44" t="s">
        <v>245</v>
      </c>
      <c r="C288" s="45"/>
      <c r="D288" s="39" t="s">
        <v>37</v>
      </c>
      <c r="E288" s="39" t="s">
        <v>54</v>
      </c>
      <c r="F288" s="40" t="e">
        <f ca="1"/>
        <v>#NAME?</v>
      </c>
      <c r="G288" s="35" t="e">
        <f ca="1">"- "&amp;_xludf.textjoin("
- ",TRUE,$C289:$C293)</f>
        <v>#NAME?</v>
      </c>
      <c r="H288" s="41" t="e">
        <f ca="1"/>
        <v>#NAME?</v>
      </c>
      <c r="I288" s="42"/>
      <c r="J288" s="42"/>
      <c r="K288" s="42"/>
      <c r="L288" s="42"/>
      <c r="M288" s="42"/>
      <c r="N288" s="42"/>
      <c r="O288" s="42"/>
      <c r="P288" s="42"/>
      <c r="Q288" s="42"/>
      <c r="R288" s="42"/>
      <c r="S288" s="42"/>
      <c r="T288" s="42"/>
      <c r="U288" s="42"/>
      <c r="V288" s="42"/>
      <c r="W288" s="42"/>
      <c r="X288" s="42"/>
      <c r="Y288" s="42"/>
      <c r="Z288" s="42"/>
      <c r="AA288" s="42"/>
      <c r="AB288" s="42"/>
      <c r="AC288" s="42"/>
    </row>
    <row r="289" spans="1:29" x14ac:dyDescent="0.25">
      <c r="A289" s="43" t="str">
        <f t="shared" si="0"/>
        <v/>
      </c>
      <c r="B289" s="35"/>
      <c r="C289" s="38" t="s">
        <v>246</v>
      </c>
      <c r="D289" s="55" t="str">
        <f t="shared" ref="D289:E289" si="91">D$288</f>
        <v>Critical</v>
      </c>
      <c r="E289" s="55" t="str">
        <f t="shared" si="91"/>
        <v>Phase 1</v>
      </c>
      <c r="F289" s="40" t="str">
        <v/>
      </c>
      <c r="G289" s="35"/>
      <c r="H289" s="41" t="str">
        <f ca="1"/>
        <v/>
      </c>
      <c r="I289" s="42"/>
      <c r="J289" s="42"/>
      <c r="K289" s="42"/>
      <c r="L289" s="42"/>
      <c r="M289" s="42"/>
      <c r="N289" s="42"/>
      <c r="O289" s="42"/>
      <c r="P289" s="42"/>
      <c r="Q289" s="42"/>
      <c r="R289" s="42"/>
      <c r="S289" s="42"/>
      <c r="T289" s="42"/>
      <c r="U289" s="42"/>
      <c r="V289" s="42"/>
      <c r="W289" s="42"/>
      <c r="X289" s="42"/>
      <c r="Y289" s="42"/>
      <c r="Z289" s="42"/>
      <c r="AA289" s="42"/>
      <c r="AB289" s="42"/>
      <c r="AC289" s="42"/>
    </row>
    <row r="290" spans="1:29" x14ac:dyDescent="0.25">
      <c r="A290" s="43" t="str">
        <f t="shared" si="0"/>
        <v/>
      </c>
      <c r="B290" s="35"/>
      <c r="C290" s="38" t="s">
        <v>247</v>
      </c>
      <c r="D290" s="55" t="str">
        <f t="shared" ref="D290:E290" si="92">D$288</f>
        <v>Critical</v>
      </c>
      <c r="E290" s="55" t="str">
        <f t="shared" si="92"/>
        <v>Phase 1</v>
      </c>
      <c r="F290" s="40" t="str">
        <v/>
      </c>
      <c r="G290" s="35"/>
      <c r="H290" s="41" t="str">
        <f ca="1"/>
        <v/>
      </c>
      <c r="I290" s="42"/>
      <c r="J290" s="42"/>
      <c r="K290" s="42"/>
      <c r="L290" s="42"/>
      <c r="M290" s="42"/>
      <c r="N290" s="42"/>
      <c r="O290" s="42"/>
      <c r="P290" s="42"/>
      <c r="Q290" s="42"/>
      <c r="R290" s="42"/>
      <c r="S290" s="42"/>
      <c r="T290" s="42"/>
      <c r="U290" s="42"/>
      <c r="V290" s="42"/>
      <c r="W290" s="42"/>
      <c r="X290" s="42"/>
      <c r="Y290" s="42"/>
      <c r="Z290" s="42"/>
      <c r="AA290" s="42"/>
      <c r="AB290" s="42"/>
      <c r="AC290" s="42"/>
    </row>
    <row r="291" spans="1:29" x14ac:dyDescent="0.25">
      <c r="A291" s="43" t="str">
        <f t="shared" si="0"/>
        <v/>
      </c>
      <c r="B291" s="35"/>
      <c r="C291" s="38" t="s">
        <v>248</v>
      </c>
      <c r="D291" s="39" t="s">
        <v>38</v>
      </c>
      <c r="E291" s="39" t="s">
        <v>54</v>
      </c>
      <c r="F291" s="40" t="str">
        <v/>
      </c>
      <c r="G291" s="35"/>
      <c r="H291" s="41" t="str">
        <f ca="1"/>
        <v/>
      </c>
      <c r="I291" s="42"/>
      <c r="J291" s="42"/>
      <c r="K291" s="42"/>
      <c r="L291" s="42"/>
      <c r="M291" s="42"/>
      <c r="N291" s="42"/>
      <c r="O291" s="42"/>
      <c r="P291" s="42"/>
      <c r="Q291" s="42"/>
      <c r="R291" s="42"/>
      <c r="S291" s="42"/>
      <c r="T291" s="42"/>
      <c r="U291" s="42"/>
      <c r="V291" s="42"/>
      <c r="W291" s="42"/>
      <c r="X291" s="42"/>
      <c r="Y291" s="42"/>
      <c r="Z291" s="42"/>
      <c r="AA291" s="42"/>
      <c r="AB291" s="42"/>
      <c r="AC291" s="42"/>
    </row>
    <row r="292" spans="1:29" x14ac:dyDescent="0.25">
      <c r="A292" s="43" t="str">
        <f t="shared" si="0"/>
        <v/>
      </c>
      <c r="B292" s="35"/>
      <c r="C292" s="38"/>
      <c r="D292" s="41"/>
      <c r="E292" s="41"/>
      <c r="F292" s="40" t="str">
        <v/>
      </c>
      <c r="G292" s="35"/>
      <c r="H292" s="41" t="str">
        <f ca="1"/>
        <v/>
      </c>
      <c r="I292" s="42"/>
      <c r="J292" s="42"/>
      <c r="K292" s="42"/>
      <c r="L292" s="42"/>
      <c r="M292" s="42"/>
      <c r="N292" s="42"/>
      <c r="O292" s="42"/>
      <c r="P292" s="42"/>
      <c r="Q292" s="42"/>
      <c r="R292" s="42"/>
      <c r="S292" s="42"/>
      <c r="T292" s="42"/>
      <c r="U292" s="42"/>
      <c r="V292" s="42"/>
      <c r="W292" s="42"/>
      <c r="X292" s="42"/>
      <c r="Y292" s="42"/>
      <c r="Z292" s="42"/>
      <c r="AA292" s="42"/>
      <c r="AB292" s="42"/>
      <c r="AC292" s="42"/>
    </row>
    <row r="293" spans="1:29" x14ac:dyDescent="0.25">
      <c r="A293" s="43" t="str">
        <f t="shared" si="0"/>
        <v/>
      </c>
      <c r="B293" s="35"/>
      <c r="C293" s="38"/>
      <c r="D293" s="41"/>
      <c r="E293" s="41"/>
      <c r="F293" s="40" t="str">
        <v/>
      </c>
      <c r="G293" s="35"/>
      <c r="H293" s="41" t="str">
        <f ca="1"/>
        <v/>
      </c>
      <c r="I293" s="42"/>
      <c r="J293" s="42"/>
      <c r="K293" s="42"/>
      <c r="L293" s="42"/>
      <c r="M293" s="42"/>
      <c r="N293" s="42"/>
      <c r="O293" s="42"/>
      <c r="P293" s="42"/>
      <c r="Q293" s="42"/>
      <c r="R293" s="42"/>
      <c r="S293" s="42"/>
      <c r="T293" s="42"/>
      <c r="U293" s="42"/>
      <c r="V293" s="42"/>
      <c r="W293" s="42"/>
      <c r="X293" s="42"/>
      <c r="Y293" s="42"/>
      <c r="Z293" s="42"/>
      <c r="AA293" s="42"/>
      <c r="AB293" s="42"/>
      <c r="AC293" s="42"/>
    </row>
    <row r="294" spans="1:29" x14ac:dyDescent="0.25">
      <c r="A294" s="43" t="str">
        <f t="shared" si="0"/>
        <v/>
      </c>
      <c r="B294" s="35"/>
      <c r="C294" s="38"/>
      <c r="D294" s="41"/>
      <c r="E294" s="41"/>
      <c r="F294" s="40" t="str">
        <v/>
      </c>
      <c r="G294" s="35"/>
      <c r="H294" s="41" t="str">
        <f ca="1"/>
        <v/>
      </c>
      <c r="I294" s="42"/>
      <c r="J294" s="42"/>
      <c r="K294" s="42"/>
      <c r="L294" s="42"/>
      <c r="M294" s="42"/>
      <c r="N294" s="42"/>
      <c r="O294" s="42"/>
      <c r="P294" s="42"/>
      <c r="Q294" s="42"/>
      <c r="R294" s="42"/>
      <c r="S294" s="42"/>
      <c r="T294" s="42"/>
      <c r="U294" s="42"/>
      <c r="V294" s="42"/>
      <c r="W294" s="42"/>
      <c r="X294" s="42"/>
      <c r="Y294" s="42"/>
      <c r="Z294" s="42"/>
      <c r="AA294" s="42"/>
      <c r="AB294" s="42"/>
      <c r="AC294" s="42"/>
    </row>
    <row r="295" spans="1:29" x14ac:dyDescent="0.25">
      <c r="A295" s="48" t="e">
        <f t="shared" ca="1" si="0"/>
        <v>#NAME?</v>
      </c>
      <c r="B295" s="37" t="s">
        <v>249</v>
      </c>
      <c r="C295" s="38"/>
      <c r="D295" s="39" t="s">
        <v>37</v>
      </c>
      <c r="E295" s="39" t="s">
        <v>54</v>
      </c>
      <c r="F295" s="40" t="e">
        <f ca="1"/>
        <v>#NAME?</v>
      </c>
      <c r="G295" s="35"/>
      <c r="H295" s="41" t="str">
        <f ca="1"/>
        <v/>
      </c>
      <c r="I295" s="42"/>
      <c r="J295" s="42"/>
      <c r="K295" s="42"/>
      <c r="L295" s="42"/>
      <c r="M295" s="42"/>
      <c r="N295" s="42"/>
      <c r="O295" s="42"/>
      <c r="P295" s="42"/>
      <c r="Q295" s="42"/>
      <c r="R295" s="42"/>
      <c r="S295" s="42"/>
      <c r="T295" s="42"/>
      <c r="U295" s="42"/>
      <c r="V295" s="42"/>
      <c r="W295" s="42"/>
      <c r="X295" s="42"/>
      <c r="Y295" s="42"/>
      <c r="Z295" s="42"/>
      <c r="AA295" s="42"/>
      <c r="AB295" s="42"/>
      <c r="AC295" s="42"/>
    </row>
    <row r="296" spans="1:29" x14ac:dyDescent="0.25">
      <c r="A296" s="43" t="e">
        <f t="shared" ca="1" si="0"/>
        <v>#NAME?</v>
      </c>
      <c r="B296" s="44" t="s">
        <v>250</v>
      </c>
      <c r="C296" s="45"/>
      <c r="D296" s="39" t="s">
        <v>37</v>
      </c>
      <c r="E296" s="39" t="s">
        <v>54</v>
      </c>
      <c r="F296" s="40" t="e">
        <f ca="1"/>
        <v>#NAME?</v>
      </c>
      <c r="G296" s="35" t="e">
        <f ca="1">"- "&amp;_xludf.textjoin("
- ",TRUE,$C297:$C301)</f>
        <v>#NAME?</v>
      </c>
      <c r="H296" s="41" t="e">
        <f ca="1"/>
        <v>#NAME?</v>
      </c>
      <c r="I296" s="42"/>
      <c r="J296" s="42"/>
      <c r="K296" s="42"/>
      <c r="L296" s="42"/>
      <c r="M296" s="42"/>
      <c r="N296" s="42"/>
      <c r="O296" s="42"/>
      <c r="P296" s="42"/>
      <c r="Q296" s="42"/>
      <c r="R296" s="42"/>
      <c r="S296" s="42"/>
      <c r="T296" s="42"/>
      <c r="U296" s="42"/>
      <c r="V296" s="42"/>
      <c r="W296" s="42"/>
      <c r="X296" s="42"/>
      <c r="Y296" s="42"/>
      <c r="Z296" s="42"/>
      <c r="AA296" s="42"/>
      <c r="AB296" s="42"/>
      <c r="AC296" s="42"/>
    </row>
    <row r="297" spans="1:29" x14ac:dyDescent="0.25">
      <c r="A297" s="43" t="str">
        <f t="shared" si="0"/>
        <v/>
      </c>
      <c r="B297" s="35"/>
      <c r="C297" s="38" t="s">
        <v>252</v>
      </c>
      <c r="D297" s="55" t="str">
        <f t="shared" ref="D297:E297" si="93">D$295</f>
        <v>Critical</v>
      </c>
      <c r="E297" s="55" t="str">
        <f t="shared" si="93"/>
        <v>Phase 1</v>
      </c>
      <c r="F297" s="40" t="str">
        <v/>
      </c>
      <c r="G297" s="35"/>
      <c r="H297" s="41" t="str">
        <f ca="1"/>
        <v/>
      </c>
      <c r="I297" s="42"/>
      <c r="J297" s="42"/>
      <c r="K297" s="42"/>
      <c r="L297" s="42"/>
      <c r="M297" s="42"/>
      <c r="N297" s="42"/>
      <c r="O297" s="42"/>
      <c r="P297" s="42"/>
      <c r="Q297" s="42"/>
      <c r="R297" s="42"/>
      <c r="S297" s="42"/>
      <c r="T297" s="42"/>
      <c r="U297" s="42"/>
      <c r="V297" s="42"/>
      <c r="W297" s="42"/>
      <c r="X297" s="42"/>
      <c r="Y297" s="42"/>
      <c r="Z297" s="42"/>
      <c r="AA297" s="42"/>
      <c r="AB297" s="42"/>
      <c r="AC297" s="42"/>
    </row>
    <row r="298" spans="1:29" x14ac:dyDescent="0.25">
      <c r="A298" s="43" t="str">
        <f t="shared" si="0"/>
        <v/>
      </c>
      <c r="B298" s="35"/>
      <c r="C298" s="38" t="s">
        <v>253</v>
      </c>
      <c r="D298" s="55" t="str">
        <f t="shared" ref="D298:E298" si="94">D$295</f>
        <v>Critical</v>
      </c>
      <c r="E298" s="55" t="str">
        <f t="shared" si="94"/>
        <v>Phase 1</v>
      </c>
      <c r="F298" s="40" t="str">
        <v/>
      </c>
      <c r="G298" s="35"/>
      <c r="H298" s="41" t="str">
        <f ca="1"/>
        <v/>
      </c>
      <c r="I298" s="42"/>
      <c r="J298" s="42"/>
      <c r="K298" s="42"/>
      <c r="L298" s="42"/>
      <c r="M298" s="42"/>
      <c r="N298" s="42"/>
      <c r="O298" s="42"/>
      <c r="P298" s="42"/>
      <c r="Q298" s="42"/>
      <c r="R298" s="42"/>
      <c r="S298" s="42"/>
      <c r="T298" s="42"/>
      <c r="U298" s="42"/>
      <c r="V298" s="42"/>
      <c r="W298" s="42"/>
      <c r="X298" s="42"/>
      <c r="Y298" s="42"/>
      <c r="Z298" s="42"/>
      <c r="AA298" s="42"/>
      <c r="AB298" s="42"/>
      <c r="AC298" s="42"/>
    </row>
    <row r="299" spans="1:29" x14ac:dyDescent="0.25">
      <c r="A299" s="43" t="str">
        <f t="shared" si="0"/>
        <v/>
      </c>
      <c r="B299" s="59"/>
      <c r="C299" s="38" t="s">
        <v>254</v>
      </c>
      <c r="D299" s="55" t="str">
        <f t="shared" ref="D299:E299" si="95">D$295</f>
        <v>Critical</v>
      </c>
      <c r="E299" s="55" t="str">
        <f t="shared" si="95"/>
        <v>Phase 1</v>
      </c>
      <c r="F299" s="40"/>
      <c r="G299" s="35"/>
      <c r="H299" s="41" t="str">
        <f ca="1"/>
        <v/>
      </c>
      <c r="I299" s="42"/>
      <c r="J299" s="42"/>
      <c r="K299" s="42"/>
      <c r="L299" s="42"/>
      <c r="M299" s="42"/>
      <c r="N299" s="42"/>
      <c r="O299" s="42"/>
      <c r="P299" s="42"/>
      <c r="Q299" s="42"/>
      <c r="R299" s="42"/>
      <c r="S299" s="42"/>
      <c r="T299" s="42"/>
      <c r="U299" s="42"/>
      <c r="V299" s="42"/>
      <c r="W299" s="42"/>
      <c r="X299" s="42"/>
      <c r="Y299" s="42"/>
      <c r="Z299" s="42"/>
      <c r="AA299" s="42"/>
      <c r="AB299" s="42"/>
      <c r="AC299" s="42"/>
    </row>
    <row r="300" spans="1:29" x14ac:dyDescent="0.25">
      <c r="A300" s="43" t="str">
        <f t="shared" si="0"/>
        <v/>
      </c>
      <c r="B300" s="59"/>
      <c r="C300" s="38" t="s">
        <v>255</v>
      </c>
      <c r="D300" s="55" t="str">
        <f t="shared" ref="D300:E300" si="96">D$295</f>
        <v>Critical</v>
      </c>
      <c r="E300" s="55" t="str">
        <f t="shared" si="96"/>
        <v>Phase 1</v>
      </c>
      <c r="F300" s="40"/>
      <c r="G300" s="35"/>
      <c r="H300" s="41" t="str">
        <f ca="1"/>
        <v/>
      </c>
      <c r="I300" s="42"/>
      <c r="J300" s="42"/>
      <c r="K300" s="42"/>
      <c r="L300" s="42"/>
      <c r="M300" s="42"/>
      <c r="N300" s="42"/>
      <c r="O300" s="42"/>
      <c r="P300" s="42"/>
      <c r="Q300" s="42"/>
      <c r="R300" s="42"/>
      <c r="S300" s="42"/>
      <c r="T300" s="42"/>
      <c r="U300" s="42"/>
      <c r="V300" s="42"/>
      <c r="W300" s="42"/>
      <c r="X300" s="42"/>
      <c r="Y300" s="42"/>
      <c r="Z300" s="42"/>
      <c r="AA300" s="42"/>
      <c r="AB300" s="42"/>
      <c r="AC300" s="42"/>
    </row>
    <row r="301" spans="1:29" x14ac:dyDescent="0.25">
      <c r="A301" s="43" t="str">
        <f t="shared" si="0"/>
        <v/>
      </c>
      <c r="B301" s="59"/>
      <c r="C301" s="35"/>
      <c r="D301" s="55"/>
      <c r="E301" s="41"/>
      <c r="F301" s="40"/>
      <c r="G301" s="35"/>
      <c r="H301" s="41" t="str">
        <f ca="1"/>
        <v/>
      </c>
      <c r="I301" s="42"/>
      <c r="J301" s="42"/>
      <c r="K301" s="42"/>
      <c r="L301" s="42"/>
      <c r="M301" s="42"/>
      <c r="N301" s="42"/>
      <c r="O301" s="42"/>
      <c r="P301" s="42"/>
      <c r="Q301" s="42"/>
      <c r="R301" s="42"/>
      <c r="S301" s="42"/>
      <c r="T301" s="42"/>
      <c r="U301" s="42"/>
      <c r="V301" s="42"/>
      <c r="W301" s="42"/>
      <c r="X301" s="42"/>
      <c r="Y301" s="42"/>
      <c r="Z301" s="42"/>
      <c r="AA301" s="42"/>
      <c r="AB301" s="42"/>
      <c r="AC301" s="42"/>
    </row>
    <row r="302" spans="1:29" x14ac:dyDescent="0.25">
      <c r="A302" s="43" t="str">
        <f t="shared" si="0"/>
        <v/>
      </c>
      <c r="B302" s="59"/>
      <c r="C302" s="35"/>
      <c r="D302" s="55"/>
      <c r="E302" s="41"/>
      <c r="F302" s="40"/>
      <c r="G302" s="35"/>
      <c r="H302" s="41" t="str">
        <f ca="1"/>
        <v/>
      </c>
      <c r="I302" s="42"/>
      <c r="J302" s="42"/>
      <c r="K302" s="42"/>
      <c r="L302" s="42"/>
      <c r="M302" s="42"/>
      <c r="N302" s="42"/>
      <c r="O302" s="42"/>
      <c r="P302" s="42"/>
      <c r="Q302" s="42"/>
      <c r="R302" s="42"/>
      <c r="S302" s="42"/>
      <c r="T302" s="42"/>
      <c r="U302" s="42"/>
      <c r="V302" s="42"/>
      <c r="W302" s="42"/>
      <c r="X302" s="42"/>
      <c r="Y302" s="42"/>
      <c r="Z302" s="42"/>
      <c r="AA302" s="42"/>
      <c r="AB302" s="42"/>
      <c r="AC302" s="42"/>
    </row>
    <row r="303" spans="1:29" x14ac:dyDescent="0.25">
      <c r="A303" s="43" t="e">
        <f t="shared" ca="1" si="0"/>
        <v>#NAME?</v>
      </c>
      <c r="B303" s="44" t="s">
        <v>256</v>
      </c>
      <c r="C303" s="45"/>
      <c r="D303" s="39" t="s">
        <v>37</v>
      </c>
      <c r="E303" s="39" t="s">
        <v>54</v>
      </c>
      <c r="F303" s="40" t="s">
        <v>251</v>
      </c>
      <c r="G303" s="35" t="e">
        <f ca="1">"- "&amp;_xludf.textjoin("
- ",TRUE,$C304:$C308)</f>
        <v>#NAME?</v>
      </c>
      <c r="H303" s="41" t="e">
        <f ca="1"/>
        <v>#NAME?</v>
      </c>
      <c r="I303" s="42"/>
      <c r="J303" s="42"/>
      <c r="K303" s="42"/>
      <c r="L303" s="42"/>
      <c r="M303" s="42"/>
      <c r="N303" s="42"/>
      <c r="O303" s="42"/>
      <c r="P303" s="42"/>
      <c r="Q303" s="42"/>
      <c r="R303" s="42"/>
      <c r="S303" s="42"/>
      <c r="T303" s="42"/>
      <c r="U303" s="42"/>
      <c r="V303" s="42"/>
      <c r="W303" s="42"/>
      <c r="X303" s="42"/>
      <c r="Y303" s="42"/>
      <c r="Z303" s="42"/>
      <c r="AA303" s="42"/>
      <c r="AB303" s="42"/>
      <c r="AC303" s="42"/>
    </row>
    <row r="304" spans="1:29" x14ac:dyDescent="0.25">
      <c r="A304" s="43" t="str">
        <f t="shared" si="0"/>
        <v/>
      </c>
      <c r="B304" s="35"/>
      <c r="C304" s="38" t="s">
        <v>257</v>
      </c>
      <c r="D304" s="55" t="str">
        <f t="shared" ref="D304:E304" si="97">D$303</f>
        <v>Critical</v>
      </c>
      <c r="E304" s="55" t="str">
        <f t="shared" si="97"/>
        <v>Phase 1</v>
      </c>
      <c r="F304" s="40"/>
      <c r="G304" s="35"/>
      <c r="H304" s="41" t="str">
        <f ca="1"/>
        <v/>
      </c>
      <c r="I304" s="42"/>
      <c r="J304" s="42"/>
      <c r="K304" s="42"/>
      <c r="L304" s="42"/>
      <c r="M304" s="42"/>
      <c r="N304" s="42"/>
      <c r="O304" s="42"/>
      <c r="P304" s="42"/>
      <c r="Q304" s="42"/>
      <c r="R304" s="42"/>
      <c r="S304" s="42"/>
      <c r="T304" s="42"/>
      <c r="U304" s="42"/>
      <c r="V304" s="42"/>
      <c r="W304" s="42"/>
      <c r="X304" s="42"/>
      <c r="Y304" s="42"/>
      <c r="Z304" s="42"/>
      <c r="AA304" s="42"/>
      <c r="AB304" s="42"/>
      <c r="AC304" s="42"/>
    </row>
    <row r="305" spans="1:29" x14ac:dyDescent="0.25">
      <c r="A305" s="43" t="str">
        <f t="shared" si="0"/>
        <v/>
      </c>
      <c r="B305" s="35"/>
      <c r="C305" s="35"/>
      <c r="D305" s="55"/>
      <c r="E305" s="41"/>
      <c r="F305" s="40"/>
      <c r="G305" s="35"/>
      <c r="H305" s="41" t="str">
        <f ca="1"/>
        <v/>
      </c>
      <c r="I305" s="42"/>
      <c r="J305" s="42"/>
      <c r="K305" s="42"/>
      <c r="L305" s="42"/>
      <c r="M305" s="42"/>
      <c r="N305" s="42"/>
      <c r="O305" s="42"/>
      <c r="P305" s="42"/>
      <c r="Q305" s="42"/>
      <c r="R305" s="42"/>
      <c r="S305" s="42"/>
      <c r="T305" s="42"/>
      <c r="U305" s="42"/>
      <c r="V305" s="42"/>
      <c r="W305" s="42"/>
      <c r="X305" s="42"/>
      <c r="Y305" s="42"/>
      <c r="Z305" s="42"/>
      <c r="AA305" s="42"/>
      <c r="AB305" s="42"/>
      <c r="AC305" s="42"/>
    </row>
    <row r="306" spans="1:29" x14ac:dyDescent="0.25">
      <c r="A306" s="43" t="str">
        <f t="shared" si="0"/>
        <v/>
      </c>
      <c r="B306" s="35"/>
      <c r="C306" s="35"/>
      <c r="D306" s="55"/>
      <c r="E306" s="41"/>
      <c r="F306" s="40"/>
      <c r="G306" s="35"/>
      <c r="H306" s="41" t="str">
        <f ca="1"/>
        <v/>
      </c>
      <c r="I306" s="42"/>
      <c r="J306" s="42"/>
      <c r="K306" s="42"/>
      <c r="L306" s="42"/>
      <c r="M306" s="42"/>
      <c r="N306" s="42"/>
      <c r="O306" s="42"/>
      <c r="P306" s="42"/>
      <c r="Q306" s="42"/>
      <c r="R306" s="42"/>
      <c r="S306" s="42"/>
      <c r="T306" s="42"/>
      <c r="U306" s="42"/>
      <c r="V306" s="42"/>
      <c r="W306" s="42"/>
      <c r="X306" s="42"/>
      <c r="Y306" s="42"/>
      <c r="Z306" s="42"/>
      <c r="AA306" s="42"/>
      <c r="AB306" s="42"/>
      <c r="AC306" s="42"/>
    </row>
    <row r="307" spans="1:29" x14ac:dyDescent="0.25">
      <c r="A307" s="43" t="str">
        <f t="shared" si="0"/>
        <v/>
      </c>
      <c r="B307" s="35"/>
      <c r="C307" s="35"/>
      <c r="D307" s="55"/>
      <c r="E307" s="41"/>
      <c r="F307" s="40"/>
      <c r="G307" s="35"/>
      <c r="H307" s="41" t="str">
        <f ca="1"/>
        <v/>
      </c>
      <c r="I307" s="42"/>
      <c r="J307" s="42"/>
      <c r="K307" s="42"/>
      <c r="L307" s="42"/>
      <c r="M307" s="42"/>
      <c r="N307" s="42"/>
      <c r="O307" s="42"/>
      <c r="P307" s="42"/>
      <c r="Q307" s="42"/>
      <c r="R307" s="42"/>
      <c r="S307" s="42"/>
      <c r="T307" s="42"/>
      <c r="U307" s="42"/>
      <c r="V307" s="42"/>
      <c r="W307" s="42"/>
      <c r="X307" s="42"/>
      <c r="Y307" s="42"/>
      <c r="Z307" s="42"/>
      <c r="AA307" s="42"/>
      <c r="AB307" s="42"/>
      <c r="AC307" s="42"/>
    </row>
    <row r="308" spans="1:29" x14ac:dyDescent="0.25">
      <c r="A308" s="43" t="str">
        <f t="shared" si="0"/>
        <v/>
      </c>
      <c r="B308" s="35"/>
      <c r="C308" s="35"/>
      <c r="D308" s="55"/>
      <c r="E308" s="41"/>
      <c r="F308" s="40"/>
      <c r="G308" s="35"/>
      <c r="H308" s="41" t="str">
        <f ca="1"/>
        <v/>
      </c>
      <c r="I308" s="42"/>
      <c r="J308" s="42"/>
      <c r="K308" s="42"/>
      <c r="L308" s="42"/>
      <c r="M308" s="42"/>
      <c r="N308" s="42"/>
      <c r="O308" s="42"/>
      <c r="P308" s="42"/>
      <c r="Q308" s="42"/>
      <c r="R308" s="42"/>
      <c r="S308" s="42"/>
      <c r="T308" s="42"/>
      <c r="U308" s="42"/>
      <c r="V308" s="42"/>
      <c r="W308" s="42"/>
      <c r="X308" s="42"/>
      <c r="Y308" s="42"/>
      <c r="Z308" s="42"/>
      <c r="AA308" s="42"/>
      <c r="AB308" s="42"/>
      <c r="AC308" s="42"/>
    </row>
    <row r="309" spans="1:29" x14ac:dyDescent="0.25">
      <c r="A309" s="43" t="e">
        <f t="shared" ca="1" si="0"/>
        <v>#NAME?</v>
      </c>
      <c r="B309" s="44" t="s">
        <v>258</v>
      </c>
      <c r="C309" s="45"/>
      <c r="D309" s="39" t="s">
        <v>37</v>
      </c>
      <c r="E309" s="39" t="s">
        <v>54</v>
      </c>
      <c r="F309" s="40"/>
      <c r="G309" s="35" t="e">
        <f ca="1">"- "&amp;_xludf.textjoin("
- ",TRUE,$C310:$C314)</f>
        <v>#NAME?</v>
      </c>
      <c r="H309" s="41" t="e">
        <f ca="1"/>
        <v>#NAME?</v>
      </c>
      <c r="I309" s="42"/>
      <c r="J309" s="42"/>
      <c r="K309" s="42"/>
      <c r="L309" s="42"/>
      <c r="M309" s="42"/>
      <c r="N309" s="42"/>
      <c r="O309" s="42"/>
      <c r="P309" s="42"/>
      <c r="Q309" s="42"/>
      <c r="R309" s="42"/>
      <c r="S309" s="42"/>
      <c r="T309" s="42"/>
      <c r="U309" s="42"/>
      <c r="V309" s="42"/>
      <c r="W309" s="42"/>
      <c r="X309" s="42"/>
      <c r="Y309" s="42"/>
      <c r="Z309" s="42"/>
      <c r="AA309" s="42"/>
      <c r="AB309" s="42"/>
      <c r="AC309" s="42"/>
    </row>
    <row r="310" spans="1:29" x14ac:dyDescent="0.25">
      <c r="A310" s="43" t="str">
        <f t="shared" si="0"/>
        <v/>
      </c>
      <c r="B310" s="35"/>
      <c r="C310" s="38" t="s">
        <v>259</v>
      </c>
      <c r="D310" s="55" t="str">
        <f t="shared" ref="D310:E310" si="98">D$309</f>
        <v>Critical</v>
      </c>
      <c r="E310" s="55" t="str">
        <f t="shared" si="98"/>
        <v>Phase 1</v>
      </c>
      <c r="F310" s="40"/>
      <c r="G310" s="35"/>
      <c r="H310" s="41" t="str">
        <f ca="1"/>
        <v/>
      </c>
      <c r="I310" s="42"/>
      <c r="J310" s="42"/>
      <c r="K310" s="42"/>
      <c r="L310" s="42"/>
      <c r="M310" s="42"/>
      <c r="N310" s="42"/>
      <c r="O310" s="42"/>
      <c r="P310" s="42"/>
      <c r="Q310" s="42"/>
      <c r="R310" s="42"/>
      <c r="S310" s="42"/>
      <c r="T310" s="42"/>
      <c r="U310" s="42"/>
      <c r="V310" s="42"/>
      <c r="W310" s="42"/>
      <c r="X310" s="42"/>
      <c r="Y310" s="42"/>
      <c r="Z310" s="42"/>
      <c r="AA310" s="42"/>
      <c r="AB310" s="42"/>
      <c r="AC310" s="42"/>
    </row>
    <row r="311" spans="1:29" x14ac:dyDescent="0.25">
      <c r="A311" s="43" t="str">
        <f t="shared" si="0"/>
        <v/>
      </c>
      <c r="B311" s="35"/>
      <c r="C311" s="38" t="s">
        <v>260</v>
      </c>
      <c r="D311" s="55" t="str">
        <f t="shared" ref="D311:E311" si="99">D$309</f>
        <v>Critical</v>
      </c>
      <c r="E311" s="55" t="str">
        <f t="shared" si="99"/>
        <v>Phase 1</v>
      </c>
      <c r="F311" s="40"/>
      <c r="G311" s="35"/>
      <c r="H311" s="41" t="str">
        <f ca="1"/>
        <v/>
      </c>
      <c r="I311" s="42"/>
      <c r="J311" s="42"/>
      <c r="K311" s="42"/>
      <c r="L311" s="42"/>
      <c r="M311" s="42"/>
      <c r="N311" s="42"/>
      <c r="O311" s="42"/>
      <c r="P311" s="42"/>
      <c r="Q311" s="42"/>
      <c r="R311" s="42"/>
      <c r="S311" s="42"/>
      <c r="T311" s="42"/>
      <c r="U311" s="42"/>
      <c r="V311" s="42"/>
      <c r="W311" s="42"/>
      <c r="X311" s="42"/>
      <c r="Y311" s="42"/>
      <c r="Z311" s="42"/>
      <c r="AA311" s="42"/>
      <c r="AB311" s="42"/>
      <c r="AC311" s="42"/>
    </row>
    <row r="312" spans="1:29" x14ac:dyDescent="0.25">
      <c r="A312" s="43" t="str">
        <f t="shared" si="0"/>
        <v/>
      </c>
      <c r="B312" s="35"/>
      <c r="C312" s="35"/>
      <c r="D312" s="41"/>
      <c r="E312" s="41"/>
      <c r="F312" s="40"/>
      <c r="G312" s="35"/>
      <c r="H312" s="41" t="str">
        <f ca="1"/>
        <v/>
      </c>
      <c r="I312" s="42"/>
      <c r="J312" s="42"/>
      <c r="K312" s="42"/>
      <c r="L312" s="42"/>
      <c r="M312" s="42"/>
      <c r="N312" s="42"/>
      <c r="O312" s="42"/>
      <c r="P312" s="42"/>
      <c r="Q312" s="42"/>
      <c r="R312" s="42"/>
      <c r="S312" s="42"/>
      <c r="T312" s="42"/>
      <c r="U312" s="42"/>
      <c r="V312" s="42"/>
      <c r="W312" s="42"/>
      <c r="X312" s="42"/>
      <c r="Y312" s="42"/>
      <c r="Z312" s="42"/>
      <c r="AA312" s="42"/>
      <c r="AB312" s="42"/>
      <c r="AC312" s="42"/>
    </row>
    <row r="313" spans="1:29" x14ac:dyDescent="0.25">
      <c r="A313" s="43" t="str">
        <f t="shared" si="0"/>
        <v/>
      </c>
      <c r="B313" s="35"/>
      <c r="C313" s="35"/>
      <c r="D313" s="41"/>
      <c r="E313" s="41"/>
      <c r="F313" s="40"/>
      <c r="G313" s="35"/>
      <c r="H313" s="41" t="str">
        <f ca="1"/>
        <v/>
      </c>
      <c r="I313" s="42"/>
      <c r="J313" s="42"/>
      <c r="K313" s="42"/>
      <c r="L313" s="42"/>
      <c r="M313" s="42"/>
      <c r="N313" s="42"/>
      <c r="O313" s="42"/>
      <c r="P313" s="42"/>
      <c r="Q313" s="42"/>
      <c r="R313" s="42"/>
      <c r="S313" s="42"/>
      <c r="T313" s="42"/>
      <c r="U313" s="42"/>
      <c r="V313" s="42"/>
      <c r="W313" s="42"/>
      <c r="X313" s="42"/>
      <c r="Y313" s="42"/>
      <c r="Z313" s="42"/>
      <c r="AA313" s="42"/>
      <c r="AB313" s="42"/>
      <c r="AC313" s="42"/>
    </row>
    <row r="314" spans="1:29" x14ac:dyDescent="0.25">
      <c r="A314" s="43" t="str">
        <f t="shared" si="0"/>
        <v/>
      </c>
      <c r="B314" s="35"/>
      <c r="C314" s="35"/>
      <c r="D314" s="41"/>
      <c r="E314" s="41"/>
      <c r="F314" s="40"/>
      <c r="G314" s="35"/>
      <c r="H314" s="41" t="str">
        <f ca="1"/>
        <v/>
      </c>
      <c r="I314" s="42"/>
      <c r="J314" s="42"/>
      <c r="K314" s="42"/>
      <c r="L314" s="42"/>
      <c r="M314" s="42"/>
      <c r="N314" s="42"/>
      <c r="O314" s="42"/>
      <c r="P314" s="42"/>
      <c r="Q314" s="42"/>
      <c r="R314" s="42"/>
      <c r="S314" s="42"/>
      <c r="T314" s="42"/>
      <c r="U314" s="42"/>
      <c r="V314" s="42"/>
      <c r="W314" s="42"/>
      <c r="X314" s="42"/>
      <c r="Y314" s="42"/>
      <c r="Z314" s="42"/>
      <c r="AA314" s="42"/>
      <c r="AB314" s="42"/>
      <c r="AC314" s="42"/>
    </row>
    <row r="315" spans="1:29" x14ac:dyDescent="0.25">
      <c r="A315" s="43" t="str">
        <f t="shared" si="0"/>
        <v/>
      </c>
      <c r="B315" s="35"/>
      <c r="C315" s="35"/>
      <c r="D315" s="41"/>
      <c r="E315" s="41"/>
      <c r="F315" s="40"/>
      <c r="G315" s="35"/>
      <c r="H315" s="41" t="str">
        <f ca="1"/>
        <v/>
      </c>
      <c r="I315" s="42"/>
      <c r="J315" s="42"/>
      <c r="K315" s="42"/>
      <c r="L315" s="42"/>
      <c r="M315" s="42"/>
      <c r="N315" s="42"/>
      <c r="O315" s="42"/>
      <c r="P315" s="42"/>
      <c r="Q315" s="42"/>
      <c r="R315" s="42"/>
      <c r="S315" s="42"/>
      <c r="T315" s="42"/>
      <c r="U315" s="42"/>
      <c r="V315" s="42"/>
      <c r="W315" s="42"/>
      <c r="X315" s="42"/>
      <c r="Y315" s="42"/>
      <c r="Z315" s="42"/>
      <c r="AA315" s="42"/>
      <c r="AB315" s="42"/>
      <c r="AC315" s="42"/>
    </row>
    <row r="316" spans="1:29" x14ac:dyDescent="0.25">
      <c r="A316" s="43" t="e">
        <f t="shared" ca="1" si="0"/>
        <v>#NAME?</v>
      </c>
      <c r="B316" s="44" t="s">
        <v>261</v>
      </c>
      <c r="C316" s="45"/>
      <c r="D316" s="39" t="s">
        <v>37</v>
      </c>
      <c r="E316" s="39" t="s">
        <v>54</v>
      </c>
      <c r="F316" s="40"/>
      <c r="G316" s="35" t="e">
        <f ca="1">"- "&amp;_xludf.textjoin("
- ",TRUE,$C317:$C322)</f>
        <v>#NAME?</v>
      </c>
      <c r="H316" s="41" t="e">
        <f ca="1"/>
        <v>#NAME?</v>
      </c>
      <c r="I316" s="42"/>
      <c r="J316" s="42"/>
      <c r="K316" s="42"/>
      <c r="L316" s="42"/>
      <c r="M316" s="42"/>
      <c r="N316" s="42"/>
      <c r="O316" s="42"/>
      <c r="P316" s="42"/>
      <c r="Q316" s="42"/>
      <c r="R316" s="42"/>
      <c r="S316" s="42"/>
      <c r="T316" s="42"/>
      <c r="U316" s="42"/>
      <c r="V316" s="42"/>
      <c r="W316" s="42"/>
      <c r="X316" s="42"/>
      <c r="Y316" s="42"/>
      <c r="Z316" s="42"/>
      <c r="AA316" s="42"/>
      <c r="AB316" s="42"/>
      <c r="AC316" s="42"/>
    </row>
    <row r="317" spans="1:29" x14ac:dyDescent="0.25">
      <c r="A317" s="43" t="str">
        <f t="shared" si="0"/>
        <v/>
      </c>
      <c r="B317" s="38"/>
      <c r="C317" s="38" t="s">
        <v>262</v>
      </c>
      <c r="D317" s="55" t="str">
        <f t="shared" ref="D317:E317" si="100">D$316</f>
        <v>Critical</v>
      </c>
      <c r="E317" s="55" t="str">
        <f t="shared" si="100"/>
        <v>Phase 1</v>
      </c>
      <c r="F317" s="40"/>
      <c r="G317" s="35"/>
      <c r="H317" s="41" t="str">
        <f ca="1"/>
        <v/>
      </c>
      <c r="I317" s="42"/>
      <c r="J317" s="42"/>
      <c r="K317" s="42"/>
      <c r="L317" s="42"/>
      <c r="M317" s="42"/>
      <c r="N317" s="42"/>
      <c r="O317" s="42"/>
      <c r="P317" s="42"/>
      <c r="Q317" s="42"/>
      <c r="R317" s="42"/>
      <c r="S317" s="42"/>
      <c r="T317" s="42"/>
      <c r="U317" s="42"/>
      <c r="V317" s="42"/>
      <c r="W317" s="42"/>
      <c r="X317" s="42"/>
      <c r="Y317" s="42"/>
      <c r="Z317" s="42"/>
      <c r="AA317" s="42"/>
      <c r="AB317" s="42"/>
      <c r="AC317" s="42"/>
    </row>
    <row r="318" spans="1:29" x14ac:dyDescent="0.25">
      <c r="A318" s="43" t="str">
        <f t="shared" si="0"/>
        <v/>
      </c>
      <c r="B318" s="35"/>
      <c r="C318" s="38" t="s">
        <v>263</v>
      </c>
      <c r="D318" s="55" t="str">
        <f t="shared" ref="D318:E318" si="101">D$316</f>
        <v>Critical</v>
      </c>
      <c r="E318" s="55" t="str">
        <f t="shared" si="101"/>
        <v>Phase 1</v>
      </c>
      <c r="F318" s="40"/>
      <c r="G318" s="35"/>
      <c r="H318" s="41" t="str">
        <f ca="1"/>
        <v/>
      </c>
      <c r="I318" s="42"/>
      <c r="J318" s="42"/>
      <c r="K318" s="42"/>
      <c r="L318" s="42"/>
      <c r="M318" s="42"/>
      <c r="N318" s="42"/>
      <c r="O318" s="42"/>
      <c r="P318" s="42"/>
      <c r="Q318" s="42"/>
      <c r="R318" s="42"/>
      <c r="S318" s="42"/>
      <c r="T318" s="42"/>
      <c r="U318" s="42"/>
      <c r="V318" s="42"/>
      <c r="W318" s="42"/>
      <c r="X318" s="42"/>
      <c r="Y318" s="42"/>
      <c r="Z318" s="42"/>
      <c r="AA318" s="42"/>
      <c r="AB318" s="42"/>
      <c r="AC318" s="42"/>
    </row>
    <row r="319" spans="1:29" x14ac:dyDescent="0.25">
      <c r="A319" s="43" t="str">
        <f t="shared" si="0"/>
        <v/>
      </c>
      <c r="B319" s="35"/>
      <c r="C319" s="38" t="s">
        <v>264</v>
      </c>
      <c r="D319" s="55" t="str">
        <f t="shared" ref="D319:E319" si="102">D$316</f>
        <v>Critical</v>
      </c>
      <c r="E319" s="55" t="str">
        <f t="shared" si="102"/>
        <v>Phase 1</v>
      </c>
      <c r="F319" s="40"/>
      <c r="G319" s="35"/>
      <c r="H319" s="41" t="str">
        <f ca="1"/>
        <v/>
      </c>
      <c r="I319" s="42"/>
      <c r="J319" s="42"/>
      <c r="K319" s="42"/>
      <c r="L319" s="42"/>
      <c r="M319" s="42"/>
      <c r="N319" s="42"/>
      <c r="O319" s="42"/>
      <c r="P319" s="42"/>
      <c r="Q319" s="42"/>
      <c r="R319" s="42"/>
      <c r="S319" s="42"/>
      <c r="T319" s="42"/>
      <c r="U319" s="42"/>
      <c r="V319" s="42"/>
      <c r="W319" s="42"/>
      <c r="X319" s="42"/>
      <c r="Y319" s="42"/>
      <c r="Z319" s="42"/>
      <c r="AA319" s="42"/>
      <c r="AB319" s="42"/>
      <c r="AC319" s="42"/>
    </row>
    <row r="320" spans="1:29" x14ac:dyDescent="0.25">
      <c r="A320" s="43" t="str">
        <f t="shared" si="0"/>
        <v/>
      </c>
      <c r="B320" s="35"/>
      <c r="C320" s="38" t="s">
        <v>265</v>
      </c>
      <c r="D320" s="55" t="str">
        <f t="shared" ref="D320:E320" si="103">D$316</f>
        <v>Critical</v>
      </c>
      <c r="E320" s="55" t="str">
        <f t="shared" si="103"/>
        <v>Phase 1</v>
      </c>
      <c r="F320" s="40"/>
      <c r="G320" s="35"/>
      <c r="H320" s="41" t="str">
        <f ca="1"/>
        <v/>
      </c>
      <c r="I320" s="42"/>
      <c r="J320" s="42"/>
      <c r="K320" s="42"/>
      <c r="L320" s="42"/>
      <c r="M320" s="42"/>
      <c r="N320" s="42"/>
      <c r="O320" s="42"/>
      <c r="P320" s="42"/>
      <c r="Q320" s="42"/>
      <c r="R320" s="42"/>
      <c r="S320" s="42"/>
      <c r="T320" s="42"/>
      <c r="U320" s="42"/>
      <c r="V320" s="42"/>
      <c r="W320" s="42"/>
      <c r="X320" s="42"/>
      <c r="Y320" s="42"/>
      <c r="Z320" s="42"/>
      <c r="AA320" s="42"/>
      <c r="AB320" s="42"/>
      <c r="AC320" s="42"/>
    </row>
    <row r="321" spans="1:29" x14ac:dyDescent="0.25">
      <c r="A321" s="43" t="str">
        <f t="shared" si="0"/>
        <v/>
      </c>
      <c r="B321" s="35"/>
      <c r="C321" s="38" t="s">
        <v>266</v>
      </c>
      <c r="D321" s="55" t="str">
        <f t="shared" ref="D321:E321" si="104">D$316</f>
        <v>Critical</v>
      </c>
      <c r="E321" s="55" t="str">
        <f t="shared" si="104"/>
        <v>Phase 1</v>
      </c>
      <c r="F321" s="40"/>
      <c r="G321" s="35"/>
      <c r="H321" s="41" t="str">
        <f ca="1"/>
        <v/>
      </c>
      <c r="I321" s="42"/>
      <c r="J321" s="42"/>
      <c r="K321" s="42"/>
      <c r="L321" s="42"/>
      <c r="M321" s="42"/>
      <c r="N321" s="42"/>
      <c r="O321" s="42"/>
      <c r="P321" s="42"/>
      <c r="Q321" s="42"/>
      <c r="R321" s="42"/>
      <c r="S321" s="42"/>
      <c r="T321" s="42"/>
      <c r="U321" s="42"/>
      <c r="V321" s="42"/>
      <c r="W321" s="42"/>
      <c r="X321" s="42"/>
      <c r="Y321" s="42"/>
      <c r="Z321" s="42"/>
      <c r="AA321" s="42"/>
      <c r="AB321" s="42"/>
      <c r="AC321" s="42"/>
    </row>
    <row r="322" spans="1:29" x14ac:dyDescent="0.25">
      <c r="A322" s="43" t="str">
        <f t="shared" si="0"/>
        <v/>
      </c>
      <c r="B322" s="35"/>
      <c r="C322" s="38" t="s">
        <v>267</v>
      </c>
      <c r="D322" s="55" t="str">
        <f t="shared" ref="D322:E322" si="105">D$316</f>
        <v>Critical</v>
      </c>
      <c r="E322" s="55" t="str">
        <f t="shared" si="105"/>
        <v>Phase 1</v>
      </c>
      <c r="F322" s="40"/>
      <c r="G322" s="35"/>
      <c r="H322" s="41" t="str">
        <f ca="1"/>
        <v/>
      </c>
      <c r="I322" s="42"/>
      <c r="J322" s="42"/>
      <c r="K322" s="42"/>
      <c r="L322" s="42"/>
      <c r="M322" s="42"/>
      <c r="N322" s="42"/>
      <c r="O322" s="42"/>
      <c r="P322" s="42"/>
      <c r="Q322" s="42"/>
      <c r="R322" s="42"/>
      <c r="S322" s="42"/>
      <c r="T322" s="42"/>
      <c r="U322" s="42"/>
      <c r="V322" s="42"/>
      <c r="W322" s="42"/>
      <c r="X322" s="42"/>
      <c r="Y322" s="42"/>
      <c r="Z322" s="42"/>
      <c r="AA322" s="42"/>
      <c r="AB322" s="42"/>
      <c r="AC322" s="42"/>
    </row>
    <row r="323" spans="1:29" x14ac:dyDescent="0.25">
      <c r="A323" s="43" t="str">
        <f t="shared" si="0"/>
        <v/>
      </c>
      <c r="B323" s="35"/>
      <c r="C323" s="35"/>
      <c r="D323" s="41"/>
      <c r="E323" s="41"/>
      <c r="F323" s="40"/>
      <c r="G323" s="35"/>
      <c r="H323" s="41" t="str">
        <f ca="1"/>
        <v/>
      </c>
      <c r="I323" s="42"/>
      <c r="J323" s="42"/>
      <c r="K323" s="42"/>
      <c r="L323" s="42"/>
      <c r="M323" s="42"/>
      <c r="N323" s="42"/>
      <c r="O323" s="42"/>
      <c r="P323" s="42"/>
      <c r="Q323" s="42"/>
      <c r="R323" s="42"/>
      <c r="S323" s="42"/>
      <c r="T323" s="42"/>
      <c r="U323" s="42"/>
      <c r="V323" s="42"/>
      <c r="W323" s="42"/>
      <c r="X323" s="42"/>
      <c r="Y323" s="42"/>
      <c r="Z323" s="42"/>
      <c r="AA323" s="42"/>
      <c r="AB323" s="42"/>
      <c r="AC323" s="42"/>
    </row>
    <row r="324" spans="1:29" x14ac:dyDescent="0.25">
      <c r="A324" s="43" t="e">
        <f t="shared" ca="1" si="0"/>
        <v>#NAME?</v>
      </c>
      <c r="B324" s="44" t="s">
        <v>268</v>
      </c>
      <c r="C324" s="45"/>
      <c r="D324" s="46" t="str">
        <f t="shared" ref="D324:E324" si="106">D$66</f>
        <v>Medium</v>
      </c>
      <c r="E324" s="46" t="str">
        <f t="shared" si="106"/>
        <v>Phase 1</v>
      </c>
      <c r="F324" s="40"/>
      <c r="G324" s="35" t="e">
        <f ca="1">"- "&amp;_xludf.textjoin("
- ",TRUE,$C325:$C330)</f>
        <v>#NAME?</v>
      </c>
      <c r="H324" s="41" t="e">
        <f ca="1"/>
        <v>#NAME?</v>
      </c>
      <c r="I324" s="42"/>
      <c r="J324" s="42"/>
      <c r="K324" s="42"/>
      <c r="L324" s="42"/>
      <c r="M324" s="42"/>
      <c r="N324" s="42"/>
      <c r="O324" s="42"/>
      <c r="P324" s="42"/>
      <c r="Q324" s="42"/>
      <c r="R324" s="42"/>
      <c r="S324" s="42"/>
      <c r="T324" s="42"/>
      <c r="U324" s="42"/>
      <c r="V324" s="42"/>
      <c r="W324" s="42"/>
      <c r="X324" s="42"/>
      <c r="Y324" s="42"/>
      <c r="Z324" s="42"/>
      <c r="AA324" s="42"/>
      <c r="AB324" s="42"/>
      <c r="AC324" s="42"/>
    </row>
    <row r="325" spans="1:29" x14ac:dyDescent="0.25">
      <c r="A325" s="43" t="str">
        <f t="shared" si="0"/>
        <v/>
      </c>
      <c r="B325" s="35"/>
      <c r="C325" s="38" t="s">
        <v>269</v>
      </c>
      <c r="D325" s="55" t="str">
        <f t="shared" ref="D325:E325" si="107">D$324</f>
        <v>Medium</v>
      </c>
      <c r="E325" s="55" t="str">
        <f t="shared" si="107"/>
        <v>Phase 1</v>
      </c>
      <c r="F325" s="40"/>
      <c r="G325" s="35"/>
      <c r="H325" s="41" t="str">
        <f ca="1"/>
        <v/>
      </c>
      <c r="I325" s="42"/>
      <c r="J325" s="42"/>
      <c r="K325" s="42"/>
      <c r="L325" s="42"/>
      <c r="M325" s="42"/>
      <c r="N325" s="42"/>
      <c r="O325" s="42"/>
      <c r="P325" s="42"/>
      <c r="Q325" s="42"/>
      <c r="R325" s="42"/>
      <c r="S325" s="42"/>
      <c r="T325" s="42"/>
      <c r="U325" s="42"/>
      <c r="V325" s="42"/>
      <c r="W325" s="42"/>
      <c r="X325" s="42"/>
      <c r="Y325" s="42"/>
      <c r="Z325" s="42"/>
      <c r="AA325" s="42"/>
      <c r="AB325" s="42"/>
      <c r="AC325" s="42"/>
    </row>
    <row r="326" spans="1:29" x14ac:dyDescent="0.25">
      <c r="A326" s="43" t="str">
        <f t="shared" si="0"/>
        <v/>
      </c>
      <c r="B326" s="35"/>
      <c r="C326" s="35"/>
      <c r="D326" s="41"/>
      <c r="E326" s="41"/>
      <c r="F326" s="40"/>
      <c r="G326" s="35"/>
      <c r="H326" s="41" t="str">
        <f ca="1"/>
        <v/>
      </c>
      <c r="I326" s="42"/>
      <c r="J326" s="42"/>
      <c r="K326" s="42"/>
      <c r="L326" s="42"/>
      <c r="M326" s="42"/>
      <c r="N326" s="42"/>
      <c r="O326" s="42"/>
      <c r="P326" s="42"/>
      <c r="Q326" s="42"/>
      <c r="R326" s="42"/>
      <c r="S326" s="42"/>
      <c r="T326" s="42"/>
      <c r="U326" s="42"/>
      <c r="V326" s="42"/>
      <c r="W326" s="42"/>
      <c r="X326" s="42"/>
      <c r="Y326" s="42"/>
      <c r="Z326" s="42"/>
      <c r="AA326" s="42"/>
      <c r="AB326" s="42"/>
      <c r="AC326" s="42"/>
    </row>
    <row r="327" spans="1:29" x14ac:dyDescent="0.25">
      <c r="A327" s="43" t="str">
        <f t="shared" si="0"/>
        <v/>
      </c>
      <c r="B327" s="35"/>
      <c r="C327" s="35"/>
      <c r="D327" s="41"/>
      <c r="E327" s="41"/>
      <c r="F327" s="40"/>
      <c r="G327" s="35"/>
      <c r="H327" s="41" t="str">
        <f ca="1"/>
        <v/>
      </c>
      <c r="I327" s="42"/>
      <c r="J327" s="42"/>
      <c r="K327" s="42"/>
      <c r="L327" s="42"/>
      <c r="M327" s="42"/>
      <c r="N327" s="42"/>
      <c r="O327" s="42"/>
      <c r="P327" s="42"/>
      <c r="Q327" s="42"/>
      <c r="R327" s="42"/>
      <c r="S327" s="42"/>
      <c r="T327" s="42"/>
      <c r="U327" s="42"/>
      <c r="V327" s="42"/>
      <c r="W327" s="42"/>
      <c r="X327" s="42"/>
      <c r="Y327" s="42"/>
      <c r="Z327" s="42"/>
      <c r="AA327" s="42"/>
      <c r="AB327" s="42"/>
      <c r="AC327" s="42"/>
    </row>
    <row r="328" spans="1:29" x14ac:dyDescent="0.25">
      <c r="A328" s="43" t="str">
        <f t="shared" si="0"/>
        <v/>
      </c>
      <c r="B328" s="35"/>
      <c r="C328" s="35"/>
      <c r="D328" s="41"/>
      <c r="E328" s="41"/>
      <c r="F328" s="40"/>
      <c r="G328" s="35"/>
      <c r="H328" s="41" t="str">
        <f ca="1"/>
        <v/>
      </c>
      <c r="I328" s="42"/>
      <c r="J328" s="42"/>
      <c r="K328" s="42"/>
      <c r="L328" s="42"/>
      <c r="M328" s="42"/>
      <c r="N328" s="42"/>
      <c r="O328" s="42"/>
      <c r="P328" s="42"/>
      <c r="Q328" s="42"/>
      <c r="R328" s="42"/>
      <c r="S328" s="42"/>
      <c r="T328" s="42"/>
      <c r="U328" s="42"/>
      <c r="V328" s="42"/>
      <c r="W328" s="42"/>
      <c r="X328" s="42"/>
      <c r="Y328" s="42"/>
      <c r="Z328" s="42"/>
      <c r="AA328" s="42"/>
      <c r="AB328" s="42"/>
      <c r="AC328" s="42"/>
    </row>
    <row r="329" spans="1:29" x14ac:dyDescent="0.25">
      <c r="A329" s="43" t="str">
        <f t="shared" si="0"/>
        <v/>
      </c>
      <c r="B329" s="35"/>
      <c r="C329" s="35"/>
      <c r="D329" s="41"/>
      <c r="E329" s="41"/>
      <c r="F329" s="40"/>
      <c r="G329" s="35"/>
      <c r="H329" s="41" t="str">
        <f ca="1"/>
        <v/>
      </c>
      <c r="I329" s="42"/>
      <c r="J329" s="42"/>
      <c r="K329" s="42"/>
      <c r="L329" s="42"/>
      <c r="M329" s="42"/>
      <c r="N329" s="42"/>
      <c r="O329" s="42"/>
      <c r="P329" s="42"/>
      <c r="Q329" s="42"/>
      <c r="R329" s="42"/>
      <c r="S329" s="42"/>
      <c r="T329" s="42"/>
      <c r="U329" s="42"/>
      <c r="V329" s="42"/>
      <c r="W329" s="42"/>
      <c r="X329" s="42"/>
      <c r="Y329" s="42"/>
      <c r="Z329" s="42"/>
      <c r="AA329" s="42"/>
      <c r="AB329" s="42"/>
      <c r="AC329" s="42"/>
    </row>
    <row r="330" spans="1:29" x14ac:dyDescent="0.25">
      <c r="A330" s="43" t="str">
        <f t="shared" si="0"/>
        <v/>
      </c>
      <c r="B330" s="35"/>
      <c r="C330" s="35"/>
      <c r="D330" s="41"/>
      <c r="E330" s="41"/>
      <c r="F330" s="40"/>
      <c r="G330" s="35"/>
      <c r="H330" s="41" t="str">
        <f ca="1"/>
        <v/>
      </c>
      <c r="I330" s="42"/>
      <c r="J330" s="42"/>
      <c r="K330" s="42"/>
      <c r="L330" s="42"/>
      <c r="M330" s="42"/>
      <c r="N330" s="42"/>
      <c r="O330" s="42"/>
      <c r="P330" s="42"/>
      <c r="Q330" s="42"/>
      <c r="R330" s="42"/>
      <c r="S330" s="42"/>
      <c r="T330" s="42"/>
      <c r="U330" s="42"/>
      <c r="V330" s="42"/>
      <c r="W330" s="42"/>
      <c r="X330" s="42"/>
      <c r="Y330" s="42"/>
      <c r="Z330" s="42"/>
      <c r="AA330" s="42"/>
      <c r="AB330" s="42"/>
      <c r="AC330" s="42"/>
    </row>
    <row r="331" spans="1:29" x14ac:dyDescent="0.25">
      <c r="A331" s="43" t="str">
        <f t="shared" si="0"/>
        <v/>
      </c>
      <c r="B331" s="35"/>
      <c r="C331" s="35"/>
      <c r="D331" s="41"/>
      <c r="E331" s="41"/>
      <c r="F331" s="40"/>
      <c r="G331" s="35"/>
      <c r="H331" s="41" t="str">
        <f ca="1"/>
        <v/>
      </c>
      <c r="I331" s="42"/>
      <c r="J331" s="42"/>
      <c r="K331" s="42"/>
      <c r="L331" s="42"/>
      <c r="M331" s="42"/>
      <c r="N331" s="42"/>
      <c r="O331" s="42"/>
      <c r="P331" s="42"/>
      <c r="Q331" s="42"/>
      <c r="R331" s="42"/>
      <c r="S331" s="42"/>
      <c r="T331" s="42"/>
      <c r="U331" s="42"/>
      <c r="V331" s="42"/>
      <c r="W331" s="42"/>
      <c r="X331" s="42"/>
      <c r="Y331" s="42"/>
      <c r="Z331" s="42"/>
      <c r="AA331" s="42"/>
      <c r="AB331" s="42"/>
      <c r="AC331" s="42"/>
    </row>
    <row r="332" spans="1:29" x14ac:dyDescent="0.25">
      <c r="A332" s="43" t="e">
        <f t="shared" ca="1" si="0"/>
        <v>#NAME?</v>
      </c>
      <c r="B332" s="44" t="s">
        <v>270</v>
      </c>
      <c r="C332" s="45"/>
      <c r="D332" s="39" t="s">
        <v>38</v>
      </c>
      <c r="E332" s="39" t="s">
        <v>54</v>
      </c>
      <c r="F332" s="40"/>
      <c r="G332" s="35" t="e">
        <f ca="1">"- "&amp;_xludf.textjoin("
- ",TRUE,$C333:$C338)</f>
        <v>#NAME?</v>
      </c>
      <c r="H332" s="41" t="e">
        <f ca="1"/>
        <v>#NAME?</v>
      </c>
      <c r="I332" s="42"/>
      <c r="J332" s="42"/>
      <c r="K332" s="42"/>
      <c r="L332" s="42"/>
      <c r="M332" s="42"/>
      <c r="N332" s="42"/>
      <c r="O332" s="42"/>
      <c r="P332" s="42"/>
      <c r="Q332" s="42"/>
      <c r="R332" s="42"/>
      <c r="S332" s="42"/>
      <c r="T332" s="42"/>
      <c r="U332" s="42"/>
      <c r="V332" s="42"/>
      <c r="W332" s="42"/>
      <c r="X332" s="42"/>
      <c r="Y332" s="42"/>
      <c r="Z332" s="42"/>
      <c r="AA332" s="42"/>
      <c r="AB332" s="42"/>
      <c r="AC332" s="42"/>
    </row>
    <row r="333" spans="1:29" x14ac:dyDescent="0.25">
      <c r="A333" s="43" t="str">
        <f t="shared" si="0"/>
        <v/>
      </c>
      <c r="B333" s="35"/>
      <c r="C333" s="38" t="s">
        <v>271</v>
      </c>
      <c r="D333" s="41" t="str">
        <f t="shared" ref="D333:E333" si="108">D$332</f>
        <v>High</v>
      </c>
      <c r="E333" s="41" t="str">
        <f t="shared" si="108"/>
        <v>Phase 1</v>
      </c>
      <c r="F333" s="40"/>
      <c r="G333" s="35"/>
      <c r="H333" s="41" t="str">
        <f ca="1"/>
        <v/>
      </c>
      <c r="I333" s="42"/>
      <c r="J333" s="42"/>
      <c r="K333" s="42"/>
      <c r="L333" s="42"/>
      <c r="M333" s="42"/>
      <c r="N333" s="42"/>
      <c r="O333" s="42"/>
      <c r="P333" s="42"/>
      <c r="Q333" s="42"/>
      <c r="R333" s="42"/>
      <c r="S333" s="42"/>
      <c r="T333" s="42"/>
      <c r="U333" s="42"/>
      <c r="V333" s="42"/>
      <c r="W333" s="42"/>
      <c r="X333" s="42"/>
      <c r="Y333" s="42"/>
      <c r="Z333" s="42"/>
      <c r="AA333" s="42"/>
      <c r="AB333" s="42"/>
      <c r="AC333" s="42"/>
    </row>
    <row r="334" spans="1:29" x14ac:dyDescent="0.25">
      <c r="A334" s="43" t="str">
        <f t="shared" si="0"/>
        <v/>
      </c>
      <c r="B334" s="35"/>
      <c r="C334" s="38" t="s">
        <v>272</v>
      </c>
      <c r="D334" s="39" t="s">
        <v>40</v>
      </c>
      <c r="E334" s="39" t="s">
        <v>54</v>
      </c>
      <c r="F334" s="40"/>
      <c r="G334" s="35"/>
      <c r="H334" s="41" t="str">
        <f ca="1"/>
        <v/>
      </c>
      <c r="I334" s="42"/>
      <c r="J334" s="42"/>
      <c r="K334" s="42"/>
      <c r="L334" s="42"/>
      <c r="M334" s="42"/>
      <c r="N334" s="42"/>
      <c r="O334" s="42"/>
      <c r="P334" s="42"/>
      <c r="Q334" s="42"/>
      <c r="R334" s="42"/>
      <c r="S334" s="42"/>
      <c r="T334" s="42"/>
      <c r="U334" s="42"/>
      <c r="V334" s="42"/>
      <c r="W334" s="42"/>
      <c r="X334" s="42"/>
      <c r="Y334" s="42"/>
      <c r="Z334" s="42"/>
      <c r="AA334" s="42"/>
      <c r="AB334" s="42"/>
      <c r="AC334" s="42"/>
    </row>
    <row r="335" spans="1:29" x14ac:dyDescent="0.25">
      <c r="A335" s="43" t="str">
        <f t="shared" si="0"/>
        <v/>
      </c>
      <c r="B335" s="35"/>
      <c r="C335" s="35"/>
      <c r="D335" s="41"/>
      <c r="E335" s="41"/>
      <c r="F335" s="40"/>
      <c r="G335" s="35"/>
      <c r="H335" s="41" t="str">
        <f ca="1"/>
        <v/>
      </c>
      <c r="I335" s="42"/>
      <c r="J335" s="42"/>
      <c r="K335" s="42"/>
      <c r="L335" s="42"/>
      <c r="M335" s="42"/>
      <c r="N335" s="42"/>
      <c r="O335" s="42"/>
      <c r="P335" s="42"/>
      <c r="Q335" s="42"/>
      <c r="R335" s="42"/>
      <c r="S335" s="42"/>
      <c r="T335" s="42"/>
      <c r="U335" s="42"/>
      <c r="V335" s="42"/>
      <c r="W335" s="42"/>
      <c r="X335" s="42"/>
      <c r="Y335" s="42"/>
      <c r="Z335" s="42"/>
      <c r="AA335" s="42"/>
      <c r="AB335" s="42"/>
      <c r="AC335" s="42"/>
    </row>
    <row r="336" spans="1:29" x14ac:dyDescent="0.25">
      <c r="A336" s="43" t="str">
        <f t="shared" si="0"/>
        <v/>
      </c>
      <c r="B336" s="35"/>
      <c r="C336" s="35"/>
      <c r="D336" s="41"/>
      <c r="E336" s="41"/>
      <c r="F336" s="40"/>
      <c r="G336" s="35"/>
      <c r="H336" s="41" t="str">
        <f ca="1"/>
        <v/>
      </c>
      <c r="I336" s="42"/>
      <c r="J336" s="42"/>
      <c r="K336" s="42"/>
      <c r="L336" s="42"/>
      <c r="M336" s="42"/>
      <c r="N336" s="42"/>
      <c r="O336" s="42"/>
      <c r="P336" s="42"/>
      <c r="Q336" s="42"/>
      <c r="R336" s="42"/>
      <c r="S336" s="42"/>
      <c r="T336" s="42"/>
      <c r="U336" s="42"/>
      <c r="V336" s="42"/>
      <c r="W336" s="42"/>
      <c r="X336" s="42"/>
      <c r="Y336" s="42"/>
      <c r="Z336" s="42"/>
      <c r="AA336" s="42"/>
      <c r="AB336" s="42"/>
      <c r="AC336" s="42"/>
    </row>
    <row r="337" spans="1:29" x14ac:dyDescent="0.25">
      <c r="A337" s="43" t="str">
        <f t="shared" si="0"/>
        <v/>
      </c>
      <c r="B337" s="35"/>
      <c r="C337" s="35"/>
      <c r="D337" s="41"/>
      <c r="E337" s="41"/>
      <c r="F337" s="40"/>
      <c r="G337" s="35"/>
      <c r="H337" s="41" t="str">
        <f ca="1"/>
        <v/>
      </c>
      <c r="I337" s="42"/>
      <c r="J337" s="42"/>
      <c r="K337" s="42"/>
      <c r="L337" s="42"/>
      <c r="M337" s="42"/>
      <c r="N337" s="42"/>
      <c r="O337" s="42"/>
      <c r="P337" s="42"/>
      <c r="Q337" s="42"/>
      <c r="R337" s="42"/>
      <c r="S337" s="42"/>
      <c r="T337" s="42"/>
      <c r="U337" s="42"/>
      <c r="V337" s="42"/>
      <c r="W337" s="42"/>
      <c r="X337" s="42"/>
      <c r="Y337" s="42"/>
      <c r="Z337" s="42"/>
      <c r="AA337" s="42"/>
      <c r="AB337" s="42"/>
      <c r="AC337" s="42"/>
    </row>
    <row r="338" spans="1:29" x14ac:dyDescent="0.25">
      <c r="A338" s="43" t="str">
        <f t="shared" si="0"/>
        <v/>
      </c>
      <c r="B338" s="35"/>
      <c r="C338" s="35"/>
      <c r="D338" s="41"/>
      <c r="E338" s="41"/>
      <c r="F338" s="40"/>
      <c r="G338" s="35"/>
      <c r="H338" s="41" t="str">
        <f ca="1"/>
        <v/>
      </c>
      <c r="I338" s="42"/>
      <c r="J338" s="42"/>
      <c r="K338" s="42"/>
      <c r="L338" s="42"/>
      <c r="M338" s="42"/>
      <c r="N338" s="42"/>
      <c r="O338" s="42"/>
      <c r="P338" s="42"/>
      <c r="Q338" s="42"/>
      <c r="R338" s="42"/>
      <c r="S338" s="42"/>
      <c r="T338" s="42"/>
      <c r="U338" s="42"/>
      <c r="V338" s="42"/>
      <c r="W338" s="42"/>
      <c r="X338" s="42"/>
      <c r="Y338" s="42"/>
      <c r="Z338" s="42"/>
      <c r="AA338" s="42"/>
      <c r="AB338" s="42"/>
      <c r="AC338" s="42"/>
    </row>
    <row r="339" spans="1:29" x14ac:dyDescent="0.25">
      <c r="A339" s="43" t="str">
        <f t="shared" si="0"/>
        <v/>
      </c>
      <c r="B339" s="35"/>
      <c r="C339" s="35"/>
      <c r="D339" s="41"/>
      <c r="E339" s="41"/>
      <c r="F339" s="40"/>
      <c r="G339" s="35"/>
      <c r="H339" s="41" t="str">
        <f ca="1"/>
        <v/>
      </c>
      <c r="I339" s="42"/>
      <c r="J339" s="42"/>
      <c r="K339" s="42"/>
      <c r="L339" s="42"/>
      <c r="M339" s="42"/>
      <c r="N339" s="42"/>
      <c r="O339" s="42"/>
      <c r="P339" s="42"/>
      <c r="Q339" s="42"/>
      <c r="R339" s="42"/>
      <c r="S339" s="42"/>
      <c r="T339" s="42"/>
      <c r="U339" s="42"/>
      <c r="V339" s="42"/>
      <c r="W339" s="42"/>
      <c r="X339" s="42"/>
      <c r="Y339" s="42"/>
      <c r="Z339" s="42"/>
      <c r="AA339" s="42"/>
      <c r="AB339" s="42"/>
      <c r="AC339" s="42"/>
    </row>
    <row r="340" spans="1:29" x14ac:dyDescent="0.25">
      <c r="A340" s="43" t="str">
        <f t="shared" si="0"/>
        <v/>
      </c>
      <c r="B340" s="35"/>
      <c r="C340" s="35"/>
      <c r="D340" s="41"/>
      <c r="E340" s="41"/>
      <c r="F340" s="40"/>
      <c r="G340" s="35"/>
      <c r="H340" s="41" t="str">
        <f ca="1"/>
        <v/>
      </c>
      <c r="I340" s="42"/>
      <c r="J340" s="42"/>
      <c r="K340" s="42"/>
      <c r="L340" s="42"/>
      <c r="M340" s="42"/>
      <c r="N340" s="42"/>
      <c r="O340" s="42"/>
      <c r="P340" s="42"/>
      <c r="Q340" s="42"/>
      <c r="R340" s="42"/>
      <c r="S340" s="42"/>
      <c r="T340" s="42"/>
      <c r="U340" s="42"/>
      <c r="V340" s="42"/>
      <c r="W340" s="42"/>
      <c r="X340" s="42"/>
      <c r="Y340" s="42"/>
      <c r="Z340" s="42"/>
      <c r="AA340" s="42"/>
      <c r="AB340" s="42"/>
      <c r="AC340" s="42"/>
    </row>
    <row r="341" spans="1:29" x14ac:dyDescent="0.25">
      <c r="A341" s="43" t="str">
        <f t="shared" si="0"/>
        <v/>
      </c>
      <c r="B341" s="35"/>
      <c r="C341" s="35"/>
      <c r="D341" s="41"/>
      <c r="E341" s="41"/>
      <c r="F341" s="40"/>
      <c r="G341" s="35"/>
      <c r="H341" s="41" t="str">
        <f ca="1"/>
        <v/>
      </c>
      <c r="I341" s="42"/>
      <c r="J341" s="42"/>
      <c r="K341" s="42"/>
      <c r="L341" s="42"/>
      <c r="M341" s="42"/>
      <c r="N341" s="42"/>
      <c r="O341" s="42"/>
      <c r="P341" s="42"/>
      <c r="Q341" s="42"/>
      <c r="R341" s="42"/>
      <c r="S341" s="42"/>
      <c r="T341" s="42"/>
      <c r="U341" s="42"/>
      <c r="V341" s="42"/>
      <c r="W341" s="42"/>
      <c r="X341" s="42"/>
      <c r="Y341" s="42"/>
      <c r="Z341" s="42"/>
      <c r="AA341" s="42"/>
      <c r="AB341" s="42"/>
      <c r="AC341" s="42"/>
    </row>
    <row r="342" spans="1:29" x14ac:dyDescent="0.25">
      <c r="A342" s="43" t="str">
        <f t="shared" si="0"/>
        <v/>
      </c>
      <c r="B342" s="35"/>
      <c r="C342" s="35"/>
      <c r="D342" s="41"/>
      <c r="E342" s="41"/>
      <c r="F342" s="40"/>
      <c r="G342" s="35"/>
      <c r="H342" s="41" t="str">
        <f ca="1"/>
        <v/>
      </c>
      <c r="I342" s="42"/>
      <c r="J342" s="42"/>
      <c r="K342" s="42"/>
      <c r="L342" s="42"/>
      <c r="M342" s="42"/>
      <c r="N342" s="42"/>
      <c r="O342" s="42"/>
      <c r="P342" s="42"/>
      <c r="Q342" s="42"/>
      <c r="R342" s="42"/>
      <c r="S342" s="42"/>
      <c r="T342" s="42"/>
      <c r="U342" s="42"/>
      <c r="V342" s="42"/>
      <c r="W342" s="42"/>
      <c r="X342" s="42"/>
      <c r="Y342" s="42"/>
      <c r="Z342" s="42"/>
      <c r="AA342" s="42"/>
      <c r="AB342" s="42"/>
      <c r="AC342" s="42"/>
    </row>
    <row r="343" spans="1:29" x14ac:dyDescent="0.25">
      <c r="A343" s="42"/>
      <c r="B343" s="35"/>
      <c r="C343" s="35"/>
      <c r="D343" s="41"/>
      <c r="E343" s="41"/>
      <c r="F343" s="40"/>
      <c r="G343" s="35"/>
      <c r="H343" s="41"/>
      <c r="I343" s="42"/>
      <c r="J343" s="42"/>
      <c r="K343" s="42"/>
      <c r="L343" s="42"/>
      <c r="M343" s="42"/>
      <c r="N343" s="42"/>
      <c r="O343" s="42"/>
      <c r="P343" s="42"/>
      <c r="Q343" s="42"/>
      <c r="R343" s="42"/>
      <c r="S343" s="42"/>
      <c r="T343" s="42"/>
      <c r="U343" s="42"/>
      <c r="V343" s="42"/>
      <c r="W343" s="42"/>
      <c r="X343" s="42"/>
      <c r="Y343" s="42"/>
      <c r="Z343" s="42"/>
      <c r="AA343" s="42"/>
      <c r="AB343" s="42"/>
      <c r="AC343" s="42"/>
    </row>
    <row r="344" spans="1:29" x14ac:dyDescent="0.25">
      <c r="A344" s="42"/>
      <c r="B344" s="35"/>
      <c r="C344" s="35"/>
      <c r="D344" s="41"/>
      <c r="E344" s="41"/>
      <c r="F344" s="40"/>
      <c r="G344" s="35"/>
      <c r="H344" s="41"/>
      <c r="I344" s="42"/>
      <c r="J344" s="42"/>
      <c r="K344" s="42"/>
      <c r="L344" s="42"/>
      <c r="M344" s="42"/>
      <c r="N344" s="42"/>
      <c r="O344" s="42"/>
      <c r="P344" s="42"/>
      <c r="Q344" s="42"/>
      <c r="R344" s="42"/>
      <c r="S344" s="42"/>
      <c r="T344" s="42"/>
      <c r="U344" s="42"/>
      <c r="V344" s="42"/>
      <c r="W344" s="42"/>
      <c r="X344" s="42"/>
      <c r="Y344" s="42"/>
      <c r="Z344" s="42"/>
      <c r="AA344" s="42"/>
      <c r="AB344" s="42"/>
      <c r="AC344" s="42"/>
    </row>
    <row r="345" spans="1:29" x14ac:dyDescent="0.25">
      <c r="A345" s="42"/>
      <c r="B345" s="35"/>
      <c r="C345" s="35"/>
      <c r="D345" s="41"/>
      <c r="E345" s="41"/>
      <c r="F345" s="40"/>
      <c r="G345" s="35"/>
      <c r="H345" s="41"/>
      <c r="I345" s="42"/>
      <c r="J345" s="42"/>
      <c r="K345" s="42"/>
      <c r="L345" s="42"/>
      <c r="M345" s="42"/>
      <c r="N345" s="42"/>
      <c r="O345" s="42"/>
      <c r="P345" s="42"/>
      <c r="Q345" s="42"/>
      <c r="R345" s="42"/>
      <c r="S345" s="42"/>
      <c r="T345" s="42"/>
      <c r="U345" s="42"/>
      <c r="V345" s="42"/>
      <c r="W345" s="42"/>
      <c r="X345" s="42"/>
      <c r="Y345" s="42"/>
      <c r="Z345" s="42"/>
      <c r="AA345" s="42"/>
      <c r="AB345" s="42"/>
      <c r="AC345" s="42"/>
    </row>
    <row r="346" spans="1:29" x14ac:dyDescent="0.25">
      <c r="A346" s="42"/>
      <c r="B346" s="35"/>
      <c r="C346" s="35"/>
      <c r="D346" s="41"/>
      <c r="E346" s="41"/>
      <c r="F346" s="40"/>
      <c r="G346" s="35"/>
      <c r="H346" s="41"/>
      <c r="I346" s="42"/>
      <c r="J346" s="42"/>
      <c r="K346" s="42"/>
      <c r="L346" s="42"/>
      <c r="M346" s="42"/>
      <c r="N346" s="42"/>
      <c r="O346" s="42"/>
      <c r="P346" s="42"/>
      <c r="Q346" s="42"/>
      <c r="R346" s="42"/>
      <c r="S346" s="42"/>
      <c r="T346" s="42"/>
      <c r="U346" s="42"/>
      <c r="V346" s="42"/>
      <c r="W346" s="42"/>
      <c r="X346" s="42"/>
      <c r="Y346" s="42"/>
      <c r="Z346" s="42"/>
      <c r="AA346" s="42"/>
      <c r="AB346" s="42"/>
      <c r="AC346" s="42"/>
    </row>
    <row r="347" spans="1:29" x14ac:dyDescent="0.25">
      <c r="A347" s="42"/>
      <c r="B347" s="35"/>
      <c r="C347" s="35"/>
      <c r="D347" s="41"/>
      <c r="E347" s="41"/>
      <c r="F347" s="40"/>
      <c r="G347" s="35"/>
      <c r="H347" s="41"/>
      <c r="I347" s="42"/>
      <c r="J347" s="42"/>
      <c r="K347" s="42"/>
      <c r="L347" s="42"/>
      <c r="M347" s="42"/>
      <c r="N347" s="42"/>
      <c r="O347" s="42"/>
      <c r="P347" s="42"/>
      <c r="Q347" s="42"/>
      <c r="R347" s="42"/>
      <c r="S347" s="42"/>
      <c r="T347" s="42"/>
      <c r="U347" s="42"/>
      <c r="V347" s="42"/>
      <c r="W347" s="42"/>
      <c r="X347" s="42"/>
      <c r="Y347" s="42"/>
      <c r="Z347" s="42"/>
      <c r="AA347" s="42"/>
      <c r="AB347" s="42"/>
      <c r="AC347" s="42"/>
    </row>
    <row r="348" spans="1:29" x14ac:dyDescent="0.25">
      <c r="A348" s="42"/>
      <c r="B348" s="35"/>
      <c r="C348" s="35"/>
      <c r="D348" s="41"/>
      <c r="E348" s="41"/>
      <c r="F348" s="40"/>
      <c r="G348" s="35"/>
      <c r="H348" s="41"/>
      <c r="I348" s="42"/>
      <c r="J348" s="42"/>
      <c r="K348" s="42"/>
      <c r="L348" s="42"/>
      <c r="M348" s="42"/>
      <c r="N348" s="42"/>
      <c r="O348" s="42"/>
      <c r="P348" s="42"/>
      <c r="Q348" s="42"/>
      <c r="R348" s="42"/>
      <c r="S348" s="42"/>
      <c r="T348" s="42"/>
      <c r="U348" s="42"/>
      <c r="V348" s="42"/>
      <c r="W348" s="42"/>
      <c r="X348" s="42"/>
      <c r="Y348" s="42"/>
      <c r="Z348" s="42"/>
      <c r="AA348" s="42"/>
      <c r="AB348" s="42"/>
      <c r="AC348" s="42"/>
    </row>
    <row r="349" spans="1:29" x14ac:dyDescent="0.25">
      <c r="A349" s="42"/>
      <c r="B349" s="35"/>
      <c r="C349" s="35"/>
      <c r="D349" s="41"/>
      <c r="E349" s="41"/>
      <c r="F349" s="40"/>
      <c r="G349" s="35"/>
      <c r="H349" s="41"/>
      <c r="I349" s="42"/>
      <c r="J349" s="42"/>
      <c r="K349" s="42"/>
      <c r="L349" s="42"/>
      <c r="M349" s="42"/>
      <c r="N349" s="42"/>
      <c r="O349" s="42"/>
      <c r="P349" s="42"/>
      <c r="Q349" s="42"/>
      <c r="R349" s="42"/>
      <c r="S349" s="42"/>
      <c r="T349" s="42"/>
      <c r="U349" s="42"/>
      <c r="V349" s="42"/>
      <c r="W349" s="42"/>
      <c r="X349" s="42"/>
      <c r="Y349" s="42"/>
      <c r="Z349" s="42"/>
      <c r="AA349" s="42"/>
      <c r="AB349" s="42"/>
      <c r="AC349" s="42"/>
    </row>
    <row r="350" spans="1:29" x14ac:dyDescent="0.25">
      <c r="A350" s="42"/>
      <c r="B350" s="35"/>
      <c r="C350" s="35"/>
      <c r="D350" s="41"/>
      <c r="E350" s="41"/>
      <c r="F350" s="40"/>
      <c r="G350" s="35"/>
      <c r="H350" s="41"/>
      <c r="I350" s="42"/>
      <c r="J350" s="42"/>
      <c r="K350" s="42"/>
      <c r="L350" s="42"/>
      <c r="M350" s="42"/>
      <c r="N350" s="42"/>
      <c r="O350" s="42"/>
      <c r="P350" s="42"/>
      <c r="Q350" s="42"/>
      <c r="R350" s="42"/>
      <c r="S350" s="42"/>
      <c r="T350" s="42"/>
      <c r="U350" s="42"/>
      <c r="V350" s="42"/>
      <c r="W350" s="42"/>
      <c r="X350" s="42"/>
      <c r="Y350" s="42"/>
      <c r="Z350" s="42"/>
      <c r="AA350" s="42"/>
      <c r="AB350" s="42"/>
      <c r="AC350" s="42"/>
    </row>
    <row r="351" spans="1:29" x14ac:dyDescent="0.25">
      <c r="A351" s="42"/>
      <c r="B351" s="35"/>
      <c r="C351" s="35"/>
      <c r="D351" s="41"/>
      <c r="E351" s="41"/>
      <c r="F351" s="40"/>
      <c r="G351" s="35"/>
      <c r="H351" s="41"/>
      <c r="I351" s="42"/>
      <c r="J351" s="42"/>
      <c r="K351" s="42"/>
      <c r="L351" s="42"/>
      <c r="M351" s="42"/>
      <c r="N351" s="42"/>
      <c r="O351" s="42"/>
      <c r="P351" s="42"/>
      <c r="Q351" s="42"/>
      <c r="R351" s="42"/>
      <c r="S351" s="42"/>
      <c r="T351" s="42"/>
      <c r="U351" s="42"/>
      <c r="V351" s="42"/>
      <c r="W351" s="42"/>
      <c r="X351" s="42"/>
      <c r="Y351" s="42"/>
      <c r="Z351" s="42"/>
      <c r="AA351" s="42"/>
      <c r="AB351" s="42"/>
      <c r="AC351" s="42"/>
    </row>
    <row r="352" spans="1:29" x14ac:dyDescent="0.25">
      <c r="A352" s="42"/>
      <c r="B352" s="35"/>
      <c r="C352" s="35"/>
      <c r="D352" s="41"/>
      <c r="E352" s="41"/>
      <c r="F352" s="40"/>
      <c r="G352" s="35"/>
      <c r="H352" s="41"/>
      <c r="I352" s="42"/>
      <c r="J352" s="42"/>
      <c r="K352" s="42"/>
      <c r="L352" s="42"/>
      <c r="M352" s="42"/>
      <c r="N352" s="42"/>
      <c r="O352" s="42"/>
      <c r="P352" s="42"/>
      <c r="Q352" s="42"/>
      <c r="R352" s="42"/>
      <c r="S352" s="42"/>
      <c r="T352" s="42"/>
      <c r="U352" s="42"/>
      <c r="V352" s="42"/>
      <c r="W352" s="42"/>
      <c r="X352" s="42"/>
      <c r="Y352" s="42"/>
      <c r="Z352" s="42"/>
      <c r="AA352" s="42"/>
      <c r="AB352" s="42"/>
      <c r="AC352" s="42"/>
    </row>
    <row r="353" spans="1:29" x14ac:dyDescent="0.25">
      <c r="A353" s="42"/>
      <c r="B353" s="35"/>
      <c r="C353" s="35"/>
      <c r="D353" s="41"/>
      <c r="E353" s="41"/>
      <c r="F353" s="40"/>
      <c r="G353" s="35"/>
      <c r="H353" s="41"/>
      <c r="I353" s="42"/>
      <c r="J353" s="42"/>
      <c r="K353" s="42"/>
      <c r="L353" s="42"/>
      <c r="M353" s="42"/>
      <c r="N353" s="42"/>
      <c r="O353" s="42"/>
      <c r="P353" s="42"/>
      <c r="Q353" s="42"/>
      <c r="R353" s="42"/>
      <c r="S353" s="42"/>
      <c r="T353" s="42"/>
      <c r="U353" s="42"/>
      <c r="V353" s="42"/>
      <c r="W353" s="42"/>
      <c r="X353" s="42"/>
      <c r="Y353" s="42"/>
      <c r="Z353" s="42"/>
      <c r="AA353" s="42"/>
      <c r="AB353" s="42"/>
      <c r="AC353" s="42"/>
    </row>
    <row r="354" spans="1:29" x14ac:dyDescent="0.25">
      <c r="A354" s="42"/>
      <c r="B354" s="35"/>
      <c r="C354" s="35"/>
      <c r="D354" s="41"/>
      <c r="E354" s="41"/>
      <c r="F354" s="40"/>
      <c r="G354" s="35"/>
      <c r="H354" s="41"/>
      <c r="I354" s="42"/>
      <c r="J354" s="42"/>
      <c r="K354" s="42"/>
      <c r="L354" s="42"/>
      <c r="M354" s="42"/>
      <c r="N354" s="42"/>
      <c r="O354" s="42"/>
      <c r="P354" s="42"/>
      <c r="Q354" s="42"/>
      <c r="R354" s="42"/>
      <c r="S354" s="42"/>
      <c r="T354" s="42"/>
      <c r="U354" s="42"/>
      <c r="V354" s="42"/>
      <c r="W354" s="42"/>
      <c r="X354" s="42"/>
      <c r="Y354" s="42"/>
      <c r="Z354" s="42"/>
      <c r="AA354" s="42"/>
      <c r="AB354" s="42"/>
      <c r="AC354" s="42"/>
    </row>
    <row r="355" spans="1:29" x14ac:dyDescent="0.25">
      <c r="A355" s="42"/>
      <c r="B355" s="35"/>
      <c r="C355" s="35"/>
      <c r="D355" s="41"/>
      <c r="E355" s="41"/>
      <c r="F355" s="40"/>
      <c r="G355" s="35"/>
      <c r="H355" s="41"/>
      <c r="I355" s="42"/>
      <c r="J355" s="42"/>
      <c r="K355" s="42"/>
      <c r="L355" s="42"/>
      <c r="M355" s="42"/>
      <c r="N355" s="42"/>
      <c r="O355" s="42"/>
      <c r="P355" s="42"/>
      <c r="Q355" s="42"/>
      <c r="R355" s="42"/>
      <c r="S355" s="42"/>
      <c r="T355" s="42"/>
      <c r="U355" s="42"/>
      <c r="V355" s="42"/>
      <c r="W355" s="42"/>
      <c r="X355" s="42"/>
      <c r="Y355" s="42"/>
      <c r="Z355" s="42"/>
      <c r="AA355" s="42"/>
      <c r="AB355" s="42"/>
      <c r="AC355" s="42"/>
    </row>
    <row r="356" spans="1:29" x14ac:dyDescent="0.25">
      <c r="A356" s="42"/>
      <c r="B356" s="35"/>
      <c r="C356" s="35"/>
      <c r="D356" s="41"/>
      <c r="E356" s="41"/>
      <c r="F356" s="40"/>
      <c r="G356" s="35"/>
      <c r="H356" s="41"/>
      <c r="I356" s="42"/>
      <c r="J356" s="42"/>
      <c r="K356" s="42"/>
      <c r="L356" s="42"/>
      <c r="M356" s="42"/>
      <c r="N356" s="42"/>
      <c r="O356" s="42"/>
      <c r="P356" s="42"/>
      <c r="Q356" s="42"/>
      <c r="R356" s="42"/>
      <c r="S356" s="42"/>
      <c r="T356" s="42"/>
      <c r="U356" s="42"/>
      <c r="V356" s="42"/>
      <c r="W356" s="42"/>
      <c r="X356" s="42"/>
      <c r="Y356" s="42"/>
      <c r="Z356" s="42"/>
      <c r="AA356" s="42"/>
      <c r="AB356" s="42"/>
      <c r="AC356" s="42"/>
    </row>
    <row r="357" spans="1:29" x14ac:dyDescent="0.25">
      <c r="A357" s="42"/>
      <c r="B357" s="35"/>
      <c r="C357" s="35"/>
      <c r="D357" s="41"/>
      <c r="E357" s="41"/>
      <c r="F357" s="40"/>
      <c r="G357" s="35"/>
      <c r="H357" s="41"/>
      <c r="I357" s="42"/>
      <c r="J357" s="42"/>
      <c r="K357" s="42"/>
      <c r="L357" s="42"/>
      <c r="M357" s="42"/>
      <c r="N357" s="42"/>
      <c r="O357" s="42"/>
      <c r="P357" s="42"/>
      <c r="Q357" s="42"/>
      <c r="R357" s="42"/>
      <c r="S357" s="42"/>
      <c r="T357" s="42"/>
      <c r="U357" s="42"/>
      <c r="V357" s="42"/>
      <c r="W357" s="42"/>
      <c r="X357" s="42"/>
      <c r="Y357" s="42"/>
      <c r="Z357" s="42"/>
      <c r="AA357" s="42"/>
      <c r="AB357" s="42"/>
      <c r="AC357" s="42"/>
    </row>
    <row r="358" spans="1:29" x14ac:dyDescent="0.25">
      <c r="A358" s="42"/>
      <c r="B358" s="35"/>
      <c r="C358" s="35"/>
      <c r="D358" s="41"/>
      <c r="E358" s="41"/>
      <c r="F358" s="40"/>
      <c r="G358" s="35"/>
      <c r="H358" s="41"/>
      <c r="I358" s="42"/>
      <c r="J358" s="42"/>
      <c r="K358" s="42"/>
      <c r="L358" s="42"/>
      <c r="M358" s="42"/>
      <c r="N358" s="42"/>
      <c r="O358" s="42"/>
      <c r="P358" s="42"/>
      <c r="Q358" s="42"/>
      <c r="R358" s="42"/>
      <c r="S358" s="42"/>
      <c r="T358" s="42"/>
      <c r="U358" s="42"/>
      <c r="V358" s="42"/>
      <c r="W358" s="42"/>
      <c r="X358" s="42"/>
      <c r="Y358" s="42"/>
      <c r="Z358" s="42"/>
      <c r="AA358" s="42"/>
      <c r="AB358" s="42"/>
      <c r="AC358" s="42"/>
    </row>
    <row r="359" spans="1:29" x14ac:dyDescent="0.25">
      <c r="A359" s="42"/>
      <c r="B359" s="35"/>
      <c r="C359" s="35"/>
      <c r="D359" s="41"/>
      <c r="E359" s="41"/>
      <c r="F359" s="40"/>
      <c r="G359" s="35"/>
      <c r="H359" s="41"/>
      <c r="I359" s="42"/>
      <c r="J359" s="42"/>
      <c r="K359" s="42"/>
      <c r="L359" s="42"/>
      <c r="M359" s="42"/>
      <c r="N359" s="42"/>
      <c r="O359" s="42"/>
      <c r="P359" s="42"/>
      <c r="Q359" s="42"/>
      <c r="R359" s="42"/>
      <c r="S359" s="42"/>
      <c r="T359" s="42"/>
      <c r="U359" s="42"/>
      <c r="V359" s="42"/>
      <c r="W359" s="42"/>
      <c r="X359" s="42"/>
      <c r="Y359" s="42"/>
      <c r="Z359" s="42"/>
      <c r="AA359" s="42"/>
      <c r="AB359" s="42"/>
      <c r="AC359" s="42"/>
    </row>
    <row r="360" spans="1:29" x14ac:dyDescent="0.25">
      <c r="A360" s="42"/>
      <c r="B360" s="35"/>
      <c r="C360" s="35"/>
      <c r="D360" s="41"/>
      <c r="E360" s="41"/>
      <c r="F360" s="40"/>
      <c r="G360" s="35"/>
      <c r="H360" s="41"/>
      <c r="I360" s="42"/>
      <c r="J360" s="42"/>
      <c r="K360" s="42"/>
      <c r="L360" s="42"/>
      <c r="M360" s="42"/>
      <c r="N360" s="42"/>
      <c r="O360" s="42"/>
      <c r="P360" s="42"/>
      <c r="Q360" s="42"/>
      <c r="R360" s="42"/>
      <c r="S360" s="42"/>
      <c r="T360" s="42"/>
      <c r="U360" s="42"/>
      <c r="V360" s="42"/>
      <c r="W360" s="42"/>
      <c r="X360" s="42"/>
      <c r="Y360" s="42"/>
      <c r="Z360" s="42"/>
      <c r="AA360" s="42"/>
      <c r="AB360" s="42"/>
      <c r="AC360" s="42"/>
    </row>
    <row r="361" spans="1:29" x14ac:dyDescent="0.25">
      <c r="A361" s="42"/>
      <c r="B361" s="35"/>
      <c r="C361" s="35"/>
      <c r="D361" s="41"/>
      <c r="E361" s="41"/>
      <c r="F361" s="40"/>
      <c r="G361" s="35"/>
      <c r="H361" s="41"/>
      <c r="I361" s="42"/>
      <c r="J361" s="42"/>
      <c r="K361" s="42"/>
      <c r="L361" s="42"/>
      <c r="M361" s="42"/>
      <c r="N361" s="42"/>
      <c r="O361" s="42"/>
      <c r="P361" s="42"/>
      <c r="Q361" s="42"/>
      <c r="R361" s="42"/>
      <c r="S361" s="42"/>
      <c r="T361" s="42"/>
      <c r="U361" s="42"/>
      <c r="V361" s="42"/>
      <c r="W361" s="42"/>
      <c r="X361" s="42"/>
      <c r="Y361" s="42"/>
      <c r="Z361" s="42"/>
      <c r="AA361" s="42"/>
      <c r="AB361" s="42"/>
      <c r="AC361" s="42"/>
    </row>
    <row r="362" spans="1:29" x14ac:dyDescent="0.25">
      <c r="A362" s="42"/>
      <c r="B362" s="35"/>
      <c r="C362" s="35"/>
      <c r="D362" s="41"/>
      <c r="E362" s="41"/>
      <c r="F362" s="40"/>
      <c r="G362" s="35"/>
      <c r="H362" s="41"/>
      <c r="I362" s="42"/>
      <c r="J362" s="42"/>
      <c r="K362" s="42"/>
      <c r="L362" s="42"/>
      <c r="M362" s="42"/>
      <c r="N362" s="42"/>
      <c r="O362" s="42"/>
      <c r="P362" s="42"/>
      <c r="Q362" s="42"/>
      <c r="R362" s="42"/>
      <c r="S362" s="42"/>
      <c r="T362" s="42"/>
      <c r="U362" s="42"/>
      <c r="V362" s="42"/>
      <c r="W362" s="42"/>
      <c r="X362" s="42"/>
      <c r="Y362" s="42"/>
      <c r="Z362" s="42"/>
      <c r="AA362" s="42"/>
      <c r="AB362" s="42"/>
      <c r="AC362" s="42"/>
    </row>
    <row r="363" spans="1:29" x14ac:dyDescent="0.25">
      <c r="A363" s="42"/>
      <c r="B363" s="35"/>
      <c r="C363" s="35"/>
      <c r="D363" s="41"/>
      <c r="E363" s="41"/>
      <c r="F363" s="40"/>
      <c r="G363" s="35"/>
      <c r="H363" s="41"/>
      <c r="I363" s="42"/>
      <c r="J363" s="42"/>
      <c r="K363" s="42"/>
      <c r="L363" s="42"/>
      <c r="M363" s="42"/>
      <c r="N363" s="42"/>
      <c r="O363" s="42"/>
      <c r="P363" s="42"/>
      <c r="Q363" s="42"/>
      <c r="R363" s="42"/>
      <c r="S363" s="42"/>
      <c r="T363" s="42"/>
      <c r="U363" s="42"/>
      <c r="V363" s="42"/>
      <c r="W363" s="42"/>
      <c r="X363" s="42"/>
      <c r="Y363" s="42"/>
      <c r="Z363" s="42"/>
      <c r="AA363" s="42"/>
      <c r="AB363" s="42"/>
      <c r="AC363" s="42"/>
    </row>
    <row r="364" spans="1:29" x14ac:dyDescent="0.25">
      <c r="A364" s="42"/>
      <c r="B364" s="35"/>
      <c r="C364" s="35"/>
      <c r="D364" s="41"/>
      <c r="E364" s="41"/>
      <c r="F364" s="40"/>
      <c r="G364" s="35"/>
      <c r="H364" s="41"/>
      <c r="I364" s="42"/>
      <c r="J364" s="42"/>
      <c r="K364" s="42"/>
      <c r="L364" s="42"/>
      <c r="M364" s="42"/>
      <c r="N364" s="42"/>
      <c r="O364" s="42"/>
      <c r="P364" s="42"/>
      <c r="Q364" s="42"/>
      <c r="R364" s="42"/>
      <c r="S364" s="42"/>
      <c r="T364" s="42"/>
      <c r="U364" s="42"/>
      <c r="V364" s="42"/>
      <c r="W364" s="42"/>
      <c r="X364" s="42"/>
      <c r="Y364" s="42"/>
      <c r="Z364" s="42"/>
      <c r="AA364" s="42"/>
      <c r="AB364" s="42"/>
      <c r="AC364" s="42"/>
    </row>
    <row r="365" spans="1:29" x14ac:dyDescent="0.25">
      <c r="A365" s="42"/>
      <c r="B365" s="35"/>
      <c r="C365" s="35"/>
      <c r="D365" s="41"/>
      <c r="E365" s="41"/>
      <c r="F365" s="40"/>
      <c r="G365" s="35"/>
      <c r="H365" s="41"/>
      <c r="I365" s="42"/>
      <c r="J365" s="42"/>
      <c r="K365" s="42"/>
      <c r="L365" s="42"/>
      <c r="M365" s="42"/>
      <c r="N365" s="42"/>
      <c r="O365" s="42"/>
      <c r="P365" s="42"/>
      <c r="Q365" s="42"/>
      <c r="R365" s="42"/>
      <c r="S365" s="42"/>
      <c r="T365" s="42"/>
      <c r="U365" s="42"/>
      <c r="V365" s="42"/>
      <c r="W365" s="42"/>
      <c r="X365" s="42"/>
      <c r="Y365" s="42"/>
      <c r="Z365" s="42"/>
      <c r="AA365" s="42"/>
      <c r="AB365" s="42"/>
      <c r="AC365" s="42"/>
    </row>
    <row r="366" spans="1:29" x14ac:dyDescent="0.25">
      <c r="A366" s="42"/>
      <c r="B366" s="35"/>
      <c r="C366" s="35"/>
      <c r="D366" s="41"/>
      <c r="E366" s="41"/>
      <c r="F366" s="40"/>
      <c r="G366" s="35"/>
      <c r="H366" s="41"/>
      <c r="I366" s="42"/>
      <c r="J366" s="42"/>
      <c r="K366" s="42"/>
      <c r="L366" s="42"/>
      <c r="M366" s="42"/>
      <c r="N366" s="42"/>
      <c r="O366" s="42"/>
      <c r="P366" s="42"/>
      <c r="Q366" s="42"/>
      <c r="R366" s="42"/>
      <c r="S366" s="42"/>
      <c r="T366" s="42"/>
      <c r="U366" s="42"/>
      <c r="V366" s="42"/>
      <c r="W366" s="42"/>
      <c r="X366" s="42"/>
      <c r="Y366" s="42"/>
      <c r="Z366" s="42"/>
      <c r="AA366" s="42"/>
      <c r="AB366" s="42"/>
      <c r="AC366" s="42"/>
    </row>
    <row r="367" spans="1:29" x14ac:dyDescent="0.25">
      <c r="A367" s="42"/>
      <c r="B367" s="35"/>
      <c r="C367" s="35"/>
      <c r="D367" s="41"/>
      <c r="E367" s="41"/>
      <c r="F367" s="40"/>
      <c r="G367" s="35"/>
      <c r="H367" s="41"/>
      <c r="I367" s="42"/>
      <c r="J367" s="42"/>
      <c r="K367" s="42"/>
      <c r="L367" s="42"/>
      <c r="M367" s="42"/>
      <c r="N367" s="42"/>
      <c r="O367" s="42"/>
      <c r="P367" s="42"/>
      <c r="Q367" s="42"/>
      <c r="R367" s="42"/>
      <c r="S367" s="42"/>
      <c r="T367" s="42"/>
      <c r="U367" s="42"/>
      <c r="V367" s="42"/>
      <c r="W367" s="42"/>
      <c r="X367" s="42"/>
      <c r="Y367" s="42"/>
      <c r="Z367" s="42"/>
      <c r="AA367" s="42"/>
      <c r="AB367" s="42"/>
      <c r="AC367" s="42"/>
    </row>
    <row r="368" spans="1:29" x14ac:dyDescent="0.25">
      <c r="A368" s="42"/>
      <c r="B368" s="35"/>
      <c r="C368" s="35"/>
      <c r="D368" s="41"/>
      <c r="E368" s="41"/>
      <c r="F368" s="40"/>
      <c r="G368" s="35"/>
      <c r="H368" s="41"/>
      <c r="I368" s="42"/>
      <c r="J368" s="42"/>
      <c r="K368" s="42"/>
      <c r="L368" s="42"/>
      <c r="M368" s="42"/>
      <c r="N368" s="42"/>
      <c r="O368" s="42"/>
      <c r="P368" s="42"/>
      <c r="Q368" s="42"/>
      <c r="R368" s="42"/>
      <c r="S368" s="42"/>
      <c r="T368" s="42"/>
      <c r="U368" s="42"/>
      <c r="V368" s="42"/>
      <c r="W368" s="42"/>
      <c r="X368" s="42"/>
      <c r="Y368" s="42"/>
      <c r="Z368" s="42"/>
      <c r="AA368" s="42"/>
      <c r="AB368" s="42"/>
      <c r="AC368" s="42"/>
    </row>
    <row r="369" spans="1:29" x14ac:dyDescent="0.25">
      <c r="A369" s="42"/>
      <c r="B369" s="35"/>
      <c r="C369" s="35"/>
      <c r="D369" s="41"/>
      <c r="E369" s="41"/>
      <c r="F369" s="40"/>
      <c r="G369" s="35"/>
      <c r="H369" s="41"/>
      <c r="I369" s="42"/>
      <c r="J369" s="42"/>
      <c r="K369" s="42"/>
      <c r="L369" s="42"/>
      <c r="M369" s="42"/>
      <c r="N369" s="42"/>
      <c r="O369" s="42"/>
      <c r="P369" s="42"/>
      <c r="Q369" s="42"/>
      <c r="R369" s="42"/>
      <c r="S369" s="42"/>
      <c r="T369" s="42"/>
      <c r="U369" s="42"/>
      <c r="V369" s="42"/>
      <c r="W369" s="42"/>
      <c r="X369" s="42"/>
      <c r="Y369" s="42"/>
      <c r="Z369" s="42"/>
      <c r="AA369" s="42"/>
      <c r="AB369" s="42"/>
      <c r="AC369" s="42"/>
    </row>
    <row r="370" spans="1:29" x14ac:dyDescent="0.25">
      <c r="A370" s="42"/>
      <c r="B370" s="35"/>
      <c r="C370" s="35"/>
      <c r="D370" s="41"/>
      <c r="E370" s="41"/>
      <c r="F370" s="40"/>
      <c r="G370" s="35"/>
      <c r="H370" s="41"/>
      <c r="I370" s="42"/>
      <c r="J370" s="42"/>
      <c r="K370" s="42"/>
      <c r="L370" s="42"/>
      <c r="M370" s="42"/>
      <c r="N370" s="42"/>
      <c r="O370" s="42"/>
      <c r="P370" s="42"/>
      <c r="Q370" s="42"/>
      <c r="R370" s="42"/>
      <c r="S370" s="42"/>
      <c r="T370" s="42"/>
      <c r="U370" s="42"/>
      <c r="V370" s="42"/>
      <c r="W370" s="42"/>
      <c r="X370" s="42"/>
      <c r="Y370" s="42"/>
      <c r="Z370" s="42"/>
      <c r="AA370" s="42"/>
      <c r="AB370" s="42"/>
      <c r="AC370" s="42"/>
    </row>
    <row r="371" spans="1:29" x14ac:dyDescent="0.25">
      <c r="A371" s="42"/>
      <c r="B371" s="35"/>
      <c r="C371" s="35"/>
      <c r="D371" s="41"/>
      <c r="E371" s="41"/>
      <c r="F371" s="40"/>
      <c r="G371" s="35"/>
      <c r="H371" s="41"/>
      <c r="I371" s="42"/>
      <c r="J371" s="42"/>
      <c r="K371" s="42"/>
      <c r="L371" s="42"/>
      <c r="M371" s="42"/>
      <c r="N371" s="42"/>
      <c r="O371" s="42"/>
      <c r="P371" s="42"/>
      <c r="Q371" s="42"/>
      <c r="R371" s="42"/>
      <c r="S371" s="42"/>
      <c r="T371" s="42"/>
      <c r="U371" s="42"/>
      <c r="V371" s="42"/>
      <c r="W371" s="42"/>
      <c r="X371" s="42"/>
      <c r="Y371" s="42"/>
      <c r="Z371" s="42"/>
      <c r="AA371" s="42"/>
      <c r="AB371" s="42"/>
      <c r="AC371" s="42"/>
    </row>
    <row r="372" spans="1:29" x14ac:dyDescent="0.25">
      <c r="A372" s="42"/>
      <c r="B372" s="35"/>
      <c r="C372" s="35"/>
      <c r="D372" s="41"/>
      <c r="E372" s="41"/>
      <c r="F372" s="40"/>
      <c r="G372" s="35"/>
      <c r="H372" s="41"/>
      <c r="I372" s="42"/>
      <c r="J372" s="42"/>
      <c r="K372" s="42"/>
      <c r="L372" s="42"/>
      <c r="M372" s="42"/>
      <c r="N372" s="42"/>
      <c r="O372" s="42"/>
      <c r="P372" s="42"/>
      <c r="Q372" s="42"/>
      <c r="R372" s="42"/>
      <c r="S372" s="42"/>
      <c r="T372" s="42"/>
      <c r="U372" s="42"/>
      <c r="V372" s="42"/>
      <c r="W372" s="42"/>
      <c r="X372" s="42"/>
      <c r="Y372" s="42"/>
      <c r="Z372" s="42"/>
      <c r="AA372" s="42"/>
      <c r="AB372" s="42"/>
      <c r="AC372" s="42"/>
    </row>
    <row r="373" spans="1:29" x14ac:dyDescent="0.25">
      <c r="A373" s="42"/>
      <c r="B373" s="35"/>
      <c r="C373" s="35"/>
      <c r="D373" s="41"/>
      <c r="E373" s="41"/>
      <c r="F373" s="40"/>
      <c r="G373" s="35"/>
      <c r="H373" s="41"/>
      <c r="I373" s="42"/>
      <c r="J373" s="42"/>
      <c r="K373" s="42"/>
      <c r="L373" s="42"/>
      <c r="M373" s="42"/>
      <c r="N373" s="42"/>
      <c r="O373" s="42"/>
      <c r="P373" s="42"/>
      <c r="Q373" s="42"/>
      <c r="R373" s="42"/>
      <c r="S373" s="42"/>
      <c r="T373" s="42"/>
      <c r="U373" s="42"/>
      <c r="V373" s="42"/>
      <c r="W373" s="42"/>
      <c r="X373" s="42"/>
      <c r="Y373" s="42"/>
      <c r="Z373" s="42"/>
      <c r="AA373" s="42"/>
      <c r="AB373" s="42"/>
      <c r="AC373" s="42"/>
    </row>
    <row r="374" spans="1:29" x14ac:dyDescent="0.25">
      <c r="A374" s="42"/>
      <c r="B374" s="35"/>
      <c r="C374" s="35"/>
      <c r="D374" s="41"/>
      <c r="E374" s="41"/>
      <c r="F374" s="40"/>
      <c r="G374" s="35"/>
      <c r="H374" s="41"/>
      <c r="I374" s="42"/>
      <c r="J374" s="42"/>
      <c r="K374" s="42"/>
      <c r="L374" s="42"/>
      <c r="M374" s="42"/>
      <c r="N374" s="42"/>
      <c r="O374" s="42"/>
      <c r="P374" s="42"/>
      <c r="Q374" s="42"/>
      <c r="R374" s="42"/>
      <c r="S374" s="42"/>
      <c r="T374" s="42"/>
      <c r="U374" s="42"/>
      <c r="V374" s="42"/>
      <c r="W374" s="42"/>
      <c r="X374" s="42"/>
      <c r="Y374" s="42"/>
      <c r="Z374" s="42"/>
      <c r="AA374" s="42"/>
      <c r="AB374" s="42"/>
      <c r="AC374" s="42"/>
    </row>
    <row r="375" spans="1:29" x14ac:dyDescent="0.25">
      <c r="A375" s="42"/>
      <c r="B375" s="35"/>
      <c r="C375" s="35"/>
      <c r="D375" s="41"/>
      <c r="E375" s="41"/>
      <c r="F375" s="40"/>
      <c r="G375" s="35"/>
      <c r="H375" s="41"/>
      <c r="I375" s="42"/>
      <c r="J375" s="42"/>
      <c r="K375" s="42"/>
      <c r="L375" s="42"/>
      <c r="M375" s="42"/>
      <c r="N375" s="42"/>
      <c r="O375" s="42"/>
      <c r="P375" s="42"/>
      <c r="Q375" s="42"/>
      <c r="R375" s="42"/>
      <c r="S375" s="42"/>
      <c r="T375" s="42"/>
      <c r="U375" s="42"/>
      <c r="V375" s="42"/>
      <c r="W375" s="42"/>
      <c r="X375" s="42"/>
      <c r="Y375" s="42"/>
      <c r="Z375" s="42"/>
      <c r="AA375" s="42"/>
      <c r="AB375" s="42"/>
      <c r="AC375" s="42"/>
    </row>
    <row r="376" spans="1:29" x14ac:dyDescent="0.25">
      <c r="A376" s="42"/>
      <c r="B376" s="35"/>
      <c r="C376" s="35"/>
      <c r="D376" s="41"/>
      <c r="E376" s="41"/>
      <c r="F376" s="40"/>
      <c r="G376" s="35"/>
      <c r="H376" s="41"/>
      <c r="I376" s="42"/>
      <c r="J376" s="42"/>
      <c r="K376" s="42"/>
      <c r="L376" s="42"/>
      <c r="M376" s="42"/>
      <c r="N376" s="42"/>
      <c r="O376" s="42"/>
      <c r="P376" s="42"/>
      <c r="Q376" s="42"/>
      <c r="R376" s="42"/>
      <c r="S376" s="42"/>
      <c r="T376" s="42"/>
      <c r="U376" s="42"/>
      <c r="V376" s="42"/>
      <c r="W376" s="42"/>
      <c r="X376" s="42"/>
      <c r="Y376" s="42"/>
      <c r="Z376" s="42"/>
      <c r="AA376" s="42"/>
      <c r="AB376" s="42"/>
      <c r="AC376" s="42"/>
    </row>
    <row r="377" spans="1:29" x14ac:dyDescent="0.25">
      <c r="A377" s="42"/>
      <c r="B377" s="35"/>
      <c r="C377" s="35"/>
      <c r="D377" s="41"/>
      <c r="E377" s="41"/>
      <c r="F377" s="40"/>
      <c r="G377" s="35"/>
      <c r="H377" s="41"/>
      <c r="I377" s="42"/>
      <c r="J377" s="42"/>
      <c r="K377" s="42"/>
      <c r="L377" s="42"/>
      <c r="M377" s="42"/>
      <c r="N377" s="42"/>
      <c r="O377" s="42"/>
      <c r="P377" s="42"/>
      <c r="Q377" s="42"/>
      <c r="R377" s="42"/>
      <c r="S377" s="42"/>
      <c r="T377" s="42"/>
      <c r="U377" s="42"/>
      <c r="V377" s="42"/>
      <c r="W377" s="42"/>
      <c r="X377" s="42"/>
      <c r="Y377" s="42"/>
      <c r="Z377" s="42"/>
      <c r="AA377" s="42"/>
      <c r="AB377" s="42"/>
      <c r="AC377" s="42"/>
    </row>
    <row r="378" spans="1:29" x14ac:dyDescent="0.25">
      <c r="A378" s="42"/>
      <c r="B378" s="35"/>
      <c r="C378" s="35"/>
      <c r="D378" s="41"/>
      <c r="E378" s="41"/>
      <c r="F378" s="40"/>
      <c r="G378" s="35"/>
      <c r="H378" s="41"/>
      <c r="I378" s="42"/>
      <c r="J378" s="42"/>
      <c r="K378" s="42"/>
      <c r="L378" s="42"/>
      <c r="M378" s="42"/>
      <c r="N378" s="42"/>
      <c r="O378" s="42"/>
      <c r="P378" s="42"/>
      <c r="Q378" s="42"/>
      <c r="R378" s="42"/>
      <c r="S378" s="42"/>
      <c r="T378" s="42"/>
      <c r="U378" s="42"/>
      <c r="V378" s="42"/>
      <c r="W378" s="42"/>
      <c r="X378" s="42"/>
      <c r="Y378" s="42"/>
      <c r="Z378" s="42"/>
      <c r="AA378" s="42"/>
      <c r="AB378" s="42"/>
      <c r="AC378" s="42"/>
    </row>
    <row r="379" spans="1:29" x14ac:dyDescent="0.25">
      <c r="A379" s="42"/>
      <c r="B379" s="35"/>
      <c r="C379" s="35"/>
      <c r="D379" s="41"/>
      <c r="E379" s="41"/>
      <c r="F379" s="40"/>
      <c r="G379" s="35"/>
      <c r="H379" s="41"/>
      <c r="I379" s="42"/>
      <c r="J379" s="42"/>
      <c r="K379" s="42"/>
      <c r="L379" s="42"/>
      <c r="M379" s="42"/>
      <c r="N379" s="42"/>
      <c r="O379" s="42"/>
      <c r="P379" s="42"/>
      <c r="Q379" s="42"/>
      <c r="R379" s="42"/>
      <c r="S379" s="42"/>
      <c r="T379" s="42"/>
      <c r="U379" s="42"/>
      <c r="V379" s="42"/>
      <c r="W379" s="42"/>
      <c r="X379" s="42"/>
      <c r="Y379" s="42"/>
      <c r="Z379" s="42"/>
      <c r="AA379" s="42"/>
      <c r="AB379" s="42"/>
      <c r="AC379" s="42"/>
    </row>
    <row r="380" spans="1:29" x14ac:dyDescent="0.25">
      <c r="A380" s="42"/>
      <c r="B380" s="35"/>
      <c r="C380" s="35"/>
      <c r="D380" s="41"/>
      <c r="E380" s="41"/>
      <c r="F380" s="40"/>
      <c r="G380" s="35"/>
      <c r="H380" s="41"/>
      <c r="I380" s="42"/>
      <c r="J380" s="42"/>
      <c r="K380" s="42"/>
      <c r="L380" s="42"/>
      <c r="M380" s="42"/>
      <c r="N380" s="42"/>
      <c r="O380" s="42"/>
      <c r="P380" s="42"/>
      <c r="Q380" s="42"/>
      <c r="R380" s="42"/>
      <c r="S380" s="42"/>
      <c r="T380" s="42"/>
      <c r="U380" s="42"/>
      <c r="V380" s="42"/>
      <c r="W380" s="42"/>
      <c r="X380" s="42"/>
      <c r="Y380" s="42"/>
      <c r="Z380" s="42"/>
      <c r="AA380" s="42"/>
      <c r="AB380" s="42"/>
      <c r="AC380" s="42"/>
    </row>
    <row r="381" spans="1:29" x14ac:dyDescent="0.25">
      <c r="A381" s="42"/>
      <c r="B381" s="35"/>
      <c r="C381" s="35"/>
      <c r="D381" s="41"/>
      <c r="E381" s="41"/>
      <c r="F381" s="40"/>
      <c r="G381" s="35"/>
      <c r="H381" s="41"/>
      <c r="I381" s="42"/>
      <c r="J381" s="42"/>
      <c r="K381" s="42"/>
      <c r="L381" s="42"/>
      <c r="M381" s="42"/>
      <c r="N381" s="42"/>
      <c r="O381" s="42"/>
      <c r="P381" s="42"/>
      <c r="Q381" s="42"/>
      <c r="R381" s="42"/>
      <c r="S381" s="42"/>
      <c r="T381" s="42"/>
      <c r="U381" s="42"/>
      <c r="V381" s="42"/>
      <c r="W381" s="42"/>
      <c r="X381" s="42"/>
      <c r="Y381" s="42"/>
      <c r="Z381" s="42"/>
      <c r="AA381" s="42"/>
      <c r="AB381" s="42"/>
      <c r="AC381" s="42"/>
    </row>
    <row r="382" spans="1:29" x14ac:dyDescent="0.25">
      <c r="A382" s="42"/>
      <c r="B382" s="35"/>
      <c r="C382" s="35"/>
      <c r="D382" s="41"/>
      <c r="E382" s="41"/>
      <c r="F382" s="40"/>
      <c r="G382" s="35"/>
      <c r="H382" s="41"/>
      <c r="I382" s="42"/>
      <c r="J382" s="42"/>
      <c r="K382" s="42"/>
      <c r="L382" s="42"/>
      <c r="M382" s="42"/>
      <c r="N382" s="42"/>
      <c r="O382" s="42"/>
      <c r="P382" s="42"/>
      <c r="Q382" s="42"/>
      <c r="R382" s="42"/>
      <c r="S382" s="42"/>
      <c r="T382" s="42"/>
      <c r="U382" s="42"/>
      <c r="V382" s="42"/>
      <c r="W382" s="42"/>
      <c r="X382" s="42"/>
      <c r="Y382" s="42"/>
      <c r="Z382" s="42"/>
      <c r="AA382" s="42"/>
      <c r="AB382" s="42"/>
      <c r="AC382" s="42"/>
    </row>
    <row r="383" spans="1:29" x14ac:dyDescent="0.25">
      <c r="A383" s="42"/>
      <c r="B383" s="35"/>
      <c r="C383" s="35"/>
      <c r="D383" s="41"/>
      <c r="E383" s="41"/>
      <c r="F383" s="40"/>
      <c r="G383" s="35"/>
      <c r="H383" s="41"/>
      <c r="I383" s="42"/>
      <c r="J383" s="42"/>
      <c r="K383" s="42"/>
      <c r="L383" s="42"/>
      <c r="M383" s="42"/>
      <c r="N383" s="42"/>
      <c r="O383" s="42"/>
      <c r="P383" s="42"/>
      <c r="Q383" s="42"/>
      <c r="R383" s="42"/>
      <c r="S383" s="42"/>
      <c r="T383" s="42"/>
      <c r="U383" s="42"/>
      <c r="V383" s="42"/>
      <c r="W383" s="42"/>
      <c r="X383" s="42"/>
      <c r="Y383" s="42"/>
      <c r="Z383" s="42"/>
      <c r="AA383" s="42"/>
      <c r="AB383" s="42"/>
      <c r="AC383" s="42"/>
    </row>
    <row r="384" spans="1:29" x14ac:dyDescent="0.25">
      <c r="A384" s="42"/>
      <c r="B384" s="35"/>
      <c r="C384" s="35"/>
      <c r="D384" s="41"/>
      <c r="E384" s="41"/>
      <c r="F384" s="40"/>
      <c r="G384" s="35"/>
      <c r="H384" s="41"/>
      <c r="I384" s="42"/>
      <c r="J384" s="42"/>
      <c r="K384" s="42"/>
      <c r="L384" s="42"/>
      <c r="M384" s="42"/>
      <c r="N384" s="42"/>
      <c r="O384" s="42"/>
      <c r="P384" s="42"/>
      <c r="Q384" s="42"/>
      <c r="R384" s="42"/>
      <c r="S384" s="42"/>
      <c r="T384" s="42"/>
      <c r="U384" s="42"/>
      <c r="V384" s="42"/>
      <c r="W384" s="42"/>
      <c r="X384" s="42"/>
      <c r="Y384" s="42"/>
      <c r="Z384" s="42"/>
      <c r="AA384" s="42"/>
      <c r="AB384" s="42"/>
      <c r="AC384" s="42"/>
    </row>
    <row r="385" spans="1:29" x14ac:dyDescent="0.25">
      <c r="A385" s="42"/>
      <c r="B385" s="35"/>
      <c r="C385" s="35"/>
      <c r="D385" s="41"/>
      <c r="E385" s="41"/>
      <c r="F385" s="40"/>
      <c r="G385" s="35"/>
      <c r="H385" s="41"/>
      <c r="I385" s="42"/>
      <c r="J385" s="42"/>
      <c r="K385" s="42"/>
      <c r="L385" s="42"/>
      <c r="M385" s="42"/>
      <c r="N385" s="42"/>
      <c r="O385" s="42"/>
      <c r="P385" s="42"/>
      <c r="Q385" s="42"/>
      <c r="R385" s="42"/>
      <c r="S385" s="42"/>
      <c r="T385" s="42"/>
      <c r="U385" s="42"/>
      <c r="V385" s="42"/>
      <c r="W385" s="42"/>
      <c r="X385" s="42"/>
      <c r="Y385" s="42"/>
      <c r="Z385" s="42"/>
      <c r="AA385" s="42"/>
      <c r="AB385" s="42"/>
      <c r="AC385" s="42"/>
    </row>
    <row r="386" spans="1:29" x14ac:dyDescent="0.25">
      <c r="A386" s="42"/>
      <c r="B386" s="35"/>
      <c r="C386" s="35"/>
      <c r="D386" s="41"/>
      <c r="E386" s="41"/>
      <c r="F386" s="40"/>
      <c r="G386" s="35"/>
      <c r="H386" s="41"/>
      <c r="I386" s="42"/>
      <c r="J386" s="42"/>
      <c r="K386" s="42"/>
      <c r="L386" s="42"/>
      <c r="M386" s="42"/>
      <c r="N386" s="42"/>
      <c r="O386" s="42"/>
      <c r="P386" s="42"/>
      <c r="Q386" s="42"/>
      <c r="R386" s="42"/>
      <c r="S386" s="42"/>
      <c r="T386" s="42"/>
      <c r="U386" s="42"/>
      <c r="V386" s="42"/>
      <c r="W386" s="42"/>
      <c r="X386" s="42"/>
      <c r="Y386" s="42"/>
      <c r="Z386" s="42"/>
      <c r="AA386" s="42"/>
      <c r="AB386" s="42"/>
      <c r="AC386" s="42"/>
    </row>
    <row r="387" spans="1:29" x14ac:dyDescent="0.25">
      <c r="A387" s="42"/>
      <c r="B387" s="35"/>
      <c r="C387" s="35"/>
      <c r="D387" s="41"/>
      <c r="E387" s="41"/>
      <c r="F387" s="40"/>
      <c r="G387" s="35"/>
      <c r="H387" s="41"/>
      <c r="I387" s="42"/>
      <c r="J387" s="42"/>
      <c r="K387" s="42"/>
      <c r="L387" s="42"/>
      <c r="M387" s="42"/>
      <c r="N387" s="42"/>
      <c r="O387" s="42"/>
      <c r="P387" s="42"/>
      <c r="Q387" s="42"/>
      <c r="R387" s="42"/>
      <c r="S387" s="42"/>
      <c r="T387" s="42"/>
      <c r="U387" s="42"/>
      <c r="V387" s="42"/>
      <c r="W387" s="42"/>
      <c r="X387" s="42"/>
      <c r="Y387" s="42"/>
      <c r="Z387" s="42"/>
      <c r="AA387" s="42"/>
      <c r="AB387" s="42"/>
      <c r="AC387" s="42"/>
    </row>
    <row r="388" spans="1:29" x14ac:dyDescent="0.25">
      <c r="A388" s="42"/>
      <c r="B388" s="35"/>
      <c r="C388" s="35"/>
      <c r="D388" s="41"/>
      <c r="E388" s="41"/>
      <c r="F388" s="40"/>
      <c r="G388" s="35"/>
      <c r="H388" s="41"/>
      <c r="I388" s="42"/>
      <c r="J388" s="42"/>
      <c r="K388" s="42"/>
      <c r="L388" s="42"/>
      <c r="M388" s="42"/>
      <c r="N388" s="42"/>
      <c r="O388" s="42"/>
      <c r="P388" s="42"/>
      <c r="Q388" s="42"/>
      <c r="R388" s="42"/>
      <c r="S388" s="42"/>
      <c r="T388" s="42"/>
      <c r="U388" s="42"/>
      <c r="V388" s="42"/>
      <c r="W388" s="42"/>
      <c r="X388" s="42"/>
      <c r="Y388" s="42"/>
      <c r="Z388" s="42"/>
      <c r="AA388" s="42"/>
      <c r="AB388" s="42"/>
      <c r="AC388" s="42"/>
    </row>
    <row r="389" spans="1:29" x14ac:dyDescent="0.25">
      <c r="A389" s="42"/>
      <c r="B389" s="35"/>
      <c r="C389" s="35"/>
      <c r="D389" s="41"/>
      <c r="E389" s="41"/>
      <c r="F389" s="40"/>
      <c r="G389" s="35"/>
      <c r="H389" s="41"/>
      <c r="I389" s="42"/>
      <c r="J389" s="42"/>
      <c r="K389" s="42"/>
      <c r="L389" s="42"/>
      <c r="M389" s="42"/>
      <c r="N389" s="42"/>
      <c r="O389" s="42"/>
      <c r="P389" s="42"/>
      <c r="Q389" s="42"/>
      <c r="R389" s="42"/>
      <c r="S389" s="42"/>
      <c r="T389" s="42"/>
      <c r="U389" s="42"/>
      <c r="V389" s="42"/>
      <c r="W389" s="42"/>
      <c r="X389" s="42"/>
      <c r="Y389" s="42"/>
      <c r="Z389" s="42"/>
      <c r="AA389" s="42"/>
      <c r="AB389" s="42"/>
      <c r="AC389" s="42"/>
    </row>
    <row r="390" spans="1:29" x14ac:dyDescent="0.25">
      <c r="A390" s="42"/>
      <c r="B390" s="35"/>
      <c r="C390" s="35"/>
      <c r="D390" s="41"/>
      <c r="E390" s="41"/>
      <c r="F390" s="40"/>
      <c r="G390" s="35"/>
      <c r="H390" s="41"/>
      <c r="I390" s="42"/>
      <c r="J390" s="42"/>
      <c r="K390" s="42"/>
      <c r="L390" s="42"/>
      <c r="M390" s="42"/>
      <c r="N390" s="42"/>
      <c r="O390" s="42"/>
      <c r="P390" s="42"/>
      <c r="Q390" s="42"/>
      <c r="R390" s="42"/>
      <c r="S390" s="42"/>
      <c r="T390" s="42"/>
      <c r="U390" s="42"/>
      <c r="V390" s="42"/>
      <c r="W390" s="42"/>
      <c r="X390" s="42"/>
      <c r="Y390" s="42"/>
      <c r="Z390" s="42"/>
      <c r="AA390" s="42"/>
      <c r="AB390" s="42"/>
      <c r="AC390" s="42"/>
    </row>
    <row r="391" spans="1:29" x14ac:dyDescent="0.25">
      <c r="A391" s="42"/>
      <c r="B391" s="35"/>
      <c r="C391" s="35"/>
      <c r="D391" s="41"/>
      <c r="E391" s="41"/>
      <c r="F391" s="40"/>
      <c r="G391" s="35"/>
      <c r="H391" s="41"/>
      <c r="I391" s="42"/>
      <c r="J391" s="42"/>
      <c r="K391" s="42"/>
      <c r="L391" s="42"/>
      <c r="M391" s="42"/>
      <c r="N391" s="42"/>
      <c r="O391" s="42"/>
      <c r="P391" s="42"/>
      <c r="Q391" s="42"/>
      <c r="R391" s="42"/>
      <c r="S391" s="42"/>
      <c r="T391" s="42"/>
      <c r="U391" s="42"/>
      <c r="V391" s="42"/>
      <c r="W391" s="42"/>
      <c r="X391" s="42"/>
      <c r="Y391" s="42"/>
      <c r="Z391" s="42"/>
      <c r="AA391" s="42"/>
      <c r="AB391" s="42"/>
      <c r="AC391" s="42"/>
    </row>
    <row r="392" spans="1:29" x14ac:dyDescent="0.25">
      <c r="A392" s="42"/>
      <c r="B392" s="35"/>
      <c r="C392" s="35"/>
      <c r="D392" s="41"/>
      <c r="E392" s="41"/>
      <c r="F392" s="40"/>
      <c r="G392" s="35"/>
      <c r="H392" s="41"/>
      <c r="I392" s="42"/>
      <c r="J392" s="42"/>
      <c r="K392" s="42"/>
      <c r="L392" s="42"/>
      <c r="M392" s="42"/>
      <c r="N392" s="42"/>
      <c r="O392" s="42"/>
      <c r="P392" s="42"/>
      <c r="Q392" s="42"/>
      <c r="R392" s="42"/>
      <c r="S392" s="42"/>
      <c r="T392" s="42"/>
      <c r="U392" s="42"/>
      <c r="V392" s="42"/>
      <c r="W392" s="42"/>
      <c r="X392" s="42"/>
      <c r="Y392" s="42"/>
      <c r="Z392" s="42"/>
      <c r="AA392" s="42"/>
      <c r="AB392" s="42"/>
      <c r="AC392" s="42"/>
    </row>
    <row r="393" spans="1:29" x14ac:dyDescent="0.25">
      <c r="A393" s="42"/>
      <c r="B393" s="35"/>
      <c r="C393" s="35"/>
      <c r="D393" s="41"/>
      <c r="E393" s="41"/>
      <c r="F393" s="40"/>
      <c r="G393" s="35"/>
      <c r="H393" s="41"/>
      <c r="I393" s="42"/>
      <c r="J393" s="42"/>
      <c r="K393" s="42"/>
      <c r="L393" s="42"/>
      <c r="M393" s="42"/>
      <c r="N393" s="42"/>
      <c r="O393" s="42"/>
      <c r="P393" s="42"/>
      <c r="Q393" s="42"/>
      <c r="R393" s="42"/>
      <c r="S393" s="42"/>
      <c r="T393" s="42"/>
      <c r="U393" s="42"/>
      <c r="V393" s="42"/>
      <c r="W393" s="42"/>
      <c r="X393" s="42"/>
      <c r="Y393" s="42"/>
      <c r="Z393" s="42"/>
      <c r="AA393" s="42"/>
      <c r="AB393" s="42"/>
      <c r="AC393" s="42"/>
    </row>
    <row r="394" spans="1:29" x14ac:dyDescent="0.25">
      <c r="A394" s="42"/>
      <c r="B394" s="35"/>
      <c r="C394" s="35"/>
      <c r="D394" s="41"/>
      <c r="E394" s="41"/>
      <c r="F394" s="40"/>
      <c r="G394" s="35"/>
      <c r="H394" s="41"/>
      <c r="I394" s="42"/>
      <c r="J394" s="42"/>
      <c r="K394" s="42"/>
      <c r="L394" s="42"/>
      <c r="M394" s="42"/>
      <c r="N394" s="42"/>
      <c r="O394" s="42"/>
      <c r="P394" s="42"/>
      <c r="Q394" s="42"/>
      <c r="R394" s="42"/>
      <c r="S394" s="42"/>
      <c r="T394" s="42"/>
      <c r="U394" s="42"/>
      <c r="V394" s="42"/>
      <c r="W394" s="42"/>
      <c r="X394" s="42"/>
      <c r="Y394" s="42"/>
      <c r="Z394" s="42"/>
      <c r="AA394" s="42"/>
      <c r="AB394" s="42"/>
      <c r="AC394" s="42"/>
    </row>
    <row r="395" spans="1:29" x14ac:dyDescent="0.25">
      <c r="A395" s="42"/>
      <c r="B395" s="35"/>
      <c r="C395" s="35"/>
      <c r="D395" s="41"/>
      <c r="E395" s="41"/>
      <c r="F395" s="40"/>
      <c r="G395" s="35"/>
      <c r="H395" s="41"/>
      <c r="I395" s="42"/>
      <c r="J395" s="42"/>
      <c r="K395" s="42"/>
      <c r="L395" s="42"/>
      <c r="M395" s="42"/>
      <c r="N395" s="42"/>
      <c r="O395" s="42"/>
      <c r="P395" s="42"/>
      <c r="Q395" s="42"/>
      <c r="R395" s="42"/>
      <c r="S395" s="42"/>
      <c r="T395" s="42"/>
      <c r="U395" s="42"/>
      <c r="V395" s="42"/>
      <c r="W395" s="42"/>
      <c r="X395" s="42"/>
      <c r="Y395" s="42"/>
      <c r="Z395" s="42"/>
      <c r="AA395" s="42"/>
      <c r="AB395" s="42"/>
      <c r="AC395" s="42"/>
    </row>
    <row r="396" spans="1:29" x14ac:dyDescent="0.25">
      <c r="A396" s="42"/>
      <c r="B396" s="35"/>
      <c r="C396" s="35"/>
      <c r="D396" s="41"/>
      <c r="E396" s="41"/>
      <c r="F396" s="40"/>
      <c r="G396" s="35"/>
      <c r="H396" s="41"/>
      <c r="I396" s="42"/>
      <c r="J396" s="42"/>
      <c r="K396" s="42"/>
      <c r="L396" s="42"/>
      <c r="M396" s="42"/>
      <c r="N396" s="42"/>
      <c r="O396" s="42"/>
      <c r="P396" s="42"/>
      <c r="Q396" s="42"/>
      <c r="R396" s="42"/>
      <c r="S396" s="42"/>
      <c r="T396" s="42"/>
      <c r="U396" s="42"/>
      <c r="V396" s="42"/>
      <c r="W396" s="42"/>
      <c r="X396" s="42"/>
      <c r="Y396" s="42"/>
      <c r="Z396" s="42"/>
      <c r="AA396" s="42"/>
      <c r="AB396" s="42"/>
      <c r="AC396" s="42"/>
    </row>
    <row r="397" spans="1:29" x14ac:dyDescent="0.25">
      <c r="A397" s="42"/>
      <c r="B397" s="35"/>
      <c r="C397" s="35"/>
      <c r="D397" s="41"/>
      <c r="E397" s="41"/>
      <c r="F397" s="40"/>
      <c r="G397" s="35"/>
      <c r="H397" s="41"/>
      <c r="I397" s="42"/>
      <c r="J397" s="42"/>
      <c r="K397" s="42"/>
      <c r="L397" s="42"/>
      <c r="M397" s="42"/>
      <c r="N397" s="42"/>
      <c r="O397" s="42"/>
      <c r="P397" s="42"/>
      <c r="Q397" s="42"/>
      <c r="R397" s="42"/>
      <c r="S397" s="42"/>
      <c r="T397" s="42"/>
      <c r="U397" s="42"/>
      <c r="V397" s="42"/>
      <c r="W397" s="42"/>
      <c r="X397" s="42"/>
      <c r="Y397" s="42"/>
      <c r="Z397" s="42"/>
      <c r="AA397" s="42"/>
      <c r="AB397" s="42"/>
      <c r="AC397" s="42"/>
    </row>
    <row r="398" spans="1:29" x14ac:dyDescent="0.25">
      <c r="A398" s="42"/>
      <c r="B398" s="35"/>
      <c r="C398" s="35"/>
      <c r="D398" s="41"/>
      <c r="E398" s="41"/>
      <c r="F398" s="40"/>
      <c r="G398" s="35"/>
      <c r="H398" s="41"/>
      <c r="I398" s="42"/>
      <c r="J398" s="42"/>
      <c r="K398" s="42"/>
      <c r="L398" s="42"/>
      <c r="M398" s="42"/>
      <c r="N398" s="42"/>
      <c r="O398" s="42"/>
      <c r="P398" s="42"/>
      <c r="Q398" s="42"/>
      <c r="R398" s="42"/>
      <c r="S398" s="42"/>
      <c r="T398" s="42"/>
      <c r="U398" s="42"/>
      <c r="V398" s="42"/>
      <c r="W398" s="42"/>
      <c r="X398" s="42"/>
      <c r="Y398" s="42"/>
      <c r="Z398" s="42"/>
      <c r="AA398" s="42"/>
      <c r="AB398" s="42"/>
      <c r="AC398" s="42"/>
    </row>
    <row r="399" spans="1:29" x14ac:dyDescent="0.25">
      <c r="A399" s="42"/>
      <c r="B399" s="35"/>
      <c r="C399" s="35"/>
      <c r="D399" s="41"/>
      <c r="E399" s="41"/>
      <c r="F399" s="40"/>
      <c r="G399" s="35"/>
      <c r="H399" s="41"/>
      <c r="I399" s="42"/>
      <c r="J399" s="42"/>
      <c r="K399" s="42"/>
      <c r="L399" s="42"/>
      <c r="M399" s="42"/>
      <c r="N399" s="42"/>
      <c r="O399" s="42"/>
      <c r="P399" s="42"/>
      <c r="Q399" s="42"/>
      <c r="R399" s="42"/>
      <c r="S399" s="42"/>
      <c r="T399" s="42"/>
      <c r="U399" s="42"/>
      <c r="V399" s="42"/>
      <c r="W399" s="42"/>
      <c r="X399" s="42"/>
      <c r="Y399" s="42"/>
      <c r="Z399" s="42"/>
      <c r="AA399" s="42"/>
      <c r="AB399" s="42"/>
      <c r="AC399" s="42"/>
    </row>
    <row r="400" spans="1:29" x14ac:dyDescent="0.25">
      <c r="A400" s="42"/>
      <c r="B400" s="35"/>
      <c r="C400" s="35"/>
      <c r="D400" s="41"/>
      <c r="E400" s="41"/>
      <c r="F400" s="40"/>
      <c r="G400" s="35"/>
      <c r="H400" s="41"/>
      <c r="I400" s="42"/>
      <c r="J400" s="42"/>
      <c r="K400" s="42"/>
      <c r="L400" s="42"/>
      <c r="M400" s="42"/>
      <c r="N400" s="42"/>
      <c r="O400" s="42"/>
      <c r="P400" s="42"/>
      <c r="Q400" s="42"/>
      <c r="R400" s="42"/>
      <c r="S400" s="42"/>
      <c r="T400" s="42"/>
      <c r="U400" s="42"/>
      <c r="V400" s="42"/>
      <c r="W400" s="42"/>
      <c r="X400" s="42"/>
      <c r="Y400" s="42"/>
      <c r="Z400" s="42"/>
      <c r="AA400" s="42"/>
      <c r="AB400" s="42"/>
      <c r="AC400" s="42"/>
    </row>
    <row r="401" spans="1:29" x14ac:dyDescent="0.25">
      <c r="A401" s="42"/>
      <c r="B401" s="35"/>
      <c r="C401" s="35"/>
      <c r="D401" s="41"/>
      <c r="E401" s="41"/>
      <c r="F401" s="40"/>
      <c r="G401" s="35"/>
      <c r="H401" s="41"/>
      <c r="I401" s="42"/>
      <c r="J401" s="42"/>
      <c r="K401" s="42"/>
      <c r="L401" s="42"/>
      <c r="M401" s="42"/>
      <c r="N401" s="42"/>
      <c r="O401" s="42"/>
      <c r="P401" s="42"/>
      <c r="Q401" s="42"/>
      <c r="R401" s="42"/>
      <c r="S401" s="42"/>
      <c r="T401" s="42"/>
      <c r="U401" s="42"/>
      <c r="V401" s="42"/>
      <c r="W401" s="42"/>
      <c r="X401" s="42"/>
      <c r="Y401" s="42"/>
      <c r="Z401" s="42"/>
      <c r="AA401" s="42"/>
      <c r="AB401" s="42"/>
      <c r="AC401" s="42"/>
    </row>
    <row r="402" spans="1:29" x14ac:dyDescent="0.25">
      <c r="A402" s="42"/>
      <c r="B402" s="35"/>
      <c r="C402" s="35"/>
      <c r="D402" s="41"/>
      <c r="E402" s="41"/>
      <c r="F402" s="40"/>
      <c r="G402" s="35"/>
      <c r="H402" s="41"/>
      <c r="I402" s="42"/>
      <c r="J402" s="42"/>
      <c r="K402" s="42"/>
      <c r="L402" s="42"/>
      <c r="M402" s="42"/>
      <c r="N402" s="42"/>
      <c r="O402" s="42"/>
      <c r="P402" s="42"/>
      <c r="Q402" s="42"/>
      <c r="R402" s="42"/>
      <c r="S402" s="42"/>
      <c r="T402" s="42"/>
      <c r="U402" s="42"/>
      <c r="V402" s="42"/>
      <c r="W402" s="42"/>
      <c r="X402" s="42"/>
      <c r="Y402" s="42"/>
      <c r="Z402" s="42"/>
      <c r="AA402" s="42"/>
      <c r="AB402" s="42"/>
      <c r="AC402" s="42"/>
    </row>
    <row r="403" spans="1:29" x14ac:dyDescent="0.25">
      <c r="A403" s="42"/>
      <c r="B403" s="35"/>
      <c r="C403" s="35"/>
      <c r="D403" s="41"/>
      <c r="E403" s="41"/>
      <c r="F403" s="40"/>
      <c r="G403" s="35"/>
      <c r="H403" s="41"/>
      <c r="I403" s="42"/>
      <c r="J403" s="42"/>
      <c r="K403" s="42"/>
      <c r="L403" s="42"/>
      <c r="M403" s="42"/>
      <c r="N403" s="42"/>
      <c r="O403" s="42"/>
      <c r="P403" s="42"/>
      <c r="Q403" s="42"/>
      <c r="R403" s="42"/>
      <c r="S403" s="42"/>
      <c r="T403" s="42"/>
      <c r="U403" s="42"/>
      <c r="V403" s="42"/>
      <c r="W403" s="42"/>
      <c r="X403" s="42"/>
      <c r="Y403" s="42"/>
      <c r="Z403" s="42"/>
      <c r="AA403" s="42"/>
      <c r="AB403" s="42"/>
      <c r="AC403" s="42"/>
    </row>
    <row r="404" spans="1:29" x14ac:dyDescent="0.25">
      <c r="A404" s="42"/>
      <c r="B404" s="35"/>
      <c r="C404" s="35"/>
      <c r="D404" s="41"/>
      <c r="E404" s="41"/>
      <c r="F404" s="40"/>
      <c r="G404" s="35"/>
      <c r="H404" s="41"/>
      <c r="I404" s="42"/>
      <c r="J404" s="42"/>
      <c r="K404" s="42"/>
      <c r="L404" s="42"/>
      <c r="M404" s="42"/>
      <c r="N404" s="42"/>
      <c r="O404" s="42"/>
      <c r="P404" s="42"/>
      <c r="Q404" s="42"/>
      <c r="R404" s="42"/>
      <c r="S404" s="42"/>
      <c r="T404" s="42"/>
      <c r="U404" s="42"/>
      <c r="V404" s="42"/>
      <c r="W404" s="42"/>
      <c r="X404" s="42"/>
      <c r="Y404" s="42"/>
      <c r="Z404" s="42"/>
      <c r="AA404" s="42"/>
      <c r="AB404" s="42"/>
      <c r="AC404" s="42"/>
    </row>
    <row r="405" spans="1:29" x14ac:dyDescent="0.25">
      <c r="A405" s="42"/>
      <c r="B405" s="35"/>
      <c r="C405" s="35"/>
      <c r="D405" s="41"/>
      <c r="E405" s="41"/>
      <c r="F405" s="40"/>
      <c r="G405" s="35"/>
      <c r="H405" s="41"/>
      <c r="I405" s="42"/>
      <c r="J405" s="42"/>
      <c r="K405" s="42"/>
      <c r="L405" s="42"/>
      <c r="M405" s="42"/>
      <c r="N405" s="42"/>
      <c r="O405" s="42"/>
      <c r="P405" s="42"/>
      <c r="Q405" s="42"/>
      <c r="R405" s="42"/>
      <c r="S405" s="42"/>
      <c r="T405" s="42"/>
      <c r="U405" s="42"/>
      <c r="V405" s="42"/>
      <c r="W405" s="42"/>
      <c r="X405" s="42"/>
      <c r="Y405" s="42"/>
      <c r="Z405" s="42"/>
      <c r="AA405" s="42"/>
      <c r="AB405" s="42"/>
      <c r="AC405" s="42"/>
    </row>
    <row r="406" spans="1:29" x14ac:dyDescent="0.25">
      <c r="A406" s="42"/>
      <c r="B406" s="35"/>
      <c r="C406" s="35"/>
      <c r="D406" s="41"/>
      <c r="E406" s="41"/>
      <c r="F406" s="40"/>
      <c r="G406" s="35"/>
      <c r="H406" s="41"/>
      <c r="I406" s="42"/>
      <c r="J406" s="42"/>
      <c r="K406" s="42"/>
      <c r="L406" s="42"/>
      <c r="M406" s="42"/>
      <c r="N406" s="42"/>
      <c r="O406" s="42"/>
      <c r="P406" s="42"/>
      <c r="Q406" s="42"/>
      <c r="R406" s="42"/>
      <c r="S406" s="42"/>
      <c r="T406" s="42"/>
      <c r="U406" s="42"/>
      <c r="V406" s="42"/>
      <c r="W406" s="42"/>
      <c r="X406" s="42"/>
      <c r="Y406" s="42"/>
      <c r="Z406" s="42"/>
      <c r="AA406" s="42"/>
      <c r="AB406" s="42"/>
      <c r="AC406" s="42"/>
    </row>
    <row r="407" spans="1:29" x14ac:dyDescent="0.25">
      <c r="A407" s="42"/>
      <c r="B407" s="35"/>
      <c r="C407" s="35"/>
      <c r="D407" s="41"/>
      <c r="E407" s="41"/>
      <c r="F407" s="40"/>
      <c r="G407" s="35"/>
      <c r="H407" s="41"/>
      <c r="I407" s="42"/>
      <c r="J407" s="42"/>
      <c r="K407" s="42"/>
      <c r="L407" s="42"/>
      <c r="M407" s="42"/>
      <c r="N407" s="42"/>
      <c r="O407" s="42"/>
      <c r="P407" s="42"/>
      <c r="Q407" s="42"/>
      <c r="R407" s="42"/>
      <c r="S407" s="42"/>
      <c r="T407" s="42"/>
      <c r="U407" s="42"/>
      <c r="V407" s="42"/>
      <c r="W407" s="42"/>
      <c r="X407" s="42"/>
      <c r="Y407" s="42"/>
      <c r="Z407" s="42"/>
      <c r="AA407" s="42"/>
      <c r="AB407" s="42"/>
      <c r="AC407" s="42"/>
    </row>
    <row r="408" spans="1:29" x14ac:dyDescent="0.25">
      <c r="A408" s="42"/>
      <c r="B408" s="35"/>
      <c r="C408" s="35"/>
      <c r="D408" s="41"/>
      <c r="E408" s="41"/>
      <c r="F408" s="40"/>
      <c r="G408" s="35"/>
      <c r="H408" s="41"/>
      <c r="I408" s="42"/>
      <c r="J408" s="42"/>
      <c r="K408" s="42"/>
      <c r="L408" s="42"/>
      <c r="M408" s="42"/>
      <c r="N408" s="42"/>
      <c r="O408" s="42"/>
      <c r="P408" s="42"/>
      <c r="Q408" s="42"/>
      <c r="R408" s="42"/>
      <c r="S408" s="42"/>
      <c r="T408" s="42"/>
      <c r="U408" s="42"/>
      <c r="V408" s="42"/>
      <c r="W408" s="42"/>
      <c r="X408" s="42"/>
      <c r="Y408" s="42"/>
      <c r="Z408" s="42"/>
      <c r="AA408" s="42"/>
      <c r="AB408" s="42"/>
      <c r="AC408" s="42"/>
    </row>
    <row r="409" spans="1:29" x14ac:dyDescent="0.25">
      <c r="A409" s="42"/>
      <c r="B409" s="35"/>
      <c r="C409" s="35"/>
      <c r="D409" s="41"/>
      <c r="E409" s="41"/>
      <c r="F409" s="40"/>
      <c r="G409" s="35"/>
      <c r="H409" s="41"/>
      <c r="I409" s="42"/>
      <c r="J409" s="42"/>
      <c r="K409" s="42"/>
      <c r="L409" s="42"/>
      <c r="M409" s="42"/>
      <c r="N409" s="42"/>
      <c r="O409" s="42"/>
      <c r="P409" s="42"/>
      <c r="Q409" s="42"/>
      <c r="R409" s="42"/>
      <c r="S409" s="42"/>
      <c r="T409" s="42"/>
      <c r="U409" s="42"/>
      <c r="V409" s="42"/>
      <c r="W409" s="42"/>
      <c r="X409" s="42"/>
      <c r="Y409" s="42"/>
      <c r="Z409" s="42"/>
      <c r="AA409" s="42"/>
      <c r="AB409" s="42"/>
      <c r="AC409" s="42"/>
    </row>
    <row r="410" spans="1:29" x14ac:dyDescent="0.25">
      <c r="A410" s="42"/>
      <c r="B410" s="35"/>
      <c r="C410" s="35"/>
      <c r="D410" s="41"/>
      <c r="E410" s="41"/>
      <c r="F410" s="40"/>
      <c r="G410" s="35"/>
      <c r="H410" s="41"/>
      <c r="I410" s="42"/>
      <c r="J410" s="42"/>
      <c r="K410" s="42"/>
      <c r="L410" s="42"/>
      <c r="M410" s="42"/>
      <c r="N410" s="42"/>
      <c r="O410" s="42"/>
      <c r="P410" s="42"/>
      <c r="Q410" s="42"/>
      <c r="R410" s="42"/>
      <c r="S410" s="42"/>
      <c r="T410" s="42"/>
      <c r="U410" s="42"/>
      <c r="V410" s="42"/>
      <c r="W410" s="42"/>
      <c r="X410" s="42"/>
      <c r="Y410" s="42"/>
      <c r="Z410" s="42"/>
      <c r="AA410" s="42"/>
      <c r="AB410" s="42"/>
      <c r="AC410" s="42"/>
    </row>
    <row r="411" spans="1:29" x14ac:dyDescent="0.25">
      <c r="A411" s="42"/>
      <c r="B411" s="35"/>
      <c r="C411" s="35"/>
      <c r="D411" s="41"/>
      <c r="E411" s="41"/>
      <c r="F411" s="40"/>
      <c r="G411" s="35"/>
      <c r="H411" s="41"/>
      <c r="I411" s="42"/>
      <c r="J411" s="42"/>
      <c r="K411" s="42"/>
      <c r="L411" s="42"/>
      <c r="M411" s="42"/>
      <c r="N411" s="42"/>
      <c r="O411" s="42"/>
      <c r="P411" s="42"/>
      <c r="Q411" s="42"/>
      <c r="R411" s="42"/>
      <c r="S411" s="42"/>
      <c r="T411" s="42"/>
      <c r="U411" s="42"/>
      <c r="V411" s="42"/>
      <c r="W411" s="42"/>
      <c r="X411" s="42"/>
      <c r="Y411" s="42"/>
      <c r="Z411" s="42"/>
      <c r="AA411" s="42"/>
      <c r="AB411" s="42"/>
      <c r="AC411" s="42"/>
    </row>
    <row r="412" spans="1:29" x14ac:dyDescent="0.25">
      <c r="A412" s="42"/>
      <c r="B412" s="35"/>
      <c r="C412" s="35"/>
      <c r="D412" s="41"/>
      <c r="E412" s="41"/>
      <c r="F412" s="40"/>
      <c r="G412" s="35"/>
      <c r="H412" s="41"/>
      <c r="I412" s="42"/>
      <c r="J412" s="42"/>
      <c r="K412" s="42"/>
      <c r="L412" s="42"/>
      <c r="M412" s="42"/>
      <c r="N412" s="42"/>
      <c r="O412" s="42"/>
      <c r="P412" s="42"/>
      <c r="Q412" s="42"/>
      <c r="R412" s="42"/>
      <c r="S412" s="42"/>
      <c r="T412" s="42"/>
      <c r="U412" s="42"/>
      <c r="V412" s="42"/>
      <c r="W412" s="42"/>
      <c r="X412" s="42"/>
      <c r="Y412" s="42"/>
      <c r="Z412" s="42"/>
      <c r="AA412" s="42"/>
      <c r="AB412" s="42"/>
      <c r="AC412" s="42"/>
    </row>
    <row r="413" spans="1:29" x14ac:dyDescent="0.25">
      <c r="A413" s="42"/>
      <c r="B413" s="35"/>
      <c r="C413" s="35"/>
      <c r="D413" s="41"/>
      <c r="E413" s="41"/>
      <c r="F413" s="40"/>
      <c r="G413" s="35"/>
      <c r="H413" s="41"/>
      <c r="I413" s="42"/>
      <c r="J413" s="42"/>
      <c r="K413" s="42"/>
      <c r="L413" s="42"/>
      <c r="M413" s="42"/>
      <c r="N413" s="42"/>
      <c r="O413" s="42"/>
      <c r="P413" s="42"/>
      <c r="Q413" s="42"/>
      <c r="R413" s="42"/>
      <c r="S413" s="42"/>
      <c r="T413" s="42"/>
      <c r="U413" s="42"/>
      <c r="V413" s="42"/>
      <c r="W413" s="42"/>
      <c r="X413" s="42"/>
      <c r="Y413" s="42"/>
      <c r="Z413" s="42"/>
      <c r="AA413" s="42"/>
      <c r="AB413" s="42"/>
      <c r="AC413" s="42"/>
    </row>
    <row r="414" spans="1:29" x14ac:dyDescent="0.25">
      <c r="A414" s="42"/>
      <c r="B414" s="35"/>
      <c r="C414" s="35"/>
      <c r="D414" s="41"/>
      <c r="E414" s="41"/>
      <c r="F414" s="40"/>
      <c r="G414" s="35"/>
      <c r="H414" s="41"/>
      <c r="I414" s="42"/>
      <c r="J414" s="42"/>
      <c r="K414" s="42"/>
      <c r="L414" s="42"/>
      <c r="M414" s="42"/>
      <c r="N414" s="42"/>
      <c r="O414" s="42"/>
      <c r="P414" s="42"/>
      <c r="Q414" s="42"/>
      <c r="R414" s="42"/>
      <c r="S414" s="42"/>
      <c r="T414" s="42"/>
      <c r="U414" s="42"/>
      <c r="V414" s="42"/>
      <c r="W414" s="42"/>
      <c r="X414" s="42"/>
      <c r="Y414" s="42"/>
      <c r="Z414" s="42"/>
      <c r="AA414" s="42"/>
      <c r="AB414" s="42"/>
      <c r="AC414" s="42"/>
    </row>
    <row r="415" spans="1:29" x14ac:dyDescent="0.25">
      <c r="A415" s="42"/>
      <c r="B415" s="35"/>
      <c r="C415" s="35"/>
      <c r="D415" s="41"/>
      <c r="E415" s="41"/>
      <c r="F415" s="40"/>
      <c r="G415" s="35"/>
      <c r="H415" s="41"/>
      <c r="I415" s="42"/>
      <c r="J415" s="42"/>
      <c r="K415" s="42"/>
      <c r="L415" s="42"/>
      <c r="M415" s="42"/>
      <c r="N415" s="42"/>
      <c r="O415" s="42"/>
      <c r="P415" s="42"/>
      <c r="Q415" s="42"/>
      <c r="R415" s="42"/>
      <c r="S415" s="42"/>
      <c r="T415" s="42"/>
      <c r="U415" s="42"/>
      <c r="V415" s="42"/>
      <c r="W415" s="42"/>
      <c r="X415" s="42"/>
      <c r="Y415" s="42"/>
      <c r="Z415" s="42"/>
      <c r="AA415" s="42"/>
      <c r="AB415" s="42"/>
      <c r="AC415" s="42"/>
    </row>
    <row r="416" spans="1:29" x14ac:dyDescent="0.25">
      <c r="A416" s="42"/>
      <c r="B416" s="35"/>
      <c r="C416" s="35"/>
      <c r="D416" s="41"/>
      <c r="E416" s="41"/>
      <c r="F416" s="40"/>
      <c r="G416" s="35"/>
      <c r="H416" s="41"/>
      <c r="I416" s="42"/>
      <c r="J416" s="42"/>
      <c r="K416" s="42"/>
      <c r="L416" s="42"/>
      <c r="M416" s="42"/>
      <c r="N416" s="42"/>
      <c r="O416" s="42"/>
      <c r="P416" s="42"/>
      <c r="Q416" s="42"/>
      <c r="R416" s="42"/>
      <c r="S416" s="42"/>
      <c r="T416" s="42"/>
      <c r="U416" s="42"/>
      <c r="V416" s="42"/>
      <c r="W416" s="42"/>
      <c r="X416" s="42"/>
      <c r="Y416" s="42"/>
      <c r="Z416" s="42"/>
      <c r="AA416" s="42"/>
      <c r="AB416" s="42"/>
      <c r="AC416" s="42"/>
    </row>
    <row r="417" spans="1:29" x14ac:dyDescent="0.25">
      <c r="A417" s="42"/>
      <c r="B417" s="35"/>
      <c r="C417" s="35"/>
      <c r="D417" s="41"/>
      <c r="E417" s="41"/>
      <c r="F417" s="40"/>
      <c r="G417" s="35"/>
      <c r="H417" s="41"/>
      <c r="I417" s="42"/>
      <c r="J417" s="42"/>
      <c r="K417" s="42"/>
      <c r="L417" s="42"/>
      <c r="M417" s="42"/>
      <c r="N417" s="42"/>
      <c r="O417" s="42"/>
      <c r="P417" s="42"/>
      <c r="Q417" s="42"/>
      <c r="R417" s="42"/>
      <c r="S417" s="42"/>
      <c r="T417" s="42"/>
      <c r="U417" s="42"/>
      <c r="V417" s="42"/>
      <c r="W417" s="42"/>
      <c r="X417" s="42"/>
      <c r="Y417" s="42"/>
      <c r="Z417" s="42"/>
      <c r="AA417" s="42"/>
      <c r="AB417" s="42"/>
      <c r="AC417" s="42"/>
    </row>
    <row r="418" spans="1:29" x14ac:dyDescent="0.25">
      <c r="A418" s="42"/>
      <c r="B418" s="35"/>
      <c r="C418" s="35"/>
      <c r="D418" s="41"/>
      <c r="E418" s="41"/>
      <c r="F418" s="40"/>
      <c r="G418" s="35"/>
      <c r="H418" s="41"/>
      <c r="I418" s="42"/>
      <c r="J418" s="42"/>
      <c r="K418" s="42"/>
      <c r="L418" s="42"/>
      <c r="M418" s="42"/>
      <c r="N418" s="42"/>
      <c r="O418" s="42"/>
      <c r="P418" s="42"/>
      <c r="Q418" s="42"/>
      <c r="R418" s="42"/>
      <c r="S418" s="42"/>
      <c r="T418" s="42"/>
      <c r="U418" s="42"/>
      <c r="V418" s="42"/>
      <c r="W418" s="42"/>
      <c r="X418" s="42"/>
      <c r="Y418" s="42"/>
      <c r="Z418" s="42"/>
      <c r="AA418" s="42"/>
      <c r="AB418" s="42"/>
      <c r="AC418" s="42"/>
    </row>
    <row r="419" spans="1:29" x14ac:dyDescent="0.25">
      <c r="A419" s="42"/>
      <c r="B419" s="35"/>
      <c r="C419" s="35"/>
      <c r="D419" s="41"/>
      <c r="E419" s="41"/>
      <c r="F419" s="40"/>
      <c r="G419" s="35"/>
      <c r="H419" s="41"/>
      <c r="I419" s="42"/>
      <c r="J419" s="42"/>
      <c r="K419" s="42"/>
      <c r="L419" s="42"/>
      <c r="M419" s="42"/>
      <c r="N419" s="42"/>
      <c r="O419" s="42"/>
      <c r="P419" s="42"/>
      <c r="Q419" s="42"/>
      <c r="R419" s="42"/>
      <c r="S419" s="42"/>
      <c r="T419" s="42"/>
      <c r="U419" s="42"/>
      <c r="V419" s="42"/>
      <c r="W419" s="42"/>
      <c r="X419" s="42"/>
      <c r="Y419" s="42"/>
      <c r="Z419" s="42"/>
      <c r="AA419" s="42"/>
      <c r="AB419" s="42"/>
      <c r="AC419" s="42"/>
    </row>
    <row r="420" spans="1:29" x14ac:dyDescent="0.25">
      <c r="A420" s="42"/>
      <c r="B420" s="35"/>
      <c r="C420" s="35"/>
      <c r="D420" s="41"/>
      <c r="E420" s="41"/>
      <c r="F420" s="40"/>
      <c r="G420" s="35"/>
      <c r="H420" s="41"/>
      <c r="I420" s="42"/>
      <c r="J420" s="42"/>
      <c r="K420" s="42"/>
      <c r="L420" s="42"/>
      <c r="M420" s="42"/>
      <c r="N420" s="42"/>
      <c r="O420" s="42"/>
      <c r="P420" s="42"/>
      <c r="Q420" s="42"/>
      <c r="R420" s="42"/>
      <c r="S420" s="42"/>
      <c r="T420" s="42"/>
      <c r="U420" s="42"/>
      <c r="V420" s="42"/>
      <c r="W420" s="42"/>
      <c r="X420" s="42"/>
      <c r="Y420" s="42"/>
      <c r="Z420" s="42"/>
      <c r="AA420" s="42"/>
      <c r="AB420" s="42"/>
      <c r="AC420" s="42"/>
    </row>
    <row r="421" spans="1:29" x14ac:dyDescent="0.25">
      <c r="A421" s="42"/>
      <c r="B421" s="35"/>
      <c r="C421" s="35"/>
      <c r="D421" s="41"/>
      <c r="E421" s="41"/>
      <c r="F421" s="40"/>
      <c r="G421" s="35"/>
      <c r="H421" s="41"/>
      <c r="I421" s="42"/>
      <c r="J421" s="42"/>
      <c r="K421" s="42"/>
      <c r="L421" s="42"/>
      <c r="M421" s="42"/>
      <c r="N421" s="42"/>
      <c r="O421" s="42"/>
      <c r="P421" s="42"/>
      <c r="Q421" s="42"/>
      <c r="R421" s="42"/>
      <c r="S421" s="42"/>
      <c r="T421" s="42"/>
      <c r="U421" s="42"/>
      <c r="V421" s="42"/>
      <c r="W421" s="42"/>
      <c r="X421" s="42"/>
      <c r="Y421" s="42"/>
      <c r="Z421" s="42"/>
      <c r="AA421" s="42"/>
      <c r="AB421" s="42"/>
      <c r="AC421" s="42"/>
    </row>
    <row r="422" spans="1:29" x14ac:dyDescent="0.25">
      <c r="A422" s="42"/>
      <c r="B422" s="35"/>
      <c r="C422" s="35"/>
      <c r="D422" s="41"/>
      <c r="E422" s="41"/>
      <c r="F422" s="40"/>
      <c r="G422" s="35"/>
      <c r="H422" s="41"/>
      <c r="I422" s="42"/>
      <c r="J422" s="42"/>
      <c r="K422" s="42"/>
      <c r="L422" s="42"/>
      <c r="M422" s="42"/>
      <c r="N422" s="42"/>
      <c r="O422" s="42"/>
      <c r="P422" s="42"/>
      <c r="Q422" s="42"/>
      <c r="R422" s="42"/>
      <c r="S422" s="42"/>
      <c r="T422" s="42"/>
      <c r="U422" s="42"/>
      <c r="V422" s="42"/>
      <c r="W422" s="42"/>
      <c r="X422" s="42"/>
      <c r="Y422" s="42"/>
      <c r="Z422" s="42"/>
      <c r="AA422" s="42"/>
      <c r="AB422" s="42"/>
      <c r="AC422" s="42"/>
    </row>
    <row r="423" spans="1:29" x14ac:dyDescent="0.25">
      <c r="A423" s="42"/>
      <c r="B423" s="35"/>
      <c r="C423" s="35"/>
      <c r="D423" s="41"/>
      <c r="E423" s="41"/>
      <c r="F423" s="40"/>
      <c r="G423" s="35"/>
      <c r="H423" s="41"/>
      <c r="I423" s="42"/>
      <c r="J423" s="42"/>
      <c r="K423" s="42"/>
      <c r="L423" s="42"/>
      <c r="M423" s="42"/>
      <c r="N423" s="42"/>
      <c r="O423" s="42"/>
      <c r="P423" s="42"/>
      <c r="Q423" s="42"/>
      <c r="R423" s="42"/>
      <c r="S423" s="42"/>
      <c r="T423" s="42"/>
      <c r="U423" s="42"/>
      <c r="V423" s="42"/>
      <c r="W423" s="42"/>
      <c r="X423" s="42"/>
      <c r="Y423" s="42"/>
      <c r="Z423" s="42"/>
      <c r="AA423" s="42"/>
      <c r="AB423" s="42"/>
      <c r="AC423" s="42"/>
    </row>
    <row r="424" spans="1:29" x14ac:dyDescent="0.25">
      <c r="A424" s="42"/>
      <c r="B424" s="35"/>
      <c r="C424" s="35"/>
      <c r="D424" s="41"/>
      <c r="E424" s="41"/>
      <c r="F424" s="40"/>
      <c r="G424" s="35"/>
      <c r="H424" s="41"/>
      <c r="I424" s="42"/>
      <c r="J424" s="42"/>
      <c r="K424" s="42"/>
      <c r="L424" s="42"/>
      <c r="M424" s="42"/>
      <c r="N424" s="42"/>
      <c r="O424" s="42"/>
      <c r="P424" s="42"/>
      <c r="Q424" s="42"/>
      <c r="R424" s="42"/>
      <c r="S424" s="42"/>
      <c r="T424" s="42"/>
      <c r="U424" s="42"/>
      <c r="V424" s="42"/>
      <c r="W424" s="42"/>
      <c r="X424" s="42"/>
      <c r="Y424" s="42"/>
      <c r="Z424" s="42"/>
      <c r="AA424" s="42"/>
      <c r="AB424" s="42"/>
      <c r="AC424" s="42"/>
    </row>
    <row r="425" spans="1:29" x14ac:dyDescent="0.25">
      <c r="A425" s="42"/>
      <c r="B425" s="35"/>
      <c r="C425" s="35"/>
      <c r="D425" s="41"/>
      <c r="E425" s="41"/>
      <c r="F425" s="40"/>
      <c r="G425" s="35"/>
      <c r="H425" s="41"/>
      <c r="I425" s="42"/>
      <c r="J425" s="42"/>
      <c r="K425" s="42"/>
      <c r="L425" s="42"/>
      <c r="M425" s="42"/>
      <c r="N425" s="42"/>
      <c r="O425" s="42"/>
      <c r="P425" s="42"/>
      <c r="Q425" s="42"/>
      <c r="R425" s="42"/>
      <c r="S425" s="42"/>
      <c r="T425" s="42"/>
      <c r="U425" s="42"/>
      <c r="V425" s="42"/>
      <c r="W425" s="42"/>
      <c r="X425" s="42"/>
      <c r="Y425" s="42"/>
      <c r="Z425" s="42"/>
      <c r="AA425" s="42"/>
      <c r="AB425" s="42"/>
      <c r="AC425" s="42"/>
    </row>
    <row r="426" spans="1:29" x14ac:dyDescent="0.25">
      <c r="A426" s="42"/>
      <c r="B426" s="35"/>
      <c r="C426" s="35"/>
      <c r="D426" s="41"/>
      <c r="E426" s="41"/>
      <c r="F426" s="40"/>
      <c r="G426" s="35"/>
      <c r="H426" s="41"/>
      <c r="I426" s="42"/>
      <c r="J426" s="42"/>
      <c r="K426" s="42"/>
      <c r="L426" s="42"/>
      <c r="M426" s="42"/>
      <c r="N426" s="42"/>
      <c r="O426" s="42"/>
      <c r="P426" s="42"/>
      <c r="Q426" s="42"/>
      <c r="R426" s="42"/>
      <c r="S426" s="42"/>
      <c r="T426" s="42"/>
      <c r="U426" s="42"/>
      <c r="V426" s="42"/>
      <c r="W426" s="42"/>
      <c r="X426" s="42"/>
      <c r="Y426" s="42"/>
      <c r="Z426" s="42"/>
      <c r="AA426" s="42"/>
      <c r="AB426" s="42"/>
      <c r="AC426" s="42"/>
    </row>
    <row r="427" spans="1:29" x14ac:dyDescent="0.25">
      <c r="A427" s="42"/>
      <c r="B427" s="35"/>
      <c r="C427" s="35"/>
      <c r="D427" s="41"/>
      <c r="E427" s="41"/>
      <c r="F427" s="40"/>
      <c r="G427" s="35"/>
      <c r="H427" s="41"/>
      <c r="I427" s="42"/>
      <c r="J427" s="42"/>
      <c r="K427" s="42"/>
      <c r="L427" s="42"/>
      <c r="M427" s="42"/>
      <c r="N427" s="42"/>
      <c r="O427" s="42"/>
      <c r="P427" s="42"/>
      <c r="Q427" s="42"/>
      <c r="R427" s="42"/>
      <c r="S427" s="42"/>
      <c r="T427" s="42"/>
      <c r="U427" s="42"/>
      <c r="V427" s="42"/>
      <c r="W427" s="42"/>
      <c r="X427" s="42"/>
      <c r="Y427" s="42"/>
      <c r="Z427" s="42"/>
      <c r="AA427" s="42"/>
      <c r="AB427" s="42"/>
      <c r="AC427" s="42"/>
    </row>
    <row r="428" spans="1:29" x14ac:dyDescent="0.25">
      <c r="A428" s="42"/>
      <c r="B428" s="35"/>
      <c r="C428" s="35"/>
      <c r="D428" s="41"/>
      <c r="E428" s="41"/>
      <c r="F428" s="40"/>
      <c r="G428" s="35"/>
      <c r="H428" s="41"/>
      <c r="I428" s="42"/>
      <c r="J428" s="42"/>
      <c r="K428" s="42"/>
      <c r="L428" s="42"/>
      <c r="M428" s="42"/>
      <c r="N428" s="42"/>
      <c r="O428" s="42"/>
      <c r="P428" s="42"/>
      <c r="Q428" s="42"/>
      <c r="R428" s="42"/>
      <c r="S428" s="42"/>
      <c r="T428" s="42"/>
      <c r="U428" s="42"/>
      <c r="V428" s="42"/>
      <c r="W428" s="42"/>
      <c r="X428" s="42"/>
      <c r="Y428" s="42"/>
      <c r="Z428" s="42"/>
      <c r="AA428" s="42"/>
      <c r="AB428" s="42"/>
      <c r="AC428" s="42"/>
    </row>
    <row r="429" spans="1:29" x14ac:dyDescent="0.25">
      <c r="A429" s="42"/>
      <c r="B429" s="35"/>
      <c r="C429" s="35"/>
      <c r="D429" s="41"/>
      <c r="E429" s="41"/>
      <c r="F429" s="40"/>
      <c r="G429" s="35"/>
      <c r="H429" s="41"/>
      <c r="I429" s="42"/>
      <c r="J429" s="42"/>
      <c r="K429" s="42"/>
      <c r="L429" s="42"/>
      <c r="M429" s="42"/>
      <c r="N429" s="42"/>
      <c r="O429" s="42"/>
      <c r="P429" s="42"/>
      <c r="Q429" s="42"/>
      <c r="R429" s="42"/>
      <c r="S429" s="42"/>
      <c r="T429" s="42"/>
      <c r="U429" s="42"/>
      <c r="V429" s="42"/>
      <c r="W429" s="42"/>
      <c r="X429" s="42"/>
      <c r="Y429" s="42"/>
      <c r="Z429" s="42"/>
      <c r="AA429" s="42"/>
      <c r="AB429" s="42"/>
      <c r="AC429" s="42"/>
    </row>
    <row r="430" spans="1:29" x14ac:dyDescent="0.25">
      <c r="A430" s="42"/>
      <c r="B430" s="35"/>
      <c r="C430" s="35"/>
      <c r="D430" s="41"/>
      <c r="E430" s="41"/>
      <c r="F430" s="40"/>
      <c r="G430" s="35"/>
      <c r="H430" s="41"/>
      <c r="I430" s="42"/>
      <c r="J430" s="42"/>
      <c r="K430" s="42"/>
      <c r="L430" s="42"/>
      <c r="M430" s="42"/>
      <c r="N430" s="42"/>
      <c r="O430" s="42"/>
      <c r="P430" s="42"/>
      <c r="Q430" s="42"/>
      <c r="R430" s="42"/>
      <c r="S430" s="42"/>
      <c r="T430" s="42"/>
      <c r="U430" s="42"/>
      <c r="V430" s="42"/>
      <c r="W430" s="42"/>
      <c r="X430" s="42"/>
      <c r="Y430" s="42"/>
      <c r="Z430" s="42"/>
      <c r="AA430" s="42"/>
      <c r="AB430" s="42"/>
      <c r="AC430" s="42"/>
    </row>
    <row r="431" spans="1:29" x14ac:dyDescent="0.25">
      <c r="A431" s="42"/>
      <c r="B431" s="35"/>
      <c r="C431" s="35"/>
      <c r="D431" s="41"/>
      <c r="E431" s="41"/>
      <c r="F431" s="40"/>
      <c r="G431" s="35"/>
      <c r="H431" s="41"/>
      <c r="I431" s="42"/>
      <c r="J431" s="42"/>
      <c r="K431" s="42"/>
      <c r="L431" s="42"/>
      <c r="M431" s="42"/>
      <c r="N431" s="42"/>
      <c r="O431" s="42"/>
      <c r="P431" s="42"/>
      <c r="Q431" s="42"/>
      <c r="R431" s="42"/>
      <c r="S431" s="42"/>
      <c r="T431" s="42"/>
      <c r="U431" s="42"/>
      <c r="V431" s="42"/>
      <c r="W431" s="42"/>
      <c r="X431" s="42"/>
      <c r="Y431" s="42"/>
      <c r="Z431" s="42"/>
      <c r="AA431" s="42"/>
      <c r="AB431" s="42"/>
      <c r="AC431" s="42"/>
    </row>
    <row r="432" spans="1:29" x14ac:dyDescent="0.25">
      <c r="A432" s="42"/>
      <c r="B432" s="35"/>
      <c r="C432" s="35"/>
      <c r="D432" s="41"/>
      <c r="E432" s="41"/>
      <c r="F432" s="40"/>
      <c r="G432" s="35"/>
      <c r="H432" s="41"/>
      <c r="I432" s="42"/>
      <c r="J432" s="42"/>
      <c r="K432" s="42"/>
      <c r="L432" s="42"/>
      <c r="M432" s="42"/>
      <c r="N432" s="42"/>
      <c r="O432" s="42"/>
      <c r="P432" s="42"/>
      <c r="Q432" s="42"/>
      <c r="R432" s="42"/>
      <c r="S432" s="42"/>
      <c r="T432" s="42"/>
      <c r="U432" s="42"/>
      <c r="V432" s="42"/>
      <c r="W432" s="42"/>
      <c r="X432" s="42"/>
      <c r="Y432" s="42"/>
      <c r="Z432" s="42"/>
      <c r="AA432" s="42"/>
      <c r="AB432" s="42"/>
      <c r="AC432" s="42"/>
    </row>
    <row r="433" spans="1:29" x14ac:dyDescent="0.25">
      <c r="A433" s="42"/>
      <c r="B433" s="35"/>
      <c r="C433" s="35"/>
      <c r="D433" s="41"/>
      <c r="E433" s="41"/>
      <c r="F433" s="40"/>
      <c r="G433" s="35"/>
      <c r="H433" s="41"/>
      <c r="I433" s="42"/>
      <c r="J433" s="42"/>
      <c r="K433" s="42"/>
      <c r="L433" s="42"/>
      <c r="M433" s="42"/>
      <c r="N433" s="42"/>
      <c r="O433" s="42"/>
      <c r="P433" s="42"/>
      <c r="Q433" s="42"/>
      <c r="R433" s="42"/>
      <c r="S433" s="42"/>
      <c r="T433" s="42"/>
      <c r="U433" s="42"/>
      <c r="V433" s="42"/>
      <c r="W433" s="42"/>
      <c r="X433" s="42"/>
      <c r="Y433" s="42"/>
      <c r="Z433" s="42"/>
      <c r="AA433" s="42"/>
      <c r="AB433" s="42"/>
      <c r="AC433" s="42"/>
    </row>
    <row r="434" spans="1:29" x14ac:dyDescent="0.25">
      <c r="A434" s="42"/>
      <c r="B434" s="35"/>
      <c r="C434" s="35"/>
      <c r="D434" s="41"/>
      <c r="E434" s="41"/>
      <c r="F434" s="40"/>
      <c r="G434" s="35"/>
      <c r="H434" s="41"/>
      <c r="I434" s="42"/>
      <c r="J434" s="42"/>
      <c r="K434" s="42"/>
      <c r="L434" s="42"/>
      <c r="M434" s="42"/>
      <c r="N434" s="42"/>
      <c r="O434" s="42"/>
      <c r="P434" s="42"/>
      <c r="Q434" s="42"/>
      <c r="R434" s="42"/>
      <c r="S434" s="42"/>
      <c r="T434" s="42"/>
      <c r="U434" s="42"/>
      <c r="V434" s="42"/>
      <c r="W434" s="42"/>
      <c r="X434" s="42"/>
      <c r="Y434" s="42"/>
      <c r="Z434" s="42"/>
      <c r="AA434" s="42"/>
      <c r="AB434" s="42"/>
      <c r="AC434" s="42"/>
    </row>
    <row r="435" spans="1:29" x14ac:dyDescent="0.25">
      <c r="A435" s="42"/>
      <c r="B435" s="35"/>
      <c r="C435" s="35"/>
      <c r="D435" s="41"/>
      <c r="E435" s="41"/>
      <c r="F435" s="40"/>
      <c r="G435" s="35"/>
      <c r="H435" s="41"/>
      <c r="I435" s="42"/>
      <c r="J435" s="42"/>
      <c r="K435" s="42"/>
      <c r="L435" s="42"/>
      <c r="M435" s="42"/>
      <c r="N435" s="42"/>
      <c r="O435" s="42"/>
      <c r="P435" s="42"/>
      <c r="Q435" s="42"/>
      <c r="R435" s="42"/>
      <c r="S435" s="42"/>
      <c r="T435" s="42"/>
      <c r="U435" s="42"/>
      <c r="V435" s="42"/>
      <c r="W435" s="42"/>
      <c r="X435" s="42"/>
      <c r="Y435" s="42"/>
      <c r="Z435" s="42"/>
      <c r="AA435" s="42"/>
      <c r="AB435" s="42"/>
      <c r="AC435" s="42"/>
    </row>
    <row r="436" spans="1:29" x14ac:dyDescent="0.25">
      <c r="A436" s="42"/>
      <c r="B436" s="35"/>
      <c r="C436" s="35"/>
      <c r="D436" s="41"/>
      <c r="E436" s="41"/>
      <c r="F436" s="40"/>
      <c r="G436" s="35"/>
      <c r="H436" s="41"/>
      <c r="I436" s="42"/>
      <c r="J436" s="42"/>
      <c r="K436" s="42"/>
      <c r="L436" s="42"/>
      <c r="M436" s="42"/>
      <c r="N436" s="42"/>
      <c r="O436" s="42"/>
      <c r="P436" s="42"/>
      <c r="Q436" s="42"/>
      <c r="R436" s="42"/>
      <c r="S436" s="42"/>
      <c r="T436" s="42"/>
      <c r="U436" s="42"/>
      <c r="V436" s="42"/>
      <c r="W436" s="42"/>
      <c r="X436" s="42"/>
      <c r="Y436" s="42"/>
      <c r="Z436" s="42"/>
      <c r="AA436" s="42"/>
      <c r="AB436" s="42"/>
      <c r="AC436" s="42"/>
    </row>
    <row r="437" spans="1:29" x14ac:dyDescent="0.25">
      <c r="A437" s="42"/>
      <c r="B437" s="35"/>
      <c r="C437" s="35"/>
      <c r="D437" s="41"/>
      <c r="E437" s="41"/>
      <c r="F437" s="40"/>
      <c r="G437" s="35"/>
      <c r="H437" s="41"/>
      <c r="I437" s="42"/>
      <c r="J437" s="42"/>
      <c r="K437" s="42"/>
      <c r="L437" s="42"/>
      <c r="M437" s="42"/>
      <c r="N437" s="42"/>
      <c r="O437" s="42"/>
      <c r="P437" s="42"/>
      <c r="Q437" s="42"/>
      <c r="R437" s="42"/>
      <c r="S437" s="42"/>
      <c r="T437" s="42"/>
      <c r="U437" s="42"/>
      <c r="V437" s="42"/>
      <c r="W437" s="42"/>
      <c r="X437" s="42"/>
      <c r="Y437" s="42"/>
      <c r="Z437" s="42"/>
      <c r="AA437" s="42"/>
      <c r="AB437" s="42"/>
      <c r="AC437" s="42"/>
    </row>
    <row r="438" spans="1:29" x14ac:dyDescent="0.25">
      <c r="A438" s="42"/>
      <c r="B438" s="35"/>
      <c r="C438" s="35"/>
      <c r="D438" s="41"/>
      <c r="E438" s="41"/>
      <c r="F438" s="40"/>
      <c r="G438" s="35"/>
      <c r="H438" s="41"/>
      <c r="I438" s="42"/>
      <c r="J438" s="42"/>
      <c r="K438" s="42"/>
      <c r="L438" s="42"/>
      <c r="M438" s="42"/>
      <c r="N438" s="42"/>
      <c r="O438" s="42"/>
      <c r="P438" s="42"/>
      <c r="Q438" s="42"/>
      <c r="R438" s="42"/>
      <c r="S438" s="42"/>
      <c r="T438" s="42"/>
      <c r="U438" s="42"/>
      <c r="V438" s="42"/>
      <c r="W438" s="42"/>
      <c r="X438" s="42"/>
      <c r="Y438" s="42"/>
      <c r="Z438" s="42"/>
      <c r="AA438" s="42"/>
      <c r="AB438" s="42"/>
      <c r="AC438" s="42"/>
    </row>
    <row r="439" spans="1:29" x14ac:dyDescent="0.25">
      <c r="A439" s="42"/>
      <c r="B439" s="35"/>
      <c r="C439" s="35"/>
      <c r="D439" s="41"/>
      <c r="E439" s="41"/>
      <c r="F439" s="40"/>
      <c r="G439" s="35"/>
      <c r="H439" s="41"/>
      <c r="I439" s="42"/>
      <c r="J439" s="42"/>
      <c r="K439" s="42"/>
      <c r="L439" s="42"/>
      <c r="M439" s="42"/>
      <c r="N439" s="42"/>
      <c r="O439" s="42"/>
      <c r="P439" s="42"/>
      <c r="Q439" s="42"/>
      <c r="R439" s="42"/>
      <c r="S439" s="42"/>
      <c r="T439" s="42"/>
      <c r="U439" s="42"/>
      <c r="V439" s="42"/>
      <c r="W439" s="42"/>
      <c r="X439" s="42"/>
      <c r="Y439" s="42"/>
      <c r="Z439" s="42"/>
      <c r="AA439" s="42"/>
      <c r="AB439" s="42"/>
      <c r="AC439" s="42"/>
    </row>
    <row r="440" spans="1:29" x14ac:dyDescent="0.25">
      <c r="A440" s="42"/>
      <c r="B440" s="35"/>
      <c r="C440" s="35"/>
      <c r="D440" s="41"/>
      <c r="E440" s="41"/>
      <c r="F440" s="40"/>
      <c r="G440" s="35"/>
      <c r="H440" s="41"/>
      <c r="I440" s="42"/>
      <c r="J440" s="42"/>
      <c r="K440" s="42"/>
      <c r="L440" s="42"/>
      <c r="M440" s="42"/>
      <c r="N440" s="42"/>
      <c r="O440" s="42"/>
      <c r="P440" s="42"/>
      <c r="Q440" s="42"/>
      <c r="R440" s="42"/>
      <c r="S440" s="42"/>
      <c r="T440" s="42"/>
      <c r="U440" s="42"/>
      <c r="V440" s="42"/>
      <c r="W440" s="42"/>
      <c r="X440" s="42"/>
      <c r="Y440" s="42"/>
      <c r="Z440" s="42"/>
      <c r="AA440" s="42"/>
      <c r="AB440" s="42"/>
      <c r="AC440" s="42"/>
    </row>
    <row r="441" spans="1:29" x14ac:dyDescent="0.25">
      <c r="A441" s="42"/>
      <c r="B441" s="35"/>
      <c r="C441" s="35"/>
      <c r="D441" s="41"/>
      <c r="E441" s="41"/>
      <c r="F441" s="40"/>
      <c r="G441" s="35"/>
      <c r="H441" s="41"/>
      <c r="I441" s="42"/>
      <c r="J441" s="42"/>
      <c r="K441" s="42"/>
      <c r="L441" s="42"/>
      <c r="M441" s="42"/>
      <c r="N441" s="42"/>
      <c r="O441" s="42"/>
      <c r="P441" s="42"/>
      <c r="Q441" s="42"/>
      <c r="R441" s="42"/>
      <c r="S441" s="42"/>
      <c r="T441" s="42"/>
      <c r="U441" s="42"/>
      <c r="V441" s="42"/>
      <c r="W441" s="42"/>
      <c r="X441" s="42"/>
      <c r="Y441" s="42"/>
      <c r="Z441" s="42"/>
      <c r="AA441" s="42"/>
      <c r="AB441" s="42"/>
      <c r="AC441" s="42"/>
    </row>
    <row r="442" spans="1:29" x14ac:dyDescent="0.25">
      <c r="A442" s="42"/>
      <c r="B442" s="35"/>
      <c r="C442" s="35"/>
      <c r="D442" s="41"/>
      <c r="E442" s="41"/>
      <c r="F442" s="40"/>
      <c r="G442" s="35"/>
      <c r="H442" s="41"/>
      <c r="I442" s="42"/>
      <c r="J442" s="42"/>
      <c r="K442" s="42"/>
      <c r="L442" s="42"/>
      <c r="M442" s="42"/>
      <c r="N442" s="42"/>
      <c r="O442" s="42"/>
      <c r="P442" s="42"/>
      <c r="Q442" s="42"/>
      <c r="R442" s="42"/>
      <c r="S442" s="42"/>
      <c r="T442" s="42"/>
      <c r="U442" s="42"/>
      <c r="V442" s="42"/>
      <c r="W442" s="42"/>
      <c r="X442" s="42"/>
      <c r="Y442" s="42"/>
      <c r="Z442" s="42"/>
      <c r="AA442" s="42"/>
      <c r="AB442" s="42"/>
      <c r="AC442" s="42"/>
    </row>
    <row r="443" spans="1:29" x14ac:dyDescent="0.25">
      <c r="A443" s="42"/>
      <c r="B443" s="35"/>
      <c r="C443" s="35"/>
      <c r="D443" s="41"/>
      <c r="E443" s="41"/>
      <c r="F443" s="40"/>
      <c r="G443" s="35"/>
      <c r="H443" s="41"/>
      <c r="I443" s="42"/>
      <c r="J443" s="42"/>
      <c r="K443" s="42"/>
      <c r="L443" s="42"/>
      <c r="M443" s="42"/>
      <c r="N443" s="42"/>
      <c r="O443" s="42"/>
      <c r="P443" s="42"/>
      <c r="Q443" s="42"/>
      <c r="R443" s="42"/>
      <c r="S443" s="42"/>
      <c r="T443" s="42"/>
      <c r="U443" s="42"/>
      <c r="V443" s="42"/>
      <c r="W443" s="42"/>
      <c r="X443" s="42"/>
      <c r="Y443" s="42"/>
      <c r="Z443" s="42"/>
      <c r="AA443" s="42"/>
      <c r="AB443" s="42"/>
      <c r="AC443" s="42"/>
    </row>
    <row r="444" spans="1:29" x14ac:dyDescent="0.25">
      <c r="A444" s="42"/>
      <c r="B444" s="35"/>
      <c r="C444" s="35"/>
      <c r="D444" s="41"/>
      <c r="E444" s="41"/>
      <c r="F444" s="40"/>
      <c r="G444" s="35"/>
      <c r="H444" s="41"/>
      <c r="I444" s="42"/>
      <c r="J444" s="42"/>
      <c r="K444" s="42"/>
      <c r="L444" s="42"/>
      <c r="M444" s="42"/>
      <c r="N444" s="42"/>
      <c r="O444" s="42"/>
      <c r="P444" s="42"/>
      <c r="Q444" s="42"/>
      <c r="R444" s="42"/>
      <c r="S444" s="42"/>
      <c r="T444" s="42"/>
      <c r="U444" s="42"/>
      <c r="V444" s="42"/>
      <c r="W444" s="42"/>
      <c r="X444" s="42"/>
      <c r="Y444" s="42"/>
      <c r="Z444" s="42"/>
      <c r="AA444" s="42"/>
      <c r="AB444" s="42"/>
      <c r="AC444" s="42"/>
    </row>
    <row r="445" spans="1:29" x14ac:dyDescent="0.25">
      <c r="A445" s="42"/>
      <c r="B445" s="35"/>
      <c r="C445" s="35"/>
      <c r="D445" s="41"/>
      <c r="E445" s="41"/>
      <c r="F445" s="40"/>
      <c r="G445" s="35"/>
      <c r="H445" s="41"/>
      <c r="I445" s="42"/>
      <c r="J445" s="42"/>
      <c r="K445" s="42"/>
      <c r="L445" s="42"/>
      <c r="M445" s="42"/>
      <c r="N445" s="42"/>
      <c r="O445" s="42"/>
      <c r="P445" s="42"/>
      <c r="Q445" s="42"/>
      <c r="R445" s="42"/>
      <c r="S445" s="42"/>
      <c r="T445" s="42"/>
      <c r="U445" s="42"/>
      <c r="V445" s="42"/>
      <c r="W445" s="42"/>
      <c r="X445" s="42"/>
      <c r="Y445" s="42"/>
      <c r="Z445" s="42"/>
      <c r="AA445" s="42"/>
      <c r="AB445" s="42"/>
      <c r="AC445" s="42"/>
    </row>
    <row r="446" spans="1:29" x14ac:dyDescent="0.25">
      <c r="A446" s="42"/>
      <c r="B446" s="35"/>
      <c r="C446" s="35"/>
      <c r="D446" s="41"/>
      <c r="E446" s="41"/>
      <c r="F446" s="40"/>
      <c r="G446" s="35"/>
      <c r="H446" s="41"/>
      <c r="I446" s="42"/>
      <c r="J446" s="42"/>
      <c r="K446" s="42"/>
      <c r="L446" s="42"/>
      <c r="M446" s="42"/>
      <c r="N446" s="42"/>
      <c r="O446" s="42"/>
      <c r="P446" s="42"/>
      <c r="Q446" s="42"/>
      <c r="R446" s="42"/>
      <c r="S446" s="42"/>
      <c r="T446" s="42"/>
      <c r="U446" s="42"/>
      <c r="V446" s="42"/>
      <c r="W446" s="42"/>
      <c r="X446" s="42"/>
      <c r="Y446" s="42"/>
      <c r="Z446" s="42"/>
      <c r="AA446" s="42"/>
      <c r="AB446" s="42"/>
      <c r="AC446" s="42"/>
    </row>
    <row r="447" spans="1:29" x14ac:dyDescent="0.25">
      <c r="A447" s="42"/>
      <c r="B447" s="35"/>
      <c r="C447" s="35"/>
      <c r="D447" s="41"/>
      <c r="E447" s="41"/>
      <c r="F447" s="40"/>
      <c r="G447" s="35"/>
      <c r="H447" s="41"/>
      <c r="I447" s="42"/>
      <c r="J447" s="42"/>
      <c r="K447" s="42"/>
      <c r="L447" s="42"/>
      <c r="M447" s="42"/>
      <c r="N447" s="42"/>
      <c r="O447" s="42"/>
      <c r="P447" s="42"/>
      <c r="Q447" s="42"/>
      <c r="R447" s="42"/>
      <c r="S447" s="42"/>
      <c r="T447" s="42"/>
      <c r="U447" s="42"/>
      <c r="V447" s="42"/>
      <c r="W447" s="42"/>
      <c r="X447" s="42"/>
      <c r="Y447" s="42"/>
      <c r="Z447" s="42"/>
      <c r="AA447" s="42"/>
      <c r="AB447" s="42"/>
      <c r="AC447" s="42"/>
    </row>
    <row r="448" spans="1:29" x14ac:dyDescent="0.25">
      <c r="A448" s="42"/>
      <c r="B448" s="35"/>
      <c r="C448" s="35"/>
      <c r="D448" s="41"/>
      <c r="E448" s="41"/>
      <c r="F448" s="40"/>
      <c r="G448" s="35"/>
      <c r="H448" s="41"/>
      <c r="I448" s="42"/>
      <c r="J448" s="42"/>
      <c r="K448" s="42"/>
      <c r="L448" s="42"/>
      <c r="M448" s="42"/>
      <c r="N448" s="42"/>
      <c r="O448" s="42"/>
      <c r="P448" s="42"/>
      <c r="Q448" s="42"/>
      <c r="R448" s="42"/>
      <c r="S448" s="42"/>
      <c r="T448" s="42"/>
      <c r="U448" s="42"/>
      <c r="V448" s="42"/>
      <c r="W448" s="42"/>
      <c r="X448" s="42"/>
      <c r="Y448" s="42"/>
      <c r="Z448" s="42"/>
      <c r="AA448" s="42"/>
      <c r="AB448" s="42"/>
      <c r="AC448" s="42"/>
    </row>
    <row r="449" spans="1:29" x14ac:dyDescent="0.25">
      <c r="A449" s="42"/>
      <c r="B449" s="35"/>
      <c r="C449" s="35"/>
      <c r="D449" s="41"/>
      <c r="E449" s="41"/>
      <c r="F449" s="40"/>
      <c r="G449" s="35"/>
      <c r="H449" s="41"/>
      <c r="I449" s="42"/>
      <c r="J449" s="42"/>
      <c r="K449" s="42"/>
      <c r="L449" s="42"/>
      <c r="M449" s="42"/>
      <c r="N449" s="42"/>
      <c r="O449" s="42"/>
      <c r="P449" s="42"/>
      <c r="Q449" s="42"/>
      <c r="R449" s="42"/>
      <c r="S449" s="42"/>
      <c r="T449" s="42"/>
      <c r="U449" s="42"/>
      <c r="V449" s="42"/>
      <c r="W449" s="42"/>
      <c r="X449" s="42"/>
      <c r="Y449" s="42"/>
      <c r="Z449" s="42"/>
      <c r="AA449" s="42"/>
      <c r="AB449" s="42"/>
      <c r="AC449" s="42"/>
    </row>
    <row r="450" spans="1:29" x14ac:dyDescent="0.25">
      <c r="A450" s="42"/>
      <c r="B450" s="35"/>
      <c r="C450" s="35"/>
      <c r="D450" s="41"/>
      <c r="E450" s="41"/>
      <c r="F450" s="40"/>
      <c r="G450" s="35"/>
      <c r="H450" s="41"/>
      <c r="I450" s="42"/>
      <c r="J450" s="42"/>
      <c r="K450" s="42"/>
      <c r="L450" s="42"/>
      <c r="M450" s="42"/>
      <c r="N450" s="42"/>
      <c r="O450" s="42"/>
      <c r="P450" s="42"/>
      <c r="Q450" s="42"/>
      <c r="R450" s="42"/>
      <c r="S450" s="42"/>
      <c r="T450" s="42"/>
      <c r="U450" s="42"/>
      <c r="V450" s="42"/>
      <c r="W450" s="42"/>
      <c r="X450" s="42"/>
      <c r="Y450" s="42"/>
      <c r="Z450" s="42"/>
      <c r="AA450" s="42"/>
      <c r="AB450" s="42"/>
      <c r="AC450" s="42"/>
    </row>
    <row r="451" spans="1:29" x14ac:dyDescent="0.25">
      <c r="A451" s="42"/>
      <c r="B451" s="35"/>
      <c r="C451" s="35"/>
      <c r="D451" s="41"/>
      <c r="E451" s="41"/>
      <c r="F451" s="40"/>
      <c r="G451" s="35"/>
      <c r="H451" s="41"/>
      <c r="I451" s="42"/>
      <c r="J451" s="42"/>
      <c r="K451" s="42"/>
      <c r="L451" s="42"/>
      <c r="M451" s="42"/>
      <c r="N451" s="42"/>
      <c r="O451" s="42"/>
      <c r="P451" s="42"/>
      <c r="Q451" s="42"/>
      <c r="R451" s="42"/>
      <c r="S451" s="42"/>
      <c r="T451" s="42"/>
      <c r="U451" s="42"/>
      <c r="V451" s="42"/>
      <c r="W451" s="42"/>
      <c r="X451" s="42"/>
      <c r="Y451" s="42"/>
      <c r="Z451" s="42"/>
      <c r="AA451" s="42"/>
      <c r="AB451" s="42"/>
      <c r="AC451" s="42"/>
    </row>
    <row r="452" spans="1:29" x14ac:dyDescent="0.25">
      <c r="A452" s="42"/>
      <c r="B452" s="35"/>
      <c r="C452" s="35"/>
      <c r="D452" s="41"/>
      <c r="E452" s="41"/>
      <c r="F452" s="40"/>
      <c r="G452" s="35"/>
      <c r="H452" s="41"/>
      <c r="I452" s="42"/>
      <c r="J452" s="42"/>
      <c r="K452" s="42"/>
      <c r="L452" s="42"/>
      <c r="M452" s="42"/>
      <c r="N452" s="42"/>
      <c r="O452" s="42"/>
      <c r="P452" s="42"/>
      <c r="Q452" s="42"/>
      <c r="R452" s="42"/>
      <c r="S452" s="42"/>
      <c r="T452" s="42"/>
      <c r="U452" s="42"/>
      <c r="V452" s="42"/>
      <c r="W452" s="42"/>
      <c r="X452" s="42"/>
      <c r="Y452" s="42"/>
      <c r="Z452" s="42"/>
      <c r="AA452" s="42"/>
      <c r="AB452" s="42"/>
      <c r="AC452" s="42"/>
    </row>
    <row r="453" spans="1:29" x14ac:dyDescent="0.25">
      <c r="A453" s="42"/>
      <c r="B453" s="35"/>
      <c r="C453" s="35"/>
      <c r="D453" s="41"/>
      <c r="E453" s="41"/>
      <c r="F453" s="40"/>
      <c r="G453" s="35"/>
      <c r="H453" s="41"/>
      <c r="I453" s="42"/>
      <c r="J453" s="42"/>
      <c r="K453" s="42"/>
      <c r="L453" s="42"/>
      <c r="M453" s="42"/>
      <c r="N453" s="42"/>
      <c r="O453" s="42"/>
      <c r="P453" s="42"/>
      <c r="Q453" s="42"/>
      <c r="R453" s="42"/>
      <c r="S453" s="42"/>
      <c r="T453" s="42"/>
      <c r="U453" s="42"/>
      <c r="V453" s="42"/>
      <c r="W453" s="42"/>
      <c r="X453" s="42"/>
      <c r="Y453" s="42"/>
      <c r="Z453" s="42"/>
      <c r="AA453" s="42"/>
      <c r="AB453" s="42"/>
      <c r="AC453" s="42"/>
    </row>
    <row r="454" spans="1:29" x14ac:dyDescent="0.25">
      <c r="A454" s="42"/>
      <c r="B454" s="35"/>
      <c r="C454" s="35"/>
      <c r="D454" s="41"/>
      <c r="E454" s="41"/>
      <c r="F454" s="40"/>
      <c r="G454" s="35"/>
      <c r="H454" s="41"/>
      <c r="I454" s="42"/>
      <c r="J454" s="42"/>
      <c r="K454" s="42"/>
      <c r="L454" s="42"/>
      <c r="M454" s="42"/>
      <c r="N454" s="42"/>
      <c r="O454" s="42"/>
      <c r="P454" s="42"/>
      <c r="Q454" s="42"/>
      <c r="R454" s="42"/>
      <c r="S454" s="42"/>
      <c r="T454" s="42"/>
      <c r="U454" s="42"/>
      <c r="V454" s="42"/>
      <c r="W454" s="42"/>
      <c r="X454" s="42"/>
      <c r="Y454" s="42"/>
      <c r="Z454" s="42"/>
      <c r="AA454" s="42"/>
      <c r="AB454" s="42"/>
      <c r="AC454" s="42"/>
    </row>
    <row r="455" spans="1:29" x14ac:dyDescent="0.25">
      <c r="A455" s="42"/>
      <c r="B455" s="35"/>
      <c r="C455" s="35"/>
      <c r="D455" s="41"/>
      <c r="E455" s="41"/>
      <c r="F455" s="40"/>
      <c r="G455" s="35"/>
      <c r="H455" s="41"/>
      <c r="I455" s="42"/>
      <c r="J455" s="42"/>
      <c r="K455" s="42"/>
      <c r="L455" s="42"/>
      <c r="M455" s="42"/>
      <c r="N455" s="42"/>
      <c r="O455" s="42"/>
      <c r="P455" s="42"/>
      <c r="Q455" s="42"/>
      <c r="R455" s="42"/>
      <c r="S455" s="42"/>
      <c r="T455" s="42"/>
      <c r="U455" s="42"/>
      <c r="V455" s="42"/>
      <c r="W455" s="42"/>
      <c r="X455" s="42"/>
      <c r="Y455" s="42"/>
      <c r="Z455" s="42"/>
      <c r="AA455" s="42"/>
      <c r="AB455" s="42"/>
      <c r="AC455" s="42"/>
    </row>
    <row r="456" spans="1:29" x14ac:dyDescent="0.25">
      <c r="A456" s="42"/>
      <c r="B456" s="35"/>
      <c r="C456" s="35"/>
      <c r="D456" s="41"/>
      <c r="E456" s="41"/>
      <c r="F456" s="40"/>
      <c r="G456" s="35"/>
      <c r="H456" s="41"/>
      <c r="I456" s="42"/>
      <c r="J456" s="42"/>
      <c r="K456" s="42"/>
      <c r="L456" s="42"/>
      <c r="M456" s="42"/>
      <c r="N456" s="42"/>
      <c r="O456" s="42"/>
      <c r="P456" s="42"/>
      <c r="Q456" s="42"/>
      <c r="R456" s="42"/>
      <c r="S456" s="42"/>
      <c r="T456" s="42"/>
      <c r="U456" s="42"/>
      <c r="V456" s="42"/>
      <c r="W456" s="42"/>
      <c r="X456" s="42"/>
      <c r="Y456" s="42"/>
      <c r="Z456" s="42"/>
      <c r="AA456" s="42"/>
      <c r="AB456" s="42"/>
      <c r="AC456" s="42"/>
    </row>
    <row r="457" spans="1:29" x14ac:dyDescent="0.25">
      <c r="A457" s="42"/>
      <c r="B457" s="35"/>
      <c r="C457" s="35"/>
      <c r="D457" s="41"/>
      <c r="E457" s="41"/>
      <c r="F457" s="40"/>
      <c r="G457" s="35"/>
      <c r="H457" s="41"/>
      <c r="I457" s="42"/>
      <c r="J457" s="42"/>
      <c r="K457" s="42"/>
      <c r="L457" s="42"/>
      <c r="M457" s="42"/>
      <c r="N457" s="42"/>
      <c r="O457" s="42"/>
      <c r="P457" s="42"/>
      <c r="Q457" s="42"/>
      <c r="R457" s="42"/>
      <c r="S457" s="42"/>
      <c r="T457" s="42"/>
      <c r="U457" s="42"/>
      <c r="V457" s="42"/>
      <c r="W457" s="42"/>
      <c r="X457" s="42"/>
      <c r="Y457" s="42"/>
      <c r="Z457" s="42"/>
      <c r="AA457" s="42"/>
      <c r="AB457" s="42"/>
      <c r="AC457" s="42"/>
    </row>
    <row r="458" spans="1:29" x14ac:dyDescent="0.25">
      <c r="A458" s="42"/>
      <c r="B458" s="35"/>
      <c r="C458" s="35"/>
      <c r="D458" s="41"/>
      <c r="E458" s="41"/>
      <c r="F458" s="40"/>
      <c r="G458" s="35"/>
      <c r="H458" s="41"/>
      <c r="I458" s="42"/>
      <c r="J458" s="42"/>
      <c r="K458" s="42"/>
      <c r="L458" s="42"/>
      <c r="M458" s="42"/>
      <c r="N458" s="42"/>
      <c r="O458" s="42"/>
      <c r="P458" s="42"/>
      <c r="Q458" s="42"/>
      <c r="R458" s="42"/>
      <c r="S458" s="42"/>
      <c r="T458" s="42"/>
      <c r="U458" s="42"/>
      <c r="V458" s="42"/>
      <c r="W458" s="42"/>
      <c r="X458" s="42"/>
      <c r="Y458" s="42"/>
      <c r="Z458" s="42"/>
      <c r="AA458" s="42"/>
      <c r="AB458" s="42"/>
      <c r="AC458" s="42"/>
    </row>
    <row r="459" spans="1:29" x14ac:dyDescent="0.25">
      <c r="A459" s="42"/>
      <c r="B459" s="35"/>
      <c r="C459" s="35"/>
      <c r="D459" s="41"/>
      <c r="E459" s="41"/>
      <c r="F459" s="40"/>
      <c r="G459" s="35"/>
      <c r="H459" s="41"/>
      <c r="I459" s="42"/>
      <c r="J459" s="42"/>
      <c r="K459" s="42"/>
      <c r="L459" s="42"/>
      <c r="M459" s="42"/>
      <c r="N459" s="42"/>
      <c r="O459" s="42"/>
      <c r="P459" s="42"/>
      <c r="Q459" s="42"/>
      <c r="R459" s="42"/>
      <c r="S459" s="42"/>
      <c r="T459" s="42"/>
      <c r="U459" s="42"/>
      <c r="V459" s="42"/>
      <c r="W459" s="42"/>
      <c r="X459" s="42"/>
      <c r="Y459" s="42"/>
      <c r="Z459" s="42"/>
      <c r="AA459" s="42"/>
      <c r="AB459" s="42"/>
      <c r="AC459" s="42"/>
    </row>
    <row r="460" spans="1:29" x14ac:dyDescent="0.25">
      <c r="A460" s="42"/>
      <c r="B460" s="35"/>
      <c r="C460" s="35"/>
      <c r="D460" s="41"/>
      <c r="E460" s="41"/>
      <c r="F460" s="40"/>
      <c r="G460" s="35"/>
      <c r="H460" s="41"/>
      <c r="I460" s="42"/>
      <c r="J460" s="42"/>
      <c r="K460" s="42"/>
      <c r="L460" s="42"/>
      <c r="M460" s="42"/>
      <c r="N460" s="42"/>
      <c r="O460" s="42"/>
      <c r="P460" s="42"/>
      <c r="Q460" s="42"/>
      <c r="R460" s="42"/>
      <c r="S460" s="42"/>
      <c r="T460" s="42"/>
      <c r="U460" s="42"/>
      <c r="V460" s="42"/>
      <c r="W460" s="42"/>
      <c r="X460" s="42"/>
      <c r="Y460" s="42"/>
      <c r="Z460" s="42"/>
      <c r="AA460" s="42"/>
      <c r="AB460" s="42"/>
      <c r="AC460" s="42"/>
    </row>
    <row r="461" spans="1:29" x14ac:dyDescent="0.25">
      <c r="A461" s="42"/>
      <c r="B461" s="35"/>
      <c r="C461" s="35"/>
      <c r="D461" s="41"/>
      <c r="E461" s="41"/>
      <c r="F461" s="40"/>
      <c r="G461" s="35"/>
      <c r="H461" s="41"/>
      <c r="I461" s="42"/>
      <c r="J461" s="42"/>
      <c r="K461" s="42"/>
      <c r="L461" s="42"/>
      <c r="M461" s="42"/>
      <c r="N461" s="42"/>
      <c r="O461" s="42"/>
      <c r="P461" s="42"/>
      <c r="Q461" s="42"/>
      <c r="R461" s="42"/>
      <c r="S461" s="42"/>
      <c r="T461" s="42"/>
      <c r="U461" s="42"/>
      <c r="V461" s="42"/>
      <c r="W461" s="42"/>
      <c r="X461" s="42"/>
      <c r="Y461" s="42"/>
      <c r="Z461" s="42"/>
      <c r="AA461" s="42"/>
      <c r="AB461" s="42"/>
      <c r="AC461" s="42"/>
    </row>
    <row r="462" spans="1:29" x14ac:dyDescent="0.25">
      <c r="A462" s="42"/>
      <c r="B462" s="35"/>
      <c r="C462" s="35"/>
      <c r="D462" s="41"/>
      <c r="E462" s="41"/>
      <c r="F462" s="40"/>
      <c r="G462" s="35"/>
      <c r="H462" s="41"/>
      <c r="I462" s="42"/>
      <c r="J462" s="42"/>
      <c r="K462" s="42"/>
      <c r="L462" s="42"/>
      <c r="M462" s="42"/>
      <c r="N462" s="42"/>
      <c r="O462" s="42"/>
      <c r="P462" s="42"/>
      <c r="Q462" s="42"/>
      <c r="R462" s="42"/>
      <c r="S462" s="42"/>
      <c r="T462" s="42"/>
      <c r="U462" s="42"/>
      <c r="V462" s="42"/>
      <c r="W462" s="42"/>
      <c r="X462" s="42"/>
      <c r="Y462" s="42"/>
      <c r="Z462" s="42"/>
      <c r="AA462" s="42"/>
      <c r="AB462" s="42"/>
      <c r="AC462" s="42"/>
    </row>
    <row r="463" spans="1:29" x14ac:dyDescent="0.25">
      <c r="A463" s="42"/>
      <c r="B463" s="35"/>
      <c r="C463" s="35"/>
      <c r="D463" s="41"/>
      <c r="E463" s="41"/>
      <c r="F463" s="40"/>
      <c r="G463" s="35"/>
      <c r="H463" s="41"/>
      <c r="I463" s="42"/>
      <c r="J463" s="42"/>
      <c r="K463" s="42"/>
      <c r="L463" s="42"/>
      <c r="M463" s="42"/>
      <c r="N463" s="42"/>
      <c r="O463" s="42"/>
      <c r="P463" s="42"/>
      <c r="Q463" s="42"/>
      <c r="R463" s="42"/>
      <c r="S463" s="42"/>
      <c r="T463" s="42"/>
      <c r="U463" s="42"/>
      <c r="V463" s="42"/>
      <c r="W463" s="42"/>
      <c r="X463" s="42"/>
      <c r="Y463" s="42"/>
      <c r="Z463" s="42"/>
      <c r="AA463" s="42"/>
      <c r="AB463" s="42"/>
      <c r="AC463" s="42"/>
    </row>
    <row r="464" spans="1:29" x14ac:dyDescent="0.25">
      <c r="A464" s="42"/>
      <c r="B464" s="35"/>
      <c r="C464" s="35"/>
      <c r="D464" s="41"/>
      <c r="E464" s="41"/>
      <c r="F464" s="40"/>
      <c r="G464" s="35"/>
      <c r="H464" s="41"/>
      <c r="I464" s="42"/>
      <c r="J464" s="42"/>
      <c r="K464" s="42"/>
      <c r="L464" s="42"/>
      <c r="M464" s="42"/>
      <c r="N464" s="42"/>
      <c r="O464" s="42"/>
      <c r="P464" s="42"/>
      <c r="Q464" s="42"/>
      <c r="R464" s="42"/>
      <c r="S464" s="42"/>
      <c r="T464" s="42"/>
      <c r="U464" s="42"/>
      <c r="V464" s="42"/>
      <c r="W464" s="42"/>
      <c r="X464" s="42"/>
      <c r="Y464" s="42"/>
      <c r="Z464" s="42"/>
      <c r="AA464" s="42"/>
      <c r="AB464" s="42"/>
      <c r="AC464" s="42"/>
    </row>
    <row r="465" spans="1:29" x14ac:dyDescent="0.25">
      <c r="A465" s="42"/>
      <c r="B465" s="35"/>
      <c r="C465" s="35"/>
      <c r="D465" s="41"/>
      <c r="E465" s="41"/>
      <c r="F465" s="40"/>
      <c r="G465" s="35"/>
      <c r="H465" s="41"/>
      <c r="I465" s="42"/>
      <c r="J465" s="42"/>
      <c r="K465" s="42"/>
      <c r="L465" s="42"/>
      <c r="M465" s="42"/>
      <c r="N465" s="42"/>
      <c r="O465" s="42"/>
      <c r="P465" s="42"/>
      <c r="Q465" s="42"/>
      <c r="R465" s="42"/>
      <c r="S465" s="42"/>
      <c r="T465" s="42"/>
      <c r="U465" s="42"/>
      <c r="V465" s="42"/>
      <c r="W465" s="42"/>
      <c r="X465" s="42"/>
      <c r="Y465" s="42"/>
      <c r="Z465" s="42"/>
      <c r="AA465" s="42"/>
      <c r="AB465" s="42"/>
      <c r="AC465" s="42"/>
    </row>
    <row r="466" spans="1:29" x14ac:dyDescent="0.25">
      <c r="A466" s="42"/>
      <c r="B466" s="35"/>
      <c r="C466" s="35"/>
      <c r="D466" s="41"/>
      <c r="E466" s="41"/>
      <c r="F466" s="40"/>
      <c r="G466" s="35"/>
      <c r="H466" s="41"/>
      <c r="I466" s="42"/>
      <c r="J466" s="42"/>
      <c r="K466" s="42"/>
      <c r="L466" s="42"/>
      <c r="M466" s="42"/>
      <c r="N466" s="42"/>
      <c r="O466" s="42"/>
      <c r="P466" s="42"/>
      <c r="Q466" s="42"/>
      <c r="R466" s="42"/>
      <c r="S466" s="42"/>
      <c r="T466" s="42"/>
      <c r="U466" s="42"/>
      <c r="V466" s="42"/>
      <c r="W466" s="42"/>
      <c r="X466" s="42"/>
      <c r="Y466" s="42"/>
      <c r="Z466" s="42"/>
      <c r="AA466" s="42"/>
      <c r="AB466" s="42"/>
      <c r="AC466" s="42"/>
    </row>
    <row r="467" spans="1:29" x14ac:dyDescent="0.25">
      <c r="A467" s="42"/>
      <c r="B467" s="35"/>
      <c r="C467" s="35"/>
      <c r="D467" s="41"/>
      <c r="E467" s="41"/>
      <c r="F467" s="40"/>
      <c r="G467" s="35"/>
      <c r="H467" s="41"/>
      <c r="I467" s="42"/>
      <c r="J467" s="42"/>
      <c r="K467" s="42"/>
      <c r="L467" s="42"/>
      <c r="M467" s="42"/>
      <c r="N467" s="42"/>
      <c r="O467" s="42"/>
      <c r="P467" s="42"/>
      <c r="Q467" s="42"/>
      <c r="R467" s="42"/>
      <c r="S467" s="42"/>
      <c r="T467" s="42"/>
      <c r="U467" s="42"/>
      <c r="V467" s="42"/>
      <c r="W467" s="42"/>
      <c r="X467" s="42"/>
      <c r="Y467" s="42"/>
      <c r="Z467" s="42"/>
      <c r="AA467" s="42"/>
      <c r="AB467" s="42"/>
      <c r="AC467" s="42"/>
    </row>
    <row r="468" spans="1:29" x14ac:dyDescent="0.25">
      <c r="A468" s="42"/>
      <c r="B468" s="35"/>
      <c r="C468" s="35"/>
      <c r="D468" s="41"/>
      <c r="E468" s="41"/>
      <c r="F468" s="40"/>
      <c r="G468" s="35"/>
      <c r="H468" s="41"/>
      <c r="I468" s="42"/>
      <c r="J468" s="42"/>
      <c r="K468" s="42"/>
      <c r="L468" s="42"/>
      <c r="M468" s="42"/>
      <c r="N468" s="42"/>
      <c r="O468" s="42"/>
      <c r="P468" s="42"/>
      <c r="Q468" s="42"/>
      <c r="R468" s="42"/>
      <c r="S468" s="42"/>
      <c r="T468" s="42"/>
      <c r="U468" s="42"/>
      <c r="V468" s="42"/>
      <c r="W468" s="42"/>
      <c r="X468" s="42"/>
      <c r="Y468" s="42"/>
      <c r="Z468" s="42"/>
      <c r="AA468" s="42"/>
      <c r="AB468" s="42"/>
      <c r="AC468" s="42"/>
    </row>
    <row r="469" spans="1:29" x14ac:dyDescent="0.25">
      <c r="A469" s="42"/>
      <c r="B469" s="35"/>
      <c r="C469" s="35"/>
      <c r="D469" s="41"/>
      <c r="E469" s="41"/>
      <c r="F469" s="40"/>
      <c r="G469" s="35"/>
      <c r="H469" s="41"/>
      <c r="I469" s="42"/>
      <c r="J469" s="42"/>
      <c r="K469" s="42"/>
      <c r="L469" s="42"/>
      <c r="M469" s="42"/>
      <c r="N469" s="42"/>
      <c r="O469" s="42"/>
      <c r="P469" s="42"/>
      <c r="Q469" s="42"/>
      <c r="R469" s="42"/>
      <c r="S469" s="42"/>
      <c r="T469" s="42"/>
      <c r="U469" s="42"/>
      <c r="V469" s="42"/>
      <c r="W469" s="42"/>
      <c r="X469" s="42"/>
      <c r="Y469" s="42"/>
      <c r="Z469" s="42"/>
      <c r="AA469" s="42"/>
      <c r="AB469" s="42"/>
      <c r="AC469" s="42"/>
    </row>
    <row r="470" spans="1:29" x14ac:dyDescent="0.25">
      <c r="A470" s="42"/>
      <c r="B470" s="35"/>
      <c r="C470" s="35"/>
      <c r="D470" s="41"/>
      <c r="E470" s="41"/>
      <c r="F470" s="40"/>
      <c r="G470" s="35"/>
      <c r="H470" s="41"/>
      <c r="I470" s="42"/>
      <c r="J470" s="42"/>
      <c r="K470" s="42"/>
      <c r="L470" s="42"/>
      <c r="M470" s="42"/>
      <c r="N470" s="42"/>
      <c r="O470" s="42"/>
      <c r="P470" s="42"/>
      <c r="Q470" s="42"/>
      <c r="R470" s="42"/>
      <c r="S470" s="42"/>
      <c r="T470" s="42"/>
      <c r="U470" s="42"/>
      <c r="V470" s="42"/>
      <c r="W470" s="42"/>
      <c r="X470" s="42"/>
      <c r="Y470" s="42"/>
      <c r="Z470" s="42"/>
      <c r="AA470" s="42"/>
      <c r="AB470" s="42"/>
      <c r="AC470" s="42"/>
    </row>
    <row r="471" spans="1:29" x14ac:dyDescent="0.25">
      <c r="A471" s="42"/>
      <c r="B471" s="35"/>
      <c r="C471" s="35"/>
      <c r="D471" s="41"/>
      <c r="E471" s="41"/>
      <c r="F471" s="40"/>
      <c r="G471" s="35"/>
      <c r="H471" s="41"/>
      <c r="I471" s="42"/>
      <c r="J471" s="42"/>
      <c r="K471" s="42"/>
      <c r="L471" s="42"/>
      <c r="M471" s="42"/>
      <c r="N471" s="42"/>
      <c r="O471" s="42"/>
      <c r="P471" s="42"/>
      <c r="Q471" s="42"/>
      <c r="R471" s="42"/>
      <c r="S471" s="42"/>
      <c r="T471" s="42"/>
      <c r="U471" s="42"/>
      <c r="V471" s="42"/>
      <c r="W471" s="42"/>
      <c r="X471" s="42"/>
      <c r="Y471" s="42"/>
      <c r="Z471" s="42"/>
      <c r="AA471" s="42"/>
      <c r="AB471" s="42"/>
      <c r="AC471" s="42"/>
    </row>
    <row r="472" spans="1:29" x14ac:dyDescent="0.25">
      <c r="A472" s="42"/>
      <c r="B472" s="35"/>
      <c r="C472" s="35"/>
      <c r="D472" s="41"/>
      <c r="E472" s="41"/>
      <c r="F472" s="40"/>
      <c r="G472" s="35"/>
      <c r="H472" s="41"/>
      <c r="I472" s="42"/>
      <c r="J472" s="42"/>
      <c r="K472" s="42"/>
      <c r="L472" s="42"/>
      <c r="M472" s="42"/>
      <c r="N472" s="42"/>
      <c r="O472" s="42"/>
      <c r="P472" s="42"/>
      <c r="Q472" s="42"/>
      <c r="R472" s="42"/>
      <c r="S472" s="42"/>
      <c r="T472" s="42"/>
      <c r="U472" s="42"/>
      <c r="V472" s="42"/>
      <c r="W472" s="42"/>
      <c r="X472" s="42"/>
      <c r="Y472" s="42"/>
      <c r="Z472" s="42"/>
      <c r="AA472" s="42"/>
      <c r="AB472" s="42"/>
      <c r="AC472" s="42"/>
    </row>
    <row r="473" spans="1:29" x14ac:dyDescent="0.25">
      <c r="A473" s="42"/>
      <c r="B473" s="35"/>
      <c r="C473" s="35"/>
      <c r="D473" s="41"/>
      <c r="E473" s="41"/>
      <c r="F473" s="40"/>
      <c r="G473" s="35"/>
      <c r="H473" s="41"/>
      <c r="I473" s="42"/>
      <c r="J473" s="42"/>
      <c r="K473" s="42"/>
      <c r="L473" s="42"/>
      <c r="M473" s="42"/>
      <c r="N473" s="42"/>
      <c r="O473" s="42"/>
      <c r="P473" s="42"/>
      <c r="Q473" s="42"/>
      <c r="R473" s="42"/>
      <c r="S473" s="42"/>
      <c r="T473" s="42"/>
      <c r="U473" s="42"/>
      <c r="V473" s="42"/>
      <c r="W473" s="42"/>
      <c r="X473" s="42"/>
      <c r="Y473" s="42"/>
      <c r="Z473" s="42"/>
      <c r="AA473" s="42"/>
      <c r="AB473" s="42"/>
      <c r="AC473" s="42"/>
    </row>
    <row r="474" spans="1:29" x14ac:dyDescent="0.25">
      <c r="A474" s="42"/>
      <c r="B474" s="35"/>
      <c r="C474" s="35"/>
      <c r="D474" s="41"/>
      <c r="E474" s="41"/>
      <c r="F474" s="40"/>
      <c r="G474" s="35"/>
      <c r="H474" s="41"/>
      <c r="I474" s="42"/>
      <c r="J474" s="42"/>
      <c r="K474" s="42"/>
      <c r="L474" s="42"/>
      <c r="M474" s="42"/>
      <c r="N474" s="42"/>
      <c r="O474" s="42"/>
      <c r="P474" s="42"/>
      <c r="Q474" s="42"/>
      <c r="R474" s="42"/>
      <c r="S474" s="42"/>
      <c r="T474" s="42"/>
      <c r="U474" s="42"/>
      <c r="V474" s="42"/>
      <c r="W474" s="42"/>
      <c r="X474" s="42"/>
      <c r="Y474" s="42"/>
      <c r="Z474" s="42"/>
      <c r="AA474" s="42"/>
      <c r="AB474" s="42"/>
      <c r="AC474" s="42"/>
    </row>
    <row r="475" spans="1:29" x14ac:dyDescent="0.25">
      <c r="A475" s="42"/>
      <c r="B475" s="35"/>
      <c r="C475" s="35"/>
      <c r="D475" s="41"/>
      <c r="E475" s="41"/>
      <c r="F475" s="40"/>
      <c r="G475" s="35"/>
      <c r="H475" s="41"/>
      <c r="I475" s="42"/>
      <c r="J475" s="42"/>
      <c r="K475" s="42"/>
      <c r="L475" s="42"/>
      <c r="M475" s="42"/>
      <c r="N475" s="42"/>
      <c r="O475" s="42"/>
      <c r="P475" s="42"/>
      <c r="Q475" s="42"/>
      <c r="R475" s="42"/>
      <c r="S475" s="42"/>
      <c r="T475" s="42"/>
      <c r="U475" s="42"/>
      <c r="V475" s="42"/>
      <c r="W475" s="42"/>
      <c r="X475" s="42"/>
      <c r="Y475" s="42"/>
      <c r="Z475" s="42"/>
      <c r="AA475" s="42"/>
      <c r="AB475" s="42"/>
      <c r="AC475" s="42"/>
    </row>
    <row r="476" spans="1:29" x14ac:dyDescent="0.25">
      <c r="A476" s="42"/>
      <c r="B476" s="35"/>
      <c r="C476" s="35"/>
      <c r="D476" s="41"/>
      <c r="E476" s="41"/>
      <c r="F476" s="40"/>
      <c r="G476" s="35"/>
      <c r="H476" s="41"/>
      <c r="I476" s="42"/>
      <c r="J476" s="42"/>
      <c r="K476" s="42"/>
      <c r="L476" s="42"/>
      <c r="M476" s="42"/>
      <c r="N476" s="42"/>
      <c r="O476" s="42"/>
      <c r="P476" s="42"/>
      <c r="Q476" s="42"/>
      <c r="R476" s="42"/>
      <c r="S476" s="42"/>
      <c r="T476" s="42"/>
      <c r="U476" s="42"/>
      <c r="V476" s="42"/>
      <c r="W476" s="42"/>
      <c r="X476" s="42"/>
      <c r="Y476" s="42"/>
      <c r="Z476" s="42"/>
      <c r="AA476" s="42"/>
      <c r="AB476" s="42"/>
      <c r="AC476" s="42"/>
    </row>
    <row r="477" spans="1:29" x14ac:dyDescent="0.25">
      <c r="A477" s="42"/>
      <c r="B477" s="35"/>
      <c r="C477" s="35"/>
      <c r="D477" s="41"/>
      <c r="E477" s="41"/>
      <c r="F477" s="40"/>
      <c r="G477" s="35"/>
      <c r="H477" s="41"/>
      <c r="I477" s="42"/>
      <c r="J477" s="42"/>
      <c r="K477" s="42"/>
      <c r="L477" s="42"/>
      <c r="M477" s="42"/>
      <c r="N477" s="42"/>
      <c r="O477" s="42"/>
      <c r="P477" s="42"/>
      <c r="Q477" s="42"/>
      <c r="R477" s="42"/>
      <c r="S477" s="42"/>
      <c r="T477" s="42"/>
      <c r="U477" s="42"/>
      <c r="V477" s="42"/>
      <c r="W477" s="42"/>
      <c r="X477" s="42"/>
      <c r="Y477" s="42"/>
      <c r="Z477" s="42"/>
      <c r="AA477" s="42"/>
      <c r="AB477" s="42"/>
      <c r="AC477" s="42"/>
    </row>
    <row r="478" spans="1:29" x14ac:dyDescent="0.25">
      <c r="A478" s="42"/>
      <c r="B478" s="35"/>
      <c r="C478" s="35"/>
      <c r="D478" s="41"/>
      <c r="E478" s="41"/>
      <c r="F478" s="40"/>
      <c r="G478" s="35"/>
      <c r="H478" s="41"/>
      <c r="I478" s="42"/>
      <c r="J478" s="42"/>
      <c r="K478" s="42"/>
      <c r="L478" s="42"/>
      <c r="M478" s="42"/>
      <c r="N478" s="42"/>
      <c r="O478" s="42"/>
      <c r="P478" s="42"/>
      <c r="Q478" s="42"/>
      <c r="R478" s="42"/>
      <c r="S478" s="42"/>
      <c r="T478" s="42"/>
      <c r="U478" s="42"/>
      <c r="V478" s="42"/>
      <c r="W478" s="42"/>
      <c r="X478" s="42"/>
      <c r="Y478" s="42"/>
      <c r="Z478" s="42"/>
      <c r="AA478" s="42"/>
      <c r="AB478" s="42"/>
      <c r="AC478" s="42"/>
    </row>
    <row r="479" spans="1:29" x14ac:dyDescent="0.25">
      <c r="A479" s="42"/>
      <c r="B479" s="35"/>
      <c r="C479" s="35"/>
      <c r="D479" s="41"/>
      <c r="E479" s="41"/>
      <c r="F479" s="40"/>
      <c r="G479" s="35"/>
      <c r="H479" s="41"/>
      <c r="I479" s="42"/>
      <c r="J479" s="42"/>
      <c r="K479" s="42"/>
      <c r="L479" s="42"/>
      <c r="M479" s="42"/>
      <c r="N479" s="42"/>
      <c r="O479" s="42"/>
      <c r="P479" s="42"/>
      <c r="Q479" s="42"/>
      <c r="R479" s="42"/>
      <c r="S479" s="42"/>
      <c r="T479" s="42"/>
      <c r="U479" s="42"/>
      <c r="V479" s="42"/>
      <c r="W479" s="42"/>
      <c r="X479" s="42"/>
      <c r="Y479" s="42"/>
      <c r="Z479" s="42"/>
      <c r="AA479" s="42"/>
      <c r="AB479" s="42"/>
      <c r="AC479" s="42"/>
    </row>
    <row r="480" spans="1:29" x14ac:dyDescent="0.25">
      <c r="A480" s="42"/>
      <c r="B480" s="35"/>
      <c r="C480" s="35"/>
      <c r="D480" s="41"/>
      <c r="E480" s="41"/>
      <c r="F480" s="40"/>
      <c r="G480" s="35"/>
      <c r="H480" s="41"/>
      <c r="I480" s="42"/>
      <c r="J480" s="42"/>
      <c r="K480" s="42"/>
      <c r="L480" s="42"/>
      <c r="M480" s="42"/>
      <c r="N480" s="42"/>
      <c r="O480" s="42"/>
      <c r="P480" s="42"/>
      <c r="Q480" s="42"/>
      <c r="R480" s="42"/>
      <c r="S480" s="42"/>
      <c r="T480" s="42"/>
      <c r="U480" s="42"/>
      <c r="V480" s="42"/>
      <c r="W480" s="42"/>
      <c r="X480" s="42"/>
      <c r="Y480" s="42"/>
      <c r="Z480" s="42"/>
      <c r="AA480" s="42"/>
      <c r="AB480" s="42"/>
      <c r="AC480" s="42"/>
    </row>
    <row r="481" spans="1:29" x14ac:dyDescent="0.25">
      <c r="A481" s="42"/>
      <c r="B481" s="35"/>
      <c r="C481" s="35"/>
      <c r="D481" s="41"/>
      <c r="E481" s="41"/>
      <c r="F481" s="40"/>
      <c r="G481" s="35"/>
      <c r="H481" s="41"/>
      <c r="I481" s="42"/>
      <c r="J481" s="42"/>
      <c r="K481" s="42"/>
      <c r="L481" s="42"/>
      <c r="M481" s="42"/>
      <c r="N481" s="42"/>
      <c r="O481" s="42"/>
      <c r="P481" s="42"/>
      <c r="Q481" s="42"/>
      <c r="R481" s="42"/>
      <c r="S481" s="42"/>
      <c r="T481" s="42"/>
      <c r="U481" s="42"/>
      <c r="V481" s="42"/>
      <c r="W481" s="42"/>
      <c r="X481" s="42"/>
      <c r="Y481" s="42"/>
      <c r="Z481" s="42"/>
      <c r="AA481" s="42"/>
      <c r="AB481" s="42"/>
      <c r="AC481" s="42"/>
    </row>
    <row r="482" spans="1:29" x14ac:dyDescent="0.25">
      <c r="A482" s="42"/>
      <c r="B482" s="35"/>
      <c r="C482" s="35"/>
      <c r="D482" s="41"/>
      <c r="E482" s="41"/>
      <c r="F482" s="40"/>
      <c r="G482" s="35"/>
      <c r="H482" s="41"/>
      <c r="I482" s="42"/>
      <c r="J482" s="42"/>
      <c r="K482" s="42"/>
      <c r="L482" s="42"/>
      <c r="M482" s="42"/>
      <c r="N482" s="42"/>
      <c r="O482" s="42"/>
      <c r="P482" s="42"/>
      <c r="Q482" s="42"/>
      <c r="R482" s="42"/>
      <c r="S482" s="42"/>
      <c r="T482" s="42"/>
      <c r="U482" s="42"/>
      <c r="V482" s="42"/>
      <c r="W482" s="42"/>
      <c r="X482" s="42"/>
      <c r="Y482" s="42"/>
      <c r="Z482" s="42"/>
      <c r="AA482" s="42"/>
      <c r="AB482" s="42"/>
      <c r="AC482" s="42"/>
    </row>
    <row r="483" spans="1:29" x14ac:dyDescent="0.25">
      <c r="A483" s="42"/>
      <c r="B483" s="35"/>
      <c r="C483" s="35"/>
      <c r="D483" s="41"/>
      <c r="E483" s="41"/>
      <c r="F483" s="40"/>
      <c r="G483" s="35"/>
      <c r="H483" s="41"/>
      <c r="I483" s="42"/>
      <c r="J483" s="42"/>
      <c r="K483" s="42"/>
      <c r="L483" s="42"/>
      <c r="M483" s="42"/>
      <c r="N483" s="42"/>
      <c r="O483" s="42"/>
      <c r="P483" s="42"/>
      <c r="Q483" s="42"/>
      <c r="R483" s="42"/>
      <c r="S483" s="42"/>
      <c r="T483" s="42"/>
      <c r="U483" s="42"/>
      <c r="V483" s="42"/>
      <c r="W483" s="42"/>
      <c r="X483" s="42"/>
      <c r="Y483" s="42"/>
      <c r="Z483" s="42"/>
      <c r="AA483" s="42"/>
      <c r="AB483" s="42"/>
      <c r="AC483" s="42"/>
    </row>
    <row r="484" spans="1:29" x14ac:dyDescent="0.25">
      <c r="A484" s="42"/>
      <c r="B484" s="35"/>
      <c r="C484" s="35"/>
      <c r="D484" s="41"/>
      <c r="E484" s="41"/>
      <c r="F484" s="40"/>
      <c r="G484" s="35"/>
      <c r="H484" s="41"/>
      <c r="I484" s="42"/>
      <c r="J484" s="42"/>
      <c r="K484" s="42"/>
      <c r="L484" s="42"/>
      <c r="M484" s="42"/>
      <c r="N484" s="42"/>
      <c r="O484" s="42"/>
      <c r="P484" s="42"/>
      <c r="Q484" s="42"/>
      <c r="R484" s="42"/>
      <c r="S484" s="42"/>
      <c r="T484" s="42"/>
      <c r="U484" s="42"/>
      <c r="V484" s="42"/>
      <c r="W484" s="42"/>
      <c r="X484" s="42"/>
      <c r="Y484" s="42"/>
      <c r="Z484" s="42"/>
      <c r="AA484" s="42"/>
      <c r="AB484" s="42"/>
      <c r="AC484" s="42"/>
    </row>
    <row r="485" spans="1:29" x14ac:dyDescent="0.25">
      <c r="A485" s="42"/>
      <c r="B485" s="35"/>
      <c r="C485" s="35"/>
      <c r="D485" s="41"/>
      <c r="E485" s="41"/>
      <c r="F485" s="40"/>
      <c r="G485" s="35"/>
      <c r="H485" s="41"/>
      <c r="I485" s="42"/>
      <c r="J485" s="42"/>
      <c r="K485" s="42"/>
      <c r="L485" s="42"/>
      <c r="M485" s="42"/>
      <c r="N485" s="42"/>
      <c r="O485" s="42"/>
      <c r="P485" s="42"/>
      <c r="Q485" s="42"/>
      <c r="R485" s="42"/>
      <c r="S485" s="42"/>
      <c r="T485" s="42"/>
      <c r="U485" s="42"/>
      <c r="V485" s="42"/>
      <c r="W485" s="42"/>
      <c r="X485" s="42"/>
      <c r="Y485" s="42"/>
      <c r="Z485" s="42"/>
      <c r="AA485" s="42"/>
      <c r="AB485" s="42"/>
      <c r="AC485" s="42"/>
    </row>
    <row r="486" spans="1:29" x14ac:dyDescent="0.25">
      <c r="A486" s="42"/>
      <c r="B486" s="35"/>
      <c r="C486" s="35"/>
      <c r="D486" s="41"/>
      <c r="E486" s="41"/>
      <c r="F486" s="40"/>
      <c r="G486" s="35"/>
      <c r="H486" s="41"/>
      <c r="I486" s="42"/>
      <c r="J486" s="42"/>
      <c r="K486" s="42"/>
      <c r="L486" s="42"/>
      <c r="M486" s="42"/>
      <c r="N486" s="42"/>
      <c r="O486" s="42"/>
      <c r="P486" s="42"/>
      <c r="Q486" s="42"/>
      <c r="R486" s="42"/>
      <c r="S486" s="42"/>
      <c r="T486" s="42"/>
      <c r="U486" s="42"/>
      <c r="V486" s="42"/>
      <c r="W486" s="42"/>
      <c r="X486" s="42"/>
      <c r="Y486" s="42"/>
      <c r="Z486" s="42"/>
      <c r="AA486" s="42"/>
      <c r="AB486" s="42"/>
      <c r="AC486" s="42"/>
    </row>
    <row r="487" spans="1:29" x14ac:dyDescent="0.25">
      <c r="A487" s="42"/>
      <c r="B487" s="35"/>
      <c r="C487" s="35"/>
      <c r="D487" s="41"/>
      <c r="E487" s="41"/>
      <c r="F487" s="40"/>
      <c r="G487" s="35"/>
      <c r="H487" s="41"/>
      <c r="I487" s="42"/>
      <c r="J487" s="42"/>
      <c r="K487" s="42"/>
      <c r="L487" s="42"/>
      <c r="M487" s="42"/>
      <c r="N487" s="42"/>
      <c r="O487" s="42"/>
      <c r="P487" s="42"/>
      <c r="Q487" s="42"/>
      <c r="R487" s="42"/>
      <c r="S487" s="42"/>
      <c r="T487" s="42"/>
      <c r="U487" s="42"/>
      <c r="V487" s="42"/>
      <c r="W487" s="42"/>
      <c r="X487" s="42"/>
      <c r="Y487" s="42"/>
      <c r="Z487" s="42"/>
      <c r="AA487" s="42"/>
      <c r="AB487" s="42"/>
      <c r="AC487" s="42"/>
    </row>
    <row r="488" spans="1:29" x14ac:dyDescent="0.25">
      <c r="A488" s="42"/>
      <c r="B488" s="35"/>
      <c r="C488" s="35"/>
      <c r="D488" s="41"/>
      <c r="E488" s="41"/>
      <c r="F488" s="40"/>
      <c r="G488" s="35"/>
      <c r="H488" s="41"/>
      <c r="I488" s="42"/>
      <c r="J488" s="42"/>
      <c r="K488" s="42"/>
      <c r="L488" s="42"/>
      <c r="M488" s="42"/>
      <c r="N488" s="42"/>
      <c r="O488" s="42"/>
      <c r="P488" s="42"/>
      <c r="Q488" s="42"/>
      <c r="R488" s="42"/>
      <c r="S488" s="42"/>
      <c r="T488" s="42"/>
      <c r="U488" s="42"/>
      <c r="V488" s="42"/>
      <c r="W488" s="42"/>
      <c r="X488" s="42"/>
      <c r="Y488" s="42"/>
      <c r="Z488" s="42"/>
      <c r="AA488" s="42"/>
      <c r="AB488" s="42"/>
      <c r="AC488" s="42"/>
    </row>
    <row r="489" spans="1:29" x14ac:dyDescent="0.25">
      <c r="A489" s="42"/>
      <c r="B489" s="35"/>
      <c r="C489" s="35"/>
      <c r="D489" s="41"/>
      <c r="E489" s="41"/>
      <c r="F489" s="40"/>
      <c r="G489" s="35"/>
      <c r="H489" s="41"/>
      <c r="I489" s="42"/>
      <c r="J489" s="42"/>
      <c r="K489" s="42"/>
      <c r="L489" s="42"/>
      <c r="M489" s="42"/>
      <c r="N489" s="42"/>
      <c r="O489" s="42"/>
      <c r="P489" s="42"/>
      <c r="Q489" s="42"/>
      <c r="R489" s="42"/>
      <c r="S489" s="42"/>
      <c r="T489" s="42"/>
      <c r="U489" s="42"/>
      <c r="V489" s="42"/>
      <c r="W489" s="42"/>
      <c r="X489" s="42"/>
      <c r="Y489" s="42"/>
      <c r="Z489" s="42"/>
      <c r="AA489" s="42"/>
      <c r="AB489" s="42"/>
      <c r="AC489" s="42"/>
    </row>
    <row r="490" spans="1:29" x14ac:dyDescent="0.25">
      <c r="A490" s="42"/>
      <c r="B490" s="35"/>
      <c r="C490" s="35"/>
      <c r="D490" s="41"/>
      <c r="E490" s="41"/>
      <c r="F490" s="40"/>
      <c r="G490" s="35"/>
      <c r="H490" s="41"/>
      <c r="I490" s="42"/>
      <c r="J490" s="42"/>
      <c r="K490" s="42"/>
      <c r="L490" s="42"/>
      <c r="M490" s="42"/>
      <c r="N490" s="42"/>
      <c r="O490" s="42"/>
      <c r="P490" s="42"/>
      <c r="Q490" s="42"/>
      <c r="R490" s="42"/>
      <c r="S490" s="42"/>
      <c r="T490" s="42"/>
      <c r="U490" s="42"/>
      <c r="V490" s="42"/>
      <c r="W490" s="42"/>
      <c r="X490" s="42"/>
      <c r="Y490" s="42"/>
      <c r="Z490" s="42"/>
      <c r="AA490" s="42"/>
      <c r="AB490" s="42"/>
      <c r="AC490" s="42"/>
    </row>
    <row r="491" spans="1:29" x14ac:dyDescent="0.25">
      <c r="A491" s="42"/>
      <c r="B491" s="35"/>
      <c r="C491" s="35"/>
      <c r="D491" s="41"/>
      <c r="E491" s="41"/>
      <c r="F491" s="40"/>
      <c r="G491" s="35"/>
      <c r="H491" s="41"/>
      <c r="I491" s="42"/>
      <c r="J491" s="42"/>
      <c r="K491" s="42"/>
      <c r="L491" s="42"/>
      <c r="M491" s="42"/>
      <c r="N491" s="42"/>
      <c r="O491" s="42"/>
      <c r="P491" s="42"/>
      <c r="Q491" s="42"/>
      <c r="R491" s="42"/>
      <c r="S491" s="42"/>
      <c r="T491" s="42"/>
      <c r="U491" s="42"/>
      <c r="V491" s="42"/>
      <c r="W491" s="42"/>
      <c r="X491" s="42"/>
      <c r="Y491" s="42"/>
      <c r="Z491" s="42"/>
      <c r="AA491" s="42"/>
      <c r="AB491" s="42"/>
      <c r="AC491" s="42"/>
    </row>
    <row r="492" spans="1:29" x14ac:dyDescent="0.25">
      <c r="A492" s="42"/>
      <c r="B492" s="35"/>
      <c r="C492" s="35"/>
      <c r="D492" s="41"/>
      <c r="E492" s="41"/>
      <c r="F492" s="40"/>
      <c r="G492" s="35"/>
      <c r="H492" s="41"/>
      <c r="I492" s="42"/>
      <c r="J492" s="42"/>
      <c r="K492" s="42"/>
      <c r="L492" s="42"/>
      <c r="M492" s="42"/>
      <c r="N492" s="42"/>
      <c r="O492" s="42"/>
      <c r="P492" s="42"/>
      <c r="Q492" s="42"/>
      <c r="R492" s="42"/>
      <c r="S492" s="42"/>
      <c r="T492" s="42"/>
      <c r="U492" s="42"/>
      <c r="V492" s="42"/>
      <c r="W492" s="42"/>
      <c r="X492" s="42"/>
      <c r="Y492" s="42"/>
      <c r="Z492" s="42"/>
      <c r="AA492" s="42"/>
      <c r="AB492" s="42"/>
      <c r="AC492" s="42"/>
    </row>
    <row r="493" spans="1:29" x14ac:dyDescent="0.25">
      <c r="A493" s="42"/>
      <c r="B493" s="35"/>
      <c r="C493" s="35"/>
      <c r="D493" s="41"/>
      <c r="E493" s="41"/>
      <c r="F493" s="40"/>
      <c r="G493" s="35"/>
      <c r="H493" s="41"/>
      <c r="I493" s="42"/>
      <c r="J493" s="42"/>
      <c r="K493" s="42"/>
      <c r="L493" s="42"/>
      <c r="M493" s="42"/>
      <c r="N493" s="42"/>
      <c r="O493" s="42"/>
      <c r="P493" s="42"/>
      <c r="Q493" s="42"/>
      <c r="R493" s="42"/>
      <c r="S493" s="42"/>
      <c r="T493" s="42"/>
      <c r="U493" s="42"/>
      <c r="V493" s="42"/>
      <c r="W493" s="42"/>
      <c r="X493" s="42"/>
      <c r="Y493" s="42"/>
      <c r="Z493" s="42"/>
      <c r="AA493" s="42"/>
      <c r="AB493" s="42"/>
      <c r="AC493" s="42"/>
    </row>
    <row r="494" spans="1:29" x14ac:dyDescent="0.25">
      <c r="A494" s="42"/>
      <c r="B494" s="35"/>
      <c r="C494" s="35"/>
      <c r="D494" s="41"/>
      <c r="E494" s="41"/>
      <c r="F494" s="40"/>
      <c r="G494" s="35"/>
      <c r="H494" s="41"/>
      <c r="I494" s="42"/>
      <c r="J494" s="42"/>
      <c r="K494" s="42"/>
      <c r="L494" s="42"/>
      <c r="M494" s="42"/>
      <c r="N494" s="42"/>
      <c r="O494" s="42"/>
      <c r="P494" s="42"/>
      <c r="Q494" s="42"/>
      <c r="R494" s="42"/>
      <c r="S494" s="42"/>
      <c r="T494" s="42"/>
      <c r="U494" s="42"/>
      <c r="V494" s="42"/>
      <c r="W494" s="42"/>
      <c r="X494" s="42"/>
      <c r="Y494" s="42"/>
      <c r="Z494" s="42"/>
      <c r="AA494" s="42"/>
      <c r="AB494" s="42"/>
      <c r="AC494" s="42"/>
    </row>
    <row r="495" spans="1:29" x14ac:dyDescent="0.25">
      <c r="A495" s="42"/>
      <c r="B495" s="35"/>
      <c r="C495" s="35"/>
      <c r="D495" s="41"/>
      <c r="E495" s="41"/>
      <c r="F495" s="40"/>
      <c r="G495" s="35"/>
      <c r="H495" s="41"/>
      <c r="I495" s="42"/>
      <c r="J495" s="42"/>
      <c r="K495" s="42"/>
      <c r="L495" s="42"/>
      <c r="M495" s="42"/>
      <c r="N495" s="42"/>
      <c r="O495" s="42"/>
      <c r="P495" s="42"/>
      <c r="Q495" s="42"/>
      <c r="R495" s="42"/>
      <c r="S495" s="42"/>
      <c r="T495" s="42"/>
      <c r="U495" s="42"/>
      <c r="V495" s="42"/>
      <c r="W495" s="42"/>
      <c r="X495" s="42"/>
      <c r="Y495" s="42"/>
      <c r="Z495" s="42"/>
      <c r="AA495" s="42"/>
      <c r="AB495" s="42"/>
      <c r="AC495" s="42"/>
    </row>
    <row r="496" spans="1:29" x14ac:dyDescent="0.25">
      <c r="A496" s="42"/>
      <c r="B496" s="35"/>
      <c r="C496" s="35"/>
      <c r="D496" s="41"/>
      <c r="E496" s="41"/>
      <c r="F496" s="40"/>
      <c r="G496" s="35"/>
      <c r="H496" s="41"/>
      <c r="I496" s="42"/>
      <c r="J496" s="42"/>
      <c r="K496" s="42"/>
      <c r="L496" s="42"/>
      <c r="M496" s="42"/>
      <c r="N496" s="42"/>
      <c r="O496" s="42"/>
      <c r="P496" s="42"/>
      <c r="Q496" s="42"/>
      <c r="R496" s="42"/>
      <c r="S496" s="42"/>
      <c r="T496" s="42"/>
      <c r="U496" s="42"/>
      <c r="V496" s="42"/>
      <c r="W496" s="42"/>
      <c r="X496" s="42"/>
      <c r="Y496" s="42"/>
      <c r="Z496" s="42"/>
      <c r="AA496" s="42"/>
      <c r="AB496" s="42"/>
      <c r="AC496" s="42"/>
    </row>
    <row r="497" spans="1:29" x14ac:dyDescent="0.25">
      <c r="A497" s="42"/>
      <c r="B497" s="35"/>
      <c r="C497" s="35"/>
      <c r="D497" s="41"/>
      <c r="E497" s="41"/>
      <c r="F497" s="40"/>
      <c r="G497" s="35"/>
      <c r="H497" s="41"/>
      <c r="I497" s="42"/>
      <c r="J497" s="42"/>
      <c r="K497" s="42"/>
      <c r="L497" s="42"/>
      <c r="M497" s="42"/>
      <c r="N497" s="42"/>
      <c r="O497" s="42"/>
      <c r="P497" s="42"/>
      <c r="Q497" s="42"/>
      <c r="R497" s="42"/>
      <c r="S497" s="42"/>
      <c r="T497" s="42"/>
      <c r="U497" s="42"/>
      <c r="V497" s="42"/>
      <c r="W497" s="42"/>
      <c r="X497" s="42"/>
      <c r="Y497" s="42"/>
      <c r="Z497" s="42"/>
      <c r="AA497" s="42"/>
      <c r="AB497" s="42"/>
      <c r="AC497" s="42"/>
    </row>
    <row r="498" spans="1:29" x14ac:dyDescent="0.25">
      <c r="A498" s="42"/>
      <c r="B498" s="35"/>
      <c r="C498" s="35"/>
      <c r="D498" s="41"/>
      <c r="E498" s="41"/>
      <c r="F498" s="40"/>
      <c r="G498" s="35"/>
      <c r="H498" s="41"/>
      <c r="I498" s="42"/>
      <c r="J498" s="42"/>
      <c r="K498" s="42"/>
      <c r="L498" s="42"/>
      <c r="M498" s="42"/>
      <c r="N498" s="42"/>
      <c r="O498" s="42"/>
      <c r="P498" s="42"/>
      <c r="Q498" s="42"/>
      <c r="R498" s="42"/>
      <c r="S498" s="42"/>
      <c r="T498" s="42"/>
      <c r="U498" s="42"/>
      <c r="V498" s="42"/>
      <c r="W498" s="42"/>
      <c r="X498" s="42"/>
      <c r="Y498" s="42"/>
      <c r="Z498" s="42"/>
      <c r="AA498" s="42"/>
      <c r="AB498" s="42"/>
      <c r="AC498" s="42"/>
    </row>
    <row r="499" spans="1:29" x14ac:dyDescent="0.25">
      <c r="A499" s="42"/>
      <c r="B499" s="35"/>
      <c r="C499" s="35"/>
      <c r="D499" s="41"/>
      <c r="E499" s="41"/>
      <c r="F499" s="40"/>
      <c r="G499" s="35"/>
      <c r="H499" s="41"/>
      <c r="I499" s="42"/>
      <c r="J499" s="42"/>
      <c r="K499" s="42"/>
      <c r="L499" s="42"/>
      <c r="M499" s="42"/>
      <c r="N499" s="42"/>
      <c r="O499" s="42"/>
      <c r="P499" s="42"/>
      <c r="Q499" s="42"/>
      <c r="R499" s="42"/>
      <c r="S499" s="42"/>
      <c r="T499" s="42"/>
      <c r="U499" s="42"/>
      <c r="V499" s="42"/>
      <c r="W499" s="42"/>
      <c r="X499" s="42"/>
      <c r="Y499" s="42"/>
      <c r="Z499" s="42"/>
      <c r="AA499" s="42"/>
      <c r="AB499" s="42"/>
      <c r="AC499" s="42"/>
    </row>
    <row r="500" spans="1:29" x14ac:dyDescent="0.25">
      <c r="A500" s="42"/>
      <c r="B500" s="35"/>
      <c r="C500" s="35"/>
      <c r="D500" s="41"/>
      <c r="E500" s="41"/>
      <c r="F500" s="40"/>
      <c r="G500" s="35"/>
      <c r="H500" s="41"/>
      <c r="I500" s="42"/>
      <c r="J500" s="42"/>
      <c r="K500" s="42"/>
      <c r="L500" s="42"/>
      <c r="M500" s="42"/>
      <c r="N500" s="42"/>
      <c r="O500" s="42"/>
      <c r="P500" s="42"/>
      <c r="Q500" s="42"/>
      <c r="R500" s="42"/>
      <c r="S500" s="42"/>
      <c r="T500" s="42"/>
      <c r="U500" s="42"/>
      <c r="V500" s="42"/>
      <c r="W500" s="42"/>
      <c r="X500" s="42"/>
      <c r="Y500" s="42"/>
      <c r="Z500" s="42"/>
      <c r="AA500" s="42"/>
      <c r="AB500" s="42"/>
      <c r="AC500" s="42"/>
    </row>
    <row r="501" spans="1:29" x14ac:dyDescent="0.25">
      <c r="A501" s="42"/>
      <c r="B501" s="35"/>
      <c r="C501" s="35"/>
      <c r="D501" s="41"/>
      <c r="E501" s="41"/>
      <c r="F501" s="40"/>
      <c r="G501" s="35"/>
      <c r="H501" s="41"/>
      <c r="I501" s="42"/>
      <c r="J501" s="42"/>
      <c r="K501" s="42"/>
      <c r="L501" s="42"/>
      <c r="M501" s="42"/>
      <c r="N501" s="42"/>
      <c r="O501" s="42"/>
      <c r="P501" s="42"/>
      <c r="Q501" s="42"/>
      <c r="R501" s="42"/>
      <c r="S501" s="42"/>
      <c r="T501" s="42"/>
      <c r="U501" s="42"/>
      <c r="V501" s="42"/>
      <c r="W501" s="42"/>
      <c r="X501" s="42"/>
      <c r="Y501" s="42"/>
      <c r="Z501" s="42"/>
      <c r="AA501" s="42"/>
      <c r="AB501" s="42"/>
      <c r="AC501" s="42"/>
    </row>
    <row r="502" spans="1:29" x14ac:dyDescent="0.25">
      <c r="A502" s="42"/>
      <c r="B502" s="35"/>
      <c r="C502" s="35"/>
      <c r="D502" s="41"/>
      <c r="E502" s="41"/>
      <c r="F502" s="40"/>
      <c r="G502" s="35"/>
      <c r="H502" s="41"/>
      <c r="I502" s="42"/>
      <c r="J502" s="42"/>
      <c r="K502" s="42"/>
      <c r="L502" s="42"/>
      <c r="M502" s="42"/>
      <c r="N502" s="42"/>
      <c r="O502" s="42"/>
      <c r="P502" s="42"/>
      <c r="Q502" s="42"/>
      <c r="R502" s="42"/>
      <c r="S502" s="42"/>
      <c r="T502" s="42"/>
      <c r="U502" s="42"/>
      <c r="V502" s="42"/>
      <c r="W502" s="42"/>
      <c r="X502" s="42"/>
      <c r="Y502" s="42"/>
      <c r="Z502" s="42"/>
      <c r="AA502" s="42"/>
      <c r="AB502" s="42"/>
      <c r="AC502" s="42"/>
    </row>
    <row r="503" spans="1:29" x14ac:dyDescent="0.25">
      <c r="A503" s="42"/>
      <c r="B503" s="35"/>
      <c r="C503" s="35"/>
      <c r="D503" s="41"/>
      <c r="E503" s="41"/>
      <c r="F503" s="40"/>
      <c r="G503" s="35"/>
      <c r="H503" s="41"/>
      <c r="I503" s="42"/>
      <c r="J503" s="42"/>
      <c r="K503" s="42"/>
      <c r="L503" s="42"/>
      <c r="M503" s="42"/>
      <c r="N503" s="42"/>
      <c r="O503" s="42"/>
      <c r="P503" s="42"/>
      <c r="Q503" s="42"/>
      <c r="R503" s="42"/>
      <c r="S503" s="42"/>
      <c r="T503" s="42"/>
      <c r="U503" s="42"/>
      <c r="V503" s="42"/>
      <c r="W503" s="42"/>
      <c r="X503" s="42"/>
      <c r="Y503" s="42"/>
      <c r="Z503" s="42"/>
      <c r="AA503" s="42"/>
      <c r="AB503" s="42"/>
      <c r="AC503" s="42"/>
    </row>
    <row r="504" spans="1:29" x14ac:dyDescent="0.25">
      <c r="A504" s="42"/>
      <c r="B504" s="35"/>
      <c r="C504" s="35"/>
      <c r="D504" s="41"/>
      <c r="E504" s="41"/>
      <c r="F504" s="40"/>
      <c r="G504" s="35"/>
      <c r="H504" s="41"/>
      <c r="I504" s="42"/>
      <c r="J504" s="42"/>
      <c r="K504" s="42"/>
      <c r="L504" s="42"/>
      <c r="M504" s="42"/>
      <c r="N504" s="42"/>
      <c r="O504" s="42"/>
      <c r="P504" s="42"/>
      <c r="Q504" s="42"/>
      <c r="R504" s="42"/>
      <c r="S504" s="42"/>
      <c r="T504" s="42"/>
      <c r="U504" s="42"/>
      <c r="V504" s="42"/>
      <c r="W504" s="42"/>
      <c r="X504" s="42"/>
      <c r="Y504" s="42"/>
      <c r="Z504" s="42"/>
      <c r="AA504" s="42"/>
      <c r="AB504" s="42"/>
      <c r="AC504" s="42"/>
    </row>
    <row r="505" spans="1:29" x14ac:dyDescent="0.25">
      <c r="A505" s="42"/>
      <c r="B505" s="35"/>
      <c r="C505" s="35"/>
      <c r="D505" s="41"/>
      <c r="E505" s="41"/>
      <c r="F505" s="40"/>
      <c r="G505" s="35"/>
      <c r="H505" s="41"/>
      <c r="I505" s="42"/>
      <c r="J505" s="42"/>
      <c r="K505" s="42"/>
      <c r="L505" s="42"/>
      <c r="M505" s="42"/>
      <c r="N505" s="42"/>
      <c r="O505" s="42"/>
      <c r="P505" s="42"/>
      <c r="Q505" s="42"/>
      <c r="R505" s="42"/>
      <c r="S505" s="42"/>
      <c r="T505" s="42"/>
      <c r="U505" s="42"/>
      <c r="V505" s="42"/>
      <c r="W505" s="42"/>
      <c r="X505" s="42"/>
      <c r="Y505" s="42"/>
      <c r="Z505" s="42"/>
      <c r="AA505" s="42"/>
      <c r="AB505" s="42"/>
      <c r="AC505" s="42"/>
    </row>
    <row r="506" spans="1:29" x14ac:dyDescent="0.25">
      <c r="A506" s="42"/>
      <c r="B506" s="35"/>
      <c r="C506" s="35"/>
      <c r="D506" s="41"/>
      <c r="E506" s="41"/>
      <c r="F506" s="40"/>
      <c r="G506" s="35"/>
      <c r="H506" s="41"/>
      <c r="I506" s="42"/>
      <c r="J506" s="42"/>
      <c r="K506" s="42"/>
      <c r="L506" s="42"/>
      <c r="M506" s="42"/>
      <c r="N506" s="42"/>
      <c r="O506" s="42"/>
      <c r="P506" s="42"/>
      <c r="Q506" s="42"/>
      <c r="R506" s="42"/>
      <c r="S506" s="42"/>
      <c r="T506" s="42"/>
      <c r="U506" s="42"/>
      <c r="V506" s="42"/>
      <c r="W506" s="42"/>
      <c r="X506" s="42"/>
      <c r="Y506" s="42"/>
      <c r="Z506" s="42"/>
      <c r="AA506" s="42"/>
      <c r="AB506" s="42"/>
      <c r="AC506" s="42"/>
    </row>
    <row r="507" spans="1:29" x14ac:dyDescent="0.25">
      <c r="A507" s="42"/>
      <c r="B507" s="35"/>
      <c r="C507" s="35"/>
      <c r="D507" s="41"/>
      <c r="E507" s="41"/>
      <c r="F507" s="40"/>
      <c r="G507" s="35"/>
      <c r="H507" s="41"/>
      <c r="I507" s="42"/>
      <c r="J507" s="42"/>
      <c r="K507" s="42"/>
      <c r="L507" s="42"/>
      <c r="M507" s="42"/>
      <c r="N507" s="42"/>
      <c r="O507" s="42"/>
      <c r="P507" s="42"/>
      <c r="Q507" s="42"/>
      <c r="R507" s="42"/>
      <c r="S507" s="42"/>
      <c r="T507" s="42"/>
      <c r="U507" s="42"/>
      <c r="V507" s="42"/>
      <c r="W507" s="42"/>
      <c r="X507" s="42"/>
      <c r="Y507" s="42"/>
      <c r="Z507" s="42"/>
      <c r="AA507" s="42"/>
      <c r="AB507" s="42"/>
      <c r="AC507" s="42"/>
    </row>
    <row r="508" spans="1:29" x14ac:dyDescent="0.25">
      <c r="A508" s="42"/>
      <c r="B508" s="35"/>
      <c r="C508" s="35"/>
      <c r="D508" s="41"/>
      <c r="E508" s="41"/>
      <c r="F508" s="40"/>
      <c r="G508" s="35"/>
      <c r="H508" s="41"/>
      <c r="I508" s="42"/>
      <c r="J508" s="42"/>
      <c r="K508" s="42"/>
      <c r="L508" s="42"/>
      <c r="M508" s="42"/>
      <c r="N508" s="42"/>
      <c r="O508" s="42"/>
      <c r="P508" s="42"/>
      <c r="Q508" s="42"/>
      <c r="R508" s="42"/>
      <c r="S508" s="42"/>
      <c r="T508" s="42"/>
      <c r="U508" s="42"/>
      <c r="V508" s="42"/>
      <c r="W508" s="42"/>
      <c r="X508" s="42"/>
      <c r="Y508" s="42"/>
      <c r="Z508" s="42"/>
      <c r="AA508" s="42"/>
      <c r="AB508" s="42"/>
      <c r="AC508" s="42"/>
    </row>
    <row r="509" spans="1:29" x14ac:dyDescent="0.25">
      <c r="A509" s="42"/>
      <c r="B509" s="35"/>
      <c r="C509" s="35"/>
      <c r="D509" s="41"/>
      <c r="E509" s="41"/>
      <c r="F509" s="40"/>
      <c r="G509" s="35"/>
      <c r="H509" s="41"/>
      <c r="I509" s="42"/>
      <c r="J509" s="42"/>
      <c r="K509" s="42"/>
      <c r="L509" s="42"/>
      <c r="M509" s="42"/>
      <c r="N509" s="42"/>
      <c r="O509" s="42"/>
      <c r="P509" s="42"/>
      <c r="Q509" s="42"/>
      <c r="R509" s="42"/>
      <c r="S509" s="42"/>
      <c r="T509" s="42"/>
      <c r="U509" s="42"/>
      <c r="V509" s="42"/>
      <c r="W509" s="42"/>
      <c r="X509" s="42"/>
      <c r="Y509" s="42"/>
      <c r="Z509" s="42"/>
      <c r="AA509" s="42"/>
      <c r="AB509" s="42"/>
      <c r="AC509" s="42"/>
    </row>
    <row r="510" spans="1:29" x14ac:dyDescent="0.25">
      <c r="A510" s="42"/>
      <c r="B510" s="35"/>
      <c r="C510" s="35"/>
      <c r="D510" s="41"/>
      <c r="E510" s="41"/>
      <c r="F510" s="40"/>
      <c r="G510" s="35"/>
      <c r="H510" s="41"/>
      <c r="I510" s="42"/>
      <c r="J510" s="42"/>
      <c r="K510" s="42"/>
      <c r="L510" s="42"/>
      <c r="M510" s="42"/>
      <c r="N510" s="42"/>
      <c r="O510" s="42"/>
      <c r="P510" s="42"/>
      <c r="Q510" s="42"/>
      <c r="R510" s="42"/>
      <c r="S510" s="42"/>
      <c r="T510" s="42"/>
      <c r="U510" s="42"/>
      <c r="V510" s="42"/>
      <c r="W510" s="42"/>
      <c r="X510" s="42"/>
      <c r="Y510" s="42"/>
      <c r="Z510" s="42"/>
      <c r="AA510" s="42"/>
      <c r="AB510" s="42"/>
      <c r="AC510" s="42"/>
    </row>
    <row r="511" spans="1:29" x14ac:dyDescent="0.25">
      <c r="A511" s="42"/>
      <c r="B511" s="35"/>
      <c r="C511" s="35"/>
      <c r="D511" s="41"/>
      <c r="E511" s="41"/>
      <c r="F511" s="40"/>
      <c r="G511" s="35"/>
      <c r="H511" s="41"/>
      <c r="I511" s="42"/>
      <c r="J511" s="42"/>
      <c r="K511" s="42"/>
      <c r="L511" s="42"/>
      <c r="M511" s="42"/>
      <c r="N511" s="42"/>
      <c r="O511" s="42"/>
      <c r="P511" s="42"/>
      <c r="Q511" s="42"/>
      <c r="R511" s="42"/>
      <c r="S511" s="42"/>
      <c r="T511" s="42"/>
      <c r="U511" s="42"/>
      <c r="V511" s="42"/>
      <c r="W511" s="42"/>
      <c r="X511" s="42"/>
      <c r="Y511" s="42"/>
      <c r="Z511" s="42"/>
      <c r="AA511" s="42"/>
      <c r="AB511" s="42"/>
      <c r="AC511" s="42"/>
    </row>
    <row r="512" spans="1:29" x14ac:dyDescent="0.25">
      <c r="A512" s="42"/>
      <c r="B512" s="35"/>
      <c r="C512" s="35"/>
      <c r="D512" s="41"/>
      <c r="E512" s="41"/>
      <c r="F512" s="40"/>
      <c r="G512" s="35"/>
      <c r="H512" s="41"/>
      <c r="I512" s="42"/>
      <c r="J512" s="42"/>
      <c r="K512" s="42"/>
      <c r="L512" s="42"/>
      <c r="M512" s="42"/>
      <c r="N512" s="42"/>
      <c r="O512" s="42"/>
      <c r="P512" s="42"/>
      <c r="Q512" s="42"/>
      <c r="R512" s="42"/>
      <c r="S512" s="42"/>
      <c r="T512" s="42"/>
      <c r="U512" s="42"/>
      <c r="V512" s="42"/>
      <c r="W512" s="42"/>
      <c r="X512" s="42"/>
      <c r="Y512" s="42"/>
      <c r="Z512" s="42"/>
      <c r="AA512" s="42"/>
      <c r="AB512" s="42"/>
      <c r="AC512" s="42"/>
    </row>
    <row r="513" spans="1:29" x14ac:dyDescent="0.25">
      <c r="A513" s="42"/>
      <c r="B513" s="35"/>
      <c r="C513" s="35"/>
      <c r="D513" s="41"/>
      <c r="E513" s="41"/>
      <c r="F513" s="40"/>
      <c r="G513" s="35"/>
      <c r="H513" s="41"/>
      <c r="I513" s="42"/>
      <c r="J513" s="42"/>
      <c r="K513" s="42"/>
      <c r="L513" s="42"/>
      <c r="M513" s="42"/>
      <c r="N513" s="42"/>
      <c r="O513" s="42"/>
      <c r="P513" s="42"/>
      <c r="Q513" s="42"/>
      <c r="R513" s="42"/>
      <c r="S513" s="42"/>
      <c r="T513" s="42"/>
      <c r="U513" s="42"/>
      <c r="V513" s="42"/>
      <c r="W513" s="42"/>
      <c r="X513" s="42"/>
      <c r="Y513" s="42"/>
      <c r="Z513" s="42"/>
      <c r="AA513" s="42"/>
      <c r="AB513" s="42"/>
      <c r="AC513" s="42"/>
    </row>
    <row r="514" spans="1:29" x14ac:dyDescent="0.25">
      <c r="A514" s="42"/>
      <c r="B514" s="35"/>
      <c r="C514" s="35"/>
      <c r="D514" s="41"/>
      <c r="E514" s="41"/>
      <c r="F514" s="40"/>
      <c r="G514" s="35"/>
      <c r="H514" s="41"/>
      <c r="I514" s="42"/>
      <c r="J514" s="42"/>
      <c r="K514" s="42"/>
      <c r="L514" s="42"/>
      <c r="M514" s="42"/>
      <c r="N514" s="42"/>
      <c r="O514" s="42"/>
      <c r="P514" s="42"/>
      <c r="Q514" s="42"/>
      <c r="R514" s="42"/>
      <c r="S514" s="42"/>
      <c r="T514" s="42"/>
      <c r="U514" s="42"/>
      <c r="V514" s="42"/>
      <c r="W514" s="42"/>
      <c r="X514" s="42"/>
      <c r="Y514" s="42"/>
      <c r="Z514" s="42"/>
      <c r="AA514" s="42"/>
      <c r="AB514" s="42"/>
      <c r="AC514" s="42"/>
    </row>
    <row r="515" spans="1:29" x14ac:dyDescent="0.25">
      <c r="A515" s="42"/>
      <c r="B515" s="35"/>
      <c r="C515" s="35"/>
      <c r="D515" s="41"/>
      <c r="E515" s="41"/>
      <c r="F515" s="40"/>
      <c r="G515" s="35"/>
      <c r="H515" s="41"/>
      <c r="I515" s="42"/>
      <c r="J515" s="42"/>
      <c r="K515" s="42"/>
      <c r="L515" s="42"/>
      <c r="M515" s="42"/>
      <c r="N515" s="42"/>
      <c r="O515" s="42"/>
      <c r="P515" s="42"/>
      <c r="Q515" s="42"/>
      <c r="R515" s="42"/>
      <c r="S515" s="42"/>
      <c r="T515" s="42"/>
      <c r="U515" s="42"/>
      <c r="V515" s="42"/>
      <c r="W515" s="42"/>
      <c r="X515" s="42"/>
      <c r="Y515" s="42"/>
      <c r="Z515" s="42"/>
      <c r="AA515" s="42"/>
      <c r="AB515" s="42"/>
      <c r="AC515" s="42"/>
    </row>
    <row r="516" spans="1:29" x14ac:dyDescent="0.25">
      <c r="A516" s="42"/>
      <c r="B516" s="35"/>
      <c r="C516" s="35"/>
      <c r="D516" s="41"/>
      <c r="E516" s="41"/>
      <c r="F516" s="40"/>
      <c r="G516" s="35"/>
      <c r="H516" s="41"/>
      <c r="I516" s="42"/>
      <c r="J516" s="42"/>
      <c r="K516" s="42"/>
      <c r="L516" s="42"/>
      <c r="M516" s="42"/>
      <c r="N516" s="42"/>
      <c r="O516" s="42"/>
      <c r="P516" s="42"/>
      <c r="Q516" s="42"/>
      <c r="R516" s="42"/>
      <c r="S516" s="42"/>
      <c r="T516" s="42"/>
      <c r="U516" s="42"/>
      <c r="V516" s="42"/>
      <c r="W516" s="42"/>
      <c r="X516" s="42"/>
      <c r="Y516" s="42"/>
      <c r="Z516" s="42"/>
      <c r="AA516" s="42"/>
      <c r="AB516" s="42"/>
      <c r="AC516" s="42"/>
    </row>
    <row r="517" spans="1:29" x14ac:dyDescent="0.25">
      <c r="A517" s="42"/>
      <c r="B517" s="35"/>
      <c r="C517" s="35"/>
      <c r="D517" s="41"/>
      <c r="E517" s="41"/>
      <c r="F517" s="40"/>
      <c r="G517" s="35"/>
      <c r="H517" s="41"/>
      <c r="I517" s="42"/>
      <c r="J517" s="42"/>
      <c r="K517" s="42"/>
      <c r="L517" s="42"/>
      <c r="M517" s="42"/>
      <c r="N517" s="42"/>
      <c r="O517" s="42"/>
      <c r="P517" s="42"/>
      <c r="Q517" s="42"/>
      <c r="R517" s="42"/>
      <c r="S517" s="42"/>
      <c r="T517" s="42"/>
      <c r="U517" s="42"/>
      <c r="V517" s="42"/>
      <c r="W517" s="42"/>
      <c r="X517" s="42"/>
      <c r="Y517" s="42"/>
      <c r="Z517" s="42"/>
      <c r="AA517" s="42"/>
      <c r="AB517" s="42"/>
      <c r="AC517" s="42"/>
    </row>
    <row r="518" spans="1:29" x14ac:dyDescent="0.25">
      <c r="A518" s="42"/>
      <c r="B518" s="35"/>
      <c r="C518" s="35"/>
      <c r="D518" s="41"/>
      <c r="E518" s="41"/>
      <c r="F518" s="40"/>
      <c r="G518" s="35"/>
      <c r="H518" s="41"/>
      <c r="I518" s="42"/>
      <c r="J518" s="42"/>
      <c r="K518" s="42"/>
      <c r="L518" s="42"/>
      <c r="M518" s="42"/>
      <c r="N518" s="42"/>
      <c r="O518" s="42"/>
      <c r="P518" s="42"/>
      <c r="Q518" s="42"/>
      <c r="R518" s="42"/>
      <c r="S518" s="42"/>
      <c r="T518" s="42"/>
      <c r="U518" s="42"/>
      <c r="V518" s="42"/>
      <c r="W518" s="42"/>
      <c r="X518" s="42"/>
      <c r="Y518" s="42"/>
      <c r="Z518" s="42"/>
      <c r="AA518" s="42"/>
      <c r="AB518" s="42"/>
      <c r="AC518" s="42"/>
    </row>
    <row r="519" spans="1:29" x14ac:dyDescent="0.25">
      <c r="A519" s="42"/>
      <c r="B519" s="35"/>
      <c r="C519" s="35"/>
      <c r="D519" s="41"/>
      <c r="E519" s="41"/>
      <c r="F519" s="40"/>
      <c r="G519" s="35"/>
      <c r="H519" s="41"/>
      <c r="I519" s="42"/>
      <c r="J519" s="42"/>
      <c r="K519" s="42"/>
      <c r="L519" s="42"/>
      <c r="M519" s="42"/>
      <c r="N519" s="42"/>
      <c r="O519" s="42"/>
      <c r="P519" s="42"/>
      <c r="Q519" s="42"/>
      <c r="R519" s="42"/>
      <c r="S519" s="42"/>
      <c r="T519" s="42"/>
      <c r="U519" s="42"/>
      <c r="V519" s="42"/>
      <c r="W519" s="42"/>
      <c r="X519" s="42"/>
      <c r="Y519" s="42"/>
      <c r="Z519" s="42"/>
      <c r="AA519" s="42"/>
      <c r="AB519" s="42"/>
      <c r="AC519" s="42"/>
    </row>
    <row r="520" spans="1:29" x14ac:dyDescent="0.25">
      <c r="A520" s="42"/>
      <c r="B520" s="35"/>
      <c r="C520" s="35"/>
      <c r="D520" s="41"/>
      <c r="E520" s="41"/>
      <c r="F520" s="40"/>
      <c r="G520" s="35"/>
      <c r="H520" s="41"/>
      <c r="I520" s="42"/>
      <c r="J520" s="42"/>
      <c r="K520" s="42"/>
      <c r="L520" s="42"/>
      <c r="M520" s="42"/>
      <c r="N520" s="42"/>
      <c r="O520" s="42"/>
      <c r="P520" s="42"/>
      <c r="Q520" s="42"/>
      <c r="R520" s="42"/>
      <c r="S520" s="42"/>
      <c r="T520" s="42"/>
      <c r="U520" s="42"/>
      <c r="V520" s="42"/>
      <c r="W520" s="42"/>
      <c r="X520" s="42"/>
      <c r="Y520" s="42"/>
      <c r="Z520" s="42"/>
      <c r="AA520" s="42"/>
      <c r="AB520" s="42"/>
      <c r="AC520" s="42"/>
    </row>
    <row r="521" spans="1:29" x14ac:dyDescent="0.25">
      <c r="A521" s="42"/>
      <c r="B521" s="35"/>
      <c r="C521" s="35"/>
      <c r="D521" s="41"/>
      <c r="E521" s="41"/>
      <c r="F521" s="40"/>
      <c r="G521" s="35"/>
      <c r="H521" s="41"/>
      <c r="I521" s="42"/>
      <c r="J521" s="42"/>
      <c r="K521" s="42"/>
      <c r="L521" s="42"/>
      <c r="M521" s="42"/>
      <c r="N521" s="42"/>
      <c r="O521" s="42"/>
      <c r="P521" s="42"/>
      <c r="Q521" s="42"/>
      <c r="R521" s="42"/>
      <c r="S521" s="42"/>
      <c r="T521" s="42"/>
      <c r="U521" s="42"/>
      <c r="V521" s="42"/>
      <c r="W521" s="42"/>
      <c r="X521" s="42"/>
      <c r="Y521" s="42"/>
      <c r="Z521" s="42"/>
      <c r="AA521" s="42"/>
      <c r="AB521" s="42"/>
      <c r="AC521" s="42"/>
    </row>
    <row r="522" spans="1:29" x14ac:dyDescent="0.25">
      <c r="A522" s="42"/>
      <c r="B522" s="35"/>
      <c r="C522" s="35"/>
      <c r="D522" s="41"/>
      <c r="E522" s="41"/>
      <c r="F522" s="40"/>
      <c r="G522" s="35"/>
      <c r="H522" s="41"/>
      <c r="I522" s="42"/>
      <c r="J522" s="42"/>
      <c r="K522" s="42"/>
      <c r="L522" s="42"/>
      <c r="M522" s="42"/>
      <c r="N522" s="42"/>
      <c r="O522" s="42"/>
      <c r="P522" s="42"/>
      <c r="Q522" s="42"/>
      <c r="R522" s="42"/>
      <c r="S522" s="42"/>
      <c r="T522" s="42"/>
      <c r="U522" s="42"/>
      <c r="V522" s="42"/>
      <c r="W522" s="42"/>
      <c r="X522" s="42"/>
      <c r="Y522" s="42"/>
      <c r="Z522" s="42"/>
      <c r="AA522" s="42"/>
      <c r="AB522" s="42"/>
      <c r="AC522" s="42"/>
    </row>
    <row r="523" spans="1:29" x14ac:dyDescent="0.25">
      <c r="A523" s="42"/>
      <c r="B523" s="35"/>
      <c r="C523" s="35"/>
      <c r="D523" s="41"/>
      <c r="E523" s="41"/>
      <c r="F523" s="40"/>
      <c r="G523" s="35"/>
      <c r="H523" s="41"/>
      <c r="I523" s="42"/>
      <c r="J523" s="42"/>
      <c r="K523" s="42"/>
      <c r="L523" s="42"/>
      <c r="M523" s="42"/>
      <c r="N523" s="42"/>
      <c r="O523" s="42"/>
      <c r="P523" s="42"/>
      <c r="Q523" s="42"/>
      <c r="R523" s="42"/>
      <c r="S523" s="42"/>
      <c r="T523" s="42"/>
      <c r="U523" s="42"/>
      <c r="V523" s="42"/>
      <c r="W523" s="42"/>
      <c r="X523" s="42"/>
      <c r="Y523" s="42"/>
      <c r="Z523" s="42"/>
      <c r="AA523" s="42"/>
      <c r="AB523" s="42"/>
      <c r="AC523" s="42"/>
    </row>
    <row r="524" spans="1:29" x14ac:dyDescent="0.25">
      <c r="A524" s="42"/>
      <c r="B524" s="35"/>
      <c r="C524" s="35"/>
      <c r="D524" s="41"/>
      <c r="E524" s="41"/>
      <c r="F524" s="40"/>
      <c r="G524" s="35"/>
      <c r="H524" s="41"/>
      <c r="I524" s="42"/>
      <c r="J524" s="42"/>
      <c r="K524" s="42"/>
      <c r="L524" s="42"/>
      <c r="M524" s="42"/>
      <c r="N524" s="42"/>
      <c r="O524" s="42"/>
      <c r="P524" s="42"/>
      <c r="Q524" s="42"/>
      <c r="R524" s="42"/>
      <c r="S524" s="42"/>
      <c r="T524" s="42"/>
      <c r="U524" s="42"/>
      <c r="V524" s="42"/>
      <c r="W524" s="42"/>
      <c r="X524" s="42"/>
      <c r="Y524" s="42"/>
      <c r="Z524" s="42"/>
      <c r="AA524" s="42"/>
      <c r="AB524" s="42"/>
      <c r="AC524" s="42"/>
    </row>
    <row r="525" spans="1:29" x14ac:dyDescent="0.25">
      <c r="A525" s="42"/>
      <c r="B525" s="35"/>
      <c r="C525" s="35"/>
      <c r="D525" s="41"/>
      <c r="E525" s="41"/>
      <c r="F525" s="40"/>
      <c r="G525" s="35"/>
      <c r="H525" s="41"/>
      <c r="I525" s="42"/>
      <c r="J525" s="42"/>
      <c r="K525" s="42"/>
      <c r="L525" s="42"/>
      <c r="M525" s="42"/>
      <c r="N525" s="42"/>
      <c r="O525" s="42"/>
      <c r="P525" s="42"/>
      <c r="Q525" s="42"/>
      <c r="R525" s="42"/>
      <c r="S525" s="42"/>
      <c r="T525" s="42"/>
      <c r="U525" s="42"/>
      <c r="V525" s="42"/>
      <c r="W525" s="42"/>
      <c r="X525" s="42"/>
      <c r="Y525" s="42"/>
      <c r="Z525" s="42"/>
      <c r="AA525" s="42"/>
      <c r="AB525" s="42"/>
      <c r="AC525" s="42"/>
    </row>
    <row r="526" spans="1:29" x14ac:dyDescent="0.25">
      <c r="A526" s="42"/>
      <c r="B526" s="35"/>
      <c r="C526" s="35"/>
      <c r="D526" s="41"/>
      <c r="E526" s="41"/>
      <c r="F526" s="40"/>
      <c r="G526" s="35"/>
      <c r="H526" s="41"/>
      <c r="I526" s="42"/>
      <c r="J526" s="42"/>
      <c r="K526" s="42"/>
      <c r="L526" s="42"/>
      <c r="M526" s="42"/>
      <c r="N526" s="42"/>
      <c r="O526" s="42"/>
      <c r="P526" s="42"/>
      <c r="Q526" s="42"/>
      <c r="R526" s="42"/>
      <c r="S526" s="42"/>
      <c r="T526" s="42"/>
      <c r="U526" s="42"/>
      <c r="V526" s="42"/>
      <c r="W526" s="42"/>
      <c r="X526" s="42"/>
      <c r="Y526" s="42"/>
      <c r="Z526" s="42"/>
      <c r="AA526" s="42"/>
      <c r="AB526" s="42"/>
      <c r="AC526" s="42"/>
    </row>
    <row r="527" spans="1:29" x14ac:dyDescent="0.25">
      <c r="A527" s="42"/>
      <c r="B527" s="35"/>
      <c r="C527" s="35"/>
      <c r="D527" s="41"/>
      <c r="E527" s="41"/>
      <c r="F527" s="40"/>
      <c r="G527" s="35"/>
      <c r="H527" s="41"/>
      <c r="I527" s="42"/>
      <c r="J527" s="42"/>
      <c r="K527" s="42"/>
      <c r="L527" s="42"/>
      <c r="M527" s="42"/>
      <c r="N527" s="42"/>
      <c r="O527" s="42"/>
      <c r="P527" s="42"/>
      <c r="Q527" s="42"/>
      <c r="R527" s="42"/>
      <c r="S527" s="42"/>
      <c r="T527" s="42"/>
      <c r="U527" s="42"/>
      <c r="V527" s="42"/>
      <c r="W527" s="42"/>
      <c r="X527" s="42"/>
      <c r="Y527" s="42"/>
      <c r="Z527" s="42"/>
      <c r="AA527" s="42"/>
      <c r="AB527" s="42"/>
      <c r="AC527" s="42"/>
    </row>
    <row r="528" spans="1:29" x14ac:dyDescent="0.25">
      <c r="A528" s="42"/>
      <c r="B528" s="35"/>
      <c r="C528" s="35"/>
      <c r="D528" s="41"/>
      <c r="E528" s="41"/>
      <c r="F528" s="40"/>
      <c r="G528" s="35"/>
      <c r="H528" s="41"/>
      <c r="I528" s="42"/>
      <c r="J528" s="42"/>
      <c r="K528" s="42"/>
      <c r="L528" s="42"/>
      <c r="M528" s="42"/>
      <c r="N528" s="42"/>
      <c r="O528" s="42"/>
      <c r="P528" s="42"/>
      <c r="Q528" s="42"/>
      <c r="R528" s="42"/>
      <c r="S528" s="42"/>
      <c r="T528" s="42"/>
      <c r="U528" s="42"/>
      <c r="V528" s="42"/>
      <c r="W528" s="42"/>
      <c r="X528" s="42"/>
      <c r="Y528" s="42"/>
      <c r="Z528" s="42"/>
      <c r="AA528" s="42"/>
      <c r="AB528" s="42"/>
      <c r="AC528" s="42"/>
    </row>
    <row r="529" spans="1:29" x14ac:dyDescent="0.25">
      <c r="A529" s="42"/>
      <c r="B529" s="35"/>
      <c r="C529" s="35"/>
      <c r="D529" s="41"/>
      <c r="E529" s="41"/>
      <c r="F529" s="40"/>
      <c r="G529" s="35"/>
      <c r="H529" s="41"/>
      <c r="I529" s="42"/>
      <c r="J529" s="42"/>
      <c r="K529" s="42"/>
      <c r="L529" s="42"/>
      <c r="M529" s="42"/>
      <c r="N529" s="42"/>
      <c r="O529" s="42"/>
      <c r="P529" s="42"/>
      <c r="Q529" s="42"/>
      <c r="R529" s="42"/>
      <c r="S529" s="42"/>
      <c r="T529" s="42"/>
      <c r="U529" s="42"/>
      <c r="V529" s="42"/>
      <c r="W529" s="42"/>
      <c r="X529" s="42"/>
      <c r="Y529" s="42"/>
      <c r="Z529" s="42"/>
      <c r="AA529" s="42"/>
      <c r="AB529" s="42"/>
      <c r="AC529" s="42"/>
    </row>
    <row r="530" spans="1:29" x14ac:dyDescent="0.25">
      <c r="A530" s="42"/>
      <c r="B530" s="35"/>
      <c r="C530" s="35"/>
      <c r="D530" s="41"/>
      <c r="E530" s="41"/>
      <c r="F530" s="40"/>
      <c r="G530" s="35"/>
      <c r="H530" s="41"/>
      <c r="I530" s="42"/>
      <c r="J530" s="42"/>
      <c r="K530" s="42"/>
      <c r="L530" s="42"/>
      <c r="M530" s="42"/>
      <c r="N530" s="42"/>
      <c r="O530" s="42"/>
      <c r="P530" s="42"/>
      <c r="Q530" s="42"/>
      <c r="R530" s="42"/>
      <c r="S530" s="42"/>
      <c r="T530" s="42"/>
      <c r="U530" s="42"/>
      <c r="V530" s="42"/>
      <c r="W530" s="42"/>
      <c r="X530" s="42"/>
      <c r="Y530" s="42"/>
      <c r="Z530" s="42"/>
      <c r="AA530" s="42"/>
      <c r="AB530" s="42"/>
      <c r="AC530" s="42"/>
    </row>
    <row r="531" spans="1:29" x14ac:dyDescent="0.25">
      <c r="A531" s="42"/>
      <c r="B531" s="35"/>
      <c r="C531" s="35"/>
      <c r="D531" s="41"/>
      <c r="E531" s="41"/>
      <c r="F531" s="40"/>
      <c r="G531" s="35"/>
      <c r="H531" s="41"/>
      <c r="I531" s="42"/>
      <c r="J531" s="42"/>
      <c r="K531" s="42"/>
      <c r="L531" s="42"/>
      <c r="M531" s="42"/>
      <c r="N531" s="42"/>
      <c r="O531" s="42"/>
      <c r="P531" s="42"/>
      <c r="Q531" s="42"/>
      <c r="R531" s="42"/>
      <c r="S531" s="42"/>
      <c r="T531" s="42"/>
      <c r="U531" s="42"/>
      <c r="V531" s="42"/>
      <c r="W531" s="42"/>
      <c r="X531" s="42"/>
      <c r="Y531" s="42"/>
      <c r="Z531" s="42"/>
      <c r="AA531" s="42"/>
      <c r="AB531" s="42"/>
      <c r="AC531" s="42"/>
    </row>
    <row r="532" spans="1:29" x14ac:dyDescent="0.25">
      <c r="A532" s="42"/>
      <c r="B532" s="35"/>
      <c r="C532" s="35"/>
      <c r="D532" s="41"/>
      <c r="E532" s="41"/>
      <c r="F532" s="40"/>
      <c r="G532" s="35"/>
      <c r="H532" s="41"/>
      <c r="I532" s="42"/>
      <c r="J532" s="42"/>
      <c r="K532" s="42"/>
      <c r="L532" s="42"/>
      <c r="M532" s="42"/>
      <c r="N532" s="42"/>
      <c r="O532" s="42"/>
      <c r="P532" s="42"/>
      <c r="Q532" s="42"/>
      <c r="R532" s="42"/>
      <c r="S532" s="42"/>
      <c r="T532" s="42"/>
      <c r="U532" s="42"/>
      <c r="V532" s="42"/>
      <c r="W532" s="42"/>
      <c r="X532" s="42"/>
      <c r="Y532" s="42"/>
      <c r="Z532" s="42"/>
      <c r="AA532" s="42"/>
      <c r="AB532" s="42"/>
      <c r="AC532" s="42"/>
    </row>
    <row r="533" spans="1:29" x14ac:dyDescent="0.25">
      <c r="A533" s="42"/>
      <c r="B533" s="35"/>
      <c r="C533" s="35"/>
      <c r="D533" s="41"/>
      <c r="E533" s="41"/>
      <c r="F533" s="40"/>
      <c r="G533" s="35"/>
      <c r="H533" s="41"/>
      <c r="I533" s="42"/>
      <c r="J533" s="42"/>
      <c r="K533" s="42"/>
      <c r="L533" s="42"/>
      <c r="M533" s="42"/>
      <c r="N533" s="42"/>
      <c r="O533" s="42"/>
      <c r="P533" s="42"/>
      <c r="Q533" s="42"/>
      <c r="R533" s="42"/>
      <c r="S533" s="42"/>
      <c r="T533" s="42"/>
      <c r="U533" s="42"/>
      <c r="V533" s="42"/>
      <c r="W533" s="42"/>
      <c r="X533" s="42"/>
      <c r="Y533" s="42"/>
      <c r="Z533" s="42"/>
      <c r="AA533" s="42"/>
      <c r="AB533" s="42"/>
      <c r="AC533" s="42"/>
    </row>
    <row r="534" spans="1:29" x14ac:dyDescent="0.25">
      <c r="A534" s="42"/>
      <c r="B534" s="35"/>
      <c r="C534" s="35"/>
      <c r="D534" s="41"/>
      <c r="E534" s="41"/>
      <c r="F534" s="40"/>
      <c r="G534" s="35"/>
      <c r="H534" s="41"/>
      <c r="I534" s="42"/>
      <c r="J534" s="42"/>
      <c r="K534" s="42"/>
      <c r="L534" s="42"/>
      <c r="M534" s="42"/>
      <c r="N534" s="42"/>
      <c r="O534" s="42"/>
      <c r="P534" s="42"/>
      <c r="Q534" s="42"/>
      <c r="R534" s="42"/>
      <c r="S534" s="42"/>
      <c r="T534" s="42"/>
      <c r="U534" s="42"/>
      <c r="V534" s="42"/>
      <c r="W534" s="42"/>
      <c r="X534" s="42"/>
      <c r="Y534" s="42"/>
      <c r="Z534" s="42"/>
      <c r="AA534" s="42"/>
      <c r="AB534" s="42"/>
      <c r="AC534" s="42"/>
    </row>
    <row r="535" spans="1:29" x14ac:dyDescent="0.25">
      <c r="A535" s="42"/>
      <c r="B535" s="35"/>
      <c r="C535" s="35"/>
      <c r="D535" s="41"/>
      <c r="E535" s="41"/>
      <c r="F535" s="40"/>
      <c r="G535" s="35"/>
      <c r="H535" s="41"/>
      <c r="I535" s="42"/>
      <c r="J535" s="42"/>
      <c r="K535" s="42"/>
      <c r="L535" s="42"/>
      <c r="M535" s="42"/>
      <c r="N535" s="42"/>
      <c r="O535" s="42"/>
      <c r="P535" s="42"/>
      <c r="Q535" s="42"/>
      <c r="R535" s="42"/>
      <c r="S535" s="42"/>
      <c r="T535" s="42"/>
      <c r="U535" s="42"/>
      <c r="V535" s="42"/>
      <c r="W535" s="42"/>
      <c r="X535" s="42"/>
      <c r="Y535" s="42"/>
      <c r="Z535" s="42"/>
      <c r="AA535" s="42"/>
      <c r="AB535" s="42"/>
      <c r="AC535" s="42"/>
    </row>
    <row r="536" spans="1:29" x14ac:dyDescent="0.25">
      <c r="A536" s="42"/>
      <c r="B536" s="35"/>
      <c r="C536" s="35"/>
      <c r="D536" s="41"/>
      <c r="E536" s="41"/>
      <c r="F536" s="40"/>
      <c r="G536" s="35"/>
      <c r="H536" s="41"/>
      <c r="I536" s="42"/>
      <c r="J536" s="42"/>
      <c r="K536" s="42"/>
      <c r="L536" s="42"/>
      <c r="M536" s="42"/>
      <c r="N536" s="42"/>
      <c r="O536" s="42"/>
      <c r="P536" s="42"/>
      <c r="Q536" s="42"/>
      <c r="R536" s="42"/>
      <c r="S536" s="42"/>
      <c r="T536" s="42"/>
      <c r="U536" s="42"/>
      <c r="V536" s="42"/>
      <c r="W536" s="42"/>
      <c r="X536" s="42"/>
      <c r="Y536" s="42"/>
      <c r="Z536" s="42"/>
      <c r="AA536" s="42"/>
      <c r="AB536" s="42"/>
      <c r="AC536" s="42"/>
    </row>
    <row r="537" spans="1:29" x14ac:dyDescent="0.25">
      <c r="A537" s="42"/>
      <c r="B537" s="35"/>
      <c r="C537" s="35"/>
      <c r="D537" s="41"/>
      <c r="E537" s="41"/>
      <c r="F537" s="40"/>
      <c r="G537" s="35"/>
      <c r="H537" s="41"/>
      <c r="I537" s="42"/>
      <c r="J537" s="42"/>
      <c r="K537" s="42"/>
      <c r="L537" s="42"/>
      <c r="M537" s="42"/>
      <c r="N537" s="42"/>
      <c r="O537" s="42"/>
      <c r="P537" s="42"/>
      <c r="Q537" s="42"/>
      <c r="R537" s="42"/>
      <c r="S537" s="42"/>
      <c r="T537" s="42"/>
      <c r="U537" s="42"/>
      <c r="V537" s="42"/>
      <c r="W537" s="42"/>
      <c r="X537" s="42"/>
      <c r="Y537" s="42"/>
      <c r="Z537" s="42"/>
      <c r="AA537" s="42"/>
      <c r="AB537" s="42"/>
      <c r="AC537" s="42"/>
    </row>
    <row r="538" spans="1:29" x14ac:dyDescent="0.25">
      <c r="A538" s="42"/>
      <c r="B538" s="35"/>
      <c r="C538" s="35"/>
      <c r="D538" s="41"/>
      <c r="E538" s="41"/>
      <c r="F538" s="40"/>
      <c r="G538" s="35"/>
      <c r="H538" s="41"/>
      <c r="I538" s="42"/>
      <c r="J538" s="42"/>
      <c r="K538" s="42"/>
      <c r="L538" s="42"/>
      <c r="M538" s="42"/>
      <c r="N538" s="42"/>
      <c r="O538" s="42"/>
      <c r="P538" s="42"/>
      <c r="Q538" s="42"/>
      <c r="R538" s="42"/>
      <c r="S538" s="42"/>
      <c r="T538" s="42"/>
      <c r="U538" s="42"/>
      <c r="V538" s="42"/>
      <c r="W538" s="42"/>
      <c r="X538" s="42"/>
      <c r="Y538" s="42"/>
      <c r="Z538" s="42"/>
      <c r="AA538" s="42"/>
      <c r="AB538" s="42"/>
      <c r="AC538" s="42"/>
    </row>
    <row r="539" spans="1:29" x14ac:dyDescent="0.25">
      <c r="A539" s="42"/>
      <c r="B539" s="35"/>
      <c r="C539" s="35"/>
      <c r="D539" s="41"/>
      <c r="E539" s="41"/>
      <c r="F539" s="40"/>
      <c r="G539" s="35"/>
      <c r="H539" s="41"/>
      <c r="I539" s="42"/>
      <c r="J539" s="42"/>
      <c r="K539" s="42"/>
      <c r="L539" s="42"/>
      <c r="M539" s="42"/>
      <c r="N539" s="42"/>
      <c r="O539" s="42"/>
      <c r="P539" s="42"/>
      <c r="Q539" s="42"/>
      <c r="R539" s="42"/>
      <c r="S539" s="42"/>
      <c r="T539" s="42"/>
      <c r="U539" s="42"/>
      <c r="V539" s="42"/>
      <c r="W539" s="42"/>
      <c r="X539" s="42"/>
      <c r="Y539" s="42"/>
      <c r="Z539" s="42"/>
      <c r="AA539" s="42"/>
      <c r="AB539" s="42"/>
      <c r="AC539" s="42"/>
    </row>
    <row r="540" spans="1:29" x14ac:dyDescent="0.25">
      <c r="A540" s="42"/>
      <c r="B540" s="35"/>
      <c r="C540" s="35"/>
      <c r="D540" s="41"/>
      <c r="E540" s="41"/>
      <c r="F540" s="40"/>
      <c r="G540" s="35"/>
      <c r="H540" s="41"/>
      <c r="I540" s="42"/>
      <c r="J540" s="42"/>
      <c r="K540" s="42"/>
      <c r="L540" s="42"/>
      <c r="M540" s="42"/>
      <c r="N540" s="42"/>
      <c r="O540" s="42"/>
      <c r="P540" s="42"/>
      <c r="Q540" s="42"/>
      <c r="R540" s="42"/>
      <c r="S540" s="42"/>
      <c r="T540" s="42"/>
      <c r="U540" s="42"/>
      <c r="V540" s="42"/>
      <c r="W540" s="42"/>
      <c r="X540" s="42"/>
      <c r="Y540" s="42"/>
      <c r="Z540" s="42"/>
      <c r="AA540" s="42"/>
      <c r="AB540" s="42"/>
      <c r="AC540" s="42"/>
    </row>
    <row r="541" spans="1:29" x14ac:dyDescent="0.25">
      <c r="A541" s="42"/>
      <c r="B541" s="35"/>
      <c r="C541" s="35"/>
      <c r="D541" s="41"/>
      <c r="E541" s="41"/>
      <c r="F541" s="40"/>
      <c r="G541" s="35"/>
      <c r="H541" s="41"/>
      <c r="I541" s="42"/>
      <c r="J541" s="42"/>
      <c r="K541" s="42"/>
      <c r="L541" s="42"/>
      <c r="M541" s="42"/>
      <c r="N541" s="42"/>
      <c r="O541" s="42"/>
      <c r="P541" s="42"/>
      <c r="Q541" s="42"/>
      <c r="R541" s="42"/>
      <c r="S541" s="42"/>
      <c r="T541" s="42"/>
      <c r="U541" s="42"/>
      <c r="V541" s="42"/>
      <c r="W541" s="42"/>
      <c r="X541" s="42"/>
      <c r="Y541" s="42"/>
      <c r="Z541" s="42"/>
      <c r="AA541" s="42"/>
      <c r="AB541" s="42"/>
      <c r="AC541" s="42"/>
    </row>
    <row r="542" spans="1:29" x14ac:dyDescent="0.25">
      <c r="A542" s="42"/>
      <c r="B542" s="35"/>
      <c r="C542" s="35"/>
      <c r="D542" s="41"/>
      <c r="E542" s="41"/>
      <c r="F542" s="40"/>
      <c r="G542" s="35"/>
      <c r="H542" s="41"/>
      <c r="I542" s="42"/>
      <c r="J542" s="42"/>
      <c r="K542" s="42"/>
      <c r="L542" s="42"/>
      <c r="M542" s="42"/>
      <c r="N542" s="42"/>
      <c r="O542" s="42"/>
      <c r="P542" s="42"/>
      <c r="Q542" s="42"/>
      <c r="R542" s="42"/>
      <c r="S542" s="42"/>
      <c r="T542" s="42"/>
      <c r="U542" s="42"/>
      <c r="V542" s="42"/>
      <c r="W542" s="42"/>
      <c r="X542" s="42"/>
      <c r="Y542" s="42"/>
      <c r="Z542" s="42"/>
      <c r="AA542" s="42"/>
      <c r="AB542" s="42"/>
      <c r="AC542" s="42"/>
    </row>
    <row r="543" spans="1:29" x14ac:dyDescent="0.25">
      <c r="A543" s="42"/>
      <c r="B543" s="35"/>
      <c r="C543" s="35"/>
      <c r="D543" s="41"/>
      <c r="E543" s="41"/>
      <c r="F543" s="40"/>
      <c r="G543" s="35"/>
      <c r="H543" s="41"/>
      <c r="I543" s="42"/>
      <c r="J543" s="42"/>
      <c r="K543" s="42"/>
      <c r="L543" s="42"/>
      <c r="M543" s="42"/>
      <c r="N543" s="42"/>
      <c r="O543" s="42"/>
      <c r="P543" s="42"/>
      <c r="Q543" s="42"/>
      <c r="R543" s="42"/>
      <c r="S543" s="42"/>
      <c r="T543" s="42"/>
      <c r="U543" s="42"/>
      <c r="V543" s="42"/>
      <c r="W543" s="42"/>
      <c r="X543" s="42"/>
      <c r="Y543" s="42"/>
      <c r="Z543" s="42"/>
      <c r="AA543" s="42"/>
      <c r="AB543" s="42"/>
      <c r="AC543" s="42"/>
    </row>
    <row r="544" spans="1:29" x14ac:dyDescent="0.25">
      <c r="A544" s="42"/>
      <c r="B544" s="35"/>
      <c r="C544" s="35"/>
      <c r="D544" s="41"/>
      <c r="E544" s="41"/>
      <c r="F544" s="40"/>
      <c r="G544" s="35"/>
      <c r="H544" s="41"/>
      <c r="I544" s="42"/>
      <c r="J544" s="42"/>
      <c r="K544" s="42"/>
      <c r="L544" s="42"/>
      <c r="M544" s="42"/>
      <c r="N544" s="42"/>
      <c r="O544" s="42"/>
      <c r="P544" s="42"/>
      <c r="Q544" s="42"/>
      <c r="R544" s="42"/>
      <c r="S544" s="42"/>
      <c r="T544" s="42"/>
      <c r="U544" s="42"/>
      <c r="V544" s="42"/>
      <c r="W544" s="42"/>
      <c r="X544" s="42"/>
      <c r="Y544" s="42"/>
      <c r="Z544" s="42"/>
      <c r="AA544" s="42"/>
      <c r="AB544" s="42"/>
      <c r="AC544" s="42"/>
    </row>
    <row r="545" spans="1:29" x14ac:dyDescent="0.25">
      <c r="A545" s="42"/>
      <c r="B545" s="35"/>
      <c r="C545" s="35"/>
      <c r="D545" s="41"/>
      <c r="E545" s="41"/>
      <c r="F545" s="40"/>
      <c r="G545" s="35"/>
      <c r="H545" s="41"/>
      <c r="I545" s="42"/>
      <c r="J545" s="42"/>
      <c r="K545" s="42"/>
      <c r="L545" s="42"/>
      <c r="M545" s="42"/>
      <c r="N545" s="42"/>
      <c r="O545" s="42"/>
      <c r="P545" s="42"/>
      <c r="Q545" s="42"/>
      <c r="R545" s="42"/>
      <c r="S545" s="42"/>
      <c r="T545" s="42"/>
      <c r="U545" s="42"/>
      <c r="V545" s="42"/>
      <c r="W545" s="42"/>
      <c r="X545" s="42"/>
      <c r="Y545" s="42"/>
      <c r="Z545" s="42"/>
      <c r="AA545" s="42"/>
      <c r="AB545" s="42"/>
      <c r="AC545" s="42"/>
    </row>
    <row r="546" spans="1:29" x14ac:dyDescent="0.25">
      <c r="A546" s="42"/>
      <c r="B546" s="35"/>
      <c r="C546" s="35"/>
      <c r="D546" s="41"/>
      <c r="E546" s="41"/>
      <c r="F546" s="40"/>
      <c r="G546" s="35"/>
      <c r="H546" s="41"/>
      <c r="I546" s="42"/>
      <c r="J546" s="42"/>
      <c r="K546" s="42"/>
      <c r="L546" s="42"/>
      <c r="M546" s="42"/>
      <c r="N546" s="42"/>
      <c r="O546" s="42"/>
      <c r="P546" s="42"/>
      <c r="Q546" s="42"/>
      <c r="R546" s="42"/>
      <c r="S546" s="42"/>
      <c r="T546" s="42"/>
      <c r="U546" s="42"/>
      <c r="V546" s="42"/>
      <c r="W546" s="42"/>
      <c r="X546" s="42"/>
      <c r="Y546" s="42"/>
      <c r="Z546" s="42"/>
      <c r="AA546" s="42"/>
      <c r="AB546" s="42"/>
      <c r="AC546" s="42"/>
    </row>
    <row r="547" spans="1:29" x14ac:dyDescent="0.25">
      <c r="A547" s="42"/>
      <c r="B547" s="35"/>
      <c r="C547" s="35"/>
      <c r="D547" s="41"/>
      <c r="E547" s="41"/>
      <c r="F547" s="40"/>
      <c r="G547" s="35"/>
      <c r="H547" s="41"/>
      <c r="I547" s="42"/>
      <c r="J547" s="42"/>
      <c r="K547" s="42"/>
      <c r="L547" s="42"/>
      <c r="M547" s="42"/>
      <c r="N547" s="42"/>
      <c r="O547" s="42"/>
      <c r="P547" s="42"/>
      <c r="Q547" s="42"/>
      <c r="R547" s="42"/>
      <c r="S547" s="42"/>
      <c r="T547" s="42"/>
      <c r="U547" s="42"/>
      <c r="V547" s="42"/>
      <c r="W547" s="42"/>
      <c r="X547" s="42"/>
      <c r="Y547" s="42"/>
      <c r="Z547" s="42"/>
      <c r="AA547" s="42"/>
      <c r="AB547" s="42"/>
      <c r="AC547" s="42"/>
    </row>
    <row r="548" spans="1:29" x14ac:dyDescent="0.25">
      <c r="A548" s="42"/>
      <c r="B548" s="35"/>
      <c r="C548" s="35"/>
      <c r="D548" s="41"/>
      <c r="E548" s="41"/>
      <c r="F548" s="40"/>
      <c r="G548" s="35"/>
      <c r="H548" s="41"/>
      <c r="I548" s="42"/>
      <c r="J548" s="42"/>
      <c r="K548" s="42"/>
      <c r="L548" s="42"/>
      <c r="M548" s="42"/>
      <c r="N548" s="42"/>
      <c r="O548" s="42"/>
      <c r="P548" s="42"/>
      <c r="Q548" s="42"/>
      <c r="R548" s="42"/>
      <c r="S548" s="42"/>
      <c r="T548" s="42"/>
      <c r="U548" s="42"/>
      <c r="V548" s="42"/>
      <c r="W548" s="42"/>
      <c r="X548" s="42"/>
      <c r="Y548" s="42"/>
      <c r="Z548" s="42"/>
      <c r="AA548" s="42"/>
      <c r="AB548" s="42"/>
      <c r="AC548" s="42"/>
    </row>
    <row r="549" spans="1:29" x14ac:dyDescent="0.25">
      <c r="A549" s="42"/>
      <c r="B549" s="35"/>
      <c r="C549" s="35"/>
      <c r="D549" s="41"/>
      <c r="E549" s="41"/>
      <c r="F549" s="40"/>
      <c r="G549" s="35"/>
      <c r="H549" s="41"/>
      <c r="I549" s="42"/>
      <c r="J549" s="42"/>
      <c r="K549" s="42"/>
      <c r="L549" s="42"/>
      <c r="M549" s="42"/>
      <c r="N549" s="42"/>
      <c r="O549" s="42"/>
      <c r="P549" s="42"/>
      <c r="Q549" s="42"/>
      <c r="R549" s="42"/>
      <c r="S549" s="42"/>
      <c r="T549" s="42"/>
      <c r="U549" s="42"/>
      <c r="V549" s="42"/>
      <c r="W549" s="42"/>
      <c r="X549" s="42"/>
      <c r="Y549" s="42"/>
      <c r="Z549" s="42"/>
      <c r="AA549" s="42"/>
      <c r="AB549" s="42"/>
      <c r="AC549" s="42"/>
    </row>
    <row r="550" spans="1:29" x14ac:dyDescent="0.25">
      <c r="A550" s="42"/>
      <c r="B550" s="35"/>
      <c r="C550" s="35"/>
      <c r="D550" s="41"/>
      <c r="E550" s="41"/>
      <c r="F550" s="40"/>
      <c r="G550" s="35"/>
      <c r="H550" s="41"/>
      <c r="I550" s="42"/>
      <c r="J550" s="42"/>
      <c r="K550" s="42"/>
      <c r="L550" s="42"/>
      <c r="M550" s="42"/>
      <c r="N550" s="42"/>
      <c r="O550" s="42"/>
      <c r="P550" s="42"/>
      <c r="Q550" s="42"/>
      <c r="R550" s="42"/>
      <c r="S550" s="42"/>
      <c r="T550" s="42"/>
      <c r="U550" s="42"/>
      <c r="V550" s="42"/>
      <c r="W550" s="42"/>
      <c r="X550" s="42"/>
      <c r="Y550" s="42"/>
      <c r="Z550" s="42"/>
      <c r="AA550" s="42"/>
      <c r="AB550" s="42"/>
      <c r="AC550" s="42"/>
    </row>
    <row r="551" spans="1:29" x14ac:dyDescent="0.25">
      <c r="A551" s="42"/>
      <c r="B551" s="35"/>
      <c r="C551" s="35"/>
      <c r="D551" s="41"/>
      <c r="E551" s="41"/>
      <c r="F551" s="40"/>
      <c r="G551" s="35"/>
      <c r="H551" s="41"/>
      <c r="I551" s="42"/>
      <c r="J551" s="42"/>
      <c r="K551" s="42"/>
      <c r="L551" s="42"/>
      <c r="M551" s="42"/>
      <c r="N551" s="42"/>
      <c r="O551" s="42"/>
      <c r="P551" s="42"/>
      <c r="Q551" s="42"/>
      <c r="R551" s="42"/>
      <c r="S551" s="42"/>
      <c r="T551" s="42"/>
      <c r="U551" s="42"/>
      <c r="V551" s="42"/>
      <c r="W551" s="42"/>
      <c r="X551" s="42"/>
      <c r="Y551" s="42"/>
      <c r="Z551" s="42"/>
      <c r="AA551" s="42"/>
      <c r="AB551" s="42"/>
      <c r="AC551" s="42"/>
    </row>
    <row r="552" spans="1:29" x14ac:dyDescent="0.25">
      <c r="A552" s="42"/>
      <c r="B552" s="35"/>
      <c r="C552" s="35"/>
      <c r="D552" s="41"/>
      <c r="E552" s="41"/>
      <c r="F552" s="40"/>
      <c r="G552" s="35"/>
      <c r="H552" s="41"/>
      <c r="I552" s="42"/>
      <c r="J552" s="42"/>
      <c r="K552" s="42"/>
      <c r="L552" s="42"/>
      <c r="M552" s="42"/>
      <c r="N552" s="42"/>
      <c r="O552" s="42"/>
      <c r="P552" s="42"/>
      <c r="Q552" s="42"/>
      <c r="R552" s="42"/>
      <c r="S552" s="42"/>
      <c r="T552" s="42"/>
      <c r="U552" s="42"/>
      <c r="V552" s="42"/>
      <c r="W552" s="42"/>
      <c r="X552" s="42"/>
      <c r="Y552" s="42"/>
      <c r="Z552" s="42"/>
      <c r="AA552" s="42"/>
      <c r="AB552" s="42"/>
      <c r="AC552" s="42"/>
    </row>
    <row r="553" spans="1:29" x14ac:dyDescent="0.25">
      <c r="A553" s="42"/>
      <c r="B553" s="35"/>
      <c r="C553" s="35"/>
      <c r="D553" s="41"/>
      <c r="E553" s="41"/>
      <c r="F553" s="40"/>
      <c r="G553" s="35"/>
      <c r="H553" s="41"/>
      <c r="I553" s="42"/>
      <c r="J553" s="42"/>
      <c r="K553" s="42"/>
      <c r="L553" s="42"/>
      <c r="M553" s="42"/>
      <c r="N553" s="42"/>
      <c r="O553" s="42"/>
      <c r="P553" s="42"/>
      <c r="Q553" s="42"/>
      <c r="R553" s="42"/>
      <c r="S553" s="42"/>
      <c r="T553" s="42"/>
      <c r="U553" s="42"/>
      <c r="V553" s="42"/>
      <c r="W553" s="42"/>
      <c r="X553" s="42"/>
      <c r="Y553" s="42"/>
      <c r="Z553" s="42"/>
      <c r="AA553" s="42"/>
      <c r="AB553" s="42"/>
      <c r="AC553" s="42"/>
    </row>
    <row r="554" spans="1:29" x14ac:dyDescent="0.25">
      <c r="A554" s="42"/>
      <c r="B554" s="35"/>
      <c r="C554" s="35"/>
      <c r="D554" s="41"/>
      <c r="E554" s="41"/>
      <c r="F554" s="40"/>
      <c r="G554" s="35"/>
      <c r="H554" s="41"/>
      <c r="I554" s="42"/>
      <c r="J554" s="42"/>
      <c r="K554" s="42"/>
      <c r="L554" s="42"/>
      <c r="M554" s="42"/>
      <c r="N554" s="42"/>
      <c r="O554" s="42"/>
      <c r="P554" s="42"/>
      <c r="Q554" s="42"/>
      <c r="R554" s="42"/>
      <c r="S554" s="42"/>
      <c r="T554" s="42"/>
      <c r="U554" s="42"/>
      <c r="V554" s="42"/>
      <c r="W554" s="42"/>
      <c r="X554" s="42"/>
      <c r="Y554" s="42"/>
      <c r="Z554" s="42"/>
      <c r="AA554" s="42"/>
      <c r="AB554" s="42"/>
      <c r="AC554" s="42"/>
    </row>
    <row r="555" spans="1:29" x14ac:dyDescent="0.25">
      <c r="A555" s="42"/>
      <c r="B555" s="35"/>
      <c r="C555" s="35"/>
      <c r="D555" s="41"/>
      <c r="E555" s="41"/>
      <c r="F555" s="40"/>
      <c r="G555" s="35"/>
      <c r="H555" s="41"/>
      <c r="I555" s="42"/>
      <c r="J555" s="42"/>
      <c r="K555" s="42"/>
      <c r="L555" s="42"/>
      <c r="M555" s="42"/>
      <c r="N555" s="42"/>
      <c r="O555" s="42"/>
      <c r="P555" s="42"/>
      <c r="Q555" s="42"/>
      <c r="R555" s="42"/>
      <c r="S555" s="42"/>
      <c r="T555" s="42"/>
      <c r="U555" s="42"/>
      <c r="V555" s="42"/>
      <c r="W555" s="42"/>
      <c r="X555" s="42"/>
      <c r="Y555" s="42"/>
      <c r="Z555" s="42"/>
      <c r="AA555" s="42"/>
      <c r="AB555" s="42"/>
      <c r="AC555" s="42"/>
    </row>
    <row r="556" spans="1:29" x14ac:dyDescent="0.25">
      <c r="A556" s="42"/>
      <c r="B556" s="35"/>
      <c r="C556" s="35"/>
      <c r="D556" s="41"/>
      <c r="E556" s="41"/>
      <c r="F556" s="40"/>
      <c r="G556" s="35"/>
      <c r="H556" s="41"/>
      <c r="I556" s="42"/>
      <c r="J556" s="42"/>
      <c r="K556" s="42"/>
      <c r="L556" s="42"/>
      <c r="M556" s="42"/>
      <c r="N556" s="42"/>
      <c r="O556" s="42"/>
      <c r="P556" s="42"/>
      <c r="Q556" s="42"/>
      <c r="R556" s="42"/>
      <c r="S556" s="42"/>
      <c r="T556" s="42"/>
      <c r="U556" s="42"/>
      <c r="V556" s="42"/>
      <c r="W556" s="42"/>
      <c r="X556" s="42"/>
      <c r="Y556" s="42"/>
      <c r="Z556" s="42"/>
      <c r="AA556" s="42"/>
      <c r="AB556" s="42"/>
      <c r="AC556" s="42"/>
    </row>
    <row r="557" spans="1:29" x14ac:dyDescent="0.25">
      <c r="A557" s="42"/>
      <c r="B557" s="35"/>
      <c r="C557" s="35"/>
      <c r="D557" s="41"/>
      <c r="E557" s="41"/>
      <c r="F557" s="40"/>
      <c r="G557" s="35"/>
      <c r="H557" s="41"/>
      <c r="I557" s="42"/>
      <c r="J557" s="42"/>
      <c r="K557" s="42"/>
      <c r="L557" s="42"/>
      <c r="M557" s="42"/>
      <c r="N557" s="42"/>
      <c r="O557" s="42"/>
      <c r="P557" s="42"/>
      <c r="Q557" s="42"/>
      <c r="R557" s="42"/>
      <c r="S557" s="42"/>
      <c r="T557" s="42"/>
      <c r="U557" s="42"/>
      <c r="V557" s="42"/>
      <c r="W557" s="42"/>
      <c r="X557" s="42"/>
      <c r="Y557" s="42"/>
      <c r="Z557" s="42"/>
      <c r="AA557" s="42"/>
      <c r="AB557" s="42"/>
      <c r="AC557" s="42"/>
    </row>
    <row r="558" spans="1:29" x14ac:dyDescent="0.25">
      <c r="A558" s="42"/>
      <c r="B558" s="35"/>
      <c r="C558" s="35"/>
      <c r="D558" s="41"/>
      <c r="E558" s="41"/>
      <c r="F558" s="40"/>
      <c r="G558" s="35"/>
      <c r="H558" s="41"/>
      <c r="I558" s="42"/>
      <c r="J558" s="42"/>
      <c r="K558" s="42"/>
      <c r="L558" s="42"/>
      <c r="M558" s="42"/>
      <c r="N558" s="42"/>
      <c r="O558" s="42"/>
      <c r="P558" s="42"/>
      <c r="Q558" s="42"/>
      <c r="R558" s="42"/>
      <c r="S558" s="42"/>
      <c r="T558" s="42"/>
      <c r="U558" s="42"/>
      <c r="V558" s="42"/>
      <c r="W558" s="42"/>
      <c r="X558" s="42"/>
      <c r="Y558" s="42"/>
      <c r="Z558" s="42"/>
      <c r="AA558" s="42"/>
      <c r="AB558" s="42"/>
      <c r="AC558" s="42"/>
    </row>
    <row r="559" spans="1:29" x14ac:dyDescent="0.25">
      <c r="A559" s="42"/>
      <c r="B559" s="35"/>
      <c r="C559" s="35"/>
      <c r="D559" s="41"/>
      <c r="E559" s="41"/>
      <c r="F559" s="40"/>
      <c r="G559" s="35"/>
      <c r="H559" s="41"/>
      <c r="I559" s="42"/>
      <c r="J559" s="42"/>
      <c r="K559" s="42"/>
      <c r="L559" s="42"/>
      <c r="M559" s="42"/>
      <c r="N559" s="42"/>
      <c r="O559" s="42"/>
      <c r="P559" s="42"/>
      <c r="Q559" s="42"/>
      <c r="R559" s="42"/>
      <c r="S559" s="42"/>
      <c r="T559" s="42"/>
      <c r="U559" s="42"/>
      <c r="V559" s="42"/>
      <c r="W559" s="42"/>
      <c r="X559" s="42"/>
      <c r="Y559" s="42"/>
      <c r="Z559" s="42"/>
      <c r="AA559" s="42"/>
      <c r="AB559" s="42"/>
      <c r="AC559" s="42"/>
    </row>
    <row r="560" spans="1:29" x14ac:dyDescent="0.25">
      <c r="A560" s="42"/>
      <c r="B560" s="35"/>
      <c r="C560" s="35"/>
      <c r="D560" s="41"/>
      <c r="E560" s="41"/>
      <c r="F560" s="40"/>
      <c r="G560" s="35"/>
      <c r="H560" s="41"/>
      <c r="I560" s="42"/>
      <c r="J560" s="42"/>
      <c r="K560" s="42"/>
      <c r="L560" s="42"/>
      <c r="M560" s="42"/>
      <c r="N560" s="42"/>
      <c r="O560" s="42"/>
      <c r="P560" s="42"/>
      <c r="Q560" s="42"/>
      <c r="R560" s="42"/>
      <c r="S560" s="42"/>
      <c r="T560" s="42"/>
      <c r="U560" s="42"/>
      <c r="V560" s="42"/>
      <c r="W560" s="42"/>
      <c r="X560" s="42"/>
      <c r="Y560" s="42"/>
      <c r="Z560" s="42"/>
      <c r="AA560" s="42"/>
      <c r="AB560" s="42"/>
      <c r="AC560" s="42"/>
    </row>
    <row r="561" spans="1:29" x14ac:dyDescent="0.25">
      <c r="A561" s="42"/>
      <c r="B561" s="35"/>
      <c r="C561" s="35"/>
      <c r="D561" s="41"/>
      <c r="E561" s="41"/>
      <c r="F561" s="40"/>
      <c r="G561" s="35"/>
      <c r="H561" s="41"/>
      <c r="I561" s="42"/>
      <c r="J561" s="42"/>
      <c r="K561" s="42"/>
      <c r="L561" s="42"/>
      <c r="M561" s="42"/>
      <c r="N561" s="42"/>
      <c r="O561" s="42"/>
      <c r="P561" s="42"/>
      <c r="Q561" s="42"/>
      <c r="R561" s="42"/>
      <c r="S561" s="42"/>
      <c r="T561" s="42"/>
      <c r="U561" s="42"/>
      <c r="V561" s="42"/>
      <c r="W561" s="42"/>
      <c r="X561" s="42"/>
      <c r="Y561" s="42"/>
      <c r="Z561" s="42"/>
      <c r="AA561" s="42"/>
      <c r="AB561" s="42"/>
      <c r="AC561" s="42"/>
    </row>
    <row r="562" spans="1:29" x14ac:dyDescent="0.25">
      <c r="A562" s="42"/>
      <c r="B562" s="35"/>
      <c r="C562" s="35"/>
      <c r="D562" s="41"/>
      <c r="E562" s="41"/>
      <c r="F562" s="40"/>
      <c r="G562" s="35"/>
      <c r="H562" s="41"/>
      <c r="I562" s="42"/>
      <c r="J562" s="42"/>
      <c r="K562" s="42"/>
      <c r="L562" s="42"/>
      <c r="M562" s="42"/>
      <c r="N562" s="42"/>
      <c r="O562" s="42"/>
      <c r="P562" s="42"/>
      <c r="Q562" s="42"/>
      <c r="R562" s="42"/>
      <c r="S562" s="42"/>
      <c r="T562" s="42"/>
      <c r="U562" s="42"/>
      <c r="V562" s="42"/>
      <c r="W562" s="42"/>
      <c r="X562" s="42"/>
      <c r="Y562" s="42"/>
      <c r="Z562" s="42"/>
      <c r="AA562" s="42"/>
      <c r="AB562" s="42"/>
      <c r="AC562" s="42"/>
    </row>
    <row r="563" spans="1:29" x14ac:dyDescent="0.25">
      <c r="A563" s="42"/>
      <c r="B563" s="35"/>
      <c r="C563" s="35"/>
      <c r="D563" s="41"/>
      <c r="E563" s="41"/>
      <c r="F563" s="40"/>
      <c r="G563" s="35"/>
      <c r="H563" s="41"/>
      <c r="I563" s="42"/>
      <c r="J563" s="42"/>
      <c r="K563" s="42"/>
      <c r="L563" s="42"/>
      <c r="M563" s="42"/>
      <c r="N563" s="42"/>
      <c r="O563" s="42"/>
      <c r="P563" s="42"/>
      <c r="Q563" s="42"/>
      <c r="R563" s="42"/>
      <c r="S563" s="42"/>
      <c r="T563" s="42"/>
      <c r="U563" s="42"/>
      <c r="V563" s="42"/>
      <c r="W563" s="42"/>
      <c r="X563" s="42"/>
      <c r="Y563" s="42"/>
      <c r="Z563" s="42"/>
      <c r="AA563" s="42"/>
      <c r="AB563" s="42"/>
      <c r="AC563" s="42"/>
    </row>
    <row r="564" spans="1:29" x14ac:dyDescent="0.25">
      <c r="A564" s="42"/>
      <c r="B564" s="35"/>
      <c r="C564" s="35"/>
      <c r="D564" s="41"/>
      <c r="E564" s="41"/>
      <c r="F564" s="40"/>
      <c r="G564" s="35"/>
      <c r="H564" s="41"/>
      <c r="I564" s="42"/>
      <c r="J564" s="42"/>
      <c r="K564" s="42"/>
      <c r="L564" s="42"/>
      <c r="M564" s="42"/>
      <c r="N564" s="42"/>
      <c r="O564" s="42"/>
      <c r="P564" s="42"/>
      <c r="Q564" s="42"/>
      <c r="R564" s="42"/>
      <c r="S564" s="42"/>
      <c r="T564" s="42"/>
      <c r="U564" s="42"/>
      <c r="V564" s="42"/>
      <c r="W564" s="42"/>
      <c r="X564" s="42"/>
      <c r="Y564" s="42"/>
      <c r="Z564" s="42"/>
      <c r="AA564" s="42"/>
      <c r="AB564" s="42"/>
      <c r="AC564" s="42"/>
    </row>
    <row r="565" spans="1:29" x14ac:dyDescent="0.25">
      <c r="A565" s="42"/>
      <c r="B565" s="35"/>
      <c r="C565" s="35"/>
      <c r="D565" s="41"/>
      <c r="E565" s="41"/>
      <c r="F565" s="40"/>
      <c r="G565" s="35"/>
      <c r="H565" s="41"/>
      <c r="I565" s="42"/>
      <c r="J565" s="42"/>
      <c r="K565" s="42"/>
      <c r="L565" s="42"/>
      <c r="M565" s="42"/>
      <c r="N565" s="42"/>
      <c r="O565" s="42"/>
      <c r="P565" s="42"/>
      <c r="Q565" s="42"/>
      <c r="R565" s="42"/>
      <c r="S565" s="42"/>
      <c r="T565" s="42"/>
      <c r="U565" s="42"/>
      <c r="V565" s="42"/>
      <c r="W565" s="42"/>
      <c r="X565" s="42"/>
      <c r="Y565" s="42"/>
      <c r="Z565" s="42"/>
      <c r="AA565" s="42"/>
      <c r="AB565" s="42"/>
      <c r="AC565" s="42"/>
    </row>
    <row r="566" spans="1:29" x14ac:dyDescent="0.25">
      <c r="A566" s="42"/>
      <c r="B566" s="35"/>
      <c r="C566" s="35"/>
      <c r="D566" s="41"/>
      <c r="E566" s="41"/>
      <c r="F566" s="40"/>
      <c r="G566" s="35"/>
      <c r="H566" s="41"/>
      <c r="I566" s="42"/>
      <c r="J566" s="42"/>
      <c r="K566" s="42"/>
      <c r="L566" s="42"/>
      <c r="M566" s="42"/>
      <c r="N566" s="42"/>
      <c r="O566" s="42"/>
      <c r="P566" s="42"/>
      <c r="Q566" s="42"/>
      <c r="R566" s="42"/>
      <c r="S566" s="42"/>
      <c r="T566" s="42"/>
      <c r="U566" s="42"/>
      <c r="V566" s="42"/>
      <c r="W566" s="42"/>
      <c r="X566" s="42"/>
      <c r="Y566" s="42"/>
      <c r="Z566" s="42"/>
      <c r="AA566" s="42"/>
      <c r="AB566" s="42"/>
      <c r="AC566" s="42"/>
    </row>
    <row r="567" spans="1:29" x14ac:dyDescent="0.25">
      <c r="A567" s="42"/>
      <c r="B567" s="35"/>
      <c r="C567" s="35"/>
      <c r="D567" s="41"/>
      <c r="E567" s="41"/>
      <c r="F567" s="40"/>
      <c r="G567" s="35"/>
      <c r="H567" s="41"/>
      <c r="I567" s="42"/>
      <c r="J567" s="42"/>
      <c r="K567" s="42"/>
      <c r="L567" s="42"/>
      <c r="M567" s="42"/>
      <c r="N567" s="42"/>
      <c r="O567" s="42"/>
      <c r="P567" s="42"/>
      <c r="Q567" s="42"/>
      <c r="R567" s="42"/>
      <c r="S567" s="42"/>
      <c r="T567" s="42"/>
      <c r="U567" s="42"/>
      <c r="V567" s="42"/>
      <c r="W567" s="42"/>
      <c r="X567" s="42"/>
      <c r="Y567" s="42"/>
      <c r="Z567" s="42"/>
      <c r="AA567" s="42"/>
      <c r="AB567" s="42"/>
      <c r="AC567" s="42"/>
    </row>
    <row r="568" spans="1:29" x14ac:dyDescent="0.25">
      <c r="A568" s="42"/>
      <c r="B568" s="35"/>
      <c r="C568" s="35"/>
      <c r="D568" s="41"/>
      <c r="E568" s="41"/>
      <c r="F568" s="40"/>
      <c r="G568" s="35"/>
      <c r="H568" s="41"/>
      <c r="I568" s="42"/>
      <c r="J568" s="42"/>
      <c r="K568" s="42"/>
      <c r="L568" s="42"/>
      <c r="M568" s="42"/>
      <c r="N568" s="42"/>
      <c r="O568" s="42"/>
      <c r="P568" s="42"/>
      <c r="Q568" s="42"/>
      <c r="R568" s="42"/>
      <c r="S568" s="42"/>
      <c r="T568" s="42"/>
      <c r="U568" s="42"/>
      <c r="V568" s="42"/>
      <c r="W568" s="42"/>
      <c r="X568" s="42"/>
      <c r="Y568" s="42"/>
      <c r="Z568" s="42"/>
      <c r="AA568" s="42"/>
      <c r="AB568" s="42"/>
      <c r="AC568" s="42"/>
    </row>
    <row r="569" spans="1:29" x14ac:dyDescent="0.25">
      <c r="A569" s="42"/>
      <c r="B569" s="35"/>
      <c r="C569" s="35"/>
      <c r="D569" s="41"/>
      <c r="E569" s="41"/>
      <c r="F569" s="40"/>
      <c r="G569" s="35"/>
      <c r="H569" s="41"/>
      <c r="I569" s="42"/>
      <c r="J569" s="42"/>
      <c r="K569" s="42"/>
      <c r="L569" s="42"/>
      <c r="M569" s="42"/>
      <c r="N569" s="42"/>
      <c r="O569" s="42"/>
      <c r="P569" s="42"/>
      <c r="Q569" s="42"/>
      <c r="R569" s="42"/>
      <c r="S569" s="42"/>
      <c r="T569" s="42"/>
      <c r="U569" s="42"/>
      <c r="V569" s="42"/>
      <c r="W569" s="42"/>
      <c r="X569" s="42"/>
      <c r="Y569" s="42"/>
      <c r="Z569" s="42"/>
      <c r="AA569" s="42"/>
      <c r="AB569" s="42"/>
      <c r="AC569" s="42"/>
    </row>
    <row r="570" spans="1:29" x14ac:dyDescent="0.25">
      <c r="A570" s="42"/>
      <c r="B570" s="35"/>
      <c r="C570" s="35"/>
      <c r="D570" s="41"/>
      <c r="E570" s="41"/>
      <c r="F570" s="40"/>
      <c r="G570" s="35"/>
      <c r="H570" s="41"/>
      <c r="I570" s="42"/>
      <c r="J570" s="42"/>
      <c r="K570" s="42"/>
      <c r="L570" s="42"/>
      <c r="M570" s="42"/>
      <c r="N570" s="42"/>
      <c r="O570" s="42"/>
      <c r="P570" s="42"/>
      <c r="Q570" s="42"/>
      <c r="R570" s="42"/>
      <c r="S570" s="42"/>
      <c r="T570" s="42"/>
      <c r="U570" s="42"/>
      <c r="V570" s="42"/>
      <c r="W570" s="42"/>
      <c r="X570" s="42"/>
      <c r="Y570" s="42"/>
      <c r="Z570" s="42"/>
      <c r="AA570" s="42"/>
      <c r="AB570" s="42"/>
      <c r="AC570" s="42"/>
    </row>
    <row r="571" spans="1:29" x14ac:dyDescent="0.25">
      <c r="A571" s="42"/>
      <c r="B571" s="35"/>
      <c r="C571" s="35"/>
      <c r="D571" s="41"/>
      <c r="E571" s="41"/>
      <c r="F571" s="40"/>
      <c r="G571" s="35"/>
      <c r="H571" s="41"/>
      <c r="I571" s="42"/>
      <c r="J571" s="42"/>
      <c r="K571" s="42"/>
      <c r="L571" s="42"/>
      <c r="M571" s="42"/>
      <c r="N571" s="42"/>
      <c r="O571" s="42"/>
      <c r="P571" s="42"/>
      <c r="Q571" s="42"/>
      <c r="R571" s="42"/>
      <c r="S571" s="42"/>
      <c r="T571" s="42"/>
      <c r="U571" s="42"/>
      <c r="V571" s="42"/>
      <c r="W571" s="42"/>
      <c r="X571" s="42"/>
      <c r="Y571" s="42"/>
      <c r="Z571" s="42"/>
      <c r="AA571" s="42"/>
      <c r="AB571" s="42"/>
      <c r="AC571" s="42"/>
    </row>
    <row r="572" spans="1:29" x14ac:dyDescent="0.25">
      <c r="A572" s="42"/>
      <c r="B572" s="35"/>
      <c r="C572" s="35"/>
      <c r="D572" s="41"/>
      <c r="E572" s="41"/>
      <c r="F572" s="40"/>
      <c r="G572" s="35"/>
      <c r="H572" s="41"/>
      <c r="I572" s="42"/>
      <c r="J572" s="42"/>
      <c r="K572" s="42"/>
      <c r="L572" s="42"/>
      <c r="M572" s="42"/>
      <c r="N572" s="42"/>
      <c r="O572" s="42"/>
      <c r="P572" s="42"/>
      <c r="Q572" s="42"/>
      <c r="R572" s="42"/>
      <c r="S572" s="42"/>
      <c r="T572" s="42"/>
      <c r="U572" s="42"/>
      <c r="V572" s="42"/>
      <c r="W572" s="42"/>
      <c r="X572" s="42"/>
      <c r="Y572" s="42"/>
      <c r="Z572" s="42"/>
      <c r="AA572" s="42"/>
      <c r="AB572" s="42"/>
      <c r="AC572" s="42"/>
    </row>
    <row r="573" spans="1:29" x14ac:dyDescent="0.25">
      <c r="A573" s="42"/>
      <c r="B573" s="35"/>
      <c r="C573" s="35"/>
      <c r="D573" s="41"/>
      <c r="E573" s="41"/>
      <c r="F573" s="40"/>
      <c r="G573" s="35"/>
      <c r="H573" s="41"/>
      <c r="I573" s="42"/>
      <c r="J573" s="42"/>
      <c r="K573" s="42"/>
      <c r="L573" s="42"/>
      <c r="M573" s="42"/>
      <c r="N573" s="42"/>
      <c r="O573" s="42"/>
      <c r="P573" s="42"/>
      <c r="Q573" s="42"/>
      <c r="R573" s="42"/>
      <c r="S573" s="42"/>
      <c r="T573" s="42"/>
      <c r="U573" s="42"/>
      <c r="V573" s="42"/>
      <c r="W573" s="42"/>
      <c r="X573" s="42"/>
      <c r="Y573" s="42"/>
      <c r="Z573" s="42"/>
      <c r="AA573" s="42"/>
      <c r="AB573" s="42"/>
      <c r="AC573" s="42"/>
    </row>
    <row r="574" spans="1:29" x14ac:dyDescent="0.25">
      <c r="A574" s="42"/>
      <c r="B574" s="35"/>
      <c r="C574" s="35"/>
      <c r="D574" s="41"/>
      <c r="E574" s="41"/>
      <c r="F574" s="40"/>
      <c r="G574" s="35"/>
      <c r="H574" s="41"/>
      <c r="I574" s="42"/>
      <c r="J574" s="42"/>
      <c r="K574" s="42"/>
      <c r="L574" s="42"/>
      <c r="M574" s="42"/>
      <c r="N574" s="42"/>
      <c r="O574" s="42"/>
      <c r="P574" s="42"/>
      <c r="Q574" s="42"/>
      <c r="R574" s="42"/>
      <c r="S574" s="42"/>
      <c r="T574" s="42"/>
      <c r="U574" s="42"/>
      <c r="V574" s="42"/>
      <c r="W574" s="42"/>
      <c r="X574" s="42"/>
      <c r="Y574" s="42"/>
      <c r="Z574" s="42"/>
      <c r="AA574" s="42"/>
      <c r="AB574" s="42"/>
      <c r="AC574" s="42"/>
    </row>
    <row r="575" spans="1:29" x14ac:dyDescent="0.25">
      <c r="A575" s="42"/>
      <c r="B575" s="35"/>
      <c r="C575" s="35"/>
      <c r="D575" s="41"/>
      <c r="E575" s="41"/>
      <c r="F575" s="40"/>
      <c r="G575" s="35"/>
      <c r="H575" s="41"/>
      <c r="I575" s="42"/>
      <c r="J575" s="42"/>
      <c r="K575" s="42"/>
      <c r="L575" s="42"/>
      <c r="M575" s="42"/>
      <c r="N575" s="42"/>
      <c r="O575" s="42"/>
      <c r="P575" s="42"/>
      <c r="Q575" s="42"/>
      <c r="R575" s="42"/>
      <c r="S575" s="42"/>
      <c r="T575" s="42"/>
      <c r="U575" s="42"/>
      <c r="V575" s="42"/>
      <c r="W575" s="42"/>
      <c r="X575" s="42"/>
      <c r="Y575" s="42"/>
      <c r="Z575" s="42"/>
      <c r="AA575" s="42"/>
      <c r="AB575" s="42"/>
      <c r="AC575" s="42"/>
    </row>
    <row r="576" spans="1:29" x14ac:dyDescent="0.25">
      <c r="A576" s="42"/>
      <c r="B576" s="35"/>
      <c r="C576" s="35"/>
      <c r="D576" s="41"/>
      <c r="E576" s="41"/>
      <c r="F576" s="40"/>
      <c r="G576" s="35"/>
      <c r="H576" s="41"/>
      <c r="I576" s="42"/>
      <c r="J576" s="42"/>
      <c r="K576" s="42"/>
      <c r="L576" s="42"/>
      <c r="M576" s="42"/>
      <c r="N576" s="42"/>
      <c r="O576" s="42"/>
      <c r="P576" s="42"/>
      <c r="Q576" s="42"/>
      <c r="R576" s="42"/>
      <c r="S576" s="42"/>
      <c r="T576" s="42"/>
      <c r="U576" s="42"/>
      <c r="V576" s="42"/>
      <c r="W576" s="42"/>
      <c r="X576" s="42"/>
      <c r="Y576" s="42"/>
      <c r="Z576" s="42"/>
      <c r="AA576" s="42"/>
      <c r="AB576" s="42"/>
      <c r="AC576" s="42"/>
    </row>
    <row r="577" spans="1:29" x14ac:dyDescent="0.25">
      <c r="A577" s="42"/>
      <c r="B577" s="35"/>
      <c r="C577" s="35"/>
      <c r="D577" s="41"/>
      <c r="E577" s="41"/>
      <c r="F577" s="40"/>
      <c r="G577" s="35"/>
      <c r="H577" s="41"/>
      <c r="I577" s="42"/>
      <c r="J577" s="42"/>
      <c r="K577" s="42"/>
      <c r="L577" s="42"/>
      <c r="M577" s="42"/>
      <c r="N577" s="42"/>
      <c r="O577" s="42"/>
      <c r="P577" s="42"/>
      <c r="Q577" s="42"/>
      <c r="R577" s="42"/>
      <c r="S577" s="42"/>
      <c r="T577" s="42"/>
      <c r="U577" s="42"/>
      <c r="V577" s="42"/>
      <c r="W577" s="42"/>
      <c r="X577" s="42"/>
      <c r="Y577" s="42"/>
      <c r="Z577" s="42"/>
      <c r="AA577" s="42"/>
      <c r="AB577" s="42"/>
      <c r="AC577" s="42"/>
    </row>
    <row r="578" spans="1:29" x14ac:dyDescent="0.25">
      <c r="A578" s="42"/>
      <c r="B578" s="35"/>
      <c r="C578" s="35"/>
      <c r="D578" s="41"/>
      <c r="E578" s="41"/>
      <c r="F578" s="40"/>
      <c r="G578" s="35"/>
      <c r="H578" s="41"/>
      <c r="I578" s="42"/>
      <c r="J578" s="42"/>
      <c r="K578" s="42"/>
      <c r="L578" s="42"/>
      <c r="M578" s="42"/>
      <c r="N578" s="42"/>
      <c r="O578" s="42"/>
      <c r="P578" s="42"/>
      <c r="Q578" s="42"/>
      <c r="R578" s="42"/>
      <c r="S578" s="42"/>
      <c r="T578" s="42"/>
      <c r="U578" s="42"/>
      <c r="V578" s="42"/>
      <c r="W578" s="42"/>
      <c r="X578" s="42"/>
      <c r="Y578" s="42"/>
      <c r="Z578" s="42"/>
      <c r="AA578" s="42"/>
      <c r="AB578" s="42"/>
      <c r="AC578" s="42"/>
    </row>
    <row r="579" spans="1:29" x14ac:dyDescent="0.25">
      <c r="A579" s="42"/>
      <c r="B579" s="35"/>
      <c r="C579" s="35"/>
      <c r="D579" s="41"/>
      <c r="E579" s="41"/>
      <c r="F579" s="40"/>
      <c r="G579" s="35"/>
      <c r="H579" s="41"/>
      <c r="I579" s="42"/>
      <c r="J579" s="42"/>
      <c r="K579" s="42"/>
      <c r="L579" s="42"/>
      <c r="M579" s="42"/>
      <c r="N579" s="42"/>
      <c r="O579" s="42"/>
      <c r="P579" s="42"/>
      <c r="Q579" s="42"/>
      <c r="R579" s="42"/>
      <c r="S579" s="42"/>
      <c r="T579" s="42"/>
      <c r="U579" s="42"/>
      <c r="V579" s="42"/>
      <c r="W579" s="42"/>
      <c r="X579" s="42"/>
      <c r="Y579" s="42"/>
      <c r="Z579" s="42"/>
      <c r="AA579" s="42"/>
      <c r="AB579" s="42"/>
      <c r="AC579" s="42"/>
    </row>
    <row r="580" spans="1:29" x14ac:dyDescent="0.25">
      <c r="A580" s="42"/>
      <c r="B580" s="35"/>
      <c r="C580" s="35"/>
      <c r="D580" s="41"/>
      <c r="E580" s="41"/>
      <c r="F580" s="40"/>
      <c r="G580" s="35"/>
      <c r="H580" s="41"/>
      <c r="I580" s="42"/>
      <c r="J580" s="42"/>
      <c r="K580" s="42"/>
      <c r="L580" s="42"/>
      <c r="M580" s="42"/>
      <c r="N580" s="42"/>
      <c r="O580" s="42"/>
      <c r="P580" s="42"/>
      <c r="Q580" s="42"/>
      <c r="R580" s="42"/>
      <c r="S580" s="42"/>
      <c r="T580" s="42"/>
      <c r="U580" s="42"/>
      <c r="V580" s="42"/>
      <c r="W580" s="42"/>
      <c r="X580" s="42"/>
      <c r="Y580" s="42"/>
      <c r="Z580" s="42"/>
      <c r="AA580" s="42"/>
      <c r="AB580" s="42"/>
      <c r="AC580" s="42"/>
    </row>
    <row r="581" spans="1:29" x14ac:dyDescent="0.25">
      <c r="A581" s="42"/>
      <c r="B581" s="35"/>
      <c r="C581" s="35"/>
      <c r="D581" s="41"/>
      <c r="E581" s="41"/>
      <c r="F581" s="40"/>
      <c r="G581" s="35"/>
      <c r="H581" s="41"/>
      <c r="I581" s="42"/>
      <c r="J581" s="42"/>
      <c r="K581" s="42"/>
      <c r="L581" s="42"/>
      <c r="M581" s="42"/>
      <c r="N581" s="42"/>
      <c r="O581" s="42"/>
      <c r="P581" s="42"/>
      <c r="Q581" s="42"/>
      <c r="R581" s="42"/>
      <c r="S581" s="42"/>
      <c r="T581" s="42"/>
      <c r="U581" s="42"/>
      <c r="V581" s="42"/>
      <c r="W581" s="42"/>
      <c r="X581" s="42"/>
      <c r="Y581" s="42"/>
      <c r="Z581" s="42"/>
      <c r="AA581" s="42"/>
      <c r="AB581" s="42"/>
      <c r="AC581" s="42"/>
    </row>
    <row r="582" spans="1:29" x14ac:dyDescent="0.25">
      <c r="A582" s="42"/>
      <c r="B582" s="35"/>
      <c r="C582" s="35"/>
      <c r="D582" s="41"/>
      <c r="E582" s="41"/>
      <c r="F582" s="40"/>
      <c r="G582" s="35"/>
      <c r="H582" s="41"/>
      <c r="I582" s="42"/>
      <c r="J582" s="42"/>
      <c r="K582" s="42"/>
      <c r="L582" s="42"/>
      <c r="M582" s="42"/>
      <c r="N582" s="42"/>
      <c r="O582" s="42"/>
      <c r="P582" s="42"/>
      <c r="Q582" s="42"/>
      <c r="R582" s="42"/>
      <c r="S582" s="42"/>
      <c r="T582" s="42"/>
      <c r="U582" s="42"/>
      <c r="V582" s="42"/>
      <c r="W582" s="42"/>
      <c r="X582" s="42"/>
      <c r="Y582" s="42"/>
      <c r="Z582" s="42"/>
      <c r="AA582" s="42"/>
      <c r="AB582" s="42"/>
      <c r="AC582" s="42"/>
    </row>
    <row r="583" spans="1:29" x14ac:dyDescent="0.25">
      <c r="A583" s="42"/>
      <c r="B583" s="35"/>
      <c r="C583" s="35"/>
      <c r="D583" s="41"/>
      <c r="E583" s="41"/>
      <c r="F583" s="40"/>
      <c r="G583" s="35"/>
      <c r="H583" s="41"/>
      <c r="I583" s="42"/>
      <c r="J583" s="42"/>
      <c r="K583" s="42"/>
      <c r="L583" s="42"/>
      <c r="M583" s="42"/>
      <c r="N583" s="42"/>
      <c r="O583" s="42"/>
      <c r="P583" s="42"/>
      <c r="Q583" s="42"/>
      <c r="R583" s="42"/>
      <c r="S583" s="42"/>
      <c r="T583" s="42"/>
      <c r="U583" s="42"/>
      <c r="V583" s="42"/>
      <c r="W583" s="42"/>
      <c r="X583" s="42"/>
      <c r="Y583" s="42"/>
      <c r="Z583" s="42"/>
      <c r="AA583" s="42"/>
      <c r="AB583" s="42"/>
      <c r="AC583" s="42"/>
    </row>
    <row r="584" spans="1:29" x14ac:dyDescent="0.25">
      <c r="A584" s="42"/>
      <c r="B584" s="35"/>
      <c r="C584" s="35"/>
      <c r="D584" s="41"/>
      <c r="E584" s="41"/>
      <c r="F584" s="40"/>
      <c r="G584" s="35"/>
      <c r="H584" s="41"/>
      <c r="I584" s="42"/>
      <c r="J584" s="42"/>
      <c r="K584" s="42"/>
      <c r="L584" s="42"/>
      <c r="M584" s="42"/>
      <c r="N584" s="42"/>
      <c r="O584" s="42"/>
      <c r="P584" s="42"/>
      <c r="Q584" s="42"/>
      <c r="R584" s="42"/>
      <c r="S584" s="42"/>
      <c r="T584" s="42"/>
      <c r="U584" s="42"/>
      <c r="V584" s="42"/>
      <c r="W584" s="42"/>
      <c r="X584" s="42"/>
      <c r="Y584" s="42"/>
      <c r="Z584" s="42"/>
      <c r="AA584" s="42"/>
      <c r="AB584" s="42"/>
      <c r="AC584" s="42"/>
    </row>
    <row r="585" spans="1:29" x14ac:dyDescent="0.25">
      <c r="A585" s="42"/>
      <c r="B585" s="35"/>
      <c r="C585" s="35"/>
      <c r="D585" s="41"/>
      <c r="E585" s="41"/>
      <c r="F585" s="40"/>
      <c r="G585" s="35"/>
      <c r="H585" s="41"/>
      <c r="I585" s="42"/>
      <c r="J585" s="42"/>
      <c r="K585" s="42"/>
      <c r="L585" s="42"/>
      <c r="M585" s="42"/>
      <c r="N585" s="42"/>
      <c r="O585" s="42"/>
      <c r="P585" s="42"/>
      <c r="Q585" s="42"/>
      <c r="R585" s="42"/>
      <c r="S585" s="42"/>
      <c r="T585" s="42"/>
      <c r="U585" s="42"/>
      <c r="V585" s="42"/>
      <c r="W585" s="42"/>
      <c r="X585" s="42"/>
      <c r="Y585" s="42"/>
      <c r="Z585" s="42"/>
      <c r="AA585" s="42"/>
      <c r="AB585" s="42"/>
      <c r="AC585" s="42"/>
    </row>
    <row r="586" spans="1:29" x14ac:dyDescent="0.25">
      <c r="A586" s="42"/>
      <c r="B586" s="35"/>
      <c r="C586" s="35"/>
      <c r="D586" s="41"/>
      <c r="E586" s="41"/>
      <c r="F586" s="40"/>
      <c r="G586" s="35"/>
      <c r="H586" s="41"/>
      <c r="I586" s="42"/>
      <c r="J586" s="42"/>
      <c r="K586" s="42"/>
      <c r="L586" s="42"/>
      <c r="M586" s="42"/>
      <c r="N586" s="42"/>
      <c r="O586" s="42"/>
      <c r="P586" s="42"/>
      <c r="Q586" s="42"/>
      <c r="R586" s="42"/>
      <c r="S586" s="42"/>
      <c r="T586" s="42"/>
      <c r="U586" s="42"/>
      <c r="V586" s="42"/>
      <c r="W586" s="42"/>
      <c r="X586" s="42"/>
      <c r="Y586" s="42"/>
      <c r="Z586" s="42"/>
      <c r="AA586" s="42"/>
      <c r="AB586" s="42"/>
      <c r="AC586" s="42"/>
    </row>
    <row r="587" spans="1:29" x14ac:dyDescent="0.25">
      <c r="A587" s="42"/>
      <c r="B587" s="35"/>
      <c r="C587" s="35"/>
      <c r="D587" s="41"/>
      <c r="E587" s="41"/>
      <c r="F587" s="40"/>
      <c r="G587" s="35"/>
      <c r="H587" s="41"/>
      <c r="I587" s="42"/>
      <c r="J587" s="42"/>
      <c r="K587" s="42"/>
      <c r="L587" s="42"/>
      <c r="M587" s="42"/>
      <c r="N587" s="42"/>
      <c r="O587" s="42"/>
      <c r="P587" s="42"/>
      <c r="Q587" s="42"/>
      <c r="R587" s="42"/>
      <c r="S587" s="42"/>
      <c r="T587" s="42"/>
      <c r="U587" s="42"/>
      <c r="V587" s="42"/>
      <c r="W587" s="42"/>
      <c r="X587" s="42"/>
      <c r="Y587" s="42"/>
      <c r="Z587" s="42"/>
      <c r="AA587" s="42"/>
      <c r="AB587" s="42"/>
      <c r="AC587" s="42"/>
    </row>
    <row r="588" spans="1:29" x14ac:dyDescent="0.25">
      <c r="A588" s="42"/>
      <c r="B588" s="35"/>
      <c r="C588" s="35"/>
      <c r="D588" s="41"/>
      <c r="E588" s="41"/>
      <c r="F588" s="40"/>
      <c r="G588" s="35"/>
      <c r="H588" s="41"/>
      <c r="I588" s="42"/>
      <c r="J588" s="42"/>
      <c r="K588" s="42"/>
      <c r="L588" s="42"/>
      <c r="M588" s="42"/>
      <c r="N588" s="42"/>
      <c r="O588" s="42"/>
      <c r="P588" s="42"/>
      <c r="Q588" s="42"/>
      <c r="R588" s="42"/>
      <c r="S588" s="42"/>
      <c r="T588" s="42"/>
      <c r="U588" s="42"/>
      <c r="V588" s="42"/>
      <c r="W588" s="42"/>
      <c r="X588" s="42"/>
      <c r="Y588" s="42"/>
      <c r="Z588" s="42"/>
      <c r="AA588" s="42"/>
      <c r="AB588" s="42"/>
      <c r="AC588" s="42"/>
    </row>
    <row r="589" spans="1:29" x14ac:dyDescent="0.25">
      <c r="A589" s="42"/>
      <c r="B589" s="35"/>
      <c r="C589" s="35"/>
      <c r="D589" s="41"/>
      <c r="E589" s="41"/>
      <c r="F589" s="40"/>
      <c r="G589" s="35"/>
      <c r="H589" s="41"/>
      <c r="I589" s="42"/>
      <c r="J589" s="42"/>
      <c r="K589" s="42"/>
      <c r="L589" s="42"/>
      <c r="M589" s="42"/>
      <c r="N589" s="42"/>
      <c r="O589" s="42"/>
      <c r="P589" s="42"/>
      <c r="Q589" s="42"/>
      <c r="R589" s="42"/>
      <c r="S589" s="42"/>
      <c r="T589" s="42"/>
      <c r="U589" s="42"/>
      <c r="V589" s="42"/>
      <c r="W589" s="42"/>
      <c r="X589" s="42"/>
      <c r="Y589" s="42"/>
      <c r="Z589" s="42"/>
      <c r="AA589" s="42"/>
      <c r="AB589" s="42"/>
      <c r="AC589" s="42"/>
    </row>
    <row r="590" spans="1:29" x14ac:dyDescent="0.25">
      <c r="A590" s="42"/>
      <c r="B590" s="35"/>
      <c r="C590" s="35"/>
      <c r="D590" s="41"/>
      <c r="E590" s="41"/>
      <c r="F590" s="40"/>
      <c r="G590" s="35"/>
      <c r="H590" s="41"/>
      <c r="I590" s="42"/>
      <c r="J590" s="42"/>
      <c r="K590" s="42"/>
      <c r="L590" s="42"/>
      <c r="M590" s="42"/>
      <c r="N590" s="42"/>
      <c r="O590" s="42"/>
      <c r="P590" s="42"/>
      <c r="Q590" s="42"/>
      <c r="R590" s="42"/>
      <c r="S590" s="42"/>
      <c r="T590" s="42"/>
      <c r="U590" s="42"/>
      <c r="V590" s="42"/>
      <c r="W590" s="42"/>
      <c r="X590" s="42"/>
      <c r="Y590" s="42"/>
      <c r="Z590" s="42"/>
      <c r="AA590" s="42"/>
      <c r="AB590" s="42"/>
      <c r="AC590" s="42"/>
    </row>
    <row r="591" spans="1:29" x14ac:dyDescent="0.25">
      <c r="A591" s="42"/>
      <c r="B591" s="35"/>
      <c r="C591" s="35"/>
      <c r="D591" s="41"/>
      <c r="E591" s="41"/>
      <c r="F591" s="40"/>
      <c r="G591" s="35"/>
      <c r="H591" s="41"/>
      <c r="I591" s="42"/>
      <c r="J591" s="42"/>
      <c r="K591" s="42"/>
      <c r="L591" s="42"/>
      <c r="M591" s="42"/>
      <c r="N591" s="42"/>
      <c r="O591" s="42"/>
      <c r="P591" s="42"/>
      <c r="Q591" s="42"/>
      <c r="R591" s="42"/>
      <c r="S591" s="42"/>
      <c r="T591" s="42"/>
      <c r="U591" s="42"/>
      <c r="V591" s="42"/>
      <c r="W591" s="42"/>
      <c r="X591" s="42"/>
      <c r="Y591" s="42"/>
      <c r="Z591" s="42"/>
      <c r="AA591" s="42"/>
      <c r="AB591" s="42"/>
      <c r="AC591" s="42"/>
    </row>
    <row r="592" spans="1:29" x14ac:dyDescent="0.25">
      <c r="A592" s="42"/>
      <c r="B592" s="35"/>
      <c r="C592" s="35"/>
      <c r="D592" s="41"/>
      <c r="E592" s="41"/>
      <c r="F592" s="40"/>
      <c r="G592" s="35"/>
      <c r="H592" s="41"/>
      <c r="I592" s="42"/>
      <c r="J592" s="42"/>
      <c r="K592" s="42"/>
      <c r="L592" s="42"/>
      <c r="M592" s="42"/>
      <c r="N592" s="42"/>
      <c r="O592" s="42"/>
      <c r="P592" s="42"/>
      <c r="Q592" s="42"/>
      <c r="R592" s="42"/>
      <c r="S592" s="42"/>
      <c r="T592" s="42"/>
      <c r="U592" s="42"/>
      <c r="V592" s="42"/>
      <c r="W592" s="42"/>
      <c r="X592" s="42"/>
      <c r="Y592" s="42"/>
      <c r="Z592" s="42"/>
      <c r="AA592" s="42"/>
      <c r="AB592" s="42"/>
      <c r="AC592" s="42"/>
    </row>
    <row r="593" spans="1:29" x14ac:dyDescent="0.25">
      <c r="A593" s="42"/>
      <c r="B593" s="35"/>
      <c r="C593" s="35"/>
      <c r="D593" s="41"/>
      <c r="E593" s="41"/>
      <c r="F593" s="40"/>
      <c r="G593" s="35"/>
      <c r="H593" s="41"/>
      <c r="I593" s="42"/>
      <c r="J593" s="42"/>
      <c r="K593" s="42"/>
      <c r="L593" s="42"/>
      <c r="M593" s="42"/>
      <c r="N593" s="42"/>
      <c r="O593" s="42"/>
      <c r="P593" s="42"/>
      <c r="Q593" s="42"/>
      <c r="R593" s="42"/>
      <c r="S593" s="42"/>
      <c r="T593" s="42"/>
      <c r="U593" s="42"/>
      <c r="V593" s="42"/>
      <c r="W593" s="42"/>
      <c r="X593" s="42"/>
      <c r="Y593" s="42"/>
      <c r="Z593" s="42"/>
      <c r="AA593" s="42"/>
      <c r="AB593" s="42"/>
      <c r="AC593" s="42"/>
    </row>
    <row r="594" spans="1:29" x14ac:dyDescent="0.25">
      <c r="A594" s="42"/>
      <c r="B594" s="35"/>
      <c r="C594" s="35"/>
      <c r="D594" s="41"/>
      <c r="E594" s="41"/>
      <c r="F594" s="40"/>
      <c r="G594" s="35"/>
      <c r="H594" s="41"/>
      <c r="I594" s="42"/>
      <c r="J594" s="42"/>
      <c r="K594" s="42"/>
      <c r="L594" s="42"/>
      <c r="M594" s="42"/>
      <c r="N594" s="42"/>
      <c r="O594" s="42"/>
      <c r="P594" s="42"/>
      <c r="Q594" s="42"/>
      <c r="R594" s="42"/>
      <c r="S594" s="42"/>
      <c r="T594" s="42"/>
      <c r="U594" s="42"/>
      <c r="V594" s="42"/>
      <c r="W594" s="42"/>
      <c r="X594" s="42"/>
      <c r="Y594" s="42"/>
      <c r="Z594" s="42"/>
      <c r="AA594" s="42"/>
      <c r="AB594" s="42"/>
      <c r="AC594" s="42"/>
    </row>
    <row r="595" spans="1:29" x14ac:dyDescent="0.25">
      <c r="A595" s="42"/>
      <c r="B595" s="35"/>
      <c r="C595" s="35"/>
      <c r="D595" s="41"/>
      <c r="E595" s="41"/>
      <c r="F595" s="40"/>
      <c r="G595" s="35"/>
      <c r="H595" s="41"/>
      <c r="I595" s="42"/>
      <c r="J595" s="42"/>
      <c r="K595" s="42"/>
      <c r="L595" s="42"/>
      <c r="M595" s="42"/>
      <c r="N595" s="42"/>
      <c r="O595" s="42"/>
      <c r="P595" s="42"/>
      <c r="Q595" s="42"/>
      <c r="R595" s="42"/>
      <c r="S595" s="42"/>
      <c r="T595" s="42"/>
      <c r="U595" s="42"/>
      <c r="V595" s="42"/>
      <c r="W595" s="42"/>
      <c r="X595" s="42"/>
      <c r="Y595" s="42"/>
      <c r="Z595" s="42"/>
      <c r="AA595" s="42"/>
      <c r="AB595" s="42"/>
      <c r="AC595" s="42"/>
    </row>
    <row r="596" spans="1:29" x14ac:dyDescent="0.25">
      <c r="A596" s="42"/>
      <c r="B596" s="35"/>
      <c r="C596" s="35"/>
      <c r="D596" s="41"/>
      <c r="E596" s="41"/>
      <c r="F596" s="40"/>
      <c r="G596" s="35"/>
      <c r="H596" s="41"/>
      <c r="I596" s="42"/>
      <c r="J596" s="42"/>
      <c r="K596" s="42"/>
      <c r="L596" s="42"/>
      <c r="M596" s="42"/>
      <c r="N596" s="42"/>
      <c r="O596" s="42"/>
      <c r="P596" s="42"/>
      <c r="Q596" s="42"/>
      <c r="R596" s="42"/>
      <c r="S596" s="42"/>
      <c r="T596" s="42"/>
      <c r="U596" s="42"/>
      <c r="V596" s="42"/>
      <c r="W596" s="42"/>
      <c r="X596" s="42"/>
      <c r="Y596" s="42"/>
      <c r="Z596" s="42"/>
      <c r="AA596" s="42"/>
      <c r="AB596" s="42"/>
      <c r="AC596" s="42"/>
    </row>
    <row r="597" spans="1:29" x14ac:dyDescent="0.25">
      <c r="A597" s="42"/>
      <c r="B597" s="35"/>
      <c r="C597" s="35"/>
      <c r="D597" s="41"/>
      <c r="E597" s="41"/>
      <c r="F597" s="40"/>
      <c r="G597" s="35"/>
      <c r="H597" s="41"/>
      <c r="I597" s="42"/>
      <c r="J597" s="42"/>
      <c r="K597" s="42"/>
      <c r="L597" s="42"/>
      <c r="M597" s="42"/>
      <c r="N597" s="42"/>
      <c r="O597" s="42"/>
      <c r="P597" s="42"/>
      <c r="Q597" s="42"/>
      <c r="R597" s="42"/>
      <c r="S597" s="42"/>
      <c r="T597" s="42"/>
      <c r="U597" s="42"/>
      <c r="V597" s="42"/>
      <c r="W597" s="42"/>
      <c r="X597" s="42"/>
      <c r="Y597" s="42"/>
      <c r="Z597" s="42"/>
      <c r="AA597" s="42"/>
      <c r="AB597" s="42"/>
      <c r="AC597" s="42"/>
    </row>
    <row r="598" spans="1:29" x14ac:dyDescent="0.25">
      <c r="A598" s="42"/>
      <c r="B598" s="35"/>
      <c r="C598" s="35"/>
      <c r="D598" s="41"/>
      <c r="E598" s="41"/>
      <c r="F598" s="40"/>
      <c r="G598" s="35"/>
      <c r="H598" s="41"/>
      <c r="I598" s="42"/>
      <c r="J598" s="42"/>
      <c r="K598" s="42"/>
      <c r="L598" s="42"/>
      <c r="M598" s="42"/>
      <c r="N598" s="42"/>
      <c r="O598" s="42"/>
      <c r="P598" s="42"/>
      <c r="Q598" s="42"/>
      <c r="R598" s="42"/>
      <c r="S598" s="42"/>
      <c r="T598" s="42"/>
      <c r="U598" s="42"/>
      <c r="V598" s="42"/>
      <c r="W598" s="42"/>
      <c r="X598" s="42"/>
      <c r="Y598" s="42"/>
      <c r="Z598" s="42"/>
      <c r="AA598" s="42"/>
      <c r="AB598" s="42"/>
      <c r="AC598" s="42"/>
    </row>
    <row r="599" spans="1:29" x14ac:dyDescent="0.25">
      <c r="A599" s="42"/>
      <c r="B599" s="35"/>
      <c r="C599" s="35"/>
      <c r="D599" s="41"/>
      <c r="E599" s="41"/>
      <c r="F599" s="40"/>
      <c r="G599" s="35"/>
      <c r="H599" s="41"/>
      <c r="I599" s="42"/>
      <c r="J599" s="42"/>
      <c r="K599" s="42"/>
      <c r="L599" s="42"/>
      <c r="M599" s="42"/>
      <c r="N599" s="42"/>
      <c r="O599" s="42"/>
      <c r="P599" s="42"/>
      <c r="Q599" s="42"/>
      <c r="R599" s="42"/>
      <c r="S599" s="42"/>
      <c r="T599" s="42"/>
      <c r="U599" s="42"/>
      <c r="V599" s="42"/>
      <c r="W599" s="42"/>
      <c r="X599" s="42"/>
      <c r="Y599" s="42"/>
      <c r="Z599" s="42"/>
      <c r="AA599" s="42"/>
      <c r="AB599" s="42"/>
      <c r="AC599" s="42"/>
    </row>
    <row r="600" spans="1:29" x14ac:dyDescent="0.25">
      <c r="A600" s="42"/>
      <c r="B600" s="35"/>
      <c r="C600" s="35"/>
      <c r="D600" s="41"/>
      <c r="E600" s="41"/>
      <c r="F600" s="40"/>
      <c r="G600" s="35"/>
      <c r="H600" s="41"/>
      <c r="I600" s="42"/>
      <c r="J600" s="42"/>
      <c r="K600" s="42"/>
      <c r="L600" s="42"/>
      <c r="M600" s="42"/>
      <c r="N600" s="42"/>
      <c r="O600" s="42"/>
      <c r="P600" s="42"/>
      <c r="Q600" s="42"/>
      <c r="R600" s="42"/>
      <c r="S600" s="42"/>
      <c r="T600" s="42"/>
      <c r="U600" s="42"/>
      <c r="V600" s="42"/>
      <c r="W600" s="42"/>
      <c r="X600" s="42"/>
      <c r="Y600" s="42"/>
      <c r="Z600" s="42"/>
      <c r="AA600" s="42"/>
      <c r="AB600" s="42"/>
      <c r="AC600" s="42"/>
    </row>
    <row r="601" spans="1:29" x14ac:dyDescent="0.25">
      <c r="A601" s="42"/>
      <c r="B601" s="35"/>
      <c r="C601" s="35"/>
      <c r="D601" s="41"/>
      <c r="E601" s="41"/>
      <c r="F601" s="40"/>
      <c r="G601" s="35"/>
      <c r="H601" s="41"/>
      <c r="I601" s="42"/>
      <c r="J601" s="42"/>
      <c r="K601" s="42"/>
      <c r="L601" s="42"/>
      <c r="M601" s="42"/>
      <c r="N601" s="42"/>
      <c r="O601" s="42"/>
      <c r="P601" s="42"/>
      <c r="Q601" s="42"/>
      <c r="R601" s="42"/>
      <c r="S601" s="42"/>
      <c r="T601" s="42"/>
      <c r="U601" s="42"/>
      <c r="V601" s="42"/>
      <c r="W601" s="42"/>
      <c r="X601" s="42"/>
      <c r="Y601" s="42"/>
      <c r="Z601" s="42"/>
      <c r="AA601" s="42"/>
      <c r="AB601" s="42"/>
      <c r="AC601" s="42"/>
    </row>
    <row r="602" spans="1:29" x14ac:dyDescent="0.25">
      <c r="A602" s="42"/>
      <c r="B602" s="35"/>
      <c r="C602" s="35"/>
      <c r="D602" s="41"/>
      <c r="E602" s="41"/>
      <c r="F602" s="40"/>
      <c r="G602" s="35"/>
      <c r="H602" s="41"/>
      <c r="I602" s="42"/>
      <c r="J602" s="42"/>
      <c r="K602" s="42"/>
      <c r="L602" s="42"/>
      <c r="M602" s="42"/>
      <c r="N602" s="42"/>
      <c r="O602" s="42"/>
      <c r="P602" s="42"/>
      <c r="Q602" s="42"/>
      <c r="R602" s="42"/>
      <c r="S602" s="42"/>
      <c r="T602" s="42"/>
      <c r="U602" s="42"/>
      <c r="V602" s="42"/>
      <c r="W602" s="42"/>
      <c r="X602" s="42"/>
      <c r="Y602" s="42"/>
      <c r="Z602" s="42"/>
      <c r="AA602" s="42"/>
      <c r="AB602" s="42"/>
      <c r="AC602" s="42"/>
    </row>
    <row r="603" spans="1:29" x14ac:dyDescent="0.25">
      <c r="A603" s="42"/>
      <c r="B603" s="35"/>
      <c r="C603" s="35"/>
      <c r="D603" s="41"/>
      <c r="E603" s="41"/>
      <c r="F603" s="40"/>
      <c r="G603" s="35"/>
      <c r="H603" s="41"/>
      <c r="I603" s="42"/>
      <c r="J603" s="42"/>
      <c r="K603" s="42"/>
      <c r="L603" s="42"/>
      <c r="M603" s="42"/>
      <c r="N603" s="42"/>
      <c r="O603" s="42"/>
      <c r="P603" s="42"/>
      <c r="Q603" s="42"/>
      <c r="R603" s="42"/>
      <c r="S603" s="42"/>
      <c r="T603" s="42"/>
      <c r="U603" s="42"/>
      <c r="V603" s="42"/>
      <c r="W603" s="42"/>
      <c r="X603" s="42"/>
      <c r="Y603" s="42"/>
      <c r="Z603" s="42"/>
      <c r="AA603" s="42"/>
      <c r="AB603" s="42"/>
      <c r="AC603" s="42"/>
    </row>
    <row r="604" spans="1:29" x14ac:dyDescent="0.25">
      <c r="A604" s="42"/>
      <c r="B604" s="35"/>
      <c r="C604" s="35"/>
      <c r="D604" s="41"/>
      <c r="E604" s="41"/>
      <c r="F604" s="40"/>
      <c r="G604" s="35"/>
      <c r="H604" s="41"/>
      <c r="I604" s="42"/>
      <c r="J604" s="42"/>
      <c r="K604" s="42"/>
      <c r="L604" s="42"/>
      <c r="M604" s="42"/>
      <c r="N604" s="42"/>
      <c r="O604" s="42"/>
      <c r="P604" s="42"/>
      <c r="Q604" s="42"/>
      <c r="R604" s="42"/>
      <c r="S604" s="42"/>
      <c r="T604" s="42"/>
      <c r="U604" s="42"/>
      <c r="V604" s="42"/>
      <c r="W604" s="42"/>
      <c r="X604" s="42"/>
      <c r="Y604" s="42"/>
      <c r="Z604" s="42"/>
      <c r="AA604" s="42"/>
      <c r="AB604" s="42"/>
      <c r="AC604" s="42"/>
    </row>
    <row r="605" spans="1:29" x14ac:dyDescent="0.25">
      <c r="A605" s="42"/>
      <c r="B605" s="35"/>
      <c r="C605" s="35"/>
      <c r="D605" s="41"/>
      <c r="E605" s="41"/>
      <c r="F605" s="40"/>
      <c r="G605" s="35"/>
      <c r="H605" s="41"/>
      <c r="I605" s="42"/>
      <c r="J605" s="42"/>
      <c r="K605" s="42"/>
      <c r="L605" s="42"/>
      <c r="M605" s="42"/>
      <c r="N605" s="42"/>
      <c r="O605" s="42"/>
      <c r="P605" s="42"/>
      <c r="Q605" s="42"/>
      <c r="R605" s="42"/>
      <c r="S605" s="42"/>
      <c r="T605" s="42"/>
      <c r="U605" s="42"/>
      <c r="V605" s="42"/>
      <c r="W605" s="42"/>
      <c r="X605" s="42"/>
      <c r="Y605" s="42"/>
      <c r="Z605" s="42"/>
      <c r="AA605" s="42"/>
      <c r="AB605" s="42"/>
      <c r="AC605" s="42"/>
    </row>
    <row r="606" spans="1:29" x14ac:dyDescent="0.25">
      <c r="A606" s="42"/>
      <c r="B606" s="35"/>
      <c r="C606" s="35"/>
      <c r="D606" s="41"/>
      <c r="E606" s="41"/>
      <c r="F606" s="40"/>
      <c r="G606" s="35"/>
      <c r="H606" s="41"/>
      <c r="I606" s="42"/>
      <c r="J606" s="42"/>
      <c r="K606" s="42"/>
      <c r="L606" s="42"/>
      <c r="M606" s="42"/>
      <c r="N606" s="42"/>
      <c r="O606" s="42"/>
      <c r="P606" s="42"/>
      <c r="Q606" s="42"/>
      <c r="R606" s="42"/>
      <c r="S606" s="42"/>
      <c r="T606" s="42"/>
      <c r="U606" s="42"/>
      <c r="V606" s="42"/>
      <c r="W606" s="42"/>
      <c r="X606" s="42"/>
      <c r="Y606" s="42"/>
      <c r="Z606" s="42"/>
      <c r="AA606" s="42"/>
      <c r="AB606" s="42"/>
      <c r="AC606" s="42"/>
    </row>
    <row r="607" spans="1:29" x14ac:dyDescent="0.25">
      <c r="A607" s="42"/>
      <c r="B607" s="35"/>
      <c r="C607" s="35"/>
      <c r="D607" s="41"/>
      <c r="E607" s="41"/>
      <c r="F607" s="40"/>
      <c r="G607" s="35"/>
      <c r="H607" s="41"/>
      <c r="I607" s="42"/>
      <c r="J607" s="42"/>
      <c r="K607" s="42"/>
      <c r="L607" s="42"/>
      <c r="M607" s="42"/>
      <c r="N607" s="42"/>
      <c r="O607" s="42"/>
      <c r="P607" s="42"/>
      <c r="Q607" s="42"/>
      <c r="R607" s="42"/>
      <c r="S607" s="42"/>
      <c r="T607" s="42"/>
      <c r="U607" s="42"/>
      <c r="V607" s="42"/>
      <c r="W607" s="42"/>
      <c r="X607" s="42"/>
      <c r="Y607" s="42"/>
      <c r="Z607" s="42"/>
      <c r="AA607" s="42"/>
      <c r="AB607" s="42"/>
      <c r="AC607" s="42"/>
    </row>
    <row r="608" spans="1:29" x14ac:dyDescent="0.25">
      <c r="A608" s="42"/>
      <c r="B608" s="35"/>
      <c r="C608" s="35"/>
      <c r="D608" s="41"/>
      <c r="E608" s="41"/>
      <c r="F608" s="40"/>
      <c r="G608" s="35"/>
      <c r="H608" s="41"/>
      <c r="I608" s="42"/>
      <c r="J608" s="42"/>
      <c r="K608" s="42"/>
      <c r="L608" s="42"/>
      <c r="M608" s="42"/>
      <c r="N608" s="42"/>
      <c r="O608" s="42"/>
      <c r="P608" s="42"/>
      <c r="Q608" s="42"/>
      <c r="R608" s="42"/>
      <c r="S608" s="42"/>
      <c r="T608" s="42"/>
      <c r="U608" s="42"/>
      <c r="V608" s="42"/>
      <c r="W608" s="42"/>
      <c r="X608" s="42"/>
      <c r="Y608" s="42"/>
      <c r="Z608" s="42"/>
      <c r="AA608" s="42"/>
      <c r="AB608" s="42"/>
      <c r="AC608" s="42"/>
    </row>
    <row r="609" spans="1:29" x14ac:dyDescent="0.25">
      <c r="A609" s="42"/>
      <c r="B609" s="35"/>
      <c r="C609" s="35"/>
      <c r="D609" s="41"/>
      <c r="E609" s="41"/>
      <c r="F609" s="40"/>
      <c r="G609" s="35"/>
      <c r="H609" s="41"/>
      <c r="I609" s="42"/>
      <c r="J609" s="42"/>
      <c r="K609" s="42"/>
      <c r="L609" s="42"/>
      <c r="M609" s="42"/>
      <c r="N609" s="42"/>
      <c r="O609" s="42"/>
      <c r="P609" s="42"/>
      <c r="Q609" s="42"/>
      <c r="R609" s="42"/>
      <c r="S609" s="42"/>
      <c r="T609" s="42"/>
      <c r="U609" s="42"/>
      <c r="V609" s="42"/>
      <c r="W609" s="42"/>
      <c r="X609" s="42"/>
      <c r="Y609" s="42"/>
      <c r="Z609" s="42"/>
      <c r="AA609" s="42"/>
      <c r="AB609" s="42"/>
      <c r="AC609" s="42"/>
    </row>
    <row r="610" spans="1:29" x14ac:dyDescent="0.25">
      <c r="A610" s="42"/>
      <c r="B610" s="35"/>
      <c r="C610" s="35"/>
      <c r="D610" s="41"/>
      <c r="E610" s="41"/>
      <c r="F610" s="40"/>
      <c r="G610" s="35"/>
      <c r="H610" s="41"/>
      <c r="I610" s="42"/>
      <c r="J610" s="42"/>
      <c r="K610" s="42"/>
      <c r="L610" s="42"/>
      <c r="M610" s="42"/>
      <c r="N610" s="42"/>
      <c r="O610" s="42"/>
      <c r="P610" s="42"/>
      <c r="Q610" s="42"/>
      <c r="R610" s="42"/>
      <c r="S610" s="42"/>
      <c r="T610" s="42"/>
      <c r="U610" s="42"/>
      <c r="V610" s="42"/>
      <c r="W610" s="42"/>
      <c r="X610" s="42"/>
      <c r="Y610" s="42"/>
      <c r="Z610" s="42"/>
      <c r="AA610" s="42"/>
      <c r="AB610" s="42"/>
      <c r="AC610" s="42"/>
    </row>
    <row r="611" spans="1:29" x14ac:dyDescent="0.25">
      <c r="A611" s="42"/>
      <c r="B611" s="35"/>
      <c r="C611" s="35"/>
      <c r="D611" s="41"/>
      <c r="E611" s="41"/>
      <c r="F611" s="40"/>
      <c r="G611" s="35"/>
      <c r="H611" s="41"/>
      <c r="I611" s="42"/>
      <c r="J611" s="42"/>
      <c r="K611" s="42"/>
      <c r="L611" s="42"/>
      <c r="M611" s="42"/>
      <c r="N611" s="42"/>
      <c r="O611" s="42"/>
      <c r="P611" s="42"/>
      <c r="Q611" s="42"/>
      <c r="R611" s="42"/>
      <c r="S611" s="42"/>
      <c r="T611" s="42"/>
      <c r="U611" s="42"/>
      <c r="V611" s="42"/>
      <c r="W611" s="42"/>
      <c r="X611" s="42"/>
      <c r="Y611" s="42"/>
      <c r="Z611" s="42"/>
      <c r="AA611" s="42"/>
      <c r="AB611" s="42"/>
      <c r="AC611" s="42"/>
    </row>
    <row r="612" spans="1:29" x14ac:dyDescent="0.25">
      <c r="A612" s="42"/>
      <c r="B612" s="35"/>
      <c r="C612" s="35"/>
      <c r="D612" s="41"/>
      <c r="E612" s="41"/>
      <c r="F612" s="40"/>
      <c r="G612" s="35"/>
      <c r="H612" s="41"/>
      <c r="I612" s="42"/>
      <c r="J612" s="42"/>
      <c r="K612" s="42"/>
      <c r="L612" s="42"/>
      <c r="M612" s="42"/>
      <c r="N612" s="42"/>
      <c r="O612" s="42"/>
      <c r="P612" s="42"/>
      <c r="Q612" s="42"/>
      <c r="R612" s="42"/>
      <c r="S612" s="42"/>
      <c r="T612" s="42"/>
      <c r="U612" s="42"/>
      <c r="V612" s="42"/>
      <c r="W612" s="42"/>
      <c r="X612" s="42"/>
      <c r="Y612" s="42"/>
      <c r="Z612" s="42"/>
      <c r="AA612" s="42"/>
      <c r="AB612" s="42"/>
      <c r="AC612" s="42"/>
    </row>
    <row r="613" spans="1:29" x14ac:dyDescent="0.25">
      <c r="A613" s="42"/>
      <c r="B613" s="35"/>
      <c r="C613" s="35"/>
      <c r="D613" s="41"/>
      <c r="E613" s="41"/>
      <c r="F613" s="40"/>
      <c r="G613" s="35"/>
      <c r="H613" s="41"/>
      <c r="I613" s="42"/>
      <c r="J613" s="42"/>
      <c r="K613" s="42"/>
      <c r="L613" s="42"/>
      <c r="M613" s="42"/>
      <c r="N613" s="42"/>
      <c r="O613" s="42"/>
      <c r="P613" s="42"/>
      <c r="Q613" s="42"/>
      <c r="R613" s="42"/>
      <c r="S613" s="42"/>
      <c r="T613" s="42"/>
      <c r="U613" s="42"/>
      <c r="V613" s="42"/>
      <c r="W613" s="42"/>
      <c r="X613" s="42"/>
      <c r="Y613" s="42"/>
      <c r="Z613" s="42"/>
      <c r="AA613" s="42"/>
      <c r="AB613" s="42"/>
      <c r="AC613" s="42"/>
    </row>
    <row r="614" spans="1:29" x14ac:dyDescent="0.25">
      <c r="A614" s="42"/>
      <c r="B614" s="35"/>
      <c r="C614" s="35"/>
      <c r="D614" s="41"/>
      <c r="E614" s="41"/>
      <c r="F614" s="40"/>
      <c r="G614" s="35"/>
      <c r="H614" s="41"/>
      <c r="I614" s="42"/>
      <c r="J614" s="42"/>
      <c r="K614" s="42"/>
      <c r="L614" s="42"/>
      <c r="M614" s="42"/>
      <c r="N614" s="42"/>
      <c r="O614" s="42"/>
      <c r="P614" s="42"/>
      <c r="Q614" s="42"/>
      <c r="R614" s="42"/>
      <c r="S614" s="42"/>
      <c r="T614" s="42"/>
      <c r="U614" s="42"/>
      <c r="V614" s="42"/>
      <c r="W614" s="42"/>
      <c r="X614" s="42"/>
      <c r="Y614" s="42"/>
      <c r="Z614" s="42"/>
      <c r="AA614" s="42"/>
      <c r="AB614" s="42"/>
      <c r="AC614" s="42"/>
    </row>
    <row r="615" spans="1:29" x14ac:dyDescent="0.25">
      <c r="A615" s="42"/>
      <c r="B615" s="35"/>
      <c r="C615" s="35"/>
      <c r="D615" s="41"/>
      <c r="E615" s="41"/>
      <c r="F615" s="40"/>
      <c r="G615" s="35"/>
      <c r="H615" s="41"/>
      <c r="I615" s="42"/>
      <c r="J615" s="42"/>
      <c r="K615" s="42"/>
      <c r="L615" s="42"/>
      <c r="M615" s="42"/>
      <c r="N615" s="42"/>
      <c r="O615" s="42"/>
      <c r="P615" s="42"/>
      <c r="Q615" s="42"/>
      <c r="R615" s="42"/>
      <c r="S615" s="42"/>
      <c r="T615" s="42"/>
      <c r="U615" s="42"/>
      <c r="V615" s="42"/>
      <c r="W615" s="42"/>
      <c r="X615" s="42"/>
      <c r="Y615" s="42"/>
      <c r="Z615" s="42"/>
      <c r="AA615" s="42"/>
      <c r="AB615" s="42"/>
      <c r="AC615" s="42"/>
    </row>
    <row r="616" spans="1:29" x14ac:dyDescent="0.25">
      <c r="A616" s="42"/>
      <c r="B616" s="35"/>
      <c r="C616" s="35"/>
      <c r="D616" s="41"/>
      <c r="E616" s="41"/>
      <c r="F616" s="40"/>
      <c r="G616" s="35"/>
      <c r="H616" s="41"/>
      <c r="I616" s="42"/>
      <c r="J616" s="42"/>
      <c r="K616" s="42"/>
      <c r="L616" s="42"/>
      <c r="M616" s="42"/>
      <c r="N616" s="42"/>
      <c r="O616" s="42"/>
      <c r="P616" s="42"/>
      <c r="Q616" s="42"/>
      <c r="R616" s="42"/>
      <c r="S616" s="42"/>
      <c r="T616" s="42"/>
      <c r="U616" s="42"/>
      <c r="V616" s="42"/>
      <c r="W616" s="42"/>
      <c r="X616" s="42"/>
      <c r="Y616" s="42"/>
      <c r="Z616" s="42"/>
      <c r="AA616" s="42"/>
      <c r="AB616" s="42"/>
      <c r="AC616" s="42"/>
    </row>
    <row r="617" spans="1:29" x14ac:dyDescent="0.25">
      <c r="A617" s="42"/>
      <c r="B617" s="35"/>
      <c r="C617" s="35"/>
      <c r="D617" s="41"/>
      <c r="E617" s="41"/>
      <c r="F617" s="40"/>
      <c r="G617" s="35"/>
      <c r="H617" s="41"/>
      <c r="I617" s="42"/>
      <c r="J617" s="42"/>
      <c r="K617" s="42"/>
      <c r="L617" s="42"/>
      <c r="M617" s="42"/>
      <c r="N617" s="42"/>
      <c r="O617" s="42"/>
      <c r="P617" s="42"/>
      <c r="Q617" s="42"/>
      <c r="R617" s="42"/>
      <c r="S617" s="42"/>
      <c r="T617" s="42"/>
      <c r="U617" s="42"/>
      <c r="V617" s="42"/>
      <c r="W617" s="42"/>
      <c r="X617" s="42"/>
      <c r="Y617" s="42"/>
      <c r="Z617" s="42"/>
      <c r="AA617" s="42"/>
      <c r="AB617" s="42"/>
      <c r="AC617" s="42"/>
    </row>
    <row r="618" spans="1:29" x14ac:dyDescent="0.25">
      <c r="A618" s="42"/>
      <c r="B618" s="35"/>
      <c r="C618" s="35"/>
      <c r="D618" s="41"/>
      <c r="E618" s="41"/>
      <c r="F618" s="40"/>
      <c r="G618" s="35"/>
      <c r="H618" s="41"/>
      <c r="I618" s="42"/>
      <c r="J618" s="42"/>
      <c r="K618" s="42"/>
      <c r="L618" s="42"/>
      <c r="M618" s="42"/>
      <c r="N618" s="42"/>
      <c r="O618" s="42"/>
      <c r="P618" s="42"/>
      <c r="Q618" s="42"/>
      <c r="R618" s="42"/>
      <c r="S618" s="42"/>
      <c r="T618" s="42"/>
      <c r="U618" s="42"/>
      <c r="V618" s="42"/>
      <c r="W618" s="42"/>
      <c r="X618" s="42"/>
      <c r="Y618" s="42"/>
      <c r="Z618" s="42"/>
      <c r="AA618" s="42"/>
      <c r="AB618" s="42"/>
      <c r="AC618" s="42"/>
    </row>
    <row r="619" spans="1:29" x14ac:dyDescent="0.25">
      <c r="A619" s="42"/>
      <c r="B619" s="35"/>
      <c r="C619" s="35"/>
      <c r="D619" s="41"/>
      <c r="E619" s="41"/>
      <c r="F619" s="40"/>
      <c r="G619" s="35"/>
      <c r="H619" s="41"/>
      <c r="I619" s="42"/>
      <c r="J619" s="42"/>
      <c r="K619" s="42"/>
      <c r="L619" s="42"/>
      <c r="M619" s="42"/>
      <c r="N619" s="42"/>
      <c r="O619" s="42"/>
      <c r="P619" s="42"/>
      <c r="Q619" s="42"/>
      <c r="R619" s="42"/>
      <c r="S619" s="42"/>
      <c r="T619" s="42"/>
      <c r="U619" s="42"/>
      <c r="V619" s="42"/>
      <c r="W619" s="42"/>
      <c r="X619" s="42"/>
      <c r="Y619" s="42"/>
      <c r="Z619" s="42"/>
      <c r="AA619" s="42"/>
      <c r="AB619" s="42"/>
      <c r="AC619" s="42"/>
    </row>
    <row r="620" spans="1:29" x14ac:dyDescent="0.25">
      <c r="A620" s="42"/>
      <c r="B620" s="35"/>
      <c r="C620" s="35"/>
      <c r="D620" s="41"/>
      <c r="E620" s="41"/>
      <c r="F620" s="40"/>
      <c r="G620" s="35"/>
      <c r="H620" s="41"/>
      <c r="I620" s="42"/>
      <c r="J620" s="42"/>
      <c r="K620" s="42"/>
      <c r="L620" s="42"/>
      <c r="M620" s="42"/>
      <c r="N620" s="42"/>
      <c r="O620" s="42"/>
      <c r="P620" s="42"/>
      <c r="Q620" s="42"/>
      <c r="R620" s="42"/>
      <c r="S620" s="42"/>
      <c r="T620" s="42"/>
      <c r="U620" s="42"/>
      <c r="V620" s="42"/>
      <c r="W620" s="42"/>
      <c r="X620" s="42"/>
      <c r="Y620" s="42"/>
      <c r="Z620" s="42"/>
      <c r="AA620" s="42"/>
      <c r="AB620" s="42"/>
      <c r="AC620" s="42"/>
    </row>
    <row r="621" spans="1:29" x14ac:dyDescent="0.25">
      <c r="A621" s="42"/>
      <c r="B621" s="35"/>
      <c r="C621" s="35"/>
      <c r="D621" s="41"/>
      <c r="E621" s="41"/>
      <c r="F621" s="40"/>
      <c r="G621" s="35"/>
      <c r="H621" s="41"/>
      <c r="I621" s="42"/>
      <c r="J621" s="42"/>
      <c r="K621" s="42"/>
      <c r="L621" s="42"/>
      <c r="M621" s="42"/>
      <c r="N621" s="42"/>
      <c r="O621" s="42"/>
      <c r="P621" s="42"/>
      <c r="Q621" s="42"/>
      <c r="R621" s="42"/>
      <c r="S621" s="42"/>
      <c r="T621" s="42"/>
      <c r="U621" s="42"/>
      <c r="V621" s="42"/>
      <c r="W621" s="42"/>
      <c r="X621" s="42"/>
      <c r="Y621" s="42"/>
      <c r="Z621" s="42"/>
      <c r="AA621" s="42"/>
      <c r="AB621" s="42"/>
      <c r="AC621" s="42"/>
    </row>
    <row r="622" spans="1:29" x14ac:dyDescent="0.25">
      <c r="A622" s="42"/>
      <c r="B622" s="35"/>
      <c r="C622" s="35"/>
      <c r="D622" s="41"/>
      <c r="E622" s="41"/>
      <c r="F622" s="40"/>
      <c r="G622" s="35"/>
      <c r="H622" s="41"/>
      <c r="I622" s="42"/>
      <c r="J622" s="42"/>
      <c r="K622" s="42"/>
      <c r="L622" s="42"/>
      <c r="M622" s="42"/>
      <c r="N622" s="42"/>
      <c r="O622" s="42"/>
      <c r="P622" s="42"/>
      <c r="Q622" s="42"/>
      <c r="R622" s="42"/>
      <c r="S622" s="42"/>
      <c r="T622" s="42"/>
      <c r="U622" s="42"/>
      <c r="V622" s="42"/>
      <c r="W622" s="42"/>
      <c r="X622" s="42"/>
      <c r="Y622" s="42"/>
      <c r="Z622" s="42"/>
      <c r="AA622" s="42"/>
      <c r="AB622" s="42"/>
      <c r="AC622" s="42"/>
    </row>
    <row r="623" spans="1:29" x14ac:dyDescent="0.25">
      <c r="A623" s="42"/>
      <c r="B623" s="35"/>
      <c r="C623" s="35"/>
      <c r="D623" s="41"/>
      <c r="E623" s="41"/>
      <c r="F623" s="40"/>
      <c r="G623" s="35"/>
      <c r="H623" s="41"/>
      <c r="I623" s="42"/>
      <c r="J623" s="42"/>
      <c r="K623" s="42"/>
      <c r="L623" s="42"/>
      <c r="M623" s="42"/>
      <c r="N623" s="42"/>
      <c r="O623" s="42"/>
      <c r="P623" s="42"/>
      <c r="Q623" s="42"/>
      <c r="R623" s="42"/>
      <c r="S623" s="42"/>
      <c r="T623" s="42"/>
      <c r="U623" s="42"/>
      <c r="V623" s="42"/>
      <c r="W623" s="42"/>
      <c r="X623" s="42"/>
      <c r="Y623" s="42"/>
      <c r="Z623" s="42"/>
      <c r="AA623" s="42"/>
      <c r="AB623" s="42"/>
      <c r="AC623" s="42"/>
    </row>
    <row r="624" spans="1:29" x14ac:dyDescent="0.25">
      <c r="A624" s="42"/>
      <c r="B624" s="35"/>
      <c r="C624" s="35"/>
      <c r="D624" s="41"/>
      <c r="E624" s="41"/>
      <c r="F624" s="40"/>
      <c r="G624" s="35"/>
      <c r="H624" s="41"/>
      <c r="I624" s="42"/>
      <c r="J624" s="42"/>
      <c r="K624" s="42"/>
      <c r="L624" s="42"/>
      <c r="M624" s="42"/>
      <c r="N624" s="42"/>
      <c r="O624" s="42"/>
      <c r="P624" s="42"/>
      <c r="Q624" s="42"/>
      <c r="R624" s="42"/>
      <c r="S624" s="42"/>
      <c r="T624" s="42"/>
      <c r="U624" s="42"/>
      <c r="V624" s="42"/>
      <c r="W624" s="42"/>
      <c r="X624" s="42"/>
      <c r="Y624" s="42"/>
      <c r="Z624" s="42"/>
      <c r="AA624" s="42"/>
      <c r="AB624" s="42"/>
      <c r="AC624" s="42"/>
    </row>
    <row r="625" spans="1:29" x14ac:dyDescent="0.25">
      <c r="A625" s="42"/>
      <c r="B625" s="35"/>
      <c r="C625" s="35"/>
      <c r="D625" s="41"/>
      <c r="E625" s="41"/>
      <c r="F625" s="40"/>
      <c r="G625" s="35"/>
      <c r="H625" s="41"/>
      <c r="I625" s="42"/>
      <c r="J625" s="42"/>
      <c r="K625" s="42"/>
      <c r="L625" s="42"/>
      <c r="M625" s="42"/>
      <c r="N625" s="42"/>
      <c r="O625" s="42"/>
      <c r="P625" s="42"/>
      <c r="Q625" s="42"/>
      <c r="R625" s="42"/>
      <c r="S625" s="42"/>
      <c r="T625" s="42"/>
      <c r="U625" s="42"/>
      <c r="V625" s="42"/>
      <c r="W625" s="42"/>
      <c r="X625" s="42"/>
      <c r="Y625" s="42"/>
      <c r="Z625" s="42"/>
      <c r="AA625" s="42"/>
      <c r="AB625" s="42"/>
      <c r="AC625" s="42"/>
    </row>
    <row r="626" spans="1:29" x14ac:dyDescent="0.25">
      <c r="A626" s="42"/>
      <c r="B626" s="35"/>
      <c r="C626" s="35"/>
      <c r="D626" s="41"/>
      <c r="E626" s="41"/>
      <c r="F626" s="40"/>
      <c r="G626" s="35"/>
      <c r="H626" s="41"/>
      <c r="I626" s="42"/>
      <c r="J626" s="42"/>
      <c r="K626" s="42"/>
      <c r="L626" s="42"/>
      <c r="M626" s="42"/>
      <c r="N626" s="42"/>
      <c r="O626" s="42"/>
      <c r="P626" s="42"/>
      <c r="Q626" s="42"/>
      <c r="R626" s="42"/>
      <c r="S626" s="42"/>
      <c r="T626" s="42"/>
      <c r="U626" s="42"/>
      <c r="V626" s="42"/>
      <c r="W626" s="42"/>
      <c r="X626" s="42"/>
      <c r="Y626" s="42"/>
      <c r="Z626" s="42"/>
      <c r="AA626" s="42"/>
      <c r="AB626" s="42"/>
      <c r="AC626" s="42"/>
    </row>
    <row r="627" spans="1:29" x14ac:dyDescent="0.25">
      <c r="A627" s="42"/>
      <c r="B627" s="35"/>
      <c r="C627" s="35"/>
      <c r="D627" s="41"/>
      <c r="E627" s="41"/>
      <c r="F627" s="40"/>
      <c r="G627" s="35"/>
      <c r="H627" s="41"/>
      <c r="I627" s="42"/>
      <c r="J627" s="42"/>
      <c r="K627" s="42"/>
      <c r="L627" s="42"/>
      <c r="M627" s="42"/>
      <c r="N627" s="42"/>
      <c r="O627" s="42"/>
      <c r="P627" s="42"/>
      <c r="Q627" s="42"/>
      <c r="R627" s="42"/>
      <c r="S627" s="42"/>
      <c r="T627" s="42"/>
      <c r="U627" s="42"/>
      <c r="V627" s="42"/>
      <c r="W627" s="42"/>
      <c r="X627" s="42"/>
      <c r="Y627" s="42"/>
      <c r="Z627" s="42"/>
      <c r="AA627" s="42"/>
      <c r="AB627" s="42"/>
      <c r="AC627" s="42"/>
    </row>
    <row r="628" spans="1:29" x14ac:dyDescent="0.25">
      <c r="A628" s="42"/>
      <c r="B628" s="35"/>
      <c r="C628" s="35"/>
      <c r="D628" s="41"/>
      <c r="E628" s="41"/>
      <c r="F628" s="40"/>
      <c r="G628" s="35"/>
      <c r="H628" s="41"/>
      <c r="I628" s="42"/>
      <c r="J628" s="42"/>
      <c r="K628" s="42"/>
      <c r="L628" s="42"/>
      <c r="M628" s="42"/>
      <c r="N628" s="42"/>
      <c r="O628" s="42"/>
      <c r="P628" s="42"/>
      <c r="Q628" s="42"/>
      <c r="R628" s="42"/>
      <c r="S628" s="42"/>
      <c r="T628" s="42"/>
      <c r="U628" s="42"/>
      <c r="V628" s="42"/>
      <c r="W628" s="42"/>
      <c r="X628" s="42"/>
      <c r="Y628" s="42"/>
      <c r="Z628" s="42"/>
      <c r="AA628" s="42"/>
      <c r="AB628" s="42"/>
      <c r="AC628" s="42"/>
    </row>
    <row r="629" spans="1:29" x14ac:dyDescent="0.25">
      <c r="A629" s="42"/>
      <c r="B629" s="35"/>
      <c r="C629" s="35"/>
      <c r="D629" s="41"/>
      <c r="E629" s="41"/>
      <c r="F629" s="40"/>
      <c r="G629" s="35"/>
      <c r="H629" s="41"/>
      <c r="I629" s="42"/>
      <c r="J629" s="42"/>
      <c r="K629" s="42"/>
      <c r="L629" s="42"/>
      <c r="M629" s="42"/>
      <c r="N629" s="42"/>
      <c r="O629" s="42"/>
      <c r="P629" s="42"/>
      <c r="Q629" s="42"/>
      <c r="R629" s="42"/>
      <c r="S629" s="42"/>
      <c r="T629" s="42"/>
      <c r="U629" s="42"/>
      <c r="V629" s="42"/>
      <c r="W629" s="42"/>
      <c r="X629" s="42"/>
      <c r="Y629" s="42"/>
      <c r="Z629" s="42"/>
      <c r="AA629" s="42"/>
      <c r="AB629" s="42"/>
      <c r="AC629" s="42"/>
    </row>
    <row r="630" spans="1:29" x14ac:dyDescent="0.25">
      <c r="A630" s="42"/>
      <c r="B630" s="35"/>
      <c r="C630" s="35"/>
      <c r="D630" s="41"/>
      <c r="E630" s="41"/>
      <c r="F630" s="40"/>
      <c r="G630" s="35"/>
      <c r="H630" s="41"/>
      <c r="I630" s="42"/>
      <c r="J630" s="42"/>
      <c r="K630" s="42"/>
      <c r="L630" s="42"/>
      <c r="M630" s="42"/>
      <c r="N630" s="42"/>
      <c r="O630" s="42"/>
      <c r="P630" s="42"/>
      <c r="Q630" s="42"/>
      <c r="R630" s="42"/>
      <c r="S630" s="42"/>
      <c r="T630" s="42"/>
      <c r="U630" s="42"/>
      <c r="V630" s="42"/>
      <c r="W630" s="42"/>
      <c r="X630" s="42"/>
      <c r="Y630" s="42"/>
      <c r="Z630" s="42"/>
      <c r="AA630" s="42"/>
      <c r="AB630" s="42"/>
      <c r="AC630" s="42"/>
    </row>
    <row r="631" spans="1:29" x14ac:dyDescent="0.25">
      <c r="A631" s="42"/>
      <c r="B631" s="35"/>
      <c r="C631" s="35"/>
      <c r="D631" s="41"/>
      <c r="E631" s="41"/>
      <c r="F631" s="40"/>
      <c r="G631" s="35"/>
      <c r="H631" s="41"/>
      <c r="I631" s="42"/>
      <c r="J631" s="42"/>
      <c r="K631" s="42"/>
      <c r="L631" s="42"/>
      <c r="M631" s="42"/>
      <c r="N631" s="42"/>
      <c r="O631" s="42"/>
      <c r="P631" s="42"/>
      <c r="Q631" s="42"/>
      <c r="R631" s="42"/>
      <c r="S631" s="42"/>
      <c r="T631" s="42"/>
      <c r="U631" s="42"/>
      <c r="V631" s="42"/>
      <c r="W631" s="42"/>
      <c r="X631" s="42"/>
      <c r="Y631" s="42"/>
      <c r="Z631" s="42"/>
      <c r="AA631" s="42"/>
      <c r="AB631" s="42"/>
      <c r="AC631" s="42"/>
    </row>
    <row r="632" spans="1:29" x14ac:dyDescent="0.25">
      <c r="A632" s="42"/>
      <c r="B632" s="35"/>
      <c r="C632" s="35"/>
      <c r="D632" s="41"/>
      <c r="E632" s="41"/>
      <c r="F632" s="40"/>
      <c r="G632" s="35"/>
      <c r="H632" s="41"/>
      <c r="I632" s="42"/>
      <c r="J632" s="42"/>
      <c r="K632" s="42"/>
      <c r="L632" s="42"/>
      <c r="M632" s="42"/>
      <c r="N632" s="42"/>
      <c r="O632" s="42"/>
      <c r="P632" s="42"/>
      <c r="Q632" s="42"/>
      <c r="R632" s="42"/>
      <c r="S632" s="42"/>
      <c r="T632" s="42"/>
      <c r="U632" s="42"/>
      <c r="V632" s="42"/>
      <c r="W632" s="42"/>
      <c r="X632" s="42"/>
      <c r="Y632" s="42"/>
      <c r="Z632" s="42"/>
      <c r="AA632" s="42"/>
      <c r="AB632" s="42"/>
      <c r="AC632" s="42"/>
    </row>
    <row r="633" spans="1:29" x14ac:dyDescent="0.25">
      <c r="A633" s="42"/>
      <c r="B633" s="35"/>
      <c r="C633" s="35"/>
      <c r="D633" s="41"/>
      <c r="E633" s="41"/>
      <c r="F633" s="40"/>
      <c r="G633" s="35"/>
      <c r="H633" s="41"/>
      <c r="I633" s="42"/>
      <c r="J633" s="42"/>
      <c r="K633" s="42"/>
      <c r="L633" s="42"/>
      <c r="M633" s="42"/>
      <c r="N633" s="42"/>
      <c r="O633" s="42"/>
      <c r="P633" s="42"/>
      <c r="Q633" s="42"/>
      <c r="R633" s="42"/>
      <c r="S633" s="42"/>
      <c r="T633" s="42"/>
      <c r="U633" s="42"/>
      <c r="V633" s="42"/>
      <c r="W633" s="42"/>
      <c r="X633" s="42"/>
      <c r="Y633" s="42"/>
      <c r="Z633" s="42"/>
      <c r="AA633" s="42"/>
      <c r="AB633" s="42"/>
      <c r="AC633" s="42"/>
    </row>
    <row r="634" spans="1:29" x14ac:dyDescent="0.25">
      <c r="A634" s="42"/>
      <c r="B634" s="35"/>
      <c r="C634" s="35"/>
      <c r="D634" s="41"/>
      <c r="E634" s="41"/>
      <c r="F634" s="40"/>
      <c r="G634" s="35"/>
      <c r="H634" s="41"/>
      <c r="I634" s="42"/>
      <c r="J634" s="42"/>
      <c r="K634" s="42"/>
      <c r="L634" s="42"/>
      <c r="M634" s="42"/>
      <c r="N634" s="42"/>
      <c r="O634" s="42"/>
      <c r="P634" s="42"/>
      <c r="Q634" s="42"/>
      <c r="R634" s="42"/>
      <c r="S634" s="42"/>
      <c r="T634" s="42"/>
      <c r="U634" s="42"/>
      <c r="V634" s="42"/>
      <c r="W634" s="42"/>
      <c r="X634" s="42"/>
      <c r="Y634" s="42"/>
      <c r="Z634" s="42"/>
      <c r="AA634" s="42"/>
      <c r="AB634" s="42"/>
      <c r="AC634" s="42"/>
    </row>
    <row r="635" spans="1:29" x14ac:dyDescent="0.25">
      <c r="A635" s="42"/>
      <c r="B635" s="35"/>
      <c r="C635" s="35"/>
      <c r="D635" s="41"/>
      <c r="E635" s="41"/>
      <c r="F635" s="40"/>
      <c r="G635" s="35"/>
      <c r="H635" s="41"/>
      <c r="I635" s="42"/>
      <c r="J635" s="42"/>
      <c r="K635" s="42"/>
      <c r="L635" s="42"/>
      <c r="M635" s="42"/>
      <c r="N635" s="42"/>
      <c r="O635" s="42"/>
      <c r="P635" s="42"/>
      <c r="Q635" s="42"/>
      <c r="R635" s="42"/>
      <c r="S635" s="42"/>
      <c r="T635" s="42"/>
      <c r="U635" s="42"/>
      <c r="V635" s="42"/>
      <c r="W635" s="42"/>
      <c r="X635" s="42"/>
      <c r="Y635" s="42"/>
      <c r="Z635" s="42"/>
      <c r="AA635" s="42"/>
      <c r="AB635" s="42"/>
      <c r="AC635" s="42"/>
    </row>
    <row r="636" spans="1:29" x14ac:dyDescent="0.25">
      <c r="A636" s="42"/>
      <c r="B636" s="35"/>
      <c r="C636" s="35"/>
      <c r="D636" s="41"/>
      <c r="E636" s="41"/>
      <c r="F636" s="40"/>
      <c r="G636" s="35"/>
      <c r="H636" s="41"/>
      <c r="I636" s="42"/>
      <c r="J636" s="42"/>
      <c r="K636" s="42"/>
      <c r="L636" s="42"/>
      <c r="M636" s="42"/>
      <c r="N636" s="42"/>
      <c r="O636" s="42"/>
      <c r="P636" s="42"/>
      <c r="Q636" s="42"/>
      <c r="R636" s="42"/>
      <c r="S636" s="42"/>
      <c r="T636" s="42"/>
      <c r="U636" s="42"/>
      <c r="V636" s="42"/>
      <c r="W636" s="42"/>
      <c r="X636" s="42"/>
      <c r="Y636" s="42"/>
      <c r="Z636" s="42"/>
      <c r="AA636" s="42"/>
      <c r="AB636" s="42"/>
      <c r="AC636" s="42"/>
    </row>
    <row r="637" spans="1:29" x14ac:dyDescent="0.25">
      <c r="A637" s="42"/>
      <c r="B637" s="35"/>
      <c r="C637" s="35"/>
      <c r="D637" s="41"/>
      <c r="E637" s="41"/>
      <c r="F637" s="40"/>
      <c r="G637" s="35"/>
      <c r="H637" s="41"/>
      <c r="I637" s="42"/>
      <c r="J637" s="42"/>
      <c r="K637" s="42"/>
      <c r="L637" s="42"/>
      <c r="M637" s="42"/>
      <c r="N637" s="42"/>
      <c r="O637" s="42"/>
      <c r="P637" s="42"/>
      <c r="Q637" s="42"/>
      <c r="R637" s="42"/>
      <c r="S637" s="42"/>
      <c r="T637" s="42"/>
      <c r="U637" s="42"/>
      <c r="V637" s="42"/>
      <c r="W637" s="42"/>
      <c r="X637" s="42"/>
      <c r="Y637" s="42"/>
      <c r="Z637" s="42"/>
      <c r="AA637" s="42"/>
      <c r="AB637" s="42"/>
      <c r="AC637" s="42"/>
    </row>
    <row r="638" spans="1:29" x14ac:dyDescent="0.25">
      <c r="A638" s="42"/>
      <c r="B638" s="35"/>
      <c r="C638" s="35"/>
      <c r="D638" s="41"/>
      <c r="E638" s="41"/>
      <c r="F638" s="40"/>
      <c r="G638" s="35"/>
      <c r="H638" s="41"/>
      <c r="I638" s="42"/>
      <c r="J638" s="42"/>
      <c r="K638" s="42"/>
      <c r="L638" s="42"/>
      <c r="M638" s="42"/>
      <c r="N638" s="42"/>
      <c r="O638" s="42"/>
      <c r="P638" s="42"/>
      <c r="Q638" s="42"/>
      <c r="R638" s="42"/>
      <c r="S638" s="42"/>
      <c r="T638" s="42"/>
      <c r="U638" s="42"/>
      <c r="V638" s="42"/>
      <c r="W638" s="42"/>
      <c r="X638" s="42"/>
      <c r="Y638" s="42"/>
      <c r="Z638" s="42"/>
      <c r="AA638" s="42"/>
      <c r="AB638" s="42"/>
      <c r="AC638" s="42"/>
    </row>
    <row r="639" spans="1:29" x14ac:dyDescent="0.25">
      <c r="A639" s="42"/>
      <c r="B639" s="35"/>
      <c r="C639" s="35"/>
      <c r="D639" s="41"/>
      <c r="E639" s="41"/>
      <c r="F639" s="40"/>
      <c r="G639" s="35"/>
      <c r="H639" s="41"/>
      <c r="I639" s="42"/>
      <c r="J639" s="42"/>
      <c r="K639" s="42"/>
      <c r="L639" s="42"/>
      <c r="M639" s="42"/>
      <c r="N639" s="42"/>
      <c r="O639" s="42"/>
      <c r="P639" s="42"/>
      <c r="Q639" s="42"/>
      <c r="R639" s="42"/>
      <c r="S639" s="42"/>
      <c r="T639" s="42"/>
      <c r="U639" s="42"/>
      <c r="V639" s="42"/>
      <c r="W639" s="42"/>
      <c r="X639" s="42"/>
      <c r="Y639" s="42"/>
      <c r="Z639" s="42"/>
      <c r="AA639" s="42"/>
      <c r="AB639" s="42"/>
      <c r="AC639" s="42"/>
    </row>
    <row r="640" spans="1:29" x14ac:dyDescent="0.25">
      <c r="A640" s="42"/>
      <c r="B640" s="35"/>
      <c r="C640" s="35"/>
      <c r="D640" s="41"/>
      <c r="E640" s="41"/>
      <c r="F640" s="40"/>
      <c r="G640" s="35"/>
      <c r="H640" s="41"/>
      <c r="I640" s="42"/>
      <c r="J640" s="42"/>
      <c r="K640" s="42"/>
      <c r="L640" s="42"/>
      <c r="M640" s="42"/>
      <c r="N640" s="42"/>
      <c r="O640" s="42"/>
      <c r="P640" s="42"/>
      <c r="Q640" s="42"/>
      <c r="R640" s="42"/>
      <c r="S640" s="42"/>
      <c r="T640" s="42"/>
      <c r="U640" s="42"/>
      <c r="V640" s="42"/>
      <c r="W640" s="42"/>
      <c r="X640" s="42"/>
      <c r="Y640" s="42"/>
      <c r="Z640" s="42"/>
      <c r="AA640" s="42"/>
      <c r="AB640" s="42"/>
      <c r="AC640" s="42"/>
    </row>
    <row r="641" spans="1:29" x14ac:dyDescent="0.25">
      <c r="A641" s="42"/>
      <c r="B641" s="35"/>
      <c r="C641" s="35"/>
      <c r="D641" s="41"/>
      <c r="E641" s="41"/>
      <c r="F641" s="40"/>
      <c r="G641" s="35"/>
      <c r="H641" s="41"/>
      <c r="I641" s="42"/>
      <c r="J641" s="42"/>
      <c r="K641" s="42"/>
      <c r="L641" s="42"/>
      <c r="M641" s="42"/>
      <c r="N641" s="42"/>
      <c r="O641" s="42"/>
      <c r="P641" s="42"/>
      <c r="Q641" s="42"/>
      <c r="R641" s="42"/>
      <c r="S641" s="42"/>
      <c r="T641" s="42"/>
      <c r="U641" s="42"/>
      <c r="V641" s="42"/>
      <c r="W641" s="42"/>
      <c r="X641" s="42"/>
      <c r="Y641" s="42"/>
      <c r="Z641" s="42"/>
      <c r="AA641" s="42"/>
      <c r="AB641" s="42"/>
      <c r="AC641" s="42"/>
    </row>
    <row r="642" spans="1:29" x14ac:dyDescent="0.25">
      <c r="A642" s="42"/>
      <c r="B642" s="35"/>
      <c r="C642" s="35"/>
      <c r="D642" s="41"/>
      <c r="E642" s="41"/>
      <c r="F642" s="40"/>
      <c r="G642" s="35"/>
      <c r="H642" s="41"/>
      <c r="I642" s="42"/>
      <c r="J642" s="42"/>
      <c r="K642" s="42"/>
      <c r="L642" s="42"/>
      <c r="M642" s="42"/>
      <c r="N642" s="42"/>
      <c r="O642" s="42"/>
      <c r="P642" s="42"/>
      <c r="Q642" s="42"/>
      <c r="R642" s="42"/>
      <c r="S642" s="42"/>
      <c r="T642" s="42"/>
      <c r="U642" s="42"/>
      <c r="V642" s="42"/>
      <c r="W642" s="42"/>
      <c r="X642" s="42"/>
      <c r="Y642" s="42"/>
      <c r="Z642" s="42"/>
      <c r="AA642" s="42"/>
      <c r="AB642" s="42"/>
      <c r="AC642" s="42"/>
    </row>
    <row r="643" spans="1:29" x14ac:dyDescent="0.25">
      <c r="A643" s="42"/>
      <c r="B643" s="35"/>
      <c r="C643" s="35"/>
      <c r="D643" s="41"/>
      <c r="E643" s="41"/>
      <c r="F643" s="40"/>
      <c r="G643" s="35"/>
      <c r="H643" s="41"/>
      <c r="I643" s="42"/>
      <c r="J643" s="42"/>
      <c r="K643" s="42"/>
      <c r="L643" s="42"/>
      <c r="M643" s="42"/>
      <c r="N643" s="42"/>
      <c r="O643" s="42"/>
      <c r="P643" s="42"/>
      <c r="Q643" s="42"/>
      <c r="R643" s="42"/>
      <c r="S643" s="42"/>
      <c r="T643" s="42"/>
      <c r="U643" s="42"/>
      <c r="V643" s="42"/>
      <c r="W643" s="42"/>
      <c r="X643" s="42"/>
      <c r="Y643" s="42"/>
      <c r="Z643" s="42"/>
      <c r="AA643" s="42"/>
      <c r="AB643" s="42"/>
      <c r="AC643" s="42"/>
    </row>
    <row r="644" spans="1:29" x14ac:dyDescent="0.25">
      <c r="A644" s="42"/>
      <c r="B644" s="35"/>
      <c r="C644" s="35"/>
      <c r="D644" s="41"/>
      <c r="E644" s="41"/>
      <c r="F644" s="40"/>
      <c r="G644" s="35"/>
      <c r="H644" s="41"/>
      <c r="I644" s="42"/>
      <c r="J644" s="42"/>
      <c r="K644" s="42"/>
      <c r="L644" s="42"/>
      <c r="M644" s="42"/>
      <c r="N644" s="42"/>
      <c r="O644" s="42"/>
      <c r="P644" s="42"/>
      <c r="Q644" s="42"/>
      <c r="R644" s="42"/>
      <c r="S644" s="42"/>
      <c r="T644" s="42"/>
      <c r="U644" s="42"/>
      <c r="V644" s="42"/>
      <c r="W644" s="42"/>
      <c r="X644" s="42"/>
      <c r="Y644" s="42"/>
      <c r="Z644" s="42"/>
      <c r="AA644" s="42"/>
      <c r="AB644" s="42"/>
      <c r="AC644" s="42"/>
    </row>
    <row r="645" spans="1:29" x14ac:dyDescent="0.25">
      <c r="A645" s="42"/>
      <c r="B645" s="35"/>
      <c r="C645" s="35"/>
      <c r="D645" s="41"/>
      <c r="E645" s="41"/>
      <c r="F645" s="40"/>
      <c r="G645" s="35"/>
      <c r="H645" s="41"/>
      <c r="I645" s="42"/>
      <c r="J645" s="42"/>
      <c r="K645" s="42"/>
      <c r="L645" s="42"/>
      <c r="M645" s="42"/>
      <c r="N645" s="42"/>
      <c r="O645" s="42"/>
      <c r="P645" s="42"/>
      <c r="Q645" s="42"/>
      <c r="R645" s="42"/>
      <c r="S645" s="42"/>
      <c r="T645" s="42"/>
      <c r="U645" s="42"/>
      <c r="V645" s="42"/>
      <c r="W645" s="42"/>
      <c r="X645" s="42"/>
      <c r="Y645" s="42"/>
      <c r="Z645" s="42"/>
      <c r="AA645" s="42"/>
      <c r="AB645" s="42"/>
      <c r="AC645" s="42"/>
    </row>
    <row r="646" spans="1:29" x14ac:dyDescent="0.25">
      <c r="A646" s="42"/>
      <c r="B646" s="35"/>
      <c r="C646" s="35"/>
      <c r="D646" s="41"/>
      <c r="E646" s="41"/>
      <c r="F646" s="40"/>
      <c r="G646" s="35"/>
      <c r="H646" s="41"/>
      <c r="I646" s="42"/>
      <c r="J646" s="42"/>
      <c r="K646" s="42"/>
      <c r="L646" s="42"/>
      <c r="M646" s="42"/>
      <c r="N646" s="42"/>
      <c r="O646" s="42"/>
      <c r="P646" s="42"/>
      <c r="Q646" s="42"/>
      <c r="R646" s="42"/>
      <c r="S646" s="42"/>
      <c r="T646" s="42"/>
      <c r="U646" s="42"/>
      <c r="V646" s="42"/>
      <c r="W646" s="42"/>
      <c r="X646" s="42"/>
      <c r="Y646" s="42"/>
      <c r="Z646" s="42"/>
      <c r="AA646" s="42"/>
      <c r="AB646" s="42"/>
      <c r="AC646" s="42"/>
    </row>
    <row r="647" spans="1:29" x14ac:dyDescent="0.25">
      <c r="A647" s="42"/>
      <c r="B647" s="35"/>
      <c r="C647" s="35"/>
      <c r="D647" s="41"/>
      <c r="E647" s="41"/>
      <c r="F647" s="40"/>
      <c r="G647" s="35"/>
      <c r="H647" s="41"/>
      <c r="I647" s="42"/>
      <c r="J647" s="42"/>
      <c r="K647" s="42"/>
      <c r="L647" s="42"/>
      <c r="M647" s="42"/>
      <c r="N647" s="42"/>
      <c r="O647" s="42"/>
      <c r="P647" s="42"/>
      <c r="Q647" s="42"/>
      <c r="R647" s="42"/>
      <c r="S647" s="42"/>
      <c r="T647" s="42"/>
      <c r="U647" s="42"/>
      <c r="V647" s="42"/>
      <c r="W647" s="42"/>
      <c r="X647" s="42"/>
      <c r="Y647" s="42"/>
      <c r="Z647" s="42"/>
      <c r="AA647" s="42"/>
      <c r="AB647" s="42"/>
      <c r="AC647" s="42"/>
    </row>
    <row r="648" spans="1:29" x14ac:dyDescent="0.25">
      <c r="A648" s="42"/>
      <c r="B648" s="35"/>
      <c r="C648" s="35"/>
      <c r="D648" s="41"/>
      <c r="E648" s="41"/>
      <c r="F648" s="40"/>
      <c r="G648" s="35"/>
      <c r="H648" s="41"/>
      <c r="I648" s="42"/>
      <c r="J648" s="42"/>
      <c r="K648" s="42"/>
      <c r="L648" s="42"/>
      <c r="M648" s="42"/>
      <c r="N648" s="42"/>
      <c r="O648" s="42"/>
      <c r="P648" s="42"/>
      <c r="Q648" s="42"/>
      <c r="R648" s="42"/>
      <c r="S648" s="42"/>
      <c r="T648" s="42"/>
      <c r="U648" s="42"/>
      <c r="V648" s="42"/>
      <c r="W648" s="42"/>
      <c r="X648" s="42"/>
      <c r="Y648" s="42"/>
      <c r="Z648" s="42"/>
      <c r="AA648" s="42"/>
      <c r="AB648" s="42"/>
      <c r="AC648" s="42"/>
    </row>
    <row r="649" spans="1:29" x14ac:dyDescent="0.25">
      <c r="A649" s="42"/>
      <c r="B649" s="35"/>
      <c r="C649" s="35"/>
      <c r="D649" s="41"/>
      <c r="E649" s="41"/>
      <c r="F649" s="40"/>
      <c r="G649" s="35"/>
      <c r="H649" s="41"/>
      <c r="I649" s="42"/>
      <c r="J649" s="42"/>
      <c r="K649" s="42"/>
      <c r="L649" s="42"/>
      <c r="M649" s="42"/>
      <c r="N649" s="42"/>
      <c r="O649" s="42"/>
      <c r="P649" s="42"/>
      <c r="Q649" s="42"/>
      <c r="R649" s="42"/>
      <c r="S649" s="42"/>
      <c r="T649" s="42"/>
      <c r="U649" s="42"/>
      <c r="V649" s="42"/>
      <c r="W649" s="42"/>
      <c r="X649" s="42"/>
      <c r="Y649" s="42"/>
      <c r="Z649" s="42"/>
      <c r="AA649" s="42"/>
      <c r="AB649" s="42"/>
      <c r="AC649" s="42"/>
    </row>
    <row r="650" spans="1:29" x14ac:dyDescent="0.25">
      <c r="A650" s="42"/>
      <c r="B650" s="35"/>
      <c r="C650" s="35"/>
      <c r="D650" s="41"/>
      <c r="E650" s="41"/>
      <c r="F650" s="40"/>
      <c r="G650" s="35"/>
      <c r="H650" s="41"/>
      <c r="I650" s="42"/>
      <c r="J650" s="42"/>
      <c r="K650" s="42"/>
      <c r="L650" s="42"/>
      <c r="M650" s="42"/>
      <c r="N650" s="42"/>
      <c r="O650" s="42"/>
      <c r="P650" s="42"/>
      <c r="Q650" s="42"/>
      <c r="R650" s="42"/>
      <c r="S650" s="42"/>
      <c r="T650" s="42"/>
      <c r="U650" s="42"/>
      <c r="V650" s="42"/>
      <c r="W650" s="42"/>
      <c r="X650" s="42"/>
      <c r="Y650" s="42"/>
      <c r="Z650" s="42"/>
      <c r="AA650" s="42"/>
      <c r="AB650" s="42"/>
      <c r="AC650" s="42"/>
    </row>
    <row r="651" spans="1:29" x14ac:dyDescent="0.25">
      <c r="A651" s="42"/>
      <c r="B651" s="35"/>
      <c r="C651" s="35"/>
      <c r="D651" s="41"/>
      <c r="E651" s="41"/>
      <c r="F651" s="40"/>
      <c r="G651" s="35"/>
      <c r="H651" s="41"/>
      <c r="I651" s="42"/>
      <c r="J651" s="42"/>
      <c r="K651" s="42"/>
      <c r="L651" s="42"/>
      <c r="M651" s="42"/>
      <c r="N651" s="42"/>
      <c r="O651" s="42"/>
      <c r="P651" s="42"/>
      <c r="Q651" s="42"/>
      <c r="R651" s="42"/>
      <c r="S651" s="42"/>
      <c r="T651" s="42"/>
      <c r="U651" s="42"/>
      <c r="V651" s="42"/>
      <c r="W651" s="42"/>
      <c r="X651" s="42"/>
      <c r="Y651" s="42"/>
      <c r="Z651" s="42"/>
      <c r="AA651" s="42"/>
      <c r="AB651" s="42"/>
      <c r="AC651" s="42"/>
    </row>
    <row r="652" spans="1:29" x14ac:dyDescent="0.25">
      <c r="A652" s="42"/>
      <c r="B652" s="35"/>
      <c r="C652" s="35"/>
      <c r="D652" s="41"/>
      <c r="E652" s="41"/>
      <c r="F652" s="40"/>
      <c r="G652" s="35"/>
      <c r="H652" s="41"/>
      <c r="I652" s="42"/>
      <c r="J652" s="42"/>
      <c r="K652" s="42"/>
      <c r="L652" s="42"/>
      <c r="M652" s="42"/>
      <c r="N652" s="42"/>
      <c r="O652" s="42"/>
      <c r="P652" s="42"/>
      <c r="Q652" s="42"/>
      <c r="R652" s="42"/>
      <c r="S652" s="42"/>
      <c r="T652" s="42"/>
      <c r="U652" s="42"/>
      <c r="V652" s="42"/>
      <c r="W652" s="42"/>
      <c r="X652" s="42"/>
      <c r="Y652" s="42"/>
      <c r="Z652" s="42"/>
      <c r="AA652" s="42"/>
      <c r="AB652" s="42"/>
      <c r="AC652" s="42"/>
    </row>
    <row r="653" spans="1:29" x14ac:dyDescent="0.25">
      <c r="A653" s="42"/>
      <c r="B653" s="35"/>
      <c r="C653" s="35"/>
      <c r="D653" s="41"/>
      <c r="E653" s="41"/>
      <c r="F653" s="40"/>
      <c r="G653" s="35"/>
      <c r="H653" s="41"/>
      <c r="I653" s="42"/>
      <c r="J653" s="42"/>
      <c r="K653" s="42"/>
      <c r="L653" s="42"/>
      <c r="M653" s="42"/>
      <c r="N653" s="42"/>
      <c r="O653" s="42"/>
      <c r="P653" s="42"/>
      <c r="Q653" s="42"/>
      <c r="R653" s="42"/>
      <c r="S653" s="42"/>
      <c r="T653" s="42"/>
      <c r="U653" s="42"/>
      <c r="V653" s="42"/>
      <c r="W653" s="42"/>
      <c r="X653" s="42"/>
      <c r="Y653" s="42"/>
      <c r="Z653" s="42"/>
      <c r="AA653" s="42"/>
      <c r="AB653" s="42"/>
      <c r="AC653" s="42"/>
    </row>
    <row r="654" spans="1:29" x14ac:dyDescent="0.25">
      <c r="A654" s="42"/>
      <c r="B654" s="35"/>
      <c r="C654" s="35"/>
      <c r="D654" s="41"/>
      <c r="E654" s="41"/>
      <c r="F654" s="40"/>
      <c r="G654" s="35"/>
      <c r="H654" s="41"/>
      <c r="I654" s="42"/>
      <c r="J654" s="42"/>
      <c r="K654" s="42"/>
      <c r="L654" s="42"/>
      <c r="M654" s="42"/>
      <c r="N654" s="42"/>
      <c r="O654" s="42"/>
      <c r="P654" s="42"/>
      <c r="Q654" s="42"/>
      <c r="R654" s="42"/>
      <c r="S654" s="42"/>
      <c r="T654" s="42"/>
      <c r="U654" s="42"/>
      <c r="V654" s="42"/>
      <c r="W654" s="42"/>
      <c r="X654" s="42"/>
      <c r="Y654" s="42"/>
      <c r="Z654" s="42"/>
      <c r="AA654" s="42"/>
      <c r="AB654" s="42"/>
      <c r="AC654" s="42"/>
    </row>
    <row r="655" spans="1:29" x14ac:dyDescent="0.25">
      <c r="A655" s="42"/>
      <c r="B655" s="35"/>
      <c r="C655" s="35"/>
      <c r="D655" s="41"/>
      <c r="E655" s="41"/>
      <c r="F655" s="40"/>
      <c r="G655" s="35"/>
      <c r="H655" s="41"/>
      <c r="I655" s="42"/>
      <c r="J655" s="42"/>
      <c r="K655" s="42"/>
      <c r="L655" s="42"/>
      <c r="M655" s="42"/>
      <c r="N655" s="42"/>
      <c r="O655" s="42"/>
      <c r="P655" s="42"/>
      <c r="Q655" s="42"/>
      <c r="R655" s="42"/>
      <c r="S655" s="42"/>
      <c r="T655" s="42"/>
      <c r="U655" s="42"/>
      <c r="V655" s="42"/>
      <c r="W655" s="42"/>
      <c r="X655" s="42"/>
      <c r="Y655" s="42"/>
      <c r="Z655" s="42"/>
      <c r="AA655" s="42"/>
      <c r="AB655" s="42"/>
      <c r="AC655" s="42"/>
    </row>
    <row r="656" spans="1:29" x14ac:dyDescent="0.25">
      <c r="A656" s="42"/>
      <c r="B656" s="35"/>
      <c r="C656" s="35"/>
      <c r="D656" s="41"/>
      <c r="E656" s="41"/>
      <c r="F656" s="40"/>
      <c r="G656" s="35"/>
      <c r="H656" s="41"/>
      <c r="I656" s="42"/>
      <c r="J656" s="42"/>
      <c r="K656" s="42"/>
      <c r="L656" s="42"/>
      <c r="M656" s="42"/>
      <c r="N656" s="42"/>
      <c r="O656" s="42"/>
      <c r="P656" s="42"/>
      <c r="Q656" s="42"/>
      <c r="R656" s="42"/>
      <c r="S656" s="42"/>
      <c r="T656" s="42"/>
      <c r="U656" s="42"/>
      <c r="V656" s="42"/>
      <c r="W656" s="42"/>
      <c r="X656" s="42"/>
      <c r="Y656" s="42"/>
      <c r="Z656" s="42"/>
      <c r="AA656" s="42"/>
      <c r="AB656" s="42"/>
      <c r="AC656" s="42"/>
    </row>
    <row r="657" spans="1:29" x14ac:dyDescent="0.25">
      <c r="A657" s="42"/>
      <c r="B657" s="35"/>
      <c r="C657" s="35"/>
      <c r="D657" s="41"/>
      <c r="E657" s="41"/>
      <c r="F657" s="40"/>
      <c r="G657" s="35"/>
      <c r="H657" s="41"/>
      <c r="I657" s="42"/>
      <c r="J657" s="42"/>
      <c r="K657" s="42"/>
      <c r="L657" s="42"/>
      <c r="M657" s="42"/>
      <c r="N657" s="42"/>
      <c r="O657" s="42"/>
      <c r="P657" s="42"/>
      <c r="Q657" s="42"/>
      <c r="R657" s="42"/>
      <c r="S657" s="42"/>
      <c r="T657" s="42"/>
      <c r="U657" s="42"/>
      <c r="V657" s="42"/>
      <c r="W657" s="42"/>
      <c r="X657" s="42"/>
      <c r="Y657" s="42"/>
      <c r="Z657" s="42"/>
      <c r="AA657" s="42"/>
      <c r="AB657" s="42"/>
      <c r="AC657" s="42"/>
    </row>
    <row r="658" spans="1:29" x14ac:dyDescent="0.25">
      <c r="A658" s="42"/>
      <c r="B658" s="35"/>
      <c r="C658" s="35"/>
      <c r="D658" s="41"/>
      <c r="E658" s="41"/>
      <c r="F658" s="40"/>
      <c r="G658" s="35"/>
      <c r="H658" s="41"/>
      <c r="I658" s="42"/>
      <c r="J658" s="42"/>
      <c r="K658" s="42"/>
      <c r="L658" s="42"/>
      <c r="M658" s="42"/>
      <c r="N658" s="42"/>
      <c r="O658" s="42"/>
      <c r="P658" s="42"/>
      <c r="Q658" s="42"/>
      <c r="R658" s="42"/>
      <c r="S658" s="42"/>
      <c r="T658" s="42"/>
      <c r="U658" s="42"/>
      <c r="V658" s="42"/>
      <c r="W658" s="42"/>
      <c r="X658" s="42"/>
      <c r="Y658" s="42"/>
      <c r="Z658" s="42"/>
      <c r="AA658" s="42"/>
      <c r="AB658" s="42"/>
      <c r="AC658" s="42"/>
    </row>
    <row r="659" spans="1:29" x14ac:dyDescent="0.25">
      <c r="A659" s="42"/>
      <c r="B659" s="35"/>
      <c r="C659" s="35"/>
      <c r="D659" s="41"/>
      <c r="E659" s="41"/>
      <c r="F659" s="40"/>
      <c r="G659" s="35"/>
      <c r="H659" s="41"/>
      <c r="I659" s="42"/>
      <c r="J659" s="42"/>
      <c r="K659" s="42"/>
      <c r="L659" s="42"/>
      <c r="M659" s="42"/>
      <c r="N659" s="42"/>
      <c r="O659" s="42"/>
      <c r="P659" s="42"/>
      <c r="Q659" s="42"/>
      <c r="R659" s="42"/>
      <c r="S659" s="42"/>
      <c r="T659" s="42"/>
      <c r="U659" s="42"/>
      <c r="V659" s="42"/>
      <c r="W659" s="42"/>
      <c r="X659" s="42"/>
      <c r="Y659" s="42"/>
      <c r="Z659" s="42"/>
      <c r="AA659" s="42"/>
      <c r="AB659" s="42"/>
      <c r="AC659" s="42"/>
    </row>
    <row r="660" spans="1:29" x14ac:dyDescent="0.25">
      <c r="A660" s="42"/>
      <c r="B660" s="35"/>
      <c r="C660" s="35"/>
      <c r="D660" s="41"/>
      <c r="E660" s="41"/>
      <c r="F660" s="40"/>
      <c r="G660" s="35"/>
      <c r="H660" s="41"/>
      <c r="I660" s="42"/>
      <c r="J660" s="42"/>
      <c r="K660" s="42"/>
      <c r="L660" s="42"/>
      <c r="M660" s="42"/>
      <c r="N660" s="42"/>
      <c r="O660" s="42"/>
      <c r="P660" s="42"/>
      <c r="Q660" s="42"/>
      <c r="R660" s="42"/>
      <c r="S660" s="42"/>
      <c r="T660" s="42"/>
      <c r="U660" s="42"/>
      <c r="V660" s="42"/>
      <c r="W660" s="42"/>
      <c r="X660" s="42"/>
      <c r="Y660" s="42"/>
      <c r="Z660" s="42"/>
      <c r="AA660" s="42"/>
      <c r="AB660" s="42"/>
      <c r="AC660" s="42"/>
    </row>
    <row r="661" spans="1:29" x14ac:dyDescent="0.25">
      <c r="A661" s="42"/>
      <c r="B661" s="35"/>
      <c r="C661" s="35"/>
      <c r="D661" s="41"/>
      <c r="E661" s="41"/>
      <c r="F661" s="40"/>
      <c r="G661" s="35"/>
      <c r="H661" s="41"/>
      <c r="I661" s="42"/>
      <c r="J661" s="42"/>
      <c r="K661" s="42"/>
      <c r="L661" s="42"/>
      <c r="M661" s="42"/>
      <c r="N661" s="42"/>
      <c r="O661" s="42"/>
      <c r="P661" s="42"/>
      <c r="Q661" s="42"/>
      <c r="R661" s="42"/>
      <c r="S661" s="42"/>
      <c r="T661" s="42"/>
      <c r="U661" s="42"/>
      <c r="V661" s="42"/>
      <c r="W661" s="42"/>
      <c r="X661" s="42"/>
      <c r="Y661" s="42"/>
      <c r="Z661" s="42"/>
      <c r="AA661" s="42"/>
      <c r="AB661" s="42"/>
      <c r="AC661" s="42"/>
    </row>
    <row r="662" spans="1:29" x14ac:dyDescent="0.25">
      <c r="A662" s="42"/>
      <c r="B662" s="35"/>
      <c r="C662" s="35"/>
      <c r="D662" s="41"/>
      <c r="E662" s="41"/>
      <c r="F662" s="40"/>
      <c r="G662" s="35"/>
      <c r="H662" s="41"/>
      <c r="I662" s="42"/>
      <c r="J662" s="42"/>
      <c r="K662" s="42"/>
      <c r="L662" s="42"/>
      <c r="M662" s="42"/>
      <c r="N662" s="42"/>
      <c r="O662" s="42"/>
      <c r="P662" s="42"/>
      <c r="Q662" s="42"/>
      <c r="R662" s="42"/>
      <c r="S662" s="42"/>
      <c r="T662" s="42"/>
      <c r="U662" s="42"/>
      <c r="V662" s="42"/>
      <c r="W662" s="42"/>
      <c r="X662" s="42"/>
      <c r="Y662" s="42"/>
      <c r="Z662" s="42"/>
      <c r="AA662" s="42"/>
      <c r="AB662" s="42"/>
      <c r="AC662" s="42"/>
    </row>
    <row r="663" spans="1:29" x14ac:dyDescent="0.25">
      <c r="A663" s="42"/>
      <c r="B663" s="35"/>
      <c r="C663" s="35"/>
      <c r="D663" s="41"/>
      <c r="E663" s="41"/>
      <c r="F663" s="40"/>
      <c r="G663" s="35"/>
      <c r="H663" s="41"/>
      <c r="I663" s="42"/>
      <c r="J663" s="42"/>
      <c r="K663" s="42"/>
      <c r="L663" s="42"/>
      <c r="M663" s="42"/>
      <c r="N663" s="42"/>
      <c r="O663" s="42"/>
      <c r="P663" s="42"/>
      <c r="Q663" s="42"/>
      <c r="R663" s="42"/>
      <c r="S663" s="42"/>
      <c r="T663" s="42"/>
      <c r="U663" s="42"/>
      <c r="V663" s="42"/>
      <c r="W663" s="42"/>
      <c r="X663" s="42"/>
      <c r="Y663" s="42"/>
      <c r="Z663" s="42"/>
      <c r="AA663" s="42"/>
      <c r="AB663" s="42"/>
      <c r="AC663" s="42"/>
    </row>
    <row r="664" spans="1:29" x14ac:dyDescent="0.25">
      <c r="A664" s="42"/>
      <c r="B664" s="35"/>
      <c r="C664" s="35"/>
      <c r="D664" s="41"/>
      <c r="E664" s="41"/>
      <c r="F664" s="40"/>
      <c r="G664" s="35"/>
      <c r="H664" s="41"/>
      <c r="I664" s="42"/>
      <c r="J664" s="42"/>
      <c r="K664" s="42"/>
      <c r="L664" s="42"/>
      <c r="M664" s="42"/>
      <c r="N664" s="42"/>
      <c r="O664" s="42"/>
      <c r="P664" s="42"/>
      <c r="Q664" s="42"/>
      <c r="R664" s="42"/>
      <c r="S664" s="42"/>
      <c r="T664" s="42"/>
      <c r="U664" s="42"/>
      <c r="V664" s="42"/>
      <c r="W664" s="42"/>
      <c r="X664" s="42"/>
      <c r="Y664" s="42"/>
      <c r="Z664" s="42"/>
      <c r="AA664" s="42"/>
      <c r="AB664" s="42"/>
      <c r="AC664" s="42"/>
    </row>
    <row r="665" spans="1:29" x14ac:dyDescent="0.25">
      <c r="A665" s="42"/>
      <c r="B665" s="35"/>
      <c r="C665" s="35"/>
      <c r="D665" s="41"/>
      <c r="E665" s="41"/>
      <c r="F665" s="40"/>
      <c r="G665" s="35"/>
      <c r="H665" s="41"/>
      <c r="I665" s="42"/>
      <c r="J665" s="42"/>
      <c r="K665" s="42"/>
      <c r="L665" s="42"/>
      <c r="M665" s="42"/>
      <c r="N665" s="42"/>
      <c r="O665" s="42"/>
      <c r="P665" s="42"/>
      <c r="Q665" s="42"/>
      <c r="R665" s="42"/>
      <c r="S665" s="42"/>
      <c r="T665" s="42"/>
      <c r="U665" s="42"/>
      <c r="V665" s="42"/>
      <c r="W665" s="42"/>
      <c r="X665" s="42"/>
      <c r="Y665" s="42"/>
      <c r="Z665" s="42"/>
      <c r="AA665" s="42"/>
      <c r="AB665" s="42"/>
      <c r="AC665" s="42"/>
    </row>
    <row r="666" spans="1:29" x14ac:dyDescent="0.25">
      <c r="A666" s="42"/>
      <c r="B666" s="35"/>
      <c r="C666" s="35"/>
      <c r="D666" s="41"/>
      <c r="E666" s="41"/>
      <c r="F666" s="40"/>
      <c r="G666" s="35"/>
      <c r="H666" s="41"/>
      <c r="I666" s="42"/>
      <c r="J666" s="42"/>
      <c r="K666" s="42"/>
      <c r="L666" s="42"/>
      <c r="M666" s="42"/>
      <c r="N666" s="42"/>
      <c r="O666" s="42"/>
      <c r="P666" s="42"/>
      <c r="Q666" s="42"/>
      <c r="R666" s="42"/>
      <c r="S666" s="42"/>
      <c r="T666" s="42"/>
      <c r="U666" s="42"/>
      <c r="V666" s="42"/>
      <c r="W666" s="42"/>
      <c r="X666" s="42"/>
      <c r="Y666" s="42"/>
      <c r="Z666" s="42"/>
      <c r="AA666" s="42"/>
      <c r="AB666" s="42"/>
      <c r="AC666" s="42"/>
    </row>
    <row r="667" spans="1:29" x14ac:dyDescent="0.25">
      <c r="A667" s="42"/>
      <c r="B667" s="35"/>
      <c r="C667" s="35"/>
      <c r="D667" s="41"/>
      <c r="E667" s="41"/>
      <c r="F667" s="40"/>
      <c r="G667" s="35"/>
      <c r="H667" s="41"/>
      <c r="I667" s="42"/>
      <c r="J667" s="42"/>
      <c r="K667" s="42"/>
      <c r="L667" s="42"/>
      <c r="M667" s="42"/>
      <c r="N667" s="42"/>
      <c r="O667" s="42"/>
      <c r="P667" s="42"/>
      <c r="Q667" s="42"/>
      <c r="R667" s="42"/>
      <c r="S667" s="42"/>
      <c r="T667" s="42"/>
      <c r="U667" s="42"/>
      <c r="V667" s="42"/>
      <c r="W667" s="42"/>
      <c r="X667" s="42"/>
      <c r="Y667" s="42"/>
      <c r="Z667" s="42"/>
      <c r="AA667" s="42"/>
      <c r="AB667" s="42"/>
      <c r="AC667" s="42"/>
    </row>
    <row r="668" spans="1:29" x14ac:dyDescent="0.25">
      <c r="A668" s="42"/>
      <c r="B668" s="35"/>
      <c r="C668" s="35"/>
      <c r="D668" s="41"/>
      <c r="E668" s="41"/>
      <c r="F668" s="40"/>
      <c r="G668" s="35"/>
      <c r="H668" s="41"/>
      <c r="I668" s="42"/>
      <c r="J668" s="42"/>
      <c r="K668" s="42"/>
      <c r="L668" s="42"/>
      <c r="M668" s="42"/>
      <c r="N668" s="42"/>
      <c r="O668" s="42"/>
      <c r="P668" s="42"/>
      <c r="Q668" s="42"/>
      <c r="R668" s="42"/>
      <c r="S668" s="42"/>
      <c r="T668" s="42"/>
      <c r="U668" s="42"/>
      <c r="V668" s="42"/>
      <c r="W668" s="42"/>
      <c r="X668" s="42"/>
      <c r="Y668" s="42"/>
      <c r="Z668" s="42"/>
      <c r="AA668" s="42"/>
      <c r="AB668" s="42"/>
      <c r="AC668" s="42"/>
    </row>
    <row r="669" spans="1:29" x14ac:dyDescent="0.25">
      <c r="A669" s="42"/>
      <c r="B669" s="35"/>
      <c r="C669" s="35"/>
      <c r="D669" s="41"/>
      <c r="E669" s="41"/>
      <c r="F669" s="40"/>
      <c r="G669" s="35"/>
      <c r="H669" s="41"/>
      <c r="I669" s="42"/>
      <c r="J669" s="42"/>
      <c r="K669" s="42"/>
      <c r="L669" s="42"/>
      <c r="M669" s="42"/>
      <c r="N669" s="42"/>
      <c r="O669" s="42"/>
      <c r="P669" s="42"/>
      <c r="Q669" s="42"/>
      <c r="R669" s="42"/>
      <c r="S669" s="42"/>
      <c r="T669" s="42"/>
      <c r="U669" s="42"/>
      <c r="V669" s="42"/>
      <c r="W669" s="42"/>
      <c r="X669" s="42"/>
      <c r="Y669" s="42"/>
      <c r="Z669" s="42"/>
      <c r="AA669" s="42"/>
      <c r="AB669" s="42"/>
      <c r="AC669" s="42"/>
    </row>
    <row r="670" spans="1:29" x14ac:dyDescent="0.25">
      <c r="A670" s="42"/>
      <c r="B670" s="35"/>
      <c r="C670" s="35"/>
      <c r="D670" s="41"/>
      <c r="E670" s="41"/>
      <c r="F670" s="40"/>
      <c r="G670" s="35"/>
      <c r="H670" s="41"/>
      <c r="I670" s="42"/>
      <c r="J670" s="42"/>
      <c r="K670" s="42"/>
      <c r="L670" s="42"/>
      <c r="M670" s="42"/>
      <c r="N670" s="42"/>
      <c r="O670" s="42"/>
      <c r="P670" s="42"/>
      <c r="Q670" s="42"/>
      <c r="R670" s="42"/>
      <c r="S670" s="42"/>
      <c r="T670" s="42"/>
      <c r="U670" s="42"/>
      <c r="V670" s="42"/>
      <c r="W670" s="42"/>
      <c r="X670" s="42"/>
      <c r="Y670" s="42"/>
      <c r="Z670" s="42"/>
      <c r="AA670" s="42"/>
      <c r="AB670" s="42"/>
      <c r="AC670" s="42"/>
    </row>
    <row r="671" spans="1:29" x14ac:dyDescent="0.25">
      <c r="A671" s="42"/>
      <c r="B671" s="35"/>
      <c r="C671" s="35"/>
      <c r="D671" s="41"/>
      <c r="E671" s="41"/>
      <c r="F671" s="40"/>
      <c r="G671" s="35"/>
      <c r="H671" s="41"/>
      <c r="I671" s="42"/>
      <c r="J671" s="42"/>
      <c r="K671" s="42"/>
      <c r="L671" s="42"/>
      <c r="M671" s="42"/>
      <c r="N671" s="42"/>
      <c r="O671" s="42"/>
      <c r="P671" s="42"/>
      <c r="Q671" s="42"/>
      <c r="R671" s="42"/>
      <c r="S671" s="42"/>
      <c r="T671" s="42"/>
      <c r="U671" s="42"/>
      <c r="V671" s="42"/>
      <c r="W671" s="42"/>
      <c r="X671" s="42"/>
      <c r="Y671" s="42"/>
      <c r="Z671" s="42"/>
      <c r="AA671" s="42"/>
      <c r="AB671" s="42"/>
      <c r="AC671" s="42"/>
    </row>
    <row r="672" spans="1:29" x14ac:dyDescent="0.25">
      <c r="A672" s="42"/>
      <c r="B672" s="35"/>
      <c r="C672" s="35"/>
      <c r="D672" s="41"/>
      <c r="E672" s="41"/>
      <c r="F672" s="40"/>
      <c r="G672" s="35"/>
      <c r="H672" s="41"/>
      <c r="I672" s="42"/>
      <c r="J672" s="42"/>
      <c r="K672" s="42"/>
      <c r="L672" s="42"/>
      <c r="M672" s="42"/>
      <c r="N672" s="42"/>
      <c r="O672" s="42"/>
      <c r="P672" s="42"/>
      <c r="Q672" s="42"/>
      <c r="R672" s="42"/>
      <c r="S672" s="42"/>
      <c r="T672" s="42"/>
      <c r="U672" s="42"/>
      <c r="V672" s="42"/>
      <c r="W672" s="42"/>
      <c r="X672" s="42"/>
      <c r="Y672" s="42"/>
      <c r="Z672" s="42"/>
      <c r="AA672" s="42"/>
      <c r="AB672" s="42"/>
      <c r="AC672" s="42"/>
    </row>
    <row r="673" spans="1:29" x14ac:dyDescent="0.25">
      <c r="A673" s="42"/>
      <c r="B673" s="35"/>
      <c r="C673" s="35"/>
      <c r="D673" s="41"/>
      <c r="E673" s="41"/>
      <c r="F673" s="40"/>
      <c r="G673" s="35"/>
      <c r="H673" s="41"/>
      <c r="I673" s="42"/>
      <c r="J673" s="42"/>
      <c r="K673" s="42"/>
      <c r="L673" s="42"/>
      <c r="M673" s="42"/>
      <c r="N673" s="42"/>
      <c r="O673" s="42"/>
      <c r="P673" s="42"/>
      <c r="Q673" s="42"/>
      <c r="R673" s="42"/>
      <c r="S673" s="42"/>
      <c r="T673" s="42"/>
      <c r="U673" s="42"/>
      <c r="V673" s="42"/>
      <c r="W673" s="42"/>
      <c r="X673" s="42"/>
      <c r="Y673" s="42"/>
      <c r="Z673" s="42"/>
      <c r="AA673" s="42"/>
      <c r="AB673" s="42"/>
      <c r="AC673" s="42"/>
    </row>
    <row r="674" spans="1:29" x14ac:dyDescent="0.25">
      <c r="A674" s="42"/>
      <c r="B674" s="35"/>
      <c r="C674" s="35"/>
      <c r="D674" s="41"/>
      <c r="E674" s="41"/>
      <c r="F674" s="40"/>
      <c r="G674" s="35"/>
      <c r="H674" s="41"/>
      <c r="I674" s="42"/>
      <c r="J674" s="42"/>
      <c r="K674" s="42"/>
      <c r="L674" s="42"/>
      <c r="M674" s="42"/>
      <c r="N674" s="42"/>
      <c r="O674" s="42"/>
      <c r="P674" s="42"/>
      <c r="Q674" s="42"/>
      <c r="R674" s="42"/>
      <c r="S674" s="42"/>
      <c r="T674" s="42"/>
      <c r="U674" s="42"/>
      <c r="V674" s="42"/>
      <c r="W674" s="42"/>
      <c r="X674" s="42"/>
      <c r="Y674" s="42"/>
      <c r="Z674" s="42"/>
      <c r="AA674" s="42"/>
      <c r="AB674" s="42"/>
      <c r="AC674" s="42"/>
    </row>
    <row r="675" spans="1:29" x14ac:dyDescent="0.25">
      <c r="A675" s="42"/>
      <c r="B675" s="35"/>
      <c r="C675" s="35"/>
      <c r="D675" s="41"/>
      <c r="E675" s="41"/>
      <c r="F675" s="40"/>
      <c r="G675" s="35"/>
      <c r="H675" s="41"/>
      <c r="I675" s="42"/>
      <c r="J675" s="42"/>
      <c r="K675" s="42"/>
      <c r="L675" s="42"/>
      <c r="M675" s="42"/>
      <c r="N675" s="42"/>
      <c r="O675" s="42"/>
      <c r="P675" s="42"/>
      <c r="Q675" s="42"/>
      <c r="R675" s="42"/>
      <c r="S675" s="42"/>
      <c r="T675" s="42"/>
      <c r="U675" s="42"/>
      <c r="V675" s="42"/>
      <c r="W675" s="42"/>
      <c r="X675" s="42"/>
      <c r="Y675" s="42"/>
      <c r="Z675" s="42"/>
      <c r="AA675" s="42"/>
      <c r="AB675" s="42"/>
      <c r="AC675" s="42"/>
    </row>
    <row r="676" spans="1:29" x14ac:dyDescent="0.25">
      <c r="A676" s="42"/>
      <c r="B676" s="35"/>
      <c r="C676" s="35"/>
      <c r="D676" s="41"/>
      <c r="E676" s="41"/>
      <c r="F676" s="40"/>
      <c r="G676" s="35"/>
      <c r="H676" s="41"/>
      <c r="I676" s="42"/>
      <c r="J676" s="42"/>
      <c r="K676" s="42"/>
      <c r="L676" s="42"/>
      <c r="M676" s="42"/>
      <c r="N676" s="42"/>
      <c r="O676" s="42"/>
      <c r="P676" s="42"/>
      <c r="Q676" s="42"/>
      <c r="R676" s="42"/>
      <c r="S676" s="42"/>
      <c r="T676" s="42"/>
      <c r="U676" s="42"/>
      <c r="V676" s="42"/>
      <c r="W676" s="42"/>
      <c r="X676" s="42"/>
      <c r="Y676" s="42"/>
      <c r="Z676" s="42"/>
      <c r="AA676" s="42"/>
      <c r="AB676" s="42"/>
      <c r="AC676" s="42"/>
    </row>
    <row r="677" spans="1:29" x14ac:dyDescent="0.25">
      <c r="A677" s="42"/>
      <c r="B677" s="35"/>
      <c r="C677" s="35"/>
      <c r="D677" s="41"/>
      <c r="E677" s="41"/>
      <c r="F677" s="40"/>
      <c r="G677" s="35"/>
      <c r="H677" s="41"/>
      <c r="I677" s="42"/>
      <c r="J677" s="42"/>
      <c r="K677" s="42"/>
      <c r="L677" s="42"/>
      <c r="M677" s="42"/>
      <c r="N677" s="42"/>
      <c r="O677" s="42"/>
      <c r="P677" s="42"/>
      <c r="Q677" s="42"/>
      <c r="R677" s="42"/>
      <c r="S677" s="42"/>
      <c r="T677" s="42"/>
      <c r="U677" s="42"/>
      <c r="V677" s="42"/>
      <c r="W677" s="42"/>
      <c r="X677" s="42"/>
      <c r="Y677" s="42"/>
      <c r="Z677" s="42"/>
      <c r="AA677" s="42"/>
      <c r="AB677" s="42"/>
      <c r="AC677" s="42"/>
    </row>
    <row r="678" spans="1:29" x14ac:dyDescent="0.25">
      <c r="A678" s="42"/>
      <c r="B678" s="35"/>
      <c r="C678" s="35"/>
      <c r="D678" s="41"/>
      <c r="E678" s="41"/>
      <c r="F678" s="40"/>
      <c r="G678" s="35"/>
      <c r="H678" s="41"/>
      <c r="I678" s="42"/>
      <c r="J678" s="42"/>
      <c r="K678" s="42"/>
      <c r="L678" s="42"/>
      <c r="M678" s="42"/>
      <c r="N678" s="42"/>
      <c r="O678" s="42"/>
      <c r="P678" s="42"/>
      <c r="Q678" s="42"/>
      <c r="R678" s="42"/>
      <c r="S678" s="42"/>
      <c r="T678" s="42"/>
      <c r="U678" s="42"/>
      <c r="V678" s="42"/>
      <c r="W678" s="42"/>
      <c r="X678" s="42"/>
      <c r="Y678" s="42"/>
      <c r="Z678" s="42"/>
      <c r="AA678" s="42"/>
      <c r="AB678" s="42"/>
      <c r="AC678" s="42"/>
    </row>
    <row r="679" spans="1:29" x14ac:dyDescent="0.25">
      <c r="A679" s="42"/>
      <c r="B679" s="35"/>
      <c r="C679" s="35"/>
      <c r="D679" s="41"/>
      <c r="E679" s="41"/>
      <c r="F679" s="40"/>
      <c r="G679" s="35"/>
      <c r="H679" s="41"/>
      <c r="I679" s="42"/>
      <c r="J679" s="42"/>
      <c r="K679" s="42"/>
      <c r="L679" s="42"/>
      <c r="M679" s="42"/>
      <c r="N679" s="42"/>
      <c r="O679" s="42"/>
      <c r="P679" s="42"/>
      <c r="Q679" s="42"/>
      <c r="R679" s="42"/>
      <c r="S679" s="42"/>
      <c r="T679" s="42"/>
      <c r="U679" s="42"/>
      <c r="V679" s="42"/>
      <c r="W679" s="42"/>
      <c r="X679" s="42"/>
      <c r="Y679" s="42"/>
      <c r="Z679" s="42"/>
      <c r="AA679" s="42"/>
      <c r="AB679" s="42"/>
      <c r="AC679" s="42"/>
    </row>
    <row r="680" spans="1:29" x14ac:dyDescent="0.25">
      <c r="A680" s="42"/>
      <c r="B680" s="35"/>
      <c r="C680" s="35"/>
      <c r="D680" s="41"/>
      <c r="E680" s="41"/>
      <c r="F680" s="40"/>
      <c r="G680" s="35"/>
      <c r="H680" s="41"/>
      <c r="I680" s="42"/>
      <c r="J680" s="42"/>
      <c r="K680" s="42"/>
      <c r="L680" s="42"/>
      <c r="M680" s="42"/>
      <c r="N680" s="42"/>
      <c r="O680" s="42"/>
      <c r="P680" s="42"/>
      <c r="Q680" s="42"/>
      <c r="R680" s="42"/>
      <c r="S680" s="42"/>
      <c r="T680" s="42"/>
      <c r="U680" s="42"/>
      <c r="V680" s="42"/>
      <c r="W680" s="42"/>
      <c r="X680" s="42"/>
      <c r="Y680" s="42"/>
      <c r="Z680" s="42"/>
      <c r="AA680" s="42"/>
      <c r="AB680" s="42"/>
      <c r="AC680" s="42"/>
    </row>
    <row r="681" spans="1:29" x14ac:dyDescent="0.25">
      <c r="A681" s="42"/>
      <c r="B681" s="35"/>
      <c r="C681" s="35"/>
      <c r="D681" s="41"/>
      <c r="E681" s="41"/>
      <c r="F681" s="40"/>
      <c r="G681" s="35"/>
      <c r="H681" s="41"/>
      <c r="I681" s="42"/>
      <c r="J681" s="42"/>
      <c r="K681" s="42"/>
      <c r="L681" s="42"/>
      <c r="M681" s="42"/>
      <c r="N681" s="42"/>
      <c r="O681" s="42"/>
      <c r="P681" s="42"/>
      <c r="Q681" s="42"/>
      <c r="R681" s="42"/>
      <c r="S681" s="42"/>
      <c r="T681" s="42"/>
      <c r="U681" s="42"/>
      <c r="V681" s="42"/>
      <c r="W681" s="42"/>
      <c r="X681" s="42"/>
      <c r="Y681" s="42"/>
      <c r="Z681" s="42"/>
      <c r="AA681" s="42"/>
      <c r="AB681" s="42"/>
      <c r="AC681" s="42"/>
    </row>
    <row r="682" spans="1:29" x14ac:dyDescent="0.25">
      <c r="A682" s="42"/>
      <c r="B682" s="35"/>
      <c r="C682" s="35"/>
      <c r="D682" s="41"/>
      <c r="E682" s="41"/>
      <c r="F682" s="40"/>
      <c r="G682" s="35"/>
      <c r="H682" s="41"/>
      <c r="I682" s="42"/>
      <c r="J682" s="42"/>
      <c r="K682" s="42"/>
      <c r="L682" s="42"/>
      <c r="M682" s="42"/>
      <c r="N682" s="42"/>
      <c r="O682" s="42"/>
      <c r="P682" s="42"/>
      <c r="Q682" s="42"/>
      <c r="R682" s="42"/>
      <c r="S682" s="42"/>
      <c r="T682" s="42"/>
      <c r="U682" s="42"/>
      <c r="V682" s="42"/>
      <c r="W682" s="42"/>
      <c r="X682" s="42"/>
      <c r="Y682" s="42"/>
      <c r="Z682" s="42"/>
      <c r="AA682" s="42"/>
      <c r="AB682" s="42"/>
      <c r="AC682" s="42"/>
    </row>
    <row r="683" spans="1:29" x14ac:dyDescent="0.25">
      <c r="A683" s="42"/>
      <c r="B683" s="35"/>
      <c r="C683" s="35"/>
      <c r="D683" s="41"/>
      <c r="E683" s="41"/>
      <c r="F683" s="40"/>
      <c r="G683" s="35"/>
      <c r="H683" s="41"/>
      <c r="I683" s="42"/>
      <c r="J683" s="42"/>
      <c r="K683" s="42"/>
      <c r="L683" s="42"/>
      <c r="M683" s="42"/>
      <c r="N683" s="42"/>
      <c r="O683" s="42"/>
      <c r="P683" s="42"/>
      <c r="Q683" s="42"/>
      <c r="R683" s="42"/>
      <c r="S683" s="42"/>
      <c r="T683" s="42"/>
      <c r="U683" s="42"/>
      <c r="V683" s="42"/>
      <c r="W683" s="42"/>
      <c r="X683" s="42"/>
      <c r="Y683" s="42"/>
      <c r="Z683" s="42"/>
      <c r="AA683" s="42"/>
      <c r="AB683" s="42"/>
      <c r="AC683" s="42"/>
    </row>
    <row r="684" spans="1:29" x14ac:dyDescent="0.25">
      <c r="A684" s="42"/>
      <c r="B684" s="35"/>
      <c r="C684" s="35"/>
      <c r="D684" s="41"/>
      <c r="E684" s="41"/>
      <c r="F684" s="40"/>
      <c r="G684" s="35"/>
      <c r="H684" s="41"/>
      <c r="I684" s="42"/>
      <c r="J684" s="42"/>
      <c r="K684" s="42"/>
      <c r="L684" s="42"/>
      <c r="M684" s="42"/>
      <c r="N684" s="42"/>
      <c r="O684" s="42"/>
      <c r="P684" s="42"/>
      <c r="Q684" s="42"/>
      <c r="R684" s="42"/>
      <c r="S684" s="42"/>
      <c r="T684" s="42"/>
      <c r="U684" s="42"/>
      <c r="V684" s="42"/>
      <c r="W684" s="42"/>
      <c r="X684" s="42"/>
      <c r="Y684" s="42"/>
      <c r="Z684" s="42"/>
      <c r="AA684" s="42"/>
      <c r="AB684" s="42"/>
      <c r="AC684" s="42"/>
    </row>
    <row r="685" spans="1:29" x14ac:dyDescent="0.25">
      <c r="A685" s="42"/>
      <c r="B685" s="35"/>
      <c r="C685" s="35"/>
      <c r="D685" s="41"/>
      <c r="E685" s="41"/>
      <c r="F685" s="40"/>
      <c r="G685" s="35"/>
      <c r="H685" s="41"/>
      <c r="I685" s="42"/>
      <c r="J685" s="42"/>
      <c r="K685" s="42"/>
      <c r="L685" s="42"/>
      <c r="M685" s="42"/>
      <c r="N685" s="42"/>
      <c r="O685" s="42"/>
      <c r="P685" s="42"/>
      <c r="Q685" s="42"/>
      <c r="R685" s="42"/>
      <c r="S685" s="42"/>
      <c r="T685" s="42"/>
      <c r="U685" s="42"/>
      <c r="V685" s="42"/>
      <c r="W685" s="42"/>
      <c r="X685" s="42"/>
      <c r="Y685" s="42"/>
      <c r="Z685" s="42"/>
      <c r="AA685" s="42"/>
      <c r="AB685" s="42"/>
      <c r="AC685" s="42"/>
    </row>
    <row r="686" spans="1:29" x14ac:dyDescent="0.25">
      <c r="A686" s="42"/>
      <c r="B686" s="35"/>
      <c r="C686" s="35"/>
      <c r="D686" s="41"/>
      <c r="E686" s="41"/>
      <c r="F686" s="40"/>
      <c r="G686" s="35"/>
      <c r="H686" s="41"/>
      <c r="I686" s="42"/>
      <c r="J686" s="42"/>
      <c r="K686" s="42"/>
      <c r="L686" s="42"/>
      <c r="M686" s="42"/>
      <c r="N686" s="42"/>
      <c r="O686" s="42"/>
      <c r="P686" s="42"/>
      <c r="Q686" s="42"/>
      <c r="R686" s="42"/>
      <c r="S686" s="42"/>
      <c r="T686" s="42"/>
      <c r="U686" s="42"/>
      <c r="V686" s="42"/>
      <c r="W686" s="42"/>
      <c r="X686" s="42"/>
      <c r="Y686" s="42"/>
      <c r="Z686" s="42"/>
      <c r="AA686" s="42"/>
      <c r="AB686" s="42"/>
      <c r="AC686" s="42"/>
    </row>
    <row r="687" spans="1:29" x14ac:dyDescent="0.25">
      <c r="A687" s="42"/>
      <c r="B687" s="35"/>
      <c r="C687" s="35"/>
      <c r="D687" s="41"/>
      <c r="E687" s="41"/>
      <c r="F687" s="40"/>
      <c r="G687" s="35"/>
      <c r="H687" s="41"/>
      <c r="I687" s="42"/>
      <c r="J687" s="42"/>
      <c r="K687" s="42"/>
      <c r="L687" s="42"/>
      <c r="M687" s="42"/>
      <c r="N687" s="42"/>
      <c r="O687" s="42"/>
      <c r="P687" s="42"/>
      <c r="Q687" s="42"/>
      <c r="R687" s="42"/>
      <c r="S687" s="42"/>
      <c r="T687" s="42"/>
      <c r="U687" s="42"/>
      <c r="V687" s="42"/>
      <c r="W687" s="42"/>
      <c r="X687" s="42"/>
      <c r="Y687" s="42"/>
      <c r="Z687" s="42"/>
      <c r="AA687" s="42"/>
      <c r="AB687" s="42"/>
      <c r="AC687" s="42"/>
    </row>
    <row r="688" spans="1:29" x14ac:dyDescent="0.25">
      <c r="A688" s="42"/>
      <c r="B688" s="35"/>
      <c r="C688" s="35"/>
      <c r="D688" s="41"/>
      <c r="E688" s="41"/>
      <c r="F688" s="40"/>
      <c r="G688" s="35"/>
      <c r="H688" s="41"/>
      <c r="I688" s="42"/>
      <c r="J688" s="42"/>
      <c r="K688" s="42"/>
      <c r="L688" s="42"/>
      <c r="M688" s="42"/>
      <c r="N688" s="42"/>
      <c r="O688" s="42"/>
      <c r="P688" s="42"/>
      <c r="Q688" s="42"/>
      <c r="R688" s="42"/>
      <c r="S688" s="42"/>
      <c r="T688" s="42"/>
      <c r="U688" s="42"/>
      <c r="V688" s="42"/>
      <c r="W688" s="42"/>
      <c r="X688" s="42"/>
      <c r="Y688" s="42"/>
      <c r="Z688" s="42"/>
      <c r="AA688" s="42"/>
      <c r="AB688" s="42"/>
      <c r="AC688" s="42"/>
    </row>
    <row r="689" spans="1:29" x14ac:dyDescent="0.25">
      <c r="A689" s="42"/>
      <c r="B689" s="35"/>
      <c r="C689" s="35"/>
      <c r="D689" s="41"/>
      <c r="E689" s="41"/>
      <c r="F689" s="40"/>
      <c r="G689" s="35"/>
      <c r="H689" s="41"/>
      <c r="I689" s="42"/>
      <c r="J689" s="42"/>
      <c r="K689" s="42"/>
      <c r="L689" s="42"/>
      <c r="M689" s="42"/>
      <c r="N689" s="42"/>
      <c r="O689" s="42"/>
      <c r="P689" s="42"/>
      <c r="Q689" s="42"/>
      <c r="R689" s="42"/>
      <c r="S689" s="42"/>
      <c r="T689" s="42"/>
      <c r="U689" s="42"/>
      <c r="V689" s="42"/>
      <c r="W689" s="42"/>
      <c r="X689" s="42"/>
      <c r="Y689" s="42"/>
      <c r="Z689" s="42"/>
      <c r="AA689" s="42"/>
      <c r="AB689" s="42"/>
      <c r="AC689" s="42"/>
    </row>
    <row r="690" spans="1:29" x14ac:dyDescent="0.25">
      <c r="A690" s="42"/>
      <c r="B690" s="35"/>
      <c r="C690" s="35"/>
      <c r="D690" s="41"/>
      <c r="E690" s="41"/>
      <c r="F690" s="40"/>
      <c r="G690" s="35"/>
      <c r="H690" s="41"/>
      <c r="I690" s="42"/>
      <c r="J690" s="42"/>
      <c r="K690" s="42"/>
      <c r="L690" s="42"/>
      <c r="M690" s="42"/>
      <c r="N690" s="42"/>
      <c r="O690" s="42"/>
      <c r="P690" s="42"/>
      <c r="Q690" s="42"/>
      <c r="R690" s="42"/>
      <c r="S690" s="42"/>
      <c r="T690" s="42"/>
      <c r="U690" s="42"/>
      <c r="V690" s="42"/>
      <c r="W690" s="42"/>
      <c r="X690" s="42"/>
      <c r="Y690" s="42"/>
      <c r="Z690" s="42"/>
      <c r="AA690" s="42"/>
      <c r="AB690" s="42"/>
      <c r="AC690" s="42"/>
    </row>
    <row r="691" spans="1:29" x14ac:dyDescent="0.25">
      <c r="A691" s="42"/>
      <c r="B691" s="35"/>
      <c r="C691" s="35"/>
      <c r="D691" s="41"/>
      <c r="E691" s="41"/>
      <c r="F691" s="40"/>
      <c r="G691" s="35"/>
      <c r="H691" s="41"/>
      <c r="I691" s="42"/>
      <c r="J691" s="42"/>
      <c r="K691" s="42"/>
      <c r="L691" s="42"/>
      <c r="M691" s="42"/>
      <c r="N691" s="42"/>
      <c r="O691" s="42"/>
      <c r="P691" s="42"/>
      <c r="Q691" s="42"/>
      <c r="R691" s="42"/>
      <c r="S691" s="42"/>
      <c r="T691" s="42"/>
      <c r="U691" s="42"/>
      <c r="V691" s="42"/>
      <c r="W691" s="42"/>
      <c r="X691" s="42"/>
      <c r="Y691" s="42"/>
      <c r="Z691" s="42"/>
      <c r="AA691" s="42"/>
      <c r="AB691" s="42"/>
      <c r="AC691" s="42"/>
    </row>
    <row r="692" spans="1:29" x14ac:dyDescent="0.25">
      <c r="A692" s="42"/>
      <c r="B692" s="35"/>
      <c r="C692" s="35"/>
      <c r="D692" s="41"/>
      <c r="E692" s="41"/>
      <c r="F692" s="40"/>
      <c r="G692" s="35"/>
      <c r="H692" s="41"/>
      <c r="I692" s="42"/>
      <c r="J692" s="42"/>
      <c r="K692" s="42"/>
      <c r="L692" s="42"/>
      <c r="M692" s="42"/>
      <c r="N692" s="42"/>
      <c r="O692" s="42"/>
      <c r="P692" s="42"/>
      <c r="Q692" s="42"/>
      <c r="R692" s="42"/>
      <c r="S692" s="42"/>
      <c r="T692" s="42"/>
      <c r="U692" s="42"/>
      <c r="V692" s="42"/>
      <c r="W692" s="42"/>
      <c r="X692" s="42"/>
      <c r="Y692" s="42"/>
      <c r="Z692" s="42"/>
      <c r="AA692" s="42"/>
      <c r="AB692" s="42"/>
      <c r="AC692" s="42"/>
    </row>
    <row r="693" spans="1:29" x14ac:dyDescent="0.25">
      <c r="A693" s="42"/>
      <c r="B693" s="35"/>
      <c r="C693" s="35"/>
      <c r="D693" s="41"/>
      <c r="E693" s="41"/>
      <c r="F693" s="40"/>
      <c r="G693" s="35"/>
      <c r="H693" s="41"/>
      <c r="I693" s="42"/>
      <c r="J693" s="42"/>
      <c r="K693" s="42"/>
      <c r="L693" s="42"/>
      <c r="M693" s="42"/>
      <c r="N693" s="42"/>
      <c r="O693" s="42"/>
      <c r="P693" s="42"/>
      <c r="Q693" s="42"/>
      <c r="R693" s="42"/>
      <c r="S693" s="42"/>
      <c r="T693" s="42"/>
      <c r="U693" s="42"/>
      <c r="V693" s="42"/>
      <c r="W693" s="42"/>
      <c r="X693" s="42"/>
      <c r="Y693" s="42"/>
      <c r="Z693" s="42"/>
      <c r="AA693" s="42"/>
      <c r="AB693" s="42"/>
      <c r="AC693" s="42"/>
    </row>
    <row r="694" spans="1:29" x14ac:dyDescent="0.25">
      <c r="A694" s="42"/>
      <c r="B694" s="35"/>
      <c r="C694" s="35"/>
      <c r="D694" s="41"/>
      <c r="E694" s="41"/>
      <c r="F694" s="40"/>
      <c r="G694" s="35"/>
      <c r="H694" s="41"/>
      <c r="I694" s="42"/>
      <c r="J694" s="42"/>
      <c r="K694" s="42"/>
      <c r="L694" s="42"/>
      <c r="M694" s="42"/>
      <c r="N694" s="42"/>
      <c r="O694" s="42"/>
      <c r="P694" s="42"/>
      <c r="Q694" s="42"/>
      <c r="R694" s="42"/>
      <c r="S694" s="42"/>
      <c r="T694" s="42"/>
      <c r="U694" s="42"/>
      <c r="V694" s="42"/>
      <c r="W694" s="42"/>
      <c r="X694" s="42"/>
      <c r="Y694" s="42"/>
      <c r="Z694" s="42"/>
      <c r="AA694" s="42"/>
      <c r="AB694" s="42"/>
      <c r="AC694" s="42"/>
    </row>
    <row r="695" spans="1:29" x14ac:dyDescent="0.25">
      <c r="A695" s="42"/>
      <c r="B695" s="35"/>
      <c r="C695" s="35"/>
      <c r="D695" s="41"/>
      <c r="E695" s="41"/>
      <c r="F695" s="40"/>
      <c r="G695" s="35"/>
      <c r="H695" s="41"/>
      <c r="I695" s="42"/>
      <c r="J695" s="42"/>
      <c r="K695" s="42"/>
      <c r="L695" s="42"/>
      <c r="M695" s="42"/>
      <c r="N695" s="42"/>
      <c r="O695" s="42"/>
      <c r="P695" s="42"/>
      <c r="Q695" s="42"/>
      <c r="R695" s="42"/>
      <c r="S695" s="42"/>
      <c r="T695" s="42"/>
      <c r="U695" s="42"/>
      <c r="V695" s="42"/>
      <c r="W695" s="42"/>
      <c r="X695" s="42"/>
      <c r="Y695" s="42"/>
      <c r="Z695" s="42"/>
      <c r="AA695" s="42"/>
      <c r="AB695" s="42"/>
      <c r="AC695" s="42"/>
    </row>
    <row r="696" spans="1:29" x14ac:dyDescent="0.25">
      <c r="A696" s="42"/>
      <c r="B696" s="35"/>
      <c r="C696" s="35"/>
      <c r="D696" s="41"/>
      <c r="E696" s="41"/>
      <c r="F696" s="40"/>
      <c r="G696" s="35"/>
      <c r="H696" s="41"/>
      <c r="I696" s="42"/>
      <c r="J696" s="42"/>
      <c r="K696" s="42"/>
      <c r="L696" s="42"/>
      <c r="M696" s="42"/>
      <c r="N696" s="42"/>
      <c r="O696" s="42"/>
      <c r="P696" s="42"/>
      <c r="Q696" s="42"/>
      <c r="R696" s="42"/>
      <c r="S696" s="42"/>
      <c r="T696" s="42"/>
      <c r="U696" s="42"/>
      <c r="V696" s="42"/>
      <c r="W696" s="42"/>
      <c r="X696" s="42"/>
      <c r="Y696" s="42"/>
      <c r="Z696" s="42"/>
      <c r="AA696" s="42"/>
      <c r="AB696" s="42"/>
      <c r="AC696" s="42"/>
    </row>
    <row r="697" spans="1:29" x14ac:dyDescent="0.25">
      <c r="A697" s="42"/>
      <c r="B697" s="35"/>
      <c r="C697" s="35"/>
      <c r="D697" s="41"/>
      <c r="E697" s="41"/>
      <c r="F697" s="40"/>
      <c r="G697" s="35"/>
      <c r="H697" s="41"/>
      <c r="I697" s="42"/>
      <c r="J697" s="42"/>
      <c r="K697" s="42"/>
      <c r="L697" s="42"/>
      <c r="M697" s="42"/>
      <c r="N697" s="42"/>
      <c r="O697" s="42"/>
      <c r="P697" s="42"/>
      <c r="Q697" s="42"/>
      <c r="R697" s="42"/>
      <c r="S697" s="42"/>
      <c r="T697" s="42"/>
      <c r="U697" s="42"/>
      <c r="V697" s="42"/>
      <c r="W697" s="42"/>
      <c r="X697" s="42"/>
      <c r="Y697" s="42"/>
      <c r="Z697" s="42"/>
      <c r="AA697" s="42"/>
      <c r="AB697" s="42"/>
      <c r="AC697" s="42"/>
    </row>
    <row r="698" spans="1:29" x14ac:dyDescent="0.25">
      <c r="A698" s="42"/>
      <c r="B698" s="35"/>
      <c r="C698" s="35"/>
      <c r="D698" s="41"/>
      <c r="E698" s="41"/>
      <c r="F698" s="40"/>
      <c r="G698" s="35"/>
      <c r="H698" s="41"/>
      <c r="I698" s="42"/>
      <c r="J698" s="42"/>
      <c r="K698" s="42"/>
      <c r="L698" s="42"/>
      <c r="M698" s="42"/>
      <c r="N698" s="42"/>
      <c r="O698" s="42"/>
      <c r="P698" s="42"/>
      <c r="Q698" s="42"/>
      <c r="R698" s="42"/>
      <c r="S698" s="42"/>
      <c r="T698" s="42"/>
      <c r="U698" s="42"/>
      <c r="V698" s="42"/>
      <c r="W698" s="42"/>
      <c r="X698" s="42"/>
      <c r="Y698" s="42"/>
      <c r="Z698" s="42"/>
      <c r="AA698" s="42"/>
      <c r="AB698" s="42"/>
      <c r="AC698" s="42"/>
    </row>
    <row r="699" spans="1:29" x14ac:dyDescent="0.25">
      <c r="A699" s="42"/>
      <c r="B699" s="35"/>
      <c r="C699" s="35"/>
      <c r="D699" s="41"/>
      <c r="E699" s="41"/>
      <c r="F699" s="40"/>
      <c r="G699" s="35"/>
      <c r="H699" s="41"/>
      <c r="I699" s="42"/>
      <c r="J699" s="42"/>
      <c r="K699" s="42"/>
      <c r="L699" s="42"/>
      <c r="M699" s="42"/>
      <c r="N699" s="42"/>
      <c r="O699" s="42"/>
      <c r="P699" s="42"/>
      <c r="Q699" s="42"/>
      <c r="R699" s="42"/>
      <c r="S699" s="42"/>
      <c r="T699" s="42"/>
      <c r="U699" s="42"/>
      <c r="V699" s="42"/>
      <c r="W699" s="42"/>
      <c r="X699" s="42"/>
      <c r="Y699" s="42"/>
      <c r="Z699" s="42"/>
      <c r="AA699" s="42"/>
      <c r="AB699" s="42"/>
      <c r="AC699" s="42"/>
    </row>
    <row r="700" spans="1:29" x14ac:dyDescent="0.25">
      <c r="A700" s="42"/>
      <c r="B700" s="35"/>
      <c r="C700" s="35"/>
      <c r="D700" s="41"/>
      <c r="E700" s="41"/>
      <c r="F700" s="40"/>
      <c r="G700" s="35"/>
      <c r="H700" s="41"/>
      <c r="I700" s="42"/>
      <c r="J700" s="42"/>
      <c r="K700" s="42"/>
      <c r="L700" s="42"/>
      <c r="M700" s="42"/>
      <c r="N700" s="42"/>
      <c r="O700" s="42"/>
      <c r="P700" s="42"/>
      <c r="Q700" s="42"/>
      <c r="R700" s="42"/>
      <c r="S700" s="42"/>
      <c r="T700" s="42"/>
      <c r="U700" s="42"/>
      <c r="V700" s="42"/>
      <c r="W700" s="42"/>
      <c r="X700" s="42"/>
      <c r="Y700" s="42"/>
      <c r="Z700" s="42"/>
      <c r="AA700" s="42"/>
      <c r="AB700" s="42"/>
      <c r="AC700" s="42"/>
    </row>
    <row r="701" spans="1:29" x14ac:dyDescent="0.25">
      <c r="A701" s="42"/>
      <c r="B701" s="35"/>
      <c r="C701" s="35"/>
      <c r="D701" s="41"/>
      <c r="E701" s="41"/>
      <c r="F701" s="40"/>
      <c r="G701" s="35"/>
      <c r="H701" s="41"/>
      <c r="I701" s="42"/>
      <c r="J701" s="42"/>
      <c r="K701" s="42"/>
      <c r="L701" s="42"/>
      <c r="M701" s="42"/>
      <c r="N701" s="42"/>
      <c r="O701" s="42"/>
      <c r="P701" s="42"/>
      <c r="Q701" s="42"/>
      <c r="R701" s="42"/>
      <c r="S701" s="42"/>
      <c r="T701" s="42"/>
      <c r="U701" s="42"/>
      <c r="V701" s="42"/>
      <c r="W701" s="42"/>
      <c r="X701" s="42"/>
      <c r="Y701" s="42"/>
      <c r="Z701" s="42"/>
      <c r="AA701" s="42"/>
      <c r="AB701" s="42"/>
      <c r="AC701" s="42"/>
    </row>
    <row r="702" spans="1:29" x14ac:dyDescent="0.25">
      <c r="A702" s="42"/>
      <c r="B702" s="35"/>
      <c r="C702" s="35"/>
      <c r="D702" s="41"/>
      <c r="E702" s="41"/>
      <c r="F702" s="40"/>
      <c r="G702" s="35"/>
      <c r="H702" s="41"/>
      <c r="I702" s="42"/>
      <c r="J702" s="42"/>
      <c r="K702" s="42"/>
      <c r="L702" s="42"/>
      <c r="M702" s="42"/>
      <c r="N702" s="42"/>
      <c r="O702" s="42"/>
      <c r="P702" s="42"/>
      <c r="Q702" s="42"/>
      <c r="R702" s="42"/>
      <c r="S702" s="42"/>
      <c r="T702" s="42"/>
      <c r="U702" s="42"/>
      <c r="V702" s="42"/>
      <c r="W702" s="42"/>
      <c r="X702" s="42"/>
      <c r="Y702" s="42"/>
      <c r="Z702" s="42"/>
      <c r="AA702" s="42"/>
      <c r="AB702" s="42"/>
      <c r="AC702" s="42"/>
    </row>
    <row r="703" spans="1:29" x14ac:dyDescent="0.25">
      <c r="A703" s="42"/>
      <c r="B703" s="35"/>
      <c r="C703" s="35"/>
      <c r="D703" s="41"/>
      <c r="E703" s="41"/>
      <c r="F703" s="40"/>
      <c r="G703" s="35"/>
      <c r="H703" s="41"/>
      <c r="I703" s="42"/>
      <c r="J703" s="42"/>
      <c r="K703" s="42"/>
      <c r="L703" s="42"/>
      <c r="M703" s="42"/>
      <c r="N703" s="42"/>
      <c r="O703" s="42"/>
      <c r="P703" s="42"/>
      <c r="Q703" s="42"/>
      <c r="R703" s="42"/>
      <c r="S703" s="42"/>
      <c r="T703" s="42"/>
      <c r="U703" s="42"/>
      <c r="V703" s="42"/>
      <c r="W703" s="42"/>
      <c r="X703" s="42"/>
      <c r="Y703" s="42"/>
      <c r="Z703" s="42"/>
      <c r="AA703" s="42"/>
      <c r="AB703" s="42"/>
      <c r="AC703" s="42"/>
    </row>
    <row r="704" spans="1:29" x14ac:dyDescent="0.25">
      <c r="A704" s="42"/>
      <c r="B704" s="35"/>
      <c r="C704" s="35"/>
      <c r="D704" s="41"/>
      <c r="E704" s="41"/>
      <c r="F704" s="40"/>
      <c r="G704" s="35"/>
      <c r="H704" s="41"/>
      <c r="I704" s="42"/>
      <c r="J704" s="42"/>
      <c r="K704" s="42"/>
      <c r="L704" s="42"/>
      <c r="M704" s="42"/>
      <c r="N704" s="42"/>
      <c r="O704" s="42"/>
      <c r="P704" s="42"/>
      <c r="Q704" s="42"/>
      <c r="R704" s="42"/>
      <c r="S704" s="42"/>
      <c r="T704" s="42"/>
      <c r="U704" s="42"/>
      <c r="V704" s="42"/>
      <c r="W704" s="42"/>
      <c r="X704" s="42"/>
      <c r="Y704" s="42"/>
      <c r="Z704" s="42"/>
      <c r="AA704" s="42"/>
      <c r="AB704" s="42"/>
      <c r="AC704" s="42"/>
    </row>
    <row r="705" spans="1:29" x14ac:dyDescent="0.25">
      <c r="A705" s="42"/>
      <c r="B705" s="35"/>
      <c r="C705" s="35"/>
      <c r="D705" s="41"/>
      <c r="E705" s="41"/>
      <c r="F705" s="40"/>
      <c r="G705" s="35"/>
      <c r="H705" s="41"/>
      <c r="I705" s="42"/>
      <c r="J705" s="42"/>
      <c r="K705" s="42"/>
      <c r="L705" s="42"/>
      <c r="M705" s="42"/>
      <c r="N705" s="42"/>
      <c r="O705" s="42"/>
      <c r="P705" s="42"/>
      <c r="Q705" s="42"/>
      <c r="R705" s="42"/>
      <c r="S705" s="42"/>
      <c r="T705" s="42"/>
      <c r="U705" s="42"/>
      <c r="V705" s="42"/>
      <c r="W705" s="42"/>
      <c r="X705" s="42"/>
      <c r="Y705" s="42"/>
      <c r="Z705" s="42"/>
      <c r="AA705" s="42"/>
      <c r="AB705" s="42"/>
      <c r="AC705" s="42"/>
    </row>
    <row r="706" spans="1:29" x14ac:dyDescent="0.25">
      <c r="A706" s="42"/>
      <c r="B706" s="35"/>
      <c r="C706" s="35"/>
      <c r="D706" s="41"/>
      <c r="E706" s="41"/>
      <c r="F706" s="40"/>
      <c r="G706" s="35"/>
      <c r="H706" s="41"/>
      <c r="I706" s="42"/>
      <c r="J706" s="42"/>
      <c r="K706" s="42"/>
      <c r="L706" s="42"/>
      <c r="M706" s="42"/>
      <c r="N706" s="42"/>
      <c r="O706" s="42"/>
      <c r="P706" s="42"/>
      <c r="Q706" s="42"/>
      <c r="R706" s="42"/>
      <c r="S706" s="42"/>
      <c r="T706" s="42"/>
      <c r="U706" s="42"/>
      <c r="V706" s="42"/>
      <c r="W706" s="42"/>
      <c r="X706" s="42"/>
      <c r="Y706" s="42"/>
      <c r="Z706" s="42"/>
      <c r="AA706" s="42"/>
      <c r="AB706" s="42"/>
      <c r="AC706" s="42"/>
    </row>
    <row r="707" spans="1:29" x14ac:dyDescent="0.25">
      <c r="A707" s="42"/>
      <c r="B707" s="35"/>
      <c r="C707" s="35"/>
      <c r="D707" s="41"/>
      <c r="E707" s="41"/>
      <c r="F707" s="40"/>
      <c r="G707" s="35"/>
      <c r="H707" s="41"/>
      <c r="I707" s="42"/>
      <c r="J707" s="42"/>
      <c r="K707" s="42"/>
      <c r="L707" s="42"/>
      <c r="M707" s="42"/>
      <c r="N707" s="42"/>
      <c r="O707" s="42"/>
      <c r="P707" s="42"/>
      <c r="Q707" s="42"/>
      <c r="R707" s="42"/>
      <c r="S707" s="42"/>
      <c r="T707" s="42"/>
      <c r="U707" s="42"/>
      <c r="V707" s="42"/>
      <c r="W707" s="42"/>
      <c r="X707" s="42"/>
      <c r="Y707" s="42"/>
      <c r="Z707" s="42"/>
      <c r="AA707" s="42"/>
      <c r="AB707" s="42"/>
      <c r="AC707" s="42"/>
    </row>
    <row r="708" spans="1:29" x14ac:dyDescent="0.25">
      <c r="A708" s="42"/>
      <c r="B708" s="35"/>
      <c r="C708" s="35"/>
      <c r="D708" s="41"/>
      <c r="E708" s="41"/>
      <c r="F708" s="40"/>
      <c r="G708" s="35"/>
      <c r="H708" s="41"/>
      <c r="I708" s="42"/>
      <c r="J708" s="42"/>
      <c r="K708" s="42"/>
      <c r="L708" s="42"/>
      <c r="M708" s="42"/>
      <c r="N708" s="42"/>
      <c r="O708" s="42"/>
      <c r="P708" s="42"/>
      <c r="Q708" s="42"/>
      <c r="R708" s="42"/>
      <c r="S708" s="42"/>
      <c r="T708" s="42"/>
      <c r="U708" s="42"/>
      <c r="V708" s="42"/>
      <c r="W708" s="42"/>
      <c r="X708" s="42"/>
      <c r="Y708" s="42"/>
      <c r="Z708" s="42"/>
      <c r="AA708" s="42"/>
      <c r="AB708" s="42"/>
      <c r="AC708" s="42"/>
    </row>
    <row r="709" spans="1:29" x14ac:dyDescent="0.25">
      <c r="A709" s="42"/>
      <c r="B709" s="35"/>
      <c r="C709" s="35"/>
      <c r="D709" s="41"/>
      <c r="E709" s="41"/>
      <c r="F709" s="40"/>
      <c r="G709" s="35"/>
      <c r="H709" s="41"/>
      <c r="I709" s="42"/>
      <c r="J709" s="42"/>
      <c r="K709" s="42"/>
      <c r="L709" s="42"/>
      <c r="M709" s="42"/>
      <c r="N709" s="42"/>
      <c r="O709" s="42"/>
      <c r="P709" s="42"/>
      <c r="Q709" s="42"/>
      <c r="R709" s="42"/>
      <c r="S709" s="42"/>
      <c r="T709" s="42"/>
      <c r="U709" s="42"/>
      <c r="V709" s="42"/>
      <c r="W709" s="42"/>
      <c r="X709" s="42"/>
      <c r="Y709" s="42"/>
      <c r="Z709" s="42"/>
      <c r="AA709" s="42"/>
      <c r="AB709" s="42"/>
      <c r="AC709" s="42"/>
    </row>
    <row r="710" spans="1:29" x14ac:dyDescent="0.25">
      <c r="A710" s="42"/>
      <c r="B710" s="35"/>
      <c r="C710" s="35"/>
      <c r="D710" s="41"/>
      <c r="E710" s="41"/>
      <c r="F710" s="40"/>
      <c r="G710" s="35"/>
      <c r="H710" s="41"/>
      <c r="I710" s="42"/>
      <c r="J710" s="42"/>
      <c r="K710" s="42"/>
      <c r="L710" s="42"/>
      <c r="M710" s="42"/>
      <c r="N710" s="42"/>
      <c r="O710" s="42"/>
      <c r="P710" s="42"/>
      <c r="Q710" s="42"/>
      <c r="R710" s="42"/>
      <c r="S710" s="42"/>
      <c r="T710" s="42"/>
      <c r="U710" s="42"/>
      <c r="V710" s="42"/>
      <c r="W710" s="42"/>
      <c r="X710" s="42"/>
      <c r="Y710" s="42"/>
      <c r="Z710" s="42"/>
      <c r="AA710" s="42"/>
      <c r="AB710" s="42"/>
      <c r="AC710" s="42"/>
    </row>
    <row r="711" spans="1:29" x14ac:dyDescent="0.25">
      <c r="A711" s="42"/>
      <c r="B711" s="35"/>
      <c r="C711" s="35"/>
      <c r="D711" s="41"/>
      <c r="E711" s="41"/>
      <c r="F711" s="40"/>
      <c r="G711" s="35"/>
      <c r="H711" s="41"/>
      <c r="I711" s="42"/>
      <c r="J711" s="42"/>
      <c r="K711" s="42"/>
      <c r="L711" s="42"/>
      <c r="M711" s="42"/>
      <c r="N711" s="42"/>
      <c r="O711" s="42"/>
      <c r="P711" s="42"/>
      <c r="Q711" s="42"/>
      <c r="R711" s="42"/>
      <c r="S711" s="42"/>
      <c r="T711" s="42"/>
      <c r="U711" s="42"/>
      <c r="V711" s="42"/>
      <c r="W711" s="42"/>
      <c r="X711" s="42"/>
      <c r="Y711" s="42"/>
      <c r="Z711" s="42"/>
      <c r="AA711" s="42"/>
      <c r="AB711" s="42"/>
      <c r="AC711" s="42"/>
    </row>
    <row r="712" spans="1:29" x14ac:dyDescent="0.25">
      <c r="A712" s="42"/>
      <c r="B712" s="35"/>
      <c r="C712" s="35"/>
      <c r="D712" s="41"/>
      <c r="E712" s="41"/>
      <c r="F712" s="40"/>
      <c r="G712" s="35"/>
      <c r="H712" s="41"/>
      <c r="I712" s="42"/>
      <c r="J712" s="42"/>
      <c r="K712" s="42"/>
      <c r="L712" s="42"/>
      <c r="M712" s="42"/>
      <c r="N712" s="42"/>
      <c r="O712" s="42"/>
      <c r="P712" s="42"/>
      <c r="Q712" s="42"/>
      <c r="R712" s="42"/>
      <c r="S712" s="42"/>
      <c r="T712" s="42"/>
      <c r="U712" s="42"/>
      <c r="V712" s="42"/>
      <c r="W712" s="42"/>
      <c r="X712" s="42"/>
      <c r="Y712" s="42"/>
      <c r="Z712" s="42"/>
      <c r="AA712" s="42"/>
      <c r="AB712" s="42"/>
      <c r="AC712" s="42"/>
    </row>
    <row r="713" spans="1:29" x14ac:dyDescent="0.25">
      <c r="A713" s="42"/>
      <c r="B713" s="35"/>
      <c r="C713" s="35"/>
      <c r="D713" s="41"/>
      <c r="E713" s="41"/>
      <c r="F713" s="40"/>
      <c r="G713" s="35"/>
      <c r="H713" s="41"/>
      <c r="I713" s="42"/>
      <c r="J713" s="42"/>
      <c r="K713" s="42"/>
      <c r="L713" s="42"/>
      <c r="M713" s="42"/>
      <c r="N713" s="42"/>
      <c r="O713" s="42"/>
      <c r="P713" s="42"/>
      <c r="Q713" s="42"/>
      <c r="R713" s="42"/>
      <c r="S713" s="42"/>
      <c r="T713" s="42"/>
      <c r="U713" s="42"/>
      <c r="V713" s="42"/>
      <c r="W713" s="42"/>
      <c r="X713" s="42"/>
      <c r="Y713" s="42"/>
      <c r="Z713" s="42"/>
      <c r="AA713" s="42"/>
      <c r="AB713" s="42"/>
      <c r="AC713" s="42"/>
    </row>
    <row r="714" spans="1:29" x14ac:dyDescent="0.25">
      <c r="A714" s="42"/>
      <c r="B714" s="35"/>
      <c r="C714" s="35"/>
      <c r="D714" s="41"/>
      <c r="E714" s="41"/>
      <c r="F714" s="40"/>
      <c r="G714" s="35"/>
      <c r="H714" s="41"/>
      <c r="I714" s="42"/>
      <c r="J714" s="42"/>
      <c r="K714" s="42"/>
      <c r="L714" s="42"/>
      <c r="M714" s="42"/>
      <c r="N714" s="42"/>
      <c r="O714" s="42"/>
      <c r="P714" s="42"/>
      <c r="Q714" s="42"/>
      <c r="R714" s="42"/>
      <c r="S714" s="42"/>
      <c r="T714" s="42"/>
      <c r="U714" s="42"/>
      <c r="V714" s="42"/>
      <c r="W714" s="42"/>
      <c r="X714" s="42"/>
      <c r="Y714" s="42"/>
      <c r="Z714" s="42"/>
      <c r="AA714" s="42"/>
      <c r="AB714" s="42"/>
      <c r="AC714" s="42"/>
    </row>
    <row r="715" spans="1:29" x14ac:dyDescent="0.25">
      <c r="A715" s="42"/>
      <c r="B715" s="35"/>
      <c r="C715" s="35"/>
      <c r="D715" s="41"/>
      <c r="E715" s="41"/>
      <c r="F715" s="40"/>
      <c r="G715" s="35"/>
      <c r="H715" s="41"/>
      <c r="I715" s="42"/>
      <c r="J715" s="42"/>
      <c r="K715" s="42"/>
      <c r="L715" s="42"/>
      <c r="M715" s="42"/>
      <c r="N715" s="42"/>
      <c r="O715" s="42"/>
      <c r="P715" s="42"/>
      <c r="Q715" s="42"/>
      <c r="R715" s="42"/>
      <c r="S715" s="42"/>
      <c r="T715" s="42"/>
      <c r="U715" s="42"/>
      <c r="V715" s="42"/>
      <c r="W715" s="42"/>
      <c r="X715" s="42"/>
      <c r="Y715" s="42"/>
      <c r="Z715" s="42"/>
      <c r="AA715" s="42"/>
      <c r="AB715" s="42"/>
      <c r="AC715" s="42"/>
    </row>
    <row r="716" spans="1:29" x14ac:dyDescent="0.25">
      <c r="A716" s="42"/>
      <c r="B716" s="35"/>
      <c r="C716" s="35"/>
      <c r="D716" s="41"/>
      <c r="E716" s="41"/>
      <c r="F716" s="40"/>
      <c r="G716" s="35"/>
      <c r="H716" s="41"/>
      <c r="I716" s="42"/>
      <c r="J716" s="42"/>
      <c r="K716" s="42"/>
      <c r="L716" s="42"/>
      <c r="M716" s="42"/>
      <c r="N716" s="42"/>
      <c r="O716" s="42"/>
      <c r="P716" s="42"/>
      <c r="Q716" s="42"/>
      <c r="R716" s="42"/>
      <c r="S716" s="42"/>
      <c r="T716" s="42"/>
      <c r="U716" s="42"/>
      <c r="V716" s="42"/>
      <c r="W716" s="42"/>
      <c r="X716" s="42"/>
      <c r="Y716" s="42"/>
      <c r="Z716" s="42"/>
      <c r="AA716" s="42"/>
      <c r="AB716" s="42"/>
      <c r="AC716" s="42"/>
    </row>
    <row r="717" spans="1:29" x14ac:dyDescent="0.25">
      <c r="A717" s="42"/>
      <c r="B717" s="35"/>
      <c r="C717" s="35"/>
      <c r="D717" s="41"/>
      <c r="E717" s="41"/>
      <c r="F717" s="40"/>
      <c r="G717" s="35"/>
      <c r="H717" s="41"/>
      <c r="I717" s="42"/>
      <c r="J717" s="42"/>
      <c r="K717" s="42"/>
      <c r="L717" s="42"/>
      <c r="M717" s="42"/>
      <c r="N717" s="42"/>
      <c r="O717" s="42"/>
      <c r="P717" s="42"/>
      <c r="Q717" s="42"/>
      <c r="R717" s="42"/>
      <c r="S717" s="42"/>
      <c r="T717" s="42"/>
      <c r="U717" s="42"/>
      <c r="V717" s="42"/>
      <c r="W717" s="42"/>
      <c r="X717" s="42"/>
      <c r="Y717" s="42"/>
      <c r="Z717" s="42"/>
      <c r="AA717" s="42"/>
      <c r="AB717" s="42"/>
      <c r="AC717" s="42"/>
    </row>
    <row r="718" spans="1:29" x14ac:dyDescent="0.25">
      <c r="A718" s="42"/>
      <c r="B718" s="35"/>
      <c r="C718" s="35"/>
      <c r="D718" s="41"/>
      <c r="E718" s="41"/>
      <c r="F718" s="40"/>
      <c r="G718" s="35"/>
      <c r="H718" s="41"/>
      <c r="I718" s="42"/>
      <c r="J718" s="42"/>
      <c r="K718" s="42"/>
      <c r="L718" s="42"/>
      <c r="M718" s="42"/>
      <c r="N718" s="42"/>
      <c r="O718" s="42"/>
      <c r="P718" s="42"/>
      <c r="Q718" s="42"/>
      <c r="R718" s="42"/>
      <c r="S718" s="42"/>
      <c r="T718" s="42"/>
      <c r="U718" s="42"/>
      <c r="V718" s="42"/>
      <c r="W718" s="42"/>
      <c r="X718" s="42"/>
      <c r="Y718" s="42"/>
      <c r="Z718" s="42"/>
      <c r="AA718" s="42"/>
      <c r="AB718" s="42"/>
      <c r="AC718" s="42"/>
    </row>
    <row r="719" spans="1:29" x14ac:dyDescent="0.25">
      <c r="A719" s="42"/>
      <c r="B719" s="35"/>
      <c r="C719" s="35"/>
      <c r="D719" s="41"/>
      <c r="E719" s="41"/>
      <c r="F719" s="40"/>
      <c r="G719" s="35"/>
      <c r="H719" s="41"/>
      <c r="I719" s="42"/>
      <c r="J719" s="42"/>
      <c r="K719" s="42"/>
      <c r="L719" s="42"/>
      <c r="M719" s="42"/>
      <c r="N719" s="42"/>
      <c r="O719" s="42"/>
      <c r="P719" s="42"/>
      <c r="Q719" s="42"/>
      <c r="R719" s="42"/>
      <c r="S719" s="42"/>
      <c r="T719" s="42"/>
      <c r="U719" s="42"/>
      <c r="V719" s="42"/>
      <c r="W719" s="42"/>
      <c r="X719" s="42"/>
      <c r="Y719" s="42"/>
      <c r="Z719" s="42"/>
      <c r="AA719" s="42"/>
      <c r="AB719" s="42"/>
      <c r="AC719" s="42"/>
    </row>
    <row r="720" spans="1:29" x14ac:dyDescent="0.25">
      <c r="A720" s="42"/>
      <c r="B720" s="35"/>
      <c r="C720" s="35"/>
      <c r="D720" s="41"/>
      <c r="E720" s="41"/>
      <c r="F720" s="40"/>
      <c r="G720" s="35"/>
      <c r="H720" s="41"/>
      <c r="I720" s="42"/>
      <c r="J720" s="42"/>
      <c r="K720" s="42"/>
      <c r="L720" s="42"/>
      <c r="M720" s="42"/>
      <c r="N720" s="42"/>
      <c r="O720" s="42"/>
      <c r="P720" s="42"/>
      <c r="Q720" s="42"/>
      <c r="R720" s="42"/>
      <c r="S720" s="42"/>
      <c r="T720" s="42"/>
      <c r="U720" s="42"/>
      <c r="V720" s="42"/>
      <c r="W720" s="42"/>
      <c r="X720" s="42"/>
      <c r="Y720" s="42"/>
      <c r="Z720" s="42"/>
      <c r="AA720" s="42"/>
      <c r="AB720" s="42"/>
      <c r="AC720" s="42"/>
    </row>
    <row r="721" spans="1:29" x14ac:dyDescent="0.25">
      <c r="A721" s="42"/>
      <c r="B721" s="35"/>
      <c r="C721" s="35"/>
      <c r="D721" s="41"/>
      <c r="E721" s="41"/>
      <c r="F721" s="40"/>
      <c r="G721" s="35"/>
      <c r="H721" s="41"/>
      <c r="I721" s="42"/>
      <c r="J721" s="42"/>
      <c r="K721" s="42"/>
      <c r="L721" s="42"/>
      <c r="M721" s="42"/>
      <c r="N721" s="42"/>
      <c r="O721" s="42"/>
      <c r="P721" s="42"/>
      <c r="Q721" s="42"/>
      <c r="R721" s="42"/>
      <c r="S721" s="42"/>
      <c r="T721" s="42"/>
      <c r="U721" s="42"/>
      <c r="V721" s="42"/>
      <c r="W721" s="42"/>
      <c r="X721" s="42"/>
      <c r="Y721" s="42"/>
      <c r="Z721" s="42"/>
      <c r="AA721" s="42"/>
      <c r="AB721" s="42"/>
      <c r="AC721" s="42"/>
    </row>
    <row r="722" spans="1:29" x14ac:dyDescent="0.25">
      <c r="A722" s="42"/>
      <c r="B722" s="35"/>
      <c r="C722" s="35"/>
      <c r="D722" s="41"/>
      <c r="E722" s="41"/>
      <c r="F722" s="40"/>
      <c r="G722" s="35"/>
      <c r="H722" s="41"/>
      <c r="I722" s="42"/>
      <c r="J722" s="42"/>
      <c r="K722" s="42"/>
      <c r="L722" s="42"/>
      <c r="M722" s="42"/>
      <c r="N722" s="42"/>
      <c r="O722" s="42"/>
      <c r="P722" s="42"/>
      <c r="Q722" s="42"/>
      <c r="R722" s="42"/>
      <c r="S722" s="42"/>
      <c r="T722" s="42"/>
      <c r="U722" s="42"/>
      <c r="V722" s="42"/>
      <c r="W722" s="42"/>
      <c r="X722" s="42"/>
      <c r="Y722" s="42"/>
      <c r="Z722" s="42"/>
      <c r="AA722" s="42"/>
      <c r="AB722" s="42"/>
      <c r="AC722" s="42"/>
    </row>
    <row r="723" spans="1:29" x14ac:dyDescent="0.25">
      <c r="A723" s="42"/>
      <c r="B723" s="35"/>
      <c r="C723" s="35"/>
      <c r="D723" s="41"/>
      <c r="E723" s="41"/>
      <c r="F723" s="40"/>
      <c r="G723" s="35"/>
      <c r="H723" s="41"/>
      <c r="I723" s="42"/>
      <c r="J723" s="42"/>
      <c r="K723" s="42"/>
      <c r="L723" s="42"/>
      <c r="M723" s="42"/>
      <c r="N723" s="42"/>
      <c r="O723" s="42"/>
      <c r="P723" s="42"/>
      <c r="Q723" s="42"/>
      <c r="R723" s="42"/>
      <c r="S723" s="42"/>
      <c r="T723" s="42"/>
      <c r="U723" s="42"/>
      <c r="V723" s="42"/>
      <c r="W723" s="42"/>
      <c r="X723" s="42"/>
      <c r="Y723" s="42"/>
      <c r="Z723" s="42"/>
      <c r="AA723" s="42"/>
      <c r="AB723" s="42"/>
      <c r="AC723" s="42"/>
    </row>
    <row r="724" spans="1:29" x14ac:dyDescent="0.25">
      <c r="A724" s="42"/>
      <c r="B724" s="35"/>
      <c r="C724" s="35"/>
      <c r="D724" s="41"/>
      <c r="E724" s="41"/>
      <c r="F724" s="40"/>
      <c r="G724" s="35"/>
      <c r="H724" s="41"/>
      <c r="I724" s="42"/>
      <c r="J724" s="42"/>
      <c r="K724" s="42"/>
      <c r="L724" s="42"/>
      <c r="M724" s="42"/>
      <c r="N724" s="42"/>
      <c r="O724" s="42"/>
      <c r="P724" s="42"/>
      <c r="Q724" s="42"/>
      <c r="R724" s="42"/>
      <c r="S724" s="42"/>
      <c r="T724" s="42"/>
      <c r="U724" s="42"/>
      <c r="V724" s="42"/>
      <c r="W724" s="42"/>
      <c r="X724" s="42"/>
      <c r="Y724" s="42"/>
      <c r="Z724" s="42"/>
      <c r="AA724" s="42"/>
      <c r="AB724" s="42"/>
      <c r="AC724" s="42"/>
    </row>
    <row r="725" spans="1:29" x14ac:dyDescent="0.25">
      <c r="A725" s="42"/>
      <c r="B725" s="35"/>
      <c r="C725" s="35"/>
      <c r="D725" s="41"/>
      <c r="E725" s="41"/>
      <c r="F725" s="40"/>
      <c r="G725" s="35"/>
      <c r="H725" s="41"/>
      <c r="I725" s="42"/>
      <c r="J725" s="42"/>
      <c r="K725" s="42"/>
      <c r="L725" s="42"/>
      <c r="M725" s="42"/>
      <c r="N725" s="42"/>
      <c r="O725" s="42"/>
      <c r="P725" s="42"/>
      <c r="Q725" s="42"/>
      <c r="R725" s="42"/>
      <c r="S725" s="42"/>
      <c r="T725" s="42"/>
      <c r="U725" s="42"/>
      <c r="V725" s="42"/>
      <c r="W725" s="42"/>
      <c r="X725" s="42"/>
      <c r="Y725" s="42"/>
      <c r="Z725" s="42"/>
      <c r="AA725" s="42"/>
      <c r="AB725" s="42"/>
      <c r="AC725" s="42"/>
    </row>
    <row r="726" spans="1:29" x14ac:dyDescent="0.25">
      <c r="A726" s="42"/>
      <c r="B726" s="35"/>
      <c r="C726" s="35"/>
      <c r="D726" s="41"/>
      <c r="E726" s="41"/>
      <c r="F726" s="40"/>
      <c r="G726" s="35"/>
      <c r="H726" s="41"/>
      <c r="I726" s="42"/>
      <c r="J726" s="42"/>
      <c r="K726" s="42"/>
      <c r="L726" s="42"/>
      <c r="M726" s="42"/>
      <c r="N726" s="42"/>
      <c r="O726" s="42"/>
      <c r="P726" s="42"/>
      <c r="Q726" s="42"/>
      <c r="R726" s="42"/>
      <c r="S726" s="42"/>
      <c r="T726" s="42"/>
      <c r="U726" s="42"/>
      <c r="V726" s="42"/>
      <c r="W726" s="42"/>
      <c r="X726" s="42"/>
      <c r="Y726" s="42"/>
      <c r="Z726" s="42"/>
      <c r="AA726" s="42"/>
      <c r="AB726" s="42"/>
      <c r="AC726" s="42"/>
    </row>
    <row r="727" spans="1:29" x14ac:dyDescent="0.25">
      <c r="A727" s="42"/>
      <c r="B727" s="35"/>
      <c r="C727" s="35"/>
      <c r="D727" s="41"/>
      <c r="E727" s="41"/>
      <c r="F727" s="40"/>
      <c r="G727" s="35"/>
      <c r="H727" s="41"/>
      <c r="I727" s="42"/>
      <c r="J727" s="42"/>
      <c r="K727" s="42"/>
      <c r="L727" s="42"/>
      <c r="M727" s="42"/>
      <c r="N727" s="42"/>
      <c r="O727" s="42"/>
      <c r="P727" s="42"/>
      <c r="Q727" s="42"/>
      <c r="R727" s="42"/>
      <c r="S727" s="42"/>
      <c r="T727" s="42"/>
      <c r="U727" s="42"/>
      <c r="V727" s="42"/>
      <c r="W727" s="42"/>
      <c r="X727" s="42"/>
      <c r="Y727" s="42"/>
      <c r="Z727" s="42"/>
      <c r="AA727" s="42"/>
      <c r="AB727" s="42"/>
      <c r="AC727" s="42"/>
    </row>
    <row r="728" spans="1:29" x14ac:dyDescent="0.25">
      <c r="A728" s="42"/>
      <c r="B728" s="35"/>
      <c r="C728" s="35"/>
      <c r="D728" s="41"/>
      <c r="E728" s="41"/>
      <c r="F728" s="40"/>
      <c r="G728" s="35"/>
      <c r="H728" s="41"/>
      <c r="I728" s="42"/>
      <c r="J728" s="42"/>
      <c r="K728" s="42"/>
      <c r="L728" s="42"/>
      <c r="M728" s="42"/>
      <c r="N728" s="42"/>
      <c r="O728" s="42"/>
      <c r="P728" s="42"/>
      <c r="Q728" s="42"/>
      <c r="R728" s="42"/>
      <c r="S728" s="42"/>
      <c r="T728" s="42"/>
      <c r="U728" s="42"/>
      <c r="V728" s="42"/>
      <c r="W728" s="42"/>
      <c r="X728" s="42"/>
      <c r="Y728" s="42"/>
      <c r="Z728" s="42"/>
      <c r="AA728" s="42"/>
      <c r="AB728" s="42"/>
      <c r="AC728" s="42"/>
    </row>
    <row r="729" spans="1:29" x14ac:dyDescent="0.25">
      <c r="A729" s="42"/>
      <c r="B729" s="35"/>
      <c r="C729" s="35"/>
      <c r="D729" s="41"/>
      <c r="E729" s="41"/>
      <c r="F729" s="40"/>
      <c r="G729" s="35"/>
      <c r="H729" s="41"/>
      <c r="I729" s="42"/>
      <c r="J729" s="42"/>
      <c r="K729" s="42"/>
      <c r="L729" s="42"/>
      <c r="M729" s="42"/>
      <c r="N729" s="42"/>
      <c r="O729" s="42"/>
      <c r="P729" s="42"/>
      <c r="Q729" s="42"/>
      <c r="R729" s="42"/>
      <c r="S729" s="42"/>
      <c r="T729" s="42"/>
      <c r="U729" s="42"/>
      <c r="V729" s="42"/>
      <c r="W729" s="42"/>
      <c r="X729" s="42"/>
      <c r="Y729" s="42"/>
      <c r="Z729" s="42"/>
      <c r="AA729" s="42"/>
      <c r="AB729" s="42"/>
      <c r="AC729" s="42"/>
    </row>
    <row r="730" spans="1:29" x14ac:dyDescent="0.25">
      <c r="A730" s="42"/>
      <c r="B730" s="35"/>
      <c r="C730" s="35"/>
      <c r="D730" s="41"/>
      <c r="E730" s="41"/>
      <c r="F730" s="40"/>
      <c r="G730" s="35"/>
      <c r="H730" s="41"/>
      <c r="I730" s="42"/>
      <c r="J730" s="42"/>
      <c r="K730" s="42"/>
      <c r="L730" s="42"/>
      <c r="M730" s="42"/>
      <c r="N730" s="42"/>
      <c r="O730" s="42"/>
      <c r="P730" s="42"/>
      <c r="Q730" s="42"/>
      <c r="R730" s="42"/>
      <c r="S730" s="42"/>
      <c r="T730" s="42"/>
      <c r="U730" s="42"/>
      <c r="V730" s="42"/>
      <c r="W730" s="42"/>
      <c r="X730" s="42"/>
      <c r="Y730" s="42"/>
      <c r="Z730" s="42"/>
      <c r="AA730" s="42"/>
      <c r="AB730" s="42"/>
      <c r="AC730" s="42"/>
    </row>
    <row r="731" spans="1:29" x14ac:dyDescent="0.25">
      <c r="A731" s="42"/>
      <c r="B731" s="35"/>
      <c r="C731" s="35"/>
      <c r="D731" s="41"/>
      <c r="E731" s="41"/>
      <c r="F731" s="40"/>
      <c r="G731" s="35"/>
      <c r="H731" s="41"/>
      <c r="I731" s="42"/>
      <c r="J731" s="42"/>
      <c r="K731" s="42"/>
      <c r="L731" s="42"/>
      <c r="M731" s="42"/>
      <c r="N731" s="42"/>
      <c r="O731" s="42"/>
      <c r="P731" s="42"/>
      <c r="Q731" s="42"/>
      <c r="R731" s="42"/>
      <c r="S731" s="42"/>
      <c r="T731" s="42"/>
      <c r="U731" s="42"/>
      <c r="V731" s="42"/>
      <c r="W731" s="42"/>
      <c r="X731" s="42"/>
      <c r="Y731" s="42"/>
      <c r="Z731" s="42"/>
      <c r="AA731" s="42"/>
      <c r="AB731" s="42"/>
      <c r="AC731" s="42"/>
    </row>
    <row r="732" spans="1:29" x14ac:dyDescent="0.25">
      <c r="A732" s="42"/>
      <c r="B732" s="35"/>
      <c r="C732" s="35"/>
      <c r="D732" s="41"/>
      <c r="E732" s="41"/>
      <c r="F732" s="40"/>
      <c r="G732" s="35"/>
      <c r="H732" s="41"/>
      <c r="I732" s="42"/>
      <c r="J732" s="42"/>
      <c r="K732" s="42"/>
      <c r="L732" s="42"/>
      <c r="M732" s="42"/>
      <c r="N732" s="42"/>
      <c r="O732" s="42"/>
      <c r="P732" s="42"/>
      <c r="Q732" s="42"/>
      <c r="R732" s="42"/>
      <c r="S732" s="42"/>
      <c r="T732" s="42"/>
      <c r="U732" s="42"/>
      <c r="V732" s="42"/>
      <c r="W732" s="42"/>
      <c r="X732" s="42"/>
      <c r="Y732" s="42"/>
      <c r="Z732" s="42"/>
      <c r="AA732" s="42"/>
      <c r="AB732" s="42"/>
      <c r="AC732" s="42"/>
    </row>
    <row r="733" spans="1:29" x14ac:dyDescent="0.25">
      <c r="A733" s="42"/>
      <c r="B733" s="35"/>
      <c r="C733" s="35"/>
      <c r="D733" s="41"/>
      <c r="E733" s="41"/>
      <c r="F733" s="40"/>
      <c r="G733" s="35"/>
      <c r="H733" s="41"/>
      <c r="I733" s="42"/>
      <c r="J733" s="42"/>
      <c r="K733" s="42"/>
      <c r="L733" s="42"/>
      <c r="M733" s="42"/>
      <c r="N733" s="42"/>
      <c r="O733" s="42"/>
      <c r="P733" s="42"/>
      <c r="Q733" s="42"/>
      <c r="R733" s="42"/>
      <c r="S733" s="42"/>
      <c r="T733" s="42"/>
      <c r="U733" s="42"/>
      <c r="V733" s="42"/>
      <c r="W733" s="42"/>
      <c r="X733" s="42"/>
      <c r="Y733" s="42"/>
      <c r="Z733" s="42"/>
      <c r="AA733" s="42"/>
      <c r="AB733" s="42"/>
      <c r="AC733" s="42"/>
    </row>
    <row r="734" spans="1:29" x14ac:dyDescent="0.25">
      <c r="A734" s="42"/>
      <c r="B734" s="35"/>
      <c r="C734" s="35"/>
      <c r="D734" s="41"/>
      <c r="E734" s="41"/>
      <c r="F734" s="40"/>
      <c r="G734" s="35"/>
      <c r="H734" s="41"/>
      <c r="I734" s="42"/>
      <c r="J734" s="42"/>
      <c r="K734" s="42"/>
      <c r="L734" s="42"/>
      <c r="M734" s="42"/>
      <c r="N734" s="42"/>
      <c r="O734" s="42"/>
      <c r="P734" s="42"/>
      <c r="Q734" s="42"/>
      <c r="R734" s="42"/>
      <c r="S734" s="42"/>
      <c r="T734" s="42"/>
      <c r="U734" s="42"/>
      <c r="V734" s="42"/>
      <c r="W734" s="42"/>
      <c r="X734" s="42"/>
      <c r="Y734" s="42"/>
      <c r="Z734" s="42"/>
      <c r="AA734" s="42"/>
      <c r="AB734" s="42"/>
      <c r="AC734" s="42"/>
    </row>
    <row r="735" spans="1:29" x14ac:dyDescent="0.25">
      <c r="A735" s="42"/>
      <c r="B735" s="35"/>
      <c r="C735" s="35"/>
      <c r="D735" s="41"/>
      <c r="E735" s="41"/>
      <c r="F735" s="40"/>
      <c r="G735" s="35"/>
      <c r="H735" s="41"/>
      <c r="I735" s="42"/>
      <c r="J735" s="42"/>
      <c r="K735" s="42"/>
      <c r="L735" s="42"/>
      <c r="M735" s="42"/>
      <c r="N735" s="42"/>
      <c r="O735" s="42"/>
      <c r="P735" s="42"/>
      <c r="Q735" s="42"/>
      <c r="R735" s="42"/>
      <c r="S735" s="42"/>
      <c r="T735" s="42"/>
      <c r="U735" s="42"/>
      <c r="V735" s="42"/>
      <c r="W735" s="42"/>
      <c r="X735" s="42"/>
      <c r="Y735" s="42"/>
      <c r="Z735" s="42"/>
      <c r="AA735" s="42"/>
      <c r="AB735" s="42"/>
      <c r="AC735" s="42"/>
    </row>
    <row r="736" spans="1:29" x14ac:dyDescent="0.25">
      <c r="A736" s="42"/>
      <c r="B736" s="35"/>
      <c r="C736" s="35"/>
      <c r="D736" s="41"/>
      <c r="E736" s="41"/>
      <c r="F736" s="40"/>
      <c r="G736" s="35"/>
      <c r="H736" s="41"/>
      <c r="I736" s="42"/>
      <c r="J736" s="42"/>
      <c r="K736" s="42"/>
      <c r="L736" s="42"/>
      <c r="M736" s="42"/>
      <c r="N736" s="42"/>
      <c r="O736" s="42"/>
      <c r="P736" s="42"/>
      <c r="Q736" s="42"/>
      <c r="R736" s="42"/>
      <c r="S736" s="42"/>
      <c r="T736" s="42"/>
      <c r="U736" s="42"/>
      <c r="V736" s="42"/>
      <c r="W736" s="42"/>
      <c r="X736" s="42"/>
      <c r="Y736" s="42"/>
      <c r="Z736" s="42"/>
      <c r="AA736" s="42"/>
      <c r="AB736" s="42"/>
      <c r="AC736" s="42"/>
    </row>
    <row r="737" spans="1:29" x14ac:dyDescent="0.25">
      <c r="A737" s="42"/>
      <c r="B737" s="35"/>
      <c r="C737" s="35"/>
      <c r="D737" s="41"/>
      <c r="E737" s="41"/>
      <c r="F737" s="40"/>
      <c r="G737" s="35"/>
      <c r="H737" s="41"/>
      <c r="I737" s="42"/>
      <c r="J737" s="42"/>
      <c r="K737" s="42"/>
      <c r="L737" s="42"/>
      <c r="M737" s="42"/>
      <c r="N737" s="42"/>
      <c r="O737" s="42"/>
      <c r="P737" s="42"/>
      <c r="Q737" s="42"/>
      <c r="R737" s="42"/>
      <c r="S737" s="42"/>
      <c r="T737" s="42"/>
      <c r="U737" s="42"/>
      <c r="V737" s="42"/>
      <c r="W737" s="42"/>
      <c r="X737" s="42"/>
      <c r="Y737" s="42"/>
      <c r="Z737" s="42"/>
      <c r="AA737" s="42"/>
      <c r="AB737" s="42"/>
      <c r="AC737" s="42"/>
    </row>
    <row r="738" spans="1:29" x14ac:dyDescent="0.25">
      <c r="A738" s="42"/>
      <c r="B738" s="35"/>
      <c r="C738" s="35"/>
      <c r="D738" s="41"/>
      <c r="E738" s="41"/>
      <c r="F738" s="40"/>
      <c r="G738" s="35"/>
      <c r="H738" s="41"/>
      <c r="I738" s="42"/>
      <c r="J738" s="42"/>
      <c r="K738" s="42"/>
      <c r="L738" s="42"/>
      <c r="M738" s="42"/>
      <c r="N738" s="42"/>
      <c r="O738" s="42"/>
      <c r="P738" s="42"/>
      <c r="Q738" s="42"/>
      <c r="R738" s="42"/>
      <c r="S738" s="42"/>
      <c r="T738" s="42"/>
      <c r="U738" s="42"/>
      <c r="V738" s="42"/>
      <c r="W738" s="42"/>
      <c r="X738" s="42"/>
      <c r="Y738" s="42"/>
      <c r="Z738" s="42"/>
      <c r="AA738" s="42"/>
      <c r="AB738" s="42"/>
      <c r="AC738" s="42"/>
    </row>
    <row r="739" spans="1:29" x14ac:dyDescent="0.25">
      <c r="A739" s="42"/>
      <c r="B739" s="35"/>
      <c r="C739" s="35"/>
      <c r="D739" s="41"/>
      <c r="E739" s="41"/>
      <c r="F739" s="40"/>
      <c r="G739" s="35"/>
      <c r="H739" s="41"/>
      <c r="I739" s="42"/>
      <c r="J739" s="42"/>
      <c r="K739" s="42"/>
      <c r="L739" s="42"/>
      <c r="M739" s="42"/>
      <c r="N739" s="42"/>
      <c r="O739" s="42"/>
      <c r="P739" s="42"/>
      <c r="Q739" s="42"/>
      <c r="R739" s="42"/>
      <c r="S739" s="42"/>
      <c r="T739" s="42"/>
      <c r="U739" s="42"/>
      <c r="V739" s="42"/>
      <c r="W739" s="42"/>
      <c r="X739" s="42"/>
      <c r="Y739" s="42"/>
      <c r="Z739" s="42"/>
      <c r="AA739" s="42"/>
      <c r="AB739" s="42"/>
      <c r="AC739" s="42"/>
    </row>
    <row r="740" spans="1:29" x14ac:dyDescent="0.25">
      <c r="A740" s="42"/>
      <c r="B740" s="35"/>
      <c r="C740" s="35"/>
      <c r="D740" s="41"/>
      <c r="E740" s="41"/>
      <c r="F740" s="40"/>
      <c r="G740" s="35"/>
      <c r="H740" s="41"/>
      <c r="I740" s="42"/>
      <c r="J740" s="42"/>
      <c r="K740" s="42"/>
      <c r="L740" s="42"/>
      <c r="M740" s="42"/>
      <c r="N740" s="42"/>
      <c r="O740" s="42"/>
      <c r="P740" s="42"/>
      <c r="Q740" s="42"/>
      <c r="R740" s="42"/>
      <c r="S740" s="42"/>
      <c r="T740" s="42"/>
      <c r="U740" s="42"/>
      <c r="V740" s="42"/>
      <c r="W740" s="42"/>
      <c r="X740" s="42"/>
      <c r="Y740" s="42"/>
      <c r="Z740" s="42"/>
      <c r="AA740" s="42"/>
      <c r="AB740" s="42"/>
      <c r="AC740" s="42"/>
    </row>
    <row r="741" spans="1:29" x14ac:dyDescent="0.25">
      <c r="A741" s="42"/>
      <c r="B741" s="35"/>
      <c r="C741" s="35"/>
      <c r="D741" s="41"/>
      <c r="E741" s="41"/>
      <c r="F741" s="40"/>
      <c r="G741" s="35"/>
      <c r="H741" s="41"/>
      <c r="I741" s="42"/>
      <c r="J741" s="42"/>
      <c r="K741" s="42"/>
      <c r="L741" s="42"/>
      <c r="M741" s="42"/>
      <c r="N741" s="42"/>
      <c r="O741" s="42"/>
      <c r="P741" s="42"/>
      <c r="Q741" s="42"/>
      <c r="R741" s="42"/>
      <c r="S741" s="42"/>
      <c r="T741" s="42"/>
      <c r="U741" s="42"/>
      <c r="V741" s="42"/>
      <c r="W741" s="42"/>
      <c r="X741" s="42"/>
      <c r="Y741" s="42"/>
      <c r="Z741" s="42"/>
      <c r="AA741" s="42"/>
      <c r="AB741" s="42"/>
      <c r="AC741" s="42"/>
    </row>
    <row r="742" spans="1:29" x14ac:dyDescent="0.25">
      <c r="A742" s="42"/>
      <c r="B742" s="35"/>
      <c r="C742" s="35"/>
      <c r="D742" s="41"/>
      <c r="E742" s="41"/>
      <c r="F742" s="40"/>
      <c r="G742" s="35"/>
      <c r="H742" s="41"/>
      <c r="I742" s="42"/>
      <c r="J742" s="42"/>
      <c r="K742" s="42"/>
      <c r="L742" s="42"/>
      <c r="M742" s="42"/>
      <c r="N742" s="42"/>
      <c r="O742" s="42"/>
      <c r="P742" s="42"/>
      <c r="Q742" s="42"/>
      <c r="R742" s="42"/>
      <c r="S742" s="42"/>
      <c r="T742" s="42"/>
      <c r="U742" s="42"/>
      <c r="V742" s="42"/>
      <c r="W742" s="42"/>
      <c r="X742" s="42"/>
      <c r="Y742" s="42"/>
      <c r="Z742" s="42"/>
      <c r="AA742" s="42"/>
      <c r="AB742" s="42"/>
      <c r="AC742" s="42"/>
    </row>
    <row r="743" spans="1:29" x14ac:dyDescent="0.25">
      <c r="A743" s="42"/>
      <c r="B743" s="35"/>
      <c r="C743" s="35"/>
      <c r="D743" s="41"/>
      <c r="E743" s="41"/>
      <c r="F743" s="40"/>
      <c r="G743" s="35"/>
      <c r="H743" s="41"/>
      <c r="I743" s="42"/>
      <c r="J743" s="42"/>
      <c r="K743" s="42"/>
      <c r="L743" s="42"/>
      <c r="M743" s="42"/>
      <c r="N743" s="42"/>
      <c r="O743" s="42"/>
      <c r="P743" s="42"/>
      <c r="Q743" s="42"/>
      <c r="R743" s="42"/>
      <c r="S743" s="42"/>
      <c r="T743" s="42"/>
      <c r="U743" s="42"/>
      <c r="V743" s="42"/>
      <c r="W743" s="42"/>
      <c r="X743" s="42"/>
      <c r="Y743" s="42"/>
      <c r="Z743" s="42"/>
      <c r="AA743" s="42"/>
      <c r="AB743" s="42"/>
      <c r="AC743" s="42"/>
    </row>
    <row r="744" spans="1:29" x14ac:dyDescent="0.25">
      <c r="A744" s="42"/>
      <c r="B744" s="35"/>
      <c r="C744" s="35"/>
      <c r="D744" s="41"/>
      <c r="E744" s="41"/>
      <c r="F744" s="40"/>
      <c r="G744" s="35"/>
      <c r="H744" s="41"/>
      <c r="I744" s="42"/>
      <c r="J744" s="42"/>
      <c r="K744" s="42"/>
      <c r="L744" s="42"/>
      <c r="M744" s="42"/>
      <c r="N744" s="42"/>
      <c r="O744" s="42"/>
      <c r="P744" s="42"/>
      <c r="Q744" s="42"/>
      <c r="R744" s="42"/>
      <c r="S744" s="42"/>
      <c r="T744" s="42"/>
      <c r="U744" s="42"/>
      <c r="V744" s="42"/>
      <c r="W744" s="42"/>
      <c r="X744" s="42"/>
      <c r="Y744" s="42"/>
      <c r="Z744" s="42"/>
      <c r="AA744" s="42"/>
      <c r="AB744" s="42"/>
      <c r="AC744" s="42"/>
    </row>
    <row r="745" spans="1:29" x14ac:dyDescent="0.25">
      <c r="A745" s="42"/>
      <c r="B745" s="35"/>
      <c r="C745" s="35"/>
      <c r="D745" s="41"/>
      <c r="E745" s="41"/>
      <c r="F745" s="40"/>
      <c r="G745" s="35"/>
      <c r="H745" s="41"/>
      <c r="I745" s="42"/>
      <c r="J745" s="42"/>
      <c r="K745" s="42"/>
      <c r="L745" s="42"/>
      <c r="M745" s="42"/>
      <c r="N745" s="42"/>
      <c r="O745" s="42"/>
      <c r="P745" s="42"/>
      <c r="Q745" s="42"/>
      <c r="R745" s="42"/>
      <c r="S745" s="42"/>
      <c r="T745" s="42"/>
      <c r="U745" s="42"/>
      <c r="V745" s="42"/>
      <c r="W745" s="42"/>
      <c r="X745" s="42"/>
      <c r="Y745" s="42"/>
      <c r="Z745" s="42"/>
      <c r="AA745" s="42"/>
      <c r="AB745" s="42"/>
      <c r="AC745" s="42"/>
    </row>
    <row r="746" spans="1:29" x14ac:dyDescent="0.25">
      <c r="A746" s="42"/>
      <c r="B746" s="35"/>
      <c r="C746" s="35"/>
      <c r="D746" s="41"/>
      <c r="E746" s="41"/>
      <c r="F746" s="40"/>
      <c r="G746" s="35"/>
      <c r="H746" s="41"/>
      <c r="I746" s="42"/>
      <c r="J746" s="42"/>
      <c r="K746" s="42"/>
      <c r="L746" s="42"/>
      <c r="M746" s="42"/>
      <c r="N746" s="42"/>
      <c r="O746" s="42"/>
      <c r="P746" s="42"/>
      <c r="Q746" s="42"/>
      <c r="R746" s="42"/>
      <c r="S746" s="42"/>
      <c r="T746" s="42"/>
      <c r="U746" s="42"/>
      <c r="V746" s="42"/>
      <c r="W746" s="42"/>
      <c r="X746" s="42"/>
      <c r="Y746" s="42"/>
      <c r="Z746" s="42"/>
      <c r="AA746" s="42"/>
      <c r="AB746" s="42"/>
      <c r="AC746" s="42"/>
    </row>
    <row r="747" spans="1:29" x14ac:dyDescent="0.25">
      <c r="A747" s="42"/>
      <c r="B747" s="35"/>
      <c r="C747" s="35"/>
      <c r="D747" s="41"/>
      <c r="E747" s="41"/>
      <c r="F747" s="40"/>
      <c r="G747" s="35"/>
      <c r="H747" s="41"/>
      <c r="I747" s="42"/>
      <c r="J747" s="42"/>
      <c r="K747" s="42"/>
      <c r="L747" s="42"/>
      <c r="M747" s="42"/>
      <c r="N747" s="42"/>
      <c r="O747" s="42"/>
      <c r="P747" s="42"/>
      <c r="Q747" s="42"/>
      <c r="R747" s="42"/>
      <c r="S747" s="42"/>
      <c r="T747" s="42"/>
      <c r="U747" s="42"/>
      <c r="V747" s="42"/>
      <c r="W747" s="42"/>
      <c r="X747" s="42"/>
      <c r="Y747" s="42"/>
      <c r="Z747" s="42"/>
      <c r="AA747" s="42"/>
      <c r="AB747" s="42"/>
      <c r="AC747" s="42"/>
    </row>
    <row r="748" spans="1:29" x14ac:dyDescent="0.25">
      <c r="A748" s="42"/>
      <c r="B748" s="35"/>
      <c r="C748" s="35"/>
      <c r="D748" s="41"/>
      <c r="E748" s="41"/>
      <c r="F748" s="40"/>
      <c r="G748" s="35"/>
      <c r="H748" s="41"/>
      <c r="I748" s="42"/>
      <c r="J748" s="42"/>
      <c r="K748" s="42"/>
      <c r="L748" s="42"/>
      <c r="M748" s="42"/>
      <c r="N748" s="42"/>
      <c r="O748" s="42"/>
      <c r="P748" s="42"/>
      <c r="Q748" s="42"/>
      <c r="R748" s="42"/>
      <c r="S748" s="42"/>
      <c r="T748" s="42"/>
      <c r="U748" s="42"/>
      <c r="V748" s="42"/>
      <c r="W748" s="42"/>
      <c r="X748" s="42"/>
      <c r="Y748" s="42"/>
      <c r="Z748" s="42"/>
      <c r="AA748" s="42"/>
      <c r="AB748" s="42"/>
      <c r="AC748" s="42"/>
    </row>
    <row r="749" spans="1:29" x14ac:dyDescent="0.25">
      <c r="A749" s="42"/>
      <c r="B749" s="35"/>
      <c r="C749" s="35"/>
      <c r="D749" s="41"/>
      <c r="E749" s="41"/>
      <c r="F749" s="40"/>
      <c r="G749" s="35"/>
      <c r="H749" s="41"/>
      <c r="I749" s="42"/>
      <c r="J749" s="42"/>
      <c r="K749" s="42"/>
      <c r="L749" s="42"/>
      <c r="M749" s="42"/>
      <c r="N749" s="42"/>
      <c r="O749" s="42"/>
      <c r="P749" s="42"/>
      <c r="Q749" s="42"/>
      <c r="R749" s="42"/>
      <c r="S749" s="42"/>
      <c r="T749" s="42"/>
      <c r="U749" s="42"/>
      <c r="V749" s="42"/>
      <c r="W749" s="42"/>
      <c r="X749" s="42"/>
      <c r="Y749" s="42"/>
      <c r="Z749" s="42"/>
      <c r="AA749" s="42"/>
      <c r="AB749" s="42"/>
      <c r="AC749" s="42"/>
    </row>
    <row r="750" spans="1:29" x14ac:dyDescent="0.25">
      <c r="A750" s="42"/>
      <c r="B750" s="35"/>
      <c r="C750" s="35"/>
      <c r="D750" s="41"/>
      <c r="E750" s="41"/>
      <c r="F750" s="40"/>
      <c r="G750" s="35"/>
      <c r="H750" s="41"/>
      <c r="I750" s="42"/>
      <c r="J750" s="42"/>
      <c r="K750" s="42"/>
      <c r="L750" s="42"/>
      <c r="M750" s="42"/>
      <c r="N750" s="42"/>
      <c r="O750" s="42"/>
      <c r="P750" s="42"/>
      <c r="Q750" s="42"/>
      <c r="R750" s="42"/>
      <c r="S750" s="42"/>
      <c r="T750" s="42"/>
      <c r="U750" s="42"/>
      <c r="V750" s="42"/>
      <c r="W750" s="42"/>
      <c r="X750" s="42"/>
      <c r="Y750" s="42"/>
      <c r="Z750" s="42"/>
      <c r="AA750" s="42"/>
      <c r="AB750" s="42"/>
      <c r="AC750" s="42"/>
    </row>
    <row r="751" spans="1:29" x14ac:dyDescent="0.25">
      <c r="A751" s="42"/>
      <c r="B751" s="35"/>
      <c r="C751" s="35"/>
      <c r="D751" s="41"/>
      <c r="E751" s="41"/>
      <c r="F751" s="40"/>
      <c r="G751" s="35"/>
      <c r="H751" s="41"/>
      <c r="I751" s="42"/>
      <c r="J751" s="42"/>
      <c r="K751" s="42"/>
      <c r="L751" s="42"/>
      <c r="M751" s="42"/>
      <c r="N751" s="42"/>
      <c r="O751" s="42"/>
      <c r="P751" s="42"/>
      <c r="Q751" s="42"/>
      <c r="R751" s="42"/>
      <c r="S751" s="42"/>
      <c r="T751" s="42"/>
      <c r="U751" s="42"/>
      <c r="V751" s="42"/>
      <c r="W751" s="42"/>
      <c r="X751" s="42"/>
      <c r="Y751" s="42"/>
      <c r="Z751" s="42"/>
      <c r="AA751" s="42"/>
      <c r="AB751" s="42"/>
      <c r="AC751" s="42"/>
    </row>
    <row r="752" spans="1:29" x14ac:dyDescent="0.25">
      <c r="A752" s="42"/>
      <c r="B752" s="35"/>
      <c r="C752" s="35"/>
      <c r="D752" s="41"/>
      <c r="E752" s="41"/>
      <c r="F752" s="40"/>
      <c r="G752" s="35"/>
      <c r="H752" s="41"/>
      <c r="I752" s="42"/>
      <c r="J752" s="42"/>
      <c r="K752" s="42"/>
      <c r="L752" s="42"/>
      <c r="M752" s="42"/>
      <c r="N752" s="42"/>
      <c r="O752" s="42"/>
      <c r="P752" s="42"/>
      <c r="Q752" s="42"/>
      <c r="R752" s="42"/>
      <c r="S752" s="42"/>
      <c r="T752" s="42"/>
      <c r="U752" s="42"/>
      <c r="V752" s="42"/>
      <c r="W752" s="42"/>
      <c r="X752" s="42"/>
      <c r="Y752" s="42"/>
      <c r="Z752" s="42"/>
      <c r="AA752" s="42"/>
      <c r="AB752" s="42"/>
      <c r="AC752" s="42"/>
    </row>
    <row r="753" spans="1:29" x14ac:dyDescent="0.25">
      <c r="A753" s="42"/>
      <c r="B753" s="35"/>
      <c r="C753" s="35"/>
      <c r="D753" s="41"/>
      <c r="E753" s="41"/>
      <c r="F753" s="40"/>
      <c r="G753" s="35"/>
      <c r="H753" s="41"/>
      <c r="I753" s="42"/>
      <c r="J753" s="42"/>
      <c r="K753" s="42"/>
      <c r="L753" s="42"/>
      <c r="M753" s="42"/>
      <c r="N753" s="42"/>
      <c r="O753" s="42"/>
      <c r="P753" s="42"/>
      <c r="Q753" s="42"/>
      <c r="R753" s="42"/>
      <c r="S753" s="42"/>
      <c r="T753" s="42"/>
      <c r="U753" s="42"/>
      <c r="V753" s="42"/>
      <c r="W753" s="42"/>
      <c r="X753" s="42"/>
      <c r="Y753" s="42"/>
      <c r="Z753" s="42"/>
      <c r="AA753" s="42"/>
      <c r="AB753" s="42"/>
      <c r="AC753" s="42"/>
    </row>
    <row r="754" spans="1:29" x14ac:dyDescent="0.25">
      <c r="A754" s="42"/>
      <c r="B754" s="35"/>
      <c r="C754" s="35"/>
      <c r="D754" s="41"/>
      <c r="E754" s="41"/>
      <c r="F754" s="40"/>
      <c r="G754" s="35"/>
      <c r="H754" s="41"/>
      <c r="I754" s="42"/>
      <c r="J754" s="42"/>
      <c r="K754" s="42"/>
      <c r="L754" s="42"/>
      <c r="M754" s="42"/>
      <c r="N754" s="42"/>
      <c r="O754" s="42"/>
      <c r="P754" s="42"/>
      <c r="Q754" s="42"/>
      <c r="R754" s="42"/>
      <c r="S754" s="42"/>
      <c r="T754" s="42"/>
      <c r="U754" s="42"/>
      <c r="V754" s="42"/>
      <c r="W754" s="42"/>
      <c r="X754" s="42"/>
      <c r="Y754" s="42"/>
      <c r="Z754" s="42"/>
      <c r="AA754" s="42"/>
      <c r="AB754" s="42"/>
      <c r="AC754" s="42"/>
    </row>
    <row r="755" spans="1:29" x14ac:dyDescent="0.25">
      <c r="A755" s="42"/>
      <c r="B755" s="35"/>
      <c r="C755" s="35"/>
      <c r="D755" s="41"/>
      <c r="E755" s="41"/>
      <c r="F755" s="40"/>
      <c r="G755" s="35"/>
      <c r="H755" s="41"/>
      <c r="I755" s="42"/>
      <c r="J755" s="42"/>
      <c r="K755" s="42"/>
      <c r="L755" s="42"/>
      <c r="M755" s="42"/>
      <c r="N755" s="42"/>
      <c r="O755" s="42"/>
      <c r="P755" s="42"/>
      <c r="Q755" s="42"/>
      <c r="R755" s="42"/>
      <c r="S755" s="42"/>
      <c r="T755" s="42"/>
      <c r="U755" s="42"/>
      <c r="V755" s="42"/>
      <c r="W755" s="42"/>
      <c r="X755" s="42"/>
      <c r="Y755" s="42"/>
      <c r="Z755" s="42"/>
      <c r="AA755" s="42"/>
      <c r="AB755" s="42"/>
      <c r="AC755" s="42"/>
    </row>
    <row r="756" spans="1:29" x14ac:dyDescent="0.25">
      <c r="A756" s="42"/>
      <c r="B756" s="35"/>
      <c r="C756" s="35"/>
      <c r="D756" s="41"/>
      <c r="E756" s="41"/>
      <c r="F756" s="40"/>
      <c r="G756" s="35"/>
      <c r="H756" s="41"/>
      <c r="I756" s="42"/>
      <c r="J756" s="42"/>
      <c r="K756" s="42"/>
      <c r="L756" s="42"/>
      <c r="M756" s="42"/>
      <c r="N756" s="42"/>
      <c r="O756" s="42"/>
      <c r="P756" s="42"/>
      <c r="Q756" s="42"/>
      <c r="R756" s="42"/>
      <c r="S756" s="42"/>
      <c r="T756" s="42"/>
      <c r="U756" s="42"/>
      <c r="V756" s="42"/>
      <c r="W756" s="42"/>
      <c r="X756" s="42"/>
      <c r="Y756" s="42"/>
      <c r="Z756" s="42"/>
      <c r="AA756" s="42"/>
      <c r="AB756" s="42"/>
      <c r="AC756" s="42"/>
    </row>
    <row r="757" spans="1:29" x14ac:dyDescent="0.25">
      <c r="A757" s="42"/>
      <c r="B757" s="35"/>
      <c r="C757" s="35"/>
      <c r="D757" s="41"/>
      <c r="E757" s="41"/>
      <c r="F757" s="40"/>
      <c r="G757" s="35"/>
      <c r="H757" s="41"/>
      <c r="I757" s="42"/>
      <c r="J757" s="42"/>
      <c r="K757" s="42"/>
      <c r="L757" s="42"/>
      <c r="M757" s="42"/>
      <c r="N757" s="42"/>
      <c r="O757" s="42"/>
      <c r="P757" s="42"/>
      <c r="Q757" s="42"/>
      <c r="R757" s="42"/>
      <c r="S757" s="42"/>
      <c r="T757" s="42"/>
      <c r="U757" s="42"/>
      <c r="V757" s="42"/>
      <c r="W757" s="42"/>
      <c r="X757" s="42"/>
      <c r="Y757" s="42"/>
      <c r="Z757" s="42"/>
      <c r="AA757" s="42"/>
      <c r="AB757" s="42"/>
      <c r="AC757" s="42"/>
    </row>
    <row r="758" spans="1:29" x14ac:dyDescent="0.25">
      <c r="A758" s="42"/>
      <c r="B758" s="35"/>
      <c r="C758" s="35"/>
      <c r="D758" s="41"/>
      <c r="E758" s="41"/>
      <c r="F758" s="40"/>
      <c r="G758" s="35"/>
      <c r="H758" s="41"/>
      <c r="I758" s="42"/>
      <c r="J758" s="42"/>
      <c r="K758" s="42"/>
      <c r="L758" s="42"/>
      <c r="M758" s="42"/>
      <c r="N758" s="42"/>
      <c r="O758" s="42"/>
      <c r="P758" s="42"/>
      <c r="Q758" s="42"/>
      <c r="R758" s="42"/>
      <c r="S758" s="42"/>
      <c r="T758" s="42"/>
      <c r="U758" s="42"/>
      <c r="V758" s="42"/>
      <c r="W758" s="42"/>
      <c r="X758" s="42"/>
      <c r="Y758" s="42"/>
      <c r="Z758" s="42"/>
      <c r="AA758" s="42"/>
      <c r="AB758" s="42"/>
      <c r="AC758" s="42"/>
    </row>
    <row r="759" spans="1:29" x14ac:dyDescent="0.25">
      <c r="A759" s="42"/>
      <c r="B759" s="35"/>
      <c r="C759" s="35"/>
      <c r="D759" s="41"/>
      <c r="E759" s="41"/>
      <c r="F759" s="40"/>
      <c r="G759" s="35"/>
      <c r="H759" s="41"/>
      <c r="I759" s="42"/>
      <c r="J759" s="42"/>
      <c r="K759" s="42"/>
      <c r="L759" s="42"/>
      <c r="M759" s="42"/>
      <c r="N759" s="42"/>
      <c r="O759" s="42"/>
      <c r="P759" s="42"/>
      <c r="Q759" s="42"/>
      <c r="R759" s="42"/>
      <c r="S759" s="42"/>
      <c r="T759" s="42"/>
      <c r="U759" s="42"/>
      <c r="V759" s="42"/>
      <c r="W759" s="42"/>
      <c r="X759" s="42"/>
      <c r="Y759" s="42"/>
      <c r="Z759" s="42"/>
      <c r="AA759" s="42"/>
      <c r="AB759" s="42"/>
      <c r="AC759" s="42"/>
    </row>
    <row r="760" spans="1:29" x14ac:dyDescent="0.25">
      <c r="A760" s="42"/>
      <c r="B760" s="35"/>
      <c r="C760" s="35"/>
      <c r="D760" s="41"/>
      <c r="E760" s="41"/>
      <c r="F760" s="40"/>
      <c r="G760" s="35"/>
      <c r="H760" s="41"/>
      <c r="I760" s="42"/>
      <c r="J760" s="42"/>
      <c r="K760" s="42"/>
      <c r="L760" s="42"/>
      <c r="M760" s="42"/>
      <c r="N760" s="42"/>
      <c r="O760" s="42"/>
      <c r="P760" s="42"/>
      <c r="Q760" s="42"/>
      <c r="R760" s="42"/>
      <c r="S760" s="42"/>
      <c r="T760" s="42"/>
      <c r="U760" s="42"/>
      <c r="V760" s="42"/>
      <c r="W760" s="42"/>
      <c r="X760" s="42"/>
      <c r="Y760" s="42"/>
      <c r="Z760" s="42"/>
      <c r="AA760" s="42"/>
      <c r="AB760" s="42"/>
      <c r="AC760" s="42"/>
    </row>
    <row r="761" spans="1:29" x14ac:dyDescent="0.25">
      <c r="A761" s="42"/>
      <c r="B761" s="35"/>
      <c r="C761" s="35"/>
      <c r="D761" s="41"/>
      <c r="E761" s="41"/>
      <c r="F761" s="40"/>
      <c r="G761" s="35"/>
      <c r="H761" s="41"/>
      <c r="I761" s="42"/>
      <c r="J761" s="42"/>
      <c r="K761" s="42"/>
      <c r="L761" s="42"/>
      <c r="M761" s="42"/>
      <c r="N761" s="42"/>
      <c r="O761" s="42"/>
      <c r="P761" s="42"/>
      <c r="Q761" s="42"/>
      <c r="R761" s="42"/>
      <c r="S761" s="42"/>
      <c r="T761" s="42"/>
      <c r="U761" s="42"/>
      <c r="V761" s="42"/>
      <c r="W761" s="42"/>
      <c r="X761" s="42"/>
      <c r="Y761" s="42"/>
      <c r="Z761" s="42"/>
      <c r="AA761" s="42"/>
      <c r="AB761" s="42"/>
      <c r="AC761" s="42"/>
    </row>
    <row r="762" spans="1:29" x14ac:dyDescent="0.25">
      <c r="A762" s="42"/>
      <c r="B762" s="35"/>
      <c r="C762" s="35"/>
      <c r="D762" s="41"/>
      <c r="E762" s="41"/>
      <c r="F762" s="40"/>
      <c r="G762" s="35"/>
      <c r="H762" s="41"/>
      <c r="I762" s="42"/>
      <c r="J762" s="42"/>
      <c r="K762" s="42"/>
      <c r="L762" s="42"/>
      <c r="M762" s="42"/>
      <c r="N762" s="42"/>
      <c r="O762" s="42"/>
      <c r="P762" s="42"/>
      <c r="Q762" s="42"/>
      <c r="R762" s="42"/>
      <c r="S762" s="42"/>
      <c r="T762" s="42"/>
      <c r="U762" s="42"/>
      <c r="V762" s="42"/>
      <c r="W762" s="42"/>
      <c r="X762" s="42"/>
      <c r="Y762" s="42"/>
      <c r="Z762" s="42"/>
      <c r="AA762" s="42"/>
      <c r="AB762" s="42"/>
      <c r="AC762" s="42"/>
    </row>
    <row r="763" spans="1:29" x14ac:dyDescent="0.25">
      <c r="A763" s="42"/>
      <c r="B763" s="35"/>
      <c r="C763" s="35"/>
      <c r="D763" s="41"/>
      <c r="E763" s="41"/>
      <c r="F763" s="40"/>
      <c r="G763" s="35"/>
      <c r="H763" s="41"/>
      <c r="I763" s="42"/>
      <c r="J763" s="42"/>
      <c r="K763" s="42"/>
      <c r="L763" s="42"/>
      <c r="M763" s="42"/>
      <c r="N763" s="42"/>
      <c r="O763" s="42"/>
      <c r="P763" s="42"/>
      <c r="Q763" s="42"/>
      <c r="R763" s="42"/>
      <c r="S763" s="42"/>
      <c r="T763" s="42"/>
      <c r="U763" s="42"/>
      <c r="V763" s="42"/>
      <c r="W763" s="42"/>
      <c r="X763" s="42"/>
      <c r="Y763" s="42"/>
      <c r="Z763" s="42"/>
      <c r="AA763" s="42"/>
      <c r="AB763" s="42"/>
      <c r="AC763" s="42"/>
    </row>
    <row r="764" spans="1:29" x14ac:dyDescent="0.25">
      <c r="A764" s="42"/>
      <c r="B764" s="35"/>
      <c r="C764" s="35"/>
      <c r="D764" s="41"/>
      <c r="E764" s="41"/>
      <c r="F764" s="40"/>
      <c r="G764" s="35"/>
      <c r="H764" s="41"/>
      <c r="I764" s="42"/>
      <c r="J764" s="42"/>
      <c r="K764" s="42"/>
      <c r="L764" s="42"/>
      <c r="M764" s="42"/>
      <c r="N764" s="42"/>
      <c r="O764" s="42"/>
      <c r="P764" s="42"/>
      <c r="Q764" s="42"/>
      <c r="R764" s="42"/>
      <c r="S764" s="42"/>
      <c r="T764" s="42"/>
      <c r="U764" s="42"/>
      <c r="V764" s="42"/>
      <c r="W764" s="42"/>
      <c r="X764" s="42"/>
      <c r="Y764" s="42"/>
      <c r="Z764" s="42"/>
      <c r="AA764" s="42"/>
      <c r="AB764" s="42"/>
      <c r="AC764" s="42"/>
    </row>
    <row r="765" spans="1:29" x14ac:dyDescent="0.25">
      <c r="A765" s="42"/>
      <c r="B765" s="35"/>
      <c r="C765" s="35"/>
      <c r="D765" s="41"/>
      <c r="E765" s="41"/>
      <c r="F765" s="40"/>
      <c r="G765" s="35"/>
      <c r="H765" s="41"/>
      <c r="I765" s="42"/>
      <c r="J765" s="42"/>
      <c r="K765" s="42"/>
      <c r="L765" s="42"/>
      <c r="M765" s="42"/>
      <c r="N765" s="42"/>
      <c r="O765" s="42"/>
      <c r="P765" s="42"/>
      <c r="Q765" s="42"/>
      <c r="R765" s="42"/>
      <c r="S765" s="42"/>
      <c r="T765" s="42"/>
      <c r="U765" s="42"/>
      <c r="V765" s="42"/>
      <c r="W765" s="42"/>
      <c r="X765" s="42"/>
      <c r="Y765" s="42"/>
      <c r="Z765" s="42"/>
      <c r="AA765" s="42"/>
      <c r="AB765" s="42"/>
      <c r="AC765" s="42"/>
    </row>
    <row r="766" spans="1:29" x14ac:dyDescent="0.25">
      <c r="A766" s="42"/>
      <c r="B766" s="35"/>
      <c r="C766" s="35"/>
      <c r="D766" s="41"/>
      <c r="E766" s="41"/>
      <c r="F766" s="40"/>
      <c r="G766" s="35"/>
      <c r="H766" s="41"/>
      <c r="I766" s="42"/>
      <c r="J766" s="42"/>
      <c r="K766" s="42"/>
      <c r="L766" s="42"/>
      <c r="M766" s="42"/>
      <c r="N766" s="42"/>
      <c r="O766" s="42"/>
      <c r="P766" s="42"/>
      <c r="Q766" s="42"/>
      <c r="R766" s="42"/>
      <c r="S766" s="42"/>
      <c r="T766" s="42"/>
      <c r="U766" s="42"/>
      <c r="V766" s="42"/>
      <c r="W766" s="42"/>
      <c r="X766" s="42"/>
      <c r="Y766" s="42"/>
      <c r="Z766" s="42"/>
      <c r="AA766" s="42"/>
      <c r="AB766" s="42"/>
      <c r="AC766" s="42"/>
    </row>
    <row r="767" spans="1:29" x14ac:dyDescent="0.25">
      <c r="A767" s="42"/>
      <c r="B767" s="35"/>
      <c r="C767" s="35"/>
      <c r="D767" s="41"/>
      <c r="E767" s="41"/>
      <c r="F767" s="40"/>
      <c r="G767" s="35"/>
      <c r="H767" s="41"/>
      <c r="I767" s="42"/>
      <c r="J767" s="42"/>
      <c r="K767" s="42"/>
      <c r="L767" s="42"/>
      <c r="M767" s="42"/>
      <c r="N767" s="42"/>
      <c r="O767" s="42"/>
      <c r="P767" s="42"/>
      <c r="Q767" s="42"/>
      <c r="R767" s="42"/>
      <c r="S767" s="42"/>
      <c r="T767" s="42"/>
      <c r="U767" s="42"/>
      <c r="V767" s="42"/>
      <c r="W767" s="42"/>
      <c r="X767" s="42"/>
      <c r="Y767" s="42"/>
      <c r="Z767" s="42"/>
      <c r="AA767" s="42"/>
      <c r="AB767" s="42"/>
      <c r="AC767" s="42"/>
    </row>
    <row r="768" spans="1:29" x14ac:dyDescent="0.25">
      <c r="A768" s="42"/>
      <c r="B768" s="35"/>
      <c r="C768" s="35"/>
      <c r="D768" s="41"/>
      <c r="E768" s="41"/>
      <c r="F768" s="40"/>
      <c r="G768" s="35"/>
      <c r="H768" s="41"/>
      <c r="I768" s="42"/>
      <c r="J768" s="42"/>
      <c r="K768" s="42"/>
      <c r="L768" s="42"/>
      <c r="M768" s="42"/>
      <c r="N768" s="42"/>
      <c r="O768" s="42"/>
      <c r="P768" s="42"/>
      <c r="Q768" s="42"/>
      <c r="R768" s="42"/>
      <c r="S768" s="42"/>
      <c r="T768" s="42"/>
      <c r="U768" s="42"/>
      <c r="V768" s="42"/>
      <c r="W768" s="42"/>
      <c r="X768" s="42"/>
      <c r="Y768" s="42"/>
      <c r="Z768" s="42"/>
      <c r="AA768" s="42"/>
      <c r="AB768" s="42"/>
      <c r="AC768" s="42"/>
    </row>
    <row r="769" spans="1:29" x14ac:dyDescent="0.25">
      <c r="A769" s="42"/>
      <c r="B769" s="35"/>
      <c r="C769" s="35"/>
      <c r="D769" s="41"/>
      <c r="E769" s="41"/>
      <c r="F769" s="40"/>
      <c r="G769" s="35"/>
      <c r="H769" s="41"/>
      <c r="I769" s="42"/>
      <c r="J769" s="42"/>
      <c r="K769" s="42"/>
      <c r="L769" s="42"/>
      <c r="M769" s="42"/>
      <c r="N769" s="42"/>
      <c r="O769" s="42"/>
      <c r="P769" s="42"/>
      <c r="Q769" s="42"/>
      <c r="R769" s="42"/>
      <c r="S769" s="42"/>
      <c r="T769" s="42"/>
      <c r="U769" s="42"/>
      <c r="V769" s="42"/>
      <c r="W769" s="42"/>
      <c r="X769" s="42"/>
      <c r="Y769" s="42"/>
      <c r="Z769" s="42"/>
      <c r="AA769" s="42"/>
      <c r="AB769" s="42"/>
      <c r="AC769" s="42"/>
    </row>
    <row r="770" spans="1:29" x14ac:dyDescent="0.25">
      <c r="A770" s="42"/>
      <c r="B770" s="35"/>
      <c r="C770" s="35"/>
      <c r="D770" s="41"/>
      <c r="E770" s="41"/>
      <c r="F770" s="40"/>
      <c r="G770" s="35"/>
      <c r="H770" s="41"/>
      <c r="I770" s="42"/>
      <c r="J770" s="42"/>
      <c r="K770" s="42"/>
      <c r="L770" s="42"/>
      <c r="M770" s="42"/>
      <c r="N770" s="42"/>
      <c r="O770" s="42"/>
      <c r="P770" s="42"/>
      <c r="Q770" s="42"/>
      <c r="R770" s="42"/>
      <c r="S770" s="42"/>
      <c r="T770" s="42"/>
      <c r="U770" s="42"/>
      <c r="V770" s="42"/>
      <c r="W770" s="42"/>
      <c r="X770" s="42"/>
      <c r="Y770" s="42"/>
      <c r="Z770" s="42"/>
      <c r="AA770" s="42"/>
      <c r="AB770" s="42"/>
      <c r="AC770" s="42"/>
    </row>
    <row r="771" spans="1:29" x14ac:dyDescent="0.25">
      <c r="A771" s="42"/>
      <c r="B771" s="35"/>
      <c r="C771" s="35"/>
      <c r="D771" s="41"/>
      <c r="E771" s="41"/>
      <c r="F771" s="40"/>
      <c r="G771" s="35"/>
      <c r="H771" s="41"/>
      <c r="I771" s="42"/>
      <c r="J771" s="42"/>
      <c r="K771" s="42"/>
      <c r="L771" s="42"/>
      <c r="M771" s="42"/>
      <c r="N771" s="42"/>
      <c r="O771" s="42"/>
      <c r="P771" s="42"/>
      <c r="Q771" s="42"/>
      <c r="R771" s="42"/>
      <c r="S771" s="42"/>
      <c r="T771" s="42"/>
      <c r="U771" s="42"/>
      <c r="V771" s="42"/>
      <c r="W771" s="42"/>
      <c r="X771" s="42"/>
      <c r="Y771" s="42"/>
      <c r="Z771" s="42"/>
      <c r="AA771" s="42"/>
      <c r="AB771" s="42"/>
      <c r="AC771" s="42"/>
    </row>
    <row r="772" spans="1:29" x14ac:dyDescent="0.25">
      <c r="A772" s="42"/>
      <c r="B772" s="35"/>
      <c r="C772" s="35"/>
      <c r="D772" s="41"/>
      <c r="E772" s="41"/>
      <c r="F772" s="40"/>
      <c r="G772" s="35"/>
      <c r="H772" s="41"/>
      <c r="I772" s="42"/>
      <c r="J772" s="42"/>
      <c r="K772" s="42"/>
      <c r="L772" s="42"/>
      <c r="M772" s="42"/>
      <c r="N772" s="42"/>
      <c r="O772" s="42"/>
      <c r="P772" s="42"/>
      <c r="Q772" s="42"/>
      <c r="R772" s="42"/>
      <c r="S772" s="42"/>
      <c r="T772" s="42"/>
      <c r="U772" s="42"/>
      <c r="V772" s="42"/>
      <c r="W772" s="42"/>
      <c r="X772" s="42"/>
      <c r="Y772" s="42"/>
      <c r="Z772" s="42"/>
      <c r="AA772" s="42"/>
      <c r="AB772" s="42"/>
      <c r="AC772" s="42"/>
    </row>
    <row r="773" spans="1:29" x14ac:dyDescent="0.25">
      <c r="A773" s="42"/>
      <c r="B773" s="35"/>
      <c r="C773" s="35"/>
      <c r="D773" s="41"/>
      <c r="E773" s="41"/>
      <c r="F773" s="40"/>
      <c r="G773" s="35"/>
      <c r="H773" s="41"/>
      <c r="I773" s="42"/>
      <c r="J773" s="42"/>
      <c r="K773" s="42"/>
      <c r="L773" s="42"/>
      <c r="M773" s="42"/>
      <c r="N773" s="42"/>
      <c r="O773" s="42"/>
      <c r="P773" s="42"/>
      <c r="Q773" s="42"/>
      <c r="R773" s="42"/>
      <c r="S773" s="42"/>
      <c r="T773" s="42"/>
      <c r="U773" s="42"/>
      <c r="V773" s="42"/>
      <c r="W773" s="42"/>
      <c r="X773" s="42"/>
      <c r="Y773" s="42"/>
      <c r="Z773" s="42"/>
      <c r="AA773" s="42"/>
      <c r="AB773" s="42"/>
      <c r="AC773" s="42"/>
    </row>
    <row r="774" spans="1:29" x14ac:dyDescent="0.25">
      <c r="A774" s="42"/>
      <c r="B774" s="35"/>
      <c r="C774" s="35"/>
      <c r="D774" s="41"/>
      <c r="E774" s="41"/>
      <c r="F774" s="40"/>
      <c r="G774" s="35"/>
      <c r="H774" s="41"/>
      <c r="I774" s="42"/>
      <c r="J774" s="42"/>
      <c r="K774" s="42"/>
      <c r="L774" s="42"/>
      <c r="M774" s="42"/>
      <c r="N774" s="42"/>
      <c r="O774" s="42"/>
      <c r="P774" s="42"/>
      <c r="Q774" s="42"/>
      <c r="R774" s="42"/>
      <c r="S774" s="42"/>
      <c r="T774" s="42"/>
      <c r="U774" s="42"/>
      <c r="V774" s="42"/>
      <c r="W774" s="42"/>
      <c r="X774" s="42"/>
      <c r="Y774" s="42"/>
      <c r="Z774" s="42"/>
      <c r="AA774" s="42"/>
      <c r="AB774" s="42"/>
      <c r="AC774" s="42"/>
    </row>
    <row r="775" spans="1:29" x14ac:dyDescent="0.25">
      <c r="A775" s="42"/>
      <c r="B775" s="35"/>
      <c r="C775" s="35"/>
      <c r="D775" s="41"/>
      <c r="E775" s="41"/>
      <c r="F775" s="40"/>
      <c r="G775" s="35"/>
      <c r="H775" s="41"/>
      <c r="I775" s="42"/>
      <c r="J775" s="42"/>
      <c r="K775" s="42"/>
      <c r="L775" s="42"/>
      <c r="M775" s="42"/>
      <c r="N775" s="42"/>
      <c r="O775" s="42"/>
      <c r="P775" s="42"/>
      <c r="Q775" s="42"/>
      <c r="R775" s="42"/>
      <c r="S775" s="42"/>
      <c r="T775" s="42"/>
      <c r="U775" s="42"/>
      <c r="V775" s="42"/>
      <c r="W775" s="42"/>
      <c r="X775" s="42"/>
      <c r="Y775" s="42"/>
      <c r="Z775" s="42"/>
      <c r="AA775" s="42"/>
      <c r="AB775" s="42"/>
      <c r="AC775" s="42"/>
    </row>
    <row r="776" spans="1:29" x14ac:dyDescent="0.25">
      <c r="A776" s="42"/>
      <c r="B776" s="35"/>
      <c r="C776" s="35"/>
      <c r="D776" s="41"/>
      <c r="E776" s="41"/>
      <c r="F776" s="40"/>
      <c r="G776" s="35"/>
      <c r="H776" s="41"/>
      <c r="I776" s="42"/>
      <c r="J776" s="42"/>
      <c r="K776" s="42"/>
      <c r="L776" s="42"/>
      <c r="M776" s="42"/>
      <c r="N776" s="42"/>
      <c r="O776" s="42"/>
      <c r="P776" s="42"/>
      <c r="Q776" s="42"/>
      <c r="R776" s="42"/>
      <c r="S776" s="42"/>
      <c r="T776" s="42"/>
      <c r="U776" s="42"/>
      <c r="V776" s="42"/>
      <c r="W776" s="42"/>
      <c r="X776" s="42"/>
      <c r="Y776" s="42"/>
      <c r="Z776" s="42"/>
      <c r="AA776" s="42"/>
      <c r="AB776" s="42"/>
      <c r="AC776" s="42"/>
    </row>
    <row r="777" spans="1:29" x14ac:dyDescent="0.25">
      <c r="A777" s="42"/>
      <c r="B777" s="35"/>
      <c r="C777" s="35"/>
      <c r="D777" s="41"/>
      <c r="E777" s="41"/>
      <c r="F777" s="40"/>
      <c r="G777" s="35"/>
      <c r="H777" s="41"/>
      <c r="I777" s="42"/>
      <c r="J777" s="42"/>
      <c r="K777" s="42"/>
      <c r="L777" s="42"/>
      <c r="M777" s="42"/>
      <c r="N777" s="42"/>
      <c r="O777" s="42"/>
      <c r="P777" s="42"/>
      <c r="Q777" s="42"/>
      <c r="R777" s="42"/>
      <c r="S777" s="42"/>
      <c r="T777" s="42"/>
      <c r="U777" s="42"/>
      <c r="V777" s="42"/>
      <c r="W777" s="42"/>
      <c r="X777" s="42"/>
      <c r="Y777" s="42"/>
      <c r="Z777" s="42"/>
      <c r="AA777" s="42"/>
      <c r="AB777" s="42"/>
      <c r="AC777" s="42"/>
    </row>
    <row r="778" spans="1:29" x14ac:dyDescent="0.25">
      <c r="A778" s="42"/>
      <c r="B778" s="35"/>
      <c r="C778" s="35"/>
      <c r="D778" s="41"/>
      <c r="E778" s="41"/>
      <c r="F778" s="40"/>
      <c r="G778" s="35"/>
      <c r="H778" s="41"/>
      <c r="I778" s="42"/>
      <c r="J778" s="42"/>
      <c r="K778" s="42"/>
      <c r="L778" s="42"/>
      <c r="M778" s="42"/>
      <c r="N778" s="42"/>
      <c r="O778" s="42"/>
      <c r="P778" s="42"/>
      <c r="Q778" s="42"/>
      <c r="R778" s="42"/>
      <c r="S778" s="42"/>
      <c r="T778" s="42"/>
      <c r="U778" s="42"/>
      <c r="V778" s="42"/>
      <c r="W778" s="42"/>
      <c r="X778" s="42"/>
      <c r="Y778" s="42"/>
      <c r="Z778" s="42"/>
      <c r="AA778" s="42"/>
      <c r="AB778" s="42"/>
      <c r="AC778" s="42"/>
    </row>
    <row r="779" spans="1:29" x14ac:dyDescent="0.25">
      <c r="A779" s="42"/>
      <c r="B779" s="35"/>
      <c r="C779" s="35"/>
      <c r="D779" s="41"/>
      <c r="E779" s="41"/>
      <c r="F779" s="40"/>
      <c r="G779" s="35"/>
      <c r="H779" s="41"/>
      <c r="I779" s="42"/>
      <c r="J779" s="42"/>
      <c r="K779" s="42"/>
      <c r="L779" s="42"/>
      <c r="M779" s="42"/>
      <c r="N779" s="42"/>
      <c r="O779" s="42"/>
      <c r="P779" s="42"/>
      <c r="Q779" s="42"/>
      <c r="R779" s="42"/>
      <c r="S779" s="42"/>
      <c r="T779" s="42"/>
      <c r="U779" s="42"/>
      <c r="V779" s="42"/>
      <c r="W779" s="42"/>
      <c r="X779" s="42"/>
      <c r="Y779" s="42"/>
      <c r="Z779" s="42"/>
      <c r="AA779" s="42"/>
      <c r="AB779" s="42"/>
      <c r="AC779" s="42"/>
    </row>
    <row r="780" spans="1:29" x14ac:dyDescent="0.25">
      <c r="A780" s="42"/>
      <c r="B780" s="35"/>
      <c r="C780" s="35"/>
      <c r="D780" s="41"/>
      <c r="E780" s="41"/>
      <c r="F780" s="40"/>
      <c r="G780" s="35"/>
      <c r="H780" s="41"/>
      <c r="I780" s="42"/>
      <c r="J780" s="42"/>
      <c r="K780" s="42"/>
      <c r="L780" s="42"/>
      <c r="M780" s="42"/>
      <c r="N780" s="42"/>
      <c r="O780" s="42"/>
      <c r="P780" s="42"/>
      <c r="Q780" s="42"/>
      <c r="R780" s="42"/>
      <c r="S780" s="42"/>
      <c r="T780" s="42"/>
      <c r="U780" s="42"/>
      <c r="V780" s="42"/>
      <c r="W780" s="42"/>
      <c r="X780" s="42"/>
      <c r="Y780" s="42"/>
      <c r="Z780" s="42"/>
      <c r="AA780" s="42"/>
      <c r="AB780" s="42"/>
      <c r="AC780" s="42"/>
    </row>
    <row r="781" spans="1:29" x14ac:dyDescent="0.25">
      <c r="A781" s="42"/>
      <c r="B781" s="35"/>
      <c r="C781" s="35"/>
      <c r="D781" s="41"/>
      <c r="E781" s="41"/>
      <c r="F781" s="40"/>
      <c r="G781" s="35"/>
      <c r="H781" s="41"/>
      <c r="I781" s="42"/>
      <c r="J781" s="42"/>
      <c r="K781" s="42"/>
      <c r="L781" s="42"/>
      <c r="M781" s="42"/>
      <c r="N781" s="42"/>
      <c r="O781" s="42"/>
      <c r="P781" s="42"/>
      <c r="Q781" s="42"/>
      <c r="R781" s="42"/>
      <c r="S781" s="42"/>
      <c r="T781" s="42"/>
      <c r="U781" s="42"/>
      <c r="V781" s="42"/>
      <c r="W781" s="42"/>
      <c r="X781" s="42"/>
      <c r="Y781" s="42"/>
      <c r="Z781" s="42"/>
      <c r="AA781" s="42"/>
      <c r="AB781" s="42"/>
      <c r="AC781" s="42"/>
    </row>
    <row r="782" spans="1:29" x14ac:dyDescent="0.25">
      <c r="A782" s="42"/>
      <c r="B782" s="35"/>
      <c r="C782" s="35"/>
      <c r="D782" s="41"/>
      <c r="E782" s="41"/>
      <c r="F782" s="40"/>
      <c r="G782" s="35"/>
      <c r="H782" s="41"/>
      <c r="I782" s="42"/>
      <c r="J782" s="42"/>
      <c r="K782" s="42"/>
      <c r="L782" s="42"/>
      <c r="M782" s="42"/>
      <c r="N782" s="42"/>
      <c r="O782" s="42"/>
      <c r="P782" s="42"/>
      <c r="Q782" s="42"/>
      <c r="R782" s="42"/>
      <c r="S782" s="42"/>
      <c r="T782" s="42"/>
      <c r="U782" s="42"/>
      <c r="V782" s="42"/>
      <c r="W782" s="42"/>
      <c r="X782" s="42"/>
      <c r="Y782" s="42"/>
      <c r="Z782" s="42"/>
      <c r="AA782" s="42"/>
      <c r="AB782" s="42"/>
      <c r="AC782" s="42"/>
    </row>
    <row r="783" spans="1:29" x14ac:dyDescent="0.25">
      <c r="A783" s="42"/>
      <c r="B783" s="35"/>
      <c r="C783" s="35"/>
      <c r="D783" s="41"/>
      <c r="E783" s="41"/>
      <c r="F783" s="40"/>
      <c r="G783" s="35"/>
      <c r="H783" s="41"/>
      <c r="I783" s="42"/>
      <c r="J783" s="42"/>
      <c r="K783" s="42"/>
      <c r="L783" s="42"/>
      <c r="M783" s="42"/>
      <c r="N783" s="42"/>
      <c r="O783" s="42"/>
      <c r="P783" s="42"/>
      <c r="Q783" s="42"/>
      <c r="R783" s="42"/>
      <c r="S783" s="42"/>
      <c r="T783" s="42"/>
      <c r="U783" s="42"/>
      <c r="V783" s="42"/>
      <c r="W783" s="42"/>
      <c r="X783" s="42"/>
      <c r="Y783" s="42"/>
      <c r="Z783" s="42"/>
      <c r="AA783" s="42"/>
      <c r="AB783" s="42"/>
      <c r="AC783" s="42"/>
    </row>
    <row r="784" spans="1:29" x14ac:dyDescent="0.25">
      <c r="A784" s="42"/>
      <c r="B784" s="35"/>
      <c r="C784" s="35"/>
      <c r="D784" s="41"/>
      <c r="E784" s="41"/>
      <c r="F784" s="40"/>
      <c r="G784" s="35"/>
      <c r="H784" s="41"/>
      <c r="I784" s="42"/>
      <c r="J784" s="42"/>
      <c r="K784" s="42"/>
      <c r="L784" s="42"/>
      <c r="M784" s="42"/>
      <c r="N784" s="42"/>
      <c r="O784" s="42"/>
      <c r="P784" s="42"/>
      <c r="Q784" s="42"/>
      <c r="R784" s="42"/>
      <c r="S784" s="42"/>
      <c r="T784" s="42"/>
      <c r="U784" s="42"/>
      <c r="V784" s="42"/>
      <c r="W784" s="42"/>
      <c r="X784" s="42"/>
      <c r="Y784" s="42"/>
      <c r="Z784" s="42"/>
      <c r="AA784" s="42"/>
      <c r="AB784" s="42"/>
      <c r="AC784" s="42"/>
    </row>
    <row r="785" spans="1:29" x14ac:dyDescent="0.25">
      <c r="A785" s="42"/>
      <c r="B785" s="35"/>
      <c r="C785" s="35"/>
      <c r="D785" s="41"/>
      <c r="E785" s="41"/>
      <c r="F785" s="40"/>
      <c r="G785" s="35"/>
      <c r="H785" s="41"/>
      <c r="I785" s="42"/>
      <c r="J785" s="42"/>
      <c r="K785" s="42"/>
      <c r="L785" s="42"/>
      <c r="M785" s="42"/>
      <c r="N785" s="42"/>
      <c r="O785" s="42"/>
      <c r="P785" s="42"/>
      <c r="Q785" s="42"/>
      <c r="R785" s="42"/>
      <c r="S785" s="42"/>
      <c r="T785" s="42"/>
      <c r="U785" s="42"/>
      <c r="V785" s="42"/>
      <c r="W785" s="42"/>
      <c r="X785" s="42"/>
      <c r="Y785" s="42"/>
      <c r="Z785" s="42"/>
      <c r="AA785" s="42"/>
      <c r="AB785" s="42"/>
      <c r="AC785" s="42"/>
    </row>
    <row r="786" spans="1:29" x14ac:dyDescent="0.25">
      <c r="A786" s="42"/>
      <c r="B786" s="35"/>
      <c r="C786" s="35"/>
      <c r="D786" s="41"/>
      <c r="E786" s="41"/>
      <c r="F786" s="40"/>
      <c r="G786" s="35"/>
      <c r="H786" s="41"/>
      <c r="I786" s="42"/>
      <c r="J786" s="42"/>
      <c r="K786" s="42"/>
      <c r="L786" s="42"/>
      <c r="M786" s="42"/>
      <c r="N786" s="42"/>
      <c r="O786" s="42"/>
      <c r="P786" s="42"/>
      <c r="Q786" s="42"/>
      <c r="R786" s="42"/>
      <c r="S786" s="42"/>
      <c r="T786" s="42"/>
      <c r="U786" s="42"/>
      <c r="V786" s="42"/>
      <c r="W786" s="42"/>
      <c r="X786" s="42"/>
      <c r="Y786" s="42"/>
      <c r="Z786" s="42"/>
      <c r="AA786" s="42"/>
      <c r="AB786" s="42"/>
      <c r="AC786" s="42"/>
    </row>
    <row r="787" spans="1:29" x14ac:dyDescent="0.25">
      <c r="A787" s="42"/>
      <c r="B787" s="35"/>
      <c r="C787" s="35"/>
      <c r="D787" s="41"/>
      <c r="E787" s="41"/>
      <c r="F787" s="40"/>
      <c r="G787" s="35"/>
      <c r="H787" s="41"/>
      <c r="I787" s="42"/>
      <c r="J787" s="42"/>
      <c r="K787" s="42"/>
      <c r="L787" s="42"/>
      <c r="M787" s="42"/>
      <c r="N787" s="42"/>
      <c r="O787" s="42"/>
      <c r="P787" s="42"/>
      <c r="Q787" s="42"/>
      <c r="R787" s="42"/>
      <c r="S787" s="42"/>
      <c r="T787" s="42"/>
      <c r="U787" s="42"/>
      <c r="V787" s="42"/>
      <c r="W787" s="42"/>
      <c r="X787" s="42"/>
      <c r="Y787" s="42"/>
      <c r="Z787" s="42"/>
      <c r="AA787" s="42"/>
      <c r="AB787" s="42"/>
      <c r="AC787" s="42"/>
    </row>
    <row r="788" spans="1:29" x14ac:dyDescent="0.25">
      <c r="A788" s="42"/>
      <c r="B788" s="35"/>
      <c r="C788" s="35"/>
      <c r="D788" s="41"/>
      <c r="E788" s="41"/>
      <c r="F788" s="40"/>
      <c r="G788" s="35"/>
      <c r="H788" s="41"/>
      <c r="I788" s="42"/>
      <c r="J788" s="42"/>
      <c r="K788" s="42"/>
      <c r="L788" s="42"/>
      <c r="M788" s="42"/>
      <c r="N788" s="42"/>
      <c r="O788" s="42"/>
      <c r="P788" s="42"/>
      <c r="Q788" s="42"/>
      <c r="R788" s="42"/>
      <c r="S788" s="42"/>
      <c r="T788" s="42"/>
      <c r="U788" s="42"/>
      <c r="V788" s="42"/>
      <c r="W788" s="42"/>
      <c r="X788" s="42"/>
      <c r="Y788" s="42"/>
      <c r="Z788" s="42"/>
      <c r="AA788" s="42"/>
      <c r="AB788" s="42"/>
      <c r="AC788" s="42"/>
    </row>
    <row r="789" spans="1:29" x14ac:dyDescent="0.25">
      <c r="A789" s="42"/>
      <c r="B789" s="35"/>
      <c r="C789" s="35"/>
      <c r="D789" s="41"/>
      <c r="E789" s="41"/>
      <c r="F789" s="40"/>
      <c r="G789" s="35"/>
      <c r="H789" s="41"/>
      <c r="I789" s="42"/>
      <c r="J789" s="42"/>
      <c r="K789" s="42"/>
      <c r="L789" s="42"/>
      <c r="M789" s="42"/>
      <c r="N789" s="42"/>
      <c r="O789" s="42"/>
      <c r="P789" s="42"/>
      <c r="Q789" s="42"/>
      <c r="R789" s="42"/>
      <c r="S789" s="42"/>
      <c r="T789" s="42"/>
      <c r="U789" s="42"/>
      <c r="V789" s="42"/>
      <c r="W789" s="42"/>
      <c r="X789" s="42"/>
      <c r="Y789" s="42"/>
      <c r="Z789" s="42"/>
      <c r="AA789" s="42"/>
      <c r="AB789" s="42"/>
      <c r="AC789" s="42"/>
    </row>
    <row r="790" spans="1:29" x14ac:dyDescent="0.25">
      <c r="A790" s="42"/>
      <c r="B790" s="35"/>
      <c r="C790" s="35"/>
      <c r="D790" s="41"/>
      <c r="E790" s="41"/>
      <c r="F790" s="40"/>
      <c r="G790" s="35"/>
      <c r="H790" s="41"/>
      <c r="I790" s="42"/>
      <c r="J790" s="42"/>
      <c r="K790" s="42"/>
      <c r="L790" s="42"/>
      <c r="M790" s="42"/>
      <c r="N790" s="42"/>
      <c r="O790" s="42"/>
      <c r="P790" s="42"/>
      <c r="Q790" s="42"/>
      <c r="R790" s="42"/>
      <c r="S790" s="42"/>
      <c r="T790" s="42"/>
      <c r="U790" s="42"/>
      <c r="V790" s="42"/>
      <c r="W790" s="42"/>
      <c r="X790" s="42"/>
      <c r="Y790" s="42"/>
      <c r="Z790" s="42"/>
      <c r="AA790" s="42"/>
      <c r="AB790" s="42"/>
      <c r="AC790" s="42"/>
    </row>
    <row r="791" spans="1:29" x14ac:dyDescent="0.25">
      <c r="A791" s="42"/>
      <c r="B791" s="35"/>
      <c r="C791" s="35"/>
      <c r="D791" s="41"/>
      <c r="E791" s="41"/>
      <c r="F791" s="40"/>
      <c r="G791" s="35"/>
      <c r="H791" s="41"/>
      <c r="I791" s="42"/>
      <c r="J791" s="42"/>
      <c r="K791" s="42"/>
      <c r="L791" s="42"/>
      <c r="M791" s="42"/>
      <c r="N791" s="42"/>
      <c r="O791" s="42"/>
      <c r="P791" s="42"/>
      <c r="Q791" s="42"/>
      <c r="R791" s="42"/>
      <c r="S791" s="42"/>
      <c r="T791" s="42"/>
      <c r="U791" s="42"/>
      <c r="V791" s="42"/>
      <c r="W791" s="42"/>
      <c r="X791" s="42"/>
      <c r="Y791" s="42"/>
      <c r="Z791" s="42"/>
      <c r="AA791" s="42"/>
      <c r="AB791" s="42"/>
      <c r="AC791" s="42"/>
    </row>
    <row r="792" spans="1:29" x14ac:dyDescent="0.25">
      <c r="A792" s="42"/>
      <c r="B792" s="35"/>
      <c r="C792" s="35"/>
      <c r="D792" s="41"/>
      <c r="E792" s="41"/>
      <c r="F792" s="40"/>
      <c r="G792" s="35"/>
      <c r="H792" s="41"/>
      <c r="I792" s="42"/>
      <c r="J792" s="42"/>
      <c r="K792" s="42"/>
      <c r="L792" s="42"/>
      <c r="M792" s="42"/>
      <c r="N792" s="42"/>
      <c r="O792" s="42"/>
      <c r="P792" s="42"/>
      <c r="Q792" s="42"/>
      <c r="R792" s="42"/>
      <c r="S792" s="42"/>
      <c r="T792" s="42"/>
      <c r="U792" s="42"/>
      <c r="V792" s="42"/>
      <c r="W792" s="42"/>
      <c r="X792" s="42"/>
      <c r="Y792" s="42"/>
      <c r="Z792" s="42"/>
      <c r="AA792" s="42"/>
      <c r="AB792" s="42"/>
      <c r="AC792" s="42"/>
    </row>
    <row r="793" spans="1:29" x14ac:dyDescent="0.25">
      <c r="A793" s="42"/>
      <c r="B793" s="35"/>
      <c r="C793" s="35"/>
      <c r="D793" s="41"/>
      <c r="E793" s="41"/>
      <c r="F793" s="40"/>
      <c r="G793" s="35"/>
      <c r="H793" s="41"/>
      <c r="I793" s="42"/>
      <c r="J793" s="42"/>
      <c r="K793" s="42"/>
      <c r="L793" s="42"/>
      <c r="M793" s="42"/>
      <c r="N793" s="42"/>
      <c r="O793" s="42"/>
      <c r="P793" s="42"/>
      <c r="Q793" s="42"/>
      <c r="R793" s="42"/>
      <c r="S793" s="42"/>
      <c r="T793" s="42"/>
      <c r="U793" s="42"/>
      <c r="V793" s="42"/>
      <c r="W793" s="42"/>
      <c r="X793" s="42"/>
      <c r="Y793" s="42"/>
      <c r="Z793" s="42"/>
      <c r="AA793" s="42"/>
      <c r="AB793" s="42"/>
      <c r="AC793" s="42"/>
    </row>
    <row r="794" spans="1:29" x14ac:dyDescent="0.25">
      <c r="A794" s="42"/>
      <c r="B794" s="35"/>
      <c r="C794" s="35"/>
      <c r="D794" s="41"/>
      <c r="E794" s="41"/>
      <c r="F794" s="40"/>
      <c r="G794" s="35"/>
      <c r="H794" s="41"/>
      <c r="I794" s="42"/>
      <c r="J794" s="42"/>
      <c r="K794" s="42"/>
      <c r="L794" s="42"/>
      <c r="M794" s="42"/>
      <c r="N794" s="42"/>
      <c r="O794" s="42"/>
      <c r="P794" s="42"/>
      <c r="Q794" s="42"/>
      <c r="R794" s="42"/>
      <c r="S794" s="42"/>
      <c r="T794" s="42"/>
      <c r="U794" s="42"/>
      <c r="V794" s="42"/>
      <c r="W794" s="42"/>
      <c r="X794" s="42"/>
      <c r="Y794" s="42"/>
      <c r="Z794" s="42"/>
      <c r="AA794" s="42"/>
      <c r="AB794" s="42"/>
      <c r="AC794" s="42"/>
    </row>
    <row r="795" spans="1:29" x14ac:dyDescent="0.25">
      <c r="A795" s="42"/>
      <c r="B795" s="35"/>
      <c r="C795" s="35"/>
      <c r="D795" s="41"/>
      <c r="E795" s="41"/>
      <c r="F795" s="40"/>
      <c r="G795" s="35"/>
      <c r="H795" s="41"/>
      <c r="I795" s="42"/>
      <c r="J795" s="42"/>
      <c r="K795" s="42"/>
      <c r="L795" s="42"/>
      <c r="M795" s="42"/>
      <c r="N795" s="42"/>
      <c r="O795" s="42"/>
      <c r="P795" s="42"/>
      <c r="Q795" s="42"/>
      <c r="R795" s="42"/>
      <c r="S795" s="42"/>
      <c r="T795" s="42"/>
      <c r="U795" s="42"/>
      <c r="V795" s="42"/>
      <c r="W795" s="42"/>
      <c r="X795" s="42"/>
      <c r="Y795" s="42"/>
      <c r="Z795" s="42"/>
      <c r="AA795" s="42"/>
      <c r="AB795" s="42"/>
      <c r="AC795" s="42"/>
    </row>
    <row r="796" spans="1:29" x14ac:dyDescent="0.25">
      <c r="A796" s="42"/>
      <c r="B796" s="35"/>
      <c r="C796" s="35"/>
      <c r="D796" s="41"/>
      <c r="E796" s="41"/>
      <c r="F796" s="40"/>
      <c r="G796" s="35"/>
      <c r="H796" s="41"/>
      <c r="I796" s="42"/>
      <c r="J796" s="42"/>
      <c r="K796" s="42"/>
      <c r="L796" s="42"/>
      <c r="M796" s="42"/>
      <c r="N796" s="42"/>
      <c r="O796" s="42"/>
      <c r="P796" s="42"/>
      <c r="Q796" s="42"/>
      <c r="R796" s="42"/>
      <c r="S796" s="42"/>
      <c r="T796" s="42"/>
      <c r="U796" s="42"/>
      <c r="V796" s="42"/>
      <c r="W796" s="42"/>
      <c r="X796" s="42"/>
      <c r="Y796" s="42"/>
      <c r="Z796" s="42"/>
      <c r="AA796" s="42"/>
      <c r="AB796" s="42"/>
      <c r="AC796" s="42"/>
    </row>
    <row r="797" spans="1:29" x14ac:dyDescent="0.25">
      <c r="A797" s="42"/>
      <c r="B797" s="35"/>
      <c r="C797" s="35"/>
      <c r="D797" s="41"/>
      <c r="E797" s="41"/>
      <c r="F797" s="40"/>
      <c r="G797" s="35"/>
      <c r="H797" s="41"/>
      <c r="I797" s="42"/>
      <c r="J797" s="42"/>
      <c r="K797" s="42"/>
      <c r="L797" s="42"/>
      <c r="M797" s="42"/>
      <c r="N797" s="42"/>
      <c r="O797" s="42"/>
      <c r="P797" s="42"/>
      <c r="Q797" s="42"/>
      <c r="R797" s="42"/>
      <c r="S797" s="42"/>
      <c r="T797" s="42"/>
      <c r="U797" s="42"/>
      <c r="V797" s="42"/>
      <c r="W797" s="42"/>
      <c r="X797" s="42"/>
      <c r="Y797" s="42"/>
      <c r="Z797" s="42"/>
      <c r="AA797" s="42"/>
      <c r="AB797" s="42"/>
      <c r="AC797" s="42"/>
    </row>
    <row r="798" spans="1:29" x14ac:dyDescent="0.25">
      <c r="A798" s="42"/>
      <c r="B798" s="35"/>
      <c r="C798" s="35"/>
      <c r="D798" s="41"/>
      <c r="E798" s="41"/>
      <c r="F798" s="40"/>
      <c r="G798" s="35"/>
      <c r="H798" s="41"/>
      <c r="I798" s="42"/>
      <c r="J798" s="42"/>
      <c r="K798" s="42"/>
      <c r="L798" s="42"/>
      <c r="M798" s="42"/>
      <c r="N798" s="42"/>
      <c r="O798" s="42"/>
      <c r="P798" s="42"/>
      <c r="Q798" s="42"/>
      <c r="R798" s="42"/>
      <c r="S798" s="42"/>
      <c r="T798" s="42"/>
      <c r="U798" s="42"/>
      <c r="V798" s="42"/>
      <c r="W798" s="42"/>
      <c r="X798" s="42"/>
      <c r="Y798" s="42"/>
      <c r="Z798" s="42"/>
      <c r="AA798" s="42"/>
      <c r="AB798" s="42"/>
      <c r="AC798" s="42"/>
    </row>
    <row r="799" spans="1:29" x14ac:dyDescent="0.25">
      <c r="A799" s="42"/>
      <c r="B799" s="35"/>
      <c r="C799" s="35"/>
      <c r="D799" s="41"/>
      <c r="E799" s="41"/>
      <c r="F799" s="40"/>
      <c r="G799" s="35"/>
      <c r="H799" s="41"/>
      <c r="I799" s="42"/>
      <c r="J799" s="42"/>
      <c r="K799" s="42"/>
      <c r="L799" s="42"/>
      <c r="M799" s="42"/>
      <c r="N799" s="42"/>
      <c r="O799" s="42"/>
      <c r="P799" s="42"/>
      <c r="Q799" s="42"/>
      <c r="R799" s="42"/>
      <c r="S799" s="42"/>
      <c r="T799" s="42"/>
      <c r="U799" s="42"/>
      <c r="V799" s="42"/>
      <c r="W799" s="42"/>
      <c r="X799" s="42"/>
      <c r="Y799" s="42"/>
      <c r="Z799" s="42"/>
      <c r="AA799" s="42"/>
      <c r="AB799" s="42"/>
      <c r="AC799" s="42"/>
    </row>
    <row r="800" spans="1:29" x14ac:dyDescent="0.25">
      <c r="A800" s="42"/>
      <c r="B800" s="35"/>
      <c r="C800" s="35"/>
      <c r="D800" s="41"/>
      <c r="E800" s="41"/>
      <c r="F800" s="40"/>
      <c r="G800" s="35"/>
      <c r="H800" s="41"/>
      <c r="I800" s="42"/>
      <c r="J800" s="42"/>
      <c r="K800" s="42"/>
      <c r="L800" s="42"/>
      <c r="M800" s="42"/>
      <c r="N800" s="42"/>
      <c r="O800" s="42"/>
      <c r="P800" s="42"/>
      <c r="Q800" s="42"/>
      <c r="R800" s="42"/>
      <c r="S800" s="42"/>
      <c r="T800" s="42"/>
      <c r="U800" s="42"/>
      <c r="V800" s="42"/>
      <c r="W800" s="42"/>
      <c r="X800" s="42"/>
      <c r="Y800" s="42"/>
      <c r="Z800" s="42"/>
      <c r="AA800" s="42"/>
      <c r="AB800" s="42"/>
      <c r="AC800" s="42"/>
    </row>
    <row r="801" spans="1:29" x14ac:dyDescent="0.25">
      <c r="A801" s="42"/>
      <c r="B801" s="35"/>
      <c r="C801" s="35"/>
      <c r="D801" s="41"/>
      <c r="E801" s="41"/>
      <c r="F801" s="40"/>
      <c r="G801" s="35"/>
      <c r="H801" s="41"/>
      <c r="I801" s="42"/>
      <c r="J801" s="42"/>
      <c r="K801" s="42"/>
      <c r="L801" s="42"/>
      <c r="M801" s="42"/>
      <c r="N801" s="42"/>
      <c r="O801" s="42"/>
      <c r="P801" s="42"/>
      <c r="Q801" s="42"/>
      <c r="R801" s="42"/>
      <c r="S801" s="42"/>
      <c r="T801" s="42"/>
      <c r="U801" s="42"/>
      <c r="V801" s="42"/>
      <c r="W801" s="42"/>
      <c r="X801" s="42"/>
      <c r="Y801" s="42"/>
      <c r="Z801" s="42"/>
      <c r="AA801" s="42"/>
      <c r="AB801" s="42"/>
      <c r="AC801" s="42"/>
    </row>
    <row r="802" spans="1:29" x14ac:dyDescent="0.25">
      <c r="A802" s="42"/>
      <c r="B802" s="35"/>
      <c r="C802" s="35"/>
      <c r="D802" s="41"/>
      <c r="E802" s="41"/>
      <c r="F802" s="40"/>
      <c r="G802" s="35"/>
      <c r="H802" s="41"/>
      <c r="I802" s="42"/>
      <c r="J802" s="42"/>
      <c r="K802" s="42"/>
      <c r="L802" s="42"/>
      <c r="M802" s="42"/>
      <c r="N802" s="42"/>
      <c r="O802" s="42"/>
      <c r="P802" s="42"/>
      <c r="Q802" s="42"/>
      <c r="R802" s="42"/>
      <c r="S802" s="42"/>
      <c r="T802" s="42"/>
      <c r="U802" s="42"/>
      <c r="V802" s="42"/>
      <c r="W802" s="42"/>
      <c r="X802" s="42"/>
      <c r="Y802" s="42"/>
      <c r="Z802" s="42"/>
      <c r="AA802" s="42"/>
      <c r="AB802" s="42"/>
      <c r="AC802" s="42"/>
    </row>
    <row r="803" spans="1:29" x14ac:dyDescent="0.25">
      <c r="A803" s="42"/>
      <c r="B803" s="35"/>
      <c r="C803" s="35"/>
      <c r="D803" s="41"/>
      <c r="E803" s="41"/>
      <c r="F803" s="40"/>
      <c r="G803" s="35"/>
      <c r="H803" s="41"/>
      <c r="I803" s="42"/>
      <c r="J803" s="42"/>
      <c r="K803" s="42"/>
      <c r="L803" s="42"/>
      <c r="M803" s="42"/>
      <c r="N803" s="42"/>
      <c r="O803" s="42"/>
      <c r="P803" s="42"/>
      <c r="Q803" s="42"/>
      <c r="R803" s="42"/>
      <c r="S803" s="42"/>
      <c r="T803" s="42"/>
      <c r="U803" s="42"/>
      <c r="V803" s="42"/>
      <c r="W803" s="42"/>
      <c r="X803" s="42"/>
      <c r="Y803" s="42"/>
      <c r="Z803" s="42"/>
      <c r="AA803" s="42"/>
      <c r="AB803" s="42"/>
      <c r="AC803" s="42"/>
    </row>
    <row r="804" spans="1:29" x14ac:dyDescent="0.25">
      <c r="A804" s="42"/>
      <c r="B804" s="35"/>
      <c r="C804" s="35"/>
      <c r="D804" s="41"/>
      <c r="E804" s="41"/>
      <c r="F804" s="40"/>
      <c r="G804" s="35"/>
      <c r="H804" s="41"/>
      <c r="I804" s="42"/>
      <c r="J804" s="42"/>
      <c r="K804" s="42"/>
      <c r="L804" s="42"/>
      <c r="M804" s="42"/>
      <c r="N804" s="42"/>
      <c r="O804" s="42"/>
      <c r="P804" s="42"/>
      <c r="Q804" s="42"/>
      <c r="R804" s="42"/>
      <c r="S804" s="42"/>
      <c r="T804" s="42"/>
      <c r="U804" s="42"/>
      <c r="V804" s="42"/>
      <c r="W804" s="42"/>
      <c r="X804" s="42"/>
      <c r="Y804" s="42"/>
      <c r="Z804" s="42"/>
      <c r="AA804" s="42"/>
      <c r="AB804" s="42"/>
      <c r="AC804" s="42"/>
    </row>
    <row r="805" spans="1:29" x14ac:dyDescent="0.25">
      <c r="A805" s="42"/>
      <c r="B805" s="35"/>
      <c r="C805" s="35"/>
      <c r="D805" s="41"/>
      <c r="E805" s="41"/>
      <c r="F805" s="40"/>
      <c r="G805" s="35"/>
      <c r="H805" s="41"/>
      <c r="I805" s="42"/>
      <c r="J805" s="42"/>
      <c r="K805" s="42"/>
      <c r="L805" s="42"/>
      <c r="M805" s="42"/>
      <c r="N805" s="42"/>
      <c r="O805" s="42"/>
      <c r="P805" s="42"/>
      <c r="Q805" s="42"/>
      <c r="R805" s="42"/>
      <c r="S805" s="42"/>
      <c r="T805" s="42"/>
      <c r="U805" s="42"/>
      <c r="V805" s="42"/>
      <c r="W805" s="42"/>
      <c r="X805" s="42"/>
      <c r="Y805" s="42"/>
      <c r="Z805" s="42"/>
      <c r="AA805" s="42"/>
      <c r="AB805" s="42"/>
      <c r="AC805" s="42"/>
    </row>
    <row r="806" spans="1:29" x14ac:dyDescent="0.25">
      <c r="A806" s="42"/>
      <c r="B806" s="35"/>
      <c r="C806" s="35"/>
      <c r="D806" s="41"/>
      <c r="E806" s="41"/>
      <c r="F806" s="40"/>
      <c r="G806" s="35"/>
      <c r="H806" s="41"/>
      <c r="I806" s="42"/>
      <c r="J806" s="42"/>
      <c r="K806" s="42"/>
      <c r="L806" s="42"/>
      <c r="M806" s="42"/>
      <c r="N806" s="42"/>
      <c r="O806" s="42"/>
      <c r="P806" s="42"/>
      <c r="Q806" s="42"/>
      <c r="R806" s="42"/>
      <c r="S806" s="42"/>
      <c r="T806" s="42"/>
      <c r="U806" s="42"/>
      <c r="V806" s="42"/>
      <c r="W806" s="42"/>
      <c r="X806" s="42"/>
      <c r="Y806" s="42"/>
      <c r="Z806" s="42"/>
      <c r="AA806" s="42"/>
      <c r="AB806" s="42"/>
      <c r="AC806" s="42"/>
    </row>
    <row r="807" spans="1:29" x14ac:dyDescent="0.25">
      <c r="A807" s="42"/>
      <c r="B807" s="35"/>
      <c r="C807" s="35"/>
      <c r="D807" s="41"/>
      <c r="E807" s="41"/>
      <c r="F807" s="40"/>
      <c r="G807" s="35"/>
      <c r="H807" s="41"/>
      <c r="I807" s="42"/>
      <c r="J807" s="42"/>
      <c r="K807" s="42"/>
      <c r="L807" s="42"/>
      <c r="M807" s="42"/>
      <c r="N807" s="42"/>
      <c r="O807" s="42"/>
      <c r="P807" s="42"/>
      <c r="Q807" s="42"/>
      <c r="R807" s="42"/>
      <c r="S807" s="42"/>
      <c r="T807" s="42"/>
      <c r="U807" s="42"/>
      <c r="V807" s="42"/>
      <c r="W807" s="42"/>
      <c r="X807" s="42"/>
      <c r="Y807" s="42"/>
      <c r="Z807" s="42"/>
      <c r="AA807" s="42"/>
      <c r="AB807" s="42"/>
      <c r="AC807" s="42"/>
    </row>
    <row r="808" spans="1:29" x14ac:dyDescent="0.25">
      <c r="A808" s="42"/>
      <c r="B808" s="35"/>
      <c r="C808" s="35"/>
      <c r="D808" s="41"/>
      <c r="E808" s="41"/>
      <c r="F808" s="40"/>
      <c r="G808" s="35"/>
      <c r="H808" s="41"/>
      <c r="I808" s="42"/>
      <c r="J808" s="42"/>
      <c r="K808" s="42"/>
      <c r="L808" s="42"/>
      <c r="M808" s="42"/>
      <c r="N808" s="42"/>
      <c r="O808" s="42"/>
      <c r="P808" s="42"/>
      <c r="Q808" s="42"/>
      <c r="R808" s="42"/>
      <c r="S808" s="42"/>
      <c r="T808" s="42"/>
      <c r="U808" s="42"/>
      <c r="V808" s="42"/>
      <c r="W808" s="42"/>
      <c r="X808" s="42"/>
      <c r="Y808" s="42"/>
      <c r="Z808" s="42"/>
      <c r="AA808" s="42"/>
      <c r="AB808" s="42"/>
      <c r="AC808" s="42"/>
    </row>
    <row r="809" spans="1:29" x14ac:dyDescent="0.25">
      <c r="A809" s="42"/>
      <c r="B809" s="35"/>
      <c r="C809" s="35"/>
      <c r="D809" s="41"/>
      <c r="E809" s="41"/>
      <c r="F809" s="40"/>
      <c r="G809" s="35"/>
      <c r="H809" s="41"/>
      <c r="I809" s="42"/>
      <c r="J809" s="42"/>
      <c r="K809" s="42"/>
      <c r="L809" s="42"/>
      <c r="M809" s="42"/>
      <c r="N809" s="42"/>
      <c r="O809" s="42"/>
      <c r="P809" s="42"/>
      <c r="Q809" s="42"/>
      <c r="R809" s="42"/>
      <c r="S809" s="42"/>
      <c r="T809" s="42"/>
      <c r="U809" s="42"/>
      <c r="V809" s="42"/>
      <c r="W809" s="42"/>
      <c r="X809" s="42"/>
      <c r="Y809" s="42"/>
      <c r="Z809" s="42"/>
      <c r="AA809" s="42"/>
      <c r="AB809" s="42"/>
      <c r="AC809" s="42"/>
    </row>
    <row r="810" spans="1:29" x14ac:dyDescent="0.25">
      <c r="A810" s="42"/>
      <c r="B810" s="35"/>
      <c r="C810" s="35"/>
      <c r="D810" s="41"/>
      <c r="E810" s="41"/>
      <c r="F810" s="40"/>
      <c r="G810" s="35"/>
      <c r="H810" s="41"/>
      <c r="I810" s="42"/>
      <c r="J810" s="42"/>
      <c r="K810" s="42"/>
      <c r="L810" s="42"/>
      <c r="M810" s="42"/>
      <c r="N810" s="42"/>
      <c r="O810" s="42"/>
      <c r="P810" s="42"/>
      <c r="Q810" s="42"/>
      <c r="R810" s="42"/>
      <c r="S810" s="42"/>
      <c r="T810" s="42"/>
      <c r="U810" s="42"/>
      <c r="V810" s="42"/>
      <c r="W810" s="42"/>
      <c r="X810" s="42"/>
      <c r="Y810" s="42"/>
      <c r="Z810" s="42"/>
      <c r="AA810" s="42"/>
      <c r="AB810" s="42"/>
      <c r="AC810" s="42"/>
    </row>
    <row r="811" spans="1:29" x14ac:dyDescent="0.25">
      <c r="A811" s="42"/>
      <c r="B811" s="35"/>
      <c r="C811" s="35"/>
      <c r="D811" s="41"/>
      <c r="E811" s="41"/>
      <c r="F811" s="40"/>
      <c r="G811" s="35"/>
      <c r="H811" s="41"/>
      <c r="I811" s="42"/>
      <c r="J811" s="42"/>
      <c r="K811" s="42"/>
      <c r="L811" s="42"/>
      <c r="M811" s="42"/>
      <c r="N811" s="42"/>
      <c r="O811" s="42"/>
      <c r="P811" s="42"/>
      <c r="Q811" s="42"/>
      <c r="R811" s="42"/>
      <c r="S811" s="42"/>
      <c r="T811" s="42"/>
      <c r="U811" s="42"/>
      <c r="V811" s="42"/>
      <c r="W811" s="42"/>
      <c r="X811" s="42"/>
      <c r="Y811" s="42"/>
      <c r="Z811" s="42"/>
      <c r="AA811" s="42"/>
      <c r="AB811" s="42"/>
      <c r="AC811" s="42"/>
    </row>
    <row r="812" spans="1:29" x14ac:dyDescent="0.25">
      <c r="A812" s="42"/>
      <c r="B812" s="35"/>
      <c r="C812" s="35"/>
      <c r="D812" s="41"/>
      <c r="E812" s="41"/>
      <c r="F812" s="40"/>
      <c r="G812" s="35"/>
      <c r="H812" s="41"/>
      <c r="I812" s="42"/>
      <c r="J812" s="42"/>
      <c r="K812" s="42"/>
      <c r="L812" s="42"/>
      <c r="M812" s="42"/>
      <c r="N812" s="42"/>
      <c r="O812" s="42"/>
      <c r="P812" s="42"/>
      <c r="Q812" s="42"/>
      <c r="R812" s="42"/>
      <c r="S812" s="42"/>
      <c r="T812" s="42"/>
      <c r="U812" s="42"/>
      <c r="V812" s="42"/>
      <c r="W812" s="42"/>
      <c r="X812" s="42"/>
      <c r="Y812" s="42"/>
      <c r="Z812" s="42"/>
      <c r="AA812" s="42"/>
      <c r="AB812" s="42"/>
      <c r="AC812" s="42"/>
    </row>
    <row r="813" spans="1:29" x14ac:dyDescent="0.25">
      <c r="A813" s="42"/>
      <c r="B813" s="35"/>
      <c r="C813" s="35"/>
      <c r="D813" s="41"/>
      <c r="E813" s="41"/>
      <c r="F813" s="40"/>
      <c r="G813" s="35"/>
      <c r="H813" s="41"/>
      <c r="I813" s="42"/>
      <c r="J813" s="42"/>
      <c r="K813" s="42"/>
      <c r="L813" s="42"/>
      <c r="M813" s="42"/>
      <c r="N813" s="42"/>
      <c r="O813" s="42"/>
      <c r="P813" s="42"/>
      <c r="Q813" s="42"/>
      <c r="R813" s="42"/>
      <c r="S813" s="42"/>
      <c r="T813" s="42"/>
      <c r="U813" s="42"/>
      <c r="V813" s="42"/>
      <c r="W813" s="42"/>
      <c r="X813" s="42"/>
      <c r="Y813" s="42"/>
      <c r="Z813" s="42"/>
      <c r="AA813" s="42"/>
      <c r="AB813" s="42"/>
      <c r="AC813" s="42"/>
    </row>
    <row r="814" spans="1:29" x14ac:dyDescent="0.25">
      <c r="A814" s="42"/>
      <c r="B814" s="35"/>
      <c r="C814" s="35"/>
      <c r="D814" s="41"/>
      <c r="E814" s="41"/>
      <c r="F814" s="40"/>
      <c r="G814" s="35"/>
      <c r="H814" s="41"/>
      <c r="I814" s="42"/>
      <c r="J814" s="42"/>
      <c r="K814" s="42"/>
      <c r="L814" s="42"/>
      <c r="M814" s="42"/>
      <c r="N814" s="42"/>
      <c r="O814" s="42"/>
      <c r="P814" s="42"/>
      <c r="Q814" s="42"/>
      <c r="R814" s="42"/>
      <c r="S814" s="42"/>
      <c r="T814" s="42"/>
      <c r="U814" s="42"/>
      <c r="V814" s="42"/>
      <c r="W814" s="42"/>
      <c r="X814" s="42"/>
      <c r="Y814" s="42"/>
      <c r="Z814" s="42"/>
      <c r="AA814" s="42"/>
      <c r="AB814" s="42"/>
      <c r="AC814" s="42"/>
    </row>
    <row r="815" spans="1:29" x14ac:dyDescent="0.25">
      <c r="A815" s="42"/>
      <c r="B815" s="35"/>
      <c r="C815" s="35"/>
      <c r="D815" s="41"/>
      <c r="E815" s="41"/>
      <c r="F815" s="40"/>
      <c r="G815" s="35"/>
      <c r="H815" s="41"/>
      <c r="I815" s="42"/>
      <c r="J815" s="42"/>
      <c r="K815" s="42"/>
      <c r="L815" s="42"/>
      <c r="M815" s="42"/>
      <c r="N815" s="42"/>
      <c r="O815" s="42"/>
      <c r="P815" s="42"/>
      <c r="Q815" s="42"/>
      <c r="R815" s="42"/>
      <c r="S815" s="42"/>
      <c r="T815" s="42"/>
      <c r="U815" s="42"/>
      <c r="V815" s="42"/>
      <c r="W815" s="42"/>
      <c r="X815" s="42"/>
      <c r="Y815" s="42"/>
      <c r="Z815" s="42"/>
      <c r="AA815" s="42"/>
      <c r="AB815" s="42"/>
      <c r="AC815" s="42"/>
    </row>
    <row r="816" spans="1:29" x14ac:dyDescent="0.25">
      <c r="A816" s="42"/>
      <c r="B816" s="35"/>
      <c r="C816" s="35"/>
      <c r="D816" s="41"/>
      <c r="E816" s="41"/>
      <c r="F816" s="40"/>
      <c r="G816" s="35"/>
      <c r="H816" s="41"/>
      <c r="I816" s="42"/>
      <c r="J816" s="42"/>
      <c r="K816" s="42"/>
      <c r="L816" s="42"/>
      <c r="M816" s="42"/>
      <c r="N816" s="42"/>
      <c r="O816" s="42"/>
      <c r="P816" s="42"/>
      <c r="Q816" s="42"/>
      <c r="R816" s="42"/>
      <c r="S816" s="42"/>
      <c r="T816" s="42"/>
      <c r="U816" s="42"/>
      <c r="V816" s="42"/>
      <c r="W816" s="42"/>
      <c r="X816" s="42"/>
      <c r="Y816" s="42"/>
      <c r="Z816" s="42"/>
      <c r="AA816" s="42"/>
      <c r="AB816" s="42"/>
      <c r="AC816" s="42"/>
    </row>
    <row r="817" spans="1:29" x14ac:dyDescent="0.25">
      <c r="A817" s="42"/>
      <c r="B817" s="35"/>
      <c r="C817" s="35"/>
      <c r="D817" s="41"/>
      <c r="E817" s="41"/>
      <c r="F817" s="40"/>
      <c r="G817" s="35"/>
      <c r="H817" s="41"/>
      <c r="I817" s="42"/>
      <c r="J817" s="42"/>
      <c r="K817" s="42"/>
      <c r="L817" s="42"/>
      <c r="M817" s="42"/>
      <c r="N817" s="42"/>
      <c r="O817" s="42"/>
      <c r="P817" s="42"/>
      <c r="Q817" s="42"/>
      <c r="R817" s="42"/>
      <c r="S817" s="42"/>
      <c r="T817" s="42"/>
      <c r="U817" s="42"/>
      <c r="V817" s="42"/>
      <c r="W817" s="42"/>
      <c r="X817" s="42"/>
      <c r="Y817" s="42"/>
      <c r="Z817" s="42"/>
      <c r="AA817" s="42"/>
      <c r="AB817" s="42"/>
      <c r="AC817" s="42"/>
    </row>
    <row r="818" spans="1:29" x14ac:dyDescent="0.25">
      <c r="A818" s="42"/>
      <c r="B818" s="35"/>
      <c r="C818" s="35"/>
      <c r="D818" s="41"/>
      <c r="E818" s="41"/>
      <c r="F818" s="40"/>
      <c r="G818" s="35"/>
      <c r="H818" s="41"/>
      <c r="I818" s="42"/>
      <c r="J818" s="42"/>
      <c r="K818" s="42"/>
      <c r="L818" s="42"/>
      <c r="M818" s="42"/>
      <c r="N818" s="42"/>
      <c r="O818" s="42"/>
      <c r="P818" s="42"/>
      <c r="Q818" s="42"/>
      <c r="R818" s="42"/>
      <c r="S818" s="42"/>
      <c r="T818" s="42"/>
      <c r="U818" s="42"/>
      <c r="V818" s="42"/>
      <c r="W818" s="42"/>
      <c r="X818" s="42"/>
      <c r="Y818" s="42"/>
      <c r="Z818" s="42"/>
      <c r="AA818" s="42"/>
      <c r="AB818" s="42"/>
      <c r="AC818" s="42"/>
    </row>
    <row r="819" spans="1:29" x14ac:dyDescent="0.25">
      <c r="A819" s="42"/>
      <c r="B819" s="35"/>
      <c r="C819" s="35"/>
      <c r="D819" s="41"/>
      <c r="E819" s="41"/>
      <c r="F819" s="40"/>
      <c r="G819" s="35"/>
      <c r="H819" s="41"/>
      <c r="I819" s="42"/>
      <c r="J819" s="42"/>
      <c r="K819" s="42"/>
      <c r="L819" s="42"/>
      <c r="M819" s="42"/>
      <c r="N819" s="42"/>
      <c r="O819" s="42"/>
      <c r="P819" s="42"/>
      <c r="Q819" s="42"/>
      <c r="R819" s="42"/>
      <c r="S819" s="42"/>
      <c r="T819" s="42"/>
      <c r="U819" s="42"/>
      <c r="V819" s="42"/>
      <c r="W819" s="42"/>
      <c r="X819" s="42"/>
      <c r="Y819" s="42"/>
      <c r="Z819" s="42"/>
      <c r="AA819" s="42"/>
      <c r="AB819" s="42"/>
      <c r="AC819" s="42"/>
    </row>
    <row r="820" spans="1:29" x14ac:dyDescent="0.25">
      <c r="A820" s="42"/>
      <c r="B820" s="35"/>
      <c r="C820" s="35"/>
      <c r="D820" s="41"/>
      <c r="E820" s="41"/>
      <c r="F820" s="40"/>
      <c r="G820" s="35"/>
      <c r="H820" s="41"/>
      <c r="I820" s="42"/>
      <c r="J820" s="42"/>
      <c r="K820" s="42"/>
      <c r="L820" s="42"/>
      <c r="M820" s="42"/>
      <c r="N820" s="42"/>
      <c r="O820" s="42"/>
      <c r="P820" s="42"/>
      <c r="Q820" s="42"/>
      <c r="R820" s="42"/>
      <c r="S820" s="42"/>
      <c r="T820" s="42"/>
      <c r="U820" s="42"/>
      <c r="V820" s="42"/>
      <c r="W820" s="42"/>
      <c r="X820" s="42"/>
      <c r="Y820" s="42"/>
      <c r="Z820" s="42"/>
      <c r="AA820" s="42"/>
      <c r="AB820" s="42"/>
      <c r="AC820" s="42"/>
    </row>
    <row r="821" spans="1:29" x14ac:dyDescent="0.25">
      <c r="A821" s="42"/>
      <c r="B821" s="35"/>
      <c r="C821" s="35"/>
      <c r="D821" s="41"/>
      <c r="E821" s="41"/>
      <c r="F821" s="40"/>
      <c r="G821" s="35"/>
      <c r="H821" s="41"/>
      <c r="I821" s="42"/>
      <c r="J821" s="42"/>
      <c r="K821" s="42"/>
      <c r="L821" s="42"/>
      <c r="M821" s="42"/>
      <c r="N821" s="42"/>
      <c r="O821" s="42"/>
      <c r="P821" s="42"/>
      <c r="Q821" s="42"/>
      <c r="R821" s="42"/>
      <c r="S821" s="42"/>
      <c r="T821" s="42"/>
      <c r="U821" s="42"/>
      <c r="V821" s="42"/>
      <c r="W821" s="42"/>
      <c r="X821" s="42"/>
      <c r="Y821" s="42"/>
      <c r="Z821" s="42"/>
      <c r="AA821" s="42"/>
      <c r="AB821" s="42"/>
      <c r="AC821" s="42"/>
    </row>
    <row r="822" spans="1:29" x14ac:dyDescent="0.25">
      <c r="A822" s="42"/>
      <c r="B822" s="35"/>
      <c r="C822" s="35"/>
      <c r="D822" s="41"/>
      <c r="E822" s="41"/>
      <c r="F822" s="40"/>
      <c r="G822" s="35"/>
      <c r="H822" s="41"/>
      <c r="I822" s="42"/>
      <c r="J822" s="42"/>
      <c r="K822" s="42"/>
      <c r="L822" s="42"/>
      <c r="M822" s="42"/>
      <c r="N822" s="42"/>
      <c r="O822" s="42"/>
      <c r="P822" s="42"/>
      <c r="Q822" s="42"/>
      <c r="R822" s="42"/>
      <c r="S822" s="42"/>
      <c r="T822" s="42"/>
      <c r="U822" s="42"/>
      <c r="V822" s="42"/>
      <c r="W822" s="42"/>
      <c r="X822" s="42"/>
      <c r="Y822" s="42"/>
      <c r="Z822" s="42"/>
      <c r="AA822" s="42"/>
      <c r="AB822" s="42"/>
      <c r="AC822" s="42"/>
    </row>
    <row r="823" spans="1:29" x14ac:dyDescent="0.25">
      <c r="A823" s="42"/>
      <c r="B823" s="35"/>
      <c r="C823" s="35"/>
      <c r="D823" s="41"/>
      <c r="E823" s="41"/>
      <c r="F823" s="40"/>
      <c r="G823" s="35"/>
      <c r="H823" s="41"/>
      <c r="I823" s="42"/>
      <c r="J823" s="42"/>
      <c r="K823" s="42"/>
      <c r="L823" s="42"/>
      <c r="M823" s="42"/>
      <c r="N823" s="42"/>
      <c r="O823" s="42"/>
      <c r="P823" s="42"/>
      <c r="Q823" s="42"/>
      <c r="R823" s="42"/>
      <c r="S823" s="42"/>
      <c r="T823" s="42"/>
      <c r="U823" s="42"/>
      <c r="V823" s="42"/>
      <c r="W823" s="42"/>
      <c r="X823" s="42"/>
      <c r="Y823" s="42"/>
      <c r="Z823" s="42"/>
      <c r="AA823" s="42"/>
      <c r="AB823" s="42"/>
      <c r="AC823" s="42"/>
    </row>
    <row r="824" spans="1:29" x14ac:dyDescent="0.25">
      <c r="A824" s="42"/>
      <c r="B824" s="35"/>
      <c r="C824" s="35"/>
      <c r="D824" s="41"/>
      <c r="E824" s="41"/>
      <c r="F824" s="40"/>
      <c r="G824" s="35"/>
      <c r="H824" s="41"/>
      <c r="I824" s="42"/>
      <c r="J824" s="42"/>
      <c r="K824" s="42"/>
      <c r="L824" s="42"/>
      <c r="M824" s="42"/>
      <c r="N824" s="42"/>
      <c r="O824" s="42"/>
      <c r="P824" s="42"/>
      <c r="Q824" s="42"/>
      <c r="R824" s="42"/>
      <c r="S824" s="42"/>
      <c r="T824" s="42"/>
      <c r="U824" s="42"/>
      <c r="V824" s="42"/>
      <c r="W824" s="42"/>
      <c r="X824" s="42"/>
      <c r="Y824" s="42"/>
      <c r="Z824" s="42"/>
      <c r="AA824" s="42"/>
      <c r="AB824" s="42"/>
      <c r="AC824" s="42"/>
    </row>
    <row r="825" spans="1:29" x14ac:dyDescent="0.25">
      <c r="A825" s="42"/>
      <c r="B825" s="35"/>
      <c r="C825" s="35"/>
      <c r="D825" s="41"/>
      <c r="E825" s="41"/>
      <c r="F825" s="40"/>
      <c r="G825" s="35"/>
      <c r="H825" s="41"/>
      <c r="I825" s="42"/>
      <c r="J825" s="42"/>
      <c r="K825" s="42"/>
      <c r="L825" s="42"/>
      <c r="M825" s="42"/>
      <c r="N825" s="42"/>
      <c r="O825" s="42"/>
      <c r="P825" s="42"/>
      <c r="Q825" s="42"/>
      <c r="R825" s="42"/>
      <c r="S825" s="42"/>
      <c r="T825" s="42"/>
      <c r="U825" s="42"/>
      <c r="V825" s="42"/>
      <c r="W825" s="42"/>
      <c r="X825" s="42"/>
      <c r="Y825" s="42"/>
      <c r="Z825" s="42"/>
      <c r="AA825" s="42"/>
      <c r="AB825" s="42"/>
      <c r="AC825" s="42"/>
    </row>
    <row r="826" spans="1:29" x14ac:dyDescent="0.25">
      <c r="A826" s="42"/>
      <c r="B826" s="35"/>
      <c r="C826" s="35"/>
      <c r="D826" s="41"/>
      <c r="E826" s="41"/>
      <c r="F826" s="40"/>
      <c r="G826" s="35"/>
      <c r="H826" s="41"/>
      <c r="I826" s="42"/>
      <c r="J826" s="42"/>
      <c r="K826" s="42"/>
      <c r="L826" s="42"/>
      <c r="M826" s="42"/>
      <c r="N826" s="42"/>
      <c r="O826" s="42"/>
      <c r="P826" s="42"/>
      <c r="Q826" s="42"/>
      <c r="R826" s="42"/>
      <c r="S826" s="42"/>
      <c r="T826" s="42"/>
      <c r="U826" s="42"/>
      <c r="V826" s="42"/>
      <c r="W826" s="42"/>
      <c r="X826" s="42"/>
      <c r="Y826" s="42"/>
      <c r="Z826" s="42"/>
      <c r="AA826" s="42"/>
      <c r="AB826" s="42"/>
      <c r="AC826" s="42"/>
    </row>
    <row r="827" spans="1:29" x14ac:dyDescent="0.25">
      <c r="A827" s="42"/>
      <c r="B827" s="35"/>
      <c r="C827" s="35"/>
      <c r="D827" s="41"/>
      <c r="E827" s="41"/>
      <c r="F827" s="40"/>
      <c r="G827" s="35"/>
      <c r="H827" s="41"/>
      <c r="I827" s="42"/>
      <c r="J827" s="42"/>
      <c r="K827" s="42"/>
      <c r="L827" s="42"/>
      <c r="M827" s="42"/>
      <c r="N827" s="42"/>
      <c r="O827" s="42"/>
      <c r="P827" s="42"/>
      <c r="Q827" s="42"/>
      <c r="R827" s="42"/>
      <c r="S827" s="42"/>
      <c r="T827" s="42"/>
      <c r="U827" s="42"/>
      <c r="V827" s="42"/>
      <c r="W827" s="42"/>
      <c r="X827" s="42"/>
      <c r="Y827" s="42"/>
      <c r="Z827" s="42"/>
      <c r="AA827" s="42"/>
      <c r="AB827" s="42"/>
      <c r="AC827" s="42"/>
    </row>
    <row r="828" spans="1:29" x14ac:dyDescent="0.25">
      <c r="A828" s="42"/>
      <c r="B828" s="35"/>
      <c r="C828" s="35"/>
      <c r="D828" s="41"/>
      <c r="E828" s="41"/>
      <c r="F828" s="40"/>
      <c r="G828" s="35"/>
      <c r="H828" s="41"/>
      <c r="I828" s="42"/>
      <c r="J828" s="42"/>
      <c r="K828" s="42"/>
      <c r="L828" s="42"/>
      <c r="M828" s="42"/>
      <c r="N828" s="42"/>
      <c r="O828" s="42"/>
      <c r="P828" s="42"/>
      <c r="Q828" s="42"/>
      <c r="R828" s="42"/>
      <c r="S828" s="42"/>
      <c r="T828" s="42"/>
      <c r="U828" s="42"/>
      <c r="V828" s="42"/>
      <c r="W828" s="42"/>
      <c r="X828" s="42"/>
      <c r="Y828" s="42"/>
      <c r="Z828" s="42"/>
      <c r="AA828" s="42"/>
      <c r="AB828" s="42"/>
      <c r="AC828" s="42"/>
    </row>
    <row r="829" spans="1:29" x14ac:dyDescent="0.25">
      <c r="A829" s="42"/>
      <c r="B829" s="35"/>
      <c r="C829" s="35"/>
      <c r="D829" s="41"/>
      <c r="E829" s="41"/>
      <c r="F829" s="40"/>
      <c r="G829" s="35"/>
      <c r="H829" s="41"/>
      <c r="I829" s="42"/>
      <c r="J829" s="42"/>
      <c r="K829" s="42"/>
      <c r="L829" s="42"/>
      <c r="M829" s="42"/>
      <c r="N829" s="42"/>
      <c r="O829" s="42"/>
      <c r="P829" s="42"/>
      <c r="Q829" s="42"/>
      <c r="R829" s="42"/>
      <c r="S829" s="42"/>
      <c r="T829" s="42"/>
      <c r="U829" s="42"/>
      <c r="V829" s="42"/>
      <c r="W829" s="42"/>
      <c r="X829" s="42"/>
      <c r="Y829" s="42"/>
      <c r="Z829" s="42"/>
      <c r="AA829" s="42"/>
      <c r="AB829" s="42"/>
      <c r="AC829" s="42"/>
    </row>
    <row r="830" spans="1:29" x14ac:dyDescent="0.25">
      <c r="A830" s="42"/>
      <c r="B830" s="35"/>
      <c r="C830" s="35"/>
      <c r="D830" s="41"/>
      <c r="E830" s="41"/>
      <c r="F830" s="40"/>
      <c r="G830" s="35"/>
      <c r="H830" s="41"/>
      <c r="I830" s="42"/>
      <c r="J830" s="42"/>
      <c r="K830" s="42"/>
      <c r="L830" s="42"/>
      <c r="M830" s="42"/>
      <c r="N830" s="42"/>
      <c r="O830" s="42"/>
      <c r="P830" s="42"/>
      <c r="Q830" s="42"/>
      <c r="R830" s="42"/>
      <c r="S830" s="42"/>
      <c r="T830" s="42"/>
      <c r="U830" s="42"/>
      <c r="V830" s="42"/>
      <c r="W830" s="42"/>
      <c r="X830" s="42"/>
      <c r="Y830" s="42"/>
      <c r="Z830" s="42"/>
      <c r="AA830" s="42"/>
      <c r="AB830" s="42"/>
      <c r="AC830" s="42"/>
    </row>
    <row r="831" spans="1:29" x14ac:dyDescent="0.25">
      <c r="A831" s="42"/>
      <c r="B831" s="35"/>
      <c r="C831" s="35"/>
      <c r="D831" s="41"/>
      <c r="E831" s="41"/>
      <c r="F831" s="40"/>
      <c r="G831" s="35"/>
      <c r="H831" s="41"/>
      <c r="I831" s="42"/>
      <c r="J831" s="42"/>
      <c r="K831" s="42"/>
      <c r="L831" s="42"/>
      <c r="M831" s="42"/>
      <c r="N831" s="42"/>
      <c r="O831" s="42"/>
      <c r="P831" s="42"/>
      <c r="Q831" s="42"/>
      <c r="R831" s="42"/>
      <c r="S831" s="42"/>
      <c r="T831" s="42"/>
      <c r="U831" s="42"/>
      <c r="V831" s="42"/>
      <c r="W831" s="42"/>
      <c r="X831" s="42"/>
      <c r="Y831" s="42"/>
      <c r="Z831" s="42"/>
      <c r="AA831" s="42"/>
      <c r="AB831" s="42"/>
      <c r="AC831" s="42"/>
    </row>
    <row r="832" spans="1:29" x14ac:dyDescent="0.25">
      <c r="A832" s="42"/>
      <c r="B832" s="35"/>
      <c r="C832" s="35"/>
      <c r="D832" s="41"/>
      <c r="E832" s="41"/>
      <c r="F832" s="40"/>
      <c r="G832" s="35"/>
      <c r="H832" s="41"/>
      <c r="I832" s="42"/>
      <c r="J832" s="42"/>
      <c r="K832" s="42"/>
      <c r="L832" s="42"/>
      <c r="M832" s="42"/>
      <c r="N832" s="42"/>
      <c r="O832" s="42"/>
      <c r="P832" s="42"/>
      <c r="Q832" s="42"/>
      <c r="R832" s="42"/>
      <c r="S832" s="42"/>
      <c r="T832" s="42"/>
      <c r="U832" s="42"/>
      <c r="V832" s="42"/>
      <c r="W832" s="42"/>
      <c r="X832" s="42"/>
      <c r="Y832" s="42"/>
      <c r="Z832" s="42"/>
      <c r="AA832" s="42"/>
      <c r="AB832" s="42"/>
      <c r="AC832" s="42"/>
    </row>
    <row r="833" spans="1:29" x14ac:dyDescent="0.25">
      <c r="A833" s="42"/>
      <c r="B833" s="35"/>
      <c r="C833" s="35"/>
      <c r="D833" s="41"/>
      <c r="E833" s="41"/>
      <c r="F833" s="40"/>
      <c r="G833" s="35"/>
      <c r="H833" s="41"/>
      <c r="I833" s="42"/>
      <c r="J833" s="42"/>
      <c r="K833" s="42"/>
      <c r="L833" s="42"/>
      <c r="M833" s="42"/>
      <c r="N833" s="42"/>
      <c r="O833" s="42"/>
      <c r="P833" s="42"/>
      <c r="Q833" s="42"/>
      <c r="R833" s="42"/>
      <c r="S833" s="42"/>
      <c r="T833" s="42"/>
      <c r="U833" s="42"/>
      <c r="V833" s="42"/>
      <c r="W833" s="42"/>
      <c r="X833" s="42"/>
      <c r="Y833" s="42"/>
      <c r="Z833" s="42"/>
      <c r="AA833" s="42"/>
      <c r="AB833" s="42"/>
      <c r="AC833" s="42"/>
    </row>
    <row r="834" spans="1:29" x14ac:dyDescent="0.25">
      <c r="A834" s="42"/>
      <c r="B834" s="35"/>
      <c r="C834" s="35"/>
      <c r="D834" s="41"/>
      <c r="E834" s="41"/>
      <c r="F834" s="40"/>
      <c r="G834" s="35"/>
      <c r="H834" s="41"/>
      <c r="I834" s="42"/>
      <c r="J834" s="42"/>
      <c r="K834" s="42"/>
      <c r="L834" s="42"/>
      <c r="M834" s="42"/>
      <c r="N834" s="42"/>
      <c r="O834" s="42"/>
      <c r="P834" s="42"/>
      <c r="Q834" s="42"/>
      <c r="R834" s="42"/>
      <c r="S834" s="42"/>
      <c r="T834" s="42"/>
      <c r="U834" s="42"/>
      <c r="V834" s="42"/>
      <c r="W834" s="42"/>
      <c r="X834" s="42"/>
      <c r="Y834" s="42"/>
      <c r="Z834" s="42"/>
      <c r="AA834" s="42"/>
      <c r="AB834" s="42"/>
      <c r="AC834" s="42"/>
    </row>
    <row r="835" spans="1:29" x14ac:dyDescent="0.25">
      <c r="A835" s="42"/>
      <c r="B835" s="35"/>
      <c r="C835" s="35"/>
      <c r="D835" s="41"/>
      <c r="E835" s="41"/>
      <c r="F835" s="40"/>
      <c r="G835" s="35"/>
      <c r="H835" s="41"/>
      <c r="I835" s="42"/>
      <c r="J835" s="42"/>
      <c r="K835" s="42"/>
      <c r="L835" s="42"/>
      <c r="M835" s="42"/>
      <c r="N835" s="42"/>
      <c r="O835" s="42"/>
      <c r="P835" s="42"/>
      <c r="Q835" s="42"/>
      <c r="R835" s="42"/>
      <c r="S835" s="42"/>
      <c r="T835" s="42"/>
      <c r="U835" s="42"/>
      <c r="V835" s="42"/>
      <c r="W835" s="42"/>
      <c r="X835" s="42"/>
      <c r="Y835" s="42"/>
      <c r="Z835" s="42"/>
      <c r="AA835" s="42"/>
      <c r="AB835" s="42"/>
      <c r="AC835" s="42"/>
    </row>
    <row r="836" spans="1:29" x14ac:dyDescent="0.25">
      <c r="A836" s="42"/>
      <c r="B836" s="35"/>
      <c r="C836" s="35"/>
      <c r="D836" s="41"/>
      <c r="E836" s="41"/>
      <c r="F836" s="40"/>
      <c r="G836" s="35"/>
      <c r="H836" s="41"/>
      <c r="I836" s="42"/>
      <c r="J836" s="42"/>
      <c r="K836" s="42"/>
      <c r="L836" s="42"/>
      <c r="M836" s="42"/>
      <c r="N836" s="42"/>
      <c r="O836" s="42"/>
      <c r="P836" s="42"/>
      <c r="Q836" s="42"/>
      <c r="R836" s="42"/>
      <c r="S836" s="42"/>
      <c r="T836" s="42"/>
      <c r="U836" s="42"/>
      <c r="V836" s="42"/>
      <c r="W836" s="42"/>
      <c r="X836" s="42"/>
      <c r="Y836" s="42"/>
      <c r="Z836" s="42"/>
      <c r="AA836" s="42"/>
      <c r="AB836" s="42"/>
      <c r="AC836" s="42"/>
    </row>
    <row r="837" spans="1:29" x14ac:dyDescent="0.25">
      <c r="A837" s="42"/>
      <c r="B837" s="35"/>
      <c r="C837" s="35"/>
      <c r="D837" s="41"/>
      <c r="E837" s="41"/>
      <c r="F837" s="40"/>
      <c r="G837" s="35"/>
      <c r="H837" s="41"/>
      <c r="I837" s="42"/>
      <c r="J837" s="42"/>
      <c r="K837" s="42"/>
      <c r="L837" s="42"/>
      <c r="M837" s="42"/>
      <c r="N837" s="42"/>
      <c r="O837" s="42"/>
      <c r="P837" s="42"/>
      <c r="Q837" s="42"/>
      <c r="R837" s="42"/>
      <c r="S837" s="42"/>
      <c r="T837" s="42"/>
      <c r="U837" s="42"/>
      <c r="V837" s="42"/>
      <c r="W837" s="42"/>
      <c r="X837" s="42"/>
      <c r="Y837" s="42"/>
      <c r="Z837" s="42"/>
      <c r="AA837" s="42"/>
      <c r="AB837" s="42"/>
      <c r="AC837" s="42"/>
    </row>
    <row r="838" spans="1:29" x14ac:dyDescent="0.25">
      <c r="A838" s="42"/>
      <c r="B838" s="35"/>
      <c r="C838" s="35"/>
      <c r="D838" s="41"/>
      <c r="E838" s="41"/>
      <c r="F838" s="40"/>
      <c r="G838" s="35"/>
      <c r="H838" s="41"/>
      <c r="I838" s="42"/>
      <c r="J838" s="42"/>
      <c r="K838" s="42"/>
      <c r="L838" s="42"/>
      <c r="M838" s="42"/>
      <c r="N838" s="42"/>
      <c r="O838" s="42"/>
      <c r="P838" s="42"/>
      <c r="Q838" s="42"/>
      <c r="R838" s="42"/>
      <c r="S838" s="42"/>
      <c r="T838" s="42"/>
      <c r="U838" s="42"/>
      <c r="V838" s="42"/>
      <c r="W838" s="42"/>
      <c r="X838" s="42"/>
      <c r="Y838" s="42"/>
      <c r="Z838" s="42"/>
      <c r="AA838" s="42"/>
      <c r="AB838" s="42"/>
      <c r="AC838" s="42"/>
    </row>
    <row r="839" spans="1:29" x14ac:dyDescent="0.25">
      <c r="A839" s="42"/>
      <c r="B839" s="35"/>
      <c r="C839" s="35"/>
      <c r="D839" s="41"/>
      <c r="E839" s="41"/>
      <c r="F839" s="40"/>
      <c r="G839" s="35"/>
      <c r="H839" s="41"/>
      <c r="I839" s="42"/>
      <c r="J839" s="42"/>
      <c r="K839" s="42"/>
      <c r="L839" s="42"/>
      <c r="M839" s="42"/>
      <c r="N839" s="42"/>
      <c r="O839" s="42"/>
      <c r="P839" s="42"/>
      <c r="Q839" s="42"/>
      <c r="R839" s="42"/>
      <c r="S839" s="42"/>
      <c r="T839" s="42"/>
      <c r="U839" s="42"/>
      <c r="V839" s="42"/>
      <c r="W839" s="42"/>
      <c r="X839" s="42"/>
      <c r="Y839" s="42"/>
      <c r="Z839" s="42"/>
      <c r="AA839" s="42"/>
      <c r="AB839" s="42"/>
      <c r="AC839" s="42"/>
    </row>
    <row r="840" spans="1:29" x14ac:dyDescent="0.25">
      <c r="A840" s="42"/>
      <c r="B840" s="35"/>
      <c r="C840" s="35"/>
      <c r="D840" s="41"/>
      <c r="E840" s="41"/>
      <c r="F840" s="40"/>
      <c r="G840" s="35"/>
      <c r="H840" s="41"/>
      <c r="I840" s="42"/>
      <c r="J840" s="42"/>
      <c r="K840" s="42"/>
      <c r="L840" s="42"/>
      <c r="M840" s="42"/>
      <c r="N840" s="42"/>
      <c r="O840" s="42"/>
      <c r="P840" s="42"/>
      <c r="Q840" s="42"/>
      <c r="R840" s="42"/>
      <c r="S840" s="42"/>
      <c r="T840" s="42"/>
      <c r="U840" s="42"/>
      <c r="V840" s="42"/>
      <c r="W840" s="42"/>
      <c r="X840" s="42"/>
      <c r="Y840" s="42"/>
      <c r="Z840" s="42"/>
      <c r="AA840" s="42"/>
      <c r="AB840" s="42"/>
      <c r="AC840" s="42"/>
    </row>
    <row r="841" spans="1:29" x14ac:dyDescent="0.25">
      <c r="A841" s="42"/>
      <c r="B841" s="35"/>
      <c r="C841" s="35"/>
      <c r="D841" s="41"/>
      <c r="E841" s="41"/>
      <c r="F841" s="40"/>
      <c r="G841" s="35"/>
      <c r="H841" s="41"/>
      <c r="I841" s="42"/>
      <c r="J841" s="42"/>
      <c r="K841" s="42"/>
      <c r="L841" s="42"/>
      <c r="M841" s="42"/>
      <c r="N841" s="42"/>
      <c r="O841" s="42"/>
      <c r="P841" s="42"/>
      <c r="Q841" s="42"/>
      <c r="R841" s="42"/>
      <c r="S841" s="42"/>
      <c r="T841" s="42"/>
      <c r="U841" s="42"/>
      <c r="V841" s="42"/>
      <c r="W841" s="42"/>
      <c r="X841" s="42"/>
      <c r="Y841" s="42"/>
      <c r="Z841" s="42"/>
      <c r="AA841" s="42"/>
      <c r="AB841" s="42"/>
      <c r="AC841" s="42"/>
    </row>
    <row r="842" spans="1:29" x14ac:dyDescent="0.25">
      <c r="A842" s="42"/>
      <c r="B842" s="35"/>
      <c r="C842" s="35"/>
      <c r="D842" s="41"/>
      <c r="E842" s="41"/>
      <c r="F842" s="40"/>
      <c r="G842" s="35"/>
      <c r="H842" s="41"/>
      <c r="I842" s="42"/>
      <c r="J842" s="42"/>
      <c r="K842" s="42"/>
      <c r="L842" s="42"/>
      <c r="M842" s="42"/>
      <c r="N842" s="42"/>
      <c r="O842" s="42"/>
      <c r="P842" s="42"/>
      <c r="Q842" s="42"/>
      <c r="R842" s="42"/>
      <c r="S842" s="42"/>
      <c r="T842" s="42"/>
      <c r="U842" s="42"/>
      <c r="V842" s="42"/>
      <c r="W842" s="42"/>
      <c r="X842" s="42"/>
      <c r="Y842" s="42"/>
      <c r="Z842" s="42"/>
      <c r="AA842" s="42"/>
      <c r="AB842" s="42"/>
      <c r="AC842" s="42"/>
    </row>
    <row r="843" spans="1:29" x14ac:dyDescent="0.25">
      <c r="A843" s="42"/>
      <c r="B843" s="35"/>
      <c r="C843" s="35"/>
      <c r="D843" s="41"/>
      <c r="E843" s="41"/>
      <c r="F843" s="40"/>
      <c r="G843" s="35"/>
      <c r="H843" s="41"/>
      <c r="I843" s="42"/>
      <c r="J843" s="42"/>
      <c r="K843" s="42"/>
      <c r="L843" s="42"/>
      <c r="M843" s="42"/>
      <c r="N843" s="42"/>
      <c r="O843" s="42"/>
      <c r="P843" s="42"/>
      <c r="Q843" s="42"/>
      <c r="R843" s="42"/>
      <c r="S843" s="42"/>
      <c r="T843" s="42"/>
      <c r="U843" s="42"/>
      <c r="V843" s="42"/>
      <c r="W843" s="42"/>
      <c r="X843" s="42"/>
      <c r="Y843" s="42"/>
      <c r="Z843" s="42"/>
      <c r="AA843" s="42"/>
      <c r="AB843" s="42"/>
      <c r="AC843" s="42"/>
    </row>
    <row r="844" spans="1:29" x14ac:dyDescent="0.25">
      <c r="A844" s="42"/>
      <c r="B844" s="35"/>
      <c r="C844" s="35"/>
      <c r="D844" s="41"/>
      <c r="E844" s="41"/>
      <c r="F844" s="40"/>
      <c r="G844" s="35"/>
      <c r="H844" s="41"/>
      <c r="I844" s="42"/>
      <c r="J844" s="42"/>
      <c r="K844" s="42"/>
      <c r="L844" s="42"/>
      <c r="M844" s="42"/>
      <c r="N844" s="42"/>
      <c r="O844" s="42"/>
      <c r="P844" s="42"/>
      <c r="Q844" s="42"/>
      <c r="R844" s="42"/>
      <c r="S844" s="42"/>
      <c r="T844" s="42"/>
      <c r="U844" s="42"/>
      <c r="V844" s="42"/>
      <c r="W844" s="42"/>
      <c r="X844" s="42"/>
      <c r="Y844" s="42"/>
      <c r="Z844" s="42"/>
      <c r="AA844" s="42"/>
      <c r="AB844" s="42"/>
      <c r="AC844" s="42"/>
    </row>
    <row r="845" spans="1:29" x14ac:dyDescent="0.25">
      <c r="A845" s="42"/>
      <c r="B845" s="35"/>
      <c r="C845" s="35"/>
      <c r="D845" s="41"/>
      <c r="E845" s="41"/>
      <c r="F845" s="40"/>
      <c r="G845" s="35"/>
      <c r="H845" s="41"/>
      <c r="I845" s="42"/>
      <c r="J845" s="42"/>
      <c r="K845" s="42"/>
      <c r="L845" s="42"/>
      <c r="M845" s="42"/>
      <c r="N845" s="42"/>
      <c r="O845" s="42"/>
      <c r="P845" s="42"/>
      <c r="Q845" s="42"/>
      <c r="R845" s="42"/>
      <c r="S845" s="42"/>
      <c r="T845" s="42"/>
      <c r="U845" s="42"/>
      <c r="V845" s="42"/>
      <c r="W845" s="42"/>
      <c r="X845" s="42"/>
      <c r="Y845" s="42"/>
      <c r="Z845" s="42"/>
      <c r="AA845" s="42"/>
      <c r="AB845" s="42"/>
      <c r="AC845" s="42"/>
    </row>
    <row r="846" spans="1:29" x14ac:dyDescent="0.25">
      <c r="A846" s="42"/>
      <c r="B846" s="35"/>
      <c r="C846" s="35"/>
      <c r="D846" s="41"/>
      <c r="E846" s="41"/>
      <c r="F846" s="40"/>
      <c r="G846" s="35"/>
      <c r="H846" s="41"/>
      <c r="I846" s="42"/>
      <c r="J846" s="42"/>
      <c r="K846" s="42"/>
      <c r="L846" s="42"/>
      <c r="M846" s="42"/>
      <c r="N846" s="42"/>
      <c r="O846" s="42"/>
      <c r="P846" s="42"/>
      <c r="Q846" s="42"/>
      <c r="R846" s="42"/>
      <c r="S846" s="42"/>
      <c r="T846" s="42"/>
      <c r="U846" s="42"/>
      <c r="V846" s="42"/>
      <c r="W846" s="42"/>
      <c r="X846" s="42"/>
      <c r="Y846" s="42"/>
      <c r="Z846" s="42"/>
      <c r="AA846" s="42"/>
      <c r="AB846" s="42"/>
      <c r="AC846" s="42"/>
    </row>
    <row r="847" spans="1:29" x14ac:dyDescent="0.25">
      <c r="A847" s="42"/>
      <c r="B847" s="35"/>
      <c r="C847" s="35"/>
      <c r="D847" s="41"/>
      <c r="E847" s="41"/>
      <c r="F847" s="40"/>
      <c r="G847" s="35"/>
      <c r="H847" s="41"/>
      <c r="I847" s="42"/>
      <c r="J847" s="42"/>
      <c r="K847" s="42"/>
      <c r="L847" s="42"/>
      <c r="M847" s="42"/>
      <c r="N847" s="42"/>
      <c r="O847" s="42"/>
      <c r="P847" s="42"/>
      <c r="Q847" s="42"/>
      <c r="R847" s="42"/>
      <c r="S847" s="42"/>
      <c r="T847" s="42"/>
      <c r="U847" s="42"/>
      <c r="V847" s="42"/>
      <c r="W847" s="42"/>
      <c r="X847" s="42"/>
      <c r="Y847" s="42"/>
      <c r="Z847" s="42"/>
      <c r="AA847" s="42"/>
      <c r="AB847" s="42"/>
      <c r="AC847" s="42"/>
    </row>
    <row r="848" spans="1:29" x14ac:dyDescent="0.25">
      <c r="A848" s="42"/>
      <c r="B848" s="35"/>
      <c r="C848" s="35"/>
      <c r="D848" s="41"/>
      <c r="E848" s="41"/>
      <c r="F848" s="40"/>
      <c r="G848" s="35"/>
      <c r="H848" s="41"/>
      <c r="I848" s="42"/>
      <c r="J848" s="42"/>
      <c r="K848" s="42"/>
      <c r="L848" s="42"/>
      <c r="M848" s="42"/>
      <c r="N848" s="42"/>
      <c r="O848" s="42"/>
      <c r="P848" s="42"/>
      <c r="Q848" s="42"/>
      <c r="R848" s="42"/>
      <c r="S848" s="42"/>
      <c r="T848" s="42"/>
      <c r="U848" s="42"/>
      <c r="V848" s="42"/>
      <c r="W848" s="42"/>
      <c r="X848" s="42"/>
      <c r="Y848" s="42"/>
      <c r="Z848" s="42"/>
      <c r="AA848" s="42"/>
      <c r="AB848" s="42"/>
      <c r="AC848" s="42"/>
    </row>
    <row r="849" spans="1:29" x14ac:dyDescent="0.25">
      <c r="A849" s="42"/>
      <c r="B849" s="35"/>
      <c r="C849" s="35"/>
      <c r="D849" s="41"/>
      <c r="E849" s="41"/>
      <c r="F849" s="40"/>
      <c r="G849" s="35"/>
      <c r="H849" s="41"/>
      <c r="I849" s="42"/>
      <c r="J849" s="42"/>
      <c r="K849" s="42"/>
      <c r="L849" s="42"/>
      <c r="M849" s="42"/>
      <c r="N849" s="42"/>
      <c r="O849" s="42"/>
      <c r="P849" s="42"/>
      <c r="Q849" s="42"/>
      <c r="R849" s="42"/>
      <c r="S849" s="42"/>
      <c r="T849" s="42"/>
      <c r="U849" s="42"/>
      <c r="V849" s="42"/>
      <c r="W849" s="42"/>
      <c r="X849" s="42"/>
      <c r="Y849" s="42"/>
      <c r="Z849" s="42"/>
      <c r="AA849" s="42"/>
      <c r="AB849" s="42"/>
      <c r="AC849" s="42"/>
    </row>
    <row r="850" spans="1:29" x14ac:dyDescent="0.25">
      <c r="A850" s="42"/>
      <c r="B850" s="35"/>
      <c r="C850" s="35"/>
      <c r="D850" s="41"/>
      <c r="E850" s="41"/>
      <c r="F850" s="40"/>
      <c r="G850" s="35"/>
      <c r="H850" s="41"/>
      <c r="I850" s="42"/>
      <c r="J850" s="42"/>
      <c r="K850" s="42"/>
      <c r="L850" s="42"/>
      <c r="M850" s="42"/>
      <c r="N850" s="42"/>
      <c r="O850" s="42"/>
      <c r="P850" s="42"/>
      <c r="Q850" s="42"/>
      <c r="R850" s="42"/>
      <c r="S850" s="42"/>
      <c r="T850" s="42"/>
      <c r="U850" s="42"/>
      <c r="V850" s="42"/>
      <c r="W850" s="42"/>
      <c r="X850" s="42"/>
      <c r="Y850" s="42"/>
      <c r="Z850" s="42"/>
      <c r="AA850" s="42"/>
      <c r="AB850" s="42"/>
      <c r="AC850" s="42"/>
    </row>
    <row r="851" spans="1:29" x14ac:dyDescent="0.25">
      <c r="A851" s="42"/>
      <c r="B851" s="35"/>
      <c r="C851" s="35"/>
      <c r="D851" s="41"/>
      <c r="E851" s="41"/>
      <c r="F851" s="40"/>
      <c r="G851" s="35"/>
      <c r="H851" s="41"/>
      <c r="I851" s="42"/>
      <c r="J851" s="42"/>
      <c r="K851" s="42"/>
      <c r="L851" s="42"/>
      <c r="M851" s="42"/>
      <c r="N851" s="42"/>
      <c r="O851" s="42"/>
      <c r="P851" s="42"/>
      <c r="Q851" s="42"/>
      <c r="R851" s="42"/>
      <c r="S851" s="42"/>
      <c r="T851" s="42"/>
      <c r="U851" s="42"/>
      <c r="V851" s="42"/>
      <c r="W851" s="42"/>
      <c r="X851" s="42"/>
      <c r="Y851" s="42"/>
      <c r="Z851" s="42"/>
      <c r="AA851" s="42"/>
      <c r="AB851" s="42"/>
      <c r="AC851" s="42"/>
    </row>
    <row r="852" spans="1:29" x14ac:dyDescent="0.25">
      <c r="A852" s="42"/>
      <c r="B852" s="35"/>
      <c r="C852" s="35"/>
      <c r="D852" s="41"/>
      <c r="E852" s="41"/>
      <c r="F852" s="40"/>
      <c r="G852" s="35"/>
      <c r="H852" s="41"/>
      <c r="I852" s="42"/>
      <c r="J852" s="42"/>
      <c r="K852" s="42"/>
      <c r="L852" s="42"/>
      <c r="M852" s="42"/>
      <c r="N852" s="42"/>
      <c r="O852" s="42"/>
      <c r="P852" s="42"/>
      <c r="Q852" s="42"/>
      <c r="R852" s="42"/>
      <c r="S852" s="42"/>
      <c r="T852" s="42"/>
      <c r="U852" s="42"/>
      <c r="V852" s="42"/>
      <c r="W852" s="42"/>
      <c r="X852" s="42"/>
      <c r="Y852" s="42"/>
      <c r="Z852" s="42"/>
      <c r="AA852" s="42"/>
      <c r="AB852" s="42"/>
      <c r="AC852" s="42"/>
    </row>
    <row r="853" spans="1:29" x14ac:dyDescent="0.25">
      <c r="A853" s="42"/>
      <c r="B853" s="35"/>
      <c r="C853" s="35"/>
      <c r="D853" s="41"/>
      <c r="E853" s="41"/>
      <c r="F853" s="40"/>
      <c r="G853" s="35"/>
      <c r="H853" s="41"/>
      <c r="I853" s="42"/>
      <c r="J853" s="42"/>
      <c r="K853" s="42"/>
      <c r="L853" s="42"/>
      <c r="M853" s="42"/>
      <c r="N853" s="42"/>
      <c r="O853" s="42"/>
      <c r="P853" s="42"/>
      <c r="Q853" s="42"/>
      <c r="R853" s="42"/>
      <c r="S853" s="42"/>
      <c r="T853" s="42"/>
      <c r="U853" s="42"/>
      <c r="V853" s="42"/>
      <c r="W853" s="42"/>
      <c r="X853" s="42"/>
      <c r="Y853" s="42"/>
      <c r="Z853" s="42"/>
      <c r="AA853" s="42"/>
      <c r="AB853" s="42"/>
      <c r="AC853" s="42"/>
    </row>
    <row r="854" spans="1:29" x14ac:dyDescent="0.25">
      <c r="A854" s="42"/>
      <c r="B854" s="35"/>
      <c r="C854" s="35"/>
      <c r="D854" s="41"/>
      <c r="E854" s="41"/>
      <c r="F854" s="40"/>
      <c r="G854" s="35"/>
      <c r="H854" s="41"/>
      <c r="I854" s="42"/>
      <c r="J854" s="42"/>
      <c r="K854" s="42"/>
      <c r="L854" s="42"/>
      <c r="M854" s="42"/>
      <c r="N854" s="42"/>
      <c r="O854" s="42"/>
      <c r="P854" s="42"/>
      <c r="Q854" s="42"/>
      <c r="R854" s="42"/>
      <c r="S854" s="42"/>
      <c r="T854" s="42"/>
      <c r="U854" s="42"/>
      <c r="V854" s="42"/>
      <c r="W854" s="42"/>
      <c r="X854" s="42"/>
      <c r="Y854" s="42"/>
      <c r="Z854" s="42"/>
      <c r="AA854" s="42"/>
      <c r="AB854" s="42"/>
      <c r="AC854" s="42"/>
    </row>
    <row r="855" spans="1:29" x14ac:dyDescent="0.25">
      <c r="A855" s="42"/>
      <c r="B855" s="35"/>
      <c r="C855" s="35"/>
      <c r="D855" s="41"/>
      <c r="E855" s="41"/>
      <c r="F855" s="40"/>
      <c r="G855" s="35"/>
      <c r="H855" s="41"/>
      <c r="I855" s="42"/>
      <c r="J855" s="42"/>
      <c r="K855" s="42"/>
      <c r="L855" s="42"/>
      <c r="M855" s="42"/>
      <c r="N855" s="42"/>
      <c r="O855" s="42"/>
      <c r="P855" s="42"/>
      <c r="Q855" s="42"/>
      <c r="R855" s="42"/>
      <c r="S855" s="42"/>
      <c r="T855" s="42"/>
      <c r="U855" s="42"/>
      <c r="V855" s="42"/>
      <c r="W855" s="42"/>
      <c r="X855" s="42"/>
      <c r="Y855" s="42"/>
      <c r="Z855" s="42"/>
      <c r="AA855" s="42"/>
      <c r="AB855" s="42"/>
      <c r="AC855" s="42"/>
    </row>
    <row r="856" spans="1:29" x14ac:dyDescent="0.25">
      <c r="A856" s="42"/>
      <c r="B856" s="35"/>
      <c r="C856" s="35"/>
      <c r="D856" s="41"/>
      <c r="E856" s="41"/>
      <c r="F856" s="40"/>
      <c r="G856" s="35"/>
      <c r="H856" s="41"/>
      <c r="I856" s="42"/>
      <c r="J856" s="42"/>
      <c r="K856" s="42"/>
      <c r="L856" s="42"/>
      <c r="M856" s="42"/>
      <c r="N856" s="42"/>
      <c r="O856" s="42"/>
      <c r="P856" s="42"/>
      <c r="Q856" s="42"/>
      <c r="R856" s="42"/>
      <c r="S856" s="42"/>
      <c r="T856" s="42"/>
      <c r="U856" s="42"/>
      <c r="V856" s="42"/>
      <c r="W856" s="42"/>
      <c r="X856" s="42"/>
      <c r="Y856" s="42"/>
      <c r="Z856" s="42"/>
      <c r="AA856" s="42"/>
      <c r="AB856" s="42"/>
      <c r="AC856" s="42"/>
    </row>
    <row r="857" spans="1:29" x14ac:dyDescent="0.25">
      <c r="A857" s="42"/>
      <c r="B857" s="35"/>
      <c r="C857" s="35"/>
      <c r="D857" s="41"/>
      <c r="E857" s="41"/>
      <c r="F857" s="40"/>
      <c r="G857" s="35"/>
      <c r="H857" s="41"/>
      <c r="I857" s="42"/>
      <c r="J857" s="42"/>
      <c r="K857" s="42"/>
      <c r="L857" s="42"/>
      <c r="M857" s="42"/>
      <c r="N857" s="42"/>
      <c r="O857" s="42"/>
      <c r="P857" s="42"/>
      <c r="Q857" s="42"/>
      <c r="R857" s="42"/>
      <c r="S857" s="42"/>
      <c r="T857" s="42"/>
      <c r="U857" s="42"/>
      <c r="V857" s="42"/>
      <c r="W857" s="42"/>
      <c r="X857" s="42"/>
      <c r="Y857" s="42"/>
      <c r="Z857" s="42"/>
      <c r="AA857" s="42"/>
      <c r="AB857" s="42"/>
      <c r="AC857" s="42"/>
    </row>
    <row r="858" spans="1:29" x14ac:dyDescent="0.25">
      <c r="A858" s="42"/>
      <c r="B858" s="35"/>
      <c r="C858" s="35"/>
      <c r="D858" s="41"/>
      <c r="E858" s="41"/>
      <c r="F858" s="40"/>
      <c r="G858" s="35"/>
      <c r="H858" s="41"/>
      <c r="I858" s="42"/>
      <c r="J858" s="42"/>
      <c r="K858" s="42"/>
      <c r="L858" s="42"/>
      <c r="M858" s="42"/>
      <c r="N858" s="42"/>
      <c r="O858" s="42"/>
      <c r="P858" s="42"/>
      <c r="Q858" s="42"/>
      <c r="R858" s="42"/>
      <c r="S858" s="42"/>
      <c r="T858" s="42"/>
      <c r="U858" s="42"/>
      <c r="V858" s="42"/>
      <c r="W858" s="42"/>
      <c r="X858" s="42"/>
      <c r="Y858" s="42"/>
      <c r="Z858" s="42"/>
      <c r="AA858" s="42"/>
      <c r="AB858" s="42"/>
      <c r="AC858" s="42"/>
    </row>
    <row r="859" spans="1:29" x14ac:dyDescent="0.25">
      <c r="A859" s="42"/>
      <c r="B859" s="35"/>
      <c r="C859" s="35"/>
      <c r="D859" s="41"/>
      <c r="E859" s="41"/>
      <c r="F859" s="40"/>
      <c r="G859" s="35"/>
      <c r="H859" s="41"/>
      <c r="I859" s="42"/>
      <c r="J859" s="42"/>
      <c r="K859" s="42"/>
      <c r="L859" s="42"/>
      <c r="M859" s="42"/>
      <c r="N859" s="42"/>
      <c r="O859" s="42"/>
      <c r="P859" s="42"/>
      <c r="Q859" s="42"/>
      <c r="R859" s="42"/>
      <c r="S859" s="42"/>
      <c r="T859" s="42"/>
      <c r="U859" s="42"/>
      <c r="V859" s="42"/>
      <c r="W859" s="42"/>
      <c r="X859" s="42"/>
      <c r="Y859" s="42"/>
      <c r="Z859" s="42"/>
      <c r="AA859" s="42"/>
      <c r="AB859" s="42"/>
      <c r="AC859" s="42"/>
    </row>
    <row r="860" spans="1:29" x14ac:dyDescent="0.25">
      <c r="A860" s="42"/>
      <c r="B860" s="35"/>
      <c r="C860" s="35"/>
      <c r="D860" s="41"/>
      <c r="E860" s="41"/>
      <c r="F860" s="40"/>
      <c r="G860" s="35"/>
      <c r="H860" s="41"/>
      <c r="I860" s="42"/>
      <c r="J860" s="42"/>
      <c r="K860" s="42"/>
      <c r="L860" s="42"/>
      <c r="M860" s="42"/>
      <c r="N860" s="42"/>
      <c r="O860" s="42"/>
      <c r="P860" s="42"/>
      <c r="Q860" s="42"/>
      <c r="R860" s="42"/>
      <c r="S860" s="42"/>
      <c r="T860" s="42"/>
      <c r="U860" s="42"/>
      <c r="V860" s="42"/>
      <c r="W860" s="42"/>
      <c r="X860" s="42"/>
      <c r="Y860" s="42"/>
      <c r="Z860" s="42"/>
      <c r="AA860" s="42"/>
      <c r="AB860" s="42"/>
      <c r="AC860" s="42"/>
    </row>
    <row r="861" spans="1:29" x14ac:dyDescent="0.25">
      <c r="A861" s="42"/>
      <c r="B861" s="35"/>
      <c r="C861" s="35"/>
      <c r="D861" s="41"/>
      <c r="E861" s="41"/>
      <c r="F861" s="40"/>
      <c r="G861" s="35"/>
      <c r="H861" s="41"/>
      <c r="I861" s="42"/>
      <c r="J861" s="42"/>
      <c r="K861" s="42"/>
      <c r="L861" s="42"/>
      <c r="M861" s="42"/>
      <c r="N861" s="42"/>
      <c r="O861" s="42"/>
      <c r="P861" s="42"/>
      <c r="Q861" s="42"/>
      <c r="R861" s="42"/>
      <c r="S861" s="42"/>
      <c r="T861" s="42"/>
      <c r="U861" s="42"/>
      <c r="V861" s="42"/>
      <c r="W861" s="42"/>
      <c r="X861" s="42"/>
      <c r="Y861" s="42"/>
      <c r="Z861" s="42"/>
      <c r="AA861" s="42"/>
      <c r="AB861" s="42"/>
      <c r="AC861" s="42"/>
    </row>
    <row r="862" spans="1:29" x14ac:dyDescent="0.25">
      <c r="A862" s="42"/>
      <c r="B862" s="35"/>
      <c r="C862" s="35"/>
      <c r="D862" s="41"/>
      <c r="E862" s="41"/>
      <c r="F862" s="40"/>
      <c r="G862" s="35"/>
      <c r="H862" s="41"/>
      <c r="I862" s="42"/>
      <c r="J862" s="42"/>
      <c r="K862" s="42"/>
      <c r="L862" s="42"/>
      <c r="M862" s="42"/>
      <c r="N862" s="42"/>
      <c r="O862" s="42"/>
      <c r="P862" s="42"/>
      <c r="Q862" s="42"/>
      <c r="R862" s="42"/>
      <c r="S862" s="42"/>
      <c r="T862" s="42"/>
      <c r="U862" s="42"/>
      <c r="V862" s="42"/>
      <c r="W862" s="42"/>
      <c r="X862" s="42"/>
      <c r="Y862" s="42"/>
      <c r="Z862" s="42"/>
      <c r="AA862" s="42"/>
      <c r="AB862" s="42"/>
      <c r="AC862" s="42"/>
    </row>
    <row r="863" spans="1:29" x14ac:dyDescent="0.25">
      <c r="A863" s="42"/>
      <c r="B863" s="35"/>
      <c r="C863" s="35"/>
      <c r="D863" s="41"/>
      <c r="E863" s="41"/>
      <c r="F863" s="40"/>
      <c r="G863" s="35"/>
      <c r="H863" s="41"/>
      <c r="I863" s="42"/>
      <c r="J863" s="42"/>
      <c r="K863" s="42"/>
      <c r="L863" s="42"/>
      <c r="M863" s="42"/>
      <c r="N863" s="42"/>
      <c r="O863" s="42"/>
      <c r="P863" s="42"/>
      <c r="Q863" s="42"/>
      <c r="R863" s="42"/>
      <c r="S863" s="42"/>
      <c r="T863" s="42"/>
      <c r="U863" s="42"/>
      <c r="V863" s="42"/>
      <c r="W863" s="42"/>
      <c r="X863" s="42"/>
      <c r="Y863" s="42"/>
      <c r="Z863" s="42"/>
      <c r="AA863" s="42"/>
      <c r="AB863" s="42"/>
      <c r="AC863" s="42"/>
    </row>
    <row r="864" spans="1:29" x14ac:dyDescent="0.25">
      <c r="A864" s="42"/>
      <c r="B864" s="35"/>
      <c r="C864" s="35"/>
      <c r="D864" s="41"/>
      <c r="E864" s="41"/>
      <c r="F864" s="40"/>
      <c r="G864" s="35"/>
      <c r="H864" s="41"/>
      <c r="I864" s="42"/>
      <c r="J864" s="42"/>
      <c r="K864" s="42"/>
      <c r="L864" s="42"/>
      <c r="M864" s="42"/>
      <c r="N864" s="42"/>
      <c r="O864" s="42"/>
      <c r="P864" s="42"/>
      <c r="Q864" s="42"/>
      <c r="R864" s="42"/>
      <c r="S864" s="42"/>
      <c r="T864" s="42"/>
      <c r="U864" s="42"/>
      <c r="V864" s="42"/>
      <c r="W864" s="42"/>
      <c r="X864" s="42"/>
      <c r="Y864" s="42"/>
      <c r="Z864" s="42"/>
      <c r="AA864" s="42"/>
      <c r="AB864" s="42"/>
      <c r="AC864" s="42"/>
    </row>
    <row r="865" spans="1:29" x14ac:dyDescent="0.25">
      <c r="A865" s="42"/>
      <c r="B865" s="35"/>
      <c r="C865" s="35"/>
      <c r="D865" s="41"/>
      <c r="E865" s="41"/>
      <c r="F865" s="40"/>
      <c r="G865" s="35"/>
      <c r="H865" s="41"/>
      <c r="I865" s="42"/>
      <c r="J865" s="42"/>
      <c r="K865" s="42"/>
      <c r="L865" s="42"/>
      <c r="M865" s="42"/>
      <c r="N865" s="42"/>
      <c r="O865" s="42"/>
      <c r="P865" s="42"/>
      <c r="Q865" s="42"/>
      <c r="R865" s="42"/>
      <c r="S865" s="42"/>
      <c r="T865" s="42"/>
      <c r="U865" s="42"/>
      <c r="V865" s="42"/>
      <c r="W865" s="42"/>
      <c r="X865" s="42"/>
      <c r="Y865" s="42"/>
      <c r="Z865" s="42"/>
      <c r="AA865" s="42"/>
      <c r="AB865" s="42"/>
      <c r="AC865" s="42"/>
    </row>
    <row r="866" spans="1:29" x14ac:dyDescent="0.25">
      <c r="A866" s="42"/>
      <c r="B866" s="35"/>
      <c r="C866" s="35"/>
      <c r="D866" s="41"/>
      <c r="E866" s="41"/>
      <c r="F866" s="40"/>
      <c r="G866" s="35"/>
      <c r="H866" s="41"/>
      <c r="I866" s="42"/>
      <c r="J866" s="42"/>
      <c r="K866" s="42"/>
      <c r="L866" s="42"/>
      <c r="M866" s="42"/>
      <c r="N866" s="42"/>
      <c r="O866" s="42"/>
      <c r="P866" s="42"/>
      <c r="Q866" s="42"/>
      <c r="R866" s="42"/>
      <c r="S866" s="42"/>
      <c r="T866" s="42"/>
      <c r="U866" s="42"/>
      <c r="V866" s="42"/>
      <c r="W866" s="42"/>
      <c r="X866" s="42"/>
      <c r="Y866" s="42"/>
      <c r="Z866" s="42"/>
      <c r="AA866" s="42"/>
      <c r="AB866" s="42"/>
      <c r="AC866" s="42"/>
    </row>
    <row r="867" spans="1:29" x14ac:dyDescent="0.25">
      <c r="A867" s="42"/>
      <c r="B867" s="35"/>
      <c r="C867" s="35"/>
      <c r="D867" s="41"/>
      <c r="E867" s="41"/>
      <c r="F867" s="40"/>
      <c r="G867" s="35"/>
      <c r="H867" s="41"/>
      <c r="I867" s="42"/>
      <c r="J867" s="42"/>
      <c r="K867" s="42"/>
      <c r="L867" s="42"/>
      <c r="M867" s="42"/>
      <c r="N867" s="42"/>
      <c r="O867" s="42"/>
      <c r="P867" s="42"/>
      <c r="Q867" s="42"/>
      <c r="R867" s="42"/>
      <c r="S867" s="42"/>
      <c r="T867" s="42"/>
      <c r="U867" s="42"/>
      <c r="V867" s="42"/>
      <c r="W867" s="42"/>
      <c r="X867" s="42"/>
      <c r="Y867" s="42"/>
      <c r="Z867" s="42"/>
      <c r="AA867" s="42"/>
      <c r="AB867" s="42"/>
      <c r="AC867" s="42"/>
    </row>
    <row r="868" spans="1:29" x14ac:dyDescent="0.25">
      <c r="A868" s="42"/>
      <c r="B868" s="35"/>
      <c r="C868" s="35"/>
      <c r="D868" s="41"/>
      <c r="E868" s="41"/>
      <c r="F868" s="40"/>
      <c r="G868" s="35"/>
      <c r="H868" s="41"/>
      <c r="I868" s="42"/>
      <c r="J868" s="42"/>
      <c r="K868" s="42"/>
      <c r="L868" s="42"/>
      <c r="M868" s="42"/>
      <c r="N868" s="42"/>
      <c r="O868" s="42"/>
      <c r="P868" s="42"/>
      <c r="Q868" s="42"/>
      <c r="R868" s="42"/>
      <c r="S868" s="42"/>
      <c r="T868" s="42"/>
      <c r="U868" s="42"/>
      <c r="V868" s="42"/>
      <c r="W868" s="42"/>
      <c r="X868" s="42"/>
      <c r="Y868" s="42"/>
      <c r="Z868" s="42"/>
      <c r="AA868" s="42"/>
      <c r="AB868" s="42"/>
      <c r="AC868" s="42"/>
    </row>
    <row r="869" spans="1:29" x14ac:dyDescent="0.25">
      <c r="A869" s="42"/>
      <c r="B869" s="35"/>
      <c r="C869" s="35"/>
      <c r="D869" s="41"/>
      <c r="E869" s="41"/>
      <c r="F869" s="40"/>
      <c r="G869" s="35"/>
      <c r="H869" s="41"/>
      <c r="I869" s="42"/>
      <c r="J869" s="42"/>
      <c r="K869" s="42"/>
      <c r="L869" s="42"/>
      <c r="M869" s="42"/>
      <c r="N869" s="42"/>
      <c r="O869" s="42"/>
      <c r="P869" s="42"/>
      <c r="Q869" s="42"/>
      <c r="R869" s="42"/>
      <c r="S869" s="42"/>
      <c r="T869" s="42"/>
      <c r="U869" s="42"/>
      <c r="V869" s="42"/>
      <c r="W869" s="42"/>
      <c r="X869" s="42"/>
      <c r="Y869" s="42"/>
      <c r="Z869" s="42"/>
      <c r="AA869" s="42"/>
      <c r="AB869" s="42"/>
      <c r="AC869" s="42"/>
    </row>
    <row r="870" spans="1:29" x14ac:dyDescent="0.25">
      <c r="A870" s="42"/>
      <c r="B870" s="35"/>
      <c r="C870" s="35"/>
      <c r="D870" s="41"/>
      <c r="E870" s="41"/>
      <c r="F870" s="40"/>
      <c r="G870" s="35"/>
      <c r="H870" s="41"/>
      <c r="I870" s="42"/>
      <c r="J870" s="42"/>
      <c r="K870" s="42"/>
      <c r="L870" s="42"/>
      <c r="M870" s="42"/>
      <c r="N870" s="42"/>
      <c r="O870" s="42"/>
      <c r="P870" s="42"/>
      <c r="Q870" s="42"/>
      <c r="R870" s="42"/>
      <c r="S870" s="42"/>
      <c r="T870" s="42"/>
      <c r="U870" s="42"/>
      <c r="V870" s="42"/>
      <c r="W870" s="42"/>
      <c r="X870" s="42"/>
      <c r="Y870" s="42"/>
      <c r="Z870" s="42"/>
      <c r="AA870" s="42"/>
      <c r="AB870" s="42"/>
      <c r="AC870" s="42"/>
    </row>
    <row r="871" spans="1:29" x14ac:dyDescent="0.25">
      <c r="A871" s="42"/>
      <c r="B871" s="35"/>
      <c r="C871" s="35"/>
      <c r="D871" s="41"/>
      <c r="E871" s="41"/>
      <c r="F871" s="40"/>
      <c r="G871" s="35"/>
      <c r="H871" s="41"/>
      <c r="I871" s="42"/>
      <c r="J871" s="42"/>
      <c r="K871" s="42"/>
      <c r="L871" s="42"/>
      <c r="M871" s="42"/>
      <c r="N871" s="42"/>
      <c r="O871" s="42"/>
      <c r="P871" s="42"/>
      <c r="Q871" s="42"/>
      <c r="R871" s="42"/>
      <c r="S871" s="42"/>
      <c r="T871" s="42"/>
      <c r="U871" s="42"/>
      <c r="V871" s="42"/>
      <c r="W871" s="42"/>
      <c r="X871" s="42"/>
      <c r="Y871" s="42"/>
      <c r="Z871" s="42"/>
      <c r="AA871" s="42"/>
      <c r="AB871" s="42"/>
      <c r="AC871" s="42"/>
    </row>
    <row r="872" spans="1:29" x14ac:dyDescent="0.25">
      <c r="A872" s="42"/>
      <c r="B872" s="35"/>
      <c r="C872" s="35"/>
      <c r="D872" s="41"/>
      <c r="E872" s="41"/>
      <c r="F872" s="40"/>
      <c r="G872" s="35"/>
      <c r="H872" s="41"/>
      <c r="I872" s="42"/>
      <c r="J872" s="42"/>
      <c r="K872" s="42"/>
      <c r="L872" s="42"/>
      <c r="M872" s="42"/>
      <c r="N872" s="42"/>
      <c r="O872" s="42"/>
      <c r="P872" s="42"/>
      <c r="Q872" s="42"/>
      <c r="R872" s="42"/>
      <c r="S872" s="42"/>
      <c r="T872" s="42"/>
      <c r="U872" s="42"/>
      <c r="V872" s="42"/>
      <c r="W872" s="42"/>
      <c r="X872" s="42"/>
      <c r="Y872" s="42"/>
      <c r="Z872" s="42"/>
      <c r="AA872" s="42"/>
      <c r="AB872" s="42"/>
      <c r="AC872" s="42"/>
    </row>
    <row r="873" spans="1:29" x14ac:dyDescent="0.25">
      <c r="A873" s="42"/>
      <c r="B873" s="35"/>
      <c r="C873" s="35"/>
      <c r="D873" s="41"/>
      <c r="E873" s="41"/>
      <c r="F873" s="40"/>
      <c r="G873" s="35"/>
      <c r="H873" s="41"/>
      <c r="I873" s="42"/>
      <c r="J873" s="42"/>
      <c r="K873" s="42"/>
      <c r="L873" s="42"/>
      <c r="M873" s="42"/>
      <c r="N873" s="42"/>
      <c r="O873" s="42"/>
      <c r="P873" s="42"/>
      <c r="Q873" s="42"/>
      <c r="R873" s="42"/>
      <c r="S873" s="42"/>
      <c r="T873" s="42"/>
      <c r="U873" s="42"/>
      <c r="V873" s="42"/>
      <c r="W873" s="42"/>
      <c r="X873" s="42"/>
      <c r="Y873" s="42"/>
      <c r="Z873" s="42"/>
      <c r="AA873" s="42"/>
      <c r="AB873" s="42"/>
      <c r="AC873" s="42"/>
    </row>
    <row r="874" spans="1:29" x14ac:dyDescent="0.25">
      <c r="A874" s="42"/>
      <c r="B874" s="35"/>
      <c r="C874" s="35"/>
      <c r="D874" s="41"/>
      <c r="E874" s="41"/>
      <c r="F874" s="40"/>
      <c r="G874" s="35"/>
      <c r="H874" s="41"/>
      <c r="I874" s="42"/>
      <c r="J874" s="42"/>
      <c r="K874" s="42"/>
      <c r="L874" s="42"/>
      <c r="M874" s="42"/>
      <c r="N874" s="42"/>
      <c r="O874" s="42"/>
      <c r="P874" s="42"/>
      <c r="Q874" s="42"/>
      <c r="R874" s="42"/>
      <c r="S874" s="42"/>
      <c r="T874" s="42"/>
      <c r="U874" s="42"/>
      <c r="V874" s="42"/>
      <c r="W874" s="42"/>
      <c r="X874" s="42"/>
      <c r="Y874" s="42"/>
      <c r="Z874" s="42"/>
      <c r="AA874" s="42"/>
      <c r="AB874" s="42"/>
      <c r="AC874" s="42"/>
    </row>
    <row r="875" spans="1:29" x14ac:dyDescent="0.25">
      <c r="A875" s="42"/>
      <c r="B875" s="35"/>
      <c r="C875" s="35"/>
      <c r="D875" s="41"/>
      <c r="E875" s="41"/>
      <c r="F875" s="40"/>
      <c r="G875" s="35"/>
      <c r="H875" s="41"/>
      <c r="I875" s="42"/>
      <c r="J875" s="42"/>
      <c r="K875" s="42"/>
      <c r="L875" s="42"/>
      <c r="M875" s="42"/>
      <c r="N875" s="42"/>
      <c r="O875" s="42"/>
      <c r="P875" s="42"/>
      <c r="Q875" s="42"/>
      <c r="R875" s="42"/>
      <c r="S875" s="42"/>
      <c r="T875" s="42"/>
      <c r="U875" s="42"/>
      <c r="V875" s="42"/>
      <c r="W875" s="42"/>
      <c r="X875" s="42"/>
      <c r="Y875" s="42"/>
      <c r="Z875" s="42"/>
      <c r="AA875" s="42"/>
      <c r="AB875" s="42"/>
      <c r="AC875" s="42"/>
    </row>
    <row r="876" spans="1:29" x14ac:dyDescent="0.25">
      <c r="A876" s="42"/>
      <c r="B876" s="35"/>
      <c r="C876" s="35"/>
      <c r="D876" s="41"/>
      <c r="E876" s="41"/>
      <c r="F876" s="40"/>
      <c r="G876" s="35"/>
      <c r="H876" s="41"/>
      <c r="I876" s="42"/>
      <c r="J876" s="42"/>
      <c r="K876" s="42"/>
      <c r="L876" s="42"/>
      <c r="M876" s="42"/>
      <c r="N876" s="42"/>
      <c r="O876" s="42"/>
      <c r="P876" s="42"/>
      <c r="Q876" s="42"/>
      <c r="R876" s="42"/>
      <c r="S876" s="42"/>
      <c r="T876" s="42"/>
      <c r="U876" s="42"/>
      <c r="V876" s="42"/>
      <c r="W876" s="42"/>
      <c r="X876" s="42"/>
      <c r="Y876" s="42"/>
      <c r="Z876" s="42"/>
      <c r="AA876" s="42"/>
      <c r="AB876" s="42"/>
      <c r="AC876" s="42"/>
    </row>
    <row r="877" spans="1:29" x14ac:dyDescent="0.25">
      <c r="A877" s="42"/>
      <c r="B877" s="35"/>
      <c r="C877" s="35"/>
      <c r="D877" s="41"/>
      <c r="E877" s="41"/>
      <c r="F877" s="40"/>
      <c r="G877" s="35"/>
      <c r="H877" s="41"/>
      <c r="I877" s="42"/>
      <c r="J877" s="42"/>
      <c r="K877" s="42"/>
      <c r="L877" s="42"/>
      <c r="M877" s="42"/>
      <c r="N877" s="42"/>
      <c r="O877" s="42"/>
      <c r="P877" s="42"/>
      <c r="Q877" s="42"/>
      <c r="R877" s="42"/>
      <c r="S877" s="42"/>
      <c r="T877" s="42"/>
      <c r="U877" s="42"/>
      <c r="V877" s="42"/>
      <c r="W877" s="42"/>
      <c r="X877" s="42"/>
      <c r="Y877" s="42"/>
      <c r="Z877" s="42"/>
      <c r="AA877" s="42"/>
      <c r="AB877" s="42"/>
      <c r="AC877" s="42"/>
    </row>
    <row r="878" spans="1:29" x14ac:dyDescent="0.25">
      <c r="A878" s="42"/>
      <c r="B878" s="35"/>
      <c r="C878" s="35"/>
      <c r="D878" s="41"/>
      <c r="E878" s="41"/>
      <c r="F878" s="40"/>
      <c r="G878" s="35"/>
      <c r="H878" s="41"/>
      <c r="I878" s="42"/>
      <c r="J878" s="42"/>
      <c r="K878" s="42"/>
      <c r="L878" s="42"/>
      <c r="M878" s="42"/>
      <c r="N878" s="42"/>
      <c r="O878" s="42"/>
      <c r="P878" s="42"/>
      <c r="Q878" s="42"/>
      <c r="R878" s="42"/>
      <c r="S878" s="42"/>
      <c r="T878" s="42"/>
      <c r="U878" s="42"/>
      <c r="V878" s="42"/>
      <c r="W878" s="42"/>
      <c r="X878" s="42"/>
      <c r="Y878" s="42"/>
      <c r="Z878" s="42"/>
      <c r="AA878" s="42"/>
      <c r="AB878" s="42"/>
      <c r="AC878" s="42"/>
    </row>
    <row r="879" spans="1:29" x14ac:dyDescent="0.25">
      <c r="A879" s="42"/>
      <c r="B879" s="35"/>
      <c r="C879" s="35"/>
      <c r="D879" s="41"/>
      <c r="E879" s="41"/>
      <c r="F879" s="40"/>
      <c r="G879" s="35"/>
      <c r="H879" s="41"/>
      <c r="I879" s="42"/>
      <c r="J879" s="42"/>
      <c r="K879" s="42"/>
      <c r="L879" s="42"/>
      <c r="M879" s="42"/>
      <c r="N879" s="42"/>
      <c r="O879" s="42"/>
      <c r="P879" s="42"/>
      <c r="Q879" s="42"/>
      <c r="R879" s="42"/>
      <c r="S879" s="42"/>
      <c r="T879" s="42"/>
      <c r="U879" s="42"/>
      <c r="V879" s="42"/>
      <c r="W879" s="42"/>
      <c r="X879" s="42"/>
      <c r="Y879" s="42"/>
      <c r="Z879" s="42"/>
      <c r="AA879" s="42"/>
      <c r="AB879" s="42"/>
      <c r="AC879" s="42"/>
    </row>
    <row r="880" spans="1:29" x14ac:dyDescent="0.25">
      <c r="A880" s="42"/>
      <c r="B880" s="35"/>
      <c r="C880" s="35"/>
      <c r="D880" s="41"/>
      <c r="E880" s="41"/>
      <c r="F880" s="40"/>
      <c r="G880" s="35"/>
      <c r="H880" s="41"/>
      <c r="I880" s="42"/>
      <c r="J880" s="42"/>
      <c r="K880" s="42"/>
      <c r="L880" s="42"/>
      <c r="M880" s="42"/>
      <c r="N880" s="42"/>
      <c r="O880" s="42"/>
      <c r="P880" s="42"/>
      <c r="Q880" s="42"/>
      <c r="R880" s="42"/>
      <c r="S880" s="42"/>
      <c r="T880" s="42"/>
      <c r="U880" s="42"/>
      <c r="V880" s="42"/>
      <c r="W880" s="42"/>
      <c r="X880" s="42"/>
      <c r="Y880" s="42"/>
      <c r="Z880" s="42"/>
      <c r="AA880" s="42"/>
      <c r="AB880" s="42"/>
      <c r="AC880" s="42"/>
    </row>
    <row r="881" spans="1:29" x14ac:dyDescent="0.25">
      <c r="A881" s="42"/>
      <c r="B881" s="35"/>
      <c r="C881" s="35"/>
      <c r="D881" s="41"/>
      <c r="E881" s="41"/>
      <c r="F881" s="40"/>
      <c r="G881" s="35"/>
      <c r="H881" s="41"/>
      <c r="I881" s="42"/>
      <c r="J881" s="42"/>
      <c r="K881" s="42"/>
      <c r="L881" s="42"/>
      <c r="M881" s="42"/>
      <c r="N881" s="42"/>
      <c r="O881" s="42"/>
      <c r="P881" s="42"/>
      <c r="Q881" s="42"/>
      <c r="R881" s="42"/>
      <c r="S881" s="42"/>
      <c r="T881" s="42"/>
      <c r="U881" s="42"/>
      <c r="V881" s="42"/>
      <c r="W881" s="42"/>
      <c r="X881" s="42"/>
      <c r="Y881" s="42"/>
      <c r="Z881" s="42"/>
      <c r="AA881" s="42"/>
      <c r="AB881" s="42"/>
      <c r="AC881" s="42"/>
    </row>
    <row r="882" spans="1:29" x14ac:dyDescent="0.25">
      <c r="A882" s="42"/>
      <c r="B882" s="35"/>
      <c r="C882" s="35"/>
      <c r="D882" s="41"/>
      <c r="E882" s="41"/>
      <c r="F882" s="40"/>
      <c r="G882" s="35"/>
      <c r="H882" s="41"/>
      <c r="I882" s="42"/>
      <c r="J882" s="42"/>
      <c r="K882" s="42"/>
      <c r="L882" s="42"/>
      <c r="M882" s="42"/>
      <c r="N882" s="42"/>
      <c r="O882" s="42"/>
      <c r="P882" s="42"/>
      <c r="Q882" s="42"/>
      <c r="R882" s="42"/>
      <c r="S882" s="42"/>
      <c r="T882" s="42"/>
      <c r="U882" s="42"/>
      <c r="V882" s="42"/>
      <c r="W882" s="42"/>
      <c r="X882" s="42"/>
      <c r="Y882" s="42"/>
      <c r="Z882" s="42"/>
      <c r="AA882" s="42"/>
      <c r="AB882" s="42"/>
      <c r="AC882" s="42"/>
    </row>
    <row r="883" spans="1:29" x14ac:dyDescent="0.25">
      <c r="A883" s="42"/>
      <c r="B883" s="35"/>
      <c r="C883" s="35"/>
      <c r="D883" s="41"/>
      <c r="E883" s="41"/>
      <c r="F883" s="40"/>
      <c r="G883" s="35"/>
      <c r="H883" s="41"/>
      <c r="I883" s="42"/>
      <c r="J883" s="42"/>
      <c r="K883" s="42"/>
      <c r="L883" s="42"/>
      <c r="M883" s="42"/>
      <c r="N883" s="42"/>
      <c r="O883" s="42"/>
      <c r="P883" s="42"/>
      <c r="Q883" s="42"/>
      <c r="R883" s="42"/>
      <c r="S883" s="42"/>
      <c r="T883" s="42"/>
      <c r="U883" s="42"/>
      <c r="V883" s="42"/>
      <c r="W883" s="42"/>
      <c r="X883" s="42"/>
      <c r="Y883" s="42"/>
      <c r="Z883" s="42"/>
      <c r="AA883" s="42"/>
      <c r="AB883" s="42"/>
      <c r="AC883" s="42"/>
    </row>
    <row r="884" spans="1:29" x14ac:dyDescent="0.25">
      <c r="A884" s="42"/>
      <c r="B884" s="35"/>
      <c r="C884" s="35"/>
      <c r="D884" s="41"/>
      <c r="E884" s="41"/>
      <c r="F884" s="40"/>
      <c r="G884" s="35"/>
      <c r="H884" s="41"/>
      <c r="I884" s="42"/>
      <c r="J884" s="42"/>
      <c r="K884" s="42"/>
      <c r="L884" s="42"/>
      <c r="M884" s="42"/>
      <c r="N884" s="42"/>
      <c r="O884" s="42"/>
      <c r="P884" s="42"/>
      <c r="Q884" s="42"/>
      <c r="R884" s="42"/>
      <c r="S884" s="42"/>
      <c r="T884" s="42"/>
      <c r="U884" s="42"/>
      <c r="V884" s="42"/>
      <c r="W884" s="42"/>
      <c r="X884" s="42"/>
      <c r="Y884" s="42"/>
      <c r="Z884" s="42"/>
      <c r="AA884" s="42"/>
      <c r="AB884" s="42"/>
      <c r="AC884" s="42"/>
    </row>
    <row r="885" spans="1:29" x14ac:dyDescent="0.25">
      <c r="A885" s="42"/>
      <c r="B885" s="35"/>
      <c r="C885" s="35"/>
      <c r="D885" s="41"/>
      <c r="E885" s="41"/>
      <c r="F885" s="40"/>
      <c r="G885" s="35"/>
      <c r="H885" s="41"/>
      <c r="I885" s="42"/>
      <c r="J885" s="42"/>
      <c r="K885" s="42"/>
      <c r="L885" s="42"/>
      <c r="M885" s="42"/>
      <c r="N885" s="42"/>
      <c r="O885" s="42"/>
      <c r="P885" s="42"/>
      <c r="Q885" s="42"/>
      <c r="R885" s="42"/>
      <c r="S885" s="42"/>
      <c r="T885" s="42"/>
      <c r="U885" s="42"/>
      <c r="V885" s="42"/>
      <c r="W885" s="42"/>
      <c r="X885" s="42"/>
      <c r="Y885" s="42"/>
      <c r="Z885" s="42"/>
      <c r="AA885" s="42"/>
      <c r="AB885" s="42"/>
      <c r="AC885" s="42"/>
    </row>
    <row r="886" spans="1:29" x14ac:dyDescent="0.25">
      <c r="A886" s="42"/>
      <c r="B886" s="35"/>
      <c r="C886" s="35"/>
      <c r="D886" s="41"/>
      <c r="E886" s="41"/>
      <c r="F886" s="40"/>
      <c r="G886" s="35"/>
      <c r="H886" s="41"/>
      <c r="I886" s="42"/>
      <c r="J886" s="42"/>
      <c r="K886" s="42"/>
      <c r="L886" s="42"/>
      <c r="M886" s="42"/>
      <c r="N886" s="42"/>
      <c r="O886" s="42"/>
      <c r="P886" s="42"/>
      <c r="Q886" s="42"/>
      <c r="R886" s="42"/>
      <c r="S886" s="42"/>
      <c r="T886" s="42"/>
      <c r="U886" s="42"/>
      <c r="V886" s="42"/>
      <c r="W886" s="42"/>
      <c r="X886" s="42"/>
      <c r="Y886" s="42"/>
      <c r="Z886" s="42"/>
      <c r="AA886" s="42"/>
      <c r="AB886" s="42"/>
      <c r="AC886" s="42"/>
    </row>
    <row r="887" spans="1:29" x14ac:dyDescent="0.25">
      <c r="A887" s="42"/>
      <c r="B887" s="35"/>
      <c r="C887" s="35"/>
      <c r="D887" s="41"/>
      <c r="E887" s="41"/>
      <c r="F887" s="40"/>
      <c r="G887" s="35"/>
      <c r="H887" s="41"/>
      <c r="I887" s="42"/>
      <c r="J887" s="42"/>
      <c r="K887" s="42"/>
      <c r="L887" s="42"/>
      <c r="M887" s="42"/>
      <c r="N887" s="42"/>
      <c r="O887" s="42"/>
      <c r="P887" s="42"/>
      <c r="Q887" s="42"/>
      <c r="R887" s="42"/>
      <c r="S887" s="42"/>
      <c r="T887" s="42"/>
      <c r="U887" s="42"/>
      <c r="V887" s="42"/>
      <c r="W887" s="42"/>
      <c r="X887" s="42"/>
      <c r="Y887" s="42"/>
      <c r="Z887" s="42"/>
      <c r="AA887" s="42"/>
      <c r="AB887" s="42"/>
      <c r="AC887" s="42"/>
    </row>
    <row r="888" spans="1:29" x14ac:dyDescent="0.25">
      <c r="A888" s="42"/>
      <c r="B888" s="35"/>
      <c r="C888" s="35"/>
      <c r="D888" s="41"/>
      <c r="E888" s="41"/>
      <c r="F888" s="40"/>
      <c r="G888" s="35"/>
      <c r="H888" s="41"/>
      <c r="I888" s="42"/>
      <c r="J888" s="42"/>
      <c r="K888" s="42"/>
      <c r="L888" s="42"/>
      <c r="M888" s="42"/>
      <c r="N888" s="42"/>
      <c r="O888" s="42"/>
      <c r="P888" s="42"/>
      <c r="Q888" s="42"/>
      <c r="R888" s="42"/>
      <c r="S888" s="42"/>
      <c r="T888" s="42"/>
      <c r="U888" s="42"/>
      <c r="V888" s="42"/>
      <c r="W888" s="42"/>
      <c r="X888" s="42"/>
      <c r="Y888" s="42"/>
      <c r="Z888" s="42"/>
      <c r="AA888" s="42"/>
      <c r="AB888" s="42"/>
      <c r="AC888" s="42"/>
    </row>
    <row r="889" spans="1:29" x14ac:dyDescent="0.25">
      <c r="A889" s="42"/>
      <c r="B889" s="35"/>
      <c r="C889" s="35"/>
      <c r="D889" s="41"/>
      <c r="E889" s="41"/>
      <c r="F889" s="40"/>
      <c r="G889" s="35"/>
      <c r="H889" s="41"/>
      <c r="I889" s="42"/>
      <c r="J889" s="42"/>
      <c r="K889" s="42"/>
      <c r="L889" s="42"/>
      <c r="M889" s="42"/>
      <c r="N889" s="42"/>
      <c r="O889" s="42"/>
      <c r="P889" s="42"/>
      <c r="Q889" s="42"/>
      <c r="R889" s="42"/>
      <c r="S889" s="42"/>
      <c r="T889" s="42"/>
      <c r="U889" s="42"/>
      <c r="V889" s="42"/>
      <c r="W889" s="42"/>
      <c r="X889" s="42"/>
      <c r="Y889" s="42"/>
      <c r="Z889" s="42"/>
      <c r="AA889" s="42"/>
      <c r="AB889" s="42"/>
      <c r="AC889" s="42"/>
    </row>
    <row r="890" spans="1:29" x14ac:dyDescent="0.25">
      <c r="A890" s="42"/>
      <c r="B890" s="35"/>
      <c r="C890" s="35"/>
      <c r="D890" s="41"/>
      <c r="E890" s="41"/>
      <c r="F890" s="40"/>
      <c r="G890" s="35"/>
      <c r="H890" s="41"/>
      <c r="I890" s="42"/>
      <c r="J890" s="42"/>
      <c r="K890" s="42"/>
      <c r="L890" s="42"/>
      <c r="M890" s="42"/>
      <c r="N890" s="42"/>
      <c r="O890" s="42"/>
      <c r="P890" s="42"/>
      <c r="Q890" s="42"/>
      <c r="R890" s="42"/>
      <c r="S890" s="42"/>
      <c r="T890" s="42"/>
      <c r="U890" s="42"/>
      <c r="V890" s="42"/>
      <c r="W890" s="42"/>
      <c r="X890" s="42"/>
      <c r="Y890" s="42"/>
      <c r="Z890" s="42"/>
      <c r="AA890" s="42"/>
      <c r="AB890" s="42"/>
      <c r="AC890" s="42"/>
    </row>
    <row r="891" spans="1:29" x14ac:dyDescent="0.25">
      <c r="A891" s="42"/>
      <c r="B891" s="35"/>
      <c r="C891" s="35"/>
      <c r="D891" s="41"/>
      <c r="E891" s="41"/>
      <c r="F891" s="40"/>
      <c r="G891" s="35"/>
      <c r="H891" s="41"/>
      <c r="I891" s="42"/>
      <c r="J891" s="42"/>
      <c r="K891" s="42"/>
      <c r="L891" s="42"/>
      <c r="M891" s="42"/>
      <c r="N891" s="42"/>
      <c r="O891" s="42"/>
      <c r="P891" s="42"/>
      <c r="Q891" s="42"/>
      <c r="R891" s="42"/>
      <c r="S891" s="42"/>
      <c r="T891" s="42"/>
      <c r="U891" s="42"/>
      <c r="V891" s="42"/>
      <c r="W891" s="42"/>
      <c r="X891" s="42"/>
      <c r="Y891" s="42"/>
      <c r="Z891" s="42"/>
      <c r="AA891" s="42"/>
      <c r="AB891" s="42"/>
      <c r="AC891" s="42"/>
    </row>
    <row r="892" spans="1:29" x14ac:dyDescent="0.25">
      <c r="A892" s="42"/>
      <c r="B892" s="35"/>
      <c r="C892" s="35"/>
      <c r="D892" s="41"/>
      <c r="E892" s="41"/>
      <c r="F892" s="40"/>
      <c r="G892" s="35"/>
      <c r="H892" s="41"/>
      <c r="I892" s="42"/>
      <c r="J892" s="42"/>
      <c r="K892" s="42"/>
      <c r="L892" s="42"/>
      <c r="M892" s="42"/>
      <c r="N892" s="42"/>
      <c r="O892" s="42"/>
      <c r="P892" s="42"/>
      <c r="Q892" s="42"/>
      <c r="R892" s="42"/>
      <c r="S892" s="42"/>
      <c r="T892" s="42"/>
      <c r="U892" s="42"/>
      <c r="V892" s="42"/>
      <c r="W892" s="42"/>
      <c r="X892" s="42"/>
      <c r="Y892" s="42"/>
      <c r="Z892" s="42"/>
      <c r="AA892" s="42"/>
      <c r="AB892" s="42"/>
      <c r="AC892" s="42"/>
    </row>
    <row r="893" spans="1:29" x14ac:dyDescent="0.25">
      <c r="A893" s="42"/>
      <c r="B893" s="35"/>
      <c r="C893" s="35"/>
      <c r="D893" s="41"/>
      <c r="E893" s="41"/>
      <c r="F893" s="40"/>
      <c r="G893" s="35"/>
      <c r="H893" s="41"/>
      <c r="I893" s="42"/>
      <c r="J893" s="42"/>
      <c r="K893" s="42"/>
      <c r="L893" s="42"/>
      <c r="M893" s="42"/>
      <c r="N893" s="42"/>
      <c r="O893" s="42"/>
      <c r="P893" s="42"/>
      <c r="Q893" s="42"/>
      <c r="R893" s="42"/>
      <c r="S893" s="42"/>
      <c r="T893" s="42"/>
      <c r="U893" s="42"/>
      <c r="V893" s="42"/>
      <c r="W893" s="42"/>
      <c r="X893" s="42"/>
      <c r="Y893" s="42"/>
      <c r="Z893" s="42"/>
      <c r="AA893" s="42"/>
      <c r="AB893" s="42"/>
      <c r="AC893" s="42"/>
    </row>
    <row r="894" spans="1:29" x14ac:dyDescent="0.25">
      <c r="A894" s="42"/>
      <c r="B894" s="35"/>
      <c r="C894" s="35"/>
      <c r="D894" s="41"/>
      <c r="E894" s="41"/>
      <c r="F894" s="40"/>
      <c r="G894" s="35"/>
      <c r="H894" s="41"/>
      <c r="I894" s="42"/>
      <c r="J894" s="42"/>
      <c r="K894" s="42"/>
      <c r="L894" s="42"/>
      <c r="M894" s="42"/>
      <c r="N894" s="42"/>
      <c r="O894" s="42"/>
      <c r="P894" s="42"/>
      <c r="Q894" s="42"/>
      <c r="R894" s="42"/>
      <c r="S894" s="42"/>
      <c r="T894" s="42"/>
      <c r="U894" s="42"/>
      <c r="V894" s="42"/>
      <c r="W894" s="42"/>
      <c r="X894" s="42"/>
      <c r="Y894" s="42"/>
      <c r="Z894" s="42"/>
      <c r="AA894" s="42"/>
      <c r="AB894" s="42"/>
      <c r="AC894" s="42"/>
    </row>
    <row r="895" spans="1:29" x14ac:dyDescent="0.25">
      <c r="A895" s="42"/>
      <c r="B895" s="35"/>
      <c r="C895" s="35"/>
      <c r="D895" s="41"/>
      <c r="E895" s="41"/>
      <c r="F895" s="40"/>
      <c r="G895" s="35"/>
      <c r="H895" s="41"/>
      <c r="I895" s="42"/>
      <c r="J895" s="42"/>
      <c r="K895" s="42"/>
      <c r="L895" s="42"/>
      <c r="M895" s="42"/>
      <c r="N895" s="42"/>
      <c r="O895" s="42"/>
      <c r="P895" s="42"/>
      <c r="Q895" s="42"/>
      <c r="R895" s="42"/>
      <c r="S895" s="42"/>
      <c r="T895" s="42"/>
      <c r="U895" s="42"/>
      <c r="V895" s="42"/>
      <c r="W895" s="42"/>
      <c r="X895" s="42"/>
      <c r="Y895" s="42"/>
      <c r="Z895" s="42"/>
      <c r="AA895" s="42"/>
      <c r="AB895" s="42"/>
      <c r="AC895" s="42"/>
    </row>
    <row r="896" spans="1:29" x14ac:dyDescent="0.25">
      <c r="A896" s="42"/>
      <c r="B896" s="35"/>
      <c r="C896" s="35"/>
      <c r="D896" s="41"/>
      <c r="E896" s="41"/>
      <c r="F896" s="40"/>
      <c r="G896" s="35"/>
      <c r="H896" s="41"/>
      <c r="I896" s="42"/>
      <c r="J896" s="42"/>
      <c r="K896" s="42"/>
      <c r="L896" s="42"/>
      <c r="M896" s="42"/>
      <c r="N896" s="42"/>
      <c r="O896" s="42"/>
      <c r="P896" s="42"/>
      <c r="Q896" s="42"/>
      <c r="R896" s="42"/>
      <c r="S896" s="42"/>
      <c r="T896" s="42"/>
      <c r="U896" s="42"/>
      <c r="V896" s="42"/>
      <c r="W896" s="42"/>
      <c r="X896" s="42"/>
      <c r="Y896" s="42"/>
      <c r="Z896" s="42"/>
      <c r="AA896" s="42"/>
      <c r="AB896" s="42"/>
      <c r="AC896" s="42"/>
    </row>
    <row r="897" spans="1:29" x14ac:dyDescent="0.25">
      <c r="A897" s="42"/>
      <c r="B897" s="35"/>
      <c r="C897" s="35"/>
      <c r="D897" s="41"/>
      <c r="E897" s="41"/>
      <c r="F897" s="40"/>
      <c r="G897" s="35"/>
      <c r="H897" s="41"/>
      <c r="I897" s="42"/>
      <c r="J897" s="42"/>
      <c r="K897" s="42"/>
      <c r="L897" s="42"/>
      <c r="M897" s="42"/>
      <c r="N897" s="42"/>
      <c r="O897" s="42"/>
      <c r="P897" s="42"/>
      <c r="Q897" s="42"/>
      <c r="R897" s="42"/>
      <c r="S897" s="42"/>
      <c r="T897" s="42"/>
      <c r="U897" s="42"/>
      <c r="V897" s="42"/>
      <c r="W897" s="42"/>
      <c r="X897" s="42"/>
      <c r="Y897" s="42"/>
      <c r="Z897" s="42"/>
      <c r="AA897" s="42"/>
      <c r="AB897" s="42"/>
      <c r="AC897" s="42"/>
    </row>
    <row r="898" spans="1:29" x14ac:dyDescent="0.25">
      <c r="A898" s="42"/>
      <c r="B898" s="35"/>
      <c r="C898" s="35"/>
      <c r="D898" s="41"/>
      <c r="E898" s="41"/>
      <c r="F898" s="40"/>
      <c r="G898" s="35"/>
      <c r="H898" s="41"/>
      <c r="I898" s="42"/>
      <c r="J898" s="42"/>
      <c r="K898" s="42"/>
      <c r="L898" s="42"/>
      <c r="M898" s="42"/>
      <c r="N898" s="42"/>
      <c r="O898" s="42"/>
      <c r="P898" s="42"/>
      <c r="Q898" s="42"/>
      <c r="R898" s="42"/>
      <c r="S898" s="42"/>
      <c r="T898" s="42"/>
      <c r="U898" s="42"/>
      <c r="V898" s="42"/>
      <c r="W898" s="42"/>
      <c r="X898" s="42"/>
      <c r="Y898" s="42"/>
      <c r="Z898" s="42"/>
      <c r="AA898" s="42"/>
      <c r="AB898" s="42"/>
      <c r="AC898" s="42"/>
    </row>
    <row r="899" spans="1:29" x14ac:dyDescent="0.25">
      <c r="A899" s="42"/>
      <c r="B899" s="35"/>
      <c r="C899" s="35"/>
      <c r="D899" s="41"/>
      <c r="E899" s="41"/>
      <c r="F899" s="40"/>
      <c r="G899" s="35"/>
      <c r="H899" s="41"/>
      <c r="I899" s="42"/>
      <c r="J899" s="42"/>
      <c r="K899" s="42"/>
      <c r="L899" s="42"/>
      <c r="M899" s="42"/>
      <c r="N899" s="42"/>
      <c r="O899" s="42"/>
      <c r="P899" s="42"/>
      <c r="Q899" s="42"/>
      <c r="R899" s="42"/>
      <c r="S899" s="42"/>
      <c r="T899" s="42"/>
      <c r="U899" s="42"/>
      <c r="V899" s="42"/>
      <c r="W899" s="42"/>
      <c r="X899" s="42"/>
      <c r="Y899" s="42"/>
      <c r="Z899" s="42"/>
      <c r="AA899" s="42"/>
      <c r="AB899" s="42"/>
      <c r="AC899" s="42"/>
    </row>
    <row r="900" spans="1:29" x14ac:dyDescent="0.25">
      <c r="A900" s="42"/>
      <c r="B900" s="35"/>
      <c r="C900" s="35"/>
      <c r="D900" s="41"/>
      <c r="E900" s="41"/>
      <c r="F900" s="40"/>
      <c r="G900" s="35"/>
      <c r="H900" s="41"/>
      <c r="I900" s="42"/>
      <c r="J900" s="42"/>
      <c r="K900" s="42"/>
      <c r="L900" s="42"/>
      <c r="M900" s="42"/>
      <c r="N900" s="42"/>
      <c r="O900" s="42"/>
      <c r="P900" s="42"/>
      <c r="Q900" s="42"/>
      <c r="R900" s="42"/>
      <c r="S900" s="42"/>
      <c r="T900" s="42"/>
      <c r="U900" s="42"/>
      <c r="V900" s="42"/>
      <c r="W900" s="42"/>
      <c r="X900" s="42"/>
      <c r="Y900" s="42"/>
      <c r="Z900" s="42"/>
      <c r="AA900" s="42"/>
      <c r="AB900" s="42"/>
      <c r="AC900" s="42"/>
    </row>
    <row r="901" spans="1:29" x14ac:dyDescent="0.25">
      <c r="A901" s="42"/>
      <c r="B901" s="35"/>
      <c r="C901" s="35"/>
      <c r="D901" s="41"/>
      <c r="E901" s="41"/>
      <c r="F901" s="40"/>
      <c r="G901" s="35"/>
      <c r="H901" s="41"/>
      <c r="I901" s="42"/>
      <c r="J901" s="42"/>
      <c r="K901" s="42"/>
      <c r="L901" s="42"/>
      <c r="M901" s="42"/>
      <c r="N901" s="42"/>
      <c r="O901" s="42"/>
      <c r="P901" s="42"/>
      <c r="Q901" s="42"/>
      <c r="R901" s="42"/>
      <c r="S901" s="42"/>
      <c r="T901" s="42"/>
      <c r="U901" s="42"/>
      <c r="V901" s="42"/>
      <c r="W901" s="42"/>
      <c r="X901" s="42"/>
      <c r="Y901" s="42"/>
      <c r="Z901" s="42"/>
      <c r="AA901" s="42"/>
      <c r="AB901" s="42"/>
      <c r="AC901" s="42"/>
    </row>
    <row r="902" spans="1:29" x14ac:dyDescent="0.25">
      <c r="A902" s="42"/>
      <c r="B902" s="35"/>
      <c r="C902" s="35"/>
      <c r="D902" s="41"/>
      <c r="E902" s="41"/>
      <c r="F902" s="40"/>
      <c r="G902" s="35"/>
      <c r="H902" s="41"/>
      <c r="I902" s="42"/>
      <c r="J902" s="42"/>
      <c r="K902" s="42"/>
      <c r="L902" s="42"/>
      <c r="M902" s="42"/>
      <c r="N902" s="42"/>
      <c r="O902" s="42"/>
      <c r="P902" s="42"/>
      <c r="Q902" s="42"/>
      <c r="R902" s="42"/>
      <c r="S902" s="42"/>
      <c r="T902" s="42"/>
      <c r="U902" s="42"/>
      <c r="V902" s="42"/>
      <c r="W902" s="42"/>
      <c r="X902" s="42"/>
      <c r="Y902" s="42"/>
      <c r="Z902" s="42"/>
      <c r="AA902" s="42"/>
      <c r="AB902" s="42"/>
      <c r="AC902" s="42"/>
    </row>
    <row r="903" spans="1:29" x14ac:dyDescent="0.25">
      <c r="A903" s="42"/>
      <c r="B903" s="35"/>
      <c r="C903" s="35"/>
      <c r="D903" s="41"/>
      <c r="E903" s="41"/>
      <c r="F903" s="40"/>
      <c r="G903" s="35"/>
      <c r="H903" s="41"/>
      <c r="I903" s="42"/>
      <c r="J903" s="42"/>
      <c r="K903" s="42"/>
      <c r="L903" s="42"/>
      <c r="M903" s="42"/>
      <c r="N903" s="42"/>
      <c r="O903" s="42"/>
      <c r="P903" s="42"/>
      <c r="Q903" s="42"/>
      <c r="R903" s="42"/>
      <c r="S903" s="42"/>
      <c r="T903" s="42"/>
      <c r="U903" s="42"/>
      <c r="V903" s="42"/>
      <c r="W903" s="42"/>
      <c r="X903" s="42"/>
      <c r="Y903" s="42"/>
      <c r="Z903" s="42"/>
      <c r="AA903" s="42"/>
      <c r="AB903" s="42"/>
      <c r="AC903" s="42"/>
    </row>
    <row r="904" spans="1:29" x14ac:dyDescent="0.25">
      <c r="A904" s="42"/>
      <c r="B904" s="35"/>
      <c r="C904" s="35"/>
      <c r="D904" s="41"/>
      <c r="E904" s="41"/>
      <c r="F904" s="40"/>
      <c r="G904" s="35"/>
      <c r="H904" s="41"/>
      <c r="I904" s="42"/>
      <c r="J904" s="42"/>
      <c r="K904" s="42"/>
      <c r="L904" s="42"/>
      <c r="M904" s="42"/>
      <c r="N904" s="42"/>
      <c r="O904" s="42"/>
      <c r="P904" s="42"/>
      <c r="Q904" s="42"/>
      <c r="R904" s="42"/>
      <c r="S904" s="42"/>
      <c r="T904" s="42"/>
      <c r="U904" s="42"/>
      <c r="V904" s="42"/>
      <c r="W904" s="42"/>
      <c r="X904" s="42"/>
      <c r="Y904" s="42"/>
      <c r="Z904" s="42"/>
      <c r="AA904" s="42"/>
      <c r="AB904" s="42"/>
      <c r="AC904" s="42"/>
    </row>
    <row r="905" spans="1:29" x14ac:dyDescent="0.25">
      <c r="A905" s="42"/>
      <c r="B905" s="35"/>
      <c r="C905" s="35"/>
      <c r="D905" s="41"/>
      <c r="E905" s="41"/>
      <c r="F905" s="40"/>
      <c r="G905" s="35"/>
      <c r="H905" s="41"/>
      <c r="I905" s="42"/>
      <c r="J905" s="42"/>
      <c r="K905" s="42"/>
      <c r="L905" s="42"/>
      <c r="M905" s="42"/>
      <c r="N905" s="42"/>
      <c r="O905" s="42"/>
      <c r="P905" s="42"/>
      <c r="Q905" s="42"/>
      <c r="R905" s="42"/>
      <c r="S905" s="42"/>
      <c r="T905" s="42"/>
      <c r="U905" s="42"/>
      <c r="V905" s="42"/>
      <c r="W905" s="42"/>
      <c r="X905" s="42"/>
      <c r="Y905" s="42"/>
      <c r="Z905" s="42"/>
      <c r="AA905" s="42"/>
      <c r="AB905" s="42"/>
      <c r="AC905" s="42"/>
    </row>
    <row r="906" spans="1:29" x14ac:dyDescent="0.25">
      <c r="A906" s="42"/>
      <c r="B906" s="35"/>
      <c r="C906" s="35"/>
      <c r="D906" s="41"/>
      <c r="E906" s="41"/>
      <c r="F906" s="40"/>
      <c r="G906" s="35"/>
      <c r="H906" s="41"/>
      <c r="I906" s="42"/>
      <c r="J906" s="42"/>
      <c r="K906" s="42"/>
      <c r="L906" s="42"/>
      <c r="M906" s="42"/>
      <c r="N906" s="42"/>
      <c r="O906" s="42"/>
      <c r="P906" s="42"/>
      <c r="Q906" s="42"/>
      <c r="R906" s="42"/>
      <c r="S906" s="42"/>
      <c r="T906" s="42"/>
      <c r="U906" s="42"/>
      <c r="V906" s="42"/>
      <c r="W906" s="42"/>
      <c r="X906" s="42"/>
      <c r="Y906" s="42"/>
      <c r="Z906" s="42"/>
      <c r="AA906" s="42"/>
      <c r="AB906" s="42"/>
      <c r="AC906" s="42"/>
    </row>
    <row r="907" spans="1:29" x14ac:dyDescent="0.25">
      <c r="A907" s="42"/>
      <c r="B907" s="35"/>
      <c r="C907" s="35"/>
      <c r="D907" s="41"/>
      <c r="E907" s="41"/>
      <c r="F907" s="40"/>
      <c r="G907" s="35"/>
      <c r="H907" s="41"/>
      <c r="I907" s="42"/>
      <c r="J907" s="42"/>
      <c r="K907" s="42"/>
      <c r="L907" s="42"/>
      <c r="M907" s="42"/>
      <c r="N907" s="42"/>
      <c r="O907" s="42"/>
      <c r="P907" s="42"/>
      <c r="Q907" s="42"/>
      <c r="R907" s="42"/>
      <c r="S907" s="42"/>
      <c r="T907" s="42"/>
      <c r="U907" s="42"/>
      <c r="V907" s="42"/>
      <c r="W907" s="42"/>
      <c r="X907" s="42"/>
      <c r="Y907" s="42"/>
      <c r="Z907" s="42"/>
      <c r="AA907" s="42"/>
      <c r="AB907" s="42"/>
      <c r="AC907" s="42"/>
    </row>
    <row r="908" spans="1:29" x14ac:dyDescent="0.25">
      <c r="A908" s="42"/>
      <c r="B908" s="35"/>
      <c r="C908" s="35"/>
      <c r="D908" s="41"/>
      <c r="E908" s="41"/>
      <c r="F908" s="40"/>
      <c r="G908" s="35"/>
      <c r="H908" s="41"/>
      <c r="I908" s="42"/>
      <c r="J908" s="42"/>
      <c r="K908" s="42"/>
      <c r="L908" s="42"/>
      <c r="M908" s="42"/>
      <c r="N908" s="42"/>
      <c r="O908" s="42"/>
      <c r="P908" s="42"/>
      <c r="Q908" s="42"/>
      <c r="R908" s="42"/>
      <c r="S908" s="42"/>
      <c r="T908" s="42"/>
      <c r="U908" s="42"/>
      <c r="V908" s="42"/>
      <c r="W908" s="42"/>
      <c r="X908" s="42"/>
      <c r="Y908" s="42"/>
      <c r="Z908" s="42"/>
      <c r="AA908" s="42"/>
      <c r="AB908" s="42"/>
      <c r="AC908" s="42"/>
    </row>
    <row r="909" spans="1:29" x14ac:dyDescent="0.25">
      <c r="A909" s="42"/>
      <c r="B909" s="35"/>
      <c r="C909" s="35"/>
      <c r="D909" s="41"/>
      <c r="E909" s="41"/>
      <c r="F909" s="40"/>
      <c r="G909" s="35"/>
      <c r="H909" s="41"/>
      <c r="I909" s="42"/>
      <c r="J909" s="42"/>
      <c r="K909" s="42"/>
      <c r="L909" s="42"/>
      <c r="M909" s="42"/>
      <c r="N909" s="42"/>
      <c r="O909" s="42"/>
      <c r="P909" s="42"/>
      <c r="Q909" s="42"/>
      <c r="R909" s="42"/>
      <c r="S909" s="42"/>
      <c r="T909" s="42"/>
      <c r="U909" s="42"/>
      <c r="V909" s="42"/>
      <c r="W909" s="42"/>
      <c r="X909" s="42"/>
      <c r="Y909" s="42"/>
      <c r="Z909" s="42"/>
      <c r="AA909" s="42"/>
      <c r="AB909" s="42"/>
      <c r="AC909" s="42"/>
    </row>
    <row r="910" spans="1:29" x14ac:dyDescent="0.25">
      <c r="A910" s="42"/>
      <c r="B910" s="35"/>
      <c r="C910" s="35"/>
      <c r="D910" s="41"/>
      <c r="E910" s="41"/>
      <c r="F910" s="40"/>
      <c r="G910" s="35"/>
      <c r="H910" s="41"/>
      <c r="I910" s="42"/>
      <c r="J910" s="42"/>
      <c r="K910" s="42"/>
      <c r="L910" s="42"/>
      <c r="M910" s="42"/>
      <c r="N910" s="42"/>
      <c r="O910" s="42"/>
      <c r="P910" s="42"/>
      <c r="Q910" s="42"/>
      <c r="R910" s="42"/>
      <c r="S910" s="42"/>
      <c r="T910" s="42"/>
      <c r="U910" s="42"/>
      <c r="V910" s="42"/>
      <c r="W910" s="42"/>
      <c r="X910" s="42"/>
      <c r="Y910" s="42"/>
      <c r="Z910" s="42"/>
      <c r="AA910" s="42"/>
      <c r="AB910" s="42"/>
      <c r="AC910" s="42"/>
    </row>
    <row r="911" spans="1:29" x14ac:dyDescent="0.25">
      <c r="A911" s="42"/>
      <c r="B911" s="35"/>
      <c r="C911" s="35"/>
      <c r="D911" s="41"/>
      <c r="E911" s="41"/>
      <c r="F911" s="40"/>
      <c r="G911" s="35"/>
      <c r="H911" s="41"/>
      <c r="I911" s="42"/>
      <c r="J911" s="42"/>
      <c r="K911" s="42"/>
      <c r="L911" s="42"/>
      <c r="M911" s="42"/>
      <c r="N911" s="42"/>
      <c r="O911" s="42"/>
      <c r="P911" s="42"/>
      <c r="Q911" s="42"/>
      <c r="R911" s="42"/>
      <c r="S911" s="42"/>
      <c r="T911" s="42"/>
      <c r="U911" s="42"/>
      <c r="V911" s="42"/>
      <c r="W911" s="42"/>
      <c r="X911" s="42"/>
      <c r="Y911" s="42"/>
      <c r="Z911" s="42"/>
      <c r="AA911" s="42"/>
      <c r="AB911" s="42"/>
      <c r="AC911" s="42"/>
    </row>
    <row r="912" spans="1:29" x14ac:dyDescent="0.25">
      <c r="A912" s="42"/>
      <c r="B912" s="35"/>
      <c r="C912" s="35"/>
      <c r="D912" s="41"/>
      <c r="E912" s="41"/>
      <c r="F912" s="40"/>
      <c r="G912" s="35"/>
      <c r="H912" s="41"/>
      <c r="I912" s="42"/>
      <c r="J912" s="42"/>
      <c r="K912" s="42"/>
      <c r="L912" s="42"/>
      <c r="M912" s="42"/>
      <c r="N912" s="42"/>
      <c r="O912" s="42"/>
      <c r="P912" s="42"/>
      <c r="Q912" s="42"/>
      <c r="R912" s="42"/>
      <c r="S912" s="42"/>
      <c r="T912" s="42"/>
      <c r="U912" s="42"/>
      <c r="V912" s="42"/>
      <c r="W912" s="42"/>
      <c r="X912" s="42"/>
      <c r="Y912" s="42"/>
      <c r="Z912" s="42"/>
      <c r="AA912" s="42"/>
      <c r="AB912" s="42"/>
      <c r="AC912" s="42"/>
    </row>
    <row r="913" spans="1:29" x14ac:dyDescent="0.25">
      <c r="A913" s="42"/>
      <c r="B913" s="35"/>
      <c r="C913" s="35"/>
      <c r="D913" s="41"/>
      <c r="E913" s="41"/>
      <c r="F913" s="40"/>
      <c r="G913" s="35"/>
      <c r="H913" s="41"/>
      <c r="I913" s="42"/>
      <c r="J913" s="42"/>
      <c r="K913" s="42"/>
      <c r="L913" s="42"/>
      <c r="M913" s="42"/>
      <c r="N913" s="42"/>
      <c r="O913" s="42"/>
      <c r="P913" s="42"/>
      <c r="Q913" s="42"/>
      <c r="R913" s="42"/>
      <c r="S913" s="42"/>
      <c r="T913" s="42"/>
      <c r="U913" s="42"/>
      <c r="V913" s="42"/>
      <c r="W913" s="42"/>
      <c r="X913" s="42"/>
      <c r="Y913" s="42"/>
      <c r="Z913" s="42"/>
      <c r="AA913" s="42"/>
      <c r="AB913" s="42"/>
      <c r="AC913" s="42"/>
    </row>
    <row r="914" spans="1:29" x14ac:dyDescent="0.25">
      <c r="A914" s="42"/>
      <c r="B914" s="35"/>
      <c r="C914" s="35"/>
      <c r="D914" s="41"/>
      <c r="E914" s="41"/>
      <c r="F914" s="40"/>
      <c r="G914" s="35"/>
      <c r="H914" s="41"/>
      <c r="I914" s="42"/>
      <c r="J914" s="42"/>
      <c r="K914" s="42"/>
      <c r="L914" s="42"/>
      <c r="M914" s="42"/>
      <c r="N914" s="42"/>
      <c r="O914" s="42"/>
      <c r="P914" s="42"/>
      <c r="Q914" s="42"/>
      <c r="R914" s="42"/>
      <c r="S914" s="42"/>
      <c r="T914" s="42"/>
      <c r="U914" s="42"/>
      <c r="V914" s="42"/>
      <c r="W914" s="42"/>
      <c r="X914" s="42"/>
      <c r="Y914" s="42"/>
      <c r="Z914" s="42"/>
      <c r="AA914" s="42"/>
      <c r="AB914" s="42"/>
      <c r="AC914" s="42"/>
    </row>
    <row r="915" spans="1:29" x14ac:dyDescent="0.25">
      <c r="A915" s="42"/>
      <c r="B915" s="35"/>
      <c r="C915" s="35"/>
      <c r="D915" s="41"/>
      <c r="E915" s="41"/>
      <c r="F915" s="40"/>
      <c r="G915" s="35"/>
      <c r="H915" s="41"/>
      <c r="I915" s="42"/>
      <c r="J915" s="42"/>
      <c r="K915" s="42"/>
      <c r="L915" s="42"/>
      <c r="M915" s="42"/>
      <c r="N915" s="42"/>
      <c r="O915" s="42"/>
      <c r="P915" s="42"/>
      <c r="Q915" s="42"/>
      <c r="R915" s="42"/>
      <c r="S915" s="42"/>
      <c r="T915" s="42"/>
      <c r="U915" s="42"/>
      <c r="V915" s="42"/>
      <c r="W915" s="42"/>
      <c r="X915" s="42"/>
      <c r="Y915" s="42"/>
      <c r="Z915" s="42"/>
      <c r="AA915" s="42"/>
      <c r="AB915" s="42"/>
      <c r="AC915" s="42"/>
    </row>
    <row r="916" spans="1:29" x14ac:dyDescent="0.25">
      <c r="A916" s="42"/>
      <c r="B916" s="35"/>
      <c r="C916" s="35"/>
      <c r="D916" s="41"/>
      <c r="E916" s="41"/>
      <c r="F916" s="40"/>
      <c r="G916" s="35"/>
      <c r="H916" s="41"/>
      <c r="I916" s="42"/>
      <c r="J916" s="42"/>
      <c r="K916" s="42"/>
      <c r="L916" s="42"/>
      <c r="M916" s="42"/>
      <c r="N916" s="42"/>
      <c r="O916" s="42"/>
      <c r="P916" s="42"/>
      <c r="Q916" s="42"/>
      <c r="R916" s="42"/>
      <c r="S916" s="42"/>
      <c r="T916" s="42"/>
      <c r="U916" s="42"/>
      <c r="V916" s="42"/>
      <c r="W916" s="42"/>
      <c r="X916" s="42"/>
      <c r="Y916" s="42"/>
      <c r="Z916" s="42"/>
      <c r="AA916" s="42"/>
      <c r="AB916" s="42"/>
      <c r="AC916" s="42"/>
    </row>
    <row r="917" spans="1:29" x14ac:dyDescent="0.25">
      <c r="A917" s="42"/>
      <c r="B917" s="35"/>
      <c r="C917" s="35"/>
      <c r="D917" s="41"/>
      <c r="E917" s="41"/>
      <c r="F917" s="40"/>
      <c r="G917" s="35"/>
      <c r="H917" s="41"/>
      <c r="I917" s="42"/>
      <c r="J917" s="42"/>
      <c r="K917" s="42"/>
      <c r="L917" s="42"/>
      <c r="M917" s="42"/>
      <c r="N917" s="42"/>
      <c r="O917" s="42"/>
      <c r="P917" s="42"/>
      <c r="Q917" s="42"/>
      <c r="R917" s="42"/>
      <c r="S917" s="42"/>
      <c r="T917" s="42"/>
      <c r="U917" s="42"/>
      <c r="V917" s="42"/>
      <c r="W917" s="42"/>
      <c r="X917" s="42"/>
      <c r="Y917" s="42"/>
      <c r="Z917" s="42"/>
      <c r="AA917" s="42"/>
      <c r="AB917" s="42"/>
      <c r="AC917" s="42"/>
    </row>
    <row r="918" spans="1:29" x14ac:dyDescent="0.25">
      <c r="A918" s="42"/>
      <c r="B918" s="35"/>
      <c r="C918" s="35"/>
      <c r="D918" s="41"/>
      <c r="E918" s="41"/>
      <c r="F918" s="40"/>
      <c r="G918" s="35"/>
      <c r="H918" s="41"/>
      <c r="I918" s="42"/>
      <c r="J918" s="42"/>
      <c r="K918" s="42"/>
      <c r="L918" s="42"/>
      <c r="M918" s="42"/>
      <c r="N918" s="42"/>
      <c r="O918" s="42"/>
      <c r="P918" s="42"/>
      <c r="Q918" s="42"/>
      <c r="R918" s="42"/>
      <c r="S918" s="42"/>
      <c r="T918" s="42"/>
      <c r="U918" s="42"/>
      <c r="V918" s="42"/>
      <c r="W918" s="42"/>
      <c r="X918" s="42"/>
      <c r="Y918" s="42"/>
      <c r="Z918" s="42"/>
      <c r="AA918" s="42"/>
      <c r="AB918" s="42"/>
      <c r="AC918" s="42"/>
    </row>
    <row r="919" spans="1:29" x14ac:dyDescent="0.25">
      <c r="A919" s="42"/>
      <c r="B919" s="35"/>
      <c r="C919" s="35"/>
      <c r="D919" s="41"/>
      <c r="E919" s="41"/>
      <c r="F919" s="40"/>
      <c r="G919" s="35"/>
      <c r="H919" s="41"/>
      <c r="I919" s="42"/>
      <c r="J919" s="42"/>
      <c r="K919" s="42"/>
      <c r="L919" s="42"/>
      <c r="M919" s="42"/>
      <c r="N919" s="42"/>
      <c r="O919" s="42"/>
      <c r="P919" s="42"/>
      <c r="Q919" s="42"/>
      <c r="R919" s="42"/>
      <c r="S919" s="42"/>
      <c r="T919" s="42"/>
      <c r="U919" s="42"/>
      <c r="V919" s="42"/>
      <c r="W919" s="42"/>
      <c r="X919" s="42"/>
      <c r="Y919" s="42"/>
      <c r="Z919" s="42"/>
      <c r="AA919" s="42"/>
      <c r="AB919" s="42"/>
      <c r="AC919" s="42"/>
    </row>
    <row r="920" spans="1:29" x14ac:dyDescent="0.25">
      <c r="A920" s="42"/>
      <c r="B920" s="35"/>
      <c r="C920" s="35"/>
      <c r="D920" s="41"/>
      <c r="E920" s="41"/>
      <c r="F920" s="40"/>
      <c r="G920" s="35"/>
      <c r="H920" s="41"/>
      <c r="I920" s="42"/>
      <c r="J920" s="42"/>
      <c r="K920" s="42"/>
      <c r="L920" s="42"/>
      <c r="M920" s="42"/>
      <c r="N920" s="42"/>
      <c r="O920" s="42"/>
      <c r="P920" s="42"/>
      <c r="Q920" s="42"/>
      <c r="R920" s="42"/>
      <c r="S920" s="42"/>
      <c r="T920" s="42"/>
      <c r="U920" s="42"/>
      <c r="V920" s="42"/>
      <c r="W920" s="42"/>
      <c r="X920" s="42"/>
      <c r="Y920" s="42"/>
      <c r="Z920" s="42"/>
      <c r="AA920" s="42"/>
      <c r="AB920" s="42"/>
      <c r="AC920" s="42"/>
    </row>
    <row r="921" spans="1:29" x14ac:dyDescent="0.25">
      <c r="A921" s="42"/>
      <c r="B921" s="35"/>
      <c r="C921" s="35"/>
      <c r="D921" s="41"/>
      <c r="E921" s="41"/>
      <c r="F921" s="40"/>
      <c r="G921" s="35"/>
      <c r="H921" s="41"/>
      <c r="I921" s="42"/>
      <c r="J921" s="42"/>
      <c r="K921" s="42"/>
      <c r="L921" s="42"/>
      <c r="M921" s="42"/>
      <c r="N921" s="42"/>
      <c r="O921" s="42"/>
      <c r="P921" s="42"/>
      <c r="Q921" s="42"/>
      <c r="R921" s="42"/>
      <c r="S921" s="42"/>
      <c r="T921" s="42"/>
      <c r="U921" s="42"/>
      <c r="V921" s="42"/>
      <c r="W921" s="42"/>
      <c r="X921" s="42"/>
      <c r="Y921" s="42"/>
      <c r="Z921" s="42"/>
      <c r="AA921" s="42"/>
      <c r="AB921" s="42"/>
      <c r="AC921" s="42"/>
    </row>
    <row r="922" spans="1:29" x14ac:dyDescent="0.25">
      <c r="A922" s="42"/>
      <c r="B922" s="35"/>
      <c r="C922" s="35"/>
      <c r="D922" s="41"/>
      <c r="E922" s="41"/>
      <c r="F922" s="40"/>
      <c r="G922" s="35"/>
      <c r="H922" s="41"/>
      <c r="I922" s="42"/>
      <c r="J922" s="42"/>
      <c r="K922" s="42"/>
      <c r="L922" s="42"/>
      <c r="M922" s="42"/>
      <c r="N922" s="42"/>
      <c r="O922" s="42"/>
      <c r="P922" s="42"/>
      <c r="Q922" s="42"/>
      <c r="R922" s="42"/>
      <c r="S922" s="42"/>
      <c r="T922" s="42"/>
      <c r="U922" s="42"/>
      <c r="V922" s="42"/>
      <c r="W922" s="42"/>
      <c r="X922" s="42"/>
      <c r="Y922" s="42"/>
      <c r="Z922" s="42"/>
      <c r="AA922" s="42"/>
      <c r="AB922" s="42"/>
      <c r="AC922" s="42"/>
    </row>
    <row r="923" spans="1:29" x14ac:dyDescent="0.25">
      <c r="A923" s="42"/>
      <c r="B923" s="35"/>
      <c r="C923" s="35"/>
      <c r="D923" s="41"/>
      <c r="E923" s="41"/>
      <c r="F923" s="40"/>
      <c r="G923" s="35"/>
      <c r="H923" s="41"/>
      <c r="I923" s="42"/>
      <c r="J923" s="42"/>
      <c r="K923" s="42"/>
      <c r="L923" s="42"/>
      <c r="M923" s="42"/>
      <c r="N923" s="42"/>
      <c r="O923" s="42"/>
      <c r="P923" s="42"/>
      <c r="Q923" s="42"/>
      <c r="R923" s="42"/>
      <c r="S923" s="42"/>
      <c r="T923" s="42"/>
      <c r="U923" s="42"/>
      <c r="V923" s="42"/>
      <c r="W923" s="42"/>
      <c r="X923" s="42"/>
      <c r="Y923" s="42"/>
      <c r="Z923" s="42"/>
      <c r="AA923" s="42"/>
      <c r="AB923" s="42"/>
      <c r="AC923" s="42"/>
    </row>
    <row r="924" spans="1:29" x14ac:dyDescent="0.25">
      <c r="A924" s="42"/>
      <c r="B924" s="35"/>
      <c r="C924" s="35"/>
      <c r="D924" s="41"/>
      <c r="E924" s="41"/>
      <c r="F924" s="40"/>
      <c r="G924" s="35"/>
      <c r="H924" s="41"/>
      <c r="I924" s="42"/>
      <c r="J924" s="42"/>
      <c r="K924" s="42"/>
      <c r="L924" s="42"/>
      <c r="M924" s="42"/>
      <c r="N924" s="42"/>
      <c r="O924" s="42"/>
      <c r="P924" s="42"/>
      <c r="Q924" s="42"/>
      <c r="R924" s="42"/>
      <c r="S924" s="42"/>
      <c r="T924" s="42"/>
      <c r="U924" s="42"/>
      <c r="V924" s="42"/>
      <c r="W924" s="42"/>
      <c r="X924" s="42"/>
      <c r="Y924" s="42"/>
      <c r="Z924" s="42"/>
      <c r="AA924" s="42"/>
      <c r="AB924" s="42"/>
      <c r="AC924" s="42"/>
    </row>
    <row r="925" spans="1:29" x14ac:dyDescent="0.25">
      <c r="A925" s="42"/>
      <c r="B925" s="35"/>
      <c r="C925" s="35"/>
      <c r="D925" s="41"/>
      <c r="E925" s="41"/>
      <c r="F925" s="40"/>
      <c r="G925" s="35"/>
      <c r="H925" s="41"/>
      <c r="I925" s="42"/>
      <c r="J925" s="42"/>
      <c r="K925" s="42"/>
      <c r="L925" s="42"/>
      <c r="M925" s="42"/>
      <c r="N925" s="42"/>
      <c r="O925" s="42"/>
      <c r="P925" s="42"/>
      <c r="Q925" s="42"/>
      <c r="R925" s="42"/>
      <c r="S925" s="42"/>
      <c r="T925" s="42"/>
      <c r="U925" s="42"/>
      <c r="V925" s="42"/>
      <c r="W925" s="42"/>
      <c r="X925" s="42"/>
      <c r="Y925" s="42"/>
      <c r="Z925" s="42"/>
      <c r="AA925" s="42"/>
      <c r="AB925" s="42"/>
      <c r="AC925" s="42"/>
    </row>
    <row r="926" spans="1:29" x14ac:dyDescent="0.25">
      <c r="A926" s="42"/>
      <c r="B926" s="35"/>
      <c r="C926" s="35"/>
      <c r="D926" s="41"/>
      <c r="E926" s="41"/>
      <c r="F926" s="40"/>
      <c r="G926" s="35"/>
      <c r="H926" s="41"/>
      <c r="I926" s="42"/>
      <c r="J926" s="42"/>
      <c r="K926" s="42"/>
      <c r="L926" s="42"/>
      <c r="M926" s="42"/>
      <c r="N926" s="42"/>
      <c r="O926" s="42"/>
      <c r="P926" s="42"/>
      <c r="Q926" s="42"/>
      <c r="R926" s="42"/>
      <c r="S926" s="42"/>
      <c r="T926" s="42"/>
      <c r="U926" s="42"/>
      <c r="V926" s="42"/>
      <c r="W926" s="42"/>
      <c r="X926" s="42"/>
      <c r="Y926" s="42"/>
      <c r="Z926" s="42"/>
      <c r="AA926" s="42"/>
      <c r="AB926" s="42"/>
      <c r="AC926" s="42"/>
    </row>
    <row r="927" spans="1:29" x14ac:dyDescent="0.25">
      <c r="A927" s="42"/>
      <c r="B927" s="35"/>
      <c r="C927" s="35"/>
      <c r="D927" s="41"/>
      <c r="E927" s="41"/>
      <c r="F927" s="40"/>
      <c r="G927" s="35"/>
      <c r="H927" s="41"/>
      <c r="I927" s="42"/>
      <c r="J927" s="42"/>
      <c r="K927" s="42"/>
      <c r="L927" s="42"/>
      <c r="M927" s="42"/>
      <c r="N927" s="42"/>
      <c r="O927" s="42"/>
      <c r="P927" s="42"/>
      <c r="Q927" s="42"/>
      <c r="R927" s="42"/>
      <c r="S927" s="42"/>
      <c r="T927" s="42"/>
      <c r="U927" s="42"/>
      <c r="V927" s="42"/>
      <c r="W927" s="42"/>
      <c r="X927" s="42"/>
      <c r="Y927" s="42"/>
      <c r="Z927" s="42"/>
      <c r="AA927" s="42"/>
      <c r="AB927" s="42"/>
      <c r="AC927" s="42"/>
    </row>
    <row r="928" spans="1:29" x14ac:dyDescent="0.25">
      <c r="A928" s="42"/>
      <c r="B928" s="35"/>
      <c r="C928" s="35"/>
      <c r="D928" s="41"/>
      <c r="E928" s="41"/>
      <c r="F928" s="40"/>
      <c r="G928" s="35"/>
      <c r="H928" s="41"/>
      <c r="I928" s="42"/>
      <c r="J928" s="42"/>
      <c r="K928" s="42"/>
      <c r="L928" s="42"/>
      <c r="M928" s="42"/>
      <c r="N928" s="42"/>
      <c r="O928" s="42"/>
      <c r="P928" s="42"/>
      <c r="Q928" s="42"/>
      <c r="R928" s="42"/>
      <c r="S928" s="42"/>
      <c r="T928" s="42"/>
      <c r="U928" s="42"/>
      <c r="V928" s="42"/>
      <c r="W928" s="42"/>
      <c r="X928" s="42"/>
      <c r="Y928" s="42"/>
      <c r="Z928" s="42"/>
      <c r="AA928" s="42"/>
      <c r="AB928" s="42"/>
      <c r="AC928" s="42"/>
    </row>
    <row r="929" spans="1:29" x14ac:dyDescent="0.25">
      <c r="A929" s="42"/>
      <c r="B929" s="35"/>
      <c r="C929" s="35"/>
      <c r="D929" s="41"/>
      <c r="E929" s="41"/>
      <c r="F929" s="40"/>
      <c r="G929" s="35"/>
      <c r="H929" s="41"/>
      <c r="I929" s="42"/>
      <c r="J929" s="42"/>
      <c r="K929" s="42"/>
      <c r="L929" s="42"/>
      <c r="M929" s="42"/>
      <c r="N929" s="42"/>
      <c r="O929" s="42"/>
      <c r="P929" s="42"/>
      <c r="Q929" s="42"/>
      <c r="R929" s="42"/>
      <c r="S929" s="42"/>
      <c r="T929" s="42"/>
      <c r="U929" s="42"/>
      <c r="V929" s="42"/>
      <c r="W929" s="42"/>
      <c r="X929" s="42"/>
      <c r="Y929" s="42"/>
      <c r="Z929" s="42"/>
      <c r="AA929" s="42"/>
      <c r="AB929" s="42"/>
      <c r="AC929" s="42"/>
    </row>
    <row r="930" spans="1:29" x14ac:dyDescent="0.25">
      <c r="A930" s="42"/>
      <c r="B930" s="35"/>
      <c r="C930" s="35"/>
      <c r="D930" s="41"/>
      <c r="E930" s="41"/>
      <c r="F930" s="40"/>
      <c r="G930" s="35"/>
      <c r="H930" s="41"/>
      <c r="I930" s="42"/>
      <c r="J930" s="42"/>
      <c r="K930" s="42"/>
      <c r="L930" s="42"/>
      <c r="M930" s="42"/>
      <c r="N930" s="42"/>
      <c r="O930" s="42"/>
      <c r="P930" s="42"/>
      <c r="Q930" s="42"/>
      <c r="R930" s="42"/>
      <c r="S930" s="42"/>
      <c r="T930" s="42"/>
      <c r="U930" s="42"/>
      <c r="V930" s="42"/>
      <c r="W930" s="42"/>
      <c r="X930" s="42"/>
      <c r="Y930" s="42"/>
      <c r="Z930" s="42"/>
      <c r="AA930" s="42"/>
      <c r="AB930" s="42"/>
      <c r="AC930" s="42"/>
    </row>
    <row r="931" spans="1:29" x14ac:dyDescent="0.25">
      <c r="A931" s="42"/>
      <c r="B931" s="35"/>
      <c r="C931" s="35"/>
      <c r="D931" s="41"/>
      <c r="E931" s="41"/>
      <c r="F931" s="40"/>
      <c r="G931" s="35"/>
      <c r="H931" s="41"/>
      <c r="I931" s="42"/>
      <c r="J931" s="42"/>
      <c r="K931" s="42"/>
      <c r="L931" s="42"/>
      <c r="M931" s="42"/>
      <c r="N931" s="42"/>
      <c r="O931" s="42"/>
      <c r="P931" s="42"/>
      <c r="Q931" s="42"/>
      <c r="R931" s="42"/>
      <c r="S931" s="42"/>
      <c r="T931" s="42"/>
      <c r="U931" s="42"/>
      <c r="V931" s="42"/>
      <c r="W931" s="42"/>
      <c r="X931" s="42"/>
      <c r="Y931" s="42"/>
      <c r="Z931" s="42"/>
      <c r="AA931" s="42"/>
      <c r="AB931" s="42"/>
      <c r="AC931" s="42"/>
    </row>
    <row r="932" spans="1:29" x14ac:dyDescent="0.25">
      <c r="A932" s="42"/>
      <c r="B932" s="35"/>
      <c r="C932" s="35"/>
      <c r="D932" s="41"/>
      <c r="E932" s="41"/>
      <c r="F932" s="40"/>
      <c r="G932" s="35"/>
      <c r="H932" s="41"/>
      <c r="I932" s="42"/>
      <c r="J932" s="42"/>
      <c r="K932" s="42"/>
      <c r="L932" s="42"/>
      <c r="M932" s="42"/>
      <c r="N932" s="42"/>
      <c r="O932" s="42"/>
      <c r="P932" s="42"/>
      <c r="Q932" s="42"/>
      <c r="R932" s="42"/>
      <c r="S932" s="42"/>
      <c r="T932" s="42"/>
      <c r="U932" s="42"/>
      <c r="V932" s="42"/>
      <c r="W932" s="42"/>
      <c r="X932" s="42"/>
      <c r="Y932" s="42"/>
      <c r="Z932" s="42"/>
      <c r="AA932" s="42"/>
      <c r="AB932" s="42"/>
      <c r="AC932" s="42"/>
    </row>
    <row r="933" spans="1:29" x14ac:dyDescent="0.25">
      <c r="A933" s="42"/>
      <c r="B933" s="35"/>
      <c r="C933" s="35"/>
      <c r="D933" s="41"/>
      <c r="E933" s="41"/>
      <c r="F933" s="40"/>
      <c r="G933" s="35"/>
      <c r="H933" s="41"/>
      <c r="I933" s="42"/>
      <c r="J933" s="42"/>
      <c r="K933" s="42"/>
      <c r="L933" s="42"/>
      <c r="M933" s="42"/>
      <c r="N933" s="42"/>
      <c r="O933" s="42"/>
      <c r="P933" s="42"/>
      <c r="Q933" s="42"/>
      <c r="R933" s="42"/>
      <c r="S933" s="42"/>
      <c r="T933" s="42"/>
      <c r="U933" s="42"/>
      <c r="V933" s="42"/>
      <c r="W933" s="42"/>
      <c r="X933" s="42"/>
      <c r="Y933" s="42"/>
      <c r="Z933" s="42"/>
      <c r="AA933" s="42"/>
      <c r="AB933" s="42"/>
      <c r="AC933" s="42"/>
    </row>
    <row r="934" spans="1:29" x14ac:dyDescent="0.25">
      <c r="A934" s="42"/>
      <c r="B934" s="35"/>
      <c r="C934" s="35"/>
      <c r="D934" s="41"/>
      <c r="E934" s="41"/>
      <c r="F934" s="40"/>
      <c r="G934" s="35"/>
      <c r="H934" s="41"/>
      <c r="I934" s="42"/>
      <c r="J934" s="42"/>
      <c r="K934" s="42"/>
      <c r="L934" s="42"/>
      <c r="M934" s="42"/>
      <c r="N934" s="42"/>
      <c r="O934" s="42"/>
      <c r="P934" s="42"/>
      <c r="Q934" s="42"/>
      <c r="R934" s="42"/>
      <c r="S934" s="42"/>
      <c r="T934" s="42"/>
      <c r="U934" s="42"/>
      <c r="V934" s="42"/>
      <c r="W934" s="42"/>
      <c r="X934" s="42"/>
      <c r="Y934" s="42"/>
      <c r="Z934" s="42"/>
      <c r="AA934" s="42"/>
      <c r="AB934" s="42"/>
      <c r="AC934" s="42"/>
    </row>
    <row r="935" spans="1:29" x14ac:dyDescent="0.25">
      <c r="A935" s="42"/>
      <c r="B935" s="35"/>
      <c r="C935" s="35"/>
      <c r="D935" s="41"/>
      <c r="E935" s="41"/>
      <c r="F935" s="40"/>
      <c r="G935" s="35"/>
      <c r="H935" s="41"/>
      <c r="I935" s="42"/>
      <c r="J935" s="42"/>
      <c r="K935" s="42"/>
      <c r="L935" s="42"/>
      <c r="M935" s="42"/>
      <c r="N935" s="42"/>
      <c r="O935" s="42"/>
      <c r="P935" s="42"/>
      <c r="Q935" s="42"/>
      <c r="R935" s="42"/>
      <c r="S935" s="42"/>
      <c r="T935" s="42"/>
      <c r="U935" s="42"/>
      <c r="V935" s="42"/>
      <c r="W935" s="42"/>
      <c r="X935" s="42"/>
      <c r="Y935" s="42"/>
      <c r="Z935" s="42"/>
      <c r="AA935" s="42"/>
      <c r="AB935" s="42"/>
      <c r="AC935" s="42"/>
    </row>
    <row r="936" spans="1:29" x14ac:dyDescent="0.25">
      <c r="A936" s="42"/>
      <c r="B936" s="35"/>
      <c r="C936" s="35"/>
      <c r="D936" s="41"/>
      <c r="E936" s="41"/>
      <c r="F936" s="40"/>
      <c r="G936" s="35"/>
      <c r="H936" s="41"/>
      <c r="I936" s="42"/>
      <c r="J936" s="42"/>
      <c r="K936" s="42"/>
      <c r="L936" s="42"/>
      <c r="M936" s="42"/>
      <c r="N936" s="42"/>
      <c r="O936" s="42"/>
      <c r="P936" s="42"/>
      <c r="Q936" s="42"/>
      <c r="R936" s="42"/>
      <c r="S936" s="42"/>
      <c r="T936" s="42"/>
      <c r="U936" s="42"/>
      <c r="V936" s="42"/>
      <c r="W936" s="42"/>
      <c r="X936" s="42"/>
      <c r="Y936" s="42"/>
      <c r="Z936" s="42"/>
      <c r="AA936" s="42"/>
      <c r="AB936" s="42"/>
      <c r="AC936" s="42"/>
    </row>
    <row r="937" spans="1:29" x14ac:dyDescent="0.25">
      <c r="A937" s="42"/>
      <c r="B937" s="35"/>
      <c r="C937" s="35"/>
      <c r="D937" s="41"/>
      <c r="E937" s="41"/>
      <c r="F937" s="40"/>
      <c r="G937" s="35"/>
      <c r="H937" s="41"/>
      <c r="I937" s="42"/>
      <c r="J937" s="42"/>
      <c r="K937" s="42"/>
      <c r="L937" s="42"/>
      <c r="M937" s="42"/>
      <c r="N937" s="42"/>
      <c r="O937" s="42"/>
      <c r="P937" s="42"/>
      <c r="Q937" s="42"/>
      <c r="R937" s="42"/>
      <c r="S937" s="42"/>
      <c r="T937" s="42"/>
      <c r="U937" s="42"/>
      <c r="V937" s="42"/>
      <c r="W937" s="42"/>
      <c r="X937" s="42"/>
      <c r="Y937" s="42"/>
      <c r="Z937" s="42"/>
      <c r="AA937" s="42"/>
      <c r="AB937" s="42"/>
      <c r="AC937" s="42"/>
    </row>
    <row r="938" spans="1:29" x14ac:dyDescent="0.25">
      <c r="A938" s="42"/>
      <c r="B938" s="35"/>
      <c r="C938" s="35"/>
      <c r="D938" s="41"/>
      <c r="E938" s="41"/>
      <c r="F938" s="40"/>
      <c r="G938" s="35"/>
      <c r="H938" s="41"/>
      <c r="I938" s="42"/>
      <c r="J938" s="42"/>
      <c r="K938" s="42"/>
      <c r="L938" s="42"/>
      <c r="M938" s="42"/>
      <c r="N938" s="42"/>
      <c r="O938" s="42"/>
      <c r="P938" s="42"/>
      <c r="Q938" s="42"/>
      <c r="R938" s="42"/>
      <c r="S938" s="42"/>
      <c r="T938" s="42"/>
      <c r="U938" s="42"/>
      <c r="V938" s="42"/>
      <c r="W938" s="42"/>
      <c r="X938" s="42"/>
      <c r="Y938" s="42"/>
      <c r="Z938" s="42"/>
      <c r="AA938" s="42"/>
      <c r="AB938" s="42"/>
      <c r="AC938" s="42"/>
    </row>
    <row r="939" spans="1:29" x14ac:dyDescent="0.25">
      <c r="A939" s="42"/>
      <c r="B939" s="35"/>
      <c r="C939" s="35"/>
      <c r="D939" s="41"/>
      <c r="E939" s="41"/>
      <c r="F939" s="40"/>
      <c r="G939" s="35"/>
      <c r="H939" s="41"/>
      <c r="I939" s="42"/>
      <c r="J939" s="42"/>
      <c r="K939" s="42"/>
      <c r="L939" s="42"/>
      <c r="M939" s="42"/>
      <c r="N939" s="42"/>
      <c r="O939" s="42"/>
      <c r="P939" s="42"/>
      <c r="Q939" s="42"/>
      <c r="R939" s="42"/>
      <c r="S939" s="42"/>
      <c r="T939" s="42"/>
      <c r="U939" s="42"/>
      <c r="V939" s="42"/>
      <c r="W939" s="42"/>
      <c r="X939" s="42"/>
      <c r="Y939" s="42"/>
      <c r="Z939" s="42"/>
      <c r="AA939" s="42"/>
      <c r="AB939" s="42"/>
      <c r="AC939" s="42"/>
    </row>
    <row r="940" spans="1:29" x14ac:dyDescent="0.25">
      <c r="A940" s="42"/>
      <c r="B940" s="35"/>
      <c r="C940" s="35"/>
      <c r="D940" s="41"/>
      <c r="E940" s="41"/>
      <c r="F940" s="40"/>
      <c r="G940" s="35"/>
      <c r="H940" s="41"/>
      <c r="I940" s="42"/>
      <c r="J940" s="42"/>
      <c r="K940" s="42"/>
      <c r="L940" s="42"/>
      <c r="M940" s="42"/>
      <c r="N940" s="42"/>
      <c r="O940" s="42"/>
      <c r="P940" s="42"/>
      <c r="Q940" s="42"/>
      <c r="R940" s="42"/>
      <c r="S940" s="42"/>
      <c r="T940" s="42"/>
      <c r="U940" s="42"/>
      <c r="V940" s="42"/>
      <c r="W940" s="42"/>
      <c r="X940" s="42"/>
      <c r="Y940" s="42"/>
      <c r="Z940" s="42"/>
      <c r="AA940" s="42"/>
      <c r="AB940" s="42"/>
      <c r="AC940" s="42"/>
    </row>
    <row r="941" spans="1:29" x14ac:dyDescent="0.25">
      <c r="A941" s="42"/>
      <c r="B941" s="35"/>
      <c r="C941" s="35"/>
      <c r="D941" s="41"/>
      <c r="E941" s="41"/>
      <c r="F941" s="40"/>
      <c r="G941" s="35"/>
      <c r="H941" s="41"/>
      <c r="I941" s="42"/>
      <c r="J941" s="42"/>
      <c r="K941" s="42"/>
      <c r="L941" s="42"/>
      <c r="M941" s="42"/>
      <c r="N941" s="42"/>
      <c r="O941" s="42"/>
      <c r="P941" s="42"/>
      <c r="Q941" s="42"/>
      <c r="R941" s="42"/>
      <c r="S941" s="42"/>
      <c r="T941" s="42"/>
      <c r="U941" s="42"/>
      <c r="V941" s="42"/>
      <c r="W941" s="42"/>
      <c r="X941" s="42"/>
      <c r="Y941" s="42"/>
      <c r="Z941" s="42"/>
      <c r="AA941" s="42"/>
      <c r="AB941" s="42"/>
      <c r="AC941" s="42"/>
    </row>
    <row r="942" spans="1:29" x14ac:dyDescent="0.25">
      <c r="A942" s="42"/>
      <c r="B942" s="35"/>
      <c r="C942" s="35"/>
      <c r="D942" s="41"/>
      <c r="E942" s="41"/>
      <c r="F942" s="40"/>
      <c r="G942" s="35"/>
      <c r="H942" s="41"/>
      <c r="I942" s="42"/>
      <c r="J942" s="42"/>
      <c r="K942" s="42"/>
      <c r="L942" s="42"/>
      <c r="M942" s="42"/>
      <c r="N942" s="42"/>
      <c r="O942" s="42"/>
      <c r="P942" s="42"/>
      <c r="Q942" s="42"/>
      <c r="R942" s="42"/>
      <c r="S942" s="42"/>
      <c r="T942" s="42"/>
      <c r="U942" s="42"/>
      <c r="V942" s="42"/>
      <c r="W942" s="42"/>
      <c r="X942" s="42"/>
      <c r="Y942" s="42"/>
      <c r="Z942" s="42"/>
      <c r="AA942" s="42"/>
      <c r="AB942" s="42"/>
      <c r="AC942" s="42"/>
    </row>
    <row r="943" spans="1:29" x14ac:dyDescent="0.25">
      <c r="A943" s="42"/>
      <c r="B943" s="35"/>
      <c r="C943" s="35"/>
      <c r="D943" s="41"/>
      <c r="E943" s="41"/>
      <c r="F943" s="40"/>
      <c r="G943" s="35"/>
      <c r="H943" s="41"/>
      <c r="I943" s="42"/>
      <c r="J943" s="42"/>
      <c r="K943" s="42"/>
      <c r="L943" s="42"/>
      <c r="M943" s="42"/>
      <c r="N943" s="42"/>
      <c r="O943" s="42"/>
      <c r="P943" s="42"/>
      <c r="Q943" s="42"/>
      <c r="R943" s="42"/>
      <c r="S943" s="42"/>
      <c r="T943" s="42"/>
      <c r="U943" s="42"/>
      <c r="V943" s="42"/>
      <c r="W943" s="42"/>
      <c r="X943" s="42"/>
      <c r="Y943" s="42"/>
      <c r="Z943" s="42"/>
      <c r="AA943" s="42"/>
      <c r="AB943" s="42"/>
      <c r="AC943" s="42"/>
    </row>
    <row r="944" spans="1:29" x14ac:dyDescent="0.25">
      <c r="A944" s="42"/>
      <c r="B944" s="35"/>
      <c r="C944" s="35"/>
      <c r="D944" s="41"/>
      <c r="E944" s="41"/>
      <c r="F944" s="40"/>
      <c r="G944" s="35"/>
      <c r="H944" s="41"/>
      <c r="I944" s="42"/>
      <c r="J944" s="42"/>
      <c r="K944" s="42"/>
      <c r="L944" s="42"/>
      <c r="M944" s="42"/>
      <c r="N944" s="42"/>
      <c r="O944" s="42"/>
      <c r="P944" s="42"/>
      <c r="Q944" s="42"/>
      <c r="R944" s="42"/>
      <c r="S944" s="42"/>
      <c r="T944" s="42"/>
      <c r="U944" s="42"/>
      <c r="V944" s="42"/>
      <c r="W944" s="42"/>
      <c r="X944" s="42"/>
      <c r="Y944" s="42"/>
      <c r="Z944" s="42"/>
      <c r="AA944" s="42"/>
      <c r="AB944" s="42"/>
      <c r="AC944" s="42"/>
    </row>
    <row r="945" spans="1:29" x14ac:dyDescent="0.25">
      <c r="A945" s="42"/>
      <c r="B945" s="35"/>
      <c r="C945" s="35"/>
      <c r="D945" s="41"/>
      <c r="E945" s="41"/>
      <c r="F945" s="40"/>
      <c r="G945" s="35"/>
      <c r="H945" s="41"/>
      <c r="I945" s="42"/>
      <c r="J945" s="42"/>
      <c r="K945" s="42"/>
      <c r="L945" s="42"/>
      <c r="M945" s="42"/>
      <c r="N945" s="42"/>
      <c r="O945" s="42"/>
      <c r="P945" s="42"/>
      <c r="Q945" s="42"/>
      <c r="R945" s="42"/>
      <c r="S945" s="42"/>
      <c r="T945" s="42"/>
      <c r="U945" s="42"/>
      <c r="V945" s="42"/>
      <c r="W945" s="42"/>
      <c r="X945" s="42"/>
      <c r="Y945" s="42"/>
      <c r="Z945" s="42"/>
      <c r="AA945" s="42"/>
      <c r="AB945" s="42"/>
      <c r="AC945" s="42"/>
    </row>
    <row r="946" spans="1:29" x14ac:dyDescent="0.25">
      <c r="A946" s="42"/>
      <c r="B946" s="35"/>
      <c r="C946" s="35"/>
      <c r="D946" s="41"/>
      <c r="E946" s="41"/>
      <c r="F946" s="40"/>
      <c r="G946" s="35"/>
      <c r="H946" s="41"/>
      <c r="I946" s="42"/>
      <c r="J946" s="42"/>
      <c r="K946" s="42"/>
      <c r="L946" s="42"/>
      <c r="M946" s="42"/>
      <c r="N946" s="42"/>
      <c r="O946" s="42"/>
      <c r="P946" s="42"/>
      <c r="Q946" s="42"/>
      <c r="R946" s="42"/>
      <c r="S946" s="42"/>
      <c r="T946" s="42"/>
      <c r="U946" s="42"/>
      <c r="V946" s="42"/>
      <c r="W946" s="42"/>
      <c r="X946" s="42"/>
      <c r="Y946" s="42"/>
      <c r="Z946" s="42"/>
      <c r="AA946" s="42"/>
      <c r="AB946" s="42"/>
      <c r="AC946" s="42"/>
    </row>
    <row r="947" spans="1:29" x14ac:dyDescent="0.25">
      <c r="A947" s="42"/>
      <c r="B947" s="35"/>
      <c r="C947" s="35"/>
      <c r="D947" s="41"/>
      <c r="E947" s="41"/>
      <c r="F947" s="40"/>
      <c r="G947" s="35"/>
      <c r="H947" s="41"/>
      <c r="I947" s="42"/>
      <c r="J947" s="42"/>
      <c r="K947" s="42"/>
      <c r="L947" s="42"/>
      <c r="M947" s="42"/>
      <c r="N947" s="42"/>
      <c r="O947" s="42"/>
      <c r="P947" s="42"/>
      <c r="Q947" s="42"/>
      <c r="R947" s="42"/>
      <c r="S947" s="42"/>
      <c r="T947" s="42"/>
      <c r="U947" s="42"/>
      <c r="V947" s="42"/>
      <c r="W947" s="42"/>
      <c r="X947" s="42"/>
      <c r="Y947" s="42"/>
      <c r="Z947" s="42"/>
      <c r="AA947" s="42"/>
      <c r="AB947" s="42"/>
      <c r="AC947" s="42"/>
    </row>
    <row r="948" spans="1:29" x14ac:dyDescent="0.25">
      <c r="A948" s="42"/>
      <c r="B948" s="35"/>
      <c r="C948" s="35"/>
      <c r="D948" s="41"/>
      <c r="E948" s="41"/>
      <c r="F948" s="40"/>
      <c r="G948" s="35"/>
      <c r="H948" s="41"/>
      <c r="I948" s="42"/>
      <c r="J948" s="42"/>
      <c r="K948" s="42"/>
      <c r="L948" s="42"/>
      <c r="M948" s="42"/>
      <c r="N948" s="42"/>
      <c r="O948" s="42"/>
      <c r="P948" s="42"/>
      <c r="Q948" s="42"/>
      <c r="R948" s="42"/>
      <c r="S948" s="42"/>
      <c r="T948" s="42"/>
      <c r="U948" s="42"/>
      <c r="V948" s="42"/>
      <c r="W948" s="42"/>
      <c r="X948" s="42"/>
      <c r="Y948" s="42"/>
      <c r="Z948" s="42"/>
      <c r="AA948" s="42"/>
      <c r="AB948" s="42"/>
      <c r="AC948" s="42"/>
    </row>
    <row r="949" spans="1:29" x14ac:dyDescent="0.25">
      <c r="A949" s="42"/>
      <c r="B949" s="35"/>
      <c r="C949" s="35"/>
      <c r="D949" s="41"/>
      <c r="E949" s="41"/>
      <c r="F949" s="40"/>
      <c r="G949" s="35"/>
      <c r="H949" s="41"/>
      <c r="I949" s="42"/>
      <c r="J949" s="42"/>
      <c r="K949" s="42"/>
      <c r="L949" s="42"/>
      <c r="M949" s="42"/>
      <c r="N949" s="42"/>
      <c r="O949" s="42"/>
      <c r="P949" s="42"/>
      <c r="Q949" s="42"/>
      <c r="R949" s="42"/>
      <c r="S949" s="42"/>
      <c r="T949" s="42"/>
      <c r="U949" s="42"/>
      <c r="V949" s="42"/>
      <c r="W949" s="42"/>
      <c r="X949" s="42"/>
      <c r="Y949" s="42"/>
      <c r="Z949" s="42"/>
      <c r="AA949" s="42"/>
      <c r="AB949" s="42"/>
      <c r="AC949" s="42"/>
    </row>
    <row r="950" spans="1:29" x14ac:dyDescent="0.25">
      <c r="A950" s="42"/>
      <c r="B950" s="35"/>
      <c r="C950" s="35"/>
      <c r="D950" s="41"/>
      <c r="E950" s="41"/>
      <c r="F950" s="40"/>
      <c r="G950" s="35"/>
      <c r="H950" s="41"/>
      <c r="I950" s="42"/>
      <c r="J950" s="42"/>
      <c r="K950" s="42"/>
      <c r="L950" s="42"/>
      <c r="M950" s="42"/>
      <c r="N950" s="42"/>
      <c r="O950" s="42"/>
      <c r="P950" s="42"/>
      <c r="Q950" s="42"/>
      <c r="R950" s="42"/>
      <c r="S950" s="42"/>
      <c r="T950" s="42"/>
      <c r="U950" s="42"/>
      <c r="V950" s="42"/>
      <c r="W950" s="42"/>
      <c r="X950" s="42"/>
      <c r="Y950" s="42"/>
      <c r="Z950" s="42"/>
      <c r="AA950" s="42"/>
      <c r="AB950" s="42"/>
      <c r="AC950" s="42"/>
    </row>
    <row r="951" spans="1:29" x14ac:dyDescent="0.25">
      <c r="A951" s="42"/>
      <c r="B951" s="35"/>
      <c r="C951" s="35"/>
      <c r="D951" s="41"/>
      <c r="E951" s="41"/>
      <c r="F951" s="40"/>
      <c r="G951" s="35"/>
      <c r="H951" s="41"/>
      <c r="I951" s="42"/>
      <c r="J951" s="42"/>
      <c r="K951" s="42"/>
      <c r="L951" s="42"/>
      <c r="M951" s="42"/>
      <c r="N951" s="42"/>
      <c r="O951" s="42"/>
      <c r="P951" s="42"/>
      <c r="Q951" s="42"/>
      <c r="R951" s="42"/>
      <c r="S951" s="42"/>
      <c r="T951" s="42"/>
      <c r="U951" s="42"/>
      <c r="V951" s="42"/>
      <c r="W951" s="42"/>
      <c r="X951" s="42"/>
      <c r="Y951" s="42"/>
      <c r="Z951" s="42"/>
      <c r="AA951" s="42"/>
      <c r="AB951" s="42"/>
      <c r="AC951" s="42"/>
    </row>
    <row r="952" spans="1:29" x14ac:dyDescent="0.25">
      <c r="A952" s="42"/>
      <c r="B952" s="35"/>
      <c r="C952" s="35"/>
      <c r="D952" s="41"/>
      <c r="E952" s="41"/>
      <c r="F952" s="40"/>
      <c r="G952" s="35"/>
      <c r="H952" s="41"/>
      <c r="I952" s="42"/>
      <c r="J952" s="42"/>
      <c r="K952" s="42"/>
      <c r="L952" s="42"/>
      <c r="M952" s="42"/>
      <c r="N952" s="42"/>
      <c r="O952" s="42"/>
      <c r="P952" s="42"/>
      <c r="Q952" s="42"/>
      <c r="R952" s="42"/>
      <c r="S952" s="42"/>
      <c r="T952" s="42"/>
      <c r="U952" s="42"/>
      <c r="V952" s="42"/>
      <c r="W952" s="42"/>
      <c r="X952" s="42"/>
      <c r="Y952" s="42"/>
      <c r="Z952" s="42"/>
      <c r="AA952" s="42"/>
      <c r="AB952" s="42"/>
      <c r="AC952" s="42"/>
    </row>
    <row r="953" spans="1:29" x14ac:dyDescent="0.25">
      <c r="A953" s="42"/>
      <c r="B953" s="35"/>
      <c r="C953" s="35"/>
      <c r="D953" s="41"/>
      <c r="E953" s="41"/>
      <c r="F953" s="40"/>
      <c r="G953" s="35"/>
      <c r="H953" s="41"/>
      <c r="I953" s="42"/>
      <c r="J953" s="42"/>
      <c r="K953" s="42"/>
      <c r="L953" s="42"/>
      <c r="M953" s="42"/>
      <c r="N953" s="42"/>
      <c r="O953" s="42"/>
      <c r="P953" s="42"/>
      <c r="Q953" s="42"/>
      <c r="R953" s="42"/>
      <c r="S953" s="42"/>
      <c r="T953" s="42"/>
      <c r="U953" s="42"/>
      <c r="V953" s="42"/>
      <c r="W953" s="42"/>
      <c r="X953" s="42"/>
      <c r="Y953" s="42"/>
      <c r="Z953" s="42"/>
      <c r="AA953" s="42"/>
      <c r="AB953" s="42"/>
      <c r="AC953" s="42"/>
    </row>
    <row r="954" spans="1:29" x14ac:dyDescent="0.25">
      <c r="A954" s="42"/>
      <c r="B954" s="35"/>
      <c r="C954" s="35"/>
      <c r="D954" s="41"/>
      <c r="E954" s="41"/>
      <c r="F954" s="40"/>
      <c r="G954" s="35"/>
      <c r="H954" s="41"/>
      <c r="I954" s="42"/>
      <c r="J954" s="42"/>
      <c r="K954" s="42"/>
      <c r="L954" s="42"/>
      <c r="M954" s="42"/>
      <c r="N954" s="42"/>
      <c r="O954" s="42"/>
      <c r="P954" s="42"/>
      <c r="Q954" s="42"/>
      <c r="R954" s="42"/>
      <c r="S954" s="42"/>
      <c r="T954" s="42"/>
      <c r="U954" s="42"/>
      <c r="V954" s="42"/>
      <c r="W954" s="42"/>
      <c r="X954" s="42"/>
      <c r="Y954" s="42"/>
      <c r="Z954" s="42"/>
      <c r="AA954" s="42"/>
      <c r="AB954" s="42"/>
      <c r="AC954" s="42"/>
    </row>
    <row r="955" spans="1:29" x14ac:dyDescent="0.25">
      <c r="A955" s="42"/>
      <c r="B955" s="35"/>
      <c r="C955" s="35"/>
      <c r="D955" s="41"/>
      <c r="E955" s="41"/>
      <c r="F955" s="40"/>
      <c r="G955" s="35"/>
      <c r="H955" s="41"/>
      <c r="I955" s="42"/>
      <c r="J955" s="42"/>
      <c r="K955" s="42"/>
      <c r="L955" s="42"/>
      <c r="M955" s="42"/>
      <c r="N955" s="42"/>
      <c r="O955" s="42"/>
      <c r="P955" s="42"/>
      <c r="Q955" s="42"/>
      <c r="R955" s="42"/>
      <c r="S955" s="42"/>
      <c r="T955" s="42"/>
      <c r="U955" s="42"/>
      <c r="V955" s="42"/>
      <c r="W955" s="42"/>
      <c r="X955" s="42"/>
      <c r="Y955" s="42"/>
      <c r="Z955" s="42"/>
      <c r="AA955" s="42"/>
      <c r="AB955" s="42"/>
      <c r="AC955" s="42"/>
    </row>
    <row r="956" spans="1:29" x14ac:dyDescent="0.25">
      <c r="A956" s="42"/>
      <c r="B956" s="35"/>
      <c r="C956" s="35"/>
      <c r="D956" s="41"/>
      <c r="E956" s="41"/>
      <c r="F956" s="40"/>
      <c r="G956" s="35"/>
      <c r="H956" s="41"/>
      <c r="I956" s="42"/>
      <c r="J956" s="42"/>
      <c r="K956" s="42"/>
      <c r="L956" s="42"/>
      <c r="M956" s="42"/>
      <c r="N956" s="42"/>
      <c r="O956" s="42"/>
      <c r="P956" s="42"/>
      <c r="Q956" s="42"/>
      <c r="R956" s="42"/>
      <c r="S956" s="42"/>
      <c r="T956" s="42"/>
      <c r="U956" s="42"/>
      <c r="V956" s="42"/>
      <c r="W956" s="42"/>
      <c r="X956" s="42"/>
      <c r="Y956" s="42"/>
      <c r="Z956" s="42"/>
      <c r="AA956" s="42"/>
      <c r="AB956" s="42"/>
      <c r="AC956" s="42"/>
    </row>
    <row r="957" spans="1:29" x14ac:dyDescent="0.25">
      <c r="A957" s="42"/>
      <c r="B957" s="35"/>
      <c r="C957" s="35"/>
      <c r="D957" s="41"/>
      <c r="E957" s="41"/>
      <c r="F957" s="40"/>
      <c r="G957" s="35"/>
      <c r="H957" s="41"/>
      <c r="I957" s="42"/>
      <c r="J957" s="42"/>
      <c r="K957" s="42"/>
      <c r="L957" s="42"/>
      <c r="M957" s="42"/>
      <c r="N957" s="42"/>
      <c r="O957" s="42"/>
      <c r="P957" s="42"/>
      <c r="Q957" s="42"/>
      <c r="R957" s="42"/>
      <c r="S957" s="42"/>
      <c r="T957" s="42"/>
      <c r="U957" s="42"/>
      <c r="V957" s="42"/>
      <c r="W957" s="42"/>
      <c r="X957" s="42"/>
      <c r="Y957" s="42"/>
      <c r="Z957" s="42"/>
      <c r="AA957" s="42"/>
      <c r="AB957" s="42"/>
      <c r="AC957" s="42"/>
    </row>
    <row r="958" spans="1:29" x14ac:dyDescent="0.25">
      <c r="A958" s="42"/>
      <c r="B958" s="35"/>
      <c r="C958" s="35"/>
      <c r="D958" s="41"/>
      <c r="E958" s="41"/>
      <c r="F958" s="40"/>
      <c r="G958" s="35"/>
      <c r="H958" s="41"/>
      <c r="I958" s="42"/>
      <c r="J958" s="42"/>
      <c r="K958" s="42"/>
      <c r="L958" s="42"/>
      <c r="M958" s="42"/>
      <c r="N958" s="42"/>
      <c r="O958" s="42"/>
      <c r="P958" s="42"/>
      <c r="Q958" s="42"/>
      <c r="R958" s="42"/>
      <c r="S958" s="42"/>
      <c r="T958" s="42"/>
      <c r="U958" s="42"/>
      <c r="V958" s="42"/>
      <c r="W958" s="42"/>
      <c r="X958" s="42"/>
      <c r="Y958" s="42"/>
      <c r="Z958" s="42"/>
      <c r="AA958" s="42"/>
      <c r="AB958" s="42"/>
      <c r="AC958" s="42"/>
    </row>
    <row r="959" spans="1:29" x14ac:dyDescent="0.25">
      <c r="A959" s="42"/>
      <c r="B959" s="35"/>
      <c r="C959" s="35"/>
      <c r="D959" s="41"/>
      <c r="E959" s="41"/>
      <c r="F959" s="40"/>
      <c r="G959" s="35"/>
      <c r="H959" s="41"/>
      <c r="I959" s="42"/>
      <c r="J959" s="42"/>
      <c r="K959" s="42"/>
      <c r="L959" s="42"/>
      <c r="M959" s="42"/>
      <c r="N959" s="42"/>
      <c r="O959" s="42"/>
      <c r="P959" s="42"/>
      <c r="Q959" s="42"/>
      <c r="R959" s="42"/>
      <c r="S959" s="42"/>
      <c r="T959" s="42"/>
      <c r="U959" s="42"/>
      <c r="V959" s="42"/>
      <c r="W959" s="42"/>
      <c r="X959" s="42"/>
      <c r="Y959" s="42"/>
      <c r="Z959" s="42"/>
      <c r="AA959" s="42"/>
      <c r="AB959" s="42"/>
      <c r="AC959" s="42"/>
    </row>
    <row r="960" spans="1:29" x14ac:dyDescent="0.25">
      <c r="A960" s="42"/>
      <c r="B960" s="35"/>
      <c r="C960" s="35"/>
      <c r="D960" s="41"/>
      <c r="E960" s="41"/>
      <c r="F960" s="40"/>
      <c r="G960" s="35"/>
      <c r="H960" s="41"/>
      <c r="I960" s="42"/>
      <c r="J960" s="42"/>
      <c r="K960" s="42"/>
      <c r="L960" s="42"/>
      <c r="M960" s="42"/>
      <c r="N960" s="42"/>
      <c r="O960" s="42"/>
      <c r="P960" s="42"/>
      <c r="Q960" s="42"/>
      <c r="R960" s="42"/>
      <c r="S960" s="42"/>
      <c r="T960" s="42"/>
      <c r="U960" s="42"/>
      <c r="V960" s="42"/>
      <c r="W960" s="42"/>
      <c r="X960" s="42"/>
      <c r="Y960" s="42"/>
      <c r="Z960" s="42"/>
      <c r="AA960" s="42"/>
      <c r="AB960" s="42"/>
      <c r="AC960" s="42"/>
    </row>
    <row r="961" spans="1:29" x14ac:dyDescent="0.25">
      <c r="A961" s="42"/>
      <c r="B961" s="35"/>
      <c r="C961" s="35"/>
      <c r="D961" s="41"/>
      <c r="E961" s="41"/>
      <c r="F961" s="40"/>
      <c r="G961" s="35"/>
      <c r="H961" s="41"/>
      <c r="I961" s="42"/>
      <c r="J961" s="42"/>
      <c r="K961" s="42"/>
      <c r="L961" s="42"/>
      <c r="M961" s="42"/>
      <c r="N961" s="42"/>
      <c r="O961" s="42"/>
      <c r="P961" s="42"/>
      <c r="Q961" s="42"/>
      <c r="R961" s="42"/>
      <c r="S961" s="42"/>
      <c r="T961" s="42"/>
      <c r="U961" s="42"/>
      <c r="V961" s="42"/>
      <c r="W961" s="42"/>
      <c r="X961" s="42"/>
      <c r="Y961" s="42"/>
      <c r="Z961" s="42"/>
      <c r="AA961" s="42"/>
      <c r="AB961" s="42"/>
      <c r="AC961" s="42"/>
    </row>
    <row r="962" spans="1:29" x14ac:dyDescent="0.25">
      <c r="A962" s="42"/>
      <c r="B962" s="35"/>
      <c r="C962" s="35"/>
      <c r="D962" s="41"/>
      <c r="E962" s="41"/>
      <c r="F962" s="40"/>
      <c r="G962" s="35"/>
      <c r="H962" s="41"/>
      <c r="I962" s="42"/>
      <c r="J962" s="42"/>
      <c r="K962" s="42"/>
      <c r="L962" s="42"/>
      <c r="M962" s="42"/>
      <c r="N962" s="42"/>
      <c r="O962" s="42"/>
      <c r="P962" s="42"/>
      <c r="Q962" s="42"/>
      <c r="R962" s="42"/>
      <c r="S962" s="42"/>
      <c r="T962" s="42"/>
      <c r="U962" s="42"/>
      <c r="V962" s="42"/>
      <c r="W962" s="42"/>
      <c r="X962" s="42"/>
      <c r="Y962" s="42"/>
      <c r="Z962" s="42"/>
      <c r="AA962" s="42"/>
      <c r="AB962" s="42"/>
      <c r="AC962" s="42"/>
    </row>
    <row r="963" spans="1:29" x14ac:dyDescent="0.25">
      <c r="A963" s="42"/>
      <c r="B963" s="35"/>
      <c r="C963" s="35"/>
      <c r="D963" s="41"/>
      <c r="E963" s="41"/>
      <c r="F963" s="40"/>
      <c r="G963" s="35"/>
      <c r="H963" s="41"/>
      <c r="I963" s="42"/>
      <c r="J963" s="42"/>
      <c r="K963" s="42"/>
      <c r="L963" s="42"/>
      <c r="M963" s="42"/>
      <c r="N963" s="42"/>
      <c r="O963" s="42"/>
      <c r="P963" s="42"/>
      <c r="Q963" s="42"/>
      <c r="R963" s="42"/>
      <c r="S963" s="42"/>
      <c r="T963" s="42"/>
      <c r="U963" s="42"/>
      <c r="V963" s="42"/>
      <c r="W963" s="42"/>
      <c r="X963" s="42"/>
      <c r="Y963" s="42"/>
      <c r="Z963" s="42"/>
      <c r="AA963" s="42"/>
      <c r="AB963" s="42"/>
      <c r="AC963" s="42"/>
    </row>
    <row r="964" spans="1:29" x14ac:dyDescent="0.25">
      <c r="A964" s="42"/>
      <c r="B964" s="35"/>
      <c r="C964" s="35"/>
      <c r="D964" s="41"/>
      <c r="E964" s="41"/>
      <c r="F964" s="40"/>
      <c r="G964" s="35"/>
      <c r="H964" s="41"/>
      <c r="I964" s="42"/>
      <c r="J964" s="42"/>
      <c r="K964" s="42"/>
      <c r="L964" s="42"/>
      <c r="M964" s="42"/>
      <c r="N964" s="42"/>
      <c r="O964" s="42"/>
      <c r="P964" s="42"/>
      <c r="Q964" s="42"/>
      <c r="R964" s="42"/>
      <c r="S964" s="42"/>
      <c r="T964" s="42"/>
      <c r="U964" s="42"/>
      <c r="V964" s="42"/>
      <c r="W964" s="42"/>
      <c r="X964" s="42"/>
      <c r="Y964" s="42"/>
      <c r="Z964" s="42"/>
      <c r="AA964" s="42"/>
      <c r="AB964" s="42"/>
      <c r="AC964" s="42"/>
    </row>
    <row r="965" spans="1:29" x14ac:dyDescent="0.25">
      <c r="A965" s="42"/>
      <c r="B965" s="35"/>
      <c r="C965" s="35"/>
      <c r="D965" s="41"/>
      <c r="E965" s="41"/>
      <c r="F965" s="40"/>
      <c r="G965" s="35"/>
      <c r="H965" s="41"/>
      <c r="I965" s="42"/>
      <c r="J965" s="42"/>
      <c r="K965" s="42"/>
      <c r="L965" s="42"/>
      <c r="M965" s="42"/>
      <c r="N965" s="42"/>
      <c r="O965" s="42"/>
      <c r="P965" s="42"/>
      <c r="Q965" s="42"/>
      <c r="R965" s="42"/>
      <c r="S965" s="42"/>
      <c r="T965" s="42"/>
      <c r="U965" s="42"/>
      <c r="V965" s="42"/>
      <c r="W965" s="42"/>
      <c r="X965" s="42"/>
      <c r="Y965" s="42"/>
      <c r="Z965" s="42"/>
      <c r="AA965" s="42"/>
      <c r="AB965" s="42"/>
      <c r="AC965" s="42"/>
    </row>
    <row r="966" spans="1:29" x14ac:dyDescent="0.25">
      <c r="A966" s="42"/>
      <c r="B966" s="35"/>
      <c r="C966" s="35"/>
      <c r="D966" s="41"/>
      <c r="E966" s="41"/>
      <c r="F966" s="40"/>
      <c r="G966" s="35"/>
      <c r="H966" s="41"/>
      <c r="I966" s="42"/>
      <c r="J966" s="42"/>
      <c r="K966" s="42"/>
      <c r="L966" s="42"/>
      <c r="M966" s="42"/>
      <c r="N966" s="42"/>
      <c r="O966" s="42"/>
      <c r="P966" s="42"/>
      <c r="Q966" s="42"/>
      <c r="R966" s="42"/>
      <c r="S966" s="42"/>
      <c r="T966" s="42"/>
      <c r="U966" s="42"/>
      <c r="V966" s="42"/>
      <c r="W966" s="42"/>
      <c r="X966" s="42"/>
      <c r="Y966" s="42"/>
      <c r="Z966" s="42"/>
      <c r="AA966" s="42"/>
      <c r="AB966" s="42"/>
      <c r="AC966" s="42"/>
    </row>
    <row r="967" spans="1:29" x14ac:dyDescent="0.25">
      <c r="A967" s="42"/>
      <c r="B967" s="35"/>
      <c r="C967" s="35"/>
      <c r="D967" s="41"/>
      <c r="E967" s="41"/>
      <c r="F967" s="40"/>
      <c r="G967" s="35"/>
      <c r="H967" s="41"/>
      <c r="I967" s="42"/>
      <c r="J967" s="42"/>
      <c r="K967" s="42"/>
      <c r="L967" s="42"/>
      <c r="M967" s="42"/>
      <c r="N967" s="42"/>
      <c r="O967" s="42"/>
      <c r="P967" s="42"/>
      <c r="Q967" s="42"/>
      <c r="R967" s="42"/>
      <c r="S967" s="42"/>
      <c r="T967" s="42"/>
      <c r="U967" s="42"/>
      <c r="V967" s="42"/>
      <c r="W967" s="42"/>
      <c r="X967" s="42"/>
      <c r="Y967" s="42"/>
      <c r="Z967" s="42"/>
      <c r="AA967" s="42"/>
      <c r="AB967" s="42"/>
      <c r="AC967" s="42"/>
    </row>
    <row r="968" spans="1:29" x14ac:dyDescent="0.25">
      <c r="A968" s="42"/>
      <c r="B968" s="35"/>
      <c r="C968" s="35"/>
      <c r="D968" s="41"/>
      <c r="E968" s="41"/>
      <c r="F968" s="40"/>
      <c r="G968" s="35"/>
      <c r="H968" s="41"/>
      <c r="I968" s="42"/>
      <c r="J968" s="42"/>
      <c r="K968" s="42"/>
      <c r="L968" s="42"/>
      <c r="M968" s="42"/>
      <c r="N968" s="42"/>
      <c r="O968" s="42"/>
      <c r="P968" s="42"/>
      <c r="Q968" s="42"/>
      <c r="R968" s="42"/>
      <c r="S968" s="42"/>
      <c r="T968" s="42"/>
      <c r="U968" s="42"/>
      <c r="V968" s="42"/>
      <c r="W968" s="42"/>
      <c r="X968" s="42"/>
      <c r="Y968" s="42"/>
      <c r="Z968" s="42"/>
      <c r="AA968" s="42"/>
      <c r="AB968" s="42"/>
      <c r="AC968" s="42"/>
    </row>
    <row r="969" spans="1:29" x14ac:dyDescent="0.25">
      <c r="A969" s="42"/>
      <c r="B969" s="35"/>
      <c r="C969" s="35"/>
      <c r="D969" s="41"/>
      <c r="E969" s="41"/>
      <c r="F969" s="40"/>
      <c r="G969" s="35"/>
      <c r="H969" s="41"/>
      <c r="I969" s="42"/>
      <c r="J969" s="42"/>
      <c r="K969" s="42"/>
      <c r="L969" s="42"/>
      <c r="M969" s="42"/>
      <c r="N969" s="42"/>
      <c r="O969" s="42"/>
      <c r="P969" s="42"/>
      <c r="Q969" s="42"/>
      <c r="R969" s="42"/>
      <c r="S969" s="42"/>
      <c r="T969" s="42"/>
      <c r="U969" s="42"/>
      <c r="V969" s="42"/>
      <c r="W969" s="42"/>
      <c r="X969" s="42"/>
      <c r="Y969" s="42"/>
      <c r="Z969" s="42"/>
      <c r="AA969" s="42"/>
      <c r="AB969" s="42"/>
      <c r="AC969" s="42"/>
    </row>
    <row r="970" spans="1:29" x14ac:dyDescent="0.25">
      <c r="A970" s="42"/>
      <c r="B970" s="35"/>
      <c r="C970" s="35"/>
      <c r="D970" s="41"/>
      <c r="E970" s="41"/>
      <c r="F970" s="40"/>
      <c r="G970" s="35"/>
      <c r="H970" s="41"/>
      <c r="I970" s="42"/>
      <c r="J970" s="42"/>
      <c r="K970" s="42"/>
      <c r="L970" s="42"/>
      <c r="M970" s="42"/>
      <c r="N970" s="42"/>
      <c r="O970" s="42"/>
      <c r="P970" s="42"/>
      <c r="Q970" s="42"/>
      <c r="R970" s="42"/>
      <c r="S970" s="42"/>
      <c r="T970" s="42"/>
      <c r="U970" s="42"/>
      <c r="V970" s="42"/>
      <c r="W970" s="42"/>
      <c r="X970" s="42"/>
      <c r="Y970" s="42"/>
      <c r="Z970" s="42"/>
      <c r="AA970" s="42"/>
      <c r="AB970" s="42"/>
      <c r="AC970" s="42"/>
    </row>
    <row r="971" spans="1:29" x14ac:dyDescent="0.25">
      <c r="A971" s="42"/>
      <c r="B971" s="35"/>
      <c r="C971" s="35"/>
      <c r="D971" s="41"/>
      <c r="E971" s="41"/>
      <c r="F971" s="40"/>
      <c r="G971" s="35"/>
      <c r="H971" s="41"/>
      <c r="I971" s="42"/>
      <c r="J971" s="42"/>
      <c r="K971" s="42"/>
      <c r="L971" s="42"/>
      <c r="M971" s="42"/>
      <c r="N971" s="42"/>
      <c r="O971" s="42"/>
      <c r="P971" s="42"/>
      <c r="Q971" s="42"/>
      <c r="R971" s="42"/>
      <c r="S971" s="42"/>
      <c r="T971" s="42"/>
      <c r="U971" s="42"/>
      <c r="V971" s="42"/>
      <c r="W971" s="42"/>
      <c r="X971" s="42"/>
      <c r="Y971" s="42"/>
      <c r="Z971" s="42"/>
      <c r="AA971" s="42"/>
      <c r="AB971" s="42"/>
      <c r="AC971" s="42"/>
    </row>
    <row r="972" spans="1:29" x14ac:dyDescent="0.25">
      <c r="A972" s="42"/>
      <c r="B972" s="35"/>
      <c r="C972" s="35"/>
      <c r="D972" s="41"/>
      <c r="E972" s="41"/>
      <c r="F972" s="40"/>
      <c r="G972" s="35"/>
      <c r="H972" s="41"/>
      <c r="I972" s="42"/>
      <c r="J972" s="42"/>
      <c r="K972" s="42"/>
      <c r="L972" s="42"/>
      <c r="M972" s="42"/>
      <c r="N972" s="42"/>
      <c r="O972" s="42"/>
      <c r="P972" s="42"/>
      <c r="Q972" s="42"/>
      <c r="R972" s="42"/>
      <c r="S972" s="42"/>
      <c r="T972" s="42"/>
      <c r="U972" s="42"/>
      <c r="V972" s="42"/>
      <c r="W972" s="42"/>
      <c r="X972" s="42"/>
      <c r="Y972" s="42"/>
      <c r="Z972" s="42"/>
      <c r="AA972" s="42"/>
      <c r="AB972" s="42"/>
      <c r="AC972" s="42"/>
    </row>
    <row r="973" spans="1:29" x14ac:dyDescent="0.25">
      <c r="A973" s="42"/>
      <c r="B973" s="35"/>
      <c r="C973" s="35"/>
      <c r="D973" s="41"/>
      <c r="E973" s="41"/>
      <c r="F973" s="40"/>
      <c r="G973" s="35"/>
      <c r="H973" s="41"/>
      <c r="I973" s="42"/>
      <c r="J973" s="42"/>
      <c r="K973" s="42"/>
      <c r="L973" s="42"/>
      <c r="M973" s="42"/>
      <c r="N973" s="42"/>
      <c r="O973" s="42"/>
      <c r="P973" s="42"/>
      <c r="Q973" s="42"/>
      <c r="R973" s="42"/>
      <c r="S973" s="42"/>
      <c r="T973" s="42"/>
      <c r="U973" s="42"/>
      <c r="V973" s="42"/>
      <c r="W973" s="42"/>
      <c r="X973" s="42"/>
      <c r="Y973" s="42"/>
      <c r="Z973" s="42"/>
      <c r="AA973" s="42"/>
      <c r="AB973" s="42"/>
      <c r="AC973" s="42"/>
    </row>
    <row r="974" spans="1:29" x14ac:dyDescent="0.25">
      <c r="A974" s="42"/>
      <c r="B974" s="35"/>
      <c r="C974" s="35"/>
      <c r="D974" s="41"/>
      <c r="E974" s="41"/>
      <c r="F974" s="40"/>
      <c r="G974" s="35"/>
      <c r="H974" s="41"/>
      <c r="I974" s="42"/>
      <c r="J974" s="42"/>
      <c r="K974" s="42"/>
      <c r="L974" s="42"/>
      <c r="M974" s="42"/>
      <c r="N974" s="42"/>
      <c r="O974" s="42"/>
      <c r="P974" s="42"/>
      <c r="Q974" s="42"/>
      <c r="R974" s="42"/>
      <c r="S974" s="42"/>
      <c r="T974" s="42"/>
      <c r="U974" s="42"/>
      <c r="V974" s="42"/>
      <c r="W974" s="42"/>
      <c r="X974" s="42"/>
      <c r="Y974" s="42"/>
      <c r="Z974" s="42"/>
      <c r="AA974" s="42"/>
      <c r="AB974" s="42"/>
      <c r="AC974" s="42"/>
    </row>
    <row r="975" spans="1:29" x14ac:dyDescent="0.25">
      <c r="A975" s="42"/>
      <c r="B975" s="35"/>
      <c r="C975" s="35"/>
      <c r="D975" s="41"/>
      <c r="E975" s="41"/>
      <c r="F975" s="40"/>
      <c r="G975" s="35"/>
      <c r="H975" s="41"/>
      <c r="I975" s="42"/>
      <c r="J975" s="42"/>
      <c r="K975" s="42"/>
      <c r="L975" s="42"/>
      <c r="M975" s="42"/>
      <c r="N975" s="42"/>
      <c r="O975" s="42"/>
      <c r="P975" s="42"/>
      <c r="Q975" s="42"/>
      <c r="R975" s="42"/>
      <c r="S975" s="42"/>
      <c r="T975" s="42"/>
      <c r="U975" s="42"/>
      <c r="V975" s="42"/>
      <c r="W975" s="42"/>
      <c r="X975" s="42"/>
      <c r="Y975" s="42"/>
      <c r="Z975" s="42"/>
      <c r="AA975" s="42"/>
      <c r="AB975" s="42"/>
      <c r="AC975" s="42"/>
    </row>
    <row r="976" spans="1:29" x14ac:dyDescent="0.25">
      <c r="A976" s="42"/>
      <c r="B976" s="35"/>
      <c r="C976" s="35"/>
      <c r="D976" s="41"/>
      <c r="E976" s="41"/>
      <c r="F976" s="40"/>
      <c r="G976" s="35"/>
      <c r="H976" s="41"/>
      <c r="I976" s="42"/>
      <c r="J976" s="42"/>
      <c r="K976" s="42"/>
      <c r="L976" s="42"/>
      <c r="M976" s="42"/>
      <c r="N976" s="42"/>
      <c r="O976" s="42"/>
      <c r="P976" s="42"/>
      <c r="Q976" s="42"/>
      <c r="R976" s="42"/>
      <c r="S976" s="42"/>
      <c r="T976" s="42"/>
      <c r="U976" s="42"/>
      <c r="V976" s="42"/>
      <c r="W976" s="42"/>
      <c r="X976" s="42"/>
      <c r="Y976" s="42"/>
      <c r="Z976" s="42"/>
      <c r="AA976" s="42"/>
      <c r="AB976" s="42"/>
      <c r="AC976" s="42"/>
    </row>
    <row r="977" spans="1:29" x14ac:dyDescent="0.25">
      <c r="A977" s="42"/>
      <c r="B977" s="35"/>
      <c r="C977" s="35"/>
      <c r="D977" s="41"/>
      <c r="E977" s="41"/>
      <c r="F977" s="40"/>
      <c r="G977" s="35"/>
      <c r="H977" s="41"/>
      <c r="I977" s="42"/>
      <c r="J977" s="42"/>
      <c r="K977" s="42"/>
      <c r="L977" s="42"/>
      <c r="M977" s="42"/>
      <c r="N977" s="42"/>
      <c r="O977" s="42"/>
      <c r="P977" s="42"/>
      <c r="Q977" s="42"/>
      <c r="R977" s="42"/>
      <c r="S977" s="42"/>
      <c r="T977" s="42"/>
      <c r="U977" s="42"/>
      <c r="V977" s="42"/>
      <c r="W977" s="42"/>
      <c r="X977" s="42"/>
      <c r="Y977" s="42"/>
      <c r="Z977" s="42"/>
      <c r="AA977" s="42"/>
      <c r="AB977" s="42"/>
      <c r="AC977" s="42"/>
    </row>
    <row r="978" spans="1:29" x14ac:dyDescent="0.25">
      <c r="A978" s="42"/>
      <c r="B978" s="35"/>
      <c r="C978" s="35"/>
      <c r="D978" s="41"/>
      <c r="E978" s="41"/>
      <c r="F978" s="40"/>
      <c r="G978" s="35"/>
      <c r="H978" s="41"/>
      <c r="I978" s="42"/>
      <c r="J978" s="42"/>
      <c r="K978" s="42"/>
      <c r="L978" s="42"/>
      <c r="M978" s="42"/>
      <c r="N978" s="42"/>
      <c r="O978" s="42"/>
      <c r="P978" s="42"/>
      <c r="Q978" s="42"/>
      <c r="R978" s="42"/>
      <c r="S978" s="42"/>
      <c r="T978" s="42"/>
      <c r="U978" s="42"/>
      <c r="V978" s="42"/>
      <c r="W978" s="42"/>
      <c r="X978" s="42"/>
      <c r="Y978" s="42"/>
      <c r="Z978" s="42"/>
      <c r="AA978" s="42"/>
      <c r="AB978" s="42"/>
      <c r="AC978" s="42"/>
    </row>
    <row r="979" spans="1:29" x14ac:dyDescent="0.25">
      <c r="A979" s="42"/>
      <c r="B979" s="35"/>
      <c r="C979" s="35"/>
      <c r="D979" s="41"/>
      <c r="E979" s="41"/>
      <c r="F979" s="40"/>
      <c r="G979" s="35"/>
      <c r="H979" s="41"/>
      <c r="I979" s="42"/>
      <c r="J979" s="42"/>
      <c r="K979" s="42"/>
      <c r="L979" s="42"/>
      <c r="M979" s="42"/>
      <c r="N979" s="42"/>
      <c r="O979" s="42"/>
      <c r="P979" s="42"/>
      <c r="Q979" s="42"/>
      <c r="R979" s="42"/>
      <c r="S979" s="42"/>
      <c r="T979" s="42"/>
      <c r="U979" s="42"/>
      <c r="V979" s="42"/>
      <c r="W979" s="42"/>
      <c r="X979" s="42"/>
      <c r="Y979" s="42"/>
      <c r="Z979" s="42"/>
      <c r="AA979" s="42"/>
      <c r="AB979" s="42"/>
      <c r="AC979" s="42"/>
    </row>
    <row r="980" spans="1:29" x14ac:dyDescent="0.25">
      <c r="A980" s="42"/>
      <c r="B980" s="35"/>
      <c r="C980" s="35"/>
      <c r="D980" s="41"/>
      <c r="E980" s="41"/>
      <c r="F980" s="40"/>
      <c r="G980" s="35"/>
      <c r="H980" s="41"/>
      <c r="I980" s="42"/>
      <c r="J980" s="42"/>
      <c r="K980" s="42"/>
      <c r="L980" s="42"/>
      <c r="M980" s="42"/>
      <c r="N980" s="42"/>
      <c r="O980" s="42"/>
      <c r="P980" s="42"/>
      <c r="Q980" s="42"/>
      <c r="R980" s="42"/>
      <c r="S980" s="42"/>
      <c r="T980" s="42"/>
      <c r="U980" s="42"/>
      <c r="V980" s="42"/>
      <c r="W980" s="42"/>
      <c r="X980" s="42"/>
      <c r="Y980" s="42"/>
      <c r="Z980" s="42"/>
      <c r="AA980" s="42"/>
      <c r="AB980" s="42"/>
      <c r="AC980" s="42"/>
    </row>
    <row r="981" spans="1:29" x14ac:dyDescent="0.25">
      <c r="A981" s="42"/>
      <c r="B981" s="35"/>
      <c r="C981" s="35"/>
      <c r="D981" s="41"/>
      <c r="E981" s="41"/>
      <c r="F981" s="40"/>
      <c r="G981" s="35"/>
      <c r="H981" s="41"/>
      <c r="I981" s="42"/>
      <c r="J981" s="42"/>
      <c r="K981" s="42"/>
      <c r="L981" s="42"/>
      <c r="M981" s="42"/>
      <c r="N981" s="42"/>
      <c r="O981" s="42"/>
      <c r="P981" s="42"/>
      <c r="Q981" s="42"/>
      <c r="R981" s="42"/>
      <c r="S981" s="42"/>
      <c r="T981" s="42"/>
      <c r="U981" s="42"/>
      <c r="V981" s="42"/>
      <c r="W981" s="42"/>
      <c r="X981" s="42"/>
      <c r="Y981" s="42"/>
      <c r="Z981" s="42"/>
      <c r="AA981" s="42"/>
      <c r="AB981" s="42"/>
      <c r="AC981" s="42"/>
    </row>
    <row r="982" spans="1:29" x14ac:dyDescent="0.25">
      <c r="A982" s="42"/>
      <c r="B982" s="35"/>
      <c r="C982" s="35"/>
      <c r="D982" s="41"/>
      <c r="E982" s="41"/>
      <c r="F982" s="40"/>
      <c r="G982" s="35"/>
      <c r="H982" s="41"/>
      <c r="I982" s="42"/>
      <c r="J982" s="42"/>
      <c r="K982" s="42"/>
      <c r="L982" s="42"/>
      <c r="M982" s="42"/>
      <c r="N982" s="42"/>
      <c r="O982" s="42"/>
      <c r="P982" s="42"/>
      <c r="Q982" s="42"/>
      <c r="R982" s="42"/>
      <c r="S982" s="42"/>
      <c r="T982" s="42"/>
      <c r="U982" s="42"/>
      <c r="V982" s="42"/>
      <c r="W982" s="42"/>
      <c r="X982" s="42"/>
      <c r="Y982" s="42"/>
      <c r="Z982" s="42"/>
      <c r="AA982" s="42"/>
      <c r="AB982" s="42"/>
      <c r="AC982" s="42"/>
    </row>
    <row r="983" spans="1:29" x14ac:dyDescent="0.25">
      <c r="A983" s="42"/>
      <c r="B983" s="35"/>
      <c r="C983" s="35"/>
      <c r="D983" s="41"/>
      <c r="E983" s="41"/>
      <c r="F983" s="40"/>
      <c r="G983" s="35"/>
      <c r="H983" s="41"/>
      <c r="I983" s="42"/>
      <c r="J983" s="42"/>
      <c r="K983" s="42"/>
      <c r="L983" s="42"/>
      <c r="M983" s="42"/>
      <c r="N983" s="42"/>
      <c r="O983" s="42"/>
      <c r="P983" s="42"/>
      <c r="Q983" s="42"/>
      <c r="R983" s="42"/>
      <c r="S983" s="42"/>
      <c r="T983" s="42"/>
      <c r="U983" s="42"/>
      <c r="V983" s="42"/>
      <c r="W983" s="42"/>
      <c r="X983" s="42"/>
      <c r="Y983" s="42"/>
      <c r="Z983" s="42"/>
      <c r="AA983" s="42"/>
      <c r="AB983" s="42"/>
      <c r="AC983" s="42"/>
    </row>
    <row r="984" spans="1:29" x14ac:dyDescent="0.25">
      <c r="A984" s="42"/>
      <c r="B984" s="35"/>
      <c r="C984" s="35"/>
      <c r="D984" s="41"/>
      <c r="E984" s="41"/>
      <c r="F984" s="40"/>
      <c r="G984" s="35"/>
      <c r="H984" s="41"/>
      <c r="I984" s="42"/>
      <c r="J984" s="42"/>
      <c r="K984" s="42"/>
      <c r="L984" s="42"/>
      <c r="M984" s="42"/>
      <c r="N984" s="42"/>
      <c r="O984" s="42"/>
      <c r="P984" s="42"/>
      <c r="Q984" s="42"/>
      <c r="R984" s="42"/>
      <c r="S984" s="42"/>
      <c r="T984" s="42"/>
      <c r="U984" s="42"/>
      <c r="V984" s="42"/>
      <c r="W984" s="42"/>
      <c r="X984" s="42"/>
      <c r="Y984" s="42"/>
      <c r="Z984" s="42"/>
      <c r="AA984" s="42"/>
      <c r="AB984" s="42"/>
      <c r="AC984" s="42"/>
    </row>
    <row r="985" spans="1:29" x14ac:dyDescent="0.25">
      <c r="A985" s="42"/>
      <c r="B985" s="35"/>
      <c r="C985" s="35"/>
      <c r="D985" s="41"/>
      <c r="E985" s="41"/>
      <c r="F985" s="40"/>
      <c r="G985" s="35"/>
      <c r="H985" s="41"/>
      <c r="I985" s="42"/>
      <c r="J985" s="42"/>
      <c r="K985" s="42"/>
      <c r="L985" s="42"/>
      <c r="M985" s="42"/>
      <c r="N985" s="42"/>
      <c r="O985" s="42"/>
      <c r="P985" s="42"/>
      <c r="Q985" s="42"/>
      <c r="R985" s="42"/>
      <c r="S985" s="42"/>
      <c r="T985" s="42"/>
      <c r="U985" s="42"/>
      <c r="V985" s="42"/>
      <c r="W985" s="42"/>
      <c r="X985" s="42"/>
      <c r="Y985" s="42"/>
      <c r="Z985" s="42"/>
      <c r="AA985" s="42"/>
      <c r="AB985" s="42"/>
      <c r="AC985" s="42"/>
    </row>
    <row r="986" spans="1:29" x14ac:dyDescent="0.25">
      <c r="A986" s="42"/>
      <c r="B986" s="35"/>
      <c r="C986" s="35"/>
      <c r="D986" s="41"/>
      <c r="E986" s="41"/>
      <c r="F986" s="40"/>
      <c r="G986" s="35"/>
      <c r="H986" s="41"/>
      <c r="I986" s="42"/>
      <c r="J986" s="42"/>
      <c r="K986" s="42"/>
      <c r="L986" s="42"/>
      <c r="M986" s="42"/>
      <c r="N986" s="42"/>
      <c r="O986" s="42"/>
      <c r="P986" s="42"/>
      <c r="Q986" s="42"/>
      <c r="R986" s="42"/>
      <c r="S986" s="42"/>
      <c r="T986" s="42"/>
      <c r="U986" s="42"/>
      <c r="V986" s="42"/>
      <c r="W986" s="42"/>
      <c r="X986" s="42"/>
      <c r="Y986" s="42"/>
      <c r="Z986" s="42"/>
      <c r="AA986" s="42"/>
      <c r="AB986" s="42"/>
      <c r="AC986" s="42"/>
    </row>
    <row r="987" spans="1:29" x14ac:dyDescent="0.25">
      <c r="A987" s="42"/>
      <c r="B987" s="35"/>
      <c r="C987" s="35"/>
      <c r="D987" s="41"/>
      <c r="E987" s="41"/>
      <c r="F987" s="40"/>
      <c r="G987" s="35"/>
      <c r="H987" s="41"/>
      <c r="I987" s="42"/>
      <c r="J987" s="42"/>
      <c r="K987" s="42"/>
      <c r="L987" s="42"/>
      <c r="M987" s="42"/>
      <c r="N987" s="42"/>
      <c r="O987" s="42"/>
      <c r="P987" s="42"/>
      <c r="Q987" s="42"/>
      <c r="R987" s="42"/>
      <c r="S987" s="42"/>
      <c r="T987" s="42"/>
      <c r="U987" s="42"/>
      <c r="V987" s="42"/>
      <c r="W987" s="42"/>
      <c r="X987" s="42"/>
      <c r="Y987" s="42"/>
      <c r="Z987" s="42"/>
      <c r="AA987" s="42"/>
      <c r="AB987" s="42"/>
      <c r="AC987" s="42"/>
    </row>
    <row r="988" spans="1:29" x14ac:dyDescent="0.25">
      <c r="A988" s="42"/>
      <c r="B988" s="35"/>
      <c r="C988" s="35"/>
      <c r="D988" s="41"/>
      <c r="E988" s="41"/>
      <c r="F988" s="40"/>
      <c r="G988" s="35"/>
      <c r="H988" s="41"/>
      <c r="I988" s="42"/>
      <c r="J988" s="42"/>
      <c r="K988" s="42"/>
      <c r="L988" s="42"/>
      <c r="M988" s="42"/>
      <c r="N988" s="42"/>
      <c r="O988" s="42"/>
      <c r="P988" s="42"/>
      <c r="Q988" s="42"/>
      <c r="R988" s="42"/>
      <c r="S988" s="42"/>
      <c r="T988" s="42"/>
      <c r="U988" s="42"/>
      <c r="V988" s="42"/>
      <c r="W988" s="42"/>
      <c r="X988" s="42"/>
      <c r="Y988" s="42"/>
      <c r="Z988" s="42"/>
      <c r="AA988" s="42"/>
      <c r="AB988" s="42"/>
      <c r="AC988" s="42"/>
    </row>
    <row r="989" spans="1:29" x14ac:dyDescent="0.25">
      <c r="A989" s="42"/>
      <c r="B989" s="35"/>
      <c r="C989" s="35"/>
      <c r="D989" s="41"/>
      <c r="E989" s="41"/>
      <c r="F989" s="40"/>
      <c r="G989" s="35"/>
      <c r="H989" s="41"/>
      <c r="I989" s="42"/>
      <c r="J989" s="42"/>
      <c r="K989" s="42"/>
      <c r="L989" s="42"/>
      <c r="M989" s="42"/>
      <c r="N989" s="42"/>
      <c r="O989" s="42"/>
      <c r="P989" s="42"/>
      <c r="Q989" s="42"/>
      <c r="R989" s="42"/>
      <c r="S989" s="42"/>
      <c r="T989" s="42"/>
      <c r="U989" s="42"/>
      <c r="V989" s="42"/>
      <c r="W989" s="42"/>
      <c r="X989" s="42"/>
      <c r="Y989" s="42"/>
      <c r="Z989" s="42"/>
      <c r="AA989" s="42"/>
      <c r="AB989" s="42"/>
      <c r="AC989" s="42"/>
    </row>
    <row r="990" spans="1:29" x14ac:dyDescent="0.25">
      <c r="A990" s="42"/>
      <c r="B990" s="35"/>
      <c r="C990" s="35"/>
      <c r="D990" s="41"/>
      <c r="E990" s="41"/>
      <c r="F990" s="40"/>
      <c r="G990" s="35"/>
      <c r="H990" s="41"/>
      <c r="I990" s="42"/>
      <c r="J990" s="42"/>
      <c r="K990" s="42"/>
      <c r="L990" s="42"/>
      <c r="M990" s="42"/>
      <c r="N990" s="42"/>
      <c r="O990" s="42"/>
      <c r="P990" s="42"/>
      <c r="Q990" s="42"/>
      <c r="R990" s="42"/>
      <c r="S990" s="42"/>
      <c r="T990" s="42"/>
      <c r="U990" s="42"/>
      <c r="V990" s="42"/>
      <c r="W990" s="42"/>
      <c r="X990" s="42"/>
      <c r="Y990" s="42"/>
      <c r="Z990" s="42"/>
      <c r="AA990" s="42"/>
      <c r="AB990" s="42"/>
      <c r="AC990" s="42"/>
    </row>
    <row r="991" spans="1:29" x14ac:dyDescent="0.25">
      <c r="A991" s="42"/>
      <c r="B991" s="35"/>
      <c r="C991" s="35"/>
      <c r="D991" s="41"/>
      <c r="E991" s="41"/>
      <c r="F991" s="40"/>
      <c r="G991" s="35"/>
      <c r="H991" s="41"/>
      <c r="I991" s="42"/>
      <c r="J991" s="42"/>
      <c r="K991" s="42"/>
      <c r="L991" s="42"/>
      <c r="M991" s="42"/>
      <c r="N991" s="42"/>
      <c r="O991" s="42"/>
      <c r="P991" s="42"/>
      <c r="Q991" s="42"/>
      <c r="R991" s="42"/>
      <c r="S991" s="42"/>
      <c r="T991" s="42"/>
      <c r="U991" s="42"/>
      <c r="V991" s="42"/>
      <c r="W991" s="42"/>
      <c r="X991" s="42"/>
      <c r="Y991" s="42"/>
      <c r="Z991" s="42"/>
      <c r="AA991" s="42"/>
      <c r="AB991" s="42"/>
      <c r="AC991" s="42"/>
    </row>
    <row r="992" spans="1:29" x14ac:dyDescent="0.25">
      <c r="A992" s="42"/>
      <c r="B992" s="35"/>
      <c r="C992" s="35"/>
      <c r="D992" s="41"/>
      <c r="E992" s="41"/>
      <c r="F992" s="40"/>
      <c r="G992" s="35"/>
      <c r="H992" s="41"/>
      <c r="I992" s="42"/>
      <c r="J992" s="42"/>
      <c r="K992" s="42"/>
      <c r="L992" s="42"/>
      <c r="M992" s="42"/>
      <c r="N992" s="42"/>
      <c r="O992" s="42"/>
      <c r="P992" s="42"/>
      <c r="Q992" s="42"/>
      <c r="R992" s="42"/>
      <c r="S992" s="42"/>
      <c r="T992" s="42"/>
      <c r="U992" s="42"/>
      <c r="V992" s="42"/>
      <c r="W992" s="42"/>
      <c r="X992" s="42"/>
      <c r="Y992" s="42"/>
      <c r="Z992" s="42"/>
      <c r="AA992" s="42"/>
      <c r="AB992" s="42"/>
      <c r="AC992" s="42"/>
    </row>
    <row r="993" spans="1:29" x14ac:dyDescent="0.25">
      <c r="A993" s="42"/>
      <c r="B993" s="35"/>
      <c r="C993" s="35"/>
      <c r="D993" s="41"/>
      <c r="E993" s="41"/>
      <c r="F993" s="40"/>
      <c r="G993" s="35"/>
      <c r="H993" s="41"/>
      <c r="I993" s="42"/>
      <c r="J993" s="42"/>
      <c r="K993" s="42"/>
      <c r="L993" s="42"/>
      <c r="M993" s="42"/>
      <c r="N993" s="42"/>
      <c r="O993" s="42"/>
      <c r="P993" s="42"/>
      <c r="Q993" s="42"/>
      <c r="R993" s="42"/>
      <c r="S993" s="42"/>
      <c r="T993" s="42"/>
      <c r="U993" s="42"/>
      <c r="V993" s="42"/>
      <c r="W993" s="42"/>
      <c r="X993" s="42"/>
      <c r="Y993" s="42"/>
      <c r="Z993" s="42"/>
      <c r="AA993" s="42"/>
      <c r="AB993" s="42"/>
      <c r="AC993" s="42"/>
    </row>
    <row r="994" spans="1:29" x14ac:dyDescent="0.25">
      <c r="A994" s="42"/>
      <c r="B994" s="35"/>
      <c r="C994" s="35"/>
      <c r="D994" s="41"/>
      <c r="E994" s="41"/>
      <c r="F994" s="40"/>
      <c r="G994" s="35"/>
      <c r="H994" s="41"/>
      <c r="I994" s="42"/>
      <c r="J994" s="42"/>
      <c r="K994" s="42"/>
      <c r="L994" s="42"/>
      <c r="M994" s="42"/>
      <c r="N994" s="42"/>
      <c r="O994" s="42"/>
      <c r="P994" s="42"/>
      <c r="Q994" s="42"/>
      <c r="R994" s="42"/>
      <c r="S994" s="42"/>
      <c r="T994" s="42"/>
      <c r="U994" s="42"/>
      <c r="V994" s="42"/>
      <c r="W994" s="42"/>
      <c r="X994" s="42"/>
      <c r="Y994" s="42"/>
      <c r="Z994" s="42"/>
      <c r="AA994" s="42"/>
      <c r="AB994" s="42"/>
      <c r="AC994" s="42"/>
    </row>
    <row r="995" spans="1:29" x14ac:dyDescent="0.25">
      <c r="A995" s="42"/>
      <c r="B995" s="35"/>
      <c r="C995" s="35"/>
      <c r="D995" s="41"/>
      <c r="E995" s="41"/>
      <c r="F995" s="40"/>
      <c r="G995" s="35"/>
      <c r="H995" s="41"/>
      <c r="I995" s="42"/>
      <c r="J995" s="42"/>
      <c r="K995" s="42"/>
      <c r="L995" s="42"/>
      <c r="M995" s="42"/>
      <c r="N995" s="42"/>
      <c r="O995" s="42"/>
      <c r="P995" s="42"/>
      <c r="Q995" s="42"/>
      <c r="R995" s="42"/>
      <c r="S995" s="42"/>
      <c r="T995" s="42"/>
      <c r="U995" s="42"/>
      <c r="V995" s="42"/>
      <c r="W995" s="42"/>
      <c r="X995" s="42"/>
      <c r="Y995" s="42"/>
      <c r="Z995" s="42"/>
      <c r="AA995" s="42"/>
      <c r="AB995" s="42"/>
      <c r="AC995" s="42"/>
    </row>
    <row r="996" spans="1:29" x14ac:dyDescent="0.25">
      <c r="A996" s="42"/>
      <c r="B996" s="35"/>
      <c r="C996" s="35"/>
      <c r="D996" s="41"/>
      <c r="E996" s="41"/>
      <c r="F996" s="40"/>
      <c r="G996" s="35"/>
      <c r="H996" s="41"/>
      <c r="I996" s="42"/>
      <c r="J996" s="42"/>
      <c r="K996" s="42"/>
      <c r="L996" s="42"/>
      <c r="M996" s="42"/>
      <c r="N996" s="42"/>
      <c r="O996" s="42"/>
      <c r="P996" s="42"/>
      <c r="Q996" s="42"/>
      <c r="R996" s="42"/>
      <c r="S996" s="42"/>
      <c r="T996" s="42"/>
      <c r="U996" s="42"/>
      <c r="V996" s="42"/>
      <c r="W996" s="42"/>
      <c r="X996" s="42"/>
      <c r="Y996" s="42"/>
      <c r="Z996" s="42"/>
      <c r="AA996" s="42"/>
      <c r="AB996" s="42"/>
      <c r="AC996" s="42"/>
    </row>
    <row r="997" spans="1:29" x14ac:dyDescent="0.25">
      <c r="A997" s="42"/>
      <c r="B997" s="35"/>
      <c r="C997" s="35"/>
      <c r="D997" s="41"/>
      <c r="E997" s="41"/>
      <c r="F997" s="40"/>
      <c r="G997" s="35"/>
      <c r="H997" s="41"/>
      <c r="I997" s="42"/>
      <c r="J997" s="42"/>
      <c r="K997" s="42"/>
      <c r="L997" s="42"/>
      <c r="M997" s="42"/>
      <c r="N997" s="42"/>
      <c r="O997" s="42"/>
      <c r="P997" s="42"/>
      <c r="Q997" s="42"/>
      <c r="R997" s="42"/>
      <c r="S997" s="42"/>
      <c r="T997" s="42"/>
      <c r="U997" s="42"/>
      <c r="V997" s="42"/>
      <c r="W997" s="42"/>
      <c r="X997" s="42"/>
      <c r="Y997" s="42"/>
      <c r="Z997" s="42"/>
      <c r="AA997" s="42"/>
      <c r="AB997" s="42"/>
      <c r="AC997" s="42"/>
    </row>
    <row r="998" spans="1:29" x14ac:dyDescent="0.25">
      <c r="A998" s="42"/>
      <c r="B998" s="35"/>
      <c r="C998" s="35"/>
      <c r="D998" s="41"/>
      <c r="E998" s="41"/>
      <c r="F998" s="40"/>
      <c r="G998" s="35"/>
      <c r="H998" s="41"/>
      <c r="I998" s="42"/>
      <c r="J998" s="42"/>
      <c r="K998" s="42"/>
      <c r="L998" s="42"/>
      <c r="M998" s="42"/>
      <c r="N998" s="42"/>
      <c r="O998" s="42"/>
      <c r="P998" s="42"/>
      <c r="Q998" s="42"/>
      <c r="R998" s="42"/>
      <c r="S998" s="42"/>
      <c r="T998" s="42"/>
      <c r="U998" s="42"/>
      <c r="V998" s="42"/>
      <c r="W998" s="42"/>
      <c r="X998" s="42"/>
      <c r="Y998" s="42"/>
      <c r="Z998" s="42"/>
      <c r="AA998" s="42"/>
      <c r="AB998" s="42"/>
      <c r="AC998" s="42"/>
    </row>
    <row r="999" spans="1:29" x14ac:dyDescent="0.25">
      <c r="A999" s="42"/>
      <c r="B999" s="35"/>
      <c r="C999" s="35"/>
      <c r="D999" s="41"/>
      <c r="E999" s="41"/>
      <c r="F999" s="40"/>
      <c r="G999" s="35"/>
      <c r="H999" s="41"/>
      <c r="I999" s="42"/>
      <c r="J999" s="42"/>
      <c r="K999" s="42"/>
      <c r="L999" s="42"/>
      <c r="M999" s="42"/>
      <c r="N999" s="42"/>
      <c r="O999" s="42"/>
      <c r="P999" s="42"/>
      <c r="Q999" s="42"/>
      <c r="R999" s="42"/>
      <c r="S999" s="42"/>
      <c r="T999" s="42"/>
      <c r="U999" s="42"/>
      <c r="V999" s="42"/>
      <c r="W999" s="42"/>
      <c r="X999" s="42"/>
      <c r="Y999" s="42"/>
      <c r="Z999" s="42"/>
      <c r="AA999" s="42"/>
      <c r="AB999" s="42"/>
      <c r="AC999" s="42"/>
    </row>
    <row r="1000" spans="1:29" x14ac:dyDescent="0.25">
      <c r="A1000" s="42"/>
      <c r="B1000" s="35"/>
      <c r="C1000" s="35"/>
      <c r="D1000" s="41"/>
      <c r="E1000" s="41"/>
      <c r="F1000" s="40"/>
      <c r="G1000" s="35"/>
      <c r="H1000" s="41"/>
      <c r="I1000" s="42"/>
      <c r="J1000" s="42"/>
      <c r="K1000" s="42"/>
      <c r="L1000" s="42"/>
      <c r="M1000" s="42"/>
      <c r="N1000" s="42"/>
      <c r="O1000" s="42"/>
      <c r="P1000" s="42"/>
      <c r="Q1000" s="42"/>
      <c r="R1000" s="42"/>
      <c r="S1000" s="42"/>
      <c r="T1000" s="42"/>
      <c r="U1000" s="42"/>
      <c r="V1000" s="42"/>
      <c r="W1000" s="42"/>
      <c r="X1000" s="42"/>
      <c r="Y1000" s="42"/>
      <c r="Z1000" s="42"/>
      <c r="AA1000" s="42"/>
      <c r="AB1000" s="42"/>
      <c r="AC1000" s="42"/>
    </row>
    <row r="1001" spans="1:29" x14ac:dyDescent="0.25">
      <c r="A1001" s="42"/>
      <c r="B1001" s="35"/>
      <c r="C1001" s="35"/>
      <c r="D1001" s="41"/>
      <c r="E1001" s="41"/>
      <c r="F1001" s="40"/>
      <c r="G1001" s="35"/>
      <c r="H1001" s="41"/>
      <c r="I1001" s="42"/>
      <c r="J1001" s="42"/>
      <c r="K1001" s="42"/>
      <c r="L1001" s="42"/>
      <c r="M1001" s="42"/>
      <c r="N1001" s="42"/>
      <c r="O1001" s="42"/>
      <c r="P1001" s="42"/>
      <c r="Q1001" s="42"/>
      <c r="R1001" s="42"/>
      <c r="S1001" s="42"/>
      <c r="T1001" s="42"/>
      <c r="U1001" s="42"/>
      <c r="V1001" s="42"/>
      <c r="W1001" s="42"/>
      <c r="X1001" s="42"/>
      <c r="Y1001" s="42"/>
      <c r="Z1001" s="42"/>
      <c r="AA1001" s="42"/>
      <c r="AB1001" s="42"/>
      <c r="AC1001" s="42"/>
    </row>
    <row r="1002" spans="1:29" x14ac:dyDescent="0.25">
      <c r="A1002" s="42"/>
      <c r="B1002" s="35"/>
      <c r="C1002" s="35"/>
      <c r="D1002" s="41"/>
      <c r="E1002" s="41"/>
      <c r="F1002" s="40"/>
      <c r="G1002" s="35"/>
      <c r="H1002" s="41"/>
      <c r="I1002" s="42"/>
      <c r="J1002" s="42"/>
      <c r="K1002" s="42"/>
      <c r="L1002" s="42"/>
      <c r="M1002" s="42"/>
      <c r="N1002" s="42"/>
      <c r="O1002" s="42"/>
      <c r="P1002" s="42"/>
      <c r="Q1002" s="42"/>
      <c r="R1002" s="42"/>
      <c r="S1002" s="42"/>
      <c r="T1002" s="42"/>
      <c r="U1002" s="42"/>
      <c r="V1002" s="42"/>
      <c r="W1002" s="42"/>
      <c r="X1002" s="42"/>
      <c r="Y1002" s="42"/>
      <c r="Z1002" s="42"/>
      <c r="AA1002" s="42"/>
      <c r="AB1002" s="42"/>
      <c r="AC1002" s="42"/>
    </row>
    <row r="1003" spans="1:29" x14ac:dyDescent="0.25">
      <c r="A1003" s="42"/>
      <c r="B1003" s="35"/>
      <c r="C1003" s="35"/>
      <c r="D1003" s="41"/>
      <c r="E1003" s="41"/>
      <c r="F1003" s="40"/>
      <c r="G1003" s="35"/>
      <c r="H1003" s="41"/>
      <c r="I1003" s="42"/>
      <c r="J1003" s="42"/>
      <c r="K1003" s="42"/>
      <c r="L1003" s="42"/>
      <c r="M1003" s="42"/>
      <c r="N1003" s="42"/>
      <c r="O1003" s="42"/>
      <c r="P1003" s="42"/>
      <c r="Q1003" s="42"/>
      <c r="R1003" s="42"/>
      <c r="S1003" s="42"/>
      <c r="T1003" s="42"/>
      <c r="U1003" s="42"/>
      <c r="V1003" s="42"/>
      <c r="W1003" s="42"/>
      <c r="X1003" s="42"/>
      <c r="Y1003" s="42"/>
      <c r="Z1003" s="42"/>
      <c r="AA1003" s="42"/>
      <c r="AB1003" s="42"/>
      <c r="AC1003" s="42"/>
    </row>
    <row r="1004" spans="1:29" x14ac:dyDescent="0.25">
      <c r="A1004" s="42"/>
      <c r="B1004" s="35"/>
      <c r="C1004" s="35"/>
      <c r="D1004" s="41"/>
      <c r="E1004" s="41"/>
      <c r="F1004" s="40"/>
      <c r="G1004" s="35"/>
      <c r="H1004" s="41"/>
      <c r="I1004" s="42"/>
      <c r="J1004" s="42"/>
      <c r="K1004" s="42"/>
      <c r="L1004" s="42"/>
      <c r="M1004" s="42"/>
      <c r="N1004" s="42"/>
      <c r="O1004" s="42"/>
      <c r="P1004" s="42"/>
      <c r="Q1004" s="42"/>
      <c r="R1004" s="42"/>
      <c r="S1004" s="42"/>
      <c r="T1004" s="42"/>
      <c r="U1004" s="42"/>
      <c r="V1004" s="42"/>
      <c r="W1004" s="42"/>
      <c r="X1004" s="42"/>
      <c r="Y1004" s="42"/>
      <c r="Z1004" s="42"/>
      <c r="AA1004" s="42"/>
      <c r="AB1004" s="42"/>
      <c r="AC1004" s="42"/>
    </row>
    <row r="1005" spans="1:29" x14ac:dyDescent="0.25">
      <c r="A1005" s="42"/>
      <c r="B1005" s="35"/>
      <c r="C1005" s="35"/>
      <c r="D1005" s="41"/>
      <c r="E1005" s="41"/>
      <c r="F1005" s="40"/>
      <c r="G1005" s="35"/>
      <c r="H1005" s="41"/>
      <c r="I1005" s="42"/>
      <c r="J1005" s="42"/>
      <c r="K1005" s="42"/>
      <c r="L1005" s="42"/>
      <c r="M1005" s="42"/>
      <c r="N1005" s="42"/>
      <c r="O1005" s="42"/>
      <c r="P1005" s="42"/>
      <c r="Q1005" s="42"/>
      <c r="R1005" s="42"/>
      <c r="S1005" s="42"/>
      <c r="T1005" s="42"/>
      <c r="U1005" s="42"/>
      <c r="V1005" s="42"/>
      <c r="W1005" s="42"/>
      <c r="X1005" s="42"/>
      <c r="Y1005" s="42"/>
      <c r="Z1005" s="42"/>
      <c r="AA1005" s="42"/>
      <c r="AB1005" s="42"/>
      <c r="AC1005" s="42"/>
    </row>
    <row r="1006" spans="1:29" x14ac:dyDescent="0.25">
      <c r="A1006" s="42"/>
      <c r="B1006" s="35"/>
      <c r="C1006" s="35"/>
      <c r="D1006" s="41"/>
      <c r="E1006" s="41"/>
      <c r="F1006" s="40"/>
      <c r="G1006" s="35"/>
      <c r="H1006" s="41"/>
      <c r="I1006" s="42"/>
      <c r="J1006" s="42"/>
      <c r="K1006" s="42"/>
      <c r="L1006" s="42"/>
      <c r="M1006" s="42"/>
      <c r="N1006" s="42"/>
      <c r="O1006" s="42"/>
      <c r="P1006" s="42"/>
      <c r="Q1006" s="42"/>
      <c r="R1006" s="42"/>
      <c r="S1006" s="42"/>
      <c r="T1006" s="42"/>
      <c r="U1006" s="42"/>
      <c r="V1006" s="42"/>
      <c r="W1006" s="42"/>
      <c r="X1006" s="42"/>
      <c r="Y1006" s="42"/>
      <c r="Z1006" s="42"/>
      <c r="AA1006" s="42"/>
      <c r="AB1006" s="42"/>
      <c r="AC1006" s="42"/>
    </row>
    <row r="1007" spans="1:29" x14ac:dyDescent="0.25">
      <c r="A1007" s="42"/>
      <c r="B1007" s="35"/>
      <c r="C1007" s="35"/>
      <c r="D1007" s="41"/>
      <c r="E1007" s="41"/>
      <c r="F1007" s="40"/>
      <c r="G1007" s="35"/>
      <c r="H1007" s="41"/>
      <c r="I1007" s="42"/>
      <c r="J1007" s="42"/>
      <c r="K1007" s="42"/>
      <c r="L1007" s="42"/>
      <c r="M1007" s="42"/>
      <c r="N1007" s="42"/>
      <c r="O1007" s="42"/>
      <c r="P1007" s="42"/>
      <c r="Q1007" s="42"/>
      <c r="R1007" s="42"/>
      <c r="S1007" s="42"/>
      <c r="T1007" s="42"/>
      <c r="U1007" s="42"/>
      <c r="V1007" s="42"/>
      <c r="W1007" s="42"/>
      <c r="X1007" s="42"/>
      <c r="Y1007" s="42"/>
      <c r="Z1007" s="42"/>
      <c r="AA1007" s="42"/>
      <c r="AB1007" s="42"/>
      <c r="AC1007" s="42"/>
    </row>
    <row r="1008" spans="1:29" x14ac:dyDescent="0.25">
      <c r="A1008" s="42"/>
      <c r="B1008" s="35"/>
      <c r="C1008" s="35"/>
      <c r="D1008" s="41"/>
      <c r="E1008" s="41"/>
      <c r="F1008" s="40"/>
      <c r="G1008" s="35"/>
      <c r="H1008" s="41"/>
      <c r="I1008" s="42"/>
      <c r="J1008" s="42"/>
      <c r="K1008" s="42"/>
      <c r="L1008" s="42"/>
      <c r="M1008" s="42"/>
      <c r="N1008" s="42"/>
      <c r="O1008" s="42"/>
      <c r="P1008" s="42"/>
      <c r="Q1008" s="42"/>
      <c r="R1008" s="42"/>
      <c r="S1008" s="42"/>
      <c r="T1008" s="42"/>
      <c r="U1008" s="42"/>
      <c r="V1008" s="42"/>
      <c r="W1008" s="42"/>
      <c r="X1008" s="42"/>
      <c r="Y1008" s="42"/>
      <c r="Z1008" s="42"/>
      <c r="AA1008" s="42"/>
      <c r="AB1008" s="42"/>
      <c r="AC1008" s="42"/>
    </row>
    <row r="1009" spans="1:29" x14ac:dyDescent="0.25">
      <c r="A1009" s="42"/>
      <c r="B1009" s="35"/>
      <c r="C1009" s="35"/>
      <c r="D1009" s="41"/>
      <c r="E1009" s="41"/>
      <c r="F1009" s="40"/>
      <c r="G1009" s="35"/>
      <c r="H1009" s="41"/>
      <c r="I1009" s="42"/>
      <c r="J1009" s="42"/>
      <c r="K1009" s="42"/>
      <c r="L1009" s="42"/>
      <c r="M1009" s="42"/>
      <c r="N1009" s="42"/>
      <c r="O1009" s="42"/>
      <c r="P1009" s="42"/>
      <c r="Q1009" s="42"/>
      <c r="R1009" s="42"/>
      <c r="S1009" s="42"/>
      <c r="T1009" s="42"/>
      <c r="U1009" s="42"/>
      <c r="V1009" s="42"/>
      <c r="W1009" s="42"/>
      <c r="X1009" s="42"/>
      <c r="Y1009" s="42"/>
      <c r="Z1009" s="42"/>
      <c r="AA1009" s="42"/>
      <c r="AB1009" s="42"/>
      <c r="AC1009" s="42"/>
    </row>
    <row r="1010" spans="1:29" x14ac:dyDescent="0.25">
      <c r="A1010" s="42"/>
      <c r="B1010" s="35"/>
      <c r="C1010" s="35"/>
      <c r="D1010" s="41"/>
      <c r="E1010" s="41"/>
      <c r="F1010" s="40"/>
      <c r="G1010" s="35"/>
      <c r="H1010" s="41"/>
      <c r="I1010" s="42"/>
      <c r="J1010" s="42"/>
      <c r="K1010" s="42"/>
      <c r="L1010" s="42"/>
      <c r="M1010" s="42"/>
      <c r="N1010" s="42"/>
      <c r="O1010" s="42"/>
      <c r="P1010" s="42"/>
      <c r="Q1010" s="42"/>
      <c r="R1010" s="42"/>
      <c r="S1010" s="42"/>
      <c r="T1010" s="42"/>
      <c r="U1010" s="42"/>
      <c r="V1010" s="42"/>
      <c r="W1010" s="42"/>
      <c r="X1010" s="42"/>
      <c r="Y1010" s="42"/>
      <c r="Z1010" s="42"/>
      <c r="AA1010" s="42"/>
      <c r="AB1010" s="42"/>
      <c r="AC1010" s="42"/>
    </row>
    <row r="1011" spans="1:29" x14ac:dyDescent="0.25">
      <c r="A1011" s="42"/>
      <c r="B1011" s="35"/>
      <c r="C1011" s="35"/>
      <c r="D1011" s="41"/>
      <c r="E1011" s="41"/>
      <c r="F1011" s="40"/>
      <c r="G1011" s="35"/>
      <c r="H1011" s="41"/>
      <c r="I1011" s="42"/>
      <c r="J1011" s="42"/>
      <c r="K1011" s="42"/>
      <c r="L1011" s="42"/>
      <c r="M1011" s="42"/>
      <c r="N1011" s="42"/>
      <c r="O1011" s="42"/>
      <c r="P1011" s="42"/>
      <c r="Q1011" s="42"/>
      <c r="R1011" s="42"/>
      <c r="S1011" s="42"/>
      <c r="T1011" s="42"/>
      <c r="U1011" s="42"/>
      <c r="V1011" s="42"/>
      <c r="W1011" s="42"/>
      <c r="X1011" s="42"/>
      <c r="Y1011" s="42"/>
      <c r="Z1011" s="42"/>
      <c r="AA1011" s="42"/>
      <c r="AB1011" s="42"/>
      <c r="AC1011" s="42"/>
    </row>
    <row r="1012" spans="1:29" x14ac:dyDescent="0.25">
      <c r="A1012" s="42"/>
      <c r="B1012" s="35"/>
      <c r="C1012" s="35"/>
      <c r="D1012" s="41"/>
      <c r="E1012" s="41"/>
      <c r="F1012" s="40"/>
      <c r="G1012" s="35"/>
      <c r="H1012" s="41"/>
      <c r="I1012" s="42"/>
      <c r="J1012" s="42"/>
      <c r="K1012" s="42"/>
      <c r="L1012" s="42"/>
      <c r="M1012" s="42"/>
      <c r="N1012" s="42"/>
      <c r="O1012" s="42"/>
      <c r="P1012" s="42"/>
      <c r="Q1012" s="42"/>
      <c r="R1012" s="42"/>
      <c r="S1012" s="42"/>
      <c r="T1012" s="42"/>
      <c r="U1012" s="42"/>
      <c r="V1012" s="42"/>
      <c r="W1012" s="42"/>
      <c r="X1012" s="42"/>
      <c r="Y1012" s="42"/>
      <c r="Z1012" s="42"/>
      <c r="AA1012" s="42"/>
      <c r="AB1012" s="42"/>
      <c r="AC1012" s="42"/>
    </row>
    <row r="1013" spans="1:29" x14ac:dyDescent="0.25">
      <c r="A1013" s="42"/>
      <c r="B1013" s="35"/>
      <c r="C1013" s="35"/>
      <c r="D1013" s="41"/>
      <c r="E1013" s="41"/>
      <c r="F1013" s="40"/>
      <c r="G1013" s="35"/>
      <c r="H1013" s="41"/>
      <c r="I1013" s="42"/>
      <c r="J1013" s="42"/>
      <c r="K1013" s="42"/>
      <c r="L1013" s="42"/>
      <c r="M1013" s="42"/>
      <c r="N1013" s="42"/>
      <c r="O1013" s="42"/>
      <c r="P1013" s="42"/>
      <c r="Q1013" s="42"/>
      <c r="R1013" s="42"/>
      <c r="S1013" s="42"/>
      <c r="T1013" s="42"/>
      <c r="U1013" s="42"/>
      <c r="V1013" s="42"/>
      <c r="W1013" s="42"/>
      <c r="X1013" s="42"/>
      <c r="Y1013" s="42"/>
      <c r="Z1013" s="42"/>
      <c r="AA1013" s="42"/>
      <c r="AB1013" s="42"/>
      <c r="AC1013" s="42"/>
    </row>
    <row r="1014" spans="1:29" x14ac:dyDescent="0.25">
      <c r="A1014" s="42"/>
      <c r="B1014" s="35"/>
      <c r="C1014" s="35"/>
      <c r="D1014" s="41"/>
      <c r="E1014" s="41"/>
      <c r="F1014" s="40"/>
      <c r="G1014" s="35"/>
      <c r="H1014" s="41"/>
      <c r="I1014" s="42"/>
      <c r="J1014" s="42"/>
      <c r="K1014" s="42"/>
      <c r="L1014" s="42"/>
      <c r="M1014" s="42"/>
      <c r="N1014" s="42"/>
      <c r="O1014" s="42"/>
      <c r="P1014" s="42"/>
      <c r="Q1014" s="42"/>
      <c r="R1014" s="42"/>
      <c r="S1014" s="42"/>
      <c r="T1014" s="42"/>
      <c r="U1014" s="42"/>
      <c r="V1014" s="42"/>
      <c r="W1014" s="42"/>
      <c r="X1014" s="42"/>
      <c r="Y1014" s="42"/>
      <c r="Z1014" s="42"/>
      <c r="AA1014" s="42"/>
      <c r="AB1014" s="42"/>
      <c r="AC1014" s="42"/>
    </row>
    <row r="1015" spans="1:29" x14ac:dyDescent="0.25">
      <c r="A1015" s="42"/>
      <c r="B1015" s="35"/>
      <c r="C1015" s="35"/>
      <c r="D1015" s="41"/>
      <c r="E1015" s="41"/>
      <c r="F1015" s="40"/>
      <c r="G1015" s="35"/>
      <c r="H1015" s="41"/>
      <c r="I1015" s="42"/>
      <c r="J1015" s="42"/>
      <c r="K1015" s="42"/>
      <c r="L1015" s="42"/>
      <c r="M1015" s="42"/>
      <c r="N1015" s="42"/>
      <c r="O1015" s="42"/>
      <c r="P1015" s="42"/>
      <c r="Q1015" s="42"/>
      <c r="R1015" s="42"/>
      <c r="S1015" s="42"/>
      <c r="T1015" s="42"/>
      <c r="U1015" s="42"/>
      <c r="V1015" s="42"/>
      <c r="W1015" s="42"/>
      <c r="X1015" s="42"/>
      <c r="Y1015" s="42"/>
      <c r="Z1015" s="42"/>
      <c r="AA1015" s="42"/>
      <c r="AB1015" s="42"/>
      <c r="AC1015" s="42"/>
    </row>
    <row r="1016" spans="1:29" x14ac:dyDescent="0.25">
      <c r="A1016" s="42"/>
      <c r="B1016" s="35"/>
      <c r="C1016" s="35"/>
      <c r="D1016" s="41"/>
      <c r="E1016" s="41"/>
      <c r="F1016" s="40"/>
      <c r="G1016" s="35"/>
      <c r="H1016" s="41"/>
      <c r="I1016" s="42"/>
      <c r="J1016" s="42"/>
      <c r="K1016" s="42"/>
      <c r="L1016" s="42"/>
      <c r="M1016" s="42"/>
      <c r="N1016" s="42"/>
      <c r="O1016" s="42"/>
      <c r="P1016" s="42"/>
      <c r="Q1016" s="42"/>
      <c r="R1016" s="42"/>
      <c r="S1016" s="42"/>
      <c r="T1016" s="42"/>
      <c r="U1016" s="42"/>
      <c r="V1016" s="42"/>
      <c r="W1016" s="42"/>
      <c r="X1016" s="42"/>
      <c r="Y1016" s="42"/>
      <c r="Z1016" s="42"/>
      <c r="AA1016" s="42"/>
      <c r="AB1016" s="42"/>
      <c r="AC1016" s="42"/>
    </row>
    <row r="1017" spans="1:29" x14ac:dyDescent="0.25">
      <c r="A1017" s="42"/>
      <c r="B1017" s="35"/>
      <c r="C1017" s="35"/>
      <c r="D1017" s="41"/>
      <c r="E1017" s="41"/>
      <c r="F1017" s="40"/>
      <c r="G1017" s="35"/>
      <c r="H1017" s="41"/>
      <c r="I1017" s="42"/>
      <c r="J1017" s="42"/>
      <c r="K1017" s="42"/>
      <c r="L1017" s="42"/>
      <c r="M1017" s="42"/>
      <c r="N1017" s="42"/>
      <c r="O1017" s="42"/>
      <c r="P1017" s="42"/>
      <c r="Q1017" s="42"/>
      <c r="R1017" s="42"/>
      <c r="S1017" s="42"/>
      <c r="T1017" s="42"/>
      <c r="U1017" s="42"/>
      <c r="V1017" s="42"/>
      <c r="W1017" s="42"/>
      <c r="X1017" s="42"/>
      <c r="Y1017" s="42"/>
      <c r="Z1017" s="42"/>
      <c r="AA1017" s="42"/>
      <c r="AB1017" s="42"/>
      <c r="AC1017" s="42"/>
    </row>
    <row r="1018" spans="1:29" x14ac:dyDescent="0.25">
      <c r="A1018" s="42"/>
      <c r="B1018" s="35"/>
      <c r="C1018" s="35"/>
      <c r="D1018" s="41"/>
      <c r="E1018" s="41"/>
      <c r="F1018" s="40"/>
      <c r="G1018" s="35"/>
      <c r="H1018" s="41"/>
      <c r="I1018" s="42"/>
      <c r="J1018" s="42"/>
      <c r="K1018" s="42"/>
      <c r="L1018" s="42"/>
      <c r="M1018" s="42"/>
      <c r="N1018" s="42"/>
      <c r="O1018" s="42"/>
      <c r="P1018" s="42"/>
      <c r="Q1018" s="42"/>
      <c r="R1018" s="42"/>
      <c r="S1018" s="42"/>
      <c r="T1018" s="42"/>
      <c r="U1018" s="42"/>
      <c r="V1018" s="42"/>
      <c r="W1018" s="42"/>
      <c r="X1018" s="42"/>
      <c r="Y1018" s="42"/>
      <c r="Z1018" s="42"/>
      <c r="AA1018" s="42"/>
      <c r="AB1018" s="42"/>
      <c r="AC1018" s="42"/>
    </row>
    <row r="1019" spans="1:29" x14ac:dyDescent="0.25">
      <c r="A1019" s="42"/>
      <c r="B1019" s="35"/>
      <c r="C1019" s="35"/>
      <c r="D1019" s="41"/>
      <c r="E1019" s="41"/>
      <c r="F1019" s="40"/>
      <c r="G1019" s="35"/>
      <c r="H1019" s="41"/>
      <c r="I1019" s="42"/>
      <c r="J1019" s="42"/>
      <c r="K1019" s="42"/>
      <c r="L1019" s="42"/>
      <c r="M1019" s="42"/>
      <c r="N1019" s="42"/>
      <c r="O1019" s="42"/>
      <c r="P1019" s="42"/>
      <c r="Q1019" s="42"/>
      <c r="R1019" s="42"/>
      <c r="S1019" s="42"/>
      <c r="T1019" s="42"/>
      <c r="U1019" s="42"/>
      <c r="V1019" s="42"/>
      <c r="W1019" s="42"/>
      <c r="X1019" s="42"/>
      <c r="Y1019" s="42"/>
      <c r="Z1019" s="42"/>
      <c r="AA1019" s="42"/>
      <c r="AB1019" s="42"/>
      <c r="AC1019" s="42"/>
    </row>
    <row r="1020" spans="1:29" x14ac:dyDescent="0.25">
      <c r="A1020" s="42"/>
      <c r="B1020" s="35"/>
      <c r="C1020" s="35"/>
      <c r="D1020" s="41"/>
      <c r="E1020" s="41"/>
      <c r="F1020" s="40"/>
      <c r="G1020" s="35"/>
      <c r="H1020" s="41"/>
      <c r="I1020" s="42"/>
      <c r="J1020" s="42"/>
      <c r="K1020" s="42"/>
      <c r="L1020" s="42"/>
      <c r="M1020" s="42"/>
      <c r="N1020" s="42"/>
      <c r="O1020" s="42"/>
      <c r="P1020" s="42"/>
      <c r="Q1020" s="42"/>
      <c r="R1020" s="42"/>
      <c r="S1020" s="42"/>
      <c r="T1020" s="42"/>
      <c r="U1020" s="42"/>
      <c r="V1020" s="42"/>
      <c r="W1020" s="42"/>
      <c r="X1020" s="42"/>
      <c r="Y1020" s="42"/>
      <c r="Z1020" s="42"/>
      <c r="AA1020" s="42"/>
      <c r="AB1020" s="42"/>
      <c r="AC1020" s="42"/>
    </row>
    <row r="1021" spans="1:29" x14ac:dyDescent="0.25">
      <c r="A1021" s="42"/>
      <c r="B1021" s="35"/>
      <c r="C1021" s="35"/>
      <c r="D1021" s="41"/>
      <c r="E1021" s="41"/>
      <c r="F1021" s="40"/>
      <c r="G1021" s="35"/>
      <c r="H1021" s="41"/>
      <c r="I1021" s="42"/>
      <c r="J1021" s="42"/>
      <c r="K1021" s="42"/>
      <c r="L1021" s="42"/>
      <c r="M1021" s="42"/>
      <c r="N1021" s="42"/>
      <c r="O1021" s="42"/>
      <c r="P1021" s="42"/>
      <c r="Q1021" s="42"/>
      <c r="R1021" s="42"/>
      <c r="S1021" s="42"/>
      <c r="T1021" s="42"/>
      <c r="U1021" s="42"/>
      <c r="V1021" s="42"/>
      <c r="W1021" s="42"/>
      <c r="X1021" s="42"/>
      <c r="Y1021" s="42"/>
      <c r="Z1021" s="42"/>
      <c r="AA1021" s="42"/>
      <c r="AB1021" s="42"/>
      <c r="AC1021" s="42"/>
    </row>
    <row r="1022" spans="1:29" x14ac:dyDescent="0.25">
      <c r="A1022" s="42"/>
      <c r="B1022" s="35"/>
      <c r="C1022" s="35"/>
      <c r="D1022" s="41"/>
      <c r="E1022" s="41"/>
      <c r="F1022" s="40"/>
      <c r="G1022" s="35"/>
      <c r="H1022" s="41"/>
      <c r="I1022" s="42"/>
      <c r="J1022" s="42"/>
      <c r="K1022" s="42"/>
      <c r="L1022" s="42"/>
      <c r="M1022" s="42"/>
      <c r="N1022" s="42"/>
      <c r="O1022" s="42"/>
      <c r="P1022" s="42"/>
      <c r="Q1022" s="42"/>
      <c r="R1022" s="42"/>
      <c r="S1022" s="42"/>
      <c r="T1022" s="42"/>
      <c r="U1022" s="42"/>
      <c r="V1022" s="42"/>
      <c r="W1022" s="42"/>
      <c r="X1022" s="42"/>
      <c r="Y1022" s="42"/>
      <c r="Z1022" s="42"/>
      <c r="AA1022" s="42"/>
      <c r="AB1022" s="42"/>
      <c r="AC1022" s="42"/>
    </row>
    <row r="1023" spans="1:29" x14ac:dyDescent="0.25">
      <c r="A1023" s="42"/>
      <c r="B1023" s="35"/>
      <c r="C1023" s="35"/>
      <c r="D1023" s="41"/>
      <c r="E1023" s="41"/>
      <c r="F1023" s="40"/>
      <c r="G1023" s="35"/>
      <c r="H1023" s="41"/>
      <c r="I1023" s="42"/>
      <c r="J1023" s="42"/>
      <c r="K1023" s="42"/>
      <c r="L1023" s="42"/>
      <c r="M1023" s="42"/>
      <c r="N1023" s="42"/>
      <c r="O1023" s="42"/>
      <c r="P1023" s="42"/>
      <c r="Q1023" s="42"/>
      <c r="R1023" s="42"/>
      <c r="S1023" s="42"/>
      <c r="T1023" s="42"/>
      <c r="U1023" s="42"/>
      <c r="V1023" s="42"/>
      <c r="W1023" s="42"/>
      <c r="X1023" s="42"/>
      <c r="Y1023" s="42"/>
      <c r="Z1023" s="42"/>
      <c r="AA1023" s="42"/>
      <c r="AB1023" s="42"/>
      <c r="AC1023" s="42"/>
    </row>
    <row r="1024" spans="1:29" x14ac:dyDescent="0.25">
      <c r="A1024" s="42"/>
      <c r="B1024" s="35"/>
      <c r="C1024" s="35"/>
      <c r="D1024" s="41"/>
      <c r="E1024" s="41"/>
      <c r="F1024" s="40"/>
      <c r="G1024" s="35"/>
      <c r="H1024" s="41"/>
      <c r="I1024" s="42"/>
      <c r="J1024" s="42"/>
      <c r="K1024" s="42"/>
      <c r="L1024" s="42"/>
      <c r="M1024" s="42"/>
      <c r="N1024" s="42"/>
      <c r="O1024" s="42"/>
      <c r="P1024" s="42"/>
      <c r="Q1024" s="42"/>
      <c r="R1024" s="42"/>
      <c r="S1024" s="42"/>
      <c r="T1024" s="42"/>
      <c r="U1024" s="42"/>
      <c r="V1024" s="42"/>
      <c r="W1024" s="42"/>
      <c r="X1024" s="42"/>
      <c r="Y1024" s="42"/>
      <c r="Z1024" s="42"/>
      <c r="AA1024" s="42"/>
      <c r="AB1024" s="42"/>
      <c r="AC1024" s="42"/>
    </row>
    <row r="1025" spans="1:29" x14ac:dyDescent="0.25">
      <c r="A1025" s="42"/>
      <c r="B1025" s="35"/>
      <c r="C1025" s="35"/>
      <c r="D1025" s="41"/>
      <c r="E1025" s="41"/>
      <c r="F1025" s="40"/>
      <c r="G1025" s="35"/>
      <c r="H1025" s="41"/>
      <c r="I1025" s="42"/>
      <c r="J1025" s="42"/>
      <c r="K1025" s="42"/>
      <c r="L1025" s="42"/>
      <c r="M1025" s="42"/>
      <c r="N1025" s="42"/>
      <c r="O1025" s="42"/>
      <c r="P1025" s="42"/>
      <c r="Q1025" s="42"/>
      <c r="R1025" s="42"/>
      <c r="S1025" s="42"/>
      <c r="T1025" s="42"/>
      <c r="U1025" s="42"/>
      <c r="V1025" s="42"/>
      <c r="W1025" s="42"/>
      <c r="X1025" s="42"/>
      <c r="Y1025" s="42"/>
      <c r="Z1025" s="42"/>
      <c r="AA1025" s="42"/>
      <c r="AB1025" s="42"/>
      <c r="AC1025" s="42"/>
    </row>
    <row r="1026" spans="1:29" x14ac:dyDescent="0.25">
      <c r="A1026" s="42"/>
      <c r="B1026" s="35"/>
      <c r="C1026" s="35"/>
      <c r="D1026" s="41"/>
      <c r="E1026" s="41"/>
      <c r="F1026" s="40"/>
      <c r="G1026" s="35"/>
      <c r="H1026" s="41"/>
      <c r="I1026" s="42"/>
      <c r="J1026" s="42"/>
      <c r="K1026" s="42"/>
      <c r="L1026" s="42"/>
      <c r="M1026" s="42"/>
      <c r="N1026" s="42"/>
      <c r="O1026" s="42"/>
      <c r="P1026" s="42"/>
      <c r="Q1026" s="42"/>
      <c r="R1026" s="42"/>
      <c r="S1026" s="42"/>
      <c r="T1026" s="42"/>
      <c r="U1026" s="42"/>
      <c r="V1026" s="42"/>
      <c r="W1026" s="42"/>
      <c r="X1026" s="42"/>
      <c r="Y1026" s="42"/>
      <c r="Z1026" s="42"/>
      <c r="AA1026" s="42"/>
      <c r="AB1026" s="42"/>
      <c r="AC1026" s="42"/>
    </row>
    <row r="1027" spans="1:29" x14ac:dyDescent="0.25">
      <c r="A1027" s="42"/>
      <c r="B1027" s="35"/>
      <c r="C1027" s="35"/>
      <c r="D1027" s="41"/>
      <c r="E1027" s="41"/>
      <c r="F1027" s="40"/>
      <c r="G1027" s="35"/>
      <c r="H1027" s="41"/>
      <c r="I1027" s="42"/>
      <c r="J1027" s="42"/>
      <c r="K1027" s="42"/>
      <c r="L1027" s="42"/>
      <c r="M1027" s="42"/>
      <c r="N1027" s="42"/>
      <c r="O1027" s="42"/>
      <c r="P1027" s="42"/>
      <c r="Q1027" s="42"/>
      <c r="R1027" s="42"/>
      <c r="S1027" s="42"/>
      <c r="T1027" s="42"/>
      <c r="U1027" s="42"/>
      <c r="V1027" s="42"/>
      <c r="W1027" s="42"/>
      <c r="X1027" s="42"/>
      <c r="Y1027" s="42"/>
      <c r="Z1027" s="42"/>
      <c r="AA1027" s="42"/>
      <c r="AB1027" s="42"/>
      <c r="AC1027" s="42"/>
    </row>
    <row r="1028" spans="1:29" x14ac:dyDescent="0.25">
      <c r="A1028" s="42"/>
      <c r="B1028" s="35"/>
      <c r="C1028" s="35"/>
      <c r="D1028" s="41"/>
      <c r="E1028" s="41"/>
      <c r="F1028" s="40"/>
      <c r="G1028" s="35"/>
      <c r="H1028" s="41"/>
      <c r="I1028" s="42"/>
      <c r="J1028" s="42"/>
      <c r="K1028" s="42"/>
      <c r="L1028" s="42"/>
      <c r="M1028" s="42"/>
      <c r="N1028" s="42"/>
      <c r="O1028" s="42"/>
      <c r="P1028" s="42"/>
      <c r="Q1028" s="42"/>
      <c r="R1028" s="42"/>
      <c r="S1028" s="42"/>
      <c r="T1028" s="42"/>
      <c r="U1028" s="42"/>
      <c r="V1028" s="42"/>
      <c r="W1028" s="42"/>
      <c r="X1028" s="42"/>
      <c r="Y1028" s="42"/>
      <c r="Z1028" s="42"/>
      <c r="AA1028" s="42"/>
      <c r="AB1028" s="42"/>
      <c r="AC1028" s="42"/>
    </row>
    <row r="1029" spans="1:29" x14ac:dyDescent="0.25">
      <c r="A1029" s="42"/>
      <c r="B1029" s="35"/>
      <c r="C1029" s="35"/>
      <c r="D1029" s="41"/>
      <c r="E1029" s="41"/>
      <c r="F1029" s="40"/>
      <c r="G1029" s="35"/>
      <c r="H1029" s="41"/>
      <c r="I1029" s="42"/>
      <c r="J1029" s="42"/>
      <c r="K1029" s="42"/>
      <c r="L1029" s="42"/>
      <c r="M1029" s="42"/>
      <c r="N1029" s="42"/>
      <c r="O1029" s="42"/>
      <c r="P1029" s="42"/>
      <c r="Q1029" s="42"/>
      <c r="R1029" s="42"/>
      <c r="S1029" s="42"/>
      <c r="T1029" s="42"/>
      <c r="U1029" s="42"/>
      <c r="V1029" s="42"/>
      <c r="W1029" s="42"/>
      <c r="X1029" s="42"/>
      <c r="Y1029" s="42"/>
      <c r="Z1029" s="42"/>
      <c r="AA1029" s="42"/>
      <c r="AB1029" s="42"/>
      <c r="AC1029" s="42"/>
    </row>
    <row r="1030" spans="1:29" x14ac:dyDescent="0.25">
      <c r="A1030" s="42"/>
      <c r="B1030" s="35"/>
      <c r="C1030" s="35"/>
      <c r="D1030" s="41"/>
      <c r="E1030" s="41"/>
      <c r="F1030" s="40"/>
      <c r="G1030" s="35"/>
      <c r="H1030" s="41"/>
      <c r="I1030" s="42"/>
      <c r="J1030" s="42"/>
      <c r="K1030" s="42"/>
      <c r="L1030" s="42"/>
      <c r="M1030" s="42"/>
      <c r="N1030" s="42"/>
      <c r="O1030" s="42"/>
      <c r="P1030" s="42"/>
      <c r="Q1030" s="42"/>
      <c r="R1030" s="42"/>
      <c r="S1030" s="42"/>
      <c r="T1030" s="42"/>
      <c r="U1030" s="42"/>
      <c r="V1030" s="42"/>
      <c r="W1030" s="42"/>
      <c r="X1030" s="42"/>
      <c r="Y1030" s="42"/>
      <c r="Z1030" s="42"/>
      <c r="AA1030" s="42"/>
      <c r="AB1030" s="42"/>
      <c r="AC1030" s="42"/>
    </row>
    <row r="1031" spans="1:29" x14ac:dyDescent="0.25">
      <c r="A1031" s="42"/>
      <c r="B1031" s="35"/>
      <c r="C1031" s="35"/>
      <c r="D1031" s="41"/>
      <c r="E1031" s="41"/>
      <c r="F1031" s="40"/>
      <c r="G1031" s="35"/>
      <c r="H1031" s="41"/>
      <c r="I1031" s="42"/>
      <c r="J1031" s="42"/>
      <c r="K1031" s="42"/>
      <c r="L1031" s="42"/>
      <c r="M1031" s="42"/>
      <c r="N1031" s="42"/>
      <c r="O1031" s="42"/>
      <c r="P1031" s="42"/>
      <c r="Q1031" s="42"/>
      <c r="R1031" s="42"/>
      <c r="S1031" s="42"/>
      <c r="T1031" s="42"/>
      <c r="U1031" s="42"/>
      <c r="V1031" s="42"/>
      <c r="W1031" s="42"/>
      <c r="X1031" s="42"/>
      <c r="Y1031" s="42"/>
      <c r="Z1031" s="42"/>
      <c r="AA1031" s="42"/>
      <c r="AB1031" s="42"/>
      <c r="AC1031" s="42"/>
    </row>
    <row r="1032" spans="1:29" x14ac:dyDescent="0.25">
      <c r="A1032" s="42"/>
      <c r="B1032" s="35"/>
      <c r="C1032" s="35"/>
      <c r="D1032" s="41"/>
      <c r="E1032" s="41"/>
      <c r="F1032" s="40"/>
      <c r="G1032" s="35"/>
      <c r="H1032" s="41"/>
      <c r="I1032" s="42"/>
      <c r="J1032" s="42"/>
      <c r="K1032" s="42"/>
      <c r="L1032" s="42"/>
      <c r="M1032" s="42"/>
      <c r="N1032" s="42"/>
      <c r="O1032" s="42"/>
      <c r="P1032" s="42"/>
      <c r="Q1032" s="42"/>
      <c r="R1032" s="42"/>
      <c r="S1032" s="42"/>
      <c r="T1032" s="42"/>
      <c r="U1032" s="42"/>
      <c r="V1032" s="42"/>
      <c r="W1032" s="42"/>
      <c r="X1032" s="42"/>
      <c r="Y1032" s="42"/>
      <c r="Z1032" s="42"/>
      <c r="AA1032" s="42"/>
      <c r="AB1032" s="42"/>
      <c r="AC1032" s="42"/>
    </row>
    <row r="1033" spans="1:29" x14ac:dyDescent="0.25">
      <c r="A1033" s="42"/>
      <c r="B1033" s="35"/>
      <c r="C1033" s="35"/>
      <c r="D1033" s="41"/>
      <c r="E1033" s="41"/>
      <c r="F1033" s="40"/>
      <c r="G1033" s="35"/>
      <c r="H1033" s="41"/>
      <c r="I1033" s="42"/>
      <c r="J1033" s="42"/>
      <c r="K1033" s="42"/>
      <c r="L1033" s="42"/>
      <c r="M1033" s="42"/>
      <c r="N1033" s="42"/>
      <c r="O1033" s="42"/>
      <c r="P1033" s="42"/>
      <c r="Q1033" s="42"/>
      <c r="R1033" s="42"/>
      <c r="S1033" s="42"/>
      <c r="T1033" s="42"/>
      <c r="U1033" s="42"/>
      <c r="V1033" s="42"/>
      <c r="W1033" s="42"/>
      <c r="X1033" s="42"/>
      <c r="Y1033" s="42"/>
      <c r="Z1033" s="42"/>
      <c r="AA1033" s="42"/>
      <c r="AB1033" s="42"/>
      <c r="AC1033" s="42"/>
    </row>
    <row r="1034" spans="1:29" x14ac:dyDescent="0.25">
      <c r="A1034" s="42"/>
      <c r="B1034" s="35"/>
      <c r="C1034" s="35"/>
      <c r="D1034" s="41"/>
      <c r="E1034" s="41"/>
      <c r="F1034" s="40"/>
      <c r="G1034" s="35"/>
      <c r="H1034" s="41"/>
      <c r="I1034" s="42"/>
      <c r="J1034" s="42"/>
      <c r="K1034" s="42"/>
      <c r="L1034" s="42"/>
      <c r="M1034" s="42"/>
      <c r="N1034" s="42"/>
      <c r="O1034" s="42"/>
      <c r="P1034" s="42"/>
      <c r="Q1034" s="42"/>
      <c r="R1034" s="42"/>
      <c r="S1034" s="42"/>
      <c r="T1034" s="42"/>
      <c r="U1034" s="42"/>
      <c r="V1034" s="42"/>
      <c r="W1034" s="42"/>
      <c r="X1034" s="42"/>
      <c r="Y1034" s="42"/>
      <c r="Z1034" s="42"/>
      <c r="AA1034" s="42"/>
      <c r="AB1034" s="42"/>
      <c r="AC1034" s="42"/>
    </row>
    <row r="1035" spans="1:29" x14ac:dyDescent="0.25">
      <c r="A1035" s="42"/>
      <c r="B1035" s="35"/>
      <c r="C1035" s="35"/>
      <c r="D1035" s="41"/>
      <c r="E1035" s="41"/>
      <c r="F1035" s="40"/>
      <c r="G1035" s="35"/>
      <c r="H1035" s="41"/>
      <c r="I1035" s="42"/>
      <c r="J1035" s="42"/>
      <c r="K1035" s="42"/>
      <c r="L1035" s="42"/>
      <c r="M1035" s="42"/>
      <c r="N1035" s="42"/>
      <c r="O1035" s="42"/>
      <c r="P1035" s="42"/>
      <c r="Q1035" s="42"/>
      <c r="R1035" s="42"/>
      <c r="S1035" s="42"/>
      <c r="T1035" s="42"/>
      <c r="U1035" s="42"/>
      <c r="V1035" s="42"/>
      <c r="W1035" s="42"/>
      <c r="X1035" s="42"/>
      <c r="Y1035" s="42"/>
      <c r="Z1035" s="42"/>
      <c r="AA1035" s="42"/>
      <c r="AB1035" s="42"/>
      <c r="AC1035" s="42"/>
    </row>
    <row r="1036" spans="1:29" x14ac:dyDescent="0.25">
      <c r="A1036" s="42"/>
      <c r="B1036" s="35"/>
      <c r="C1036" s="35"/>
      <c r="D1036" s="41"/>
      <c r="E1036" s="41"/>
      <c r="F1036" s="40"/>
      <c r="G1036" s="35"/>
      <c r="H1036" s="41"/>
      <c r="I1036" s="42"/>
      <c r="J1036" s="42"/>
      <c r="K1036" s="42"/>
      <c r="L1036" s="42"/>
      <c r="M1036" s="42"/>
      <c r="N1036" s="42"/>
      <c r="O1036" s="42"/>
      <c r="P1036" s="42"/>
      <c r="Q1036" s="42"/>
      <c r="R1036" s="42"/>
      <c r="S1036" s="42"/>
      <c r="T1036" s="42"/>
      <c r="U1036" s="42"/>
      <c r="V1036" s="42"/>
      <c r="W1036" s="42"/>
      <c r="X1036" s="42"/>
      <c r="Y1036" s="42"/>
      <c r="Z1036" s="42"/>
      <c r="AA1036" s="42"/>
      <c r="AB1036" s="42"/>
      <c r="AC1036" s="42"/>
    </row>
    <row r="1037" spans="1:29" x14ac:dyDescent="0.25">
      <c r="A1037" s="42"/>
      <c r="B1037" s="35"/>
      <c r="C1037" s="35"/>
      <c r="D1037" s="41"/>
      <c r="E1037" s="41"/>
      <c r="F1037" s="40"/>
      <c r="G1037" s="35"/>
      <c r="H1037" s="41"/>
      <c r="I1037" s="42"/>
      <c r="J1037" s="42"/>
      <c r="K1037" s="42"/>
      <c r="L1037" s="42"/>
      <c r="M1037" s="42"/>
      <c r="N1037" s="42"/>
      <c r="O1037" s="42"/>
      <c r="P1037" s="42"/>
      <c r="Q1037" s="42"/>
      <c r="R1037" s="42"/>
      <c r="S1037" s="42"/>
      <c r="T1037" s="42"/>
      <c r="U1037" s="42"/>
      <c r="V1037" s="42"/>
      <c r="W1037" s="42"/>
      <c r="X1037" s="42"/>
      <c r="Y1037" s="42"/>
      <c r="Z1037" s="42"/>
      <c r="AA1037" s="42"/>
      <c r="AB1037" s="42"/>
      <c r="AC1037" s="42"/>
    </row>
    <row r="1038" spans="1:29" x14ac:dyDescent="0.25">
      <c r="A1038" s="42"/>
      <c r="B1038" s="35"/>
      <c r="C1038" s="35"/>
      <c r="D1038" s="41"/>
      <c r="E1038" s="41"/>
      <c r="F1038" s="40"/>
      <c r="G1038" s="35"/>
      <c r="H1038" s="41"/>
      <c r="I1038" s="42"/>
      <c r="J1038" s="42"/>
      <c r="K1038" s="42"/>
      <c r="L1038" s="42"/>
      <c r="M1038" s="42"/>
      <c r="N1038" s="42"/>
      <c r="O1038" s="42"/>
      <c r="P1038" s="42"/>
      <c r="Q1038" s="42"/>
      <c r="R1038" s="42"/>
      <c r="S1038" s="42"/>
      <c r="T1038" s="42"/>
      <c r="U1038" s="42"/>
      <c r="V1038" s="42"/>
      <c r="W1038" s="42"/>
      <c r="X1038" s="42"/>
      <c r="Y1038" s="42"/>
      <c r="Z1038" s="42"/>
      <c r="AA1038" s="42"/>
      <c r="AB1038" s="42"/>
      <c r="AC1038" s="42"/>
    </row>
    <row r="1039" spans="1:29" x14ac:dyDescent="0.25">
      <c r="A1039" s="42"/>
      <c r="B1039" s="35"/>
      <c r="C1039" s="35"/>
      <c r="D1039" s="41"/>
      <c r="E1039" s="41"/>
      <c r="F1039" s="40"/>
      <c r="G1039" s="35"/>
      <c r="H1039" s="41"/>
      <c r="I1039" s="42"/>
      <c r="J1039" s="42"/>
      <c r="K1039" s="42"/>
      <c r="L1039" s="42"/>
      <c r="M1039" s="42"/>
      <c r="N1039" s="42"/>
      <c r="O1039" s="42"/>
      <c r="P1039" s="42"/>
      <c r="Q1039" s="42"/>
      <c r="R1039" s="42"/>
      <c r="S1039" s="42"/>
      <c r="T1039" s="42"/>
      <c r="U1039" s="42"/>
      <c r="V1039" s="42"/>
      <c r="W1039" s="42"/>
      <c r="X1039" s="42"/>
      <c r="Y1039" s="42"/>
      <c r="Z1039" s="42"/>
      <c r="AA1039" s="42"/>
      <c r="AB1039" s="42"/>
      <c r="AC1039" s="42"/>
    </row>
    <row r="1040" spans="1:29" x14ac:dyDescent="0.25">
      <c r="A1040" s="42"/>
      <c r="B1040" s="35"/>
      <c r="C1040" s="35"/>
      <c r="D1040" s="41"/>
      <c r="E1040" s="41"/>
      <c r="F1040" s="40"/>
      <c r="G1040" s="35"/>
      <c r="H1040" s="41"/>
      <c r="I1040" s="42"/>
      <c r="J1040" s="42"/>
      <c r="K1040" s="42"/>
      <c r="L1040" s="42"/>
      <c r="M1040" s="42"/>
      <c r="N1040" s="42"/>
      <c r="O1040" s="42"/>
      <c r="P1040" s="42"/>
      <c r="Q1040" s="42"/>
      <c r="R1040" s="42"/>
      <c r="S1040" s="42"/>
      <c r="T1040" s="42"/>
      <c r="U1040" s="42"/>
      <c r="V1040" s="42"/>
      <c r="W1040" s="42"/>
      <c r="X1040" s="42"/>
      <c r="Y1040" s="42"/>
      <c r="Z1040" s="42"/>
      <c r="AA1040" s="42"/>
      <c r="AB1040" s="42"/>
      <c r="AC1040" s="42"/>
    </row>
    <row r="1041" spans="1:29" x14ac:dyDescent="0.25">
      <c r="A1041" s="42"/>
      <c r="B1041" s="35"/>
      <c r="C1041" s="35"/>
      <c r="D1041" s="41"/>
      <c r="E1041" s="41"/>
      <c r="F1041" s="40"/>
      <c r="G1041" s="35"/>
      <c r="H1041" s="41"/>
      <c r="I1041" s="42"/>
      <c r="J1041" s="42"/>
      <c r="K1041" s="42"/>
      <c r="L1041" s="42"/>
      <c r="M1041" s="42"/>
      <c r="N1041" s="42"/>
      <c r="O1041" s="42"/>
      <c r="P1041" s="42"/>
      <c r="Q1041" s="42"/>
      <c r="R1041" s="42"/>
      <c r="S1041" s="42"/>
      <c r="T1041" s="42"/>
      <c r="U1041" s="42"/>
      <c r="V1041" s="42"/>
      <c r="W1041" s="42"/>
      <c r="X1041" s="42"/>
      <c r="Y1041" s="42"/>
      <c r="Z1041" s="42"/>
      <c r="AA1041" s="42"/>
      <c r="AB1041" s="42"/>
      <c r="AC1041" s="42"/>
    </row>
    <row r="1042" spans="1:29" x14ac:dyDescent="0.25">
      <c r="A1042" s="42"/>
      <c r="B1042" s="35"/>
      <c r="C1042" s="35"/>
      <c r="D1042" s="41"/>
      <c r="E1042" s="41"/>
      <c r="F1042" s="40"/>
      <c r="G1042" s="35"/>
      <c r="H1042" s="41"/>
      <c r="I1042" s="42"/>
      <c r="J1042" s="42"/>
      <c r="K1042" s="42"/>
      <c r="L1042" s="42"/>
      <c r="M1042" s="42"/>
      <c r="N1042" s="42"/>
      <c r="O1042" s="42"/>
      <c r="P1042" s="42"/>
      <c r="Q1042" s="42"/>
      <c r="R1042" s="42"/>
      <c r="S1042" s="42"/>
      <c r="T1042" s="42"/>
      <c r="U1042" s="42"/>
      <c r="V1042" s="42"/>
      <c r="W1042" s="42"/>
      <c r="X1042" s="42"/>
      <c r="Y1042" s="42"/>
      <c r="Z1042" s="42"/>
      <c r="AA1042" s="42"/>
      <c r="AB1042" s="42"/>
      <c r="AC1042" s="42"/>
    </row>
    <row r="1043" spans="1:29" x14ac:dyDescent="0.25">
      <c r="A1043" s="42"/>
      <c r="B1043" s="35"/>
      <c r="C1043" s="35"/>
      <c r="D1043" s="41"/>
      <c r="E1043" s="41"/>
      <c r="F1043" s="40"/>
      <c r="G1043" s="35"/>
      <c r="H1043" s="41"/>
      <c r="I1043" s="42"/>
      <c r="J1043" s="42"/>
      <c r="K1043" s="42"/>
      <c r="L1043" s="42"/>
      <c r="M1043" s="42"/>
      <c r="N1043" s="42"/>
      <c r="O1043" s="42"/>
      <c r="P1043" s="42"/>
      <c r="Q1043" s="42"/>
      <c r="R1043" s="42"/>
      <c r="S1043" s="42"/>
      <c r="T1043" s="42"/>
      <c r="U1043" s="42"/>
      <c r="V1043" s="42"/>
      <c r="W1043" s="42"/>
      <c r="X1043" s="42"/>
      <c r="Y1043" s="42"/>
      <c r="Z1043" s="42"/>
      <c r="AA1043" s="42"/>
      <c r="AB1043" s="42"/>
      <c r="AC1043" s="42"/>
    </row>
    <row r="1044" spans="1:29" x14ac:dyDescent="0.25">
      <c r="A1044" s="42"/>
      <c r="B1044" s="35"/>
      <c r="C1044" s="35"/>
      <c r="D1044" s="41"/>
      <c r="E1044" s="41"/>
      <c r="F1044" s="40"/>
      <c r="G1044" s="35"/>
      <c r="H1044" s="41"/>
      <c r="I1044" s="42"/>
      <c r="J1044" s="42"/>
      <c r="K1044" s="42"/>
      <c r="L1044" s="42"/>
      <c r="M1044" s="42"/>
      <c r="N1044" s="42"/>
      <c r="O1044" s="42"/>
      <c r="P1044" s="42"/>
      <c r="Q1044" s="42"/>
      <c r="R1044" s="42"/>
      <c r="S1044" s="42"/>
      <c r="T1044" s="42"/>
      <c r="U1044" s="42"/>
      <c r="V1044" s="42"/>
      <c r="W1044" s="42"/>
      <c r="X1044" s="42"/>
      <c r="Y1044" s="42"/>
      <c r="Z1044" s="42"/>
      <c r="AA1044" s="42"/>
      <c r="AB1044" s="42"/>
      <c r="AC1044" s="42"/>
    </row>
    <row r="1045" spans="1:29" x14ac:dyDescent="0.25">
      <c r="A1045" s="42"/>
      <c r="B1045" s="35"/>
      <c r="C1045" s="35"/>
      <c r="D1045" s="41"/>
      <c r="E1045" s="41"/>
      <c r="F1045" s="40"/>
      <c r="G1045" s="35"/>
      <c r="H1045" s="41"/>
      <c r="I1045" s="42"/>
      <c r="J1045" s="42"/>
      <c r="K1045" s="42"/>
      <c r="L1045" s="42"/>
      <c r="M1045" s="42"/>
      <c r="N1045" s="42"/>
      <c r="O1045" s="42"/>
      <c r="P1045" s="42"/>
      <c r="Q1045" s="42"/>
      <c r="R1045" s="42"/>
      <c r="S1045" s="42"/>
      <c r="T1045" s="42"/>
      <c r="U1045" s="42"/>
      <c r="V1045" s="42"/>
      <c r="W1045" s="42"/>
      <c r="X1045" s="42"/>
      <c r="Y1045" s="42"/>
      <c r="Z1045" s="42"/>
      <c r="AA1045" s="42"/>
      <c r="AB1045" s="42"/>
      <c r="AC1045" s="42"/>
    </row>
    <row r="1046" spans="1:29" x14ac:dyDescent="0.25">
      <c r="A1046" s="42"/>
      <c r="B1046" s="35"/>
      <c r="C1046" s="35"/>
      <c r="D1046" s="41"/>
      <c r="E1046" s="41"/>
      <c r="F1046" s="40"/>
      <c r="G1046" s="35"/>
      <c r="H1046" s="41"/>
      <c r="I1046" s="42"/>
      <c r="J1046" s="42"/>
      <c r="K1046" s="42"/>
      <c r="L1046" s="42"/>
      <c r="M1046" s="42"/>
      <c r="N1046" s="42"/>
      <c r="O1046" s="42"/>
      <c r="P1046" s="42"/>
      <c r="Q1046" s="42"/>
      <c r="R1046" s="42"/>
      <c r="S1046" s="42"/>
      <c r="T1046" s="42"/>
      <c r="U1046" s="42"/>
      <c r="V1046" s="42"/>
      <c r="W1046" s="42"/>
      <c r="X1046" s="42"/>
      <c r="Y1046" s="42"/>
      <c r="Z1046" s="42"/>
      <c r="AA1046" s="42"/>
      <c r="AB1046" s="42"/>
      <c r="AC1046" s="42"/>
    </row>
    <row r="1047" spans="1:29" x14ac:dyDescent="0.25">
      <c r="A1047" s="42"/>
      <c r="B1047" s="35"/>
      <c r="C1047" s="35"/>
      <c r="D1047" s="41"/>
      <c r="E1047" s="41"/>
      <c r="F1047" s="40"/>
      <c r="G1047" s="35"/>
      <c r="H1047" s="41"/>
      <c r="I1047" s="42"/>
      <c r="J1047" s="42"/>
      <c r="K1047" s="42"/>
      <c r="L1047" s="42"/>
      <c r="M1047" s="42"/>
      <c r="N1047" s="42"/>
      <c r="O1047" s="42"/>
      <c r="P1047" s="42"/>
      <c r="Q1047" s="42"/>
      <c r="R1047" s="42"/>
      <c r="S1047" s="42"/>
      <c r="T1047" s="42"/>
      <c r="U1047" s="42"/>
      <c r="V1047" s="42"/>
      <c r="W1047" s="42"/>
      <c r="X1047" s="42"/>
      <c r="Y1047" s="42"/>
      <c r="Z1047" s="42"/>
      <c r="AA1047" s="42"/>
      <c r="AB1047" s="42"/>
      <c r="AC1047" s="42"/>
    </row>
    <row r="1048" spans="1:29" x14ac:dyDescent="0.25">
      <c r="A1048" s="42"/>
      <c r="B1048" s="35"/>
      <c r="C1048" s="35"/>
      <c r="D1048" s="41"/>
      <c r="E1048" s="41"/>
      <c r="F1048" s="40"/>
      <c r="G1048" s="35"/>
      <c r="H1048" s="41"/>
      <c r="I1048" s="42"/>
      <c r="J1048" s="42"/>
      <c r="K1048" s="42"/>
      <c r="L1048" s="42"/>
      <c r="M1048" s="42"/>
      <c r="N1048" s="42"/>
      <c r="O1048" s="42"/>
      <c r="P1048" s="42"/>
      <c r="Q1048" s="42"/>
      <c r="R1048" s="42"/>
      <c r="S1048" s="42"/>
      <c r="T1048" s="42"/>
      <c r="U1048" s="42"/>
      <c r="V1048" s="42"/>
      <c r="W1048" s="42"/>
      <c r="X1048" s="42"/>
      <c r="Y1048" s="42"/>
      <c r="Z1048" s="42"/>
      <c r="AA1048" s="42"/>
      <c r="AB1048" s="42"/>
      <c r="AC1048" s="42"/>
    </row>
    <row r="1049" spans="1:29" x14ac:dyDescent="0.25">
      <c r="A1049" s="42"/>
      <c r="B1049" s="35"/>
      <c r="C1049" s="35"/>
      <c r="D1049" s="41"/>
      <c r="E1049" s="41"/>
      <c r="F1049" s="40"/>
      <c r="G1049" s="35"/>
      <c r="H1049" s="41"/>
      <c r="I1049" s="42"/>
      <c r="J1049" s="42"/>
      <c r="K1049" s="42"/>
      <c r="L1049" s="42"/>
      <c r="M1049" s="42"/>
      <c r="N1049" s="42"/>
      <c r="O1049" s="42"/>
      <c r="P1049" s="42"/>
      <c r="Q1049" s="42"/>
      <c r="R1049" s="42"/>
      <c r="S1049" s="42"/>
      <c r="T1049" s="42"/>
      <c r="U1049" s="42"/>
      <c r="V1049" s="42"/>
      <c r="W1049" s="42"/>
      <c r="X1049" s="42"/>
      <c r="Y1049" s="42"/>
      <c r="Z1049" s="42"/>
      <c r="AA1049" s="42"/>
      <c r="AB1049" s="42"/>
      <c r="AC1049" s="42"/>
    </row>
    <row r="1050" spans="1:29" x14ac:dyDescent="0.25">
      <c r="A1050" s="42"/>
      <c r="B1050" s="35"/>
      <c r="C1050" s="35"/>
      <c r="D1050" s="41"/>
      <c r="E1050" s="41"/>
      <c r="F1050" s="40"/>
      <c r="G1050" s="35"/>
      <c r="H1050" s="41"/>
      <c r="I1050" s="42"/>
      <c r="J1050" s="42"/>
      <c r="K1050" s="42"/>
      <c r="L1050" s="42"/>
      <c r="M1050" s="42"/>
      <c r="N1050" s="42"/>
      <c r="O1050" s="42"/>
      <c r="P1050" s="42"/>
      <c r="Q1050" s="42"/>
      <c r="R1050" s="42"/>
      <c r="S1050" s="42"/>
      <c r="T1050" s="42"/>
      <c r="U1050" s="42"/>
      <c r="V1050" s="42"/>
      <c r="W1050" s="42"/>
      <c r="X1050" s="42"/>
      <c r="Y1050" s="42"/>
      <c r="Z1050" s="42"/>
      <c r="AA1050" s="42"/>
      <c r="AB1050" s="42"/>
      <c r="AC1050" s="42"/>
    </row>
    <row r="1051" spans="1:29" x14ac:dyDescent="0.25">
      <c r="A1051" s="42"/>
      <c r="B1051" s="35"/>
      <c r="C1051" s="35"/>
      <c r="D1051" s="41"/>
      <c r="E1051" s="41"/>
      <c r="F1051" s="40"/>
      <c r="G1051" s="35"/>
      <c r="H1051" s="41"/>
      <c r="I1051" s="42"/>
      <c r="J1051" s="42"/>
      <c r="K1051" s="42"/>
      <c r="L1051" s="42"/>
      <c r="M1051" s="42"/>
      <c r="N1051" s="42"/>
      <c r="O1051" s="42"/>
      <c r="P1051" s="42"/>
      <c r="Q1051" s="42"/>
      <c r="R1051" s="42"/>
      <c r="S1051" s="42"/>
      <c r="T1051" s="42"/>
      <c r="U1051" s="42"/>
      <c r="V1051" s="42"/>
      <c r="W1051" s="42"/>
      <c r="X1051" s="42"/>
      <c r="Y1051" s="42"/>
      <c r="Z1051" s="42"/>
      <c r="AA1051" s="42"/>
      <c r="AB1051" s="42"/>
      <c r="AC1051" s="42"/>
    </row>
    <row r="1052" spans="1:29" x14ac:dyDescent="0.25">
      <c r="A1052" s="42"/>
      <c r="B1052" s="35"/>
      <c r="C1052" s="35"/>
      <c r="D1052" s="41"/>
      <c r="E1052" s="41"/>
      <c r="F1052" s="40"/>
      <c r="G1052" s="35"/>
      <c r="H1052" s="41"/>
      <c r="I1052" s="42"/>
      <c r="J1052" s="42"/>
      <c r="K1052" s="42"/>
      <c r="L1052" s="42"/>
      <c r="M1052" s="42"/>
      <c r="N1052" s="42"/>
      <c r="O1052" s="42"/>
      <c r="P1052" s="42"/>
      <c r="Q1052" s="42"/>
      <c r="R1052" s="42"/>
      <c r="S1052" s="42"/>
      <c r="T1052" s="42"/>
      <c r="U1052" s="42"/>
      <c r="V1052" s="42"/>
      <c r="W1052" s="42"/>
      <c r="X1052" s="42"/>
      <c r="Y1052" s="42"/>
      <c r="Z1052" s="42"/>
      <c r="AA1052" s="42"/>
      <c r="AB1052" s="42"/>
      <c r="AC1052" s="42"/>
    </row>
    <row r="1053" spans="1:29" x14ac:dyDescent="0.25">
      <c r="A1053" s="42"/>
      <c r="B1053" s="35"/>
      <c r="C1053" s="35"/>
      <c r="D1053" s="41"/>
      <c r="E1053" s="41"/>
      <c r="F1053" s="40"/>
      <c r="G1053" s="35"/>
      <c r="H1053" s="41"/>
      <c r="I1053" s="42"/>
      <c r="J1053" s="42"/>
      <c r="K1053" s="42"/>
      <c r="L1053" s="42"/>
      <c r="M1053" s="42"/>
      <c r="N1053" s="42"/>
      <c r="O1053" s="42"/>
      <c r="P1053" s="42"/>
      <c r="Q1053" s="42"/>
      <c r="R1053" s="42"/>
      <c r="S1053" s="42"/>
      <c r="T1053" s="42"/>
      <c r="U1053" s="42"/>
      <c r="V1053" s="42"/>
      <c r="W1053" s="42"/>
      <c r="X1053" s="42"/>
      <c r="Y1053" s="42"/>
      <c r="Z1053" s="42"/>
      <c r="AA1053" s="42"/>
      <c r="AB1053" s="42"/>
      <c r="AC1053" s="42"/>
    </row>
    <row r="1054" spans="1:29" x14ac:dyDescent="0.25">
      <c r="A1054" s="42"/>
      <c r="B1054" s="35"/>
      <c r="C1054" s="35"/>
      <c r="D1054" s="41"/>
      <c r="E1054" s="41"/>
      <c r="F1054" s="40"/>
      <c r="G1054" s="35"/>
      <c r="H1054" s="41"/>
      <c r="I1054" s="42"/>
      <c r="J1054" s="42"/>
      <c r="K1054" s="42"/>
      <c r="L1054" s="42"/>
      <c r="M1054" s="42"/>
      <c r="N1054" s="42"/>
      <c r="O1054" s="42"/>
      <c r="P1054" s="42"/>
      <c r="Q1054" s="42"/>
      <c r="R1054" s="42"/>
      <c r="S1054" s="42"/>
      <c r="T1054" s="42"/>
      <c r="U1054" s="42"/>
      <c r="V1054" s="42"/>
      <c r="W1054" s="42"/>
      <c r="X1054" s="42"/>
      <c r="Y1054" s="42"/>
      <c r="Z1054" s="42"/>
      <c r="AA1054" s="42"/>
      <c r="AB1054" s="42"/>
      <c r="AC1054" s="42"/>
    </row>
    <row r="1055" spans="1:29" x14ac:dyDescent="0.25">
      <c r="A1055" s="42"/>
      <c r="B1055" s="35"/>
      <c r="C1055" s="35"/>
      <c r="D1055" s="41"/>
      <c r="E1055" s="41"/>
      <c r="F1055" s="40"/>
      <c r="G1055" s="35"/>
      <c r="H1055" s="41"/>
      <c r="I1055" s="42"/>
      <c r="J1055" s="42"/>
      <c r="K1055" s="42"/>
      <c r="L1055" s="42"/>
      <c r="M1055" s="42"/>
      <c r="N1055" s="42"/>
      <c r="O1055" s="42"/>
      <c r="P1055" s="42"/>
      <c r="Q1055" s="42"/>
      <c r="R1055" s="42"/>
      <c r="S1055" s="42"/>
      <c r="T1055" s="42"/>
      <c r="U1055" s="42"/>
      <c r="V1055" s="42"/>
      <c r="W1055" s="42"/>
      <c r="X1055" s="42"/>
      <c r="Y1055" s="42"/>
      <c r="Z1055" s="42"/>
      <c r="AA1055" s="42"/>
      <c r="AB1055" s="42"/>
      <c r="AC1055" s="42"/>
    </row>
    <row r="1056" spans="1:29" x14ac:dyDescent="0.25">
      <c r="A1056" s="42"/>
      <c r="B1056" s="35"/>
      <c r="C1056" s="35"/>
      <c r="D1056" s="41"/>
      <c r="E1056" s="41"/>
      <c r="F1056" s="40"/>
      <c r="G1056" s="35"/>
      <c r="H1056" s="41"/>
      <c r="I1056" s="42"/>
      <c r="J1056" s="42"/>
      <c r="K1056" s="42"/>
      <c r="L1056" s="42"/>
      <c r="M1056" s="42"/>
      <c r="N1056" s="42"/>
      <c r="O1056" s="42"/>
      <c r="P1056" s="42"/>
      <c r="Q1056" s="42"/>
      <c r="R1056" s="42"/>
      <c r="S1056" s="42"/>
      <c r="T1056" s="42"/>
      <c r="U1056" s="42"/>
      <c r="V1056" s="42"/>
      <c r="W1056" s="42"/>
      <c r="X1056" s="42"/>
      <c r="Y1056" s="42"/>
      <c r="Z1056" s="42"/>
      <c r="AA1056" s="42"/>
      <c r="AB1056" s="42"/>
      <c r="AC1056" s="42"/>
    </row>
    <row r="1057" spans="1:29" x14ac:dyDescent="0.25">
      <c r="A1057" s="42"/>
      <c r="B1057" s="35"/>
      <c r="C1057" s="35"/>
      <c r="D1057" s="41"/>
      <c r="E1057" s="41"/>
      <c r="F1057" s="40"/>
      <c r="G1057" s="35"/>
      <c r="H1057" s="41"/>
      <c r="I1057" s="42"/>
      <c r="J1057" s="42"/>
      <c r="K1057" s="42"/>
      <c r="L1057" s="42"/>
      <c r="M1057" s="42"/>
      <c r="N1057" s="42"/>
      <c r="O1057" s="42"/>
      <c r="P1057" s="42"/>
      <c r="Q1057" s="42"/>
      <c r="R1057" s="42"/>
      <c r="S1057" s="42"/>
      <c r="T1057" s="42"/>
      <c r="U1057" s="42"/>
      <c r="V1057" s="42"/>
      <c r="W1057" s="42"/>
      <c r="X1057" s="42"/>
      <c r="Y1057" s="42"/>
      <c r="Z1057" s="42"/>
      <c r="AA1057" s="42"/>
      <c r="AB1057" s="42"/>
      <c r="AC1057" s="42"/>
    </row>
    <row r="1058" spans="1:29" x14ac:dyDescent="0.25">
      <c r="A1058" s="42"/>
      <c r="B1058" s="35"/>
      <c r="C1058" s="35"/>
      <c r="D1058" s="41"/>
      <c r="E1058" s="41"/>
      <c r="F1058" s="40"/>
      <c r="G1058" s="35"/>
      <c r="H1058" s="41"/>
      <c r="I1058" s="42"/>
      <c r="J1058" s="42"/>
      <c r="K1058" s="42"/>
      <c r="L1058" s="42"/>
      <c r="M1058" s="42"/>
      <c r="N1058" s="42"/>
      <c r="O1058" s="42"/>
      <c r="P1058" s="42"/>
      <c r="Q1058" s="42"/>
      <c r="R1058" s="42"/>
      <c r="S1058" s="42"/>
      <c r="T1058" s="42"/>
      <c r="U1058" s="42"/>
      <c r="V1058" s="42"/>
      <c r="W1058" s="42"/>
      <c r="X1058" s="42"/>
      <c r="Y1058" s="42"/>
      <c r="Z1058" s="42"/>
      <c r="AA1058" s="42"/>
      <c r="AB1058" s="42"/>
      <c r="AC1058" s="42"/>
    </row>
    <row r="1059" spans="1:29" x14ac:dyDescent="0.25">
      <c r="A1059" s="42"/>
      <c r="B1059" s="35"/>
      <c r="C1059" s="35"/>
      <c r="D1059" s="41"/>
      <c r="E1059" s="41"/>
      <c r="F1059" s="40"/>
      <c r="G1059" s="35"/>
      <c r="H1059" s="41"/>
      <c r="I1059" s="42"/>
      <c r="J1059" s="42"/>
      <c r="K1059" s="42"/>
      <c r="L1059" s="42"/>
      <c r="M1059" s="42"/>
      <c r="N1059" s="42"/>
      <c r="O1059" s="42"/>
      <c r="P1059" s="42"/>
      <c r="Q1059" s="42"/>
      <c r="R1059" s="42"/>
      <c r="S1059" s="42"/>
      <c r="T1059" s="42"/>
      <c r="U1059" s="42"/>
      <c r="V1059" s="42"/>
      <c r="W1059" s="42"/>
      <c r="X1059" s="42"/>
      <c r="Y1059" s="42"/>
      <c r="Z1059" s="42"/>
      <c r="AA1059" s="42"/>
      <c r="AB1059" s="42"/>
      <c r="AC1059" s="42"/>
    </row>
    <row r="1060" spans="1:29" x14ac:dyDescent="0.25">
      <c r="A1060" s="42"/>
      <c r="B1060" s="35"/>
      <c r="C1060" s="35"/>
      <c r="D1060" s="41"/>
      <c r="E1060" s="41"/>
      <c r="F1060" s="40"/>
      <c r="G1060" s="35"/>
      <c r="H1060" s="41"/>
      <c r="I1060" s="42"/>
      <c r="J1060" s="42"/>
      <c r="K1060" s="42"/>
      <c r="L1060" s="42"/>
      <c r="M1060" s="42"/>
      <c r="N1060" s="42"/>
      <c r="O1060" s="42"/>
      <c r="P1060" s="42"/>
      <c r="Q1060" s="42"/>
      <c r="R1060" s="42"/>
      <c r="S1060" s="42"/>
      <c r="T1060" s="42"/>
      <c r="U1060" s="42"/>
      <c r="V1060" s="42"/>
      <c r="W1060" s="42"/>
      <c r="X1060" s="42"/>
      <c r="Y1060" s="42"/>
      <c r="Z1060" s="42"/>
      <c r="AA1060" s="42"/>
      <c r="AB1060" s="42"/>
      <c r="AC1060" s="42"/>
    </row>
    <row r="1061" spans="1:29" x14ac:dyDescent="0.25">
      <c r="A1061" s="42"/>
      <c r="B1061" s="35"/>
      <c r="C1061" s="35"/>
      <c r="D1061" s="41"/>
      <c r="E1061" s="41"/>
      <c r="F1061" s="40"/>
      <c r="G1061" s="35"/>
      <c r="H1061" s="41"/>
      <c r="I1061" s="42"/>
      <c r="J1061" s="42"/>
      <c r="K1061" s="42"/>
      <c r="L1061" s="42"/>
      <c r="M1061" s="42"/>
      <c r="N1061" s="42"/>
      <c r="O1061" s="42"/>
      <c r="P1061" s="42"/>
      <c r="Q1061" s="42"/>
      <c r="R1061" s="42"/>
      <c r="S1061" s="42"/>
      <c r="T1061" s="42"/>
      <c r="U1061" s="42"/>
      <c r="V1061" s="42"/>
      <c r="W1061" s="42"/>
      <c r="X1061" s="42"/>
      <c r="Y1061" s="42"/>
      <c r="Z1061" s="42"/>
      <c r="AA1061" s="42"/>
      <c r="AB1061" s="42"/>
      <c r="AC1061" s="42"/>
    </row>
    <row r="1062" spans="1:29" x14ac:dyDescent="0.25">
      <c r="A1062" s="42"/>
      <c r="B1062" s="35"/>
      <c r="C1062" s="35"/>
      <c r="D1062" s="41"/>
      <c r="E1062" s="41"/>
      <c r="F1062" s="40"/>
      <c r="G1062" s="35"/>
      <c r="H1062" s="41"/>
      <c r="I1062" s="42"/>
      <c r="J1062" s="42"/>
      <c r="K1062" s="42"/>
      <c r="L1062" s="42"/>
      <c r="M1062" s="42"/>
      <c r="N1062" s="42"/>
      <c r="O1062" s="42"/>
      <c r="P1062" s="42"/>
      <c r="Q1062" s="42"/>
      <c r="R1062" s="42"/>
      <c r="S1062" s="42"/>
      <c r="T1062" s="42"/>
      <c r="U1062" s="42"/>
      <c r="V1062" s="42"/>
      <c r="W1062" s="42"/>
      <c r="X1062" s="42"/>
      <c r="Y1062" s="42"/>
      <c r="Z1062" s="42"/>
      <c r="AA1062" s="42"/>
      <c r="AB1062" s="42"/>
      <c r="AC1062" s="42"/>
    </row>
    <row r="1063" spans="1:29" x14ac:dyDescent="0.25">
      <c r="A1063" s="42"/>
      <c r="B1063" s="35"/>
      <c r="C1063" s="35"/>
      <c r="D1063" s="41"/>
      <c r="E1063" s="41"/>
      <c r="F1063" s="40"/>
      <c r="G1063" s="35"/>
      <c r="H1063" s="41"/>
      <c r="I1063" s="42"/>
      <c r="J1063" s="42"/>
      <c r="K1063" s="42"/>
      <c r="L1063" s="42"/>
      <c r="M1063" s="42"/>
      <c r="N1063" s="42"/>
      <c r="O1063" s="42"/>
      <c r="P1063" s="42"/>
      <c r="Q1063" s="42"/>
      <c r="R1063" s="42"/>
      <c r="S1063" s="42"/>
      <c r="T1063" s="42"/>
      <c r="U1063" s="42"/>
      <c r="V1063" s="42"/>
      <c r="W1063" s="42"/>
      <c r="X1063" s="42"/>
      <c r="Y1063" s="42"/>
      <c r="Z1063" s="42"/>
      <c r="AA1063" s="42"/>
      <c r="AB1063" s="42"/>
      <c r="AC1063" s="42"/>
    </row>
    <row r="1064" spans="1:29" x14ac:dyDescent="0.25">
      <c r="A1064" s="42"/>
      <c r="B1064" s="35"/>
      <c r="C1064" s="35"/>
      <c r="D1064" s="41"/>
      <c r="E1064" s="41"/>
      <c r="F1064" s="40"/>
      <c r="G1064" s="35"/>
      <c r="H1064" s="41"/>
      <c r="I1064" s="42"/>
      <c r="J1064" s="42"/>
      <c r="K1064" s="42"/>
      <c r="L1064" s="42"/>
      <c r="M1064" s="42"/>
      <c r="N1064" s="42"/>
      <c r="O1064" s="42"/>
      <c r="P1064" s="42"/>
      <c r="Q1064" s="42"/>
      <c r="R1064" s="42"/>
      <c r="S1064" s="42"/>
      <c r="T1064" s="42"/>
      <c r="U1064" s="42"/>
      <c r="V1064" s="42"/>
      <c r="W1064" s="42"/>
      <c r="X1064" s="42"/>
      <c r="Y1064" s="42"/>
      <c r="Z1064" s="42"/>
      <c r="AA1064" s="42"/>
      <c r="AB1064" s="42"/>
      <c r="AC1064" s="42"/>
    </row>
    <row r="1065" spans="1:29" x14ac:dyDescent="0.25">
      <c r="A1065" s="42"/>
      <c r="B1065" s="35"/>
      <c r="C1065" s="35"/>
      <c r="D1065" s="41"/>
      <c r="E1065" s="41"/>
      <c r="F1065" s="40"/>
      <c r="G1065" s="35"/>
      <c r="H1065" s="41"/>
      <c r="I1065" s="42"/>
      <c r="J1065" s="42"/>
      <c r="K1065" s="42"/>
      <c r="L1065" s="42"/>
      <c r="M1065" s="42"/>
      <c r="N1065" s="42"/>
      <c r="O1065" s="42"/>
      <c r="P1065" s="42"/>
      <c r="Q1065" s="42"/>
      <c r="R1065" s="42"/>
      <c r="S1065" s="42"/>
      <c r="T1065" s="42"/>
      <c r="U1065" s="42"/>
      <c r="V1065" s="42"/>
      <c r="W1065" s="42"/>
      <c r="X1065" s="42"/>
      <c r="Y1065" s="42"/>
      <c r="Z1065" s="42"/>
      <c r="AA1065" s="42"/>
      <c r="AB1065" s="42"/>
      <c r="AC1065" s="42"/>
    </row>
    <row r="1066" spans="1:29" x14ac:dyDescent="0.25">
      <c r="A1066" s="42"/>
      <c r="B1066" s="35"/>
      <c r="C1066" s="35"/>
      <c r="D1066" s="41"/>
      <c r="E1066" s="41"/>
      <c r="F1066" s="40"/>
      <c r="G1066" s="35"/>
      <c r="H1066" s="41"/>
      <c r="I1066" s="42"/>
      <c r="J1066" s="42"/>
      <c r="K1066" s="42"/>
      <c r="L1066" s="42"/>
      <c r="M1066" s="42"/>
      <c r="N1066" s="42"/>
      <c r="O1066" s="42"/>
      <c r="P1066" s="42"/>
      <c r="Q1066" s="42"/>
      <c r="R1066" s="42"/>
      <c r="S1066" s="42"/>
      <c r="T1066" s="42"/>
      <c r="U1066" s="42"/>
      <c r="V1066" s="42"/>
      <c r="W1066" s="42"/>
      <c r="X1066" s="42"/>
      <c r="Y1066" s="42"/>
      <c r="Z1066" s="42"/>
      <c r="AA1066" s="42"/>
      <c r="AB1066" s="42"/>
      <c r="AC1066" s="42"/>
    </row>
    <row r="1067" spans="1:29" x14ac:dyDescent="0.25">
      <c r="A1067" s="42"/>
      <c r="B1067" s="35"/>
      <c r="C1067" s="35"/>
      <c r="D1067" s="41"/>
      <c r="E1067" s="41"/>
      <c r="F1067" s="40"/>
      <c r="G1067" s="35"/>
      <c r="H1067" s="41"/>
      <c r="I1067" s="42"/>
      <c r="J1067" s="42"/>
      <c r="K1067" s="42"/>
      <c r="L1067" s="42"/>
      <c r="M1067" s="42"/>
      <c r="N1067" s="42"/>
      <c r="O1067" s="42"/>
      <c r="P1067" s="42"/>
      <c r="Q1067" s="42"/>
      <c r="R1067" s="42"/>
      <c r="S1067" s="42"/>
      <c r="T1067" s="42"/>
      <c r="U1067" s="42"/>
      <c r="V1067" s="42"/>
      <c r="W1067" s="42"/>
      <c r="X1067" s="42"/>
      <c r="Y1067" s="42"/>
      <c r="Z1067" s="42"/>
      <c r="AA1067" s="42"/>
      <c r="AB1067" s="42"/>
      <c r="AC1067" s="42"/>
    </row>
    <row r="1068" spans="1:29" x14ac:dyDescent="0.25">
      <c r="A1068" s="42"/>
      <c r="B1068" s="35"/>
      <c r="C1068" s="35"/>
      <c r="D1068" s="41"/>
      <c r="E1068" s="41"/>
      <c r="F1068" s="40"/>
      <c r="G1068" s="35"/>
      <c r="H1068" s="41"/>
      <c r="I1068" s="42"/>
      <c r="J1068" s="42"/>
      <c r="K1068" s="42"/>
      <c r="L1068" s="42"/>
      <c r="M1068" s="42"/>
      <c r="N1068" s="42"/>
      <c r="O1068" s="42"/>
      <c r="P1068" s="42"/>
      <c r="Q1068" s="42"/>
      <c r="R1068" s="42"/>
      <c r="S1068" s="42"/>
      <c r="T1068" s="42"/>
      <c r="U1068" s="42"/>
      <c r="V1068" s="42"/>
      <c r="W1068" s="42"/>
      <c r="X1068" s="42"/>
      <c r="Y1068" s="42"/>
      <c r="Z1068" s="42"/>
      <c r="AA1068" s="42"/>
      <c r="AB1068" s="42"/>
      <c r="AC1068" s="42"/>
    </row>
    <row r="1069" spans="1:29" x14ac:dyDescent="0.25">
      <c r="A1069" s="42"/>
      <c r="B1069" s="35"/>
      <c r="C1069" s="35"/>
      <c r="D1069" s="41"/>
      <c r="E1069" s="41"/>
      <c r="F1069" s="40"/>
      <c r="G1069" s="35"/>
      <c r="H1069" s="41"/>
      <c r="I1069" s="42"/>
      <c r="J1069" s="42"/>
      <c r="K1069" s="42"/>
      <c r="L1069" s="42"/>
      <c r="M1069" s="42"/>
      <c r="N1069" s="42"/>
      <c r="O1069" s="42"/>
      <c r="P1069" s="42"/>
      <c r="Q1069" s="42"/>
      <c r="R1069" s="42"/>
      <c r="S1069" s="42"/>
      <c r="T1069" s="42"/>
      <c r="U1069" s="42"/>
      <c r="V1069" s="42"/>
      <c r="W1069" s="42"/>
      <c r="X1069" s="42"/>
      <c r="Y1069" s="42"/>
      <c r="Z1069" s="42"/>
      <c r="AA1069" s="42"/>
      <c r="AB1069" s="42"/>
      <c r="AC1069" s="42"/>
    </row>
    <row r="1070" spans="1:29" x14ac:dyDescent="0.25">
      <c r="A1070" s="42"/>
      <c r="B1070" s="35"/>
      <c r="C1070" s="35"/>
      <c r="D1070" s="41"/>
      <c r="E1070" s="41"/>
      <c r="F1070" s="40"/>
      <c r="G1070" s="35"/>
      <c r="H1070" s="41"/>
      <c r="I1070" s="42"/>
      <c r="J1070" s="42"/>
      <c r="K1070" s="42"/>
      <c r="L1070" s="42"/>
      <c r="M1070" s="42"/>
      <c r="N1070" s="42"/>
      <c r="O1070" s="42"/>
      <c r="P1070" s="42"/>
      <c r="Q1070" s="42"/>
      <c r="R1070" s="42"/>
      <c r="S1070" s="42"/>
      <c r="T1070" s="42"/>
      <c r="U1070" s="42"/>
      <c r="V1070" s="42"/>
      <c r="W1070" s="42"/>
      <c r="X1070" s="42"/>
      <c r="Y1070" s="42"/>
      <c r="Z1070" s="42"/>
      <c r="AA1070" s="42"/>
      <c r="AB1070" s="42"/>
      <c r="AC1070" s="42"/>
    </row>
    <row r="1071" spans="1:29" x14ac:dyDescent="0.25">
      <c r="A1071" s="42"/>
      <c r="B1071" s="35"/>
      <c r="C1071" s="35"/>
      <c r="D1071" s="41"/>
      <c r="E1071" s="41"/>
      <c r="F1071" s="40"/>
      <c r="G1071" s="35"/>
      <c r="H1071" s="41"/>
      <c r="I1071" s="42"/>
      <c r="J1071" s="42"/>
      <c r="K1071" s="42"/>
      <c r="L1071" s="42"/>
      <c r="M1071" s="42"/>
      <c r="N1071" s="42"/>
      <c r="O1071" s="42"/>
      <c r="P1071" s="42"/>
      <c r="Q1071" s="42"/>
      <c r="R1071" s="42"/>
      <c r="S1071" s="42"/>
      <c r="T1071" s="42"/>
      <c r="U1071" s="42"/>
      <c r="V1071" s="42"/>
      <c r="W1071" s="42"/>
      <c r="X1071" s="42"/>
      <c r="Y1071" s="42"/>
      <c r="Z1071" s="42"/>
      <c r="AA1071" s="42"/>
      <c r="AB1071" s="42"/>
      <c r="AC1071" s="42"/>
    </row>
    <row r="1072" spans="1:29" x14ac:dyDescent="0.25">
      <c r="A1072" s="42"/>
      <c r="B1072" s="35"/>
      <c r="C1072" s="35"/>
      <c r="D1072" s="41"/>
      <c r="E1072" s="41"/>
      <c r="F1072" s="40"/>
      <c r="G1072" s="35"/>
      <c r="H1072" s="41"/>
      <c r="I1072" s="42"/>
      <c r="J1072" s="42"/>
      <c r="K1072" s="42"/>
      <c r="L1072" s="42"/>
      <c r="M1072" s="42"/>
      <c r="N1072" s="42"/>
      <c r="O1072" s="42"/>
      <c r="P1072" s="42"/>
      <c r="Q1072" s="42"/>
      <c r="R1072" s="42"/>
      <c r="S1072" s="42"/>
      <c r="T1072" s="42"/>
      <c r="U1072" s="42"/>
      <c r="V1072" s="42"/>
      <c r="W1072" s="42"/>
      <c r="X1072" s="42"/>
      <c r="Y1072" s="42"/>
      <c r="Z1072" s="42"/>
      <c r="AA1072" s="42"/>
      <c r="AB1072" s="42"/>
      <c r="AC1072" s="42"/>
    </row>
    <row r="1073" spans="1:29" x14ac:dyDescent="0.25">
      <c r="A1073" s="42"/>
      <c r="B1073" s="35"/>
      <c r="C1073" s="35"/>
      <c r="D1073" s="41"/>
      <c r="E1073" s="41"/>
      <c r="F1073" s="40"/>
      <c r="G1073" s="35"/>
      <c r="H1073" s="41"/>
      <c r="I1073" s="42"/>
      <c r="J1073" s="42"/>
      <c r="K1073" s="42"/>
      <c r="L1073" s="42"/>
      <c r="M1073" s="42"/>
      <c r="N1073" s="42"/>
      <c r="O1073" s="42"/>
      <c r="P1073" s="42"/>
      <c r="Q1073" s="42"/>
      <c r="R1073" s="42"/>
      <c r="S1073" s="42"/>
      <c r="T1073" s="42"/>
      <c r="U1073" s="42"/>
      <c r="V1073" s="42"/>
      <c r="W1073" s="42"/>
      <c r="X1073" s="42"/>
      <c r="Y1073" s="42"/>
      <c r="Z1073" s="42"/>
      <c r="AA1073" s="42"/>
      <c r="AB1073" s="42"/>
      <c r="AC1073" s="42"/>
    </row>
    <row r="1074" spans="1:29" x14ac:dyDescent="0.25">
      <c r="A1074" s="42"/>
      <c r="B1074" s="35"/>
      <c r="C1074" s="35"/>
      <c r="D1074" s="41"/>
      <c r="E1074" s="41"/>
      <c r="F1074" s="40"/>
      <c r="G1074" s="35"/>
      <c r="H1074" s="41"/>
      <c r="I1074" s="42"/>
      <c r="J1074" s="42"/>
      <c r="K1074" s="42"/>
      <c r="L1074" s="42"/>
      <c r="M1074" s="42"/>
      <c r="N1074" s="42"/>
      <c r="O1074" s="42"/>
      <c r="P1074" s="42"/>
      <c r="Q1074" s="42"/>
      <c r="R1074" s="42"/>
      <c r="S1074" s="42"/>
      <c r="T1074" s="42"/>
      <c r="U1074" s="42"/>
      <c r="V1074" s="42"/>
      <c r="W1074" s="42"/>
      <c r="X1074" s="42"/>
      <c r="Y1074" s="42"/>
      <c r="Z1074" s="42"/>
      <c r="AA1074" s="42"/>
      <c r="AB1074" s="42"/>
      <c r="AC1074" s="42"/>
    </row>
    <row r="1075" spans="1:29" x14ac:dyDescent="0.25">
      <c r="A1075" s="42"/>
      <c r="B1075" s="35"/>
      <c r="C1075" s="35"/>
      <c r="D1075" s="41"/>
      <c r="E1075" s="41"/>
      <c r="F1075" s="40"/>
      <c r="G1075" s="35"/>
      <c r="H1075" s="41"/>
      <c r="I1075" s="42"/>
      <c r="J1075" s="42"/>
      <c r="K1075" s="42"/>
      <c r="L1075" s="42"/>
      <c r="M1075" s="42"/>
      <c r="N1075" s="42"/>
      <c r="O1075" s="42"/>
      <c r="P1075" s="42"/>
      <c r="Q1075" s="42"/>
      <c r="R1075" s="42"/>
      <c r="S1075" s="42"/>
      <c r="T1075" s="42"/>
      <c r="U1075" s="42"/>
      <c r="V1075" s="42"/>
      <c r="W1075" s="42"/>
      <c r="X1075" s="42"/>
      <c r="Y1075" s="42"/>
      <c r="Z1075" s="42"/>
      <c r="AA1075" s="42"/>
      <c r="AB1075" s="42"/>
      <c r="AC1075" s="42"/>
    </row>
    <row r="1076" spans="1:29" x14ac:dyDescent="0.25">
      <c r="A1076" s="42"/>
      <c r="B1076" s="35"/>
      <c r="C1076" s="35"/>
      <c r="D1076" s="41"/>
      <c r="E1076" s="41"/>
      <c r="F1076" s="40"/>
      <c r="G1076" s="35"/>
      <c r="H1076" s="41"/>
      <c r="I1076" s="42"/>
      <c r="J1076" s="42"/>
      <c r="K1076" s="42"/>
      <c r="L1076" s="42"/>
      <c r="M1076" s="42"/>
      <c r="N1076" s="42"/>
      <c r="O1076" s="42"/>
      <c r="P1076" s="42"/>
      <c r="Q1076" s="42"/>
      <c r="R1076" s="42"/>
      <c r="S1076" s="42"/>
      <c r="T1076" s="42"/>
      <c r="U1076" s="42"/>
      <c r="V1076" s="42"/>
      <c r="W1076" s="42"/>
      <c r="X1076" s="42"/>
      <c r="Y1076" s="42"/>
      <c r="Z1076" s="42"/>
      <c r="AA1076" s="42"/>
      <c r="AB1076" s="42"/>
      <c r="AC1076" s="42"/>
    </row>
    <row r="1077" spans="1:29" x14ac:dyDescent="0.25">
      <c r="A1077" s="42"/>
      <c r="B1077" s="35"/>
      <c r="C1077" s="35"/>
      <c r="D1077" s="41"/>
      <c r="E1077" s="41"/>
      <c r="F1077" s="40"/>
      <c r="G1077" s="35"/>
      <c r="H1077" s="41"/>
      <c r="I1077" s="42"/>
      <c r="J1077" s="42"/>
      <c r="K1077" s="42"/>
      <c r="L1077" s="42"/>
      <c r="M1077" s="42"/>
      <c r="N1077" s="42"/>
      <c r="O1077" s="42"/>
      <c r="P1077" s="42"/>
      <c r="Q1077" s="42"/>
      <c r="R1077" s="42"/>
      <c r="S1077" s="42"/>
      <c r="T1077" s="42"/>
      <c r="U1077" s="42"/>
      <c r="V1077" s="42"/>
      <c r="W1077" s="42"/>
      <c r="X1077" s="42"/>
      <c r="Y1077" s="42"/>
      <c r="Z1077" s="42"/>
      <c r="AA1077" s="42"/>
      <c r="AB1077" s="42"/>
      <c r="AC1077" s="42"/>
    </row>
    <row r="1078" spans="1:29" x14ac:dyDescent="0.25">
      <c r="A1078" s="42"/>
      <c r="B1078" s="35"/>
      <c r="C1078" s="35"/>
      <c r="D1078" s="41"/>
      <c r="E1078" s="41"/>
      <c r="F1078" s="40"/>
      <c r="G1078" s="35"/>
      <c r="H1078" s="41"/>
      <c r="I1078" s="42"/>
      <c r="J1078" s="42"/>
      <c r="K1078" s="42"/>
      <c r="L1078" s="42"/>
      <c r="M1078" s="42"/>
      <c r="N1078" s="42"/>
      <c r="O1078" s="42"/>
      <c r="P1078" s="42"/>
      <c r="Q1078" s="42"/>
      <c r="R1078" s="42"/>
      <c r="S1078" s="42"/>
      <c r="T1078" s="42"/>
      <c r="U1078" s="42"/>
      <c r="V1078" s="42"/>
      <c r="W1078" s="42"/>
      <c r="X1078" s="42"/>
      <c r="Y1078" s="42"/>
      <c r="Z1078" s="42"/>
      <c r="AA1078" s="42"/>
      <c r="AB1078" s="42"/>
      <c r="AC1078" s="42"/>
    </row>
    <row r="1079" spans="1:29" x14ac:dyDescent="0.25">
      <c r="A1079" s="42"/>
      <c r="B1079" s="35"/>
      <c r="C1079" s="35"/>
      <c r="D1079" s="41"/>
      <c r="E1079" s="41"/>
      <c r="F1079" s="40"/>
      <c r="G1079" s="35"/>
      <c r="H1079" s="41"/>
      <c r="I1079" s="42"/>
      <c r="J1079" s="42"/>
      <c r="K1079" s="42"/>
      <c r="L1079" s="42"/>
      <c r="M1079" s="42"/>
      <c r="N1079" s="42"/>
      <c r="O1079" s="42"/>
      <c r="P1079" s="42"/>
      <c r="Q1079" s="42"/>
      <c r="R1079" s="42"/>
      <c r="S1079" s="42"/>
      <c r="T1079" s="42"/>
      <c r="U1079" s="42"/>
      <c r="V1079" s="42"/>
      <c r="W1079" s="42"/>
      <c r="X1079" s="42"/>
      <c r="Y1079" s="42"/>
      <c r="Z1079" s="42"/>
      <c r="AA1079" s="42"/>
      <c r="AB1079" s="42"/>
      <c r="AC1079" s="42"/>
    </row>
    <row r="1080" spans="1:29" x14ac:dyDescent="0.25">
      <c r="A1080" s="42"/>
      <c r="B1080" s="35"/>
      <c r="C1080" s="35"/>
      <c r="D1080" s="41"/>
      <c r="E1080" s="41"/>
      <c r="F1080" s="40"/>
      <c r="G1080" s="35"/>
      <c r="H1080" s="41"/>
      <c r="I1080" s="42"/>
      <c r="J1080" s="42"/>
      <c r="K1080" s="42"/>
      <c r="L1080" s="42"/>
      <c r="M1080" s="42"/>
      <c r="N1080" s="42"/>
      <c r="O1080" s="42"/>
      <c r="P1080" s="42"/>
      <c r="Q1080" s="42"/>
      <c r="R1080" s="42"/>
      <c r="S1080" s="42"/>
      <c r="T1080" s="42"/>
      <c r="U1080" s="42"/>
      <c r="V1080" s="42"/>
      <c r="W1080" s="42"/>
      <c r="X1080" s="42"/>
      <c r="Y1080" s="42"/>
      <c r="Z1080" s="42"/>
      <c r="AA1080" s="42"/>
      <c r="AB1080" s="42"/>
      <c r="AC1080" s="42"/>
    </row>
    <row r="1081" spans="1:29" x14ac:dyDescent="0.25">
      <c r="A1081" s="42"/>
      <c r="B1081" s="35"/>
      <c r="C1081" s="35"/>
      <c r="D1081" s="41"/>
      <c r="E1081" s="41"/>
      <c r="F1081" s="40"/>
      <c r="G1081" s="35"/>
      <c r="H1081" s="41"/>
      <c r="I1081" s="42"/>
      <c r="J1081" s="42"/>
      <c r="K1081" s="42"/>
      <c r="L1081" s="42"/>
      <c r="M1081" s="42"/>
      <c r="N1081" s="42"/>
      <c r="O1081" s="42"/>
      <c r="P1081" s="42"/>
      <c r="Q1081" s="42"/>
      <c r="R1081" s="42"/>
      <c r="S1081" s="42"/>
      <c r="T1081" s="42"/>
      <c r="U1081" s="42"/>
      <c r="V1081" s="42"/>
      <c r="W1081" s="42"/>
      <c r="X1081" s="42"/>
      <c r="Y1081" s="42"/>
      <c r="Z1081" s="42"/>
      <c r="AA1081" s="42"/>
      <c r="AB1081" s="42"/>
      <c r="AC1081" s="42"/>
    </row>
    <row r="1082" spans="1:29" x14ac:dyDescent="0.25">
      <c r="A1082" s="42"/>
      <c r="B1082" s="35"/>
      <c r="C1082" s="35"/>
      <c r="D1082" s="41"/>
      <c r="E1082" s="41"/>
      <c r="F1082" s="40"/>
      <c r="G1082" s="35"/>
      <c r="H1082" s="41"/>
      <c r="I1082" s="42"/>
      <c r="J1082" s="42"/>
      <c r="K1082" s="42"/>
      <c r="L1082" s="42"/>
      <c r="M1082" s="42"/>
      <c r="N1082" s="42"/>
      <c r="O1082" s="42"/>
      <c r="P1082" s="42"/>
      <c r="Q1082" s="42"/>
      <c r="R1082" s="42"/>
      <c r="S1082" s="42"/>
      <c r="T1082" s="42"/>
      <c r="U1082" s="42"/>
      <c r="V1082" s="42"/>
      <c r="W1082" s="42"/>
      <c r="X1082" s="42"/>
      <c r="Y1082" s="42"/>
      <c r="Z1082" s="42"/>
      <c r="AA1082" s="42"/>
      <c r="AB1082" s="42"/>
      <c r="AC1082" s="42"/>
    </row>
    <row r="1083" spans="1:29" x14ac:dyDescent="0.25">
      <c r="A1083" s="42"/>
      <c r="B1083" s="35"/>
      <c r="C1083" s="35"/>
      <c r="D1083" s="41"/>
      <c r="E1083" s="41"/>
      <c r="F1083" s="40"/>
      <c r="G1083" s="35"/>
      <c r="H1083" s="41"/>
      <c r="I1083" s="42"/>
      <c r="J1083" s="42"/>
      <c r="K1083" s="42"/>
      <c r="L1083" s="42"/>
      <c r="M1083" s="42"/>
      <c r="N1083" s="42"/>
      <c r="O1083" s="42"/>
      <c r="P1083" s="42"/>
      <c r="Q1083" s="42"/>
      <c r="R1083" s="42"/>
      <c r="S1083" s="42"/>
      <c r="T1083" s="42"/>
      <c r="U1083" s="42"/>
      <c r="V1083" s="42"/>
      <c r="W1083" s="42"/>
      <c r="X1083" s="42"/>
      <c r="Y1083" s="42"/>
      <c r="Z1083" s="42"/>
      <c r="AA1083" s="42"/>
      <c r="AB1083" s="42"/>
      <c r="AC1083" s="42"/>
    </row>
    <row r="1084" spans="1:29" x14ac:dyDescent="0.25">
      <c r="A1084" s="42"/>
      <c r="B1084" s="35"/>
      <c r="C1084" s="35"/>
      <c r="D1084" s="41"/>
      <c r="E1084" s="41"/>
      <c r="F1084" s="40"/>
      <c r="G1084" s="35"/>
      <c r="H1084" s="41"/>
      <c r="I1084" s="42"/>
      <c r="J1084" s="42"/>
      <c r="K1084" s="42"/>
      <c r="L1084" s="42"/>
      <c r="M1084" s="42"/>
      <c r="N1084" s="42"/>
      <c r="O1084" s="42"/>
      <c r="P1084" s="42"/>
      <c r="Q1084" s="42"/>
      <c r="R1084" s="42"/>
      <c r="S1084" s="42"/>
      <c r="T1084" s="42"/>
      <c r="U1084" s="42"/>
      <c r="V1084" s="42"/>
      <c r="W1084" s="42"/>
      <c r="X1084" s="42"/>
      <c r="Y1084" s="42"/>
      <c r="Z1084" s="42"/>
      <c r="AA1084" s="42"/>
      <c r="AB1084" s="42"/>
      <c r="AC1084" s="42"/>
    </row>
    <row r="1085" spans="1:29" x14ac:dyDescent="0.25">
      <c r="A1085" s="42"/>
      <c r="B1085" s="35"/>
      <c r="C1085" s="35"/>
      <c r="D1085" s="41"/>
      <c r="E1085" s="41"/>
      <c r="F1085" s="40"/>
      <c r="G1085" s="35"/>
      <c r="H1085" s="41"/>
      <c r="I1085" s="42"/>
      <c r="J1085" s="42"/>
      <c r="K1085" s="42"/>
      <c r="L1085" s="42"/>
      <c r="M1085" s="42"/>
      <c r="N1085" s="42"/>
      <c r="O1085" s="42"/>
      <c r="P1085" s="42"/>
      <c r="Q1085" s="42"/>
      <c r="R1085" s="42"/>
      <c r="S1085" s="42"/>
      <c r="T1085" s="42"/>
      <c r="U1085" s="42"/>
      <c r="V1085" s="42"/>
      <c r="W1085" s="42"/>
      <c r="X1085" s="42"/>
      <c r="Y1085" s="42"/>
      <c r="Z1085" s="42"/>
      <c r="AA1085" s="42"/>
      <c r="AB1085" s="42"/>
      <c r="AC1085" s="42"/>
    </row>
    <row r="1086" spans="1:29" x14ac:dyDescent="0.25">
      <c r="A1086" s="42"/>
      <c r="B1086" s="35"/>
      <c r="C1086" s="35"/>
      <c r="D1086" s="41"/>
      <c r="E1086" s="41"/>
      <c r="F1086" s="40"/>
      <c r="G1086" s="35"/>
      <c r="H1086" s="41"/>
      <c r="I1086" s="42"/>
      <c r="J1086" s="42"/>
      <c r="K1086" s="42"/>
      <c r="L1086" s="42"/>
      <c r="M1086" s="42"/>
      <c r="N1086" s="42"/>
      <c r="O1086" s="42"/>
      <c r="P1086" s="42"/>
      <c r="Q1086" s="42"/>
      <c r="R1086" s="42"/>
      <c r="S1086" s="42"/>
      <c r="T1086" s="42"/>
      <c r="U1086" s="42"/>
      <c r="V1086" s="42"/>
      <c r="W1086" s="42"/>
      <c r="X1086" s="42"/>
      <c r="Y1086" s="42"/>
      <c r="Z1086" s="42"/>
      <c r="AA1086" s="42"/>
      <c r="AB1086" s="42"/>
      <c r="AC1086" s="42"/>
    </row>
    <row r="1087" spans="1:29" x14ac:dyDescent="0.25">
      <c r="A1087" s="42"/>
      <c r="B1087" s="35"/>
      <c r="C1087" s="35"/>
      <c r="D1087" s="41"/>
      <c r="E1087" s="41"/>
      <c r="F1087" s="40"/>
      <c r="G1087" s="35"/>
      <c r="H1087" s="41"/>
      <c r="I1087" s="42"/>
      <c r="J1087" s="42"/>
      <c r="K1087" s="42"/>
      <c r="L1087" s="42"/>
      <c r="M1087" s="42"/>
      <c r="N1087" s="42"/>
      <c r="O1087" s="42"/>
      <c r="P1087" s="42"/>
      <c r="Q1087" s="42"/>
      <c r="R1087" s="42"/>
      <c r="S1087" s="42"/>
      <c r="T1087" s="42"/>
      <c r="U1087" s="42"/>
      <c r="V1087" s="42"/>
      <c r="W1087" s="42"/>
      <c r="X1087" s="42"/>
      <c r="Y1087" s="42"/>
      <c r="Z1087" s="42"/>
      <c r="AA1087" s="42"/>
      <c r="AB1087" s="42"/>
      <c r="AC1087" s="42"/>
    </row>
    <row r="1088" spans="1:29" x14ac:dyDescent="0.25">
      <c r="A1088" s="42"/>
      <c r="B1088" s="35"/>
      <c r="C1088" s="35"/>
      <c r="D1088" s="41"/>
      <c r="E1088" s="41"/>
      <c r="F1088" s="40"/>
      <c r="G1088" s="35"/>
      <c r="H1088" s="41"/>
      <c r="I1088" s="42"/>
      <c r="J1088" s="42"/>
      <c r="K1088" s="42"/>
      <c r="L1088" s="42"/>
      <c r="M1088" s="42"/>
      <c r="N1088" s="42"/>
      <c r="O1088" s="42"/>
      <c r="P1088" s="42"/>
      <c r="Q1088" s="42"/>
      <c r="R1088" s="42"/>
      <c r="S1088" s="42"/>
      <c r="T1088" s="42"/>
      <c r="U1088" s="42"/>
      <c r="V1088" s="42"/>
      <c r="W1088" s="42"/>
      <c r="X1088" s="42"/>
      <c r="Y1088" s="42"/>
      <c r="Z1088" s="42"/>
      <c r="AA1088" s="42"/>
      <c r="AB1088" s="42"/>
      <c r="AC1088" s="42"/>
    </row>
    <row r="1089" spans="1:29" x14ac:dyDescent="0.25">
      <c r="A1089" s="42"/>
      <c r="B1089" s="35"/>
      <c r="C1089" s="35"/>
      <c r="D1089" s="41"/>
      <c r="E1089" s="41"/>
      <c r="F1089" s="40"/>
      <c r="G1089" s="35"/>
      <c r="H1089" s="41"/>
      <c r="I1089" s="42"/>
      <c r="J1089" s="42"/>
      <c r="K1089" s="42"/>
      <c r="L1089" s="42"/>
      <c r="M1089" s="42"/>
      <c r="N1089" s="42"/>
      <c r="O1089" s="42"/>
      <c r="P1089" s="42"/>
      <c r="Q1089" s="42"/>
      <c r="R1089" s="42"/>
      <c r="S1089" s="42"/>
      <c r="T1089" s="42"/>
      <c r="U1089" s="42"/>
      <c r="V1089" s="42"/>
      <c r="W1089" s="42"/>
      <c r="X1089" s="42"/>
      <c r="Y1089" s="42"/>
      <c r="Z1089" s="42"/>
      <c r="AA1089" s="42"/>
      <c r="AB1089" s="42"/>
      <c r="AC1089" s="42"/>
    </row>
    <row r="1090" spans="1:29" x14ac:dyDescent="0.25">
      <c r="A1090" s="42"/>
      <c r="B1090" s="35"/>
      <c r="C1090" s="35"/>
      <c r="D1090" s="41"/>
      <c r="E1090" s="41"/>
      <c r="F1090" s="40"/>
      <c r="G1090" s="35"/>
      <c r="H1090" s="41"/>
      <c r="I1090" s="42"/>
      <c r="J1090" s="42"/>
      <c r="K1090" s="42"/>
      <c r="L1090" s="42"/>
      <c r="M1090" s="42"/>
      <c r="N1090" s="42"/>
      <c r="O1090" s="42"/>
      <c r="P1090" s="42"/>
      <c r="Q1090" s="42"/>
      <c r="R1090" s="42"/>
      <c r="S1090" s="42"/>
      <c r="T1090" s="42"/>
      <c r="U1090" s="42"/>
      <c r="V1090" s="42"/>
      <c r="W1090" s="42"/>
      <c r="X1090" s="42"/>
      <c r="Y1090" s="42"/>
      <c r="Z1090" s="42"/>
      <c r="AA1090" s="42"/>
      <c r="AB1090" s="42"/>
      <c r="AC1090" s="42"/>
    </row>
    <row r="1091" spans="1:29" x14ac:dyDescent="0.25">
      <c r="A1091" s="42"/>
      <c r="B1091" s="35"/>
      <c r="C1091" s="35"/>
      <c r="D1091" s="41"/>
      <c r="E1091" s="41"/>
      <c r="F1091" s="40"/>
      <c r="G1091" s="35"/>
      <c r="H1091" s="41"/>
      <c r="I1091" s="42"/>
      <c r="J1091" s="42"/>
      <c r="K1091" s="42"/>
      <c r="L1091" s="42"/>
      <c r="M1091" s="42"/>
      <c r="N1091" s="42"/>
      <c r="O1091" s="42"/>
      <c r="P1091" s="42"/>
      <c r="Q1091" s="42"/>
      <c r="R1091" s="42"/>
      <c r="S1091" s="42"/>
      <c r="T1091" s="42"/>
      <c r="U1091" s="42"/>
      <c r="V1091" s="42"/>
      <c r="W1091" s="42"/>
      <c r="X1091" s="42"/>
      <c r="Y1091" s="42"/>
      <c r="Z1091" s="42"/>
      <c r="AA1091" s="42"/>
      <c r="AB1091" s="42"/>
      <c r="AC1091" s="42"/>
    </row>
    <row r="1092" spans="1:29" x14ac:dyDescent="0.25">
      <c r="A1092" s="42"/>
      <c r="B1092" s="35"/>
      <c r="C1092" s="35"/>
      <c r="D1092" s="41"/>
      <c r="E1092" s="41"/>
      <c r="F1092" s="40"/>
      <c r="G1092" s="35"/>
      <c r="H1092" s="41"/>
      <c r="I1092" s="42"/>
      <c r="J1092" s="42"/>
      <c r="K1092" s="42"/>
      <c r="L1092" s="42"/>
      <c r="M1092" s="42"/>
      <c r="N1092" s="42"/>
      <c r="O1092" s="42"/>
      <c r="P1092" s="42"/>
      <c r="Q1092" s="42"/>
      <c r="R1092" s="42"/>
      <c r="S1092" s="42"/>
      <c r="T1092" s="42"/>
      <c r="U1092" s="42"/>
      <c r="V1092" s="42"/>
      <c r="W1092" s="42"/>
      <c r="X1092" s="42"/>
      <c r="Y1092" s="42"/>
      <c r="Z1092" s="42"/>
      <c r="AA1092" s="42"/>
      <c r="AB1092" s="42"/>
      <c r="AC1092" s="42"/>
    </row>
    <row r="1093" spans="1:29" x14ac:dyDescent="0.25">
      <c r="A1093" s="42"/>
      <c r="B1093" s="35"/>
      <c r="C1093" s="35"/>
      <c r="D1093" s="41"/>
      <c r="E1093" s="41"/>
      <c r="F1093" s="40"/>
      <c r="G1093" s="35"/>
      <c r="H1093" s="41"/>
      <c r="I1093" s="42"/>
      <c r="J1093" s="42"/>
      <c r="K1093" s="42"/>
      <c r="L1093" s="42"/>
      <c r="M1093" s="42"/>
      <c r="N1093" s="42"/>
      <c r="O1093" s="42"/>
      <c r="P1093" s="42"/>
      <c r="Q1093" s="42"/>
      <c r="R1093" s="42"/>
      <c r="S1093" s="42"/>
      <c r="T1093" s="42"/>
      <c r="U1093" s="42"/>
      <c r="V1093" s="42"/>
      <c r="W1093" s="42"/>
      <c r="X1093" s="42"/>
      <c r="Y1093" s="42"/>
      <c r="Z1093" s="42"/>
      <c r="AA1093" s="42"/>
      <c r="AB1093" s="42"/>
      <c r="AC1093" s="42"/>
    </row>
    <row r="1094" spans="1:29" x14ac:dyDescent="0.25">
      <c r="A1094" s="42"/>
      <c r="B1094" s="35"/>
      <c r="C1094" s="35"/>
      <c r="D1094" s="41"/>
      <c r="E1094" s="41"/>
      <c r="F1094" s="40"/>
      <c r="G1094" s="35"/>
      <c r="H1094" s="41"/>
      <c r="I1094" s="42"/>
      <c r="J1094" s="42"/>
      <c r="K1094" s="42"/>
      <c r="L1094" s="42"/>
      <c r="M1094" s="42"/>
      <c r="N1094" s="42"/>
      <c r="O1094" s="42"/>
      <c r="P1094" s="42"/>
      <c r="Q1094" s="42"/>
      <c r="R1094" s="42"/>
      <c r="S1094" s="42"/>
      <c r="T1094" s="42"/>
      <c r="U1094" s="42"/>
      <c r="V1094" s="42"/>
      <c r="W1094" s="42"/>
      <c r="X1094" s="42"/>
      <c r="Y1094" s="42"/>
      <c r="Z1094" s="42"/>
      <c r="AA1094" s="42"/>
      <c r="AB1094" s="42"/>
      <c r="AC1094" s="42"/>
    </row>
    <row r="1095" spans="1:29" x14ac:dyDescent="0.25">
      <c r="A1095" s="42"/>
      <c r="B1095" s="35"/>
      <c r="C1095" s="35"/>
      <c r="D1095" s="41"/>
      <c r="E1095" s="41"/>
      <c r="F1095" s="40"/>
      <c r="G1095" s="35"/>
      <c r="H1095" s="41"/>
      <c r="I1095" s="42"/>
      <c r="J1095" s="42"/>
      <c r="K1095" s="42"/>
      <c r="L1095" s="42"/>
      <c r="M1095" s="42"/>
      <c r="N1095" s="42"/>
      <c r="O1095" s="42"/>
      <c r="P1095" s="42"/>
      <c r="Q1095" s="42"/>
      <c r="R1095" s="42"/>
      <c r="S1095" s="42"/>
      <c r="T1095" s="42"/>
      <c r="U1095" s="42"/>
      <c r="V1095" s="42"/>
      <c r="W1095" s="42"/>
      <c r="X1095" s="42"/>
      <c r="Y1095" s="42"/>
      <c r="Z1095" s="42"/>
      <c r="AA1095" s="42"/>
      <c r="AB1095" s="42"/>
      <c r="AC1095" s="42"/>
    </row>
    <row r="1096" spans="1:29" x14ac:dyDescent="0.25">
      <c r="A1096" s="42"/>
      <c r="B1096" s="35"/>
      <c r="C1096" s="35"/>
      <c r="D1096" s="41"/>
      <c r="E1096" s="41"/>
      <c r="F1096" s="40"/>
      <c r="G1096" s="35"/>
      <c r="H1096" s="41"/>
      <c r="I1096" s="42"/>
      <c r="J1096" s="42"/>
      <c r="K1096" s="42"/>
      <c r="L1096" s="42"/>
      <c r="M1096" s="42"/>
      <c r="N1096" s="42"/>
      <c r="O1096" s="42"/>
      <c r="P1096" s="42"/>
      <c r="Q1096" s="42"/>
      <c r="R1096" s="42"/>
      <c r="S1096" s="42"/>
      <c r="T1096" s="42"/>
      <c r="U1096" s="42"/>
      <c r="V1096" s="42"/>
      <c r="W1096" s="42"/>
      <c r="X1096" s="42"/>
      <c r="Y1096" s="42"/>
      <c r="Z1096" s="42"/>
      <c r="AA1096" s="42"/>
      <c r="AB1096" s="42"/>
      <c r="AC1096" s="42"/>
    </row>
    <row r="1097" spans="1:29" x14ac:dyDescent="0.25">
      <c r="A1097" s="42"/>
      <c r="B1097" s="35"/>
      <c r="C1097" s="35"/>
      <c r="D1097" s="41"/>
      <c r="E1097" s="41"/>
      <c r="F1097" s="40"/>
      <c r="G1097" s="35"/>
      <c r="H1097" s="41"/>
      <c r="I1097" s="42"/>
      <c r="J1097" s="42"/>
      <c r="K1097" s="42"/>
      <c r="L1097" s="42"/>
      <c r="M1097" s="42"/>
      <c r="N1097" s="42"/>
      <c r="O1097" s="42"/>
      <c r="P1097" s="42"/>
      <c r="Q1097" s="42"/>
      <c r="R1097" s="42"/>
      <c r="S1097" s="42"/>
      <c r="T1097" s="42"/>
      <c r="U1097" s="42"/>
      <c r="V1097" s="42"/>
      <c r="W1097" s="42"/>
      <c r="X1097" s="42"/>
      <c r="Y1097" s="42"/>
      <c r="Z1097" s="42"/>
      <c r="AA1097" s="42"/>
      <c r="AB1097" s="42"/>
      <c r="AC1097" s="42"/>
    </row>
    <row r="1098" spans="1:29" x14ac:dyDescent="0.25">
      <c r="A1098" s="42"/>
      <c r="B1098" s="35"/>
      <c r="C1098" s="35"/>
      <c r="D1098" s="41"/>
      <c r="E1098" s="41"/>
      <c r="F1098" s="40"/>
      <c r="G1098" s="35"/>
      <c r="H1098" s="41"/>
      <c r="I1098" s="42"/>
      <c r="J1098" s="42"/>
      <c r="K1098" s="42"/>
      <c r="L1098" s="42"/>
      <c r="M1098" s="42"/>
      <c r="N1098" s="42"/>
      <c r="O1098" s="42"/>
      <c r="P1098" s="42"/>
      <c r="Q1098" s="42"/>
      <c r="R1098" s="42"/>
      <c r="S1098" s="42"/>
      <c r="T1098" s="42"/>
      <c r="U1098" s="42"/>
      <c r="V1098" s="42"/>
      <c r="W1098" s="42"/>
      <c r="X1098" s="42"/>
      <c r="Y1098" s="42"/>
      <c r="Z1098" s="42"/>
      <c r="AA1098" s="42"/>
      <c r="AB1098" s="42"/>
      <c r="AC1098" s="42"/>
    </row>
    <row r="1099" spans="1:29" x14ac:dyDescent="0.25">
      <c r="A1099" s="42"/>
      <c r="B1099" s="35"/>
      <c r="C1099" s="35"/>
      <c r="D1099" s="41"/>
      <c r="E1099" s="41"/>
      <c r="F1099" s="40"/>
      <c r="G1099" s="35"/>
      <c r="H1099" s="41"/>
      <c r="I1099" s="42"/>
      <c r="J1099" s="42"/>
      <c r="K1099" s="42"/>
      <c r="L1099" s="42"/>
      <c r="M1099" s="42"/>
      <c r="N1099" s="42"/>
      <c r="O1099" s="42"/>
      <c r="P1099" s="42"/>
      <c r="Q1099" s="42"/>
      <c r="R1099" s="42"/>
      <c r="S1099" s="42"/>
      <c r="T1099" s="42"/>
      <c r="U1099" s="42"/>
      <c r="V1099" s="42"/>
      <c r="W1099" s="42"/>
      <c r="X1099" s="42"/>
      <c r="Y1099" s="42"/>
      <c r="Z1099" s="42"/>
      <c r="AA1099" s="42"/>
      <c r="AB1099" s="42"/>
      <c r="AC1099" s="42"/>
    </row>
    <row r="1100" spans="1:29" x14ac:dyDescent="0.25">
      <c r="A1100" s="42"/>
      <c r="B1100" s="35"/>
      <c r="C1100" s="35"/>
      <c r="D1100" s="41"/>
      <c r="E1100" s="41"/>
      <c r="F1100" s="40"/>
      <c r="G1100" s="35"/>
      <c r="H1100" s="41"/>
      <c r="I1100" s="42"/>
      <c r="J1100" s="42"/>
      <c r="K1100" s="42"/>
      <c r="L1100" s="42"/>
      <c r="M1100" s="42"/>
      <c r="N1100" s="42"/>
      <c r="O1100" s="42"/>
      <c r="P1100" s="42"/>
      <c r="Q1100" s="42"/>
      <c r="R1100" s="42"/>
      <c r="S1100" s="42"/>
      <c r="T1100" s="42"/>
      <c r="U1100" s="42"/>
      <c r="V1100" s="42"/>
      <c r="W1100" s="42"/>
      <c r="X1100" s="42"/>
      <c r="Y1100" s="42"/>
      <c r="Z1100" s="42"/>
      <c r="AA1100" s="42"/>
      <c r="AB1100" s="42"/>
      <c r="AC1100" s="42"/>
    </row>
    <row r="1101" spans="1:29" x14ac:dyDescent="0.25">
      <c r="A1101" s="42"/>
      <c r="B1101" s="35"/>
      <c r="C1101" s="35"/>
      <c r="D1101" s="41"/>
      <c r="E1101" s="41"/>
      <c r="F1101" s="40"/>
      <c r="G1101" s="35"/>
      <c r="H1101" s="41"/>
      <c r="I1101" s="42"/>
      <c r="J1101" s="42"/>
      <c r="K1101" s="42"/>
      <c r="L1101" s="42"/>
      <c r="M1101" s="42"/>
      <c r="N1101" s="42"/>
      <c r="O1101" s="42"/>
      <c r="P1101" s="42"/>
      <c r="Q1101" s="42"/>
      <c r="R1101" s="42"/>
      <c r="S1101" s="42"/>
      <c r="T1101" s="42"/>
      <c r="U1101" s="42"/>
      <c r="V1101" s="42"/>
      <c r="W1101" s="42"/>
      <c r="X1101" s="42"/>
      <c r="Y1101" s="42"/>
      <c r="Z1101" s="42"/>
      <c r="AA1101" s="42"/>
      <c r="AB1101" s="42"/>
      <c r="AC1101" s="42"/>
    </row>
    <row r="1102" spans="1:29" x14ac:dyDescent="0.25">
      <c r="A1102" s="42"/>
      <c r="B1102" s="35"/>
      <c r="C1102" s="35"/>
      <c r="D1102" s="41"/>
      <c r="E1102" s="41"/>
      <c r="F1102" s="40"/>
      <c r="G1102" s="35"/>
      <c r="H1102" s="41"/>
      <c r="I1102" s="42"/>
      <c r="J1102" s="42"/>
      <c r="K1102" s="42"/>
      <c r="L1102" s="42"/>
      <c r="M1102" s="42"/>
      <c r="N1102" s="42"/>
      <c r="O1102" s="42"/>
      <c r="P1102" s="42"/>
      <c r="Q1102" s="42"/>
      <c r="R1102" s="42"/>
      <c r="S1102" s="42"/>
      <c r="T1102" s="42"/>
      <c r="U1102" s="42"/>
      <c r="V1102" s="42"/>
      <c r="W1102" s="42"/>
      <c r="X1102" s="42"/>
      <c r="Y1102" s="42"/>
      <c r="Z1102" s="42"/>
      <c r="AA1102" s="42"/>
      <c r="AB1102" s="42"/>
      <c r="AC1102" s="42"/>
    </row>
    <row r="1103" spans="1:29" x14ac:dyDescent="0.25">
      <c r="A1103" s="42"/>
      <c r="B1103" s="35"/>
      <c r="C1103" s="35"/>
      <c r="D1103" s="41"/>
      <c r="E1103" s="41"/>
      <c r="F1103" s="40"/>
      <c r="G1103" s="35"/>
      <c r="H1103" s="41"/>
      <c r="I1103" s="42"/>
      <c r="J1103" s="42"/>
      <c r="K1103" s="42"/>
      <c r="L1103" s="42"/>
      <c r="M1103" s="42"/>
      <c r="N1103" s="42"/>
      <c r="O1103" s="42"/>
      <c r="P1103" s="42"/>
      <c r="Q1103" s="42"/>
      <c r="R1103" s="42"/>
      <c r="S1103" s="42"/>
      <c r="T1103" s="42"/>
      <c r="U1103" s="42"/>
      <c r="V1103" s="42"/>
      <c r="W1103" s="42"/>
      <c r="X1103" s="42"/>
      <c r="Y1103" s="42"/>
      <c r="Z1103" s="42"/>
      <c r="AA1103" s="42"/>
      <c r="AB1103" s="42"/>
      <c r="AC1103" s="42"/>
    </row>
    <row r="1104" spans="1:29" x14ac:dyDescent="0.25">
      <c r="A1104" s="42"/>
      <c r="B1104" s="35"/>
      <c r="C1104" s="35"/>
      <c r="D1104" s="41"/>
      <c r="E1104" s="41"/>
      <c r="F1104" s="40"/>
      <c r="G1104" s="35"/>
      <c r="H1104" s="41"/>
      <c r="I1104" s="42"/>
      <c r="J1104" s="42"/>
      <c r="K1104" s="42"/>
      <c r="L1104" s="42"/>
      <c r="M1104" s="42"/>
      <c r="N1104" s="42"/>
      <c r="O1104" s="42"/>
      <c r="P1104" s="42"/>
      <c r="Q1104" s="42"/>
      <c r="R1104" s="42"/>
      <c r="S1104" s="42"/>
      <c r="T1104" s="42"/>
      <c r="U1104" s="42"/>
      <c r="V1104" s="42"/>
      <c r="W1104" s="42"/>
      <c r="X1104" s="42"/>
      <c r="Y1104" s="42"/>
      <c r="Z1104" s="42"/>
      <c r="AA1104" s="42"/>
      <c r="AB1104" s="42"/>
      <c r="AC1104" s="42"/>
    </row>
    <row r="1105" spans="1:29" x14ac:dyDescent="0.25">
      <c r="A1105" s="42"/>
      <c r="B1105" s="35"/>
      <c r="C1105" s="35"/>
      <c r="D1105" s="41"/>
      <c r="E1105" s="41"/>
      <c r="F1105" s="40"/>
      <c r="G1105" s="35"/>
      <c r="H1105" s="41"/>
      <c r="I1105" s="42"/>
      <c r="J1105" s="42"/>
      <c r="K1105" s="42"/>
      <c r="L1105" s="42"/>
      <c r="M1105" s="42"/>
      <c r="N1105" s="42"/>
      <c r="O1105" s="42"/>
      <c r="P1105" s="42"/>
      <c r="Q1105" s="42"/>
      <c r="R1105" s="42"/>
      <c r="S1105" s="42"/>
      <c r="T1105" s="42"/>
      <c r="U1105" s="42"/>
      <c r="V1105" s="42"/>
      <c r="W1105" s="42"/>
      <c r="X1105" s="42"/>
      <c r="Y1105" s="42"/>
      <c r="Z1105" s="42"/>
      <c r="AA1105" s="42"/>
      <c r="AB1105" s="42"/>
      <c r="AC1105" s="42"/>
    </row>
    <row r="1106" spans="1:29" x14ac:dyDescent="0.25">
      <c r="A1106" s="42"/>
      <c r="B1106" s="35"/>
      <c r="C1106" s="35"/>
      <c r="D1106" s="41"/>
      <c r="E1106" s="41"/>
      <c r="F1106" s="40"/>
      <c r="G1106" s="35"/>
      <c r="H1106" s="41"/>
      <c r="I1106" s="42"/>
      <c r="J1106" s="42"/>
      <c r="K1106" s="42"/>
      <c r="L1106" s="42"/>
      <c r="M1106" s="42"/>
      <c r="N1106" s="42"/>
      <c r="O1106" s="42"/>
      <c r="P1106" s="42"/>
      <c r="Q1106" s="42"/>
      <c r="R1106" s="42"/>
      <c r="S1106" s="42"/>
      <c r="T1106" s="42"/>
      <c r="U1106" s="42"/>
      <c r="V1106" s="42"/>
      <c r="W1106" s="42"/>
      <c r="X1106" s="42"/>
      <c r="Y1106" s="42"/>
      <c r="Z1106" s="42"/>
      <c r="AA1106" s="42"/>
      <c r="AB1106" s="42"/>
      <c r="AC1106" s="42"/>
    </row>
    <row r="1107" spans="1:29" x14ac:dyDescent="0.25">
      <c r="A1107" s="42"/>
      <c r="B1107" s="35"/>
      <c r="C1107" s="35"/>
      <c r="D1107" s="41"/>
      <c r="E1107" s="41"/>
      <c r="F1107" s="40"/>
      <c r="G1107" s="35"/>
      <c r="H1107" s="41"/>
      <c r="I1107" s="42"/>
      <c r="J1107" s="42"/>
      <c r="K1107" s="42"/>
      <c r="L1107" s="42"/>
      <c r="M1107" s="42"/>
      <c r="N1107" s="42"/>
      <c r="O1107" s="42"/>
      <c r="P1107" s="42"/>
      <c r="Q1107" s="42"/>
      <c r="R1107" s="42"/>
      <c r="S1107" s="42"/>
      <c r="T1107" s="42"/>
      <c r="U1107" s="42"/>
      <c r="V1107" s="42"/>
      <c r="W1107" s="42"/>
      <c r="X1107" s="42"/>
      <c r="Y1107" s="42"/>
      <c r="Z1107" s="42"/>
      <c r="AA1107" s="42"/>
      <c r="AB1107" s="42"/>
      <c r="AC1107" s="42"/>
    </row>
    <row r="1108" spans="1:29" x14ac:dyDescent="0.25">
      <c r="A1108" s="42"/>
      <c r="B1108" s="35"/>
      <c r="C1108" s="35"/>
      <c r="D1108" s="41"/>
      <c r="E1108" s="41"/>
      <c r="F1108" s="40"/>
      <c r="G1108" s="35"/>
      <c r="H1108" s="41"/>
      <c r="I1108" s="42"/>
      <c r="J1108" s="42"/>
      <c r="K1108" s="42"/>
      <c r="L1108" s="42"/>
      <c r="M1108" s="42"/>
      <c r="N1108" s="42"/>
      <c r="O1108" s="42"/>
      <c r="P1108" s="42"/>
      <c r="Q1108" s="42"/>
      <c r="R1108" s="42"/>
      <c r="S1108" s="42"/>
      <c r="T1108" s="42"/>
      <c r="U1108" s="42"/>
      <c r="V1108" s="42"/>
      <c r="W1108" s="42"/>
      <c r="X1108" s="42"/>
      <c r="Y1108" s="42"/>
      <c r="Z1108" s="42"/>
      <c r="AA1108" s="42"/>
      <c r="AB1108" s="42"/>
      <c r="AC1108" s="42"/>
    </row>
    <row r="1109" spans="1:29" x14ac:dyDescent="0.25">
      <c r="A1109" s="42"/>
      <c r="B1109" s="35"/>
      <c r="C1109" s="35"/>
      <c r="D1109" s="41"/>
      <c r="E1109" s="41"/>
      <c r="F1109" s="40"/>
      <c r="G1109" s="35"/>
      <c r="H1109" s="41"/>
      <c r="I1109" s="42"/>
      <c r="J1109" s="42"/>
      <c r="K1109" s="42"/>
      <c r="L1109" s="42"/>
      <c r="M1109" s="42"/>
      <c r="N1109" s="42"/>
      <c r="O1109" s="42"/>
      <c r="P1109" s="42"/>
      <c r="Q1109" s="42"/>
      <c r="R1109" s="42"/>
      <c r="S1109" s="42"/>
      <c r="T1109" s="42"/>
      <c r="U1109" s="42"/>
      <c r="V1109" s="42"/>
      <c r="W1109" s="42"/>
      <c r="X1109" s="42"/>
      <c r="Y1109" s="42"/>
      <c r="Z1109" s="42"/>
      <c r="AA1109" s="42"/>
      <c r="AB1109" s="42"/>
      <c r="AC1109" s="42"/>
    </row>
    <row r="1110" spans="1:29" x14ac:dyDescent="0.25">
      <c r="A1110" s="42"/>
      <c r="B1110" s="35"/>
      <c r="C1110" s="35"/>
      <c r="D1110" s="41"/>
      <c r="E1110" s="41"/>
      <c r="F1110" s="40"/>
      <c r="G1110" s="35"/>
      <c r="H1110" s="41"/>
      <c r="I1110" s="42"/>
      <c r="J1110" s="42"/>
      <c r="K1110" s="42"/>
      <c r="L1110" s="42"/>
      <c r="M1110" s="42"/>
      <c r="N1110" s="42"/>
      <c r="O1110" s="42"/>
      <c r="P1110" s="42"/>
      <c r="Q1110" s="42"/>
      <c r="R1110" s="42"/>
      <c r="S1110" s="42"/>
      <c r="T1110" s="42"/>
      <c r="U1110" s="42"/>
      <c r="V1110" s="42"/>
      <c r="W1110" s="42"/>
      <c r="X1110" s="42"/>
      <c r="Y1110" s="42"/>
      <c r="Z1110" s="42"/>
      <c r="AA1110" s="42"/>
      <c r="AB1110" s="42"/>
      <c r="AC1110" s="42"/>
    </row>
    <row r="1111" spans="1:29" x14ac:dyDescent="0.25">
      <c r="A1111" s="42"/>
      <c r="B1111" s="35"/>
      <c r="C1111" s="35"/>
      <c r="D1111" s="41"/>
      <c r="E1111" s="41"/>
      <c r="F1111" s="40"/>
      <c r="G1111" s="35"/>
      <c r="H1111" s="41"/>
      <c r="I1111" s="42"/>
      <c r="J1111" s="42"/>
      <c r="K1111" s="42"/>
      <c r="L1111" s="42"/>
      <c r="M1111" s="42"/>
      <c r="N1111" s="42"/>
      <c r="O1111" s="42"/>
      <c r="P1111" s="42"/>
      <c r="Q1111" s="42"/>
      <c r="R1111" s="42"/>
      <c r="S1111" s="42"/>
      <c r="T1111" s="42"/>
      <c r="U1111" s="42"/>
      <c r="V1111" s="42"/>
      <c r="W1111" s="42"/>
      <c r="X1111" s="42"/>
      <c r="Y1111" s="42"/>
      <c r="Z1111" s="42"/>
      <c r="AA1111" s="42"/>
      <c r="AB1111" s="42"/>
      <c r="AC1111" s="42"/>
    </row>
    <row r="1112" spans="1:29" x14ac:dyDescent="0.25">
      <c r="A1112" s="42"/>
      <c r="B1112" s="35"/>
      <c r="C1112" s="35"/>
      <c r="D1112" s="41"/>
      <c r="E1112" s="41"/>
      <c r="F1112" s="40"/>
      <c r="G1112" s="35"/>
      <c r="H1112" s="41"/>
      <c r="I1112" s="42"/>
      <c r="J1112" s="42"/>
      <c r="K1112" s="42"/>
      <c r="L1112" s="42"/>
      <c r="M1112" s="42"/>
      <c r="N1112" s="42"/>
      <c r="O1112" s="42"/>
      <c r="P1112" s="42"/>
      <c r="Q1112" s="42"/>
      <c r="R1112" s="42"/>
      <c r="S1112" s="42"/>
      <c r="T1112" s="42"/>
      <c r="U1112" s="42"/>
      <c r="V1112" s="42"/>
      <c r="W1112" s="42"/>
      <c r="X1112" s="42"/>
      <c r="Y1112" s="42"/>
      <c r="Z1112" s="42"/>
      <c r="AA1112" s="42"/>
      <c r="AB1112" s="42"/>
      <c r="AC1112" s="42"/>
    </row>
    <row r="1113" spans="1:29" x14ac:dyDescent="0.25">
      <c r="A1113" s="42"/>
      <c r="B1113" s="35"/>
      <c r="C1113" s="35"/>
      <c r="D1113" s="41"/>
      <c r="E1113" s="41"/>
      <c r="F1113" s="40"/>
      <c r="G1113" s="35"/>
      <c r="H1113" s="41"/>
      <c r="I1113" s="42"/>
      <c r="J1113" s="42"/>
      <c r="K1113" s="42"/>
      <c r="L1113" s="42"/>
      <c r="M1113" s="42"/>
      <c r="N1113" s="42"/>
      <c r="O1113" s="42"/>
      <c r="P1113" s="42"/>
      <c r="Q1113" s="42"/>
      <c r="R1113" s="42"/>
      <c r="S1113" s="42"/>
      <c r="T1113" s="42"/>
      <c r="U1113" s="42"/>
      <c r="V1113" s="42"/>
      <c r="W1113" s="42"/>
      <c r="X1113" s="42"/>
      <c r="Y1113" s="42"/>
      <c r="Z1113" s="42"/>
      <c r="AA1113" s="42"/>
      <c r="AB1113" s="42"/>
      <c r="AC1113" s="42"/>
    </row>
    <row r="1114" spans="1:29" x14ac:dyDescent="0.25">
      <c r="A1114" s="42"/>
      <c r="B1114" s="35"/>
      <c r="C1114" s="35"/>
      <c r="D1114" s="41"/>
      <c r="E1114" s="41"/>
      <c r="F1114" s="40"/>
      <c r="G1114" s="35"/>
      <c r="H1114" s="41"/>
      <c r="I1114" s="42"/>
      <c r="J1114" s="42"/>
      <c r="K1114" s="42"/>
      <c r="L1114" s="42"/>
      <c r="M1114" s="42"/>
      <c r="N1114" s="42"/>
      <c r="O1114" s="42"/>
      <c r="P1114" s="42"/>
      <c r="Q1114" s="42"/>
      <c r="R1114" s="42"/>
      <c r="S1114" s="42"/>
      <c r="T1114" s="42"/>
      <c r="U1114" s="42"/>
      <c r="V1114" s="42"/>
      <c r="W1114" s="42"/>
      <c r="X1114" s="42"/>
      <c r="Y1114" s="42"/>
      <c r="Z1114" s="42"/>
      <c r="AA1114" s="42"/>
      <c r="AB1114" s="42"/>
      <c r="AC1114" s="42"/>
    </row>
    <row r="1115" spans="1:29" x14ac:dyDescent="0.25">
      <c r="A1115" s="42"/>
      <c r="B1115" s="35"/>
      <c r="C1115" s="35"/>
      <c r="D1115" s="41"/>
      <c r="E1115" s="41"/>
      <c r="F1115" s="40"/>
      <c r="G1115" s="35"/>
      <c r="H1115" s="41"/>
      <c r="I1115" s="42"/>
      <c r="J1115" s="42"/>
      <c r="K1115" s="42"/>
      <c r="L1115" s="42"/>
      <c r="M1115" s="42"/>
      <c r="N1115" s="42"/>
      <c r="O1115" s="42"/>
      <c r="P1115" s="42"/>
      <c r="Q1115" s="42"/>
      <c r="R1115" s="42"/>
      <c r="S1115" s="42"/>
      <c r="T1115" s="42"/>
      <c r="U1115" s="42"/>
      <c r="V1115" s="42"/>
      <c r="W1115" s="42"/>
      <c r="X1115" s="42"/>
      <c r="Y1115" s="42"/>
      <c r="Z1115" s="42"/>
      <c r="AA1115" s="42"/>
      <c r="AB1115" s="42"/>
      <c r="AC1115" s="42"/>
    </row>
    <row r="1116" spans="1:29" x14ac:dyDescent="0.25">
      <c r="A1116" s="42"/>
      <c r="B1116" s="35"/>
      <c r="C1116" s="35"/>
      <c r="D1116" s="41"/>
      <c r="E1116" s="41"/>
      <c r="F1116" s="40"/>
      <c r="G1116" s="35"/>
      <c r="H1116" s="41"/>
      <c r="I1116" s="42"/>
      <c r="J1116" s="42"/>
      <c r="K1116" s="42"/>
      <c r="L1116" s="42"/>
      <c r="M1116" s="42"/>
      <c r="N1116" s="42"/>
      <c r="O1116" s="42"/>
      <c r="P1116" s="42"/>
      <c r="Q1116" s="42"/>
      <c r="R1116" s="42"/>
      <c r="S1116" s="42"/>
      <c r="T1116" s="42"/>
      <c r="U1116" s="42"/>
      <c r="V1116" s="42"/>
      <c r="W1116" s="42"/>
      <c r="X1116" s="42"/>
      <c r="Y1116" s="42"/>
      <c r="Z1116" s="42"/>
      <c r="AA1116" s="42"/>
      <c r="AB1116" s="42"/>
      <c r="AC1116" s="42"/>
    </row>
    <row r="1117" spans="1:29" x14ac:dyDescent="0.25">
      <c r="A1117" s="42"/>
      <c r="B1117" s="35"/>
      <c r="C1117" s="35"/>
      <c r="D1117" s="41"/>
      <c r="E1117" s="41"/>
      <c r="F1117" s="40"/>
      <c r="G1117" s="35"/>
      <c r="H1117" s="41"/>
      <c r="I1117" s="42"/>
      <c r="J1117" s="42"/>
      <c r="K1117" s="42"/>
      <c r="L1117" s="42"/>
      <c r="M1117" s="42"/>
      <c r="N1117" s="42"/>
      <c r="O1117" s="42"/>
      <c r="P1117" s="42"/>
      <c r="Q1117" s="42"/>
      <c r="R1117" s="42"/>
      <c r="S1117" s="42"/>
      <c r="T1117" s="42"/>
      <c r="U1117" s="42"/>
      <c r="V1117" s="42"/>
      <c r="W1117" s="42"/>
      <c r="X1117" s="42"/>
      <c r="Y1117" s="42"/>
      <c r="Z1117" s="42"/>
      <c r="AA1117" s="42"/>
      <c r="AB1117" s="42"/>
      <c r="AC1117" s="42"/>
    </row>
    <row r="1118" spans="1:29" x14ac:dyDescent="0.25">
      <c r="A1118" s="42"/>
      <c r="B1118" s="35"/>
      <c r="C1118" s="35"/>
      <c r="D1118" s="41"/>
      <c r="E1118" s="41"/>
      <c r="F1118" s="40"/>
      <c r="G1118" s="35"/>
      <c r="H1118" s="41"/>
      <c r="I1118" s="42"/>
      <c r="J1118" s="42"/>
      <c r="K1118" s="42"/>
      <c r="L1118" s="42"/>
      <c r="M1118" s="42"/>
      <c r="N1118" s="42"/>
      <c r="O1118" s="42"/>
      <c r="P1118" s="42"/>
      <c r="Q1118" s="42"/>
      <c r="R1118" s="42"/>
      <c r="S1118" s="42"/>
      <c r="T1118" s="42"/>
      <c r="U1118" s="42"/>
      <c r="V1118" s="42"/>
      <c r="W1118" s="42"/>
      <c r="X1118" s="42"/>
      <c r="Y1118" s="42"/>
      <c r="Z1118" s="42"/>
      <c r="AA1118" s="42"/>
      <c r="AB1118" s="42"/>
      <c r="AC1118" s="42"/>
    </row>
    <row r="1119" spans="1:29" x14ac:dyDescent="0.25">
      <c r="A1119" s="42"/>
      <c r="B1119" s="35"/>
      <c r="C1119" s="35"/>
      <c r="D1119" s="41"/>
      <c r="E1119" s="41"/>
      <c r="F1119" s="40"/>
      <c r="G1119" s="35"/>
      <c r="H1119" s="41"/>
      <c r="I1119" s="42"/>
      <c r="J1119" s="42"/>
      <c r="K1119" s="42"/>
      <c r="L1119" s="42"/>
      <c r="M1119" s="42"/>
      <c r="N1119" s="42"/>
      <c r="O1119" s="42"/>
      <c r="P1119" s="42"/>
      <c r="Q1119" s="42"/>
      <c r="R1119" s="42"/>
      <c r="S1119" s="42"/>
      <c r="T1119" s="42"/>
      <c r="U1119" s="42"/>
      <c r="V1119" s="42"/>
      <c r="W1119" s="42"/>
      <c r="X1119" s="42"/>
      <c r="Y1119" s="42"/>
      <c r="Z1119" s="42"/>
      <c r="AA1119" s="42"/>
      <c r="AB1119" s="42"/>
      <c r="AC1119" s="42"/>
    </row>
    <row r="1120" spans="1:29" x14ac:dyDescent="0.25">
      <c r="A1120" s="42"/>
      <c r="B1120" s="35"/>
      <c r="C1120" s="35"/>
      <c r="D1120" s="41"/>
      <c r="E1120" s="41"/>
      <c r="F1120" s="40"/>
      <c r="G1120" s="35"/>
      <c r="H1120" s="41"/>
      <c r="I1120" s="42"/>
      <c r="J1120" s="42"/>
      <c r="K1120" s="42"/>
      <c r="L1120" s="42"/>
      <c r="M1120" s="42"/>
      <c r="N1120" s="42"/>
      <c r="O1120" s="42"/>
      <c r="P1120" s="42"/>
      <c r="Q1120" s="42"/>
      <c r="R1120" s="42"/>
      <c r="S1120" s="42"/>
      <c r="T1120" s="42"/>
      <c r="U1120" s="42"/>
      <c r="V1120" s="42"/>
      <c r="W1120" s="42"/>
      <c r="X1120" s="42"/>
      <c r="Y1120" s="42"/>
      <c r="Z1120" s="42"/>
      <c r="AA1120" s="42"/>
      <c r="AB1120" s="42"/>
      <c r="AC1120" s="42"/>
    </row>
    <row r="1121" spans="1:29" x14ac:dyDescent="0.25">
      <c r="A1121" s="42"/>
      <c r="B1121" s="35"/>
      <c r="C1121" s="35"/>
      <c r="D1121" s="41"/>
      <c r="E1121" s="41"/>
      <c r="F1121" s="40"/>
      <c r="G1121" s="35"/>
      <c r="H1121" s="41"/>
      <c r="I1121" s="42"/>
      <c r="J1121" s="42"/>
      <c r="K1121" s="42"/>
      <c r="L1121" s="42"/>
      <c r="M1121" s="42"/>
      <c r="N1121" s="42"/>
      <c r="O1121" s="42"/>
      <c r="P1121" s="42"/>
      <c r="Q1121" s="42"/>
      <c r="R1121" s="42"/>
      <c r="S1121" s="42"/>
      <c r="T1121" s="42"/>
      <c r="U1121" s="42"/>
      <c r="V1121" s="42"/>
      <c r="W1121" s="42"/>
      <c r="X1121" s="42"/>
      <c r="Y1121" s="42"/>
      <c r="Z1121" s="42"/>
      <c r="AA1121" s="42"/>
      <c r="AB1121" s="42"/>
      <c r="AC1121" s="42"/>
    </row>
    <row r="1122" spans="1:29" x14ac:dyDescent="0.25">
      <c r="A1122" s="42"/>
      <c r="B1122" s="35"/>
      <c r="C1122" s="35"/>
      <c r="D1122" s="41"/>
      <c r="E1122" s="41"/>
      <c r="F1122" s="40"/>
      <c r="G1122" s="35"/>
      <c r="H1122" s="41"/>
      <c r="I1122" s="42"/>
      <c r="J1122" s="42"/>
      <c r="K1122" s="42"/>
      <c r="L1122" s="42"/>
      <c r="M1122" s="42"/>
      <c r="N1122" s="42"/>
      <c r="O1122" s="42"/>
      <c r="P1122" s="42"/>
      <c r="Q1122" s="42"/>
      <c r="R1122" s="42"/>
      <c r="S1122" s="42"/>
      <c r="T1122" s="42"/>
      <c r="U1122" s="42"/>
      <c r="V1122" s="42"/>
      <c r="W1122" s="42"/>
      <c r="X1122" s="42"/>
      <c r="Y1122" s="42"/>
      <c r="Z1122" s="42"/>
      <c r="AA1122" s="42"/>
      <c r="AB1122" s="42"/>
      <c r="AC1122" s="42"/>
    </row>
    <row r="1123" spans="1:29" x14ac:dyDescent="0.25">
      <c r="A1123" s="42"/>
      <c r="B1123" s="35"/>
      <c r="C1123" s="35"/>
      <c r="D1123" s="41"/>
      <c r="E1123" s="41"/>
      <c r="F1123" s="40"/>
      <c r="G1123" s="35"/>
      <c r="H1123" s="41"/>
      <c r="I1123" s="42"/>
      <c r="J1123" s="42"/>
      <c r="K1123" s="42"/>
      <c r="L1123" s="42"/>
      <c r="M1123" s="42"/>
      <c r="N1123" s="42"/>
      <c r="O1123" s="42"/>
      <c r="P1123" s="42"/>
      <c r="Q1123" s="42"/>
      <c r="R1123" s="42"/>
      <c r="S1123" s="42"/>
      <c r="T1123" s="42"/>
      <c r="U1123" s="42"/>
      <c r="V1123" s="42"/>
      <c r="W1123" s="42"/>
      <c r="X1123" s="42"/>
      <c r="Y1123" s="42"/>
      <c r="Z1123" s="42"/>
      <c r="AA1123" s="42"/>
      <c r="AB1123" s="42"/>
      <c r="AC1123" s="42"/>
    </row>
    <row r="1124" spans="1:29" x14ac:dyDescent="0.25">
      <c r="A1124" s="42"/>
      <c r="B1124" s="35"/>
      <c r="C1124" s="35"/>
      <c r="D1124" s="41"/>
      <c r="E1124" s="41"/>
      <c r="F1124" s="40"/>
      <c r="G1124" s="35"/>
      <c r="H1124" s="41"/>
      <c r="I1124" s="42"/>
      <c r="J1124" s="42"/>
      <c r="K1124" s="42"/>
      <c r="L1124" s="42"/>
      <c r="M1124" s="42"/>
      <c r="N1124" s="42"/>
      <c r="O1124" s="42"/>
      <c r="P1124" s="42"/>
      <c r="Q1124" s="42"/>
      <c r="R1124" s="42"/>
      <c r="S1124" s="42"/>
      <c r="T1124" s="42"/>
      <c r="U1124" s="42"/>
      <c r="V1124" s="42"/>
      <c r="W1124" s="42"/>
      <c r="X1124" s="42"/>
      <c r="Y1124" s="42"/>
      <c r="Z1124" s="42"/>
      <c r="AA1124" s="42"/>
      <c r="AB1124" s="42"/>
      <c r="AC1124" s="42"/>
    </row>
    <row r="1125" spans="1:29" x14ac:dyDescent="0.25">
      <c r="A1125" s="42"/>
      <c r="B1125" s="35"/>
      <c r="C1125" s="35"/>
      <c r="D1125" s="41"/>
      <c r="E1125" s="41"/>
      <c r="F1125" s="40"/>
      <c r="G1125" s="35"/>
      <c r="H1125" s="41"/>
      <c r="I1125" s="42"/>
      <c r="J1125" s="42"/>
      <c r="K1125" s="42"/>
      <c r="L1125" s="42"/>
      <c r="M1125" s="42"/>
      <c r="N1125" s="42"/>
      <c r="O1125" s="42"/>
      <c r="P1125" s="42"/>
      <c r="Q1125" s="42"/>
      <c r="R1125" s="42"/>
      <c r="S1125" s="42"/>
      <c r="T1125" s="42"/>
      <c r="U1125" s="42"/>
      <c r="V1125" s="42"/>
      <c r="W1125" s="42"/>
      <c r="X1125" s="42"/>
      <c r="Y1125" s="42"/>
      <c r="Z1125" s="42"/>
      <c r="AA1125" s="42"/>
      <c r="AB1125" s="42"/>
      <c r="AC1125" s="42"/>
    </row>
    <row r="1126" spans="1:29" x14ac:dyDescent="0.25">
      <c r="A1126" s="42"/>
      <c r="B1126" s="35"/>
      <c r="C1126" s="35"/>
      <c r="D1126" s="41"/>
      <c r="E1126" s="41"/>
      <c r="F1126" s="40"/>
      <c r="G1126" s="35"/>
      <c r="H1126" s="41"/>
      <c r="I1126" s="42"/>
      <c r="J1126" s="42"/>
      <c r="K1126" s="42"/>
      <c r="L1126" s="42"/>
      <c r="M1126" s="42"/>
      <c r="N1126" s="42"/>
      <c r="O1126" s="42"/>
      <c r="P1126" s="42"/>
      <c r="Q1126" s="42"/>
      <c r="R1126" s="42"/>
      <c r="S1126" s="42"/>
      <c r="T1126" s="42"/>
      <c r="U1126" s="42"/>
      <c r="V1126" s="42"/>
      <c r="W1126" s="42"/>
      <c r="X1126" s="42"/>
      <c r="Y1126" s="42"/>
      <c r="Z1126" s="42"/>
      <c r="AA1126" s="42"/>
      <c r="AB1126" s="42"/>
      <c r="AC1126" s="42"/>
    </row>
    <row r="1127" spans="1:29" x14ac:dyDescent="0.25">
      <c r="A1127" s="42"/>
      <c r="B1127" s="35"/>
      <c r="C1127" s="35"/>
      <c r="D1127" s="41"/>
      <c r="E1127" s="41"/>
      <c r="F1127" s="40"/>
      <c r="G1127" s="35"/>
      <c r="H1127" s="41"/>
      <c r="I1127" s="42"/>
      <c r="J1127" s="42"/>
      <c r="K1127" s="42"/>
      <c r="L1127" s="42"/>
      <c r="M1127" s="42"/>
      <c r="N1127" s="42"/>
      <c r="O1127" s="42"/>
      <c r="P1127" s="42"/>
      <c r="Q1127" s="42"/>
      <c r="R1127" s="42"/>
      <c r="S1127" s="42"/>
      <c r="T1127" s="42"/>
      <c r="U1127" s="42"/>
      <c r="V1127" s="42"/>
      <c r="W1127" s="42"/>
      <c r="X1127" s="42"/>
      <c r="Y1127" s="42"/>
      <c r="Z1127" s="42"/>
      <c r="AA1127" s="42"/>
      <c r="AB1127" s="42"/>
      <c r="AC1127" s="42"/>
    </row>
    <row r="1128" spans="1:29" x14ac:dyDescent="0.25">
      <c r="A1128" s="42"/>
      <c r="B1128" s="35"/>
      <c r="C1128" s="35"/>
      <c r="D1128" s="41"/>
      <c r="E1128" s="41"/>
      <c r="F1128" s="40"/>
      <c r="G1128" s="35"/>
      <c r="H1128" s="41"/>
      <c r="I1128" s="42"/>
      <c r="J1128" s="42"/>
      <c r="K1128" s="42"/>
      <c r="L1128" s="42"/>
      <c r="M1128" s="42"/>
      <c r="N1128" s="42"/>
      <c r="O1128" s="42"/>
      <c r="P1128" s="42"/>
      <c r="Q1128" s="42"/>
      <c r="R1128" s="42"/>
      <c r="S1128" s="42"/>
      <c r="T1128" s="42"/>
      <c r="U1128" s="42"/>
      <c r="V1128" s="42"/>
      <c r="W1128" s="42"/>
      <c r="X1128" s="42"/>
      <c r="Y1128" s="42"/>
      <c r="Z1128" s="42"/>
      <c r="AA1128" s="42"/>
      <c r="AB1128" s="42"/>
      <c r="AC1128" s="42"/>
    </row>
    <row r="1129" spans="1:29" x14ac:dyDescent="0.25">
      <c r="A1129" s="42"/>
      <c r="B1129" s="35"/>
      <c r="C1129" s="35"/>
      <c r="D1129" s="41"/>
      <c r="E1129" s="41"/>
      <c r="F1129" s="40"/>
      <c r="G1129" s="35"/>
      <c r="H1129" s="41"/>
      <c r="I1129" s="42"/>
      <c r="J1129" s="42"/>
      <c r="K1129" s="42"/>
      <c r="L1129" s="42"/>
      <c r="M1129" s="42"/>
      <c r="N1129" s="42"/>
      <c r="O1129" s="42"/>
      <c r="P1129" s="42"/>
      <c r="Q1129" s="42"/>
      <c r="R1129" s="42"/>
      <c r="S1129" s="42"/>
      <c r="T1129" s="42"/>
      <c r="U1129" s="42"/>
      <c r="V1129" s="42"/>
      <c r="W1129" s="42"/>
      <c r="X1129" s="42"/>
      <c r="Y1129" s="42"/>
      <c r="Z1129" s="42"/>
      <c r="AA1129" s="42"/>
      <c r="AB1129" s="42"/>
      <c r="AC1129" s="42"/>
    </row>
    <row r="1130" spans="1:29" x14ac:dyDescent="0.25">
      <c r="A1130" s="42"/>
      <c r="B1130" s="35"/>
      <c r="C1130" s="35"/>
      <c r="D1130" s="41"/>
      <c r="E1130" s="41"/>
      <c r="F1130" s="40"/>
      <c r="G1130" s="35"/>
      <c r="H1130" s="41"/>
      <c r="I1130" s="42"/>
      <c r="J1130" s="42"/>
      <c r="K1130" s="42"/>
      <c r="L1130" s="42"/>
      <c r="M1130" s="42"/>
      <c r="N1130" s="42"/>
      <c r="O1130" s="42"/>
      <c r="P1130" s="42"/>
      <c r="Q1130" s="42"/>
      <c r="R1130" s="42"/>
      <c r="S1130" s="42"/>
      <c r="T1130" s="42"/>
      <c r="U1130" s="42"/>
      <c r="V1130" s="42"/>
      <c r="W1130" s="42"/>
      <c r="X1130" s="42"/>
      <c r="Y1130" s="42"/>
      <c r="Z1130" s="42"/>
      <c r="AA1130" s="42"/>
      <c r="AB1130" s="42"/>
      <c r="AC1130" s="42"/>
    </row>
    <row r="1131" spans="1:29" x14ac:dyDescent="0.25">
      <c r="A1131" s="42"/>
      <c r="B1131" s="35"/>
      <c r="C1131" s="35"/>
      <c r="D1131" s="41"/>
      <c r="E1131" s="41"/>
      <c r="F1131" s="40"/>
      <c r="G1131" s="35"/>
      <c r="H1131" s="41"/>
      <c r="I1131" s="42"/>
      <c r="J1131" s="42"/>
      <c r="K1131" s="42"/>
      <c r="L1131" s="42"/>
      <c r="M1131" s="42"/>
      <c r="N1131" s="42"/>
      <c r="O1131" s="42"/>
      <c r="P1131" s="42"/>
      <c r="Q1131" s="42"/>
      <c r="R1131" s="42"/>
      <c r="S1131" s="42"/>
      <c r="T1131" s="42"/>
      <c r="U1131" s="42"/>
      <c r="V1131" s="42"/>
      <c r="W1131" s="42"/>
      <c r="X1131" s="42"/>
      <c r="Y1131" s="42"/>
      <c r="Z1131" s="42"/>
      <c r="AA1131" s="42"/>
      <c r="AB1131" s="42"/>
      <c r="AC1131" s="42"/>
    </row>
    <row r="1132" spans="1:29" x14ac:dyDescent="0.25">
      <c r="A1132" s="42"/>
      <c r="B1132" s="35"/>
      <c r="C1132" s="35"/>
      <c r="D1132" s="41"/>
      <c r="E1132" s="41"/>
      <c r="F1132" s="40"/>
      <c r="G1132" s="35"/>
      <c r="H1132" s="41"/>
      <c r="I1132" s="42"/>
      <c r="J1132" s="42"/>
      <c r="K1132" s="42"/>
      <c r="L1132" s="42"/>
      <c r="M1132" s="42"/>
      <c r="N1132" s="42"/>
      <c r="O1132" s="42"/>
      <c r="P1132" s="42"/>
      <c r="Q1132" s="42"/>
      <c r="R1132" s="42"/>
      <c r="S1132" s="42"/>
      <c r="T1132" s="42"/>
      <c r="U1132" s="42"/>
      <c r="V1132" s="42"/>
      <c r="W1132" s="42"/>
      <c r="X1132" s="42"/>
      <c r="Y1132" s="42"/>
      <c r="Z1132" s="42"/>
      <c r="AA1132" s="42"/>
      <c r="AB1132" s="42"/>
      <c r="AC1132" s="42"/>
    </row>
    <row r="1133" spans="1:29" x14ac:dyDescent="0.25">
      <c r="A1133" s="42"/>
      <c r="B1133" s="35"/>
      <c r="C1133" s="35"/>
      <c r="D1133" s="41"/>
      <c r="E1133" s="41"/>
      <c r="F1133" s="40"/>
      <c r="G1133" s="35"/>
      <c r="H1133" s="41"/>
      <c r="I1133" s="42"/>
      <c r="J1133" s="42"/>
      <c r="K1133" s="42"/>
      <c r="L1133" s="42"/>
      <c r="M1133" s="42"/>
      <c r="N1133" s="42"/>
      <c r="O1133" s="42"/>
      <c r="P1133" s="42"/>
      <c r="Q1133" s="42"/>
      <c r="R1133" s="42"/>
      <c r="S1133" s="42"/>
      <c r="T1133" s="42"/>
      <c r="U1133" s="42"/>
      <c r="V1133" s="42"/>
      <c r="W1133" s="42"/>
      <c r="X1133" s="42"/>
      <c r="Y1133" s="42"/>
      <c r="Z1133" s="42"/>
      <c r="AA1133" s="42"/>
      <c r="AB1133" s="42"/>
      <c r="AC1133" s="42"/>
    </row>
    <row r="1134" spans="1:29" x14ac:dyDescent="0.25">
      <c r="A1134" s="42"/>
      <c r="B1134" s="35"/>
      <c r="C1134" s="35"/>
      <c r="D1134" s="41"/>
      <c r="E1134" s="41"/>
      <c r="F1134" s="40"/>
      <c r="G1134" s="35"/>
      <c r="H1134" s="41"/>
      <c r="I1134" s="42"/>
      <c r="J1134" s="42"/>
      <c r="K1134" s="42"/>
      <c r="L1134" s="42"/>
      <c r="M1134" s="42"/>
      <c r="N1134" s="42"/>
      <c r="O1134" s="42"/>
      <c r="P1134" s="42"/>
      <c r="Q1134" s="42"/>
      <c r="R1134" s="42"/>
      <c r="S1134" s="42"/>
      <c r="T1134" s="42"/>
      <c r="U1134" s="42"/>
      <c r="V1134" s="42"/>
      <c r="W1134" s="42"/>
      <c r="X1134" s="42"/>
      <c r="Y1134" s="42"/>
      <c r="Z1134" s="42"/>
      <c r="AA1134" s="42"/>
      <c r="AB1134" s="42"/>
      <c r="AC1134" s="42"/>
    </row>
    <row r="1135" spans="1:29" x14ac:dyDescent="0.25">
      <c r="A1135" s="42"/>
      <c r="B1135" s="35"/>
      <c r="C1135" s="35"/>
      <c r="D1135" s="41"/>
      <c r="E1135" s="41"/>
      <c r="F1135" s="40"/>
      <c r="G1135" s="35"/>
      <c r="H1135" s="41"/>
      <c r="I1135" s="42"/>
      <c r="J1135" s="42"/>
      <c r="K1135" s="42"/>
      <c r="L1135" s="42"/>
      <c r="M1135" s="42"/>
      <c r="N1135" s="42"/>
      <c r="O1135" s="42"/>
      <c r="P1135" s="42"/>
      <c r="Q1135" s="42"/>
      <c r="R1135" s="42"/>
      <c r="S1135" s="42"/>
      <c r="T1135" s="42"/>
      <c r="U1135" s="42"/>
      <c r="V1135" s="42"/>
      <c r="W1135" s="42"/>
      <c r="X1135" s="42"/>
      <c r="Y1135" s="42"/>
      <c r="Z1135" s="42"/>
      <c r="AA1135" s="42"/>
      <c r="AB1135" s="42"/>
      <c r="AC1135" s="42"/>
    </row>
    <row r="1136" spans="1:29" x14ac:dyDescent="0.25">
      <c r="A1136" s="42"/>
      <c r="B1136" s="35"/>
      <c r="C1136" s="35"/>
      <c r="D1136" s="41"/>
      <c r="E1136" s="41"/>
      <c r="F1136" s="40"/>
      <c r="G1136" s="35"/>
      <c r="H1136" s="41"/>
      <c r="I1136" s="42"/>
      <c r="J1136" s="42"/>
      <c r="K1136" s="42"/>
      <c r="L1136" s="42"/>
      <c r="M1136" s="42"/>
      <c r="N1136" s="42"/>
      <c r="O1136" s="42"/>
      <c r="P1136" s="42"/>
      <c r="Q1136" s="42"/>
      <c r="R1136" s="42"/>
      <c r="S1136" s="42"/>
      <c r="T1136" s="42"/>
      <c r="U1136" s="42"/>
      <c r="V1136" s="42"/>
      <c r="W1136" s="42"/>
      <c r="X1136" s="42"/>
      <c r="Y1136" s="42"/>
      <c r="Z1136" s="42"/>
      <c r="AA1136" s="42"/>
      <c r="AB1136" s="42"/>
      <c r="AC1136" s="42"/>
    </row>
    <row r="1137" spans="1:29" x14ac:dyDescent="0.25">
      <c r="A1137" s="42"/>
      <c r="B1137" s="35"/>
      <c r="C1137" s="35"/>
      <c r="D1137" s="41"/>
      <c r="E1137" s="41"/>
      <c r="F1137" s="40"/>
      <c r="G1137" s="35"/>
      <c r="H1137" s="41"/>
      <c r="I1137" s="42"/>
      <c r="J1137" s="42"/>
      <c r="K1137" s="42"/>
      <c r="L1137" s="42"/>
      <c r="M1137" s="42"/>
      <c r="N1137" s="42"/>
      <c r="O1137" s="42"/>
      <c r="P1137" s="42"/>
      <c r="Q1137" s="42"/>
      <c r="R1137" s="42"/>
      <c r="S1137" s="42"/>
      <c r="T1137" s="42"/>
      <c r="U1137" s="42"/>
      <c r="V1137" s="42"/>
      <c r="W1137" s="42"/>
      <c r="X1137" s="42"/>
      <c r="Y1137" s="42"/>
      <c r="Z1137" s="42"/>
      <c r="AA1137" s="42"/>
      <c r="AB1137" s="42"/>
      <c r="AC1137" s="42"/>
    </row>
    <row r="1138" spans="1:29" x14ac:dyDescent="0.25">
      <c r="A1138" s="42"/>
      <c r="B1138" s="35"/>
      <c r="C1138" s="35"/>
      <c r="D1138" s="41"/>
      <c r="E1138" s="41"/>
      <c r="F1138" s="40"/>
      <c r="G1138" s="35"/>
      <c r="H1138" s="41"/>
      <c r="I1138" s="42"/>
      <c r="J1138" s="42"/>
      <c r="K1138" s="42"/>
      <c r="L1138" s="42"/>
      <c r="M1138" s="42"/>
      <c r="N1138" s="42"/>
      <c r="O1138" s="42"/>
      <c r="P1138" s="42"/>
      <c r="Q1138" s="42"/>
      <c r="R1138" s="42"/>
      <c r="S1138" s="42"/>
      <c r="T1138" s="42"/>
      <c r="U1138" s="42"/>
      <c r="V1138" s="42"/>
      <c r="W1138" s="42"/>
      <c r="X1138" s="42"/>
      <c r="Y1138" s="42"/>
      <c r="Z1138" s="42"/>
      <c r="AA1138" s="42"/>
      <c r="AB1138" s="42"/>
      <c r="AC1138" s="42"/>
    </row>
    <row r="1139" spans="1:29" x14ac:dyDescent="0.25">
      <c r="A1139" s="42"/>
      <c r="B1139" s="35"/>
      <c r="C1139" s="35"/>
      <c r="D1139" s="41"/>
      <c r="E1139" s="41"/>
      <c r="F1139" s="40"/>
      <c r="G1139" s="35"/>
      <c r="H1139" s="41"/>
      <c r="I1139" s="42"/>
      <c r="J1139" s="42"/>
      <c r="K1139" s="42"/>
      <c r="L1139" s="42"/>
      <c r="M1139" s="42"/>
      <c r="N1139" s="42"/>
      <c r="O1139" s="42"/>
      <c r="P1139" s="42"/>
      <c r="Q1139" s="42"/>
      <c r="R1139" s="42"/>
      <c r="S1139" s="42"/>
      <c r="T1139" s="42"/>
      <c r="U1139" s="42"/>
      <c r="V1139" s="42"/>
      <c r="W1139" s="42"/>
      <c r="X1139" s="42"/>
      <c r="Y1139" s="42"/>
      <c r="Z1139" s="42"/>
      <c r="AA1139" s="42"/>
      <c r="AB1139" s="42"/>
      <c r="AC1139" s="42"/>
    </row>
    <row r="1140" spans="1:29" x14ac:dyDescent="0.25">
      <c r="A1140" s="42"/>
      <c r="B1140" s="35"/>
      <c r="C1140" s="35"/>
      <c r="D1140" s="41"/>
      <c r="E1140" s="41"/>
      <c r="F1140" s="40"/>
      <c r="G1140" s="35"/>
      <c r="H1140" s="41"/>
      <c r="I1140" s="42"/>
      <c r="J1140" s="42"/>
      <c r="K1140" s="42"/>
      <c r="L1140" s="42"/>
      <c r="M1140" s="42"/>
      <c r="N1140" s="42"/>
      <c r="O1140" s="42"/>
      <c r="P1140" s="42"/>
      <c r="Q1140" s="42"/>
      <c r="R1140" s="42"/>
      <c r="S1140" s="42"/>
      <c r="T1140" s="42"/>
      <c r="U1140" s="42"/>
      <c r="V1140" s="42"/>
      <c r="W1140" s="42"/>
      <c r="X1140" s="42"/>
      <c r="Y1140" s="42"/>
      <c r="Z1140" s="42"/>
      <c r="AA1140" s="42"/>
      <c r="AB1140" s="42"/>
      <c r="AC1140" s="42"/>
    </row>
    <row r="1141" spans="1:29" x14ac:dyDescent="0.25">
      <c r="A1141" s="42"/>
      <c r="B1141" s="35"/>
      <c r="C1141" s="35"/>
      <c r="D1141" s="41"/>
      <c r="E1141" s="41"/>
      <c r="F1141" s="40"/>
      <c r="G1141" s="35"/>
      <c r="H1141" s="41"/>
      <c r="I1141" s="42"/>
      <c r="J1141" s="42"/>
      <c r="K1141" s="42"/>
      <c r="L1141" s="42"/>
      <c r="M1141" s="42"/>
      <c r="N1141" s="42"/>
      <c r="O1141" s="42"/>
      <c r="P1141" s="42"/>
      <c r="Q1141" s="42"/>
      <c r="R1141" s="42"/>
      <c r="S1141" s="42"/>
      <c r="T1141" s="42"/>
      <c r="U1141" s="42"/>
      <c r="V1141" s="42"/>
      <c r="W1141" s="42"/>
      <c r="X1141" s="42"/>
      <c r="Y1141" s="42"/>
      <c r="Z1141" s="42"/>
      <c r="AA1141" s="42"/>
      <c r="AB1141" s="42"/>
      <c r="AC1141" s="42"/>
    </row>
    <row r="1142" spans="1:29" x14ac:dyDescent="0.25">
      <c r="A1142" s="42"/>
      <c r="B1142" s="35"/>
      <c r="C1142" s="35"/>
      <c r="D1142" s="41"/>
      <c r="E1142" s="41"/>
      <c r="F1142" s="40"/>
      <c r="G1142" s="35"/>
      <c r="H1142" s="41"/>
      <c r="I1142" s="42"/>
      <c r="J1142" s="42"/>
      <c r="K1142" s="42"/>
      <c r="L1142" s="42"/>
      <c r="M1142" s="42"/>
      <c r="N1142" s="42"/>
      <c r="O1142" s="42"/>
      <c r="P1142" s="42"/>
      <c r="Q1142" s="42"/>
      <c r="R1142" s="42"/>
      <c r="S1142" s="42"/>
      <c r="T1142" s="42"/>
      <c r="U1142" s="42"/>
      <c r="V1142" s="42"/>
      <c r="W1142" s="42"/>
      <c r="X1142" s="42"/>
      <c r="Y1142" s="42"/>
      <c r="Z1142" s="42"/>
      <c r="AA1142" s="42"/>
      <c r="AB1142" s="42"/>
      <c r="AC1142" s="42"/>
    </row>
    <row r="1143" spans="1:29" x14ac:dyDescent="0.25">
      <c r="A1143" s="42"/>
      <c r="B1143" s="35"/>
      <c r="C1143" s="35"/>
      <c r="D1143" s="41"/>
      <c r="E1143" s="41"/>
      <c r="F1143" s="40"/>
      <c r="G1143" s="35"/>
      <c r="H1143" s="41"/>
      <c r="I1143" s="42"/>
      <c r="J1143" s="42"/>
      <c r="K1143" s="42"/>
      <c r="L1143" s="42"/>
      <c r="M1143" s="42"/>
      <c r="N1143" s="42"/>
      <c r="O1143" s="42"/>
      <c r="P1143" s="42"/>
      <c r="Q1143" s="42"/>
      <c r="R1143" s="42"/>
      <c r="S1143" s="42"/>
      <c r="T1143" s="42"/>
      <c r="U1143" s="42"/>
      <c r="V1143" s="42"/>
      <c r="W1143" s="42"/>
      <c r="X1143" s="42"/>
      <c r="Y1143" s="42"/>
      <c r="Z1143" s="42"/>
      <c r="AA1143" s="42"/>
      <c r="AB1143" s="42"/>
      <c r="AC1143" s="42"/>
    </row>
    <row r="1144" spans="1:29" x14ac:dyDescent="0.25">
      <c r="A1144" s="42"/>
      <c r="B1144" s="35"/>
      <c r="C1144" s="35"/>
      <c r="D1144" s="41"/>
      <c r="E1144" s="41"/>
      <c r="F1144" s="40"/>
      <c r="G1144" s="35"/>
      <c r="H1144" s="41"/>
      <c r="I1144" s="42"/>
      <c r="J1144" s="42"/>
      <c r="K1144" s="42"/>
      <c r="L1144" s="42"/>
      <c r="M1144" s="42"/>
      <c r="N1144" s="42"/>
      <c r="O1144" s="42"/>
      <c r="P1144" s="42"/>
      <c r="Q1144" s="42"/>
      <c r="R1144" s="42"/>
      <c r="S1144" s="42"/>
      <c r="T1144" s="42"/>
      <c r="U1144" s="42"/>
      <c r="V1144" s="42"/>
      <c r="W1144" s="42"/>
      <c r="X1144" s="42"/>
      <c r="Y1144" s="42"/>
      <c r="Z1144" s="42"/>
      <c r="AA1144" s="42"/>
      <c r="AB1144" s="42"/>
      <c r="AC1144" s="42"/>
    </row>
    <row r="1145" spans="1:29" x14ac:dyDescent="0.25">
      <c r="A1145" s="42"/>
      <c r="B1145" s="35"/>
      <c r="C1145" s="35"/>
      <c r="D1145" s="41"/>
      <c r="E1145" s="41"/>
      <c r="F1145" s="40"/>
      <c r="G1145" s="35"/>
      <c r="H1145" s="41"/>
      <c r="I1145" s="42"/>
      <c r="J1145" s="42"/>
      <c r="K1145" s="42"/>
      <c r="L1145" s="42"/>
      <c r="M1145" s="42"/>
      <c r="N1145" s="42"/>
      <c r="O1145" s="42"/>
      <c r="P1145" s="42"/>
      <c r="Q1145" s="42"/>
      <c r="R1145" s="42"/>
      <c r="S1145" s="42"/>
      <c r="T1145" s="42"/>
      <c r="U1145" s="42"/>
      <c r="V1145" s="42"/>
      <c r="W1145" s="42"/>
      <c r="X1145" s="42"/>
      <c r="Y1145" s="42"/>
      <c r="Z1145" s="42"/>
      <c r="AA1145" s="42"/>
      <c r="AB1145" s="42"/>
      <c r="AC1145" s="42"/>
    </row>
    <row r="1146" spans="1:29" x14ac:dyDescent="0.25">
      <c r="A1146" s="42"/>
      <c r="B1146" s="35"/>
      <c r="C1146" s="35"/>
      <c r="D1146" s="41"/>
      <c r="E1146" s="41"/>
      <c r="F1146" s="40"/>
      <c r="G1146" s="35"/>
      <c r="H1146" s="41"/>
      <c r="I1146" s="42"/>
      <c r="J1146" s="42"/>
      <c r="K1146" s="42"/>
      <c r="L1146" s="42"/>
      <c r="M1146" s="42"/>
      <c r="N1146" s="42"/>
      <c r="O1146" s="42"/>
      <c r="P1146" s="42"/>
      <c r="Q1146" s="42"/>
      <c r="R1146" s="42"/>
      <c r="S1146" s="42"/>
      <c r="T1146" s="42"/>
      <c r="U1146" s="42"/>
      <c r="V1146" s="42"/>
      <c r="W1146" s="42"/>
      <c r="X1146" s="42"/>
      <c r="Y1146" s="42"/>
      <c r="Z1146" s="42"/>
      <c r="AA1146" s="42"/>
      <c r="AB1146" s="42"/>
      <c r="AC1146" s="42"/>
    </row>
    <row r="1147" spans="1:29" x14ac:dyDescent="0.25">
      <c r="A1147" s="42"/>
      <c r="B1147" s="35"/>
      <c r="C1147" s="35"/>
      <c r="D1147" s="41"/>
      <c r="E1147" s="41"/>
      <c r="F1147" s="40"/>
      <c r="G1147" s="35"/>
      <c r="H1147" s="41"/>
      <c r="I1147" s="42"/>
      <c r="J1147" s="42"/>
      <c r="K1147" s="42"/>
      <c r="L1147" s="42"/>
      <c r="M1147" s="42"/>
      <c r="N1147" s="42"/>
      <c r="O1147" s="42"/>
      <c r="P1147" s="42"/>
      <c r="Q1147" s="42"/>
      <c r="R1147" s="42"/>
      <c r="S1147" s="42"/>
      <c r="T1147" s="42"/>
      <c r="U1147" s="42"/>
      <c r="V1147" s="42"/>
      <c r="W1147" s="42"/>
      <c r="X1147" s="42"/>
      <c r="Y1147" s="42"/>
      <c r="Z1147" s="42"/>
      <c r="AA1147" s="42"/>
      <c r="AB1147" s="42"/>
      <c r="AC1147" s="42"/>
    </row>
    <row r="1148" spans="1:29" x14ac:dyDescent="0.25">
      <c r="A1148" s="42"/>
      <c r="B1148" s="35"/>
      <c r="C1148" s="35"/>
      <c r="D1148" s="41"/>
      <c r="E1148" s="41"/>
      <c r="F1148" s="40"/>
      <c r="G1148" s="35"/>
      <c r="H1148" s="41"/>
      <c r="I1148" s="42"/>
      <c r="J1148" s="42"/>
      <c r="K1148" s="42"/>
      <c r="L1148" s="42"/>
      <c r="M1148" s="42"/>
      <c r="N1148" s="42"/>
      <c r="O1148" s="42"/>
      <c r="P1148" s="42"/>
      <c r="Q1148" s="42"/>
      <c r="R1148" s="42"/>
      <c r="S1148" s="42"/>
      <c r="T1148" s="42"/>
      <c r="U1148" s="42"/>
      <c r="V1148" s="42"/>
      <c r="W1148" s="42"/>
      <c r="X1148" s="42"/>
      <c r="Y1148" s="42"/>
      <c r="Z1148" s="42"/>
      <c r="AA1148" s="42"/>
      <c r="AB1148" s="42"/>
      <c r="AC1148" s="42"/>
    </row>
    <row r="1149" spans="1:29" x14ac:dyDescent="0.25">
      <c r="A1149" s="42"/>
      <c r="B1149" s="35"/>
      <c r="C1149" s="35"/>
      <c r="D1149" s="41"/>
      <c r="E1149" s="41"/>
      <c r="F1149" s="40"/>
      <c r="G1149" s="35"/>
      <c r="H1149" s="41"/>
      <c r="I1149" s="42"/>
      <c r="J1149" s="42"/>
      <c r="K1149" s="42"/>
      <c r="L1149" s="42"/>
      <c r="M1149" s="42"/>
      <c r="N1149" s="42"/>
      <c r="O1149" s="42"/>
      <c r="P1149" s="42"/>
      <c r="Q1149" s="42"/>
      <c r="R1149" s="42"/>
      <c r="S1149" s="42"/>
      <c r="T1149" s="42"/>
      <c r="U1149" s="42"/>
      <c r="V1149" s="42"/>
      <c r="W1149" s="42"/>
      <c r="X1149" s="42"/>
      <c r="Y1149" s="42"/>
      <c r="Z1149" s="42"/>
      <c r="AA1149" s="42"/>
      <c r="AB1149" s="42"/>
      <c r="AC1149" s="42"/>
    </row>
    <row r="1150" spans="1:29" x14ac:dyDescent="0.25">
      <c r="A1150" s="42"/>
      <c r="B1150" s="35"/>
      <c r="C1150" s="35"/>
      <c r="D1150" s="41"/>
      <c r="E1150" s="41"/>
      <c r="F1150" s="40"/>
      <c r="G1150" s="35"/>
      <c r="H1150" s="41"/>
      <c r="I1150" s="42"/>
      <c r="J1150" s="42"/>
      <c r="K1150" s="42"/>
      <c r="L1150" s="42"/>
      <c r="M1150" s="42"/>
      <c r="N1150" s="42"/>
      <c r="O1150" s="42"/>
      <c r="P1150" s="42"/>
      <c r="Q1150" s="42"/>
      <c r="R1150" s="42"/>
      <c r="S1150" s="42"/>
      <c r="T1150" s="42"/>
      <c r="U1150" s="42"/>
      <c r="V1150" s="42"/>
      <c r="W1150" s="42"/>
      <c r="X1150" s="42"/>
      <c r="Y1150" s="42"/>
      <c r="Z1150" s="42"/>
      <c r="AA1150" s="42"/>
      <c r="AB1150" s="42"/>
      <c r="AC1150" s="42"/>
    </row>
    <row r="1151" spans="1:29" x14ac:dyDescent="0.25">
      <c r="A1151" s="42"/>
      <c r="B1151" s="35"/>
      <c r="C1151" s="35"/>
      <c r="D1151" s="41"/>
      <c r="E1151" s="41"/>
      <c r="F1151" s="40"/>
      <c r="G1151" s="35"/>
      <c r="H1151" s="41"/>
      <c r="I1151" s="42"/>
      <c r="J1151" s="42"/>
      <c r="K1151" s="42"/>
      <c r="L1151" s="42"/>
      <c r="M1151" s="42"/>
      <c r="N1151" s="42"/>
      <c r="O1151" s="42"/>
      <c r="P1151" s="42"/>
      <c r="Q1151" s="42"/>
      <c r="R1151" s="42"/>
      <c r="S1151" s="42"/>
      <c r="T1151" s="42"/>
      <c r="U1151" s="42"/>
      <c r="V1151" s="42"/>
      <c r="W1151" s="42"/>
      <c r="X1151" s="42"/>
      <c r="Y1151" s="42"/>
      <c r="Z1151" s="42"/>
      <c r="AA1151" s="42"/>
      <c r="AB1151" s="42"/>
      <c r="AC1151" s="42"/>
    </row>
    <row r="1152" spans="1:29" x14ac:dyDescent="0.25">
      <c r="A1152" s="42"/>
      <c r="B1152" s="35"/>
      <c r="C1152" s="35"/>
      <c r="D1152" s="41"/>
      <c r="E1152" s="41"/>
      <c r="F1152" s="40"/>
      <c r="G1152" s="35"/>
      <c r="H1152" s="41"/>
      <c r="I1152" s="42"/>
      <c r="J1152" s="42"/>
      <c r="K1152" s="42"/>
      <c r="L1152" s="42"/>
      <c r="M1152" s="42"/>
      <c r="N1152" s="42"/>
      <c r="O1152" s="42"/>
      <c r="P1152" s="42"/>
      <c r="Q1152" s="42"/>
      <c r="R1152" s="42"/>
      <c r="S1152" s="42"/>
      <c r="T1152" s="42"/>
      <c r="U1152" s="42"/>
      <c r="V1152" s="42"/>
      <c r="W1152" s="42"/>
      <c r="X1152" s="42"/>
      <c r="Y1152" s="42"/>
      <c r="Z1152" s="42"/>
      <c r="AA1152" s="42"/>
      <c r="AB1152" s="42"/>
      <c r="AC1152" s="42"/>
    </row>
    <row r="1153" spans="1:29" x14ac:dyDescent="0.25">
      <c r="A1153" s="42"/>
      <c r="B1153" s="35"/>
      <c r="C1153" s="35"/>
      <c r="D1153" s="41"/>
      <c r="E1153" s="41"/>
      <c r="F1153" s="40"/>
      <c r="G1153" s="35"/>
      <c r="H1153" s="41"/>
      <c r="I1153" s="42"/>
      <c r="J1153" s="42"/>
      <c r="K1153" s="42"/>
      <c r="L1153" s="42"/>
      <c r="M1153" s="42"/>
      <c r="N1153" s="42"/>
      <c r="O1153" s="42"/>
      <c r="P1153" s="42"/>
      <c r="Q1153" s="42"/>
      <c r="R1153" s="42"/>
      <c r="S1153" s="42"/>
      <c r="T1153" s="42"/>
      <c r="U1153" s="42"/>
      <c r="V1153" s="42"/>
      <c r="W1153" s="42"/>
      <c r="X1153" s="42"/>
      <c r="Y1153" s="42"/>
      <c r="Z1153" s="42"/>
      <c r="AA1153" s="42"/>
      <c r="AB1153" s="42"/>
      <c r="AC1153" s="42"/>
    </row>
    <row r="1154" spans="1:29" x14ac:dyDescent="0.25">
      <c r="A1154" s="42"/>
      <c r="B1154" s="35"/>
      <c r="C1154" s="35"/>
      <c r="D1154" s="41"/>
      <c r="E1154" s="41"/>
      <c r="F1154" s="40"/>
      <c r="G1154" s="35"/>
      <c r="H1154" s="41"/>
      <c r="I1154" s="42"/>
      <c r="J1154" s="42"/>
      <c r="K1154" s="42"/>
      <c r="L1154" s="42"/>
      <c r="M1154" s="42"/>
      <c r="N1154" s="42"/>
      <c r="O1154" s="42"/>
      <c r="P1154" s="42"/>
      <c r="Q1154" s="42"/>
      <c r="R1154" s="42"/>
      <c r="S1154" s="42"/>
      <c r="T1154" s="42"/>
      <c r="U1154" s="42"/>
      <c r="V1154" s="42"/>
      <c r="W1154" s="42"/>
      <c r="X1154" s="42"/>
      <c r="Y1154" s="42"/>
      <c r="Z1154" s="42"/>
      <c r="AA1154" s="42"/>
      <c r="AB1154" s="42"/>
      <c r="AC1154" s="42"/>
    </row>
    <row r="1155" spans="1:29" x14ac:dyDescent="0.25">
      <c r="A1155" s="42"/>
      <c r="B1155" s="35"/>
      <c r="C1155" s="35"/>
      <c r="D1155" s="41"/>
      <c r="E1155" s="41"/>
      <c r="F1155" s="40"/>
      <c r="G1155" s="35"/>
      <c r="H1155" s="41"/>
      <c r="I1155" s="42"/>
      <c r="J1155" s="42"/>
      <c r="K1155" s="42"/>
      <c r="L1155" s="42"/>
      <c r="M1155" s="42"/>
      <c r="N1155" s="42"/>
      <c r="O1155" s="42"/>
      <c r="P1155" s="42"/>
      <c r="Q1155" s="42"/>
      <c r="R1155" s="42"/>
      <c r="S1155" s="42"/>
      <c r="T1155" s="42"/>
      <c r="U1155" s="42"/>
      <c r="V1155" s="42"/>
      <c r="W1155" s="42"/>
      <c r="X1155" s="42"/>
      <c r="Y1155" s="42"/>
      <c r="Z1155" s="42"/>
      <c r="AA1155" s="42"/>
      <c r="AB1155" s="42"/>
      <c r="AC1155" s="42"/>
    </row>
    <row r="1156" spans="1:29" x14ac:dyDescent="0.25">
      <c r="A1156" s="42"/>
      <c r="B1156" s="35"/>
      <c r="C1156" s="35"/>
      <c r="D1156" s="41"/>
      <c r="E1156" s="41"/>
      <c r="F1156" s="40"/>
      <c r="G1156" s="35"/>
      <c r="H1156" s="41"/>
      <c r="I1156" s="42"/>
      <c r="J1156" s="42"/>
      <c r="K1156" s="42"/>
      <c r="L1156" s="42"/>
      <c r="M1156" s="42"/>
      <c r="N1156" s="42"/>
      <c r="O1156" s="42"/>
      <c r="P1156" s="42"/>
      <c r="Q1156" s="42"/>
      <c r="R1156" s="42"/>
      <c r="S1156" s="42"/>
      <c r="T1156" s="42"/>
      <c r="U1156" s="42"/>
      <c r="V1156" s="42"/>
      <c r="W1156" s="42"/>
      <c r="X1156" s="42"/>
      <c r="Y1156" s="42"/>
      <c r="Z1156" s="42"/>
      <c r="AA1156" s="42"/>
      <c r="AB1156" s="42"/>
      <c r="AC1156" s="42"/>
    </row>
    <row r="1157" spans="1:29" x14ac:dyDescent="0.25">
      <c r="A1157" s="42"/>
      <c r="B1157" s="35"/>
      <c r="C1157" s="35"/>
      <c r="D1157" s="41"/>
      <c r="E1157" s="41"/>
      <c r="F1157" s="40"/>
      <c r="G1157" s="35"/>
      <c r="H1157" s="41"/>
      <c r="I1157" s="42"/>
      <c r="J1157" s="42"/>
      <c r="K1157" s="42"/>
      <c r="L1157" s="42"/>
      <c r="M1157" s="42"/>
      <c r="N1157" s="42"/>
      <c r="O1157" s="42"/>
      <c r="P1157" s="42"/>
      <c r="Q1157" s="42"/>
      <c r="R1157" s="42"/>
      <c r="S1157" s="42"/>
      <c r="T1157" s="42"/>
      <c r="U1157" s="42"/>
      <c r="V1157" s="42"/>
      <c r="W1157" s="42"/>
      <c r="X1157" s="42"/>
      <c r="Y1157" s="42"/>
      <c r="Z1157" s="42"/>
      <c r="AA1157" s="42"/>
      <c r="AB1157" s="42"/>
      <c r="AC1157" s="42"/>
    </row>
    <row r="1158" spans="1:29" x14ac:dyDescent="0.25">
      <c r="A1158" s="42"/>
      <c r="B1158" s="35"/>
      <c r="C1158" s="35"/>
      <c r="D1158" s="41"/>
      <c r="E1158" s="41"/>
      <c r="F1158" s="40"/>
      <c r="G1158" s="35"/>
      <c r="H1158" s="41"/>
      <c r="I1158" s="42"/>
      <c r="J1158" s="42"/>
      <c r="K1158" s="42"/>
      <c r="L1158" s="42"/>
      <c r="M1158" s="42"/>
      <c r="N1158" s="42"/>
      <c r="O1158" s="42"/>
      <c r="P1158" s="42"/>
      <c r="Q1158" s="42"/>
      <c r="R1158" s="42"/>
      <c r="S1158" s="42"/>
      <c r="T1158" s="42"/>
      <c r="U1158" s="42"/>
      <c r="V1158" s="42"/>
      <c r="W1158" s="42"/>
      <c r="X1158" s="42"/>
      <c r="Y1158" s="42"/>
      <c r="Z1158" s="42"/>
      <c r="AA1158" s="42"/>
      <c r="AB1158" s="42"/>
      <c r="AC1158" s="42"/>
    </row>
    <row r="1159" spans="1:29" x14ac:dyDescent="0.25">
      <c r="A1159" s="42"/>
      <c r="B1159" s="35"/>
      <c r="C1159" s="35"/>
      <c r="D1159" s="41"/>
      <c r="E1159" s="41"/>
      <c r="F1159" s="40"/>
      <c r="G1159" s="35"/>
      <c r="H1159" s="41"/>
      <c r="I1159" s="42"/>
      <c r="J1159" s="42"/>
      <c r="K1159" s="42"/>
      <c r="L1159" s="42"/>
      <c r="M1159" s="42"/>
      <c r="N1159" s="42"/>
      <c r="O1159" s="42"/>
      <c r="P1159" s="42"/>
      <c r="Q1159" s="42"/>
      <c r="R1159" s="42"/>
      <c r="S1159" s="42"/>
      <c r="T1159" s="42"/>
      <c r="U1159" s="42"/>
      <c r="V1159" s="42"/>
      <c r="W1159" s="42"/>
      <c r="X1159" s="42"/>
      <c r="Y1159" s="42"/>
      <c r="Z1159" s="42"/>
      <c r="AA1159" s="42"/>
      <c r="AB1159" s="42"/>
      <c r="AC1159" s="42"/>
    </row>
    <row r="1160" spans="1:29" x14ac:dyDescent="0.25">
      <c r="A1160" s="42"/>
      <c r="B1160" s="35"/>
      <c r="C1160" s="35"/>
      <c r="D1160" s="41"/>
      <c r="E1160" s="41"/>
      <c r="F1160" s="40"/>
      <c r="G1160" s="35"/>
      <c r="H1160" s="41"/>
      <c r="I1160" s="42"/>
      <c r="J1160" s="42"/>
      <c r="K1160" s="42"/>
      <c r="L1160" s="42"/>
      <c r="M1160" s="42"/>
      <c r="N1160" s="42"/>
      <c r="O1160" s="42"/>
      <c r="P1160" s="42"/>
      <c r="Q1160" s="42"/>
      <c r="R1160" s="42"/>
      <c r="S1160" s="42"/>
      <c r="T1160" s="42"/>
      <c r="U1160" s="42"/>
      <c r="V1160" s="42"/>
      <c r="W1160" s="42"/>
      <c r="X1160" s="42"/>
      <c r="Y1160" s="42"/>
      <c r="Z1160" s="42"/>
      <c r="AA1160" s="42"/>
      <c r="AB1160" s="42"/>
      <c r="AC1160" s="42"/>
    </row>
    <row r="1161" spans="1:29" x14ac:dyDescent="0.25">
      <c r="A1161" s="42"/>
      <c r="B1161" s="35"/>
      <c r="C1161" s="35"/>
      <c r="D1161" s="41"/>
      <c r="E1161" s="41"/>
      <c r="F1161" s="40"/>
      <c r="G1161" s="35"/>
      <c r="H1161" s="41"/>
      <c r="I1161" s="42"/>
      <c r="J1161" s="42"/>
      <c r="K1161" s="42"/>
      <c r="L1161" s="42"/>
      <c r="M1161" s="42"/>
      <c r="N1161" s="42"/>
      <c r="O1161" s="42"/>
      <c r="P1161" s="42"/>
      <c r="Q1161" s="42"/>
      <c r="R1161" s="42"/>
      <c r="S1161" s="42"/>
      <c r="T1161" s="42"/>
      <c r="U1161" s="42"/>
      <c r="V1161" s="42"/>
      <c r="W1161" s="42"/>
      <c r="X1161" s="42"/>
      <c r="Y1161" s="42"/>
      <c r="Z1161" s="42"/>
      <c r="AA1161" s="42"/>
      <c r="AB1161" s="42"/>
      <c r="AC1161" s="42"/>
    </row>
    <row r="1162" spans="1:29" x14ac:dyDescent="0.25">
      <c r="A1162" s="42"/>
      <c r="B1162" s="35"/>
      <c r="C1162" s="35"/>
      <c r="D1162" s="41"/>
      <c r="E1162" s="41"/>
      <c r="F1162" s="40"/>
      <c r="G1162" s="35"/>
      <c r="H1162" s="41"/>
      <c r="I1162" s="42"/>
      <c r="J1162" s="42"/>
      <c r="K1162" s="42"/>
      <c r="L1162" s="42"/>
      <c r="M1162" s="42"/>
      <c r="N1162" s="42"/>
      <c r="O1162" s="42"/>
      <c r="P1162" s="42"/>
      <c r="Q1162" s="42"/>
      <c r="R1162" s="42"/>
      <c r="S1162" s="42"/>
      <c r="T1162" s="42"/>
      <c r="U1162" s="42"/>
      <c r="V1162" s="42"/>
      <c r="W1162" s="42"/>
      <c r="X1162" s="42"/>
      <c r="Y1162" s="42"/>
      <c r="Z1162" s="42"/>
      <c r="AA1162" s="42"/>
      <c r="AB1162" s="42"/>
      <c r="AC1162" s="42"/>
    </row>
    <row r="1163" spans="1:29" x14ac:dyDescent="0.25">
      <c r="A1163" s="42"/>
      <c r="B1163" s="35"/>
      <c r="C1163" s="35"/>
      <c r="D1163" s="41"/>
      <c r="E1163" s="41"/>
      <c r="F1163" s="40"/>
      <c r="G1163" s="35"/>
      <c r="H1163" s="41"/>
      <c r="I1163" s="42"/>
      <c r="J1163" s="42"/>
      <c r="K1163" s="42"/>
      <c r="L1163" s="42"/>
      <c r="M1163" s="42"/>
      <c r="N1163" s="42"/>
      <c r="O1163" s="42"/>
      <c r="P1163" s="42"/>
      <c r="Q1163" s="42"/>
      <c r="R1163" s="42"/>
      <c r="S1163" s="42"/>
      <c r="T1163" s="42"/>
      <c r="U1163" s="42"/>
      <c r="V1163" s="42"/>
      <c r="W1163" s="42"/>
      <c r="X1163" s="42"/>
      <c r="Y1163" s="42"/>
      <c r="Z1163" s="42"/>
      <c r="AA1163" s="42"/>
      <c r="AB1163" s="42"/>
      <c r="AC1163" s="42"/>
    </row>
    <row r="1164" spans="1:29" x14ac:dyDescent="0.25">
      <c r="A1164" s="42"/>
      <c r="B1164" s="35"/>
      <c r="C1164" s="35"/>
      <c r="D1164" s="41"/>
      <c r="E1164" s="41"/>
      <c r="F1164" s="40"/>
      <c r="G1164" s="35"/>
      <c r="H1164" s="41"/>
      <c r="I1164" s="42"/>
      <c r="J1164" s="42"/>
      <c r="K1164" s="42"/>
      <c r="L1164" s="42"/>
      <c r="M1164" s="42"/>
      <c r="N1164" s="42"/>
      <c r="O1164" s="42"/>
      <c r="P1164" s="42"/>
      <c r="Q1164" s="42"/>
      <c r="R1164" s="42"/>
      <c r="S1164" s="42"/>
      <c r="T1164" s="42"/>
      <c r="U1164" s="42"/>
      <c r="V1164" s="42"/>
      <c r="W1164" s="42"/>
      <c r="X1164" s="42"/>
      <c r="Y1164" s="42"/>
      <c r="Z1164" s="42"/>
      <c r="AA1164" s="42"/>
      <c r="AB1164" s="42"/>
      <c r="AC1164" s="42"/>
    </row>
    <row r="1165" spans="1:29" x14ac:dyDescent="0.25">
      <c r="A1165" s="42"/>
      <c r="B1165" s="35"/>
      <c r="C1165" s="35"/>
      <c r="D1165" s="41"/>
      <c r="E1165" s="41"/>
      <c r="F1165" s="40"/>
      <c r="G1165" s="35"/>
      <c r="H1165" s="41"/>
      <c r="I1165" s="42"/>
      <c r="J1165" s="42"/>
      <c r="K1165" s="42"/>
      <c r="L1165" s="42"/>
      <c r="M1165" s="42"/>
      <c r="N1165" s="42"/>
      <c r="O1165" s="42"/>
      <c r="P1165" s="42"/>
      <c r="Q1165" s="42"/>
      <c r="R1165" s="42"/>
      <c r="S1165" s="42"/>
      <c r="T1165" s="42"/>
      <c r="U1165" s="42"/>
      <c r="V1165" s="42"/>
      <c r="W1165" s="42"/>
      <c r="X1165" s="42"/>
      <c r="Y1165" s="42"/>
      <c r="Z1165" s="42"/>
      <c r="AA1165" s="42"/>
      <c r="AB1165" s="42"/>
      <c r="AC1165" s="42"/>
    </row>
    <row r="1166" spans="1:29" x14ac:dyDescent="0.25">
      <c r="A1166" s="42"/>
      <c r="B1166" s="35"/>
      <c r="C1166" s="35"/>
      <c r="D1166" s="41"/>
      <c r="E1166" s="41"/>
      <c r="F1166" s="40"/>
      <c r="G1166" s="35"/>
      <c r="H1166" s="41"/>
      <c r="I1166" s="42"/>
      <c r="J1166" s="42"/>
      <c r="K1166" s="42"/>
      <c r="L1166" s="42"/>
      <c r="M1166" s="42"/>
      <c r="N1166" s="42"/>
      <c r="O1166" s="42"/>
      <c r="P1166" s="42"/>
      <c r="Q1166" s="42"/>
      <c r="R1166" s="42"/>
      <c r="S1166" s="42"/>
      <c r="T1166" s="42"/>
      <c r="U1166" s="42"/>
      <c r="V1166" s="42"/>
      <c r="W1166" s="42"/>
      <c r="X1166" s="42"/>
      <c r="Y1166" s="42"/>
      <c r="Z1166" s="42"/>
      <c r="AA1166" s="42"/>
      <c r="AB1166" s="42"/>
      <c r="AC1166" s="42"/>
    </row>
    <row r="1167" spans="1:29" x14ac:dyDescent="0.25">
      <c r="A1167" s="42"/>
      <c r="B1167" s="35"/>
      <c r="C1167" s="35"/>
      <c r="D1167" s="41"/>
      <c r="E1167" s="41"/>
      <c r="F1167" s="40"/>
      <c r="G1167" s="35"/>
      <c r="H1167" s="41"/>
      <c r="I1167" s="42"/>
      <c r="J1167" s="42"/>
      <c r="K1167" s="42"/>
      <c r="L1167" s="42"/>
      <c r="M1167" s="42"/>
      <c r="N1167" s="42"/>
      <c r="O1167" s="42"/>
      <c r="P1167" s="42"/>
      <c r="Q1167" s="42"/>
      <c r="R1167" s="42"/>
      <c r="S1167" s="42"/>
      <c r="T1167" s="42"/>
      <c r="U1167" s="42"/>
      <c r="V1167" s="42"/>
      <c r="W1167" s="42"/>
      <c r="X1167" s="42"/>
      <c r="Y1167" s="42"/>
      <c r="Z1167" s="42"/>
      <c r="AA1167" s="42"/>
      <c r="AB1167" s="42"/>
      <c r="AC1167" s="42"/>
    </row>
    <row r="1168" spans="1:29" x14ac:dyDescent="0.25">
      <c r="A1168" s="42"/>
      <c r="B1168" s="35"/>
      <c r="C1168" s="35"/>
      <c r="D1168" s="41"/>
      <c r="E1168" s="41"/>
      <c r="F1168" s="40"/>
      <c r="G1168" s="35"/>
      <c r="H1168" s="41"/>
      <c r="I1168" s="42"/>
      <c r="J1168" s="42"/>
      <c r="K1168" s="42"/>
      <c r="L1168" s="42"/>
      <c r="M1168" s="42"/>
      <c r="N1168" s="42"/>
      <c r="O1168" s="42"/>
      <c r="P1168" s="42"/>
      <c r="Q1168" s="42"/>
      <c r="R1168" s="42"/>
      <c r="S1168" s="42"/>
      <c r="T1168" s="42"/>
      <c r="U1168" s="42"/>
      <c r="V1168" s="42"/>
      <c r="W1168" s="42"/>
      <c r="X1168" s="42"/>
      <c r="Y1168" s="42"/>
      <c r="Z1168" s="42"/>
      <c r="AA1168" s="42"/>
      <c r="AB1168" s="42"/>
      <c r="AC1168" s="42"/>
    </row>
    <row r="1169" spans="1:29" x14ac:dyDescent="0.25">
      <c r="A1169" s="42"/>
      <c r="B1169" s="35"/>
      <c r="C1169" s="35"/>
      <c r="D1169" s="41"/>
      <c r="E1169" s="41"/>
      <c r="F1169" s="40"/>
      <c r="G1169" s="35"/>
      <c r="H1169" s="41"/>
      <c r="I1169" s="42"/>
      <c r="J1169" s="42"/>
      <c r="K1169" s="42"/>
      <c r="L1169" s="42"/>
      <c r="M1169" s="42"/>
      <c r="N1169" s="42"/>
      <c r="O1169" s="42"/>
      <c r="P1169" s="42"/>
      <c r="Q1169" s="42"/>
      <c r="R1169" s="42"/>
      <c r="S1169" s="42"/>
      <c r="T1169" s="42"/>
      <c r="U1169" s="42"/>
      <c r="V1169" s="42"/>
      <c r="W1169" s="42"/>
      <c r="X1169" s="42"/>
      <c r="Y1169" s="42"/>
      <c r="Z1169" s="42"/>
      <c r="AA1169" s="42"/>
      <c r="AB1169" s="42"/>
      <c r="AC1169" s="42"/>
    </row>
    <row r="1170" spans="1:29" x14ac:dyDescent="0.25">
      <c r="A1170" s="42"/>
      <c r="B1170" s="35"/>
      <c r="C1170" s="35"/>
      <c r="D1170" s="41"/>
      <c r="E1170" s="41"/>
      <c r="F1170" s="40"/>
      <c r="G1170" s="35"/>
      <c r="H1170" s="41"/>
      <c r="I1170" s="42"/>
      <c r="J1170" s="42"/>
      <c r="K1170" s="42"/>
      <c r="L1170" s="42"/>
      <c r="M1170" s="42"/>
      <c r="N1170" s="42"/>
      <c r="O1170" s="42"/>
      <c r="P1170" s="42"/>
      <c r="Q1170" s="42"/>
      <c r="R1170" s="42"/>
      <c r="S1170" s="42"/>
      <c r="T1170" s="42"/>
      <c r="U1170" s="42"/>
      <c r="V1170" s="42"/>
      <c r="W1170" s="42"/>
      <c r="X1170" s="42"/>
      <c r="Y1170" s="42"/>
      <c r="Z1170" s="42"/>
      <c r="AA1170" s="42"/>
      <c r="AB1170" s="42"/>
      <c r="AC1170" s="42"/>
    </row>
    <row r="1171" spans="1:29" x14ac:dyDescent="0.25">
      <c r="A1171" s="42"/>
      <c r="B1171" s="35"/>
      <c r="C1171" s="35"/>
      <c r="D1171" s="41"/>
      <c r="E1171" s="41"/>
      <c r="F1171" s="40"/>
      <c r="G1171" s="35"/>
      <c r="H1171" s="41"/>
      <c r="I1171" s="42"/>
      <c r="J1171" s="42"/>
      <c r="K1171" s="42"/>
      <c r="L1171" s="42"/>
      <c r="M1171" s="42"/>
      <c r="N1171" s="42"/>
      <c r="O1171" s="42"/>
      <c r="P1171" s="42"/>
      <c r="Q1171" s="42"/>
      <c r="R1171" s="42"/>
      <c r="S1171" s="42"/>
      <c r="T1171" s="42"/>
      <c r="U1171" s="42"/>
      <c r="V1171" s="42"/>
      <c r="W1171" s="42"/>
      <c r="X1171" s="42"/>
      <c r="Y1171" s="42"/>
      <c r="Z1171" s="42"/>
      <c r="AA1171" s="42"/>
      <c r="AB1171" s="42"/>
      <c r="AC1171" s="42"/>
    </row>
    <row r="1172" spans="1:29" x14ac:dyDescent="0.25">
      <c r="A1172" s="42"/>
      <c r="B1172" s="35"/>
      <c r="C1172" s="35"/>
      <c r="D1172" s="41"/>
      <c r="E1172" s="41"/>
      <c r="F1172" s="40"/>
      <c r="G1172" s="35"/>
      <c r="H1172" s="41"/>
      <c r="I1172" s="42"/>
      <c r="J1172" s="42"/>
      <c r="K1172" s="42"/>
      <c r="L1172" s="42"/>
      <c r="M1172" s="42"/>
      <c r="N1172" s="42"/>
      <c r="O1172" s="42"/>
      <c r="P1172" s="42"/>
      <c r="Q1172" s="42"/>
      <c r="R1172" s="42"/>
      <c r="S1172" s="42"/>
      <c r="T1172" s="42"/>
      <c r="U1172" s="42"/>
      <c r="V1172" s="42"/>
      <c r="W1172" s="42"/>
      <c r="X1172" s="42"/>
      <c r="Y1172" s="42"/>
      <c r="Z1172" s="42"/>
      <c r="AA1172" s="42"/>
      <c r="AB1172" s="42"/>
      <c r="AC1172" s="42"/>
    </row>
    <row r="1173" spans="1:29" x14ac:dyDescent="0.25">
      <c r="A1173" s="42"/>
      <c r="B1173" s="35"/>
      <c r="C1173" s="35"/>
      <c r="D1173" s="41"/>
      <c r="E1173" s="41"/>
      <c r="F1173" s="40"/>
      <c r="G1173" s="35"/>
      <c r="H1173" s="41"/>
      <c r="I1173" s="42"/>
      <c r="J1173" s="42"/>
      <c r="K1173" s="42"/>
      <c r="L1173" s="42"/>
      <c r="M1173" s="42"/>
      <c r="N1173" s="42"/>
      <c r="O1173" s="42"/>
      <c r="P1173" s="42"/>
      <c r="Q1173" s="42"/>
      <c r="R1173" s="42"/>
      <c r="S1173" s="42"/>
      <c r="T1173" s="42"/>
      <c r="U1173" s="42"/>
      <c r="V1173" s="42"/>
      <c r="W1173" s="42"/>
      <c r="X1173" s="42"/>
      <c r="Y1173" s="42"/>
      <c r="Z1173" s="42"/>
      <c r="AA1173" s="42"/>
      <c r="AB1173" s="42"/>
      <c r="AC1173" s="42"/>
    </row>
    <row r="1174" spans="1:29" x14ac:dyDescent="0.25">
      <c r="A1174" s="42"/>
      <c r="B1174" s="35"/>
      <c r="C1174" s="35"/>
      <c r="D1174" s="41"/>
      <c r="E1174" s="41"/>
      <c r="F1174" s="40"/>
      <c r="G1174" s="35"/>
      <c r="H1174" s="41"/>
      <c r="I1174" s="42"/>
      <c r="J1174" s="42"/>
      <c r="K1174" s="42"/>
      <c r="L1174" s="42"/>
      <c r="M1174" s="42"/>
      <c r="N1174" s="42"/>
      <c r="O1174" s="42"/>
      <c r="P1174" s="42"/>
      <c r="Q1174" s="42"/>
      <c r="R1174" s="42"/>
      <c r="S1174" s="42"/>
      <c r="T1174" s="42"/>
      <c r="U1174" s="42"/>
      <c r="V1174" s="42"/>
      <c r="W1174" s="42"/>
      <c r="X1174" s="42"/>
      <c r="Y1174" s="42"/>
      <c r="Z1174" s="42"/>
      <c r="AA1174" s="42"/>
      <c r="AB1174" s="42"/>
      <c r="AC1174" s="42"/>
    </row>
    <row r="1175" spans="1:29" x14ac:dyDescent="0.25">
      <c r="A1175" s="42"/>
      <c r="B1175" s="35"/>
      <c r="C1175" s="35"/>
      <c r="D1175" s="41"/>
      <c r="E1175" s="41"/>
      <c r="F1175" s="40"/>
      <c r="G1175" s="35"/>
      <c r="H1175" s="41"/>
      <c r="I1175" s="42"/>
      <c r="J1175" s="42"/>
      <c r="K1175" s="42"/>
      <c r="L1175" s="42"/>
      <c r="M1175" s="42"/>
      <c r="N1175" s="42"/>
      <c r="O1175" s="42"/>
      <c r="P1175" s="42"/>
      <c r="Q1175" s="42"/>
      <c r="R1175" s="42"/>
      <c r="S1175" s="42"/>
      <c r="T1175" s="42"/>
      <c r="U1175" s="42"/>
      <c r="V1175" s="42"/>
      <c r="W1175" s="42"/>
      <c r="X1175" s="42"/>
      <c r="Y1175" s="42"/>
      <c r="Z1175" s="42"/>
      <c r="AA1175" s="42"/>
      <c r="AB1175" s="42"/>
      <c r="AC1175" s="42"/>
    </row>
    <row r="1176" spans="1:29" x14ac:dyDescent="0.25">
      <c r="A1176" s="42"/>
      <c r="B1176" s="35"/>
      <c r="C1176" s="35"/>
      <c r="D1176" s="41"/>
      <c r="E1176" s="41"/>
      <c r="F1176" s="40"/>
      <c r="G1176" s="35"/>
      <c r="H1176" s="41"/>
      <c r="I1176" s="42"/>
      <c r="J1176" s="42"/>
      <c r="K1176" s="42"/>
      <c r="L1176" s="42"/>
      <c r="M1176" s="42"/>
      <c r="N1176" s="42"/>
      <c r="O1176" s="42"/>
      <c r="P1176" s="42"/>
      <c r="Q1176" s="42"/>
      <c r="R1176" s="42"/>
      <c r="S1176" s="42"/>
      <c r="T1176" s="42"/>
      <c r="U1176" s="42"/>
      <c r="V1176" s="42"/>
      <c r="W1176" s="42"/>
      <c r="X1176" s="42"/>
      <c r="Y1176" s="42"/>
      <c r="Z1176" s="42"/>
      <c r="AA1176" s="42"/>
      <c r="AB1176" s="42"/>
      <c r="AC1176" s="42"/>
    </row>
    <row r="1177" spans="1:29" x14ac:dyDescent="0.25">
      <c r="A1177" s="42"/>
      <c r="B1177" s="35"/>
      <c r="C1177" s="35"/>
      <c r="D1177" s="41"/>
      <c r="E1177" s="41"/>
      <c r="F1177" s="40"/>
      <c r="G1177" s="35"/>
      <c r="H1177" s="41"/>
      <c r="I1177" s="42"/>
      <c r="J1177" s="42"/>
      <c r="K1177" s="42"/>
      <c r="L1177" s="42"/>
      <c r="M1177" s="42"/>
      <c r="N1177" s="42"/>
      <c r="O1177" s="42"/>
      <c r="P1177" s="42"/>
      <c r="Q1177" s="42"/>
      <c r="R1177" s="42"/>
      <c r="S1177" s="42"/>
      <c r="T1177" s="42"/>
      <c r="U1177" s="42"/>
      <c r="V1177" s="42"/>
      <c r="W1177" s="42"/>
      <c r="X1177" s="42"/>
      <c r="Y1177" s="42"/>
      <c r="Z1177" s="42"/>
      <c r="AA1177" s="42"/>
      <c r="AB1177" s="42"/>
      <c r="AC1177" s="42"/>
    </row>
    <row r="1178" spans="1:29" x14ac:dyDescent="0.25">
      <c r="A1178" s="42"/>
      <c r="B1178" s="35"/>
      <c r="C1178" s="35"/>
      <c r="D1178" s="41"/>
      <c r="E1178" s="41"/>
      <c r="F1178" s="40"/>
      <c r="G1178" s="35"/>
      <c r="H1178" s="41"/>
      <c r="I1178" s="42"/>
      <c r="J1178" s="42"/>
      <c r="K1178" s="42"/>
      <c r="L1178" s="42"/>
      <c r="M1178" s="42"/>
      <c r="N1178" s="42"/>
      <c r="O1178" s="42"/>
      <c r="P1178" s="42"/>
      <c r="Q1178" s="42"/>
      <c r="R1178" s="42"/>
      <c r="S1178" s="42"/>
      <c r="T1178" s="42"/>
      <c r="U1178" s="42"/>
      <c r="V1178" s="42"/>
      <c r="W1178" s="42"/>
      <c r="X1178" s="42"/>
      <c r="Y1178" s="42"/>
      <c r="Z1178" s="42"/>
      <c r="AA1178" s="42"/>
      <c r="AB1178" s="42"/>
      <c r="AC1178" s="42"/>
    </row>
    <row r="1179" spans="1:29" x14ac:dyDescent="0.25">
      <c r="A1179" s="42"/>
      <c r="B1179" s="35"/>
      <c r="C1179" s="35"/>
      <c r="D1179" s="41"/>
      <c r="E1179" s="41"/>
      <c r="F1179" s="40"/>
      <c r="G1179" s="35"/>
      <c r="H1179" s="41"/>
      <c r="I1179" s="42"/>
      <c r="J1179" s="42"/>
      <c r="K1179" s="42"/>
      <c r="L1179" s="42"/>
      <c r="M1179" s="42"/>
      <c r="N1179" s="42"/>
      <c r="O1179" s="42"/>
      <c r="P1179" s="42"/>
      <c r="Q1179" s="42"/>
      <c r="R1179" s="42"/>
      <c r="S1179" s="42"/>
      <c r="T1179" s="42"/>
      <c r="U1179" s="42"/>
      <c r="V1179" s="42"/>
      <c r="W1179" s="42"/>
      <c r="X1179" s="42"/>
      <c r="Y1179" s="42"/>
      <c r="Z1179" s="42"/>
      <c r="AA1179" s="42"/>
      <c r="AB1179" s="42"/>
      <c r="AC1179" s="42"/>
    </row>
    <row r="1180" spans="1:29" x14ac:dyDescent="0.25">
      <c r="A1180" s="42"/>
      <c r="B1180" s="35"/>
      <c r="C1180" s="35"/>
      <c r="D1180" s="41"/>
      <c r="E1180" s="41"/>
      <c r="F1180" s="40"/>
      <c r="G1180" s="35"/>
      <c r="H1180" s="41"/>
      <c r="I1180" s="42"/>
      <c r="J1180" s="42"/>
      <c r="K1180" s="42"/>
      <c r="L1180" s="42"/>
      <c r="M1180" s="42"/>
      <c r="N1180" s="42"/>
      <c r="O1180" s="42"/>
      <c r="P1180" s="42"/>
      <c r="Q1180" s="42"/>
      <c r="R1180" s="42"/>
      <c r="S1180" s="42"/>
      <c r="T1180" s="42"/>
      <c r="U1180" s="42"/>
      <c r="V1180" s="42"/>
      <c r="W1180" s="42"/>
      <c r="X1180" s="42"/>
      <c r="Y1180" s="42"/>
      <c r="Z1180" s="42"/>
      <c r="AA1180" s="42"/>
      <c r="AB1180" s="42"/>
      <c r="AC1180" s="42"/>
    </row>
    <row r="1181" spans="1:29" x14ac:dyDescent="0.25">
      <c r="A1181" s="42"/>
      <c r="B1181" s="35"/>
      <c r="C1181" s="35"/>
      <c r="D1181" s="41"/>
      <c r="E1181" s="41"/>
      <c r="F1181" s="40"/>
      <c r="G1181" s="35"/>
      <c r="H1181" s="41"/>
      <c r="I1181" s="42"/>
      <c r="J1181" s="42"/>
      <c r="K1181" s="42"/>
      <c r="L1181" s="42"/>
      <c r="M1181" s="42"/>
      <c r="N1181" s="42"/>
      <c r="O1181" s="42"/>
      <c r="P1181" s="42"/>
      <c r="Q1181" s="42"/>
      <c r="R1181" s="42"/>
      <c r="S1181" s="42"/>
      <c r="T1181" s="42"/>
      <c r="U1181" s="42"/>
      <c r="V1181" s="42"/>
      <c r="W1181" s="42"/>
      <c r="X1181" s="42"/>
      <c r="Y1181" s="42"/>
      <c r="Z1181" s="42"/>
      <c r="AA1181" s="42"/>
      <c r="AB1181" s="42"/>
      <c r="AC1181" s="42"/>
    </row>
    <row r="1182" spans="1:29" x14ac:dyDescent="0.25">
      <c r="A1182" s="42"/>
      <c r="B1182" s="35"/>
      <c r="C1182" s="35"/>
      <c r="D1182" s="41"/>
      <c r="E1182" s="41"/>
      <c r="F1182" s="40"/>
      <c r="G1182" s="35"/>
      <c r="H1182" s="41"/>
      <c r="I1182" s="42"/>
      <c r="J1182" s="42"/>
      <c r="K1182" s="42"/>
      <c r="L1182" s="42"/>
      <c r="M1182" s="42"/>
      <c r="N1182" s="42"/>
      <c r="O1182" s="42"/>
      <c r="P1182" s="42"/>
      <c r="Q1182" s="42"/>
      <c r="R1182" s="42"/>
      <c r="S1182" s="42"/>
      <c r="T1182" s="42"/>
      <c r="U1182" s="42"/>
      <c r="V1182" s="42"/>
      <c r="W1182" s="42"/>
      <c r="X1182" s="42"/>
      <c r="Y1182" s="42"/>
      <c r="Z1182" s="42"/>
      <c r="AA1182" s="42"/>
      <c r="AB1182" s="42"/>
      <c r="AC1182" s="42"/>
    </row>
    <row r="1183" spans="1:29" x14ac:dyDescent="0.25">
      <c r="A1183" s="42"/>
      <c r="B1183" s="35"/>
      <c r="C1183" s="35"/>
      <c r="D1183" s="41"/>
      <c r="E1183" s="41"/>
      <c r="F1183" s="40"/>
      <c r="G1183" s="35"/>
      <c r="H1183" s="41"/>
      <c r="I1183" s="42"/>
      <c r="J1183" s="42"/>
      <c r="K1183" s="42"/>
      <c r="L1183" s="42"/>
      <c r="M1183" s="42"/>
      <c r="N1183" s="42"/>
      <c r="O1183" s="42"/>
      <c r="P1183" s="42"/>
      <c r="Q1183" s="42"/>
      <c r="R1183" s="42"/>
      <c r="S1183" s="42"/>
      <c r="T1183" s="42"/>
      <c r="U1183" s="42"/>
      <c r="V1183" s="42"/>
      <c r="W1183" s="42"/>
      <c r="X1183" s="42"/>
      <c r="Y1183" s="42"/>
      <c r="Z1183" s="42"/>
      <c r="AA1183" s="42"/>
      <c r="AB1183" s="42"/>
      <c r="AC1183" s="42"/>
    </row>
    <row r="1184" spans="1:29" x14ac:dyDescent="0.25">
      <c r="A1184" s="42"/>
      <c r="B1184" s="35"/>
      <c r="C1184" s="35"/>
      <c r="D1184" s="41"/>
      <c r="E1184" s="41"/>
      <c r="F1184" s="40"/>
      <c r="G1184" s="35"/>
      <c r="H1184" s="41"/>
      <c r="I1184" s="42"/>
      <c r="J1184" s="42"/>
      <c r="K1184" s="42"/>
      <c r="L1184" s="42"/>
      <c r="M1184" s="42"/>
      <c r="N1184" s="42"/>
      <c r="O1184" s="42"/>
      <c r="P1184" s="42"/>
      <c r="Q1184" s="42"/>
      <c r="R1184" s="42"/>
      <c r="S1184" s="42"/>
      <c r="T1184" s="42"/>
      <c r="U1184" s="42"/>
      <c r="V1184" s="42"/>
      <c r="W1184" s="42"/>
      <c r="X1184" s="42"/>
      <c r="Y1184" s="42"/>
      <c r="Z1184" s="42"/>
      <c r="AA1184" s="42"/>
      <c r="AB1184" s="42"/>
      <c r="AC1184" s="42"/>
    </row>
    <row r="1185" spans="1:29" x14ac:dyDescent="0.25">
      <c r="A1185" s="42"/>
      <c r="B1185" s="35"/>
      <c r="C1185" s="35"/>
      <c r="D1185" s="41"/>
      <c r="E1185" s="41"/>
      <c r="F1185" s="40"/>
      <c r="G1185" s="35"/>
      <c r="H1185" s="41"/>
      <c r="I1185" s="42"/>
      <c r="J1185" s="42"/>
      <c r="K1185" s="42"/>
      <c r="L1185" s="42"/>
      <c r="M1185" s="42"/>
      <c r="N1185" s="42"/>
      <c r="O1185" s="42"/>
      <c r="P1185" s="42"/>
      <c r="Q1185" s="42"/>
      <c r="R1185" s="42"/>
      <c r="S1185" s="42"/>
      <c r="T1185" s="42"/>
      <c r="U1185" s="42"/>
      <c r="V1185" s="42"/>
      <c r="W1185" s="42"/>
      <c r="X1185" s="42"/>
      <c r="Y1185" s="42"/>
      <c r="Z1185" s="42"/>
      <c r="AA1185" s="42"/>
      <c r="AB1185" s="42"/>
      <c r="AC1185" s="42"/>
    </row>
    <row r="1186" spans="1:29" x14ac:dyDescent="0.25">
      <c r="A1186" s="42"/>
      <c r="B1186" s="35"/>
      <c r="C1186" s="35"/>
      <c r="D1186" s="41"/>
      <c r="E1186" s="41"/>
      <c r="F1186" s="40"/>
      <c r="G1186" s="35"/>
      <c r="H1186" s="41"/>
      <c r="I1186" s="42"/>
      <c r="J1186" s="42"/>
      <c r="K1186" s="42"/>
      <c r="L1186" s="42"/>
      <c r="M1186" s="42"/>
      <c r="N1186" s="42"/>
      <c r="O1186" s="42"/>
      <c r="P1186" s="42"/>
      <c r="Q1186" s="42"/>
      <c r="R1186" s="42"/>
      <c r="S1186" s="42"/>
      <c r="T1186" s="42"/>
      <c r="U1186" s="42"/>
      <c r="V1186" s="42"/>
      <c r="W1186" s="42"/>
      <c r="X1186" s="42"/>
      <c r="Y1186" s="42"/>
      <c r="Z1186" s="42"/>
      <c r="AA1186" s="42"/>
      <c r="AB1186" s="42"/>
      <c r="AC1186" s="42"/>
    </row>
    <row r="1187" spans="1:29" x14ac:dyDescent="0.25">
      <c r="A1187" s="42"/>
      <c r="B1187" s="35"/>
      <c r="C1187" s="35"/>
      <c r="D1187" s="41"/>
      <c r="E1187" s="41"/>
      <c r="F1187" s="40"/>
      <c r="G1187" s="35"/>
      <c r="H1187" s="41"/>
      <c r="I1187" s="42"/>
      <c r="J1187" s="42"/>
      <c r="K1187" s="42"/>
      <c r="L1187" s="42"/>
      <c r="M1187" s="42"/>
      <c r="N1187" s="42"/>
      <c r="O1187" s="42"/>
      <c r="P1187" s="42"/>
      <c r="Q1187" s="42"/>
      <c r="R1187" s="42"/>
      <c r="S1187" s="42"/>
      <c r="T1187" s="42"/>
      <c r="U1187" s="42"/>
      <c r="V1187" s="42"/>
      <c r="W1187" s="42"/>
      <c r="X1187" s="42"/>
      <c r="Y1187" s="42"/>
      <c r="Z1187" s="42"/>
      <c r="AA1187" s="42"/>
      <c r="AB1187" s="42"/>
      <c r="AC1187" s="42"/>
    </row>
    <row r="1188" spans="1:29" x14ac:dyDescent="0.25">
      <c r="A1188" s="42"/>
      <c r="B1188" s="35"/>
      <c r="C1188" s="35"/>
      <c r="D1188" s="41"/>
      <c r="E1188" s="41"/>
      <c r="F1188" s="40"/>
      <c r="G1188" s="35"/>
      <c r="H1188" s="41"/>
      <c r="I1188" s="42"/>
      <c r="J1188" s="42"/>
      <c r="K1188" s="42"/>
      <c r="L1188" s="42"/>
      <c r="M1188" s="42"/>
      <c r="N1188" s="42"/>
      <c r="O1188" s="42"/>
      <c r="P1188" s="42"/>
      <c r="Q1188" s="42"/>
      <c r="R1188" s="42"/>
      <c r="S1188" s="42"/>
      <c r="T1188" s="42"/>
      <c r="U1188" s="42"/>
      <c r="V1188" s="42"/>
      <c r="W1188" s="42"/>
      <c r="X1188" s="42"/>
      <c r="Y1188" s="42"/>
      <c r="Z1188" s="42"/>
      <c r="AA1188" s="42"/>
      <c r="AB1188" s="42"/>
      <c r="AC1188" s="42"/>
    </row>
    <row r="1189" spans="1:29" x14ac:dyDescent="0.25">
      <c r="A1189" s="42"/>
      <c r="B1189" s="35"/>
      <c r="C1189" s="35"/>
      <c r="D1189" s="41"/>
      <c r="E1189" s="41"/>
      <c r="F1189" s="40"/>
      <c r="G1189" s="35"/>
      <c r="H1189" s="41"/>
      <c r="I1189" s="42"/>
      <c r="J1189" s="42"/>
      <c r="K1189" s="42"/>
      <c r="L1189" s="42"/>
      <c r="M1189" s="42"/>
      <c r="N1189" s="42"/>
      <c r="O1189" s="42"/>
      <c r="P1189" s="42"/>
      <c r="Q1189" s="42"/>
      <c r="R1189" s="42"/>
      <c r="S1189" s="42"/>
      <c r="T1189" s="42"/>
      <c r="U1189" s="42"/>
      <c r="V1189" s="42"/>
      <c r="W1189" s="42"/>
      <c r="X1189" s="42"/>
      <c r="Y1189" s="42"/>
      <c r="Z1189" s="42"/>
      <c r="AA1189" s="42"/>
      <c r="AB1189" s="42"/>
      <c r="AC1189" s="42"/>
    </row>
    <row r="1190" spans="1:29" x14ac:dyDescent="0.25">
      <c r="A1190" s="42"/>
      <c r="B1190" s="35"/>
      <c r="C1190" s="35"/>
      <c r="D1190" s="41"/>
      <c r="E1190" s="41"/>
      <c r="F1190" s="40"/>
      <c r="G1190" s="35"/>
      <c r="H1190" s="41"/>
      <c r="I1190" s="42"/>
      <c r="J1190" s="42"/>
      <c r="K1190" s="42"/>
      <c r="L1190" s="42"/>
      <c r="M1190" s="42"/>
      <c r="N1190" s="42"/>
      <c r="O1190" s="42"/>
      <c r="P1190" s="42"/>
      <c r="Q1190" s="42"/>
      <c r="R1190" s="42"/>
      <c r="S1190" s="42"/>
      <c r="T1190" s="42"/>
      <c r="U1190" s="42"/>
      <c r="V1190" s="42"/>
      <c r="W1190" s="42"/>
      <c r="X1190" s="42"/>
      <c r="Y1190" s="42"/>
      <c r="Z1190" s="42"/>
      <c r="AA1190" s="42"/>
      <c r="AB1190" s="42"/>
      <c r="AC1190" s="42"/>
    </row>
    <row r="1191" spans="1:29" x14ac:dyDescent="0.25">
      <c r="A1191" s="42"/>
      <c r="B1191" s="35"/>
      <c r="C1191" s="35"/>
      <c r="D1191" s="41"/>
      <c r="E1191" s="41"/>
      <c r="F1191" s="40"/>
      <c r="G1191" s="35"/>
      <c r="H1191" s="41"/>
      <c r="I1191" s="42"/>
      <c r="J1191" s="42"/>
      <c r="K1191" s="42"/>
      <c r="L1191" s="42"/>
      <c r="M1191" s="42"/>
      <c r="N1191" s="42"/>
      <c r="O1191" s="42"/>
      <c r="P1191" s="42"/>
      <c r="Q1191" s="42"/>
      <c r="R1191" s="42"/>
      <c r="S1191" s="42"/>
      <c r="T1191" s="42"/>
      <c r="U1191" s="42"/>
      <c r="V1191" s="42"/>
      <c r="W1191" s="42"/>
      <c r="X1191" s="42"/>
      <c r="Y1191" s="42"/>
      <c r="Z1191" s="42"/>
      <c r="AA1191" s="42"/>
      <c r="AB1191" s="42"/>
      <c r="AC1191" s="42"/>
    </row>
    <row r="1192" spans="1:29" x14ac:dyDescent="0.25">
      <c r="A1192" s="42"/>
      <c r="B1192" s="35"/>
      <c r="C1192" s="35"/>
      <c r="D1192" s="41"/>
      <c r="E1192" s="41"/>
      <c r="F1192" s="40"/>
      <c r="G1192" s="35"/>
      <c r="H1192" s="41"/>
      <c r="I1192" s="42"/>
      <c r="J1192" s="42"/>
      <c r="K1192" s="42"/>
      <c r="L1192" s="42"/>
      <c r="M1192" s="42"/>
      <c r="N1192" s="42"/>
      <c r="O1192" s="42"/>
      <c r="P1192" s="42"/>
      <c r="Q1192" s="42"/>
      <c r="R1192" s="42"/>
      <c r="S1192" s="42"/>
      <c r="T1192" s="42"/>
      <c r="U1192" s="42"/>
      <c r="V1192" s="42"/>
      <c r="W1192" s="42"/>
      <c r="X1192" s="42"/>
      <c r="Y1192" s="42"/>
      <c r="Z1192" s="42"/>
      <c r="AA1192" s="42"/>
      <c r="AB1192" s="42"/>
      <c r="AC1192" s="42"/>
    </row>
    <row r="1193" spans="1:29" x14ac:dyDescent="0.25">
      <c r="A1193" s="42"/>
      <c r="B1193" s="35"/>
      <c r="C1193" s="35"/>
      <c r="D1193" s="41"/>
      <c r="E1193" s="41"/>
      <c r="F1193" s="40"/>
      <c r="G1193" s="35"/>
      <c r="H1193" s="41"/>
      <c r="I1193" s="42"/>
      <c r="J1193" s="42"/>
      <c r="K1193" s="42"/>
      <c r="L1193" s="42"/>
      <c r="M1193" s="42"/>
      <c r="N1193" s="42"/>
      <c r="O1193" s="42"/>
      <c r="P1193" s="42"/>
      <c r="Q1193" s="42"/>
      <c r="R1193" s="42"/>
      <c r="S1193" s="42"/>
      <c r="T1193" s="42"/>
      <c r="U1193" s="42"/>
      <c r="V1193" s="42"/>
      <c r="W1193" s="42"/>
      <c r="X1193" s="42"/>
      <c r="Y1193" s="42"/>
      <c r="Z1193" s="42"/>
      <c r="AA1193" s="42"/>
      <c r="AB1193" s="42"/>
      <c r="AC1193" s="42"/>
    </row>
    <row r="1194" spans="1:29" x14ac:dyDescent="0.25">
      <c r="A1194" s="42"/>
      <c r="B1194" s="35"/>
      <c r="C1194" s="35"/>
      <c r="D1194" s="41"/>
      <c r="E1194" s="41"/>
      <c r="F1194" s="40"/>
      <c r="G1194" s="35"/>
      <c r="H1194" s="41"/>
      <c r="I1194" s="42"/>
      <c r="J1194" s="42"/>
      <c r="K1194" s="42"/>
      <c r="L1194" s="42"/>
      <c r="M1194" s="42"/>
      <c r="N1194" s="42"/>
      <c r="O1194" s="42"/>
      <c r="P1194" s="42"/>
      <c r="Q1194" s="42"/>
      <c r="R1194" s="42"/>
      <c r="S1194" s="42"/>
      <c r="T1194" s="42"/>
      <c r="U1194" s="42"/>
      <c r="V1194" s="42"/>
      <c r="W1194" s="42"/>
      <c r="X1194" s="42"/>
      <c r="Y1194" s="42"/>
      <c r="Z1194" s="42"/>
      <c r="AA1194" s="42"/>
      <c r="AB1194" s="42"/>
      <c r="AC1194" s="42"/>
    </row>
    <row r="1195" spans="1:29" x14ac:dyDescent="0.25">
      <c r="A1195" s="42"/>
      <c r="B1195" s="35"/>
      <c r="C1195" s="35"/>
      <c r="D1195" s="41"/>
      <c r="E1195" s="41"/>
      <c r="F1195" s="40"/>
      <c r="G1195" s="35"/>
      <c r="H1195" s="41"/>
      <c r="I1195" s="42"/>
      <c r="J1195" s="42"/>
      <c r="K1195" s="42"/>
      <c r="L1195" s="42"/>
      <c r="M1195" s="42"/>
      <c r="N1195" s="42"/>
      <c r="O1195" s="42"/>
      <c r="P1195" s="42"/>
      <c r="Q1195" s="42"/>
      <c r="R1195" s="42"/>
      <c r="S1195" s="42"/>
      <c r="T1195" s="42"/>
      <c r="U1195" s="42"/>
      <c r="V1195" s="42"/>
      <c r="W1195" s="42"/>
      <c r="X1195" s="42"/>
      <c r="Y1195" s="42"/>
      <c r="Z1195" s="42"/>
      <c r="AA1195" s="42"/>
      <c r="AB1195" s="42"/>
      <c r="AC1195" s="42"/>
    </row>
    <row r="1196" spans="1:29" x14ac:dyDescent="0.25">
      <c r="A1196" s="42"/>
      <c r="B1196" s="35"/>
      <c r="C1196" s="35"/>
      <c r="D1196" s="41"/>
      <c r="E1196" s="41"/>
      <c r="F1196" s="40"/>
      <c r="G1196" s="35"/>
      <c r="H1196" s="41"/>
      <c r="I1196" s="42"/>
      <c r="J1196" s="42"/>
      <c r="K1196" s="42"/>
      <c r="L1196" s="42"/>
      <c r="M1196" s="42"/>
      <c r="N1196" s="42"/>
      <c r="O1196" s="42"/>
      <c r="P1196" s="42"/>
      <c r="Q1196" s="42"/>
      <c r="R1196" s="42"/>
      <c r="S1196" s="42"/>
      <c r="T1196" s="42"/>
      <c r="U1196" s="42"/>
      <c r="V1196" s="42"/>
      <c r="W1196" s="42"/>
      <c r="X1196" s="42"/>
      <c r="Y1196" s="42"/>
      <c r="Z1196" s="42"/>
      <c r="AA1196" s="42"/>
      <c r="AB1196" s="42"/>
      <c r="AC1196" s="42"/>
    </row>
    <row r="1197" spans="1:29" x14ac:dyDescent="0.25">
      <c r="A1197" s="42"/>
      <c r="B1197" s="35"/>
      <c r="C1197" s="35"/>
      <c r="D1197" s="41"/>
      <c r="E1197" s="41"/>
      <c r="F1197" s="40"/>
      <c r="G1197" s="35"/>
      <c r="H1197" s="41"/>
      <c r="I1197" s="42"/>
      <c r="J1197" s="42"/>
      <c r="K1197" s="42"/>
      <c r="L1197" s="42"/>
      <c r="M1197" s="42"/>
      <c r="N1197" s="42"/>
      <c r="O1197" s="42"/>
      <c r="P1197" s="42"/>
      <c r="Q1197" s="42"/>
      <c r="R1197" s="42"/>
      <c r="S1197" s="42"/>
      <c r="T1197" s="42"/>
      <c r="U1197" s="42"/>
      <c r="V1197" s="42"/>
      <c r="W1197" s="42"/>
      <c r="X1197" s="42"/>
      <c r="Y1197" s="42"/>
      <c r="Z1197" s="42"/>
      <c r="AA1197" s="42"/>
      <c r="AB1197" s="42"/>
      <c r="AC1197" s="42"/>
    </row>
    <row r="1198" spans="1:29" x14ac:dyDescent="0.25">
      <c r="A1198" s="42"/>
      <c r="B1198" s="35"/>
      <c r="C1198" s="35"/>
      <c r="D1198" s="41"/>
      <c r="E1198" s="41"/>
      <c r="F1198" s="40"/>
      <c r="G1198" s="35"/>
      <c r="H1198" s="41"/>
      <c r="I1198" s="42"/>
      <c r="J1198" s="42"/>
      <c r="K1198" s="42"/>
      <c r="L1198" s="42"/>
      <c r="M1198" s="42"/>
      <c r="N1198" s="42"/>
      <c r="O1198" s="42"/>
      <c r="P1198" s="42"/>
      <c r="Q1198" s="42"/>
      <c r="R1198" s="42"/>
      <c r="S1198" s="42"/>
      <c r="T1198" s="42"/>
      <c r="U1198" s="42"/>
      <c r="V1198" s="42"/>
      <c r="W1198" s="42"/>
      <c r="X1198" s="42"/>
      <c r="Y1198" s="42"/>
      <c r="Z1198" s="42"/>
      <c r="AA1198" s="42"/>
      <c r="AB1198" s="42"/>
      <c r="AC1198" s="42"/>
    </row>
    <row r="1199" spans="1:29" x14ac:dyDescent="0.25">
      <c r="A1199" s="42"/>
      <c r="B1199" s="35"/>
      <c r="C1199" s="35"/>
      <c r="D1199" s="41"/>
      <c r="E1199" s="41"/>
      <c r="F1199" s="40"/>
      <c r="G1199" s="35"/>
      <c r="H1199" s="41"/>
      <c r="I1199" s="42"/>
      <c r="J1199" s="42"/>
      <c r="K1199" s="42"/>
      <c r="L1199" s="42"/>
      <c r="M1199" s="42"/>
      <c r="N1199" s="42"/>
      <c r="O1199" s="42"/>
      <c r="P1199" s="42"/>
      <c r="Q1199" s="42"/>
      <c r="R1199" s="42"/>
      <c r="S1199" s="42"/>
      <c r="T1199" s="42"/>
      <c r="U1199" s="42"/>
      <c r="V1199" s="42"/>
      <c r="W1199" s="42"/>
      <c r="X1199" s="42"/>
      <c r="Y1199" s="42"/>
      <c r="Z1199" s="42"/>
      <c r="AA1199" s="42"/>
      <c r="AB1199" s="42"/>
      <c r="AC1199" s="42"/>
    </row>
    <row r="1200" spans="1:29" x14ac:dyDescent="0.25">
      <c r="A1200" s="42"/>
      <c r="B1200" s="35"/>
      <c r="C1200" s="35"/>
      <c r="D1200" s="41"/>
      <c r="E1200" s="41"/>
      <c r="F1200" s="40"/>
      <c r="G1200" s="35"/>
      <c r="H1200" s="41"/>
      <c r="I1200" s="42"/>
      <c r="J1200" s="42"/>
      <c r="K1200" s="42"/>
      <c r="L1200" s="42"/>
      <c r="M1200" s="42"/>
      <c r="N1200" s="42"/>
      <c r="O1200" s="42"/>
      <c r="P1200" s="42"/>
      <c r="Q1200" s="42"/>
      <c r="R1200" s="42"/>
      <c r="S1200" s="42"/>
      <c r="T1200" s="42"/>
      <c r="U1200" s="42"/>
      <c r="V1200" s="42"/>
      <c r="W1200" s="42"/>
      <c r="X1200" s="42"/>
      <c r="Y1200" s="42"/>
      <c r="Z1200" s="42"/>
      <c r="AA1200" s="42"/>
      <c r="AB1200" s="42"/>
      <c r="AC1200" s="42"/>
    </row>
    <row r="1201" spans="1:29" x14ac:dyDescent="0.25">
      <c r="A1201" s="42"/>
      <c r="B1201" s="35"/>
      <c r="C1201" s="35"/>
      <c r="D1201" s="41"/>
      <c r="E1201" s="41"/>
      <c r="F1201" s="40"/>
      <c r="G1201" s="35"/>
      <c r="H1201" s="41"/>
      <c r="I1201" s="42"/>
      <c r="J1201" s="42"/>
      <c r="K1201" s="42"/>
      <c r="L1201" s="42"/>
      <c r="M1201" s="42"/>
      <c r="N1201" s="42"/>
      <c r="O1201" s="42"/>
      <c r="P1201" s="42"/>
      <c r="Q1201" s="42"/>
      <c r="R1201" s="42"/>
      <c r="S1201" s="42"/>
      <c r="T1201" s="42"/>
      <c r="U1201" s="42"/>
      <c r="V1201" s="42"/>
      <c r="W1201" s="42"/>
      <c r="X1201" s="42"/>
      <c r="Y1201" s="42"/>
      <c r="Z1201" s="42"/>
      <c r="AA1201" s="42"/>
      <c r="AB1201" s="42"/>
      <c r="AC1201" s="42"/>
    </row>
    <row r="1202" spans="1:29" x14ac:dyDescent="0.25">
      <c r="A1202" s="42"/>
      <c r="B1202" s="35"/>
      <c r="C1202" s="35"/>
      <c r="D1202" s="41"/>
      <c r="E1202" s="41"/>
      <c r="F1202" s="40"/>
      <c r="G1202" s="35"/>
      <c r="H1202" s="41"/>
      <c r="I1202" s="42"/>
      <c r="J1202" s="42"/>
      <c r="K1202" s="42"/>
      <c r="L1202" s="42"/>
      <c r="M1202" s="42"/>
      <c r="N1202" s="42"/>
      <c r="O1202" s="42"/>
      <c r="P1202" s="42"/>
      <c r="Q1202" s="42"/>
      <c r="R1202" s="42"/>
      <c r="S1202" s="42"/>
      <c r="T1202" s="42"/>
      <c r="U1202" s="42"/>
      <c r="V1202" s="42"/>
      <c r="W1202" s="42"/>
      <c r="X1202" s="42"/>
      <c r="Y1202" s="42"/>
      <c r="Z1202" s="42"/>
      <c r="AA1202" s="42"/>
      <c r="AB1202" s="42"/>
      <c r="AC1202" s="42"/>
    </row>
    <row r="1203" spans="1:29" x14ac:dyDescent="0.25">
      <c r="A1203" s="42"/>
      <c r="B1203" s="35"/>
      <c r="C1203" s="35"/>
      <c r="D1203" s="41"/>
      <c r="E1203" s="41"/>
      <c r="F1203" s="40"/>
      <c r="G1203" s="35"/>
      <c r="H1203" s="41"/>
      <c r="I1203" s="42"/>
      <c r="J1203" s="42"/>
      <c r="K1203" s="42"/>
      <c r="L1203" s="42"/>
      <c r="M1203" s="42"/>
      <c r="N1203" s="42"/>
      <c r="O1203" s="42"/>
      <c r="P1203" s="42"/>
      <c r="Q1203" s="42"/>
      <c r="R1203" s="42"/>
      <c r="S1203" s="42"/>
      <c r="T1203" s="42"/>
      <c r="U1203" s="42"/>
      <c r="V1203" s="42"/>
      <c r="W1203" s="42"/>
      <c r="X1203" s="42"/>
      <c r="Y1203" s="42"/>
      <c r="Z1203" s="42"/>
      <c r="AA1203" s="42"/>
      <c r="AB1203" s="42"/>
      <c r="AC1203" s="42"/>
    </row>
    <row r="1204" spans="1:29" x14ac:dyDescent="0.25">
      <c r="A1204" s="42"/>
      <c r="B1204" s="35"/>
      <c r="C1204" s="35"/>
      <c r="D1204" s="41"/>
      <c r="E1204" s="41"/>
      <c r="F1204" s="40"/>
      <c r="G1204" s="35"/>
      <c r="H1204" s="41"/>
      <c r="I1204" s="42"/>
      <c r="J1204" s="42"/>
      <c r="K1204" s="42"/>
      <c r="L1204" s="42"/>
      <c r="M1204" s="42"/>
      <c r="N1204" s="42"/>
      <c r="O1204" s="42"/>
      <c r="P1204" s="42"/>
      <c r="Q1204" s="42"/>
      <c r="R1204" s="42"/>
      <c r="S1204" s="42"/>
      <c r="T1204" s="42"/>
      <c r="U1204" s="42"/>
      <c r="V1204" s="42"/>
      <c r="W1204" s="42"/>
      <c r="X1204" s="42"/>
      <c r="Y1204" s="42"/>
      <c r="Z1204" s="42"/>
      <c r="AA1204" s="42"/>
      <c r="AB1204" s="42"/>
      <c r="AC1204" s="42"/>
    </row>
    <row r="1205" spans="1:29" x14ac:dyDescent="0.25">
      <c r="A1205" s="42"/>
      <c r="B1205" s="35"/>
      <c r="C1205" s="35"/>
      <c r="D1205" s="41"/>
      <c r="E1205" s="41"/>
      <c r="F1205" s="40"/>
      <c r="G1205" s="35"/>
      <c r="H1205" s="41"/>
      <c r="I1205" s="42"/>
      <c r="J1205" s="42"/>
      <c r="K1205" s="42"/>
      <c r="L1205" s="42"/>
      <c r="M1205" s="42"/>
      <c r="N1205" s="42"/>
      <c r="O1205" s="42"/>
      <c r="P1205" s="42"/>
      <c r="Q1205" s="42"/>
      <c r="R1205" s="42"/>
      <c r="S1205" s="42"/>
      <c r="T1205" s="42"/>
      <c r="U1205" s="42"/>
      <c r="V1205" s="42"/>
      <c r="W1205" s="42"/>
      <c r="X1205" s="42"/>
      <c r="Y1205" s="42"/>
      <c r="Z1205" s="42"/>
      <c r="AA1205" s="42"/>
      <c r="AB1205" s="42"/>
      <c r="AC1205" s="42"/>
    </row>
    <row r="1206" spans="1:29" x14ac:dyDescent="0.25">
      <c r="A1206" s="42"/>
      <c r="B1206" s="35"/>
      <c r="C1206" s="35"/>
      <c r="D1206" s="41"/>
      <c r="E1206" s="41"/>
      <c r="F1206" s="40"/>
      <c r="G1206" s="35"/>
      <c r="H1206" s="41"/>
      <c r="I1206" s="42"/>
      <c r="J1206" s="42"/>
      <c r="K1206" s="42"/>
      <c r="L1206" s="42"/>
      <c r="M1206" s="42"/>
      <c r="N1206" s="42"/>
      <c r="O1206" s="42"/>
      <c r="P1206" s="42"/>
      <c r="Q1206" s="42"/>
      <c r="R1206" s="42"/>
      <c r="S1206" s="42"/>
      <c r="T1206" s="42"/>
      <c r="U1206" s="42"/>
      <c r="V1206" s="42"/>
      <c r="W1206" s="42"/>
      <c r="X1206" s="42"/>
      <c r="Y1206" s="42"/>
      <c r="Z1206" s="42"/>
      <c r="AA1206" s="42"/>
      <c r="AB1206" s="42"/>
      <c r="AC1206" s="42"/>
    </row>
    <row r="1207" spans="1:29" x14ac:dyDescent="0.25">
      <c r="A1207" s="42"/>
      <c r="B1207" s="35"/>
      <c r="C1207" s="35"/>
      <c r="D1207" s="41"/>
      <c r="E1207" s="41"/>
      <c r="F1207" s="40"/>
      <c r="G1207" s="35"/>
      <c r="H1207" s="41"/>
      <c r="I1207" s="42"/>
      <c r="J1207" s="42"/>
      <c r="K1207" s="42"/>
      <c r="L1207" s="42"/>
      <c r="M1207" s="42"/>
      <c r="N1207" s="42"/>
      <c r="O1207" s="42"/>
      <c r="P1207" s="42"/>
      <c r="Q1207" s="42"/>
      <c r="R1207" s="42"/>
      <c r="S1207" s="42"/>
      <c r="T1207" s="42"/>
      <c r="U1207" s="42"/>
      <c r="V1207" s="42"/>
      <c r="W1207" s="42"/>
      <c r="X1207" s="42"/>
      <c r="Y1207" s="42"/>
      <c r="Z1207" s="42"/>
      <c r="AA1207" s="42"/>
      <c r="AB1207" s="42"/>
      <c r="AC1207" s="42"/>
    </row>
    <row r="1208" spans="1:29" x14ac:dyDescent="0.25">
      <c r="A1208" s="42"/>
      <c r="B1208" s="35"/>
      <c r="C1208" s="35"/>
      <c r="D1208" s="41"/>
      <c r="E1208" s="41"/>
      <c r="F1208" s="40"/>
      <c r="G1208" s="35"/>
      <c r="H1208" s="41"/>
      <c r="I1208" s="42"/>
      <c r="J1208" s="42"/>
      <c r="K1208" s="42"/>
      <c r="L1208" s="42"/>
      <c r="M1208" s="42"/>
      <c r="N1208" s="42"/>
      <c r="O1208" s="42"/>
      <c r="P1208" s="42"/>
      <c r="Q1208" s="42"/>
      <c r="R1208" s="42"/>
      <c r="S1208" s="42"/>
      <c r="T1208" s="42"/>
      <c r="U1208" s="42"/>
      <c r="V1208" s="42"/>
      <c r="W1208" s="42"/>
      <c r="X1208" s="42"/>
      <c r="Y1208" s="42"/>
      <c r="Z1208" s="42"/>
      <c r="AA1208" s="42"/>
      <c r="AB1208" s="42"/>
      <c r="AC1208" s="42"/>
    </row>
    <row r="1209" spans="1:29" x14ac:dyDescent="0.25">
      <c r="A1209" s="42"/>
      <c r="B1209" s="35"/>
      <c r="C1209" s="35"/>
      <c r="D1209" s="41"/>
      <c r="E1209" s="41"/>
      <c r="F1209" s="40"/>
      <c r="G1209" s="35"/>
      <c r="H1209" s="41"/>
      <c r="I1209" s="42"/>
      <c r="J1209" s="42"/>
      <c r="K1209" s="42"/>
      <c r="L1209" s="42"/>
      <c r="M1209" s="42"/>
      <c r="N1209" s="42"/>
      <c r="O1209" s="42"/>
      <c r="P1209" s="42"/>
      <c r="Q1209" s="42"/>
      <c r="R1209" s="42"/>
      <c r="S1209" s="42"/>
      <c r="T1209" s="42"/>
      <c r="U1209" s="42"/>
      <c r="V1209" s="42"/>
      <c r="W1209" s="42"/>
      <c r="X1209" s="42"/>
      <c r="Y1209" s="42"/>
      <c r="Z1209" s="42"/>
      <c r="AA1209" s="42"/>
      <c r="AB1209" s="42"/>
      <c r="AC1209" s="42"/>
    </row>
    <row r="1210" spans="1:29" x14ac:dyDescent="0.25">
      <c r="A1210" s="42"/>
      <c r="B1210" s="35"/>
      <c r="C1210" s="35"/>
      <c r="D1210" s="41"/>
      <c r="E1210" s="41"/>
      <c r="F1210" s="40"/>
      <c r="G1210" s="35"/>
      <c r="H1210" s="41"/>
      <c r="I1210" s="42"/>
      <c r="J1210" s="42"/>
      <c r="K1210" s="42"/>
      <c r="L1210" s="42"/>
      <c r="M1210" s="42"/>
      <c r="N1210" s="42"/>
      <c r="O1210" s="42"/>
      <c r="P1210" s="42"/>
      <c r="Q1210" s="42"/>
      <c r="R1210" s="42"/>
      <c r="S1210" s="42"/>
      <c r="T1210" s="42"/>
      <c r="U1210" s="42"/>
      <c r="V1210" s="42"/>
      <c r="W1210" s="42"/>
      <c r="X1210" s="42"/>
      <c r="Y1210" s="42"/>
      <c r="Z1210" s="42"/>
      <c r="AA1210" s="42"/>
      <c r="AB1210" s="42"/>
      <c r="AC1210" s="42"/>
    </row>
    <row r="1211" spans="1:29" x14ac:dyDescent="0.25">
      <c r="A1211" s="42"/>
      <c r="B1211" s="35"/>
      <c r="C1211" s="35"/>
      <c r="D1211" s="41"/>
      <c r="E1211" s="41"/>
      <c r="F1211" s="40"/>
      <c r="G1211" s="35"/>
      <c r="H1211" s="41"/>
      <c r="I1211" s="42"/>
      <c r="J1211" s="42"/>
      <c r="K1211" s="42"/>
      <c r="L1211" s="42"/>
      <c r="M1211" s="42"/>
      <c r="N1211" s="42"/>
      <c r="O1211" s="42"/>
      <c r="P1211" s="42"/>
      <c r="Q1211" s="42"/>
      <c r="R1211" s="42"/>
      <c r="S1211" s="42"/>
      <c r="T1211" s="42"/>
      <c r="U1211" s="42"/>
      <c r="V1211" s="42"/>
      <c r="W1211" s="42"/>
      <c r="X1211" s="42"/>
      <c r="Y1211" s="42"/>
      <c r="Z1211" s="42"/>
      <c r="AA1211" s="42"/>
      <c r="AB1211" s="42"/>
      <c r="AC1211" s="42"/>
    </row>
    <row r="1212" spans="1:29" x14ac:dyDescent="0.25">
      <c r="A1212" s="42"/>
      <c r="B1212" s="35"/>
      <c r="C1212" s="35"/>
      <c r="D1212" s="41"/>
      <c r="E1212" s="41"/>
      <c r="F1212" s="40"/>
      <c r="G1212" s="35"/>
      <c r="H1212" s="41"/>
      <c r="I1212" s="42"/>
      <c r="J1212" s="42"/>
      <c r="K1212" s="42"/>
      <c r="L1212" s="42"/>
      <c r="M1212" s="42"/>
      <c r="N1212" s="42"/>
      <c r="O1212" s="42"/>
      <c r="P1212" s="42"/>
      <c r="Q1212" s="42"/>
      <c r="R1212" s="42"/>
      <c r="S1212" s="42"/>
      <c r="T1212" s="42"/>
      <c r="U1212" s="42"/>
      <c r="V1212" s="42"/>
      <c r="W1212" s="42"/>
      <c r="X1212" s="42"/>
      <c r="Y1212" s="42"/>
      <c r="Z1212" s="42"/>
      <c r="AA1212" s="42"/>
      <c r="AB1212" s="42"/>
      <c r="AC1212" s="42"/>
    </row>
    <row r="1213" spans="1:29" x14ac:dyDescent="0.25">
      <c r="A1213" s="42"/>
      <c r="B1213" s="35"/>
      <c r="C1213" s="35"/>
      <c r="D1213" s="41"/>
      <c r="E1213" s="41"/>
      <c r="F1213" s="40"/>
      <c r="G1213" s="35"/>
      <c r="H1213" s="41"/>
      <c r="I1213" s="42"/>
      <c r="J1213" s="42"/>
      <c r="K1213" s="42"/>
      <c r="L1213" s="42"/>
      <c r="M1213" s="42"/>
      <c r="N1213" s="42"/>
      <c r="O1213" s="42"/>
      <c r="P1213" s="42"/>
      <c r="Q1213" s="42"/>
      <c r="R1213" s="42"/>
      <c r="S1213" s="42"/>
      <c r="T1213" s="42"/>
      <c r="U1213" s="42"/>
      <c r="V1213" s="42"/>
      <c r="W1213" s="42"/>
      <c r="X1213" s="42"/>
      <c r="Y1213" s="42"/>
      <c r="Z1213" s="42"/>
      <c r="AA1213" s="42"/>
      <c r="AB1213" s="42"/>
      <c r="AC1213" s="42"/>
    </row>
    <row r="1214" spans="1:29" x14ac:dyDescent="0.25">
      <c r="A1214" s="42"/>
      <c r="B1214" s="35"/>
      <c r="C1214" s="35"/>
      <c r="D1214" s="41"/>
      <c r="E1214" s="41"/>
      <c r="F1214" s="40"/>
      <c r="G1214" s="35"/>
      <c r="H1214" s="41"/>
      <c r="I1214" s="42"/>
      <c r="J1214" s="42"/>
      <c r="K1214" s="42"/>
      <c r="L1214" s="42"/>
      <c r="M1214" s="42"/>
      <c r="N1214" s="42"/>
      <c r="O1214" s="42"/>
      <c r="P1214" s="42"/>
      <c r="Q1214" s="42"/>
      <c r="R1214" s="42"/>
      <c r="S1214" s="42"/>
      <c r="T1214" s="42"/>
      <c r="U1214" s="42"/>
      <c r="V1214" s="42"/>
      <c r="W1214" s="42"/>
      <c r="X1214" s="42"/>
      <c r="Y1214" s="42"/>
      <c r="Z1214" s="42"/>
      <c r="AA1214" s="42"/>
      <c r="AB1214" s="42"/>
      <c r="AC1214" s="42"/>
    </row>
    <row r="1215" spans="1:29" x14ac:dyDescent="0.25">
      <c r="A1215" s="42"/>
      <c r="B1215" s="35"/>
      <c r="C1215" s="35"/>
      <c r="D1215" s="41"/>
      <c r="E1215" s="41"/>
      <c r="F1215" s="40"/>
      <c r="G1215" s="35"/>
      <c r="H1215" s="41"/>
      <c r="I1215" s="42"/>
      <c r="J1215" s="42"/>
      <c r="K1215" s="42"/>
      <c r="L1215" s="42"/>
      <c r="M1215" s="42"/>
      <c r="N1215" s="42"/>
      <c r="O1215" s="42"/>
      <c r="P1215" s="42"/>
      <c r="Q1215" s="42"/>
      <c r="R1215" s="42"/>
      <c r="S1215" s="42"/>
      <c r="T1215" s="42"/>
      <c r="U1215" s="42"/>
      <c r="V1215" s="42"/>
      <c r="W1215" s="42"/>
      <c r="X1215" s="42"/>
      <c r="Y1215" s="42"/>
      <c r="Z1215" s="42"/>
      <c r="AA1215" s="42"/>
      <c r="AB1215" s="42"/>
      <c r="AC1215" s="42"/>
    </row>
    <row r="1216" spans="1:29" x14ac:dyDescent="0.25">
      <c r="A1216" s="42"/>
      <c r="B1216" s="35"/>
      <c r="C1216" s="35"/>
      <c r="D1216" s="41"/>
      <c r="E1216" s="41"/>
      <c r="F1216" s="40"/>
      <c r="G1216" s="35"/>
      <c r="H1216" s="41"/>
      <c r="I1216" s="42"/>
      <c r="J1216" s="42"/>
      <c r="K1216" s="42"/>
      <c r="L1216" s="42"/>
      <c r="M1216" s="42"/>
      <c r="N1216" s="42"/>
      <c r="O1216" s="42"/>
      <c r="P1216" s="42"/>
      <c r="Q1216" s="42"/>
      <c r="R1216" s="42"/>
      <c r="S1216" s="42"/>
      <c r="T1216" s="42"/>
      <c r="U1216" s="42"/>
      <c r="V1216" s="42"/>
      <c r="W1216" s="42"/>
      <c r="X1216" s="42"/>
      <c r="Y1216" s="42"/>
      <c r="Z1216" s="42"/>
      <c r="AA1216" s="42"/>
      <c r="AB1216" s="42"/>
      <c r="AC1216" s="42"/>
    </row>
    <row r="1217" spans="1:29" x14ac:dyDescent="0.25">
      <c r="A1217" s="42"/>
      <c r="B1217" s="35"/>
      <c r="C1217" s="35"/>
      <c r="D1217" s="41"/>
      <c r="E1217" s="41"/>
      <c r="F1217" s="40"/>
      <c r="G1217" s="35"/>
      <c r="H1217" s="41"/>
      <c r="I1217" s="42"/>
      <c r="J1217" s="42"/>
      <c r="K1217" s="42"/>
      <c r="L1217" s="42"/>
      <c r="M1217" s="42"/>
      <c r="N1217" s="42"/>
      <c r="O1217" s="42"/>
      <c r="P1217" s="42"/>
      <c r="Q1217" s="42"/>
      <c r="R1217" s="42"/>
      <c r="S1217" s="42"/>
      <c r="T1217" s="42"/>
      <c r="U1217" s="42"/>
      <c r="V1217" s="42"/>
      <c r="W1217" s="42"/>
      <c r="X1217" s="42"/>
      <c r="Y1217" s="42"/>
      <c r="Z1217" s="42"/>
      <c r="AA1217" s="42"/>
      <c r="AB1217" s="42"/>
      <c r="AC1217" s="42"/>
    </row>
    <row r="1218" spans="1:29" x14ac:dyDescent="0.25">
      <c r="A1218" s="42"/>
      <c r="B1218" s="35"/>
      <c r="C1218" s="35"/>
      <c r="D1218" s="41"/>
      <c r="E1218" s="41"/>
      <c r="F1218" s="40"/>
      <c r="G1218" s="35"/>
      <c r="H1218" s="41"/>
      <c r="I1218" s="42"/>
      <c r="J1218" s="42"/>
      <c r="K1218" s="42"/>
      <c r="L1218" s="42"/>
      <c r="M1218" s="42"/>
      <c r="N1218" s="42"/>
      <c r="O1218" s="42"/>
      <c r="P1218" s="42"/>
      <c r="Q1218" s="42"/>
      <c r="R1218" s="42"/>
      <c r="S1218" s="42"/>
      <c r="T1218" s="42"/>
      <c r="U1218" s="42"/>
      <c r="V1218" s="42"/>
      <c r="W1218" s="42"/>
      <c r="X1218" s="42"/>
      <c r="Y1218" s="42"/>
      <c r="Z1218" s="42"/>
      <c r="AA1218" s="42"/>
      <c r="AB1218" s="42"/>
      <c r="AC1218" s="42"/>
    </row>
    <row r="1219" spans="1:29" x14ac:dyDescent="0.25">
      <c r="A1219" s="42"/>
      <c r="B1219" s="35"/>
      <c r="C1219" s="35"/>
      <c r="D1219" s="41"/>
      <c r="E1219" s="41"/>
      <c r="F1219" s="40"/>
      <c r="G1219" s="35"/>
      <c r="H1219" s="41"/>
      <c r="I1219" s="42"/>
      <c r="J1219" s="42"/>
      <c r="K1219" s="42"/>
      <c r="L1219" s="42"/>
      <c r="M1219" s="42"/>
      <c r="N1219" s="42"/>
      <c r="O1219" s="42"/>
      <c r="P1219" s="42"/>
      <c r="Q1219" s="42"/>
      <c r="R1219" s="42"/>
      <c r="S1219" s="42"/>
      <c r="T1219" s="42"/>
      <c r="U1219" s="42"/>
      <c r="V1219" s="42"/>
      <c r="W1219" s="42"/>
      <c r="X1219" s="42"/>
      <c r="Y1219" s="42"/>
      <c r="Z1219" s="42"/>
      <c r="AA1219" s="42"/>
      <c r="AB1219" s="42"/>
      <c r="AC1219" s="42"/>
    </row>
    <row r="1220" spans="1:29" x14ac:dyDescent="0.25">
      <c r="A1220" s="42"/>
      <c r="B1220" s="35"/>
      <c r="C1220" s="35"/>
      <c r="D1220" s="41"/>
      <c r="E1220" s="41"/>
      <c r="F1220" s="40"/>
      <c r="G1220" s="35"/>
      <c r="H1220" s="41"/>
      <c r="I1220" s="42"/>
      <c r="J1220" s="42"/>
      <c r="K1220" s="42"/>
      <c r="L1220" s="42"/>
      <c r="M1220" s="42"/>
      <c r="N1220" s="42"/>
      <c r="O1220" s="42"/>
      <c r="P1220" s="42"/>
      <c r="Q1220" s="42"/>
      <c r="R1220" s="42"/>
      <c r="S1220" s="42"/>
      <c r="T1220" s="42"/>
      <c r="U1220" s="42"/>
      <c r="V1220" s="42"/>
      <c r="W1220" s="42"/>
      <c r="X1220" s="42"/>
      <c r="Y1220" s="42"/>
      <c r="Z1220" s="42"/>
      <c r="AA1220" s="42"/>
      <c r="AB1220" s="42"/>
      <c r="AC1220" s="42"/>
    </row>
    <row r="1221" spans="1:29" x14ac:dyDescent="0.25">
      <c r="A1221" s="42"/>
      <c r="B1221" s="35"/>
      <c r="C1221" s="35"/>
      <c r="D1221" s="41"/>
      <c r="E1221" s="41"/>
      <c r="F1221" s="40"/>
      <c r="G1221" s="35"/>
      <c r="H1221" s="41"/>
      <c r="I1221" s="42"/>
      <c r="J1221" s="42"/>
      <c r="K1221" s="42"/>
      <c r="L1221" s="42"/>
      <c r="M1221" s="42"/>
      <c r="N1221" s="42"/>
      <c r="O1221" s="42"/>
      <c r="P1221" s="42"/>
      <c r="Q1221" s="42"/>
      <c r="R1221" s="42"/>
      <c r="S1221" s="42"/>
      <c r="T1221" s="42"/>
      <c r="U1221" s="42"/>
      <c r="V1221" s="42"/>
      <c r="W1221" s="42"/>
      <c r="X1221" s="42"/>
      <c r="Y1221" s="42"/>
      <c r="Z1221" s="42"/>
      <c r="AA1221" s="42"/>
      <c r="AB1221" s="42"/>
      <c r="AC1221" s="42"/>
    </row>
    <row r="1222" spans="1:29" x14ac:dyDescent="0.25">
      <c r="A1222" s="42"/>
      <c r="B1222" s="35"/>
      <c r="C1222" s="35"/>
      <c r="D1222" s="41"/>
      <c r="E1222" s="41"/>
      <c r="F1222" s="40"/>
      <c r="G1222" s="35"/>
      <c r="H1222" s="41"/>
      <c r="I1222" s="42"/>
      <c r="J1222" s="42"/>
      <c r="K1222" s="42"/>
      <c r="L1222" s="42"/>
      <c r="M1222" s="42"/>
      <c r="N1222" s="42"/>
      <c r="O1222" s="42"/>
      <c r="P1222" s="42"/>
      <c r="Q1222" s="42"/>
      <c r="R1222" s="42"/>
      <c r="S1222" s="42"/>
      <c r="T1222" s="42"/>
      <c r="U1222" s="42"/>
      <c r="V1222" s="42"/>
      <c r="W1222" s="42"/>
      <c r="X1222" s="42"/>
      <c r="Y1222" s="42"/>
      <c r="Z1222" s="42"/>
      <c r="AA1222" s="42"/>
      <c r="AB1222" s="42"/>
      <c r="AC1222" s="42"/>
    </row>
    <row r="1223" spans="1:29" x14ac:dyDescent="0.25">
      <c r="A1223" s="42"/>
      <c r="B1223" s="35"/>
      <c r="C1223" s="35"/>
      <c r="D1223" s="41"/>
      <c r="E1223" s="41"/>
      <c r="F1223" s="40"/>
      <c r="G1223" s="35"/>
      <c r="H1223" s="41"/>
      <c r="I1223" s="42"/>
      <c r="J1223" s="42"/>
      <c r="K1223" s="42"/>
      <c r="L1223" s="42"/>
      <c r="M1223" s="42"/>
      <c r="N1223" s="42"/>
      <c r="O1223" s="42"/>
      <c r="P1223" s="42"/>
      <c r="Q1223" s="42"/>
      <c r="R1223" s="42"/>
      <c r="S1223" s="42"/>
      <c r="T1223" s="42"/>
      <c r="U1223" s="42"/>
      <c r="V1223" s="42"/>
      <c r="W1223" s="42"/>
      <c r="X1223" s="42"/>
      <c r="Y1223" s="42"/>
      <c r="Z1223" s="42"/>
      <c r="AA1223" s="42"/>
      <c r="AB1223" s="42"/>
      <c r="AC1223" s="42"/>
    </row>
    <row r="1224" spans="1:29" x14ac:dyDescent="0.25">
      <c r="A1224" s="42"/>
      <c r="B1224" s="35"/>
      <c r="C1224" s="35"/>
      <c r="D1224" s="41"/>
      <c r="E1224" s="41"/>
      <c r="F1224" s="40"/>
      <c r="G1224" s="35"/>
      <c r="H1224" s="41"/>
      <c r="I1224" s="42"/>
      <c r="J1224" s="42"/>
      <c r="K1224" s="42"/>
      <c r="L1224" s="42"/>
      <c r="M1224" s="42"/>
      <c r="N1224" s="42"/>
      <c r="O1224" s="42"/>
      <c r="P1224" s="42"/>
      <c r="Q1224" s="42"/>
      <c r="R1224" s="42"/>
      <c r="S1224" s="42"/>
      <c r="T1224" s="42"/>
      <c r="U1224" s="42"/>
      <c r="V1224" s="42"/>
      <c r="W1224" s="42"/>
      <c r="X1224" s="42"/>
      <c r="Y1224" s="42"/>
      <c r="Z1224" s="42"/>
      <c r="AA1224" s="42"/>
      <c r="AB1224" s="42"/>
      <c r="AC1224" s="42"/>
    </row>
    <row r="1225" spans="1:29" x14ac:dyDescent="0.25">
      <c r="A1225" s="42"/>
      <c r="B1225" s="35"/>
      <c r="C1225" s="35"/>
      <c r="D1225" s="41"/>
      <c r="E1225" s="41"/>
      <c r="F1225" s="40"/>
      <c r="G1225" s="35"/>
      <c r="H1225" s="41"/>
      <c r="I1225" s="42"/>
      <c r="J1225" s="42"/>
      <c r="K1225" s="42"/>
      <c r="L1225" s="42"/>
      <c r="M1225" s="42"/>
      <c r="N1225" s="42"/>
      <c r="O1225" s="42"/>
      <c r="P1225" s="42"/>
      <c r="Q1225" s="42"/>
      <c r="R1225" s="42"/>
      <c r="S1225" s="42"/>
      <c r="T1225" s="42"/>
      <c r="U1225" s="42"/>
      <c r="V1225" s="42"/>
      <c r="W1225" s="42"/>
      <c r="X1225" s="42"/>
      <c r="Y1225" s="42"/>
      <c r="Z1225" s="42"/>
      <c r="AA1225" s="42"/>
      <c r="AB1225" s="42"/>
      <c r="AC1225" s="42"/>
    </row>
    <row r="1226" spans="1:29" x14ac:dyDescent="0.25">
      <c r="A1226" s="42"/>
      <c r="B1226" s="35"/>
      <c r="C1226" s="35"/>
      <c r="D1226" s="41"/>
      <c r="E1226" s="41"/>
      <c r="F1226" s="40"/>
      <c r="G1226" s="35"/>
      <c r="H1226" s="41"/>
      <c r="I1226" s="42"/>
      <c r="J1226" s="42"/>
      <c r="K1226" s="42"/>
      <c r="L1226" s="42"/>
      <c r="M1226" s="42"/>
      <c r="N1226" s="42"/>
      <c r="O1226" s="42"/>
      <c r="P1226" s="42"/>
      <c r="Q1226" s="42"/>
      <c r="R1226" s="42"/>
      <c r="S1226" s="42"/>
      <c r="T1226" s="42"/>
      <c r="U1226" s="42"/>
      <c r="V1226" s="42"/>
      <c r="W1226" s="42"/>
      <c r="X1226" s="42"/>
      <c r="Y1226" s="42"/>
      <c r="Z1226" s="42"/>
      <c r="AA1226" s="42"/>
      <c r="AB1226" s="42"/>
      <c r="AC1226" s="42"/>
    </row>
    <row r="1227" spans="1:29" x14ac:dyDescent="0.25">
      <c r="A1227" s="42"/>
      <c r="B1227" s="35"/>
      <c r="C1227" s="35"/>
      <c r="D1227" s="41"/>
      <c r="E1227" s="41"/>
      <c r="F1227" s="40"/>
      <c r="G1227" s="35"/>
      <c r="H1227" s="41"/>
      <c r="I1227" s="42"/>
      <c r="J1227" s="42"/>
      <c r="K1227" s="42"/>
      <c r="L1227" s="42"/>
      <c r="M1227" s="42"/>
      <c r="N1227" s="42"/>
      <c r="O1227" s="42"/>
      <c r="P1227" s="42"/>
      <c r="Q1227" s="42"/>
      <c r="R1227" s="42"/>
      <c r="S1227" s="42"/>
      <c r="T1227" s="42"/>
      <c r="U1227" s="42"/>
      <c r="V1227" s="42"/>
      <c r="W1227" s="42"/>
      <c r="X1227" s="42"/>
      <c r="Y1227" s="42"/>
      <c r="Z1227" s="42"/>
      <c r="AA1227" s="42"/>
      <c r="AB1227" s="42"/>
      <c r="AC1227" s="42"/>
    </row>
    <row r="1228" spans="1:29" x14ac:dyDescent="0.25">
      <c r="A1228" s="42"/>
      <c r="B1228" s="35"/>
      <c r="C1228" s="35"/>
      <c r="D1228" s="41"/>
      <c r="E1228" s="41"/>
      <c r="F1228" s="40"/>
      <c r="G1228" s="35"/>
      <c r="H1228" s="41"/>
      <c r="I1228" s="42"/>
      <c r="J1228" s="42"/>
      <c r="K1228" s="42"/>
      <c r="L1228" s="42"/>
      <c r="M1228" s="42"/>
      <c r="N1228" s="42"/>
      <c r="O1228" s="42"/>
      <c r="P1228" s="42"/>
      <c r="Q1228" s="42"/>
      <c r="R1228" s="42"/>
      <c r="S1228" s="42"/>
      <c r="T1228" s="42"/>
      <c r="U1228" s="42"/>
      <c r="V1228" s="42"/>
      <c r="W1228" s="42"/>
      <c r="X1228" s="42"/>
      <c r="Y1228" s="42"/>
      <c r="Z1228" s="42"/>
      <c r="AA1228" s="42"/>
      <c r="AB1228" s="42"/>
      <c r="AC1228" s="42"/>
    </row>
    <row r="1229" spans="1:29" x14ac:dyDescent="0.25">
      <c r="A1229" s="42"/>
      <c r="B1229" s="35"/>
      <c r="C1229" s="35"/>
      <c r="D1229" s="41"/>
      <c r="E1229" s="41"/>
      <c r="F1229" s="40"/>
      <c r="G1229" s="35"/>
      <c r="H1229" s="41"/>
      <c r="I1229" s="42"/>
      <c r="J1229" s="42"/>
      <c r="K1229" s="42"/>
      <c r="L1229" s="42"/>
      <c r="M1229" s="42"/>
      <c r="N1229" s="42"/>
      <c r="O1229" s="42"/>
      <c r="P1229" s="42"/>
      <c r="Q1229" s="42"/>
      <c r="R1229" s="42"/>
      <c r="S1229" s="42"/>
      <c r="T1229" s="42"/>
      <c r="U1229" s="42"/>
      <c r="V1229" s="42"/>
      <c r="W1229" s="42"/>
      <c r="X1229" s="42"/>
      <c r="Y1229" s="42"/>
      <c r="Z1229" s="42"/>
      <c r="AA1229" s="42"/>
      <c r="AB1229" s="42"/>
      <c r="AC1229" s="42"/>
    </row>
    <row r="1230" spans="1:29" x14ac:dyDescent="0.25">
      <c r="A1230" s="42"/>
      <c r="B1230" s="35"/>
      <c r="C1230" s="35"/>
      <c r="D1230" s="41"/>
      <c r="E1230" s="41"/>
      <c r="F1230" s="40"/>
      <c r="G1230" s="35"/>
      <c r="H1230" s="41"/>
      <c r="I1230" s="42"/>
      <c r="J1230" s="42"/>
      <c r="K1230" s="42"/>
      <c r="L1230" s="42"/>
      <c r="M1230" s="42"/>
      <c r="N1230" s="42"/>
      <c r="O1230" s="42"/>
      <c r="P1230" s="42"/>
      <c r="Q1230" s="42"/>
      <c r="R1230" s="42"/>
      <c r="S1230" s="42"/>
      <c r="T1230" s="42"/>
      <c r="U1230" s="42"/>
      <c r="V1230" s="42"/>
      <c r="W1230" s="42"/>
      <c r="X1230" s="42"/>
      <c r="Y1230" s="42"/>
      <c r="Z1230" s="42"/>
      <c r="AA1230" s="42"/>
      <c r="AB1230" s="42"/>
      <c r="AC1230" s="42"/>
    </row>
    <row r="1231" spans="1:29" x14ac:dyDescent="0.25">
      <c r="A1231" s="42"/>
      <c r="B1231" s="35"/>
      <c r="C1231" s="35"/>
      <c r="D1231" s="41"/>
      <c r="E1231" s="41"/>
      <c r="F1231" s="40"/>
      <c r="G1231" s="35"/>
      <c r="H1231" s="41"/>
      <c r="I1231" s="42"/>
      <c r="J1231" s="42"/>
      <c r="K1231" s="42"/>
      <c r="L1231" s="42"/>
      <c r="M1231" s="42"/>
      <c r="N1231" s="42"/>
      <c r="O1231" s="42"/>
      <c r="P1231" s="42"/>
      <c r="Q1231" s="42"/>
      <c r="R1231" s="42"/>
      <c r="S1231" s="42"/>
      <c r="T1231" s="42"/>
      <c r="U1231" s="42"/>
      <c r="V1231" s="42"/>
      <c r="W1231" s="42"/>
      <c r="X1231" s="42"/>
      <c r="Y1231" s="42"/>
      <c r="Z1231" s="42"/>
      <c r="AA1231" s="42"/>
      <c r="AB1231" s="42"/>
      <c r="AC1231" s="42"/>
    </row>
    <row r="1232" spans="1:29" x14ac:dyDescent="0.25">
      <c r="A1232" s="42"/>
      <c r="B1232" s="35"/>
      <c r="C1232" s="35"/>
      <c r="D1232" s="41"/>
      <c r="E1232" s="41"/>
      <c r="F1232" s="40"/>
      <c r="G1232" s="35"/>
      <c r="H1232" s="41"/>
      <c r="I1232" s="42"/>
      <c r="J1232" s="42"/>
      <c r="K1232" s="42"/>
      <c r="L1232" s="42"/>
      <c r="M1232" s="42"/>
      <c r="N1232" s="42"/>
      <c r="O1232" s="42"/>
      <c r="P1232" s="42"/>
      <c r="Q1232" s="42"/>
      <c r="R1232" s="42"/>
      <c r="S1232" s="42"/>
      <c r="T1232" s="42"/>
      <c r="U1232" s="42"/>
      <c r="V1232" s="42"/>
      <c r="W1232" s="42"/>
      <c r="X1232" s="42"/>
      <c r="Y1232" s="42"/>
      <c r="Z1232" s="42"/>
      <c r="AA1232" s="42"/>
      <c r="AB1232" s="42"/>
      <c r="AC1232" s="42"/>
    </row>
    <row r="1233" spans="1:29" x14ac:dyDescent="0.25">
      <c r="A1233" s="42"/>
      <c r="B1233" s="35"/>
      <c r="C1233" s="35"/>
      <c r="D1233" s="41"/>
      <c r="E1233" s="41"/>
      <c r="F1233" s="40"/>
      <c r="G1233" s="35"/>
      <c r="H1233" s="41"/>
      <c r="I1233" s="42"/>
      <c r="J1233" s="42"/>
      <c r="K1233" s="42"/>
      <c r="L1233" s="42"/>
      <c r="M1233" s="42"/>
      <c r="N1233" s="42"/>
      <c r="O1233" s="42"/>
      <c r="P1233" s="42"/>
      <c r="Q1233" s="42"/>
      <c r="R1233" s="42"/>
      <c r="S1233" s="42"/>
      <c r="T1233" s="42"/>
      <c r="U1233" s="42"/>
      <c r="V1233" s="42"/>
      <c r="W1233" s="42"/>
      <c r="X1233" s="42"/>
      <c r="Y1233" s="42"/>
      <c r="Z1233" s="42"/>
      <c r="AA1233" s="42"/>
      <c r="AB1233" s="42"/>
      <c r="AC1233" s="42"/>
    </row>
    <row r="1234" spans="1:29" x14ac:dyDescent="0.25">
      <c r="A1234" s="42"/>
      <c r="B1234" s="35"/>
      <c r="C1234" s="35"/>
      <c r="D1234" s="41"/>
      <c r="E1234" s="41"/>
      <c r="F1234" s="40"/>
      <c r="G1234" s="35"/>
      <c r="H1234" s="41"/>
      <c r="I1234" s="42"/>
      <c r="J1234" s="42"/>
      <c r="K1234" s="42"/>
      <c r="L1234" s="42"/>
      <c r="M1234" s="42"/>
      <c r="N1234" s="42"/>
      <c r="O1234" s="42"/>
      <c r="P1234" s="42"/>
      <c r="Q1234" s="42"/>
      <c r="R1234" s="42"/>
      <c r="S1234" s="42"/>
      <c r="T1234" s="42"/>
      <c r="U1234" s="42"/>
      <c r="V1234" s="42"/>
      <c r="W1234" s="42"/>
      <c r="X1234" s="42"/>
      <c r="Y1234" s="42"/>
      <c r="Z1234" s="42"/>
      <c r="AA1234" s="42"/>
      <c r="AB1234" s="42"/>
      <c r="AC1234" s="42"/>
    </row>
    <row r="1235" spans="1:29" x14ac:dyDescent="0.25">
      <c r="A1235" s="42"/>
      <c r="B1235" s="35"/>
      <c r="C1235" s="35"/>
      <c r="D1235" s="41"/>
      <c r="E1235" s="41"/>
      <c r="F1235" s="40"/>
      <c r="G1235" s="35"/>
      <c r="H1235" s="41"/>
      <c r="I1235" s="42"/>
      <c r="J1235" s="42"/>
      <c r="K1235" s="42"/>
      <c r="L1235" s="42"/>
      <c r="M1235" s="42"/>
      <c r="N1235" s="42"/>
      <c r="O1235" s="42"/>
      <c r="P1235" s="42"/>
      <c r="Q1235" s="42"/>
      <c r="R1235" s="42"/>
      <c r="S1235" s="42"/>
      <c r="T1235" s="42"/>
      <c r="U1235" s="42"/>
      <c r="V1235" s="42"/>
      <c r="W1235" s="42"/>
      <c r="X1235" s="42"/>
      <c r="Y1235" s="42"/>
      <c r="Z1235" s="42"/>
      <c r="AA1235" s="42"/>
      <c r="AB1235" s="42"/>
      <c r="AC1235" s="42"/>
    </row>
    <row r="1236" spans="1:29" x14ac:dyDescent="0.25">
      <c r="A1236" s="42"/>
      <c r="B1236" s="35"/>
      <c r="C1236" s="35"/>
      <c r="D1236" s="41"/>
      <c r="E1236" s="41"/>
      <c r="F1236" s="40"/>
      <c r="G1236" s="35"/>
      <c r="H1236" s="41"/>
      <c r="I1236" s="42"/>
      <c r="J1236" s="42"/>
      <c r="K1236" s="42"/>
      <c r="L1236" s="42"/>
      <c r="M1236" s="42"/>
      <c r="N1236" s="42"/>
      <c r="O1236" s="42"/>
      <c r="P1236" s="42"/>
      <c r="Q1236" s="42"/>
      <c r="R1236" s="42"/>
      <c r="S1236" s="42"/>
      <c r="T1236" s="42"/>
      <c r="U1236" s="42"/>
      <c r="V1236" s="42"/>
      <c r="W1236" s="42"/>
      <c r="X1236" s="42"/>
      <c r="Y1236" s="42"/>
      <c r="Z1236" s="42"/>
      <c r="AA1236" s="42"/>
      <c r="AB1236" s="42"/>
      <c r="AC1236" s="42"/>
    </row>
    <row r="1237" spans="1:29" x14ac:dyDescent="0.25">
      <c r="A1237" s="42"/>
      <c r="B1237" s="35"/>
      <c r="C1237" s="35"/>
      <c r="D1237" s="41"/>
      <c r="E1237" s="41"/>
      <c r="F1237" s="40"/>
      <c r="G1237" s="35"/>
      <c r="H1237" s="41"/>
      <c r="I1237" s="42"/>
      <c r="J1237" s="42"/>
      <c r="K1237" s="42"/>
      <c r="L1237" s="42"/>
      <c r="M1237" s="42"/>
      <c r="N1237" s="42"/>
      <c r="O1237" s="42"/>
      <c r="P1237" s="42"/>
      <c r="Q1237" s="42"/>
      <c r="R1237" s="42"/>
      <c r="S1237" s="42"/>
      <c r="T1237" s="42"/>
      <c r="U1237" s="42"/>
      <c r="V1237" s="42"/>
      <c r="W1237" s="42"/>
      <c r="X1237" s="42"/>
      <c r="Y1237" s="42"/>
      <c r="Z1237" s="42"/>
      <c r="AA1237" s="42"/>
      <c r="AB1237" s="42"/>
      <c r="AC1237" s="42"/>
    </row>
    <row r="1238" spans="1:29" x14ac:dyDescent="0.25">
      <c r="A1238" s="42"/>
      <c r="B1238" s="35"/>
      <c r="C1238" s="35"/>
      <c r="D1238" s="41"/>
      <c r="E1238" s="41"/>
      <c r="F1238" s="40"/>
      <c r="G1238" s="35"/>
      <c r="H1238" s="41"/>
      <c r="I1238" s="42"/>
      <c r="J1238" s="42"/>
      <c r="K1238" s="42"/>
      <c r="L1238" s="42"/>
      <c r="M1238" s="42"/>
      <c r="N1238" s="42"/>
      <c r="O1238" s="42"/>
      <c r="P1238" s="42"/>
      <c r="Q1238" s="42"/>
      <c r="R1238" s="42"/>
      <c r="S1238" s="42"/>
      <c r="T1238" s="42"/>
      <c r="U1238" s="42"/>
      <c r="V1238" s="42"/>
      <c r="W1238" s="42"/>
      <c r="X1238" s="42"/>
      <c r="Y1238" s="42"/>
      <c r="Z1238" s="42"/>
      <c r="AA1238" s="42"/>
      <c r="AB1238" s="42"/>
      <c r="AC1238" s="42"/>
    </row>
    <row r="1239" spans="1:29" x14ac:dyDescent="0.25">
      <c r="A1239" s="42"/>
      <c r="B1239" s="35"/>
      <c r="C1239" s="35"/>
      <c r="D1239" s="41"/>
      <c r="E1239" s="41"/>
      <c r="F1239" s="40"/>
      <c r="G1239" s="35"/>
      <c r="H1239" s="41"/>
      <c r="I1239" s="42"/>
      <c r="J1239" s="42"/>
      <c r="K1239" s="42"/>
      <c r="L1239" s="42"/>
      <c r="M1239" s="42"/>
      <c r="N1239" s="42"/>
      <c r="O1239" s="42"/>
      <c r="P1239" s="42"/>
      <c r="Q1239" s="42"/>
      <c r="R1239" s="42"/>
      <c r="S1239" s="42"/>
      <c r="T1239" s="42"/>
      <c r="U1239" s="42"/>
      <c r="V1239" s="42"/>
      <c r="W1239" s="42"/>
      <c r="X1239" s="42"/>
      <c r="Y1239" s="42"/>
      <c r="Z1239" s="42"/>
      <c r="AA1239" s="42"/>
      <c r="AB1239" s="42"/>
      <c r="AC1239" s="42"/>
    </row>
    <row r="1240" spans="1:29" x14ac:dyDescent="0.25">
      <c r="A1240" s="42"/>
      <c r="B1240" s="35"/>
      <c r="C1240" s="35"/>
      <c r="D1240" s="41"/>
      <c r="E1240" s="41"/>
      <c r="F1240" s="40"/>
      <c r="G1240" s="35"/>
      <c r="H1240" s="41"/>
      <c r="I1240" s="42"/>
      <c r="J1240" s="42"/>
      <c r="K1240" s="42"/>
      <c r="L1240" s="42"/>
      <c r="M1240" s="42"/>
      <c r="N1240" s="42"/>
      <c r="O1240" s="42"/>
      <c r="P1240" s="42"/>
      <c r="Q1240" s="42"/>
      <c r="R1240" s="42"/>
      <c r="S1240" s="42"/>
      <c r="T1240" s="42"/>
      <c r="U1240" s="42"/>
      <c r="V1240" s="42"/>
      <c r="W1240" s="42"/>
      <c r="X1240" s="42"/>
      <c r="Y1240" s="42"/>
      <c r="Z1240" s="42"/>
      <c r="AA1240" s="42"/>
      <c r="AB1240" s="42"/>
      <c r="AC1240" s="42"/>
    </row>
    <row r="1241" spans="1:29" x14ac:dyDescent="0.25">
      <c r="A1241" s="42"/>
      <c r="B1241" s="35"/>
      <c r="C1241" s="35"/>
      <c r="D1241" s="41"/>
      <c r="E1241" s="41"/>
      <c r="F1241" s="40"/>
      <c r="G1241" s="35"/>
      <c r="H1241" s="41"/>
      <c r="I1241" s="42"/>
      <c r="J1241" s="42"/>
      <c r="K1241" s="42"/>
      <c r="L1241" s="42"/>
      <c r="M1241" s="42"/>
      <c r="N1241" s="42"/>
      <c r="O1241" s="42"/>
      <c r="P1241" s="42"/>
      <c r="Q1241" s="42"/>
      <c r="R1241" s="42"/>
      <c r="S1241" s="42"/>
      <c r="T1241" s="42"/>
      <c r="U1241" s="42"/>
      <c r="V1241" s="42"/>
      <c r="W1241" s="42"/>
      <c r="X1241" s="42"/>
      <c r="Y1241" s="42"/>
      <c r="Z1241" s="42"/>
      <c r="AA1241" s="42"/>
      <c r="AB1241" s="42"/>
      <c r="AC1241" s="42"/>
    </row>
    <row r="1242" spans="1:29" x14ac:dyDescent="0.25">
      <c r="A1242" s="42"/>
      <c r="B1242" s="35"/>
      <c r="C1242" s="35"/>
      <c r="D1242" s="41"/>
      <c r="E1242" s="41"/>
      <c r="F1242" s="40"/>
      <c r="G1242" s="35"/>
      <c r="H1242" s="41"/>
      <c r="I1242" s="42"/>
      <c r="J1242" s="42"/>
      <c r="K1242" s="42"/>
      <c r="L1242" s="42"/>
      <c r="M1242" s="42"/>
      <c r="N1242" s="42"/>
      <c r="O1242" s="42"/>
      <c r="P1242" s="42"/>
      <c r="Q1242" s="42"/>
      <c r="R1242" s="42"/>
      <c r="S1242" s="42"/>
      <c r="T1242" s="42"/>
      <c r="U1242" s="42"/>
      <c r="V1242" s="42"/>
      <c r="W1242" s="42"/>
      <c r="X1242" s="42"/>
      <c r="Y1242" s="42"/>
      <c r="Z1242" s="42"/>
      <c r="AA1242" s="42"/>
      <c r="AB1242" s="42"/>
      <c r="AC1242" s="42"/>
    </row>
    <row r="1243" spans="1:29" x14ac:dyDescent="0.25">
      <c r="A1243" s="42"/>
      <c r="B1243" s="35"/>
      <c r="C1243" s="35"/>
      <c r="D1243" s="41"/>
      <c r="E1243" s="41"/>
      <c r="F1243" s="40"/>
      <c r="G1243" s="35"/>
      <c r="H1243" s="41"/>
      <c r="I1243" s="42"/>
      <c r="J1243" s="42"/>
      <c r="K1243" s="42"/>
      <c r="L1243" s="42"/>
      <c r="M1243" s="42"/>
      <c r="N1243" s="42"/>
      <c r="O1243" s="42"/>
      <c r="P1243" s="42"/>
      <c r="Q1243" s="42"/>
      <c r="R1243" s="42"/>
      <c r="S1243" s="42"/>
      <c r="T1243" s="42"/>
      <c r="U1243" s="42"/>
      <c r="V1243" s="42"/>
      <c r="W1243" s="42"/>
      <c r="X1243" s="42"/>
      <c r="Y1243" s="42"/>
      <c r="Z1243" s="42"/>
      <c r="AA1243" s="42"/>
      <c r="AB1243" s="42"/>
      <c r="AC1243" s="42"/>
    </row>
    <row r="1244" spans="1:29" x14ac:dyDescent="0.25">
      <c r="A1244" s="42"/>
      <c r="B1244" s="35"/>
      <c r="C1244" s="35"/>
      <c r="D1244" s="41"/>
      <c r="E1244" s="41"/>
      <c r="F1244" s="40"/>
      <c r="G1244" s="35"/>
      <c r="H1244" s="41"/>
      <c r="I1244" s="42"/>
      <c r="J1244" s="42"/>
      <c r="K1244" s="42"/>
      <c r="L1244" s="42"/>
      <c r="M1244" s="42"/>
      <c r="N1244" s="42"/>
      <c r="O1244" s="42"/>
      <c r="P1244" s="42"/>
      <c r="Q1244" s="42"/>
      <c r="R1244" s="42"/>
      <c r="S1244" s="42"/>
      <c r="T1244" s="42"/>
      <c r="U1244" s="42"/>
      <c r="V1244" s="42"/>
      <c r="W1244" s="42"/>
      <c r="X1244" s="42"/>
      <c r="Y1244" s="42"/>
      <c r="Z1244" s="42"/>
      <c r="AA1244" s="42"/>
      <c r="AB1244" s="42"/>
      <c r="AC1244" s="42"/>
    </row>
    <row r="1245" spans="1:29" x14ac:dyDescent="0.25">
      <c r="A1245" s="42"/>
      <c r="B1245" s="35"/>
      <c r="C1245" s="35"/>
      <c r="D1245" s="41"/>
      <c r="E1245" s="41"/>
      <c r="F1245" s="40"/>
      <c r="G1245" s="35"/>
      <c r="H1245" s="41"/>
      <c r="I1245" s="42"/>
      <c r="J1245" s="42"/>
      <c r="K1245" s="42"/>
      <c r="L1245" s="42"/>
      <c r="M1245" s="42"/>
      <c r="N1245" s="42"/>
      <c r="O1245" s="42"/>
      <c r="P1245" s="42"/>
      <c r="Q1245" s="42"/>
      <c r="R1245" s="42"/>
      <c r="S1245" s="42"/>
      <c r="T1245" s="42"/>
      <c r="U1245" s="42"/>
      <c r="V1245" s="42"/>
      <c r="W1245" s="42"/>
      <c r="X1245" s="42"/>
      <c r="Y1245" s="42"/>
      <c r="Z1245" s="42"/>
      <c r="AA1245" s="42"/>
      <c r="AB1245" s="42"/>
      <c r="AC1245" s="42"/>
    </row>
    <row r="1246" spans="1:29" x14ac:dyDescent="0.25">
      <c r="A1246" s="42"/>
      <c r="B1246" s="35"/>
      <c r="C1246" s="35"/>
      <c r="D1246" s="41"/>
      <c r="E1246" s="41"/>
      <c r="F1246" s="40"/>
      <c r="G1246" s="35"/>
      <c r="H1246" s="41"/>
      <c r="I1246" s="42"/>
      <c r="J1246" s="42"/>
      <c r="K1246" s="42"/>
      <c r="L1246" s="42"/>
      <c r="M1246" s="42"/>
      <c r="N1246" s="42"/>
      <c r="O1246" s="42"/>
      <c r="P1246" s="42"/>
      <c r="Q1246" s="42"/>
      <c r="R1246" s="42"/>
      <c r="S1246" s="42"/>
      <c r="T1246" s="42"/>
      <c r="U1246" s="42"/>
      <c r="V1246" s="42"/>
      <c r="W1246" s="42"/>
      <c r="X1246" s="42"/>
      <c r="Y1246" s="42"/>
      <c r="Z1246" s="42"/>
      <c r="AA1246" s="42"/>
      <c r="AB1246" s="42"/>
      <c r="AC1246" s="42"/>
    </row>
    <row r="1247" spans="1:29" x14ac:dyDescent="0.25">
      <c r="A1247" s="42"/>
      <c r="B1247" s="35"/>
      <c r="C1247" s="35"/>
      <c r="D1247" s="41"/>
      <c r="E1247" s="41"/>
      <c r="F1247" s="40"/>
      <c r="G1247" s="35"/>
      <c r="H1247" s="41"/>
      <c r="I1247" s="42"/>
      <c r="J1247" s="42"/>
      <c r="K1247" s="42"/>
      <c r="L1247" s="42"/>
      <c r="M1247" s="42"/>
      <c r="N1247" s="42"/>
      <c r="O1247" s="42"/>
      <c r="P1247" s="42"/>
      <c r="Q1247" s="42"/>
      <c r="R1247" s="42"/>
      <c r="S1247" s="42"/>
      <c r="T1247" s="42"/>
      <c r="U1247" s="42"/>
      <c r="V1247" s="42"/>
      <c r="W1247" s="42"/>
      <c r="X1247" s="42"/>
      <c r="Y1247" s="42"/>
      <c r="Z1247" s="42"/>
      <c r="AA1247" s="42"/>
      <c r="AB1247" s="42"/>
      <c r="AC1247" s="42"/>
    </row>
    <row r="1248" spans="1:29" x14ac:dyDescent="0.25">
      <c r="A1248" s="42"/>
      <c r="B1248" s="35"/>
      <c r="C1248" s="35"/>
      <c r="D1248" s="41"/>
      <c r="E1248" s="41"/>
      <c r="F1248" s="40"/>
      <c r="G1248" s="35"/>
      <c r="H1248" s="41"/>
      <c r="I1248" s="42"/>
      <c r="J1248" s="42"/>
      <c r="K1248" s="42"/>
      <c r="L1248" s="42"/>
      <c r="M1248" s="42"/>
      <c r="N1248" s="42"/>
      <c r="O1248" s="42"/>
      <c r="P1248" s="42"/>
      <c r="Q1248" s="42"/>
      <c r="R1248" s="42"/>
      <c r="S1248" s="42"/>
      <c r="T1248" s="42"/>
      <c r="U1248" s="42"/>
      <c r="V1248" s="42"/>
      <c r="W1248" s="42"/>
      <c r="X1248" s="42"/>
      <c r="Y1248" s="42"/>
      <c r="Z1248" s="42"/>
      <c r="AA1248" s="42"/>
      <c r="AB1248" s="42"/>
      <c r="AC1248" s="42"/>
    </row>
    <row r="1249" spans="1:29" x14ac:dyDescent="0.25">
      <c r="A1249" s="42"/>
      <c r="B1249" s="35"/>
      <c r="C1249" s="35"/>
      <c r="D1249" s="41"/>
      <c r="E1249" s="41"/>
      <c r="F1249" s="40"/>
      <c r="G1249" s="35"/>
      <c r="H1249" s="41"/>
      <c r="I1249" s="42"/>
      <c r="J1249" s="42"/>
      <c r="K1249" s="42"/>
      <c r="L1249" s="42"/>
      <c r="M1249" s="42"/>
      <c r="N1249" s="42"/>
      <c r="O1249" s="42"/>
      <c r="P1249" s="42"/>
      <c r="Q1249" s="42"/>
      <c r="R1249" s="42"/>
      <c r="S1249" s="42"/>
      <c r="T1249" s="42"/>
      <c r="U1249" s="42"/>
      <c r="V1249" s="42"/>
      <c r="W1249" s="42"/>
      <c r="X1249" s="42"/>
      <c r="Y1249" s="42"/>
      <c r="Z1249" s="42"/>
      <c r="AA1249" s="42"/>
      <c r="AB1249" s="42"/>
      <c r="AC1249" s="42"/>
    </row>
    <row r="1250" spans="1:29" x14ac:dyDescent="0.25">
      <c r="A1250" s="42"/>
      <c r="B1250" s="35"/>
      <c r="C1250" s="35"/>
      <c r="D1250" s="41"/>
      <c r="E1250" s="41"/>
      <c r="F1250" s="40"/>
      <c r="G1250" s="35"/>
      <c r="H1250" s="41"/>
      <c r="I1250" s="42"/>
      <c r="J1250" s="42"/>
      <c r="K1250" s="42"/>
      <c r="L1250" s="42"/>
      <c r="M1250" s="42"/>
      <c r="N1250" s="42"/>
      <c r="O1250" s="42"/>
      <c r="P1250" s="42"/>
      <c r="Q1250" s="42"/>
      <c r="R1250" s="42"/>
      <c r="S1250" s="42"/>
      <c r="T1250" s="42"/>
      <c r="U1250" s="42"/>
      <c r="V1250" s="42"/>
      <c r="W1250" s="42"/>
      <c r="X1250" s="42"/>
      <c r="Y1250" s="42"/>
      <c r="Z1250" s="42"/>
      <c r="AA1250" s="42"/>
      <c r="AB1250" s="42"/>
      <c r="AC1250" s="42"/>
    </row>
    <row r="1251" spans="1:29" x14ac:dyDescent="0.25">
      <c r="A1251" s="42"/>
      <c r="B1251" s="35"/>
      <c r="C1251" s="35"/>
      <c r="D1251" s="41"/>
      <c r="E1251" s="41"/>
      <c r="F1251" s="40"/>
      <c r="G1251" s="35"/>
      <c r="H1251" s="41"/>
      <c r="I1251" s="42"/>
      <c r="J1251" s="42"/>
      <c r="K1251" s="42"/>
      <c r="L1251" s="42"/>
      <c r="M1251" s="42"/>
      <c r="N1251" s="42"/>
      <c r="O1251" s="42"/>
      <c r="P1251" s="42"/>
      <c r="Q1251" s="42"/>
      <c r="R1251" s="42"/>
      <c r="S1251" s="42"/>
      <c r="T1251" s="42"/>
      <c r="U1251" s="42"/>
      <c r="V1251" s="42"/>
      <c r="W1251" s="42"/>
      <c r="X1251" s="42"/>
      <c r="Y1251" s="42"/>
      <c r="Z1251" s="42"/>
      <c r="AA1251" s="42"/>
      <c r="AB1251" s="42"/>
      <c r="AC1251" s="42"/>
    </row>
    <row r="1252" spans="1:29" x14ac:dyDescent="0.25">
      <c r="A1252" s="42"/>
      <c r="B1252" s="35"/>
      <c r="C1252" s="35"/>
      <c r="D1252" s="41"/>
      <c r="E1252" s="41"/>
      <c r="F1252" s="40"/>
      <c r="G1252" s="35"/>
      <c r="H1252" s="41"/>
      <c r="I1252" s="42"/>
      <c r="J1252" s="42"/>
      <c r="K1252" s="42"/>
      <c r="L1252" s="42"/>
      <c r="M1252" s="42"/>
      <c r="N1252" s="42"/>
      <c r="O1252" s="42"/>
      <c r="P1252" s="42"/>
      <c r="Q1252" s="42"/>
      <c r="R1252" s="42"/>
      <c r="S1252" s="42"/>
      <c r="T1252" s="42"/>
      <c r="U1252" s="42"/>
      <c r="V1252" s="42"/>
      <c r="W1252" s="42"/>
      <c r="X1252" s="42"/>
      <c r="Y1252" s="42"/>
      <c r="Z1252" s="42"/>
      <c r="AA1252" s="42"/>
      <c r="AB1252" s="42"/>
      <c r="AC1252" s="42"/>
    </row>
    <row r="1253" spans="1:29" x14ac:dyDescent="0.25">
      <c r="A1253" s="42"/>
      <c r="B1253" s="35"/>
      <c r="C1253" s="35"/>
      <c r="D1253" s="41"/>
      <c r="E1253" s="41"/>
      <c r="F1253" s="40"/>
      <c r="G1253" s="35"/>
      <c r="H1253" s="41"/>
      <c r="I1253" s="42"/>
      <c r="J1253" s="42"/>
      <c r="K1253" s="42"/>
      <c r="L1253" s="42"/>
      <c r="M1253" s="42"/>
      <c r="N1253" s="42"/>
      <c r="O1253" s="42"/>
      <c r="P1253" s="42"/>
      <c r="Q1253" s="42"/>
      <c r="R1253" s="42"/>
      <c r="S1253" s="42"/>
      <c r="T1253" s="42"/>
      <c r="U1253" s="42"/>
      <c r="V1253" s="42"/>
      <c r="W1253" s="42"/>
      <c r="X1253" s="42"/>
      <c r="Y1253" s="42"/>
      <c r="Z1253" s="42"/>
      <c r="AA1253" s="42"/>
      <c r="AB1253" s="42"/>
      <c r="AC1253" s="42"/>
    </row>
    <row r="1254" spans="1:29" x14ac:dyDescent="0.25">
      <c r="A1254" s="42"/>
      <c r="B1254" s="35"/>
      <c r="C1254" s="35"/>
      <c r="D1254" s="41"/>
      <c r="E1254" s="41"/>
      <c r="F1254" s="40"/>
      <c r="G1254" s="35"/>
      <c r="H1254" s="41"/>
      <c r="I1254" s="42"/>
      <c r="J1254" s="42"/>
      <c r="K1254" s="42"/>
      <c r="L1254" s="42"/>
      <c r="M1254" s="42"/>
      <c r="N1254" s="42"/>
      <c r="O1254" s="42"/>
      <c r="P1254" s="42"/>
      <c r="Q1254" s="42"/>
      <c r="R1254" s="42"/>
      <c r="S1254" s="42"/>
      <c r="T1254" s="42"/>
      <c r="U1254" s="42"/>
      <c r="V1254" s="42"/>
      <c r="W1254" s="42"/>
      <c r="X1254" s="42"/>
      <c r="Y1254" s="42"/>
      <c r="Z1254" s="42"/>
      <c r="AA1254" s="42"/>
      <c r="AB1254" s="42"/>
      <c r="AC1254" s="42"/>
    </row>
    <row r="1255" spans="1:29" x14ac:dyDescent="0.25">
      <c r="A1255" s="42"/>
      <c r="B1255" s="35"/>
      <c r="C1255" s="35"/>
      <c r="D1255" s="41"/>
      <c r="E1255" s="41"/>
      <c r="F1255" s="40"/>
      <c r="G1255" s="35"/>
      <c r="H1255" s="41"/>
      <c r="I1255" s="42"/>
      <c r="J1255" s="42"/>
      <c r="K1255" s="42"/>
      <c r="L1255" s="42"/>
      <c r="M1255" s="42"/>
      <c r="N1255" s="42"/>
      <c r="O1255" s="42"/>
      <c r="P1255" s="42"/>
      <c r="Q1255" s="42"/>
      <c r="R1255" s="42"/>
      <c r="S1255" s="42"/>
      <c r="T1255" s="42"/>
      <c r="U1255" s="42"/>
      <c r="V1255" s="42"/>
      <c r="W1255" s="42"/>
      <c r="X1255" s="42"/>
      <c r="Y1255" s="42"/>
      <c r="Z1255" s="42"/>
      <c r="AA1255" s="42"/>
      <c r="AB1255" s="42"/>
      <c r="AC1255" s="42"/>
    </row>
    <row r="1256" spans="1:29" x14ac:dyDescent="0.25">
      <c r="A1256" s="42"/>
      <c r="B1256" s="35"/>
      <c r="C1256" s="35"/>
      <c r="D1256" s="41"/>
      <c r="E1256" s="41"/>
      <c r="F1256" s="40"/>
      <c r="G1256" s="35"/>
      <c r="H1256" s="41"/>
      <c r="I1256" s="42"/>
      <c r="J1256" s="42"/>
      <c r="K1256" s="42"/>
      <c r="L1256" s="42"/>
      <c r="M1256" s="42"/>
      <c r="N1256" s="42"/>
      <c r="O1256" s="42"/>
      <c r="P1256" s="42"/>
      <c r="Q1256" s="42"/>
      <c r="R1256" s="42"/>
      <c r="S1256" s="42"/>
      <c r="T1256" s="42"/>
      <c r="U1256" s="42"/>
      <c r="V1256" s="42"/>
      <c r="W1256" s="42"/>
      <c r="X1256" s="42"/>
      <c r="Y1256" s="42"/>
      <c r="Z1256" s="42"/>
      <c r="AA1256" s="42"/>
      <c r="AB1256" s="42"/>
      <c r="AC1256" s="42"/>
    </row>
    <row r="1257" spans="1:29" x14ac:dyDescent="0.25">
      <c r="A1257" s="42"/>
      <c r="B1257" s="35"/>
      <c r="C1257" s="35"/>
      <c r="D1257" s="41"/>
      <c r="E1257" s="41"/>
      <c r="F1257" s="40"/>
      <c r="G1257" s="35"/>
      <c r="H1257" s="41"/>
      <c r="I1257" s="42"/>
      <c r="J1257" s="42"/>
      <c r="K1257" s="42"/>
      <c r="L1257" s="42"/>
      <c r="M1257" s="42"/>
      <c r="N1257" s="42"/>
      <c r="O1257" s="42"/>
      <c r="P1257" s="42"/>
      <c r="Q1257" s="42"/>
      <c r="R1257" s="42"/>
      <c r="S1257" s="42"/>
      <c r="T1257" s="42"/>
      <c r="U1257" s="42"/>
      <c r="V1257" s="42"/>
      <c r="W1257" s="42"/>
      <c r="X1257" s="42"/>
      <c r="Y1257" s="42"/>
      <c r="Z1257" s="42"/>
      <c r="AA1257" s="42"/>
      <c r="AB1257" s="42"/>
      <c r="AC1257" s="42"/>
    </row>
    <row r="1258" spans="1:29" x14ac:dyDescent="0.25">
      <c r="A1258" s="42"/>
      <c r="B1258" s="35"/>
      <c r="C1258" s="35"/>
      <c r="D1258" s="41"/>
      <c r="E1258" s="41"/>
      <c r="F1258" s="40"/>
      <c r="G1258" s="35"/>
      <c r="H1258" s="41"/>
      <c r="I1258" s="42"/>
      <c r="J1258" s="42"/>
      <c r="K1258" s="42"/>
      <c r="L1258" s="42"/>
      <c r="M1258" s="42"/>
      <c r="N1258" s="42"/>
      <c r="O1258" s="42"/>
      <c r="P1258" s="42"/>
      <c r="Q1258" s="42"/>
      <c r="R1258" s="42"/>
      <c r="S1258" s="42"/>
      <c r="T1258" s="42"/>
      <c r="U1258" s="42"/>
      <c r="V1258" s="42"/>
      <c r="W1258" s="42"/>
      <c r="X1258" s="42"/>
      <c r="Y1258" s="42"/>
      <c r="Z1258" s="42"/>
      <c r="AA1258" s="42"/>
      <c r="AB1258" s="42"/>
      <c r="AC1258" s="42"/>
    </row>
    <row r="1259" spans="1:29" x14ac:dyDescent="0.25">
      <c r="A1259" s="42"/>
      <c r="B1259" s="35"/>
      <c r="C1259" s="35"/>
      <c r="D1259" s="41"/>
      <c r="E1259" s="41"/>
      <c r="F1259" s="40"/>
      <c r="G1259" s="35"/>
      <c r="H1259" s="41"/>
      <c r="I1259" s="42"/>
      <c r="J1259" s="42"/>
      <c r="K1259" s="42"/>
      <c r="L1259" s="42"/>
      <c r="M1259" s="42"/>
      <c r="N1259" s="42"/>
      <c r="O1259" s="42"/>
      <c r="P1259" s="42"/>
      <c r="Q1259" s="42"/>
      <c r="R1259" s="42"/>
      <c r="S1259" s="42"/>
      <c r="T1259" s="42"/>
      <c r="U1259" s="42"/>
      <c r="V1259" s="42"/>
      <c r="W1259" s="42"/>
      <c r="X1259" s="42"/>
      <c r="Y1259" s="42"/>
      <c r="Z1259" s="42"/>
      <c r="AA1259" s="42"/>
      <c r="AB1259" s="42"/>
      <c r="AC1259" s="42"/>
    </row>
    <row r="1260" spans="1:29" x14ac:dyDescent="0.25">
      <c r="A1260" s="42"/>
      <c r="B1260" s="35"/>
      <c r="C1260" s="35"/>
      <c r="D1260" s="41"/>
      <c r="E1260" s="41"/>
      <c r="F1260" s="40"/>
      <c r="G1260" s="35"/>
      <c r="H1260" s="41"/>
      <c r="I1260" s="42"/>
      <c r="J1260" s="42"/>
      <c r="K1260" s="42"/>
      <c r="L1260" s="42"/>
      <c r="M1260" s="42"/>
      <c r="N1260" s="42"/>
      <c r="O1260" s="42"/>
      <c r="P1260" s="42"/>
      <c r="Q1260" s="42"/>
      <c r="R1260" s="42"/>
      <c r="S1260" s="42"/>
      <c r="T1260" s="42"/>
      <c r="U1260" s="42"/>
      <c r="V1260" s="42"/>
      <c r="W1260" s="42"/>
      <c r="X1260" s="42"/>
      <c r="Y1260" s="42"/>
      <c r="Z1260" s="42"/>
      <c r="AA1260" s="42"/>
      <c r="AB1260" s="42"/>
      <c r="AC1260" s="42"/>
    </row>
    <row r="1261" spans="1:29" x14ac:dyDescent="0.25">
      <c r="A1261" s="42"/>
      <c r="B1261" s="35"/>
      <c r="C1261" s="35"/>
      <c r="D1261" s="41"/>
      <c r="E1261" s="41"/>
      <c r="F1261" s="40"/>
      <c r="G1261" s="35"/>
      <c r="H1261" s="41"/>
      <c r="I1261" s="42"/>
      <c r="J1261" s="42"/>
      <c r="K1261" s="42"/>
      <c r="L1261" s="42"/>
      <c r="M1261" s="42"/>
      <c r="N1261" s="42"/>
      <c r="O1261" s="42"/>
      <c r="P1261" s="42"/>
      <c r="Q1261" s="42"/>
      <c r="R1261" s="42"/>
      <c r="S1261" s="42"/>
      <c r="T1261" s="42"/>
      <c r="U1261" s="42"/>
      <c r="V1261" s="42"/>
      <c r="W1261" s="42"/>
      <c r="X1261" s="42"/>
      <c r="Y1261" s="42"/>
      <c r="Z1261" s="42"/>
      <c r="AA1261" s="42"/>
      <c r="AB1261" s="42"/>
      <c r="AC1261" s="42"/>
    </row>
    <row r="1262" spans="1:29" x14ac:dyDescent="0.25">
      <c r="A1262" s="42"/>
      <c r="B1262" s="35"/>
      <c r="C1262" s="35"/>
      <c r="D1262" s="41"/>
      <c r="E1262" s="41"/>
      <c r="F1262" s="40"/>
      <c r="G1262" s="35"/>
      <c r="H1262" s="41"/>
      <c r="I1262" s="42"/>
      <c r="J1262" s="42"/>
      <c r="K1262" s="42"/>
      <c r="L1262" s="42"/>
      <c r="M1262" s="42"/>
      <c r="N1262" s="42"/>
      <c r="O1262" s="42"/>
      <c r="P1262" s="42"/>
      <c r="Q1262" s="42"/>
      <c r="R1262" s="42"/>
      <c r="S1262" s="42"/>
      <c r="T1262" s="42"/>
      <c r="U1262" s="42"/>
      <c r="V1262" s="42"/>
      <c r="W1262" s="42"/>
      <c r="X1262" s="42"/>
      <c r="Y1262" s="42"/>
      <c r="Z1262" s="42"/>
      <c r="AA1262" s="42"/>
      <c r="AB1262" s="42"/>
      <c r="AC1262" s="42"/>
    </row>
    <row r="1263" spans="1:29" x14ac:dyDescent="0.25">
      <c r="A1263" s="42"/>
      <c r="B1263" s="35"/>
      <c r="C1263" s="35"/>
      <c r="D1263" s="41"/>
      <c r="E1263" s="41"/>
      <c r="F1263" s="40"/>
      <c r="G1263" s="35"/>
      <c r="H1263" s="41"/>
      <c r="I1263" s="42"/>
      <c r="J1263" s="42"/>
      <c r="K1263" s="42"/>
      <c r="L1263" s="42"/>
      <c r="M1263" s="42"/>
      <c r="N1263" s="42"/>
      <c r="O1263" s="42"/>
      <c r="P1263" s="42"/>
      <c r="Q1263" s="42"/>
      <c r="R1263" s="42"/>
      <c r="S1263" s="42"/>
      <c r="T1263" s="42"/>
      <c r="U1263" s="42"/>
      <c r="V1263" s="42"/>
      <c r="W1263" s="42"/>
      <c r="X1263" s="42"/>
      <c r="Y1263" s="42"/>
      <c r="Z1263" s="42"/>
      <c r="AA1263" s="42"/>
      <c r="AB1263" s="42"/>
      <c r="AC1263" s="42"/>
    </row>
    <row r="1264" spans="1:29" x14ac:dyDescent="0.25">
      <c r="A1264" s="42"/>
      <c r="B1264" s="35"/>
      <c r="C1264" s="35"/>
      <c r="D1264" s="41"/>
      <c r="E1264" s="41"/>
      <c r="F1264" s="40"/>
      <c r="G1264" s="35"/>
      <c r="H1264" s="41"/>
      <c r="I1264" s="42"/>
      <c r="J1264" s="42"/>
      <c r="K1264" s="42"/>
      <c r="L1264" s="42"/>
      <c r="M1264" s="42"/>
      <c r="N1264" s="42"/>
      <c r="O1264" s="42"/>
      <c r="P1264" s="42"/>
      <c r="Q1264" s="42"/>
      <c r="R1264" s="42"/>
      <c r="S1264" s="42"/>
      <c r="T1264" s="42"/>
      <c r="U1264" s="42"/>
      <c r="V1264" s="42"/>
      <c r="W1264" s="42"/>
      <c r="X1264" s="42"/>
      <c r="Y1264" s="42"/>
      <c r="Z1264" s="42"/>
      <c r="AA1264" s="42"/>
      <c r="AB1264" s="42"/>
      <c r="AC1264" s="42"/>
    </row>
    <row r="1265" spans="1:29" x14ac:dyDescent="0.25">
      <c r="A1265" s="42"/>
      <c r="B1265" s="35"/>
      <c r="C1265" s="35"/>
      <c r="D1265" s="41"/>
      <c r="E1265" s="41"/>
      <c r="F1265" s="40"/>
      <c r="G1265" s="35"/>
      <c r="H1265" s="41"/>
      <c r="I1265" s="42"/>
      <c r="J1265" s="42"/>
      <c r="K1265" s="42"/>
      <c r="L1265" s="42"/>
      <c r="M1265" s="42"/>
      <c r="N1265" s="42"/>
      <c r="O1265" s="42"/>
      <c r="P1265" s="42"/>
      <c r="Q1265" s="42"/>
      <c r="R1265" s="42"/>
      <c r="S1265" s="42"/>
      <c r="T1265" s="42"/>
      <c r="U1265" s="42"/>
      <c r="V1265" s="42"/>
      <c r="W1265" s="42"/>
      <c r="X1265" s="42"/>
      <c r="Y1265" s="42"/>
      <c r="Z1265" s="42"/>
      <c r="AA1265" s="42"/>
      <c r="AB1265" s="42"/>
      <c r="AC1265" s="42"/>
    </row>
    <row r="1266" spans="1:29" x14ac:dyDescent="0.25">
      <c r="A1266" s="42"/>
      <c r="B1266" s="35"/>
      <c r="C1266" s="35"/>
      <c r="D1266" s="41"/>
      <c r="E1266" s="41"/>
      <c r="F1266" s="40"/>
      <c r="G1266" s="35"/>
      <c r="H1266" s="41"/>
      <c r="I1266" s="42"/>
      <c r="J1266" s="42"/>
      <c r="K1266" s="42"/>
      <c r="L1266" s="42"/>
      <c r="M1266" s="42"/>
      <c r="N1266" s="42"/>
      <c r="O1266" s="42"/>
      <c r="P1266" s="42"/>
      <c r="Q1266" s="42"/>
      <c r="R1266" s="42"/>
      <c r="S1266" s="42"/>
      <c r="T1266" s="42"/>
      <c r="U1266" s="42"/>
      <c r="V1266" s="42"/>
      <c r="W1266" s="42"/>
      <c r="X1266" s="42"/>
      <c r="Y1266" s="42"/>
      <c r="Z1266" s="42"/>
      <c r="AA1266" s="42"/>
      <c r="AB1266" s="42"/>
      <c r="AC1266" s="42"/>
    </row>
    <row r="1267" spans="1:29" x14ac:dyDescent="0.25">
      <c r="A1267" s="42"/>
      <c r="B1267" s="35"/>
      <c r="C1267" s="35"/>
      <c r="D1267" s="41"/>
      <c r="E1267" s="41"/>
      <c r="F1267" s="40"/>
      <c r="G1267" s="35"/>
      <c r="H1267" s="41"/>
      <c r="I1267" s="42"/>
      <c r="J1267" s="42"/>
      <c r="K1267" s="42"/>
      <c r="L1267" s="42"/>
      <c r="M1267" s="42"/>
      <c r="N1267" s="42"/>
      <c r="O1267" s="42"/>
      <c r="P1267" s="42"/>
      <c r="Q1267" s="42"/>
      <c r="R1267" s="42"/>
      <c r="S1267" s="42"/>
      <c r="T1267" s="42"/>
      <c r="U1267" s="42"/>
      <c r="V1267" s="42"/>
      <c r="W1267" s="42"/>
      <c r="X1267" s="42"/>
      <c r="Y1267" s="42"/>
      <c r="Z1267" s="42"/>
      <c r="AA1267" s="42"/>
      <c r="AB1267" s="42"/>
      <c r="AC1267" s="42"/>
    </row>
    <row r="1268" spans="1:29" x14ac:dyDescent="0.25">
      <c r="A1268" s="42"/>
      <c r="B1268" s="35"/>
      <c r="C1268" s="35"/>
      <c r="D1268" s="41"/>
      <c r="E1268" s="41"/>
      <c r="F1268" s="40"/>
      <c r="G1268" s="35"/>
      <c r="H1268" s="41"/>
      <c r="I1268" s="42"/>
      <c r="J1268" s="42"/>
      <c r="K1268" s="42"/>
      <c r="L1268" s="42"/>
      <c r="M1268" s="42"/>
      <c r="N1268" s="42"/>
      <c r="O1268" s="42"/>
      <c r="P1268" s="42"/>
      <c r="Q1268" s="42"/>
      <c r="R1268" s="42"/>
      <c r="S1268" s="42"/>
      <c r="T1268" s="42"/>
      <c r="U1268" s="42"/>
      <c r="V1268" s="42"/>
      <c r="W1268" s="42"/>
      <c r="X1268" s="42"/>
      <c r="Y1268" s="42"/>
      <c r="Z1268" s="42"/>
      <c r="AA1268" s="42"/>
      <c r="AB1268" s="42"/>
      <c r="AC1268" s="42"/>
    </row>
    <row r="1269" spans="1:29" x14ac:dyDescent="0.25">
      <c r="A1269" s="42"/>
      <c r="B1269" s="35"/>
      <c r="C1269" s="35"/>
      <c r="D1269" s="41"/>
      <c r="E1269" s="41"/>
      <c r="F1269" s="40"/>
      <c r="G1269" s="35"/>
      <c r="H1269" s="41"/>
      <c r="I1269" s="42"/>
      <c r="J1269" s="42"/>
      <c r="K1269" s="42"/>
      <c r="L1269" s="42"/>
      <c r="M1269" s="42"/>
      <c r="N1269" s="42"/>
      <c r="O1269" s="42"/>
      <c r="P1269" s="42"/>
      <c r="Q1269" s="42"/>
      <c r="R1269" s="42"/>
      <c r="S1269" s="42"/>
      <c r="T1269" s="42"/>
      <c r="U1269" s="42"/>
      <c r="V1269" s="42"/>
      <c r="W1269" s="42"/>
      <c r="X1269" s="42"/>
      <c r="Y1269" s="42"/>
      <c r="Z1269" s="42"/>
      <c r="AA1269" s="42"/>
      <c r="AB1269" s="42"/>
      <c r="AC1269" s="42"/>
    </row>
    <row r="1270" spans="1:29" x14ac:dyDescent="0.25">
      <c r="A1270" s="42"/>
      <c r="B1270" s="35"/>
      <c r="C1270" s="35"/>
      <c r="D1270" s="41"/>
      <c r="E1270" s="41"/>
      <c r="F1270" s="40"/>
      <c r="G1270" s="35"/>
      <c r="H1270" s="41"/>
      <c r="I1270" s="42"/>
      <c r="J1270" s="42"/>
      <c r="K1270" s="42"/>
      <c r="L1270" s="42"/>
      <c r="M1270" s="42"/>
      <c r="N1270" s="42"/>
      <c r="O1270" s="42"/>
      <c r="P1270" s="42"/>
      <c r="Q1270" s="42"/>
      <c r="R1270" s="42"/>
      <c r="S1270" s="42"/>
      <c r="T1270" s="42"/>
      <c r="U1270" s="42"/>
      <c r="V1270" s="42"/>
      <c r="W1270" s="42"/>
      <c r="X1270" s="42"/>
      <c r="Y1270" s="42"/>
      <c r="Z1270" s="42"/>
      <c r="AA1270" s="42"/>
      <c r="AB1270" s="42"/>
      <c r="AC1270" s="42"/>
    </row>
    <row r="1271" spans="1:29" x14ac:dyDescent="0.25">
      <c r="A1271" s="42"/>
      <c r="B1271" s="35"/>
      <c r="C1271" s="35"/>
      <c r="D1271" s="41"/>
      <c r="E1271" s="41"/>
      <c r="F1271" s="40"/>
      <c r="G1271" s="35"/>
      <c r="H1271" s="41"/>
      <c r="I1271" s="42"/>
      <c r="J1271" s="42"/>
      <c r="K1271" s="42"/>
      <c r="L1271" s="42"/>
      <c r="M1271" s="42"/>
      <c r="N1271" s="42"/>
      <c r="O1271" s="42"/>
      <c r="P1271" s="42"/>
      <c r="Q1271" s="42"/>
      <c r="R1271" s="42"/>
      <c r="S1271" s="42"/>
      <c r="T1271" s="42"/>
      <c r="U1271" s="42"/>
      <c r="V1271" s="42"/>
      <c r="W1271" s="42"/>
      <c r="X1271" s="42"/>
      <c r="Y1271" s="42"/>
      <c r="Z1271" s="42"/>
      <c r="AA1271" s="42"/>
      <c r="AB1271" s="42"/>
      <c r="AC1271" s="42"/>
    </row>
    <row r="1272" spans="1:29" x14ac:dyDescent="0.25">
      <c r="A1272" s="42"/>
      <c r="B1272" s="35"/>
      <c r="C1272" s="35"/>
      <c r="D1272" s="41"/>
      <c r="E1272" s="41"/>
      <c r="F1272" s="40"/>
      <c r="G1272" s="35"/>
      <c r="H1272" s="41"/>
      <c r="I1272" s="42"/>
      <c r="J1272" s="42"/>
      <c r="K1272" s="42"/>
      <c r="L1272" s="42"/>
      <c r="M1272" s="42"/>
      <c r="N1272" s="42"/>
      <c r="O1272" s="42"/>
      <c r="P1272" s="42"/>
      <c r="Q1272" s="42"/>
      <c r="R1272" s="42"/>
      <c r="S1272" s="42"/>
      <c r="T1272" s="42"/>
      <c r="U1272" s="42"/>
      <c r="V1272" s="42"/>
      <c r="W1272" s="42"/>
      <c r="X1272" s="42"/>
      <c r="Y1272" s="42"/>
      <c r="Z1272" s="42"/>
      <c r="AA1272" s="42"/>
      <c r="AB1272" s="42"/>
      <c r="AC1272" s="42"/>
    </row>
    <row r="1273" spans="1:29" x14ac:dyDescent="0.25">
      <c r="A1273" s="42"/>
      <c r="B1273" s="35"/>
      <c r="C1273" s="35"/>
      <c r="D1273" s="41"/>
      <c r="E1273" s="41"/>
      <c r="F1273" s="40"/>
      <c r="G1273" s="35"/>
      <c r="H1273" s="41"/>
      <c r="I1273" s="42"/>
      <c r="J1273" s="42"/>
      <c r="K1273" s="42"/>
      <c r="L1273" s="42"/>
      <c r="M1273" s="42"/>
      <c r="N1273" s="42"/>
      <c r="O1273" s="42"/>
      <c r="P1273" s="42"/>
      <c r="Q1273" s="42"/>
      <c r="R1273" s="42"/>
      <c r="S1273" s="42"/>
      <c r="T1273" s="42"/>
      <c r="U1273" s="42"/>
      <c r="V1273" s="42"/>
      <c r="W1273" s="42"/>
      <c r="X1273" s="42"/>
      <c r="Y1273" s="42"/>
      <c r="Z1273" s="42"/>
      <c r="AA1273" s="42"/>
      <c r="AB1273" s="42"/>
      <c r="AC1273" s="42"/>
    </row>
    <row r="1274" spans="1:29" x14ac:dyDescent="0.25">
      <c r="A1274" s="42"/>
      <c r="B1274" s="35"/>
      <c r="C1274" s="35"/>
      <c r="D1274" s="41"/>
      <c r="E1274" s="41"/>
      <c r="F1274" s="40"/>
      <c r="G1274" s="35"/>
      <c r="H1274" s="41"/>
      <c r="I1274" s="42"/>
      <c r="J1274" s="42"/>
      <c r="K1274" s="42"/>
      <c r="L1274" s="42"/>
      <c r="M1274" s="42"/>
      <c r="N1274" s="42"/>
      <c r="O1274" s="42"/>
      <c r="P1274" s="42"/>
      <c r="Q1274" s="42"/>
      <c r="R1274" s="42"/>
      <c r="S1274" s="42"/>
      <c r="T1274" s="42"/>
      <c r="U1274" s="42"/>
      <c r="V1274" s="42"/>
      <c r="W1274" s="42"/>
      <c r="X1274" s="42"/>
      <c r="Y1274" s="42"/>
      <c r="Z1274" s="42"/>
      <c r="AA1274" s="42"/>
      <c r="AB1274" s="42"/>
      <c r="AC1274" s="42"/>
    </row>
    <row r="1275" spans="1:29" x14ac:dyDescent="0.25">
      <c r="A1275" s="42"/>
      <c r="B1275" s="35"/>
      <c r="C1275" s="35"/>
      <c r="D1275" s="41"/>
      <c r="E1275" s="41"/>
      <c r="F1275" s="40"/>
      <c r="G1275" s="35"/>
      <c r="H1275" s="41"/>
      <c r="I1275" s="42"/>
      <c r="J1275" s="42"/>
      <c r="K1275" s="42"/>
      <c r="L1275" s="42"/>
      <c r="M1275" s="42"/>
      <c r="N1275" s="42"/>
      <c r="O1275" s="42"/>
      <c r="P1275" s="42"/>
      <c r="Q1275" s="42"/>
      <c r="R1275" s="42"/>
      <c r="S1275" s="42"/>
      <c r="T1275" s="42"/>
      <c r="U1275" s="42"/>
      <c r="V1275" s="42"/>
      <c r="W1275" s="42"/>
      <c r="X1275" s="42"/>
      <c r="Y1275" s="42"/>
      <c r="Z1275" s="42"/>
      <c r="AA1275" s="42"/>
      <c r="AB1275" s="42"/>
      <c r="AC1275" s="42"/>
    </row>
    <row r="1276" spans="1:29" x14ac:dyDescent="0.25">
      <c r="A1276" s="42"/>
      <c r="B1276" s="35"/>
      <c r="C1276" s="35"/>
      <c r="D1276" s="41"/>
      <c r="E1276" s="41"/>
      <c r="F1276" s="40"/>
      <c r="G1276" s="35"/>
      <c r="H1276" s="41"/>
      <c r="I1276" s="42"/>
      <c r="J1276" s="42"/>
      <c r="K1276" s="42"/>
      <c r="L1276" s="42"/>
      <c r="M1276" s="42"/>
      <c r="N1276" s="42"/>
      <c r="O1276" s="42"/>
      <c r="P1276" s="42"/>
      <c r="Q1276" s="42"/>
      <c r="R1276" s="42"/>
      <c r="S1276" s="42"/>
      <c r="T1276" s="42"/>
      <c r="U1276" s="42"/>
      <c r="V1276" s="42"/>
      <c r="W1276" s="42"/>
      <c r="X1276" s="42"/>
      <c r="Y1276" s="42"/>
      <c r="Z1276" s="42"/>
      <c r="AA1276" s="42"/>
      <c r="AB1276" s="42"/>
      <c r="AC1276" s="42"/>
    </row>
    <row r="1277" spans="1:29" x14ac:dyDescent="0.25">
      <c r="A1277" s="42"/>
      <c r="B1277" s="35"/>
      <c r="C1277" s="35"/>
      <c r="D1277" s="41"/>
      <c r="E1277" s="41"/>
      <c r="F1277" s="40"/>
      <c r="G1277" s="35"/>
      <c r="H1277" s="41"/>
      <c r="I1277" s="42"/>
      <c r="J1277" s="42"/>
      <c r="K1277" s="42"/>
      <c r="L1277" s="42"/>
      <c r="M1277" s="42"/>
      <c r="N1277" s="42"/>
      <c r="O1277" s="42"/>
      <c r="P1277" s="42"/>
      <c r="Q1277" s="42"/>
      <c r="R1277" s="42"/>
      <c r="S1277" s="42"/>
      <c r="T1277" s="42"/>
      <c r="U1277" s="42"/>
      <c r="V1277" s="42"/>
      <c r="W1277" s="42"/>
      <c r="X1277" s="42"/>
      <c r="Y1277" s="42"/>
      <c r="Z1277" s="42"/>
      <c r="AA1277" s="42"/>
      <c r="AB1277" s="42"/>
      <c r="AC1277" s="42"/>
    </row>
    <row r="1278" spans="1:29" x14ac:dyDescent="0.25">
      <c r="A1278" s="42"/>
      <c r="B1278" s="35"/>
      <c r="C1278" s="35"/>
      <c r="D1278" s="41"/>
      <c r="E1278" s="41"/>
      <c r="F1278" s="40"/>
      <c r="G1278" s="35"/>
      <c r="H1278" s="41"/>
      <c r="I1278" s="42"/>
      <c r="J1278" s="42"/>
      <c r="K1278" s="42"/>
      <c r="L1278" s="42"/>
      <c r="M1278" s="42"/>
      <c r="N1278" s="42"/>
      <c r="O1278" s="42"/>
      <c r="P1278" s="42"/>
      <c r="Q1278" s="42"/>
      <c r="R1278" s="42"/>
      <c r="S1278" s="42"/>
      <c r="T1278" s="42"/>
      <c r="U1278" s="42"/>
      <c r="V1278" s="42"/>
      <c r="W1278" s="42"/>
      <c r="X1278" s="42"/>
      <c r="Y1278" s="42"/>
      <c r="Z1278" s="42"/>
      <c r="AA1278" s="42"/>
      <c r="AB1278" s="42"/>
      <c r="AC1278" s="42"/>
    </row>
    <row r="1279" spans="1:29" x14ac:dyDescent="0.25">
      <c r="A1279" s="42"/>
      <c r="B1279" s="35"/>
      <c r="C1279" s="35"/>
      <c r="D1279" s="41"/>
      <c r="E1279" s="41"/>
      <c r="F1279" s="40"/>
      <c r="G1279" s="35"/>
      <c r="H1279" s="41"/>
      <c r="I1279" s="42"/>
      <c r="J1279" s="42"/>
      <c r="K1279" s="42"/>
      <c r="L1279" s="42"/>
      <c r="M1279" s="42"/>
      <c r="N1279" s="42"/>
      <c r="O1279" s="42"/>
      <c r="P1279" s="42"/>
      <c r="Q1279" s="42"/>
      <c r="R1279" s="42"/>
      <c r="S1279" s="42"/>
      <c r="T1279" s="42"/>
      <c r="U1279" s="42"/>
      <c r="V1279" s="42"/>
      <c r="W1279" s="42"/>
      <c r="X1279" s="42"/>
      <c r="Y1279" s="42"/>
      <c r="Z1279" s="42"/>
      <c r="AA1279" s="42"/>
      <c r="AB1279" s="42"/>
      <c r="AC1279" s="42"/>
    </row>
    <row r="1280" spans="1:29" x14ac:dyDescent="0.25">
      <c r="A1280" s="42"/>
      <c r="B1280" s="35"/>
      <c r="C1280" s="35"/>
      <c r="D1280" s="41"/>
      <c r="E1280" s="41"/>
      <c r="F1280" s="40"/>
      <c r="G1280" s="35"/>
      <c r="H1280" s="41"/>
      <c r="I1280" s="42"/>
      <c r="J1280" s="42"/>
      <c r="K1280" s="42"/>
      <c r="L1280" s="42"/>
      <c r="M1280" s="42"/>
      <c r="N1280" s="42"/>
      <c r="O1280" s="42"/>
      <c r="P1280" s="42"/>
      <c r="Q1280" s="42"/>
      <c r="R1280" s="42"/>
      <c r="S1280" s="42"/>
      <c r="T1280" s="42"/>
      <c r="U1280" s="42"/>
      <c r="V1280" s="42"/>
      <c r="W1280" s="42"/>
      <c r="X1280" s="42"/>
      <c r="Y1280" s="42"/>
      <c r="Z1280" s="42"/>
      <c r="AA1280" s="42"/>
      <c r="AB1280" s="42"/>
      <c r="AC1280" s="42"/>
    </row>
    <row r="1281" spans="1:29" x14ac:dyDescent="0.25">
      <c r="A1281" s="42"/>
      <c r="B1281" s="35"/>
      <c r="C1281" s="35"/>
      <c r="D1281" s="41"/>
      <c r="E1281" s="41"/>
      <c r="F1281" s="40"/>
      <c r="G1281" s="35"/>
      <c r="H1281" s="41"/>
      <c r="I1281" s="42"/>
      <c r="J1281" s="42"/>
      <c r="K1281" s="42"/>
      <c r="L1281" s="42"/>
      <c r="M1281" s="42"/>
      <c r="N1281" s="42"/>
      <c r="O1281" s="42"/>
      <c r="P1281" s="42"/>
      <c r="Q1281" s="42"/>
      <c r="R1281" s="42"/>
      <c r="S1281" s="42"/>
      <c r="T1281" s="42"/>
      <c r="U1281" s="42"/>
      <c r="V1281" s="42"/>
      <c r="W1281" s="42"/>
      <c r="X1281" s="42"/>
      <c r="Y1281" s="42"/>
      <c r="Z1281" s="42"/>
      <c r="AA1281" s="42"/>
      <c r="AB1281" s="42"/>
      <c r="AC1281" s="42"/>
    </row>
    <row r="1282" spans="1:29" x14ac:dyDescent="0.25">
      <c r="A1282" s="42"/>
      <c r="B1282" s="35"/>
      <c r="C1282" s="35"/>
      <c r="D1282" s="41"/>
      <c r="E1282" s="41"/>
      <c r="F1282" s="40"/>
      <c r="G1282" s="35"/>
      <c r="H1282" s="41"/>
      <c r="I1282" s="42"/>
      <c r="J1282" s="42"/>
      <c r="K1282" s="42"/>
      <c r="L1282" s="42"/>
      <c r="M1282" s="42"/>
      <c r="N1282" s="42"/>
      <c r="O1282" s="42"/>
      <c r="P1282" s="42"/>
      <c r="Q1282" s="42"/>
      <c r="R1282" s="42"/>
      <c r="S1282" s="42"/>
      <c r="T1282" s="42"/>
      <c r="U1282" s="42"/>
      <c r="V1282" s="42"/>
      <c r="W1282" s="42"/>
      <c r="X1282" s="42"/>
      <c r="Y1282" s="42"/>
      <c r="Z1282" s="42"/>
      <c r="AA1282" s="42"/>
      <c r="AB1282" s="42"/>
      <c r="AC1282" s="42"/>
    </row>
    <row r="1283" spans="1:29" x14ac:dyDescent="0.25">
      <c r="A1283" s="42"/>
      <c r="B1283" s="35"/>
      <c r="C1283" s="35"/>
      <c r="D1283" s="41"/>
      <c r="E1283" s="41"/>
      <c r="F1283" s="40"/>
      <c r="G1283" s="35"/>
      <c r="H1283" s="41"/>
      <c r="I1283" s="42"/>
      <c r="J1283" s="42"/>
      <c r="K1283" s="42"/>
      <c r="L1283" s="42"/>
      <c r="M1283" s="42"/>
      <c r="N1283" s="42"/>
      <c r="O1283" s="42"/>
      <c r="P1283" s="42"/>
      <c r="Q1283" s="42"/>
      <c r="R1283" s="42"/>
      <c r="S1283" s="42"/>
      <c r="T1283" s="42"/>
      <c r="U1283" s="42"/>
      <c r="V1283" s="42"/>
      <c r="W1283" s="42"/>
      <c r="X1283" s="42"/>
      <c r="Y1283" s="42"/>
      <c r="Z1283" s="42"/>
      <c r="AA1283" s="42"/>
      <c r="AB1283" s="42"/>
      <c r="AC1283" s="42"/>
    </row>
    <row r="1284" spans="1:29" x14ac:dyDescent="0.25">
      <c r="A1284" s="42"/>
      <c r="B1284" s="35"/>
      <c r="C1284" s="35"/>
      <c r="D1284" s="41"/>
      <c r="E1284" s="41"/>
      <c r="F1284" s="40"/>
      <c r="G1284" s="35"/>
      <c r="H1284" s="41"/>
      <c r="I1284" s="42"/>
      <c r="J1284" s="42"/>
      <c r="K1284" s="42"/>
      <c r="L1284" s="42"/>
      <c r="M1284" s="42"/>
      <c r="N1284" s="42"/>
      <c r="O1284" s="42"/>
      <c r="P1284" s="42"/>
      <c r="Q1284" s="42"/>
      <c r="R1284" s="42"/>
      <c r="S1284" s="42"/>
      <c r="T1284" s="42"/>
      <c r="U1284" s="42"/>
      <c r="V1284" s="42"/>
      <c r="W1284" s="42"/>
      <c r="X1284" s="42"/>
      <c r="Y1284" s="42"/>
      <c r="Z1284" s="42"/>
      <c r="AA1284" s="42"/>
      <c r="AB1284" s="42"/>
      <c r="AC1284" s="42"/>
    </row>
  </sheetData>
  <autoFilter ref="A1:AC1284" xr:uid="{00000000-0009-0000-0000-000001000000}"/>
  <conditionalFormatting sqref="A2:G342">
    <cfRule type="expression" dxfId="13" priority="1">
      <formula>AND(LEN($B2)&gt;0,LEN($G2)&gt;0)</formula>
    </cfRule>
  </conditionalFormatting>
  <conditionalFormatting sqref="A2:G342">
    <cfRule type="expression" dxfId="12" priority="2">
      <formula>AND(LEN($B2)&gt;0,LEN($G2)=0)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0100-000000000000}">
          <x14:formula1>
            <xm:f>Config!$B$2:$B$6</xm:f>
          </x14:formula1>
          <xm:sqref>D2:D342</xm:sqref>
        </x14:dataValidation>
        <x14:dataValidation type="list" allowBlank="1" xr:uid="{00000000-0002-0000-0100-000001000000}">
          <x14:formula1>
            <xm:f>Config!$D$2:$D$7</xm:f>
          </x14:formula1>
          <xm:sqref>E2:E342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999"/>
  <sheetViews>
    <sheetView tabSelected="1" workbookViewId="0">
      <pane xSplit="6" ySplit="1" topLeftCell="G7" activePane="bottomRight" state="frozen"/>
      <selection pane="topRight" activeCell="G1" sqref="G1"/>
      <selection pane="bottomLeft" activeCell="A2" sqref="A2"/>
      <selection pane="bottomRight" activeCell="F12" sqref="F12"/>
    </sheetView>
  </sheetViews>
  <sheetFormatPr defaultColWidth="14.44140625" defaultRowHeight="15.75" customHeight="1" x14ac:dyDescent="0.25"/>
  <cols>
    <col min="1" max="1" width="7.5546875" customWidth="1"/>
    <col min="2" max="2" width="35" customWidth="1"/>
    <col min="3" max="3" width="5.6640625" customWidth="1"/>
    <col min="4" max="4" width="36.5546875" customWidth="1"/>
    <col min="5" max="5" width="7.6640625" customWidth="1"/>
    <col min="6" max="6" width="65.88671875" customWidth="1"/>
    <col min="7" max="7" width="4.5546875" customWidth="1"/>
    <col min="8" max="8" width="8.88671875" customWidth="1"/>
    <col min="9" max="9" width="9.88671875" customWidth="1"/>
    <col min="10" max="10" width="33.5546875" customWidth="1"/>
    <col min="11" max="11" width="43.88671875" customWidth="1"/>
  </cols>
  <sheetData>
    <row r="1" spans="1:29" x14ac:dyDescent="0.25">
      <c r="A1" s="60" t="str">
        <f ca="1">IFERROR(__xludf.DUMMYFUNCTION("query(Requirements!$A:$U,""Select H,M,I,N,O,P where C=1 or C=2 or C=3"")"),"Sno")</f>
        <v>Sno</v>
      </c>
      <c r="B1" s="61" t="str">
        <f ca="1">IFERROR(__xludf.DUMMYFUNCTION("""COMPUTED_VALUE"""),"BRD Section")</f>
        <v>BRD Section</v>
      </c>
      <c r="C1" s="60" t="str">
        <f ca="1">IFERROR(__xludf.DUMMYFUNCTION("""COMPUTED_VALUE"""),"RSno")</f>
        <v>RSno</v>
      </c>
      <c r="D1" s="61" t="str">
        <f ca="1">IFERROR(__xludf.DUMMYFUNCTION("""COMPUTED_VALUE"""),"Requirement Subject")</f>
        <v>Requirement Subject</v>
      </c>
      <c r="E1" s="60" t="str">
        <f ca="1">IFERROR(__xludf.DUMMYFUNCTION("""COMPUTED_VALUE"""),"ReqID")</f>
        <v>ReqID</v>
      </c>
      <c r="F1" s="62" t="str">
        <f ca="1">IFERROR(__xludf.DUMMYFUNCTION("""COMPUTED_VALUE"""),"Requirement")</f>
        <v>Requirement</v>
      </c>
      <c r="G1" s="63" t="s">
        <v>273</v>
      </c>
      <c r="H1" s="64" t="s">
        <v>274</v>
      </c>
      <c r="I1" s="64" t="s">
        <v>275</v>
      </c>
      <c r="J1" s="65" t="s">
        <v>47</v>
      </c>
      <c r="K1" s="65" t="s">
        <v>48</v>
      </c>
      <c r="L1" s="64" t="s">
        <v>276</v>
      </c>
      <c r="M1" s="64" t="s">
        <v>46</v>
      </c>
      <c r="N1" s="42"/>
      <c r="O1" s="42"/>
      <c r="P1" s="42"/>
      <c r="Q1" s="42"/>
      <c r="R1" s="42"/>
      <c r="S1" s="42"/>
      <c r="T1" s="42"/>
      <c r="U1" s="42"/>
      <c r="V1" s="42"/>
      <c r="W1" s="42"/>
      <c r="X1" s="42"/>
      <c r="Y1" s="42"/>
      <c r="Z1" s="42"/>
      <c r="AA1" s="42"/>
      <c r="AB1" s="42"/>
      <c r="AC1" s="42"/>
    </row>
    <row r="2" spans="1:29" x14ac:dyDescent="0.25">
      <c r="A2" s="66">
        <f ca="1">IFERROR(__xludf.DUMMYFUNCTION("""COMPUTED_VALUE"""),1)</f>
        <v>1</v>
      </c>
      <c r="B2" s="67" t="str">
        <f ca="1">IFERROR(__xludf.DUMMYFUNCTION("""COMPUTED_VALUE"""),"Functional Requirements")</f>
        <v>Functional Requirements</v>
      </c>
      <c r="C2" s="68">
        <f ca="1">IFERROR(__xludf.DUMMYFUNCTION("""COMPUTED_VALUE"""),0)</f>
        <v>0</v>
      </c>
      <c r="D2" s="67"/>
      <c r="E2" s="67"/>
      <c r="F2" s="69"/>
      <c r="G2" s="67"/>
      <c r="H2" s="70"/>
      <c r="I2" s="70"/>
      <c r="J2" s="71" t="str">
        <f t="array" aca="1" ref="J2:K342" ca="1">IF(LEN($H2:$H342)=0,"",VLOOKUP($H2:$H999,'Key Design Decisions'!$A$2:$K$373,COLUMN('Key Design Decisions'!$F1:$G$1),0))&amp;
IF(LEN($I2:$I342)=0,"","
"&amp;VLOOKUP($I2:$I999,'Key Design Decisions'!$A$2:$K$373,COLUMN('Key Design Decisions'!$F1:$G$1),0))</f>
        <v/>
      </c>
      <c r="K2" s="71" t="str">
        <f ca="1"/>
        <v/>
      </c>
      <c r="L2" s="71" t="str">
        <f t="array" aca="1" ref="L2:M342" ca="1">IF(LEN($H2:$H342)=0,"",VLOOKUP($H2:$H999,'Key Design Decisions'!$A$2:$K$373,COLUMN('Key Design Decisions'!$D$1:$E1),0))</f>
        <v/>
      </c>
      <c r="M2" s="72" t="str">
        <f ca="1"/>
        <v/>
      </c>
      <c r="N2" s="42"/>
      <c r="O2" s="42"/>
      <c r="P2" s="42"/>
      <c r="Q2" s="42"/>
      <c r="R2" s="42"/>
      <c r="S2" s="42"/>
      <c r="T2" s="42"/>
      <c r="U2" s="42"/>
      <c r="V2" s="42"/>
      <c r="W2" s="42"/>
      <c r="X2" s="42"/>
      <c r="Y2" s="42"/>
      <c r="Z2" s="42"/>
      <c r="AA2" s="42"/>
      <c r="AB2" s="42"/>
      <c r="AC2" s="42"/>
    </row>
    <row r="3" spans="1:29" x14ac:dyDescent="0.25">
      <c r="A3" s="73">
        <f ca="1">IFERROR(__xludf.DUMMYFUNCTION("""COMPUTED_VALUE"""),1)</f>
        <v>1</v>
      </c>
      <c r="B3" s="74"/>
      <c r="C3" s="75">
        <f ca="1">IFERROR(__xludf.DUMMYFUNCTION("""COMPUTED_VALUE"""),1)</f>
        <v>1</v>
      </c>
      <c r="D3" s="74" t="str">
        <f ca="1">IFERROR(__xludf.DUMMYFUNCTION("""COMPUTED_VALUE"""),"1 Product Classification Structures")</f>
        <v>1 Product Classification Structures</v>
      </c>
      <c r="E3" s="74" t="str">
        <f ca="1">IFERROR(__xludf.DUMMYFUNCTION("""COMPUTED_VALUE"""),"ReqID")</f>
        <v>ReqID</v>
      </c>
      <c r="F3" s="76" t="str">
        <f ca="1">IFERROR(__xludf.DUMMYFUNCTION("""COMPUTED_VALUE"""),"Requirement")</f>
        <v>Requirement</v>
      </c>
      <c r="G3" s="74"/>
      <c r="H3" s="77"/>
      <c r="I3" s="77"/>
      <c r="J3" s="71" t="str">
        <f ca="1"/>
        <v/>
      </c>
      <c r="K3" s="71" t="str">
        <f ca="1"/>
        <v/>
      </c>
      <c r="L3" s="72" t="str">
        <f ca="1"/>
        <v/>
      </c>
      <c r="M3" s="72" t="str">
        <f ca="1"/>
        <v/>
      </c>
      <c r="N3" s="42"/>
      <c r="O3" s="42"/>
      <c r="P3" s="42"/>
      <c r="Q3" s="42"/>
      <c r="R3" s="42"/>
      <c r="S3" s="42"/>
      <c r="T3" s="42"/>
      <c r="U3" s="42"/>
      <c r="V3" s="42"/>
      <c r="W3" s="42"/>
      <c r="X3" s="42"/>
      <c r="Y3" s="42"/>
      <c r="Z3" s="42"/>
      <c r="AA3" s="42"/>
      <c r="AB3" s="42"/>
      <c r="AC3" s="42"/>
    </row>
    <row r="4" spans="1:29" x14ac:dyDescent="0.25">
      <c r="A4" s="66">
        <f ca="1">IFERROR(__xludf.DUMMYFUNCTION("""COMPUTED_VALUE"""),1)</f>
        <v>1</v>
      </c>
      <c r="B4" s="67"/>
      <c r="C4" s="68">
        <f ca="1">IFERROR(__xludf.DUMMYFUNCTION("""COMPUTED_VALUE"""),1)</f>
        <v>1</v>
      </c>
      <c r="D4" s="67"/>
      <c r="E4" s="67" t="str">
        <f ca="1">IFERROR(__xludf.DUMMYFUNCTION("""COMPUTED_VALUE"""),"BR0101")</f>
        <v>BR0101</v>
      </c>
      <c r="F4" s="69" t="str">
        <f ca="1">IFERROR(__xludf.DUMMYFUNCTION("""COMPUTED_VALUE"""),"Maintain a B2C Co products and services catalogue")</f>
        <v>Maintain a B2C Co products and services catalogue</v>
      </c>
      <c r="G4" s="67"/>
      <c r="H4" s="78" t="e">
        <f ca="1">'Key Design Decisions'!$A$42</f>
        <v>#NAME?</v>
      </c>
      <c r="I4" s="78" t="e">
        <f ca="1">'Key Design Decisions'!$A$40</f>
        <v>#NAME?</v>
      </c>
      <c r="J4" s="71" t="e">
        <f ca="1"/>
        <v>#NAME?</v>
      </c>
      <c r="K4" s="71" t="e">
        <f ca="1"/>
        <v>#NAME?</v>
      </c>
      <c r="L4" s="72" t="e">
        <f ca="1"/>
        <v>#NAME?</v>
      </c>
      <c r="M4" s="72" t="e">
        <f ca="1"/>
        <v>#NAME?</v>
      </c>
      <c r="N4" s="42"/>
      <c r="O4" s="42"/>
      <c r="P4" s="42"/>
      <c r="Q4" s="42"/>
      <c r="R4" s="42"/>
      <c r="S4" s="42"/>
      <c r="T4" s="42"/>
      <c r="U4" s="42"/>
      <c r="V4" s="42"/>
      <c r="W4" s="42"/>
      <c r="X4" s="42"/>
      <c r="Y4" s="42"/>
      <c r="Z4" s="42"/>
      <c r="AA4" s="42"/>
      <c r="AB4" s="42"/>
      <c r="AC4" s="42"/>
    </row>
    <row r="5" spans="1:29" x14ac:dyDescent="0.25">
      <c r="A5" s="73">
        <f ca="1">IFERROR(__xludf.DUMMYFUNCTION("""COMPUTED_VALUE"""),1)</f>
        <v>1</v>
      </c>
      <c r="B5" s="74"/>
      <c r="C5" s="75">
        <f ca="1">IFERROR(__xludf.DUMMYFUNCTION("""COMPUTED_VALUE"""),1)</f>
        <v>1</v>
      </c>
      <c r="D5" s="74"/>
      <c r="E5" s="74" t="str">
        <f ca="1">IFERROR(__xludf.DUMMYFUNCTION("""COMPUTED_VALUE"""),"BR0102")</f>
        <v>BR0102</v>
      </c>
      <c r="F5" s="76" t="str">
        <f ca="1">IFERROR(__xludf.DUMMYFUNCTION("""COMPUTED_VALUE"""),"Maintain content meta-tag hierarchy structures for B2C Co products and services")</f>
        <v>Maintain content meta-tag hierarchy structures for B2C Co products and services</v>
      </c>
      <c r="G5" s="74"/>
      <c r="H5" s="79" t="e">
        <f ca="1">'Key Design Decisions'!$A$44</f>
        <v>#NAME?</v>
      </c>
      <c r="I5" s="79"/>
      <c r="J5" s="71" t="e">
        <f ca="1"/>
        <v>#NAME?</v>
      </c>
      <c r="K5" s="71" t="e">
        <f ca="1"/>
        <v>#NAME?</v>
      </c>
      <c r="L5" s="72" t="e">
        <f ca="1"/>
        <v>#NAME?</v>
      </c>
      <c r="M5" s="72" t="e">
        <f ca="1"/>
        <v>#NAME?</v>
      </c>
      <c r="N5" s="42"/>
      <c r="O5" s="42"/>
      <c r="P5" s="42"/>
      <c r="Q5" s="42"/>
      <c r="R5" s="42"/>
      <c r="S5" s="42"/>
      <c r="T5" s="42"/>
      <c r="U5" s="42"/>
      <c r="V5" s="42"/>
      <c r="W5" s="42"/>
      <c r="X5" s="42"/>
      <c r="Y5" s="42"/>
      <c r="Z5" s="42"/>
      <c r="AA5" s="42"/>
      <c r="AB5" s="42"/>
      <c r="AC5" s="42"/>
    </row>
    <row r="6" spans="1:29" x14ac:dyDescent="0.25">
      <c r="A6" s="66">
        <f ca="1">IFERROR(__xludf.DUMMYFUNCTION("""COMPUTED_VALUE"""),1)</f>
        <v>1</v>
      </c>
      <c r="B6" s="67"/>
      <c r="C6" s="68">
        <f ca="1">IFERROR(__xludf.DUMMYFUNCTION("""COMPUTED_VALUE"""),2)</f>
        <v>2</v>
      </c>
      <c r="D6" s="67" t="str">
        <f ca="1">IFERROR(__xludf.DUMMYFUNCTION("""COMPUTED_VALUE"""),"2 Product and Service Suppliers")</f>
        <v>2 Product and Service Suppliers</v>
      </c>
      <c r="E6" s="67" t="str">
        <f ca="1">IFERROR(__xludf.DUMMYFUNCTION("""COMPUTED_VALUE"""),"ReqID")</f>
        <v>ReqID</v>
      </c>
      <c r="F6" s="69" t="str">
        <f ca="1">IFERROR(__xludf.DUMMYFUNCTION("""COMPUTED_VALUE"""),"Requirement")</f>
        <v>Requirement</v>
      </c>
      <c r="G6" s="67"/>
      <c r="H6" s="70"/>
      <c r="I6" s="70"/>
      <c r="J6" s="71" t="str">
        <f ca="1"/>
        <v/>
      </c>
      <c r="K6" s="71" t="str">
        <f ca="1"/>
        <v/>
      </c>
      <c r="L6" s="72" t="str">
        <f ca="1"/>
        <v/>
      </c>
      <c r="M6" s="72" t="str">
        <f ca="1"/>
        <v/>
      </c>
      <c r="N6" s="42"/>
      <c r="O6" s="42"/>
      <c r="P6" s="42"/>
      <c r="Q6" s="42"/>
      <c r="R6" s="42"/>
      <c r="S6" s="42"/>
      <c r="T6" s="42"/>
      <c r="U6" s="42"/>
      <c r="V6" s="42"/>
      <c r="W6" s="42"/>
      <c r="X6" s="42"/>
      <c r="Y6" s="42"/>
      <c r="Z6" s="42"/>
      <c r="AA6" s="42"/>
      <c r="AB6" s="42"/>
      <c r="AC6" s="42"/>
    </row>
    <row r="7" spans="1:29" x14ac:dyDescent="0.25">
      <c r="A7" s="73">
        <f ca="1">IFERROR(__xludf.DUMMYFUNCTION("""COMPUTED_VALUE"""),1)</f>
        <v>1</v>
      </c>
      <c r="B7" s="74"/>
      <c r="C7" s="75">
        <f ca="1">IFERROR(__xludf.DUMMYFUNCTION("""COMPUTED_VALUE"""),2)</f>
        <v>2</v>
      </c>
      <c r="D7" s="74"/>
      <c r="E7" s="74" t="str">
        <f ca="1">IFERROR(__xludf.DUMMYFUNCTION("""COMPUTED_VALUE"""),"BR0201")</f>
        <v>BR0201</v>
      </c>
      <c r="F7" s="76" t="str">
        <f ca="1">IFERROR(__xludf.DUMMYFUNCTION("""COMPUTED_VALUE"""),"Take-on a B2C Co product supplier")</f>
        <v>Take-on a B2C Co product supplier</v>
      </c>
      <c r="G7" s="74"/>
      <c r="H7" s="79" t="e">
        <f ca="1">'Key Design Decisions'!$A$42</f>
        <v>#NAME?</v>
      </c>
      <c r="I7" s="79" t="e">
        <f ca="1">'Key Design Decisions'!$A$3</f>
        <v>#NAME?</v>
      </c>
      <c r="J7" s="71" t="e">
        <f ca="1"/>
        <v>#NAME?</v>
      </c>
      <c r="K7" s="71" t="e">
        <f ca="1"/>
        <v>#NAME?</v>
      </c>
      <c r="L7" s="72" t="e">
        <f ca="1"/>
        <v>#NAME?</v>
      </c>
      <c r="M7" s="72" t="e">
        <f ca="1"/>
        <v>#NAME?</v>
      </c>
      <c r="N7" s="42"/>
      <c r="O7" s="42"/>
      <c r="P7" s="42"/>
      <c r="Q7" s="42"/>
      <c r="R7" s="42"/>
      <c r="S7" s="42"/>
      <c r="T7" s="42"/>
      <c r="U7" s="42"/>
      <c r="V7" s="42"/>
      <c r="W7" s="42"/>
      <c r="X7" s="42"/>
      <c r="Y7" s="42"/>
      <c r="Z7" s="42"/>
      <c r="AA7" s="42"/>
      <c r="AB7" s="42"/>
      <c r="AC7" s="42"/>
    </row>
    <row r="8" spans="1:29" x14ac:dyDescent="0.25">
      <c r="A8" s="66">
        <f ca="1">IFERROR(__xludf.DUMMYFUNCTION("""COMPUTED_VALUE"""),1)</f>
        <v>1</v>
      </c>
      <c r="B8" s="67"/>
      <c r="C8" s="68">
        <f ca="1">IFERROR(__xludf.DUMMYFUNCTION("""COMPUTED_VALUE"""),2)</f>
        <v>2</v>
      </c>
      <c r="D8" s="67"/>
      <c r="E8" s="67" t="str">
        <f ca="1">IFERROR(__xludf.DUMMYFUNCTION("""COMPUTED_VALUE"""),"BR0202")</f>
        <v>BR0202</v>
      </c>
      <c r="F8" s="69" t="str">
        <f ca="1">IFERROR(__xludf.DUMMYFUNCTION("""COMPUTED_VALUE"""),"B2C Co suppliers provide up-to-date product and service details")</f>
        <v>B2C Co suppliers provide up-to-date product and service details</v>
      </c>
      <c r="G8" s="67"/>
      <c r="H8" s="78" t="e">
        <f ca="1">'Key Design Decisions'!$A$90</f>
        <v>#NAME?</v>
      </c>
      <c r="I8" s="78" t="e">
        <f ca="1">'Key Design Decisions'!$A$86</f>
        <v>#NAME?</v>
      </c>
      <c r="J8" s="71" t="e">
        <f ca="1"/>
        <v>#NAME?</v>
      </c>
      <c r="K8" s="71" t="e">
        <f ca="1"/>
        <v>#NAME?</v>
      </c>
      <c r="L8" s="72" t="e">
        <f ca="1"/>
        <v>#NAME?</v>
      </c>
      <c r="M8" s="72" t="e">
        <f ca="1"/>
        <v>#NAME?</v>
      </c>
      <c r="N8" s="42"/>
      <c r="O8" s="42"/>
      <c r="P8" s="42"/>
      <c r="Q8" s="42"/>
      <c r="R8" s="42"/>
      <c r="S8" s="42"/>
      <c r="T8" s="42"/>
      <c r="U8" s="42"/>
      <c r="V8" s="42"/>
      <c r="W8" s="42"/>
      <c r="X8" s="42"/>
      <c r="Y8" s="42"/>
      <c r="Z8" s="42"/>
      <c r="AA8" s="42"/>
      <c r="AB8" s="42"/>
      <c r="AC8" s="42"/>
    </row>
    <row r="9" spans="1:29" x14ac:dyDescent="0.25">
      <c r="A9" s="73">
        <f ca="1">IFERROR(__xludf.DUMMYFUNCTION("""COMPUTED_VALUE"""),1)</f>
        <v>1</v>
      </c>
      <c r="B9" s="74"/>
      <c r="C9" s="75">
        <f ca="1">IFERROR(__xludf.DUMMYFUNCTION("""COMPUTED_VALUE"""),2)</f>
        <v>2</v>
      </c>
      <c r="D9" s="74"/>
      <c r="E9" s="74" t="str">
        <f ca="1">IFERROR(__xludf.DUMMYFUNCTION("""COMPUTED_VALUE"""),"BR0203")</f>
        <v>BR0203</v>
      </c>
      <c r="F9" s="76" t="str">
        <f ca="1">IFERROR(__xludf.DUMMYFUNCTION("""COMPUTED_VALUE"""),"B2C Co a product suppliers fulfil to B2C Co service requirements")</f>
        <v>B2C Co a product suppliers fulfil to B2C Co service requirements</v>
      </c>
      <c r="G9" s="74"/>
      <c r="H9" s="79" t="e">
        <f ca="1">'Key Design Decisions'!$A$42</f>
        <v>#NAME?</v>
      </c>
      <c r="I9" s="79" t="e">
        <f ca="1">'Key Design Decisions'!$A$113</f>
        <v>#NAME?</v>
      </c>
      <c r="J9" s="71" t="e">
        <f ca="1"/>
        <v>#NAME?</v>
      </c>
      <c r="K9" s="71" t="e">
        <f ca="1"/>
        <v>#NAME?</v>
      </c>
      <c r="L9" s="72" t="e">
        <f ca="1"/>
        <v>#NAME?</v>
      </c>
      <c r="M9" s="72" t="e">
        <f ca="1"/>
        <v>#NAME?</v>
      </c>
      <c r="N9" s="42"/>
      <c r="O9" s="42"/>
      <c r="P9" s="42"/>
      <c r="Q9" s="42"/>
      <c r="R9" s="42"/>
      <c r="S9" s="42"/>
      <c r="T9" s="42"/>
      <c r="U9" s="42"/>
      <c r="V9" s="42"/>
      <c r="W9" s="42"/>
      <c r="X9" s="42"/>
      <c r="Y9" s="42"/>
      <c r="Z9" s="42"/>
      <c r="AA9" s="42"/>
      <c r="AB9" s="42"/>
      <c r="AC9" s="42"/>
    </row>
    <row r="10" spans="1:29" x14ac:dyDescent="0.25">
      <c r="A10" s="66">
        <f ca="1">IFERROR(__xludf.DUMMYFUNCTION("""COMPUTED_VALUE"""),1)</f>
        <v>1</v>
      </c>
      <c r="B10" s="67"/>
      <c r="C10" s="68">
        <f ca="1">IFERROR(__xludf.DUMMYFUNCTION("""COMPUTED_VALUE"""),2)</f>
        <v>2</v>
      </c>
      <c r="D10" s="67"/>
      <c r="E10" s="67" t="str">
        <f ca="1">IFERROR(__xludf.DUMMYFUNCTION("""COMPUTED_VALUE"""),"BR0204")</f>
        <v>BR0204</v>
      </c>
      <c r="F10" s="69" t="str">
        <f ca="1">IFERROR(__xludf.DUMMYFUNCTION("""COMPUTED_VALUE"""),"Sell online products in various promotional formats")</f>
        <v>Sell online products in various promotional formats</v>
      </c>
      <c r="G10" s="67"/>
      <c r="H10" s="78" t="e">
        <f ca="1">'Key Design Decisions'!$A$33</f>
        <v>#NAME?</v>
      </c>
      <c r="I10" s="78"/>
      <c r="J10" s="71" t="e">
        <f ca="1"/>
        <v>#NAME?</v>
      </c>
      <c r="K10" s="71" t="e">
        <f ca="1"/>
        <v>#NAME?</v>
      </c>
      <c r="L10" s="72" t="e">
        <f ca="1"/>
        <v>#NAME?</v>
      </c>
      <c r="M10" s="72" t="e">
        <f ca="1"/>
        <v>#NAME?</v>
      </c>
      <c r="N10" s="42"/>
      <c r="O10" s="42"/>
      <c r="P10" s="42"/>
      <c r="Q10" s="42"/>
      <c r="R10" s="42"/>
      <c r="S10" s="42"/>
      <c r="T10" s="42"/>
      <c r="U10" s="42"/>
      <c r="V10" s="42"/>
      <c r="W10" s="42"/>
      <c r="X10" s="42"/>
      <c r="Y10" s="42"/>
      <c r="Z10" s="42"/>
      <c r="AA10" s="42"/>
      <c r="AB10" s="42"/>
      <c r="AC10" s="42"/>
    </row>
    <row r="11" spans="1:29" x14ac:dyDescent="0.25">
      <c r="A11" s="73">
        <f ca="1">IFERROR(__xludf.DUMMYFUNCTION("""COMPUTED_VALUE"""),1)</f>
        <v>1</v>
      </c>
      <c r="B11" s="74"/>
      <c r="C11" s="75">
        <f ca="1">IFERROR(__xludf.DUMMYFUNCTION("""COMPUTED_VALUE"""),3)</f>
        <v>3</v>
      </c>
      <c r="D11" s="74" t="str">
        <f ca="1">IFERROR(__xludf.DUMMYFUNCTION("""COMPUTED_VALUE"""),"3 Product and Service Catalogue")</f>
        <v>3 Product and Service Catalogue</v>
      </c>
      <c r="E11" s="74" t="str">
        <f ca="1">IFERROR(__xludf.DUMMYFUNCTION("""COMPUTED_VALUE"""),"ReqID")</f>
        <v>ReqID</v>
      </c>
      <c r="F11" s="76" t="str">
        <f ca="1">IFERROR(__xludf.DUMMYFUNCTION("""COMPUTED_VALUE"""),"Requirement")</f>
        <v>Requirement</v>
      </c>
      <c r="G11" s="74"/>
      <c r="H11" s="77"/>
      <c r="I11" s="77"/>
      <c r="J11" s="71" t="str">
        <f ca="1"/>
        <v/>
      </c>
      <c r="K11" s="71" t="str">
        <f ca="1"/>
        <v/>
      </c>
      <c r="L11" s="72" t="str">
        <f ca="1"/>
        <v/>
      </c>
      <c r="M11" s="72" t="str">
        <f ca="1"/>
        <v/>
      </c>
      <c r="N11" s="42"/>
      <c r="O11" s="42"/>
      <c r="P11" s="42"/>
      <c r="Q11" s="42"/>
      <c r="R11" s="42"/>
      <c r="S11" s="42"/>
      <c r="T11" s="42"/>
      <c r="U11" s="42"/>
      <c r="V11" s="42"/>
      <c r="W11" s="42"/>
      <c r="X11" s="42"/>
      <c r="Y11" s="42"/>
      <c r="Z11" s="42"/>
      <c r="AA11" s="42"/>
      <c r="AB11" s="42"/>
      <c r="AC11" s="42"/>
    </row>
    <row r="12" spans="1:29" x14ac:dyDescent="0.25">
      <c r="A12" s="66">
        <f ca="1">IFERROR(__xludf.DUMMYFUNCTION("""COMPUTED_VALUE"""),1)</f>
        <v>1</v>
      </c>
      <c r="B12" s="67"/>
      <c r="C12" s="68">
        <f ca="1">IFERROR(__xludf.DUMMYFUNCTION("""COMPUTED_VALUE"""),3)</f>
        <v>3</v>
      </c>
      <c r="D12" s="67"/>
      <c r="E12" s="67" t="str">
        <f ca="1">IFERROR(__xludf.DUMMYFUNCTION("""COMPUTED_VALUE"""),"BR0301")</f>
        <v>BR0301</v>
      </c>
      <c r="F12" s="69" t="str">
        <f ca="1">IFERROR(__xludf.DUMMYFUNCTION("""COMPUTED_VALUE"""),"Register products for online sale")</f>
        <v>Register products for online sale</v>
      </c>
      <c r="G12" s="67"/>
      <c r="H12" s="78" t="e">
        <f ca="1">'Key Design Decisions'!$A$42</f>
        <v>#NAME?</v>
      </c>
      <c r="I12" s="78" t="e">
        <f ca="1">'Key Design Decisions'!$A$71</f>
        <v>#NAME?</v>
      </c>
      <c r="J12" s="71" t="e">
        <f ca="1"/>
        <v>#NAME?</v>
      </c>
      <c r="K12" s="71" t="e">
        <f ca="1"/>
        <v>#NAME?</v>
      </c>
      <c r="L12" s="72" t="e">
        <f ca="1"/>
        <v>#NAME?</v>
      </c>
      <c r="M12" s="72" t="e">
        <f ca="1"/>
        <v>#NAME?</v>
      </c>
      <c r="N12" s="42"/>
      <c r="O12" s="42"/>
      <c r="P12" s="42"/>
      <c r="Q12" s="42"/>
      <c r="R12" s="42"/>
      <c r="S12" s="42"/>
      <c r="T12" s="42"/>
      <c r="U12" s="42"/>
      <c r="V12" s="42"/>
      <c r="W12" s="42"/>
      <c r="X12" s="42"/>
      <c r="Y12" s="42"/>
      <c r="Z12" s="42"/>
      <c r="AA12" s="42"/>
      <c r="AB12" s="42"/>
      <c r="AC12" s="42"/>
    </row>
    <row r="13" spans="1:29" x14ac:dyDescent="0.25">
      <c r="A13" s="73">
        <f ca="1">IFERROR(__xludf.DUMMYFUNCTION("""COMPUTED_VALUE"""),1)</f>
        <v>1</v>
      </c>
      <c r="B13" s="74"/>
      <c r="C13" s="75">
        <f ca="1">IFERROR(__xludf.DUMMYFUNCTION("""COMPUTED_VALUE"""),3)</f>
        <v>3</v>
      </c>
      <c r="D13" s="74"/>
      <c r="E13" s="74" t="str">
        <f ca="1">IFERROR(__xludf.DUMMYFUNCTION("""COMPUTED_VALUE"""),"BR0302")</f>
        <v>BR0302</v>
      </c>
      <c r="F13" s="76" t="str">
        <f ca="1">IFERROR(__xludf.DUMMYFUNCTION("""COMPUTED_VALUE"""),"Maintain products for online sale")</f>
        <v>Maintain products for online sale</v>
      </c>
      <c r="G13" s="74"/>
      <c r="H13" s="79" t="e">
        <f ca="1">'Key Design Decisions'!$A$46</f>
        <v>#NAME?</v>
      </c>
      <c r="I13" s="79"/>
      <c r="J13" s="71" t="e">
        <f ca="1"/>
        <v>#NAME?</v>
      </c>
      <c r="K13" s="71" t="e">
        <f ca="1"/>
        <v>#NAME?</v>
      </c>
      <c r="L13" s="72" t="e">
        <f ca="1"/>
        <v>#NAME?</v>
      </c>
      <c r="M13" s="72" t="e">
        <f ca="1"/>
        <v>#NAME?</v>
      </c>
      <c r="N13" s="42"/>
      <c r="O13" s="42"/>
      <c r="P13" s="42"/>
      <c r="Q13" s="42"/>
      <c r="R13" s="42"/>
      <c r="S13" s="42"/>
      <c r="T13" s="42"/>
      <c r="U13" s="42"/>
      <c r="V13" s="42"/>
      <c r="W13" s="42"/>
      <c r="X13" s="42"/>
      <c r="Y13" s="42"/>
      <c r="Z13" s="42"/>
      <c r="AA13" s="42"/>
      <c r="AB13" s="42"/>
      <c r="AC13" s="42"/>
    </row>
    <row r="14" spans="1:29" x14ac:dyDescent="0.25">
      <c r="A14" s="66">
        <f ca="1">IFERROR(__xludf.DUMMYFUNCTION("""COMPUTED_VALUE"""),1)</f>
        <v>1</v>
      </c>
      <c r="B14" s="67"/>
      <c r="C14" s="68">
        <f ca="1">IFERROR(__xludf.DUMMYFUNCTION("""COMPUTED_VALUE"""),3)</f>
        <v>3</v>
      </c>
      <c r="D14" s="67"/>
      <c r="E14" s="67" t="str">
        <f ca="1">IFERROR(__xludf.DUMMYFUNCTION("""COMPUTED_VALUE"""),"BR0303")</f>
        <v>BR0303</v>
      </c>
      <c r="F14" s="69" t="str">
        <f ca="1">IFERROR(__xludf.DUMMYFUNCTION("""COMPUTED_VALUE"""),"Maintain online availability of products")</f>
        <v>Maintain online availability of products</v>
      </c>
      <c r="G14" s="67"/>
      <c r="H14" s="78" t="e">
        <f ca="1">'Key Design Decisions'!$A$46</f>
        <v>#NAME?</v>
      </c>
      <c r="I14" s="78"/>
      <c r="J14" s="71" t="e">
        <f ca="1"/>
        <v>#NAME?</v>
      </c>
      <c r="K14" s="71" t="e">
        <f ca="1"/>
        <v>#NAME?</v>
      </c>
      <c r="L14" s="72" t="e">
        <f ca="1"/>
        <v>#NAME?</v>
      </c>
      <c r="M14" s="72" t="e">
        <f ca="1"/>
        <v>#NAME?</v>
      </c>
      <c r="N14" s="42"/>
      <c r="O14" s="42"/>
      <c r="P14" s="42"/>
      <c r="Q14" s="42"/>
      <c r="R14" s="42"/>
      <c r="S14" s="42"/>
      <c r="T14" s="42"/>
      <c r="U14" s="42"/>
      <c r="V14" s="42"/>
      <c r="W14" s="42"/>
      <c r="X14" s="42"/>
      <c r="Y14" s="42"/>
      <c r="Z14" s="42"/>
      <c r="AA14" s="42"/>
      <c r="AB14" s="42"/>
      <c r="AC14" s="42"/>
    </row>
    <row r="15" spans="1:29" x14ac:dyDescent="0.25">
      <c r="A15" s="73">
        <f ca="1">IFERROR(__xludf.DUMMYFUNCTION("""COMPUTED_VALUE"""),1)</f>
        <v>1</v>
      </c>
      <c r="B15" s="74"/>
      <c r="C15" s="75">
        <f ca="1">IFERROR(__xludf.DUMMYFUNCTION("""COMPUTED_VALUE"""),3)</f>
        <v>3</v>
      </c>
      <c r="D15" s="74"/>
      <c r="E15" s="74" t="str">
        <f ca="1">IFERROR(__xludf.DUMMYFUNCTION("""COMPUTED_VALUE"""),"BR0304")</f>
        <v>BR0304</v>
      </c>
      <c r="F15" s="76" t="str">
        <f ca="1">IFERROR(__xludf.DUMMYFUNCTION("""COMPUTED_VALUE"""),"Maintain up-to-date supplier availability of products")</f>
        <v>Maintain up-to-date supplier availability of products</v>
      </c>
      <c r="G15" s="74"/>
      <c r="H15" s="79" t="e">
        <f ca="1">'Key Design Decisions'!$A$82</f>
        <v>#NAME?</v>
      </c>
      <c r="I15" s="79"/>
      <c r="J15" s="71" t="e">
        <f ca="1"/>
        <v>#NAME?</v>
      </c>
      <c r="K15" s="71" t="e">
        <f ca="1"/>
        <v>#NAME?</v>
      </c>
      <c r="L15" s="72" t="e">
        <f ca="1"/>
        <v>#NAME?</v>
      </c>
      <c r="M15" s="72" t="e">
        <f ca="1"/>
        <v>#NAME?</v>
      </c>
      <c r="N15" s="42"/>
      <c r="O15" s="42"/>
      <c r="P15" s="42"/>
      <c r="Q15" s="42"/>
      <c r="R15" s="42"/>
      <c r="S15" s="42"/>
      <c r="T15" s="42"/>
      <c r="U15" s="42"/>
      <c r="V15" s="42"/>
      <c r="W15" s="42"/>
      <c r="X15" s="42"/>
      <c r="Y15" s="42"/>
      <c r="Z15" s="42"/>
      <c r="AA15" s="42"/>
      <c r="AB15" s="42"/>
      <c r="AC15" s="42"/>
    </row>
    <row r="16" spans="1:29" x14ac:dyDescent="0.25">
      <c r="A16" s="66">
        <f ca="1">IFERROR(__xludf.DUMMYFUNCTION("""COMPUTED_VALUE"""),1)</f>
        <v>1</v>
      </c>
      <c r="B16" s="67"/>
      <c r="C16" s="68">
        <f ca="1">IFERROR(__xludf.DUMMYFUNCTION("""COMPUTED_VALUE"""),4)</f>
        <v>4</v>
      </c>
      <c r="D16" s="67" t="str">
        <f ca="1">IFERROR(__xludf.DUMMYFUNCTION("""COMPUTED_VALUE"""),"4 Product Pricing")</f>
        <v>4 Product Pricing</v>
      </c>
      <c r="E16" s="67" t="str">
        <f ca="1">IFERROR(__xludf.DUMMYFUNCTION("""COMPUTED_VALUE"""),"ReqID")</f>
        <v>ReqID</v>
      </c>
      <c r="F16" s="69" t="str">
        <f ca="1">IFERROR(__xludf.DUMMYFUNCTION("""COMPUTED_VALUE"""),"Requirement")</f>
        <v>Requirement</v>
      </c>
      <c r="G16" s="67"/>
      <c r="H16" s="70"/>
      <c r="I16" s="70"/>
      <c r="J16" s="71" t="str">
        <f ca="1"/>
        <v/>
      </c>
      <c r="K16" s="71" t="str">
        <f ca="1"/>
        <v/>
      </c>
      <c r="L16" s="72" t="str">
        <f ca="1"/>
        <v/>
      </c>
      <c r="M16" s="72" t="str">
        <f ca="1"/>
        <v/>
      </c>
      <c r="N16" s="42"/>
      <c r="O16" s="42"/>
      <c r="P16" s="42"/>
      <c r="Q16" s="42"/>
      <c r="R16" s="42"/>
      <c r="S16" s="42"/>
      <c r="T16" s="42"/>
      <c r="U16" s="42"/>
      <c r="V16" s="42"/>
      <c r="W16" s="42"/>
      <c r="X16" s="42"/>
      <c r="Y16" s="42"/>
      <c r="Z16" s="42"/>
      <c r="AA16" s="42"/>
      <c r="AB16" s="42"/>
      <c r="AC16" s="42"/>
    </row>
    <row r="17" spans="1:29" x14ac:dyDescent="0.25">
      <c r="A17" s="73">
        <f ca="1">IFERROR(__xludf.DUMMYFUNCTION("""COMPUTED_VALUE"""),1)</f>
        <v>1</v>
      </c>
      <c r="B17" s="74"/>
      <c r="C17" s="75">
        <f ca="1">IFERROR(__xludf.DUMMYFUNCTION("""COMPUTED_VALUE"""),4)</f>
        <v>4</v>
      </c>
      <c r="D17" s="74"/>
      <c r="E17" s="74" t="str">
        <f ca="1">IFERROR(__xludf.DUMMYFUNCTION("""COMPUTED_VALUE"""),"BR0401")</f>
        <v>BR0401</v>
      </c>
      <c r="F17" s="76" t="str">
        <f ca="1">IFERROR(__xludf.DUMMYFUNCTION("""COMPUTED_VALUE"""),"Maintain a category margin")</f>
        <v>Maintain a category margin</v>
      </c>
      <c r="G17" s="74"/>
      <c r="H17" s="79" t="e">
        <f ca="1">'Key Design Decisions'!$A$44</f>
        <v>#NAME?</v>
      </c>
      <c r="I17" s="79"/>
      <c r="J17" s="71" t="e">
        <f ca="1"/>
        <v>#NAME?</v>
      </c>
      <c r="K17" s="71" t="e">
        <f ca="1"/>
        <v>#NAME?</v>
      </c>
      <c r="L17" s="72" t="e">
        <f ca="1"/>
        <v>#NAME?</v>
      </c>
      <c r="M17" s="72" t="e">
        <f ca="1"/>
        <v>#NAME?</v>
      </c>
      <c r="N17" s="42"/>
      <c r="O17" s="42"/>
      <c r="P17" s="42"/>
      <c r="Q17" s="42"/>
      <c r="R17" s="42"/>
      <c r="S17" s="42"/>
      <c r="T17" s="42"/>
      <c r="U17" s="42"/>
      <c r="V17" s="42"/>
      <c r="W17" s="42"/>
      <c r="X17" s="42"/>
      <c r="Y17" s="42"/>
      <c r="Z17" s="42"/>
      <c r="AA17" s="42"/>
      <c r="AB17" s="42"/>
      <c r="AC17" s="42"/>
    </row>
    <row r="18" spans="1:29" x14ac:dyDescent="0.25">
      <c r="A18" s="66">
        <f ca="1">IFERROR(__xludf.DUMMYFUNCTION("""COMPUTED_VALUE"""),1)</f>
        <v>1</v>
      </c>
      <c r="B18" s="67"/>
      <c r="C18" s="68">
        <f ca="1">IFERROR(__xludf.DUMMYFUNCTION("""COMPUTED_VALUE"""),4)</f>
        <v>4</v>
      </c>
      <c r="D18" s="67"/>
      <c r="E18" s="67" t="str">
        <f ca="1">IFERROR(__xludf.DUMMYFUNCTION("""COMPUTED_VALUE"""),"BR0402")</f>
        <v>BR0402</v>
      </c>
      <c r="F18" s="69" t="str">
        <f ca="1">IFERROR(__xludf.DUMMYFUNCTION("""COMPUTED_VALUE"""),"Maintain a product margin")</f>
        <v>Maintain a product margin</v>
      </c>
      <c r="G18" s="67"/>
      <c r="H18" s="78" t="e">
        <f ca="1">'Key Design Decisions'!$A$44</f>
        <v>#NAME?</v>
      </c>
      <c r="I18" s="78"/>
      <c r="J18" s="71" t="e">
        <f ca="1"/>
        <v>#NAME?</v>
      </c>
      <c r="K18" s="71" t="e">
        <f ca="1"/>
        <v>#NAME?</v>
      </c>
      <c r="L18" s="72" t="e">
        <f ca="1"/>
        <v>#NAME?</v>
      </c>
      <c r="M18" s="72" t="e">
        <f ca="1"/>
        <v>#NAME?</v>
      </c>
      <c r="N18" s="42"/>
      <c r="O18" s="42"/>
      <c r="P18" s="42"/>
      <c r="Q18" s="42"/>
      <c r="R18" s="42"/>
      <c r="S18" s="42"/>
      <c r="T18" s="42"/>
      <c r="U18" s="42"/>
      <c r="V18" s="42"/>
      <c r="W18" s="42"/>
      <c r="X18" s="42"/>
      <c r="Y18" s="42"/>
      <c r="Z18" s="42"/>
      <c r="AA18" s="42"/>
      <c r="AB18" s="42"/>
      <c r="AC18" s="42"/>
    </row>
    <row r="19" spans="1:29" x14ac:dyDescent="0.25">
      <c r="A19" s="73">
        <f ca="1">IFERROR(__xludf.DUMMYFUNCTION("""COMPUTED_VALUE"""),1)</f>
        <v>1</v>
      </c>
      <c r="B19" s="74"/>
      <c r="C19" s="75">
        <f ca="1">IFERROR(__xludf.DUMMYFUNCTION("""COMPUTED_VALUE"""),4)</f>
        <v>4</v>
      </c>
      <c r="D19" s="74"/>
      <c r="E19" s="74" t="str">
        <f ca="1">IFERROR(__xludf.DUMMYFUNCTION("""COMPUTED_VALUE"""),"BR0403")</f>
        <v>BR0403</v>
      </c>
      <c r="F19" s="76" t="str">
        <f ca="1">IFERROR(__xludf.DUMMYFUNCTION("""COMPUTED_VALUE"""),"Maintain a product selling price")</f>
        <v>Maintain a product selling price</v>
      </c>
      <c r="G19" s="74"/>
      <c r="H19" s="79" t="e">
        <f ca="1">'Key Design Decisions'!$A$44</f>
        <v>#NAME?</v>
      </c>
      <c r="I19" s="79"/>
      <c r="J19" s="71" t="e">
        <f ca="1"/>
        <v>#NAME?</v>
      </c>
      <c r="K19" s="71" t="e">
        <f ca="1"/>
        <v>#NAME?</v>
      </c>
      <c r="L19" s="72" t="e">
        <f ca="1"/>
        <v>#NAME?</v>
      </c>
      <c r="M19" s="72" t="e">
        <f ca="1"/>
        <v>#NAME?</v>
      </c>
      <c r="N19" s="42"/>
      <c r="O19" s="42"/>
      <c r="P19" s="42"/>
      <c r="Q19" s="42"/>
      <c r="R19" s="42"/>
      <c r="S19" s="42"/>
      <c r="T19" s="42"/>
      <c r="U19" s="42"/>
      <c r="V19" s="42"/>
      <c r="W19" s="42"/>
      <c r="X19" s="42"/>
      <c r="Y19" s="42"/>
      <c r="Z19" s="42"/>
      <c r="AA19" s="42"/>
      <c r="AB19" s="42"/>
      <c r="AC19" s="42"/>
    </row>
    <row r="20" spans="1:29" x14ac:dyDescent="0.25">
      <c r="A20" s="66">
        <f ca="1">IFERROR(__xludf.DUMMYFUNCTION("""COMPUTED_VALUE"""),1)</f>
        <v>1</v>
      </c>
      <c r="B20" s="67"/>
      <c r="C20" s="68">
        <f ca="1">IFERROR(__xludf.DUMMYFUNCTION("""COMPUTED_VALUE"""),4)</f>
        <v>4</v>
      </c>
      <c r="D20" s="67"/>
      <c r="E20" s="67" t="str">
        <f ca="1">IFERROR(__xludf.DUMMYFUNCTION("""COMPUTED_VALUE"""),"BR0404")</f>
        <v>BR0404</v>
      </c>
      <c r="F20" s="69" t="str">
        <f ca="1">IFERROR(__xludf.DUMMYFUNCTION("""COMPUTED_VALUE"""),"Maintain product promotions")</f>
        <v>Maintain product promotions</v>
      </c>
      <c r="G20" s="67"/>
      <c r="H20" s="78" t="e">
        <f ca="1">'Key Design Decisions'!$A$44</f>
        <v>#NAME?</v>
      </c>
      <c r="I20" s="78"/>
      <c r="J20" s="71" t="e">
        <f ca="1"/>
        <v>#NAME?</v>
      </c>
      <c r="K20" s="71" t="e">
        <f ca="1"/>
        <v>#NAME?</v>
      </c>
      <c r="L20" s="72" t="e">
        <f ca="1"/>
        <v>#NAME?</v>
      </c>
      <c r="M20" s="72" t="e">
        <f ca="1"/>
        <v>#NAME?</v>
      </c>
      <c r="N20" s="42"/>
      <c r="O20" s="42"/>
      <c r="P20" s="42"/>
      <c r="Q20" s="42"/>
      <c r="R20" s="42"/>
      <c r="S20" s="42"/>
      <c r="T20" s="42"/>
      <c r="U20" s="42"/>
      <c r="V20" s="42"/>
      <c r="W20" s="42"/>
      <c r="X20" s="42"/>
      <c r="Y20" s="42"/>
      <c r="Z20" s="42"/>
      <c r="AA20" s="42"/>
      <c r="AB20" s="42"/>
      <c r="AC20" s="42"/>
    </row>
    <row r="21" spans="1:29" x14ac:dyDescent="0.25">
      <c r="A21" s="73">
        <f ca="1">IFERROR(__xludf.DUMMYFUNCTION("""COMPUTED_VALUE"""),1)</f>
        <v>1</v>
      </c>
      <c r="B21" s="74"/>
      <c r="C21" s="75">
        <f ca="1">IFERROR(__xludf.DUMMYFUNCTION("""COMPUTED_VALUE"""),4)</f>
        <v>4</v>
      </c>
      <c r="D21" s="74"/>
      <c r="E21" s="74" t="str">
        <f ca="1">IFERROR(__xludf.DUMMYFUNCTION("""COMPUTED_VALUE"""),"BR0405")</f>
        <v>BR0405</v>
      </c>
      <c r="F21" s="76" t="str">
        <f ca="1">IFERROR(__xludf.DUMMYFUNCTION("""COMPUTED_VALUE"""),"Maintain a ruling price for each product")</f>
        <v>Maintain a ruling price for each product</v>
      </c>
      <c r="G21" s="74"/>
      <c r="H21" s="79" t="e">
        <f ca="1">'Key Design Decisions'!$A$28</f>
        <v>#NAME?</v>
      </c>
      <c r="I21" s="79"/>
      <c r="J21" s="71" t="e">
        <f ca="1"/>
        <v>#NAME?</v>
      </c>
      <c r="K21" s="71" t="e">
        <f ca="1"/>
        <v>#NAME?</v>
      </c>
      <c r="L21" s="72" t="e">
        <f ca="1"/>
        <v>#NAME?</v>
      </c>
      <c r="M21" s="72" t="e">
        <f ca="1"/>
        <v>#NAME?</v>
      </c>
      <c r="N21" s="42"/>
      <c r="O21" s="42"/>
      <c r="P21" s="42"/>
      <c r="Q21" s="42"/>
      <c r="R21" s="42"/>
      <c r="S21" s="42"/>
      <c r="T21" s="42"/>
      <c r="U21" s="42"/>
      <c r="V21" s="42"/>
      <c r="W21" s="42"/>
      <c r="X21" s="42"/>
      <c r="Y21" s="42"/>
      <c r="Z21" s="42"/>
      <c r="AA21" s="42"/>
      <c r="AB21" s="42"/>
      <c r="AC21" s="42"/>
    </row>
    <row r="22" spans="1:29" x14ac:dyDescent="0.25">
      <c r="A22" s="66">
        <f ca="1">IFERROR(__xludf.DUMMYFUNCTION("""COMPUTED_VALUE"""),1)</f>
        <v>1</v>
      </c>
      <c r="B22" s="67"/>
      <c r="C22" s="68">
        <f ca="1">IFERROR(__xludf.DUMMYFUNCTION("""COMPUTED_VALUE"""),5)</f>
        <v>5</v>
      </c>
      <c r="D22" s="67" t="str">
        <f ca="1">IFERROR(__xludf.DUMMYFUNCTION("""COMPUTED_VALUE"""),"5 Marketing")</f>
        <v>5 Marketing</v>
      </c>
      <c r="E22" s="67" t="str">
        <f ca="1">IFERROR(__xludf.DUMMYFUNCTION("""COMPUTED_VALUE"""),"ReqID")</f>
        <v>ReqID</v>
      </c>
      <c r="F22" s="69" t="str">
        <f ca="1">IFERROR(__xludf.DUMMYFUNCTION("""COMPUTED_VALUE"""),"Requirement")</f>
        <v>Requirement</v>
      </c>
      <c r="G22" s="67"/>
      <c r="H22" s="70"/>
      <c r="I22" s="70"/>
      <c r="J22" s="71" t="str">
        <f ca="1"/>
        <v/>
      </c>
      <c r="K22" s="71" t="str">
        <f ca="1"/>
        <v/>
      </c>
      <c r="L22" s="72" t="str">
        <f ca="1"/>
        <v/>
      </c>
      <c r="M22" s="72" t="str">
        <f ca="1"/>
        <v/>
      </c>
      <c r="N22" s="42"/>
      <c r="O22" s="42"/>
      <c r="P22" s="42"/>
      <c r="Q22" s="42"/>
      <c r="R22" s="42"/>
      <c r="S22" s="42"/>
      <c r="T22" s="42"/>
      <c r="U22" s="42"/>
      <c r="V22" s="42"/>
      <c r="W22" s="42"/>
      <c r="X22" s="42"/>
      <c r="Y22" s="42"/>
      <c r="Z22" s="42"/>
      <c r="AA22" s="42"/>
      <c r="AB22" s="42"/>
      <c r="AC22" s="42"/>
    </row>
    <row r="23" spans="1:29" x14ac:dyDescent="0.25">
      <c r="A23" s="73">
        <f ca="1">IFERROR(__xludf.DUMMYFUNCTION("""COMPUTED_VALUE"""),1)</f>
        <v>1</v>
      </c>
      <c r="B23" s="74"/>
      <c r="C23" s="75">
        <f ca="1">IFERROR(__xludf.DUMMYFUNCTION("""COMPUTED_VALUE"""),5)</f>
        <v>5</v>
      </c>
      <c r="D23" s="74"/>
      <c r="E23" s="74" t="str">
        <f ca="1">IFERROR(__xludf.DUMMYFUNCTION("""COMPUTED_VALUE"""),"BR0501")</f>
        <v>BR0501</v>
      </c>
      <c r="F23" s="76" t="str">
        <f ca="1">IFERROR(__xludf.DUMMYFUNCTION("""COMPUTED_VALUE"""),"Maintain a B2C Co marketing strategy and related tactics")</f>
        <v>Maintain a B2C Co marketing strategy and related tactics</v>
      </c>
      <c r="G23" s="74"/>
      <c r="H23" s="79" t="e">
        <f ca="1">'Key Design Decisions'!$A$60</f>
        <v>#NAME?</v>
      </c>
      <c r="I23" s="79"/>
      <c r="J23" s="71" t="e">
        <f ca="1"/>
        <v>#NAME?</v>
      </c>
      <c r="K23" s="71" t="e">
        <f ca="1"/>
        <v>#NAME?</v>
      </c>
      <c r="L23" s="72" t="e">
        <f ca="1"/>
        <v>#NAME?</v>
      </c>
      <c r="M23" s="72" t="e">
        <f ca="1"/>
        <v>#NAME?</v>
      </c>
      <c r="N23" s="42"/>
      <c r="O23" s="42"/>
      <c r="P23" s="42"/>
      <c r="Q23" s="42"/>
      <c r="R23" s="42"/>
      <c r="S23" s="42"/>
      <c r="T23" s="42"/>
      <c r="U23" s="42"/>
      <c r="V23" s="42"/>
      <c r="W23" s="42"/>
      <c r="X23" s="42"/>
      <c r="Y23" s="42"/>
      <c r="Z23" s="42"/>
      <c r="AA23" s="42"/>
      <c r="AB23" s="42"/>
      <c r="AC23" s="42"/>
    </row>
    <row r="24" spans="1:29" x14ac:dyDescent="0.25">
      <c r="A24" s="66">
        <f ca="1">IFERROR(__xludf.DUMMYFUNCTION("""COMPUTED_VALUE"""),1)</f>
        <v>1</v>
      </c>
      <c r="B24" s="67"/>
      <c r="C24" s="68">
        <f ca="1">IFERROR(__xludf.DUMMYFUNCTION("""COMPUTED_VALUE"""),5)</f>
        <v>5</v>
      </c>
      <c r="D24" s="67"/>
      <c r="E24" s="67" t="str">
        <f ca="1">IFERROR(__xludf.DUMMYFUNCTION("""COMPUTED_VALUE"""),"BR0502")</f>
        <v>BR0502</v>
      </c>
      <c r="F24" s="69" t="str">
        <f ca="1">IFERROR(__xludf.DUMMYFUNCTION("""COMPUTED_VALUE"""),"Manage B2C Co marketing campaigns")</f>
        <v>Manage B2C Co marketing campaigns</v>
      </c>
      <c r="G24" s="67"/>
      <c r="H24" s="78" t="e">
        <f ca="1">'Key Design Decisions'!$A$60</f>
        <v>#NAME?</v>
      </c>
      <c r="I24" s="78"/>
      <c r="J24" s="71" t="e">
        <f ca="1"/>
        <v>#NAME?</v>
      </c>
      <c r="K24" s="71" t="e">
        <f ca="1"/>
        <v>#NAME?</v>
      </c>
      <c r="L24" s="72" t="e">
        <f ca="1"/>
        <v>#NAME?</v>
      </c>
      <c r="M24" s="72" t="e">
        <f ca="1"/>
        <v>#NAME?</v>
      </c>
      <c r="N24" s="42"/>
      <c r="O24" s="42"/>
      <c r="P24" s="42"/>
      <c r="Q24" s="42"/>
      <c r="R24" s="42"/>
      <c r="S24" s="42"/>
      <c r="T24" s="42"/>
      <c r="U24" s="42"/>
      <c r="V24" s="42"/>
      <c r="W24" s="42"/>
      <c r="X24" s="42"/>
      <c r="Y24" s="42"/>
      <c r="Z24" s="42"/>
      <c r="AA24" s="42"/>
      <c r="AB24" s="42"/>
      <c r="AC24" s="42"/>
    </row>
    <row r="25" spans="1:29" x14ac:dyDescent="0.25">
      <c r="A25" s="73">
        <f ca="1">IFERROR(__xludf.DUMMYFUNCTION("""COMPUTED_VALUE"""),1)</f>
        <v>1</v>
      </c>
      <c r="B25" s="74"/>
      <c r="C25" s="75">
        <f ca="1">IFERROR(__xludf.DUMMYFUNCTION("""COMPUTED_VALUE"""),5)</f>
        <v>5</v>
      </c>
      <c r="D25" s="74"/>
      <c r="E25" s="74" t="str">
        <f ca="1">IFERROR(__xludf.DUMMYFUNCTION("""COMPUTED_VALUE"""),"BR0503")</f>
        <v>BR0503</v>
      </c>
      <c r="F25" s="76" t="str">
        <f ca="1">IFERROR(__xludf.DUMMYFUNCTION("""COMPUTED_VALUE"""),"Manage B2C Co marketing assets")</f>
        <v>Manage B2C Co marketing assets</v>
      </c>
      <c r="G25" s="74"/>
      <c r="H25" s="79" t="e">
        <f ca="1">'Key Design Decisions'!$A$53</f>
        <v>#NAME?</v>
      </c>
      <c r="I25" s="79"/>
      <c r="J25" s="71" t="e">
        <f ca="1"/>
        <v>#NAME?</v>
      </c>
      <c r="K25" s="71" t="e">
        <f ca="1"/>
        <v>#NAME?</v>
      </c>
      <c r="L25" s="72" t="e">
        <f ca="1"/>
        <v>#NAME?</v>
      </c>
      <c r="M25" s="72" t="e">
        <f ca="1"/>
        <v>#NAME?</v>
      </c>
      <c r="N25" s="42"/>
      <c r="O25" s="42"/>
      <c r="P25" s="42"/>
      <c r="Q25" s="42"/>
      <c r="R25" s="42"/>
      <c r="S25" s="42"/>
      <c r="T25" s="42"/>
      <c r="U25" s="42"/>
      <c r="V25" s="42"/>
      <c r="W25" s="42"/>
      <c r="X25" s="42"/>
      <c r="Y25" s="42"/>
      <c r="Z25" s="42"/>
      <c r="AA25" s="42"/>
      <c r="AB25" s="42"/>
      <c r="AC25" s="42"/>
    </row>
    <row r="26" spans="1:29" x14ac:dyDescent="0.25">
      <c r="A26" s="66">
        <f ca="1">IFERROR(__xludf.DUMMYFUNCTION("""COMPUTED_VALUE"""),1)</f>
        <v>1</v>
      </c>
      <c r="B26" s="67"/>
      <c r="C26" s="68">
        <f ca="1">IFERROR(__xludf.DUMMYFUNCTION("""COMPUTED_VALUE"""),6)</f>
        <v>6</v>
      </c>
      <c r="D26" s="67" t="str">
        <f ca="1">IFERROR(__xludf.DUMMYFUNCTION("""COMPUTED_VALUE"""),"6 Advertising")</f>
        <v>6 Advertising</v>
      </c>
      <c r="E26" s="67" t="str">
        <f ca="1">IFERROR(__xludf.DUMMYFUNCTION("""COMPUTED_VALUE"""),"ReqID")</f>
        <v>ReqID</v>
      </c>
      <c r="F26" s="69" t="str">
        <f ca="1">IFERROR(__xludf.DUMMYFUNCTION("""COMPUTED_VALUE"""),"Requirement")</f>
        <v>Requirement</v>
      </c>
      <c r="G26" s="67"/>
      <c r="H26" s="80"/>
      <c r="I26" s="80"/>
      <c r="J26" s="71" t="str">
        <f ca="1"/>
        <v/>
      </c>
      <c r="K26" s="71" t="str">
        <f ca="1"/>
        <v/>
      </c>
      <c r="L26" s="81" t="str">
        <f ca="1"/>
        <v/>
      </c>
      <c r="M26" s="81" t="str">
        <f ca="1"/>
        <v/>
      </c>
      <c r="N26" s="42"/>
      <c r="O26" s="42"/>
      <c r="P26" s="42"/>
      <c r="Q26" s="42"/>
      <c r="R26" s="42"/>
      <c r="S26" s="42"/>
      <c r="T26" s="42"/>
      <c r="U26" s="42"/>
      <c r="V26" s="42"/>
      <c r="W26" s="42"/>
      <c r="X26" s="42"/>
      <c r="Y26" s="42"/>
      <c r="Z26" s="42"/>
      <c r="AA26" s="42"/>
      <c r="AB26" s="42"/>
      <c r="AC26" s="42"/>
    </row>
    <row r="27" spans="1:29" x14ac:dyDescent="0.25">
      <c r="A27" s="73">
        <f ca="1">IFERROR(__xludf.DUMMYFUNCTION("""COMPUTED_VALUE"""),1)</f>
        <v>1</v>
      </c>
      <c r="B27" s="74"/>
      <c r="C27" s="75">
        <f ca="1">IFERROR(__xludf.DUMMYFUNCTION("""COMPUTED_VALUE"""),6)</f>
        <v>6</v>
      </c>
      <c r="D27" s="74"/>
      <c r="E27" s="74" t="str">
        <f ca="1">IFERROR(__xludf.DUMMYFUNCTION("""COMPUTED_VALUE"""),"BR0601")</f>
        <v>BR0601</v>
      </c>
      <c r="F27" s="76" t="str">
        <f ca="1">IFERROR(__xludf.DUMMYFUNCTION("""COMPUTED_VALUE"""),"Maintain advertisements")</f>
        <v>Maintain advertisements</v>
      </c>
      <c r="G27" s="74"/>
      <c r="H27" s="79" t="e">
        <f ca="1">'Key Design Decisions'!$A$53</f>
        <v>#NAME?</v>
      </c>
      <c r="I27" s="79"/>
      <c r="J27" s="71" t="e">
        <f ca="1"/>
        <v>#NAME?</v>
      </c>
      <c r="K27" s="71" t="e">
        <f ca="1"/>
        <v>#NAME?</v>
      </c>
      <c r="L27" s="81" t="e">
        <f ca="1"/>
        <v>#NAME?</v>
      </c>
      <c r="M27" s="81" t="e">
        <f ca="1"/>
        <v>#NAME?</v>
      </c>
      <c r="N27" s="42"/>
      <c r="O27" s="42"/>
      <c r="P27" s="42"/>
      <c r="Q27" s="42"/>
      <c r="R27" s="42"/>
      <c r="S27" s="42"/>
      <c r="T27" s="42"/>
      <c r="U27" s="42"/>
      <c r="V27" s="42"/>
      <c r="W27" s="42"/>
      <c r="X27" s="42"/>
      <c r="Y27" s="42"/>
      <c r="Z27" s="42"/>
      <c r="AA27" s="42"/>
      <c r="AB27" s="42"/>
      <c r="AC27" s="42"/>
    </row>
    <row r="28" spans="1:29" x14ac:dyDescent="0.25">
      <c r="A28" s="66">
        <f ca="1">IFERROR(__xludf.DUMMYFUNCTION("""COMPUTED_VALUE"""),1)</f>
        <v>1</v>
      </c>
      <c r="B28" s="67"/>
      <c r="C28" s="68">
        <f ca="1">IFERROR(__xludf.DUMMYFUNCTION("""COMPUTED_VALUE"""),6)</f>
        <v>6</v>
      </c>
      <c r="D28" s="67"/>
      <c r="E28" s="67" t="str">
        <f ca="1">IFERROR(__xludf.DUMMYFUNCTION("""COMPUTED_VALUE"""),"BR0602")</f>
        <v>BR0602</v>
      </c>
      <c r="F28" s="69" t="str">
        <f ca="1">IFERROR(__xludf.DUMMYFUNCTION("""COMPUTED_VALUE"""),"Associate advertisements to marketing campaigns")</f>
        <v>Associate advertisements to marketing campaigns</v>
      </c>
      <c r="G28" s="67"/>
      <c r="H28" s="78" t="e">
        <f ca="1">'Key Design Decisions'!$A$62</f>
        <v>#NAME?</v>
      </c>
      <c r="I28" s="78"/>
      <c r="J28" s="71" t="e">
        <f ca="1"/>
        <v>#NAME?</v>
      </c>
      <c r="K28" s="71" t="e">
        <f ca="1"/>
        <v>#NAME?</v>
      </c>
      <c r="L28" s="81" t="e">
        <f ca="1"/>
        <v>#NAME?</v>
      </c>
      <c r="M28" s="81" t="e">
        <f ca="1"/>
        <v>#NAME?</v>
      </c>
      <c r="N28" s="42"/>
      <c r="O28" s="42"/>
      <c r="P28" s="42"/>
      <c r="Q28" s="42"/>
      <c r="R28" s="42"/>
      <c r="S28" s="42"/>
      <c r="T28" s="42"/>
      <c r="U28" s="42"/>
      <c r="V28" s="42"/>
      <c r="W28" s="42"/>
      <c r="X28" s="42"/>
      <c r="Y28" s="42"/>
      <c r="Z28" s="42"/>
      <c r="AA28" s="42"/>
      <c r="AB28" s="42"/>
      <c r="AC28" s="42"/>
    </row>
    <row r="29" spans="1:29" x14ac:dyDescent="0.25">
      <c r="A29" s="73">
        <f ca="1">IFERROR(__xludf.DUMMYFUNCTION("""COMPUTED_VALUE"""),1)</f>
        <v>1</v>
      </c>
      <c r="B29" s="74"/>
      <c r="C29" s="75">
        <f ca="1">IFERROR(__xludf.DUMMYFUNCTION("""COMPUTED_VALUE"""),6)</f>
        <v>6</v>
      </c>
      <c r="D29" s="74"/>
      <c r="E29" s="74" t="str">
        <f ca="1">IFERROR(__xludf.DUMMYFUNCTION("""COMPUTED_VALUE"""),"BR0603")</f>
        <v>BR0603</v>
      </c>
      <c r="F29" s="76" t="str">
        <f ca="1">IFERROR(__xludf.DUMMYFUNCTION("""COMPUTED_VALUE"""),"Maintain online shop advertisements")</f>
        <v>Maintain online shop advertisements</v>
      </c>
      <c r="G29" s="74"/>
      <c r="H29" s="79" t="e">
        <f ca="1">'Key Design Decisions'!$A$53</f>
        <v>#NAME?</v>
      </c>
      <c r="I29" s="79"/>
      <c r="J29" s="71" t="e">
        <f ca="1"/>
        <v>#NAME?</v>
      </c>
      <c r="K29" s="71" t="e">
        <f ca="1"/>
        <v>#NAME?</v>
      </c>
      <c r="L29" s="81" t="e">
        <f ca="1"/>
        <v>#NAME?</v>
      </c>
      <c r="M29" s="72" t="e">
        <f ca="1"/>
        <v>#NAME?</v>
      </c>
      <c r="N29" s="42"/>
      <c r="O29" s="42"/>
      <c r="P29" s="42"/>
      <c r="Q29" s="42"/>
      <c r="R29" s="42"/>
      <c r="S29" s="42"/>
      <c r="T29" s="42"/>
      <c r="U29" s="42"/>
      <c r="V29" s="42"/>
      <c r="W29" s="42"/>
      <c r="X29" s="42"/>
      <c r="Y29" s="42"/>
      <c r="Z29" s="42"/>
      <c r="AA29" s="42"/>
      <c r="AB29" s="42"/>
      <c r="AC29" s="42"/>
    </row>
    <row r="30" spans="1:29" x14ac:dyDescent="0.25">
      <c r="A30" s="66">
        <f ca="1">IFERROR(__xludf.DUMMYFUNCTION("""COMPUTED_VALUE"""),1)</f>
        <v>1</v>
      </c>
      <c r="B30" s="67"/>
      <c r="C30" s="68">
        <f ca="1">IFERROR(__xludf.DUMMYFUNCTION("""COMPUTED_VALUE"""),6)</f>
        <v>6</v>
      </c>
      <c r="D30" s="67"/>
      <c r="E30" s="67" t="str">
        <f ca="1">IFERROR(__xludf.DUMMYFUNCTION("""COMPUTED_VALUE"""),"BR0604")</f>
        <v>BR0604</v>
      </c>
      <c r="F30" s="69" t="str">
        <f ca="1">IFERROR(__xludf.DUMMYFUNCTION("""COMPUTED_VALUE"""),"Publish advertisement across channels")</f>
        <v>Publish advertisement across channels</v>
      </c>
      <c r="G30" s="67"/>
      <c r="H30" s="78" t="e">
        <f ca="1">'Key Design Decisions'!$A$53</f>
        <v>#NAME?</v>
      </c>
      <c r="I30" s="78"/>
      <c r="J30" s="71" t="e">
        <f ca="1"/>
        <v>#NAME?</v>
      </c>
      <c r="K30" s="71" t="e">
        <f ca="1"/>
        <v>#NAME?</v>
      </c>
      <c r="L30" s="72" t="e">
        <f ca="1"/>
        <v>#NAME?</v>
      </c>
      <c r="M30" s="72" t="e">
        <f ca="1"/>
        <v>#NAME?</v>
      </c>
      <c r="N30" s="42"/>
      <c r="O30" s="42"/>
      <c r="P30" s="42"/>
      <c r="Q30" s="42"/>
      <c r="R30" s="42"/>
      <c r="S30" s="42"/>
      <c r="T30" s="42"/>
      <c r="U30" s="42"/>
      <c r="V30" s="42"/>
      <c r="W30" s="42"/>
      <c r="X30" s="42"/>
      <c r="Y30" s="42"/>
      <c r="Z30" s="42"/>
      <c r="AA30" s="42"/>
      <c r="AB30" s="42"/>
      <c r="AC30" s="42"/>
    </row>
    <row r="31" spans="1:29" x14ac:dyDescent="0.25">
      <c r="A31" s="73">
        <f ca="1">IFERROR(__xludf.DUMMYFUNCTION("""COMPUTED_VALUE"""),1)</f>
        <v>1</v>
      </c>
      <c r="B31" s="74"/>
      <c r="C31" s="75">
        <f ca="1">IFERROR(__xludf.DUMMYFUNCTION("""COMPUTED_VALUE"""),7)</f>
        <v>7</v>
      </c>
      <c r="D31" s="74" t="str">
        <f ca="1">IFERROR(__xludf.DUMMYFUNCTION("""COMPUTED_VALUE"""),"7 Special Content (Articles) (future phase)")</f>
        <v>7 Special Content (Articles) (future phase)</v>
      </c>
      <c r="E31" s="74" t="str">
        <f ca="1">IFERROR(__xludf.DUMMYFUNCTION("""COMPUTED_VALUE"""),"ReqID")</f>
        <v>ReqID</v>
      </c>
      <c r="F31" s="76" t="str">
        <f ca="1">IFERROR(__xludf.DUMMYFUNCTION("""COMPUTED_VALUE"""),"Requirement")</f>
        <v>Requirement</v>
      </c>
      <c r="G31" s="74"/>
      <c r="H31" s="77"/>
      <c r="I31" s="77"/>
      <c r="J31" s="71" t="str">
        <f ca="1"/>
        <v/>
      </c>
      <c r="K31" s="71" t="str">
        <f ca="1"/>
        <v/>
      </c>
      <c r="L31" s="72" t="str">
        <f ca="1"/>
        <v/>
      </c>
      <c r="M31" s="72" t="str">
        <f ca="1"/>
        <v/>
      </c>
      <c r="N31" s="42"/>
      <c r="O31" s="42"/>
      <c r="P31" s="42"/>
      <c r="Q31" s="42"/>
      <c r="R31" s="42"/>
      <c r="S31" s="42"/>
      <c r="T31" s="42"/>
      <c r="U31" s="42"/>
      <c r="V31" s="42"/>
      <c r="W31" s="42"/>
      <c r="X31" s="42"/>
      <c r="Y31" s="42"/>
      <c r="Z31" s="42"/>
      <c r="AA31" s="42"/>
      <c r="AB31" s="42"/>
      <c r="AC31" s="42"/>
    </row>
    <row r="32" spans="1:29" x14ac:dyDescent="0.25">
      <c r="A32" s="66">
        <f ca="1">IFERROR(__xludf.DUMMYFUNCTION("""COMPUTED_VALUE"""),1)</f>
        <v>1</v>
      </c>
      <c r="B32" s="67"/>
      <c r="C32" s="68">
        <f ca="1">IFERROR(__xludf.DUMMYFUNCTION("""COMPUTED_VALUE"""),7)</f>
        <v>7</v>
      </c>
      <c r="D32" s="67"/>
      <c r="E32" s="67" t="str">
        <f ca="1">IFERROR(__xludf.DUMMYFUNCTION("""COMPUTED_VALUE"""),"BR0701")</f>
        <v>BR0701</v>
      </c>
      <c r="F32" s="69" t="str">
        <f ca="1">IFERROR(__xludf.DUMMYFUNCTION("""COMPUTED_VALUE"""),"Maintain special content")</f>
        <v>Maintain special content</v>
      </c>
      <c r="G32" s="67"/>
      <c r="H32" s="78" t="e">
        <f ca="1">'Key Design Decisions'!$A$64</f>
        <v>#NAME?</v>
      </c>
      <c r="I32" s="78"/>
      <c r="J32" s="71" t="e">
        <f ca="1"/>
        <v>#NAME?</v>
      </c>
      <c r="K32" s="71" t="e">
        <f ca="1"/>
        <v>#NAME?</v>
      </c>
      <c r="L32" s="72" t="e">
        <f ca="1"/>
        <v>#NAME?</v>
      </c>
      <c r="M32" s="72" t="e">
        <f ca="1"/>
        <v>#NAME?</v>
      </c>
      <c r="N32" s="42"/>
      <c r="O32" s="42"/>
      <c r="P32" s="42"/>
      <c r="Q32" s="42"/>
      <c r="R32" s="42"/>
      <c r="S32" s="42"/>
      <c r="T32" s="42"/>
      <c r="U32" s="42"/>
      <c r="V32" s="42"/>
      <c r="W32" s="42"/>
      <c r="X32" s="42"/>
      <c r="Y32" s="42"/>
      <c r="Z32" s="42"/>
      <c r="AA32" s="42"/>
      <c r="AB32" s="42"/>
      <c r="AC32" s="42"/>
    </row>
    <row r="33" spans="1:29" x14ac:dyDescent="0.25">
      <c r="A33" s="73">
        <f ca="1">IFERROR(__xludf.DUMMYFUNCTION("""COMPUTED_VALUE"""),1)</f>
        <v>1</v>
      </c>
      <c r="B33" s="74"/>
      <c r="C33" s="75">
        <f ca="1">IFERROR(__xludf.DUMMYFUNCTION("""COMPUTED_VALUE"""),7)</f>
        <v>7</v>
      </c>
      <c r="D33" s="74"/>
      <c r="E33" s="74" t="str">
        <f ca="1">IFERROR(__xludf.DUMMYFUNCTION("""COMPUTED_VALUE"""),"BR0702")</f>
        <v>BR0702</v>
      </c>
      <c r="F33" s="76" t="str">
        <f ca="1">IFERROR(__xludf.DUMMYFUNCTION("""COMPUTED_VALUE"""),"Maintain website customer check-lists special content")</f>
        <v>Maintain website customer check-lists special content</v>
      </c>
      <c r="G33" s="74"/>
      <c r="H33" s="79" t="e">
        <f ca="1">'Key Design Decisions'!$A$66</f>
        <v>#NAME?</v>
      </c>
      <c r="I33" s="79"/>
      <c r="J33" s="71" t="e">
        <f ca="1"/>
        <v>#NAME?</v>
      </c>
      <c r="K33" s="71" t="e">
        <f ca="1"/>
        <v>#NAME?</v>
      </c>
      <c r="L33" s="72" t="e">
        <f ca="1"/>
        <v>#NAME?</v>
      </c>
      <c r="M33" s="72" t="e">
        <f ca="1"/>
        <v>#NAME?</v>
      </c>
      <c r="N33" s="42"/>
      <c r="O33" s="42"/>
      <c r="P33" s="42"/>
      <c r="Q33" s="42"/>
      <c r="R33" s="42"/>
      <c r="S33" s="42"/>
      <c r="T33" s="42"/>
      <c r="U33" s="42"/>
      <c r="V33" s="42"/>
      <c r="W33" s="42"/>
      <c r="X33" s="42"/>
      <c r="Y33" s="42"/>
      <c r="Z33" s="42"/>
      <c r="AA33" s="42"/>
      <c r="AB33" s="42"/>
      <c r="AC33" s="42"/>
    </row>
    <row r="34" spans="1:29" x14ac:dyDescent="0.25">
      <c r="A34" s="66">
        <f ca="1">IFERROR(__xludf.DUMMYFUNCTION("""COMPUTED_VALUE"""),1)</f>
        <v>1</v>
      </c>
      <c r="B34" s="67"/>
      <c r="C34" s="68">
        <f ca="1">IFERROR(__xludf.DUMMYFUNCTION("""COMPUTED_VALUE"""),7)</f>
        <v>7</v>
      </c>
      <c r="D34" s="67"/>
      <c r="E34" s="67" t="str">
        <f ca="1">IFERROR(__xludf.DUMMYFUNCTION("""COMPUTED_VALUE"""),"BR0703")</f>
        <v>BR0703</v>
      </c>
      <c r="F34" s="69" t="str">
        <f ca="1">IFERROR(__xludf.DUMMYFUNCTION("""COMPUTED_VALUE"""),"Maintain online special content")</f>
        <v>Maintain online special content</v>
      </c>
      <c r="G34" s="67"/>
      <c r="H34" s="78" t="e">
        <f ca="1">'Key Design Decisions'!$A$66</f>
        <v>#NAME?</v>
      </c>
      <c r="I34" s="78"/>
      <c r="J34" s="71" t="e">
        <f ca="1"/>
        <v>#NAME?</v>
      </c>
      <c r="K34" s="71" t="e">
        <f ca="1"/>
        <v>#NAME?</v>
      </c>
      <c r="L34" s="72" t="e">
        <f ca="1"/>
        <v>#NAME?</v>
      </c>
      <c r="M34" s="72" t="e">
        <f ca="1"/>
        <v>#NAME?</v>
      </c>
      <c r="N34" s="42"/>
      <c r="O34" s="42"/>
      <c r="P34" s="42"/>
      <c r="Q34" s="42"/>
      <c r="R34" s="42"/>
      <c r="S34" s="42"/>
      <c r="T34" s="42"/>
      <c r="U34" s="42"/>
      <c r="V34" s="42"/>
      <c r="W34" s="42"/>
      <c r="X34" s="42"/>
      <c r="Y34" s="42"/>
      <c r="Z34" s="42"/>
      <c r="AA34" s="42"/>
      <c r="AB34" s="42"/>
      <c r="AC34" s="42"/>
    </row>
    <row r="35" spans="1:29" x14ac:dyDescent="0.25">
      <c r="A35" s="73">
        <f ca="1">IFERROR(__xludf.DUMMYFUNCTION("""COMPUTED_VALUE"""),1)</f>
        <v>1</v>
      </c>
      <c r="B35" s="74"/>
      <c r="C35" s="75">
        <f ca="1">IFERROR(__xludf.DUMMYFUNCTION("""COMPUTED_VALUE"""),7)</f>
        <v>7</v>
      </c>
      <c r="D35" s="74"/>
      <c r="E35" s="74" t="str">
        <f ca="1">IFERROR(__xludf.DUMMYFUNCTION("""COMPUTED_VALUE"""),"BR0704")</f>
        <v>BR0704</v>
      </c>
      <c r="F35" s="76" t="str">
        <f ca="1">IFERROR(__xludf.DUMMYFUNCTION("""COMPUTED_VALUE"""),"Un/Publish website special content")</f>
        <v>Un/Publish website special content</v>
      </c>
      <c r="G35" s="74"/>
      <c r="H35" s="79" t="e">
        <f ca="1">'Key Design Decisions'!$A$64</f>
        <v>#NAME?</v>
      </c>
      <c r="I35" s="79"/>
      <c r="J35" s="71" t="e">
        <f ca="1"/>
        <v>#NAME?</v>
      </c>
      <c r="K35" s="71" t="e">
        <f ca="1"/>
        <v>#NAME?</v>
      </c>
      <c r="L35" s="72" t="e">
        <f ca="1"/>
        <v>#NAME?</v>
      </c>
      <c r="M35" s="72" t="e">
        <f ca="1"/>
        <v>#NAME?</v>
      </c>
      <c r="N35" s="42"/>
      <c r="O35" s="42"/>
      <c r="P35" s="42"/>
      <c r="Q35" s="42"/>
      <c r="R35" s="42"/>
      <c r="S35" s="42"/>
      <c r="T35" s="42"/>
      <c r="U35" s="42"/>
      <c r="V35" s="42"/>
      <c r="W35" s="42"/>
      <c r="X35" s="42"/>
      <c r="Y35" s="42"/>
      <c r="Z35" s="42"/>
      <c r="AA35" s="42"/>
      <c r="AB35" s="42"/>
      <c r="AC35" s="42"/>
    </row>
    <row r="36" spans="1:29" x14ac:dyDescent="0.25">
      <c r="A36" s="66">
        <f ca="1">IFERROR(__xludf.DUMMYFUNCTION("""COMPUTED_VALUE"""),1)</f>
        <v>1</v>
      </c>
      <c r="B36" s="67"/>
      <c r="C36" s="68">
        <f ca="1">IFERROR(__xludf.DUMMYFUNCTION("""COMPUTED_VALUE"""),8)</f>
        <v>8</v>
      </c>
      <c r="D36" s="67" t="str">
        <f ca="1">IFERROR(__xludf.DUMMYFUNCTION("""COMPUTED_VALUE"""),"8 Content Enrichment")</f>
        <v>8 Content Enrichment</v>
      </c>
      <c r="E36" s="67" t="str">
        <f ca="1">IFERROR(__xludf.DUMMYFUNCTION("""COMPUTED_VALUE"""),"ReqID")</f>
        <v>ReqID</v>
      </c>
      <c r="F36" s="69" t="str">
        <f ca="1">IFERROR(__xludf.DUMMYFUNCTION("""COMPUTED_VALUE"""),"Requirement")</f>
        <v>Requirement</v>
      </c>
      <c r="G36" s="67"/>
      <c r="H36" s="70"/>
      <c r="I36" s="70"/>
      <c r="J36" s="71" t="str">
        <f ca="1"/>
        <v/>
      </c>
      <c r="K36" s="71" t="str">
        <f ca="1"/>
        <v/>
      </c>
      <c r="L36" s="72" t="str">
        <f ca="1"/>
        <v/>
      </c>
      <c r="M36" s="72" t="str">
        <f ca="1"/>
        <v/>
      </c>
      <c r="N36" s="42"/>
      <c r="O36" s="42"/>
      <c r="P36" s="42"/>
      <c r="Q36" s="42"/>
      <c r="R36" s="42"/>
      <c r="S36" s="42"/>
      <c r="T36" s="42"/>
      <c r="U36" s="42"/>
      <c r="V36" s="42"/>
      <c r="W36" s="42"/>
      <c r="X36" s="42"/>
      <c r="Y36" s="42"/>
      <c r="Z36" s="42"/>
      <c r="AA36" s="42"/>
      <c r="AB36" s="42"/>
      <c r="AC36" s="42"/>
    </row>
    <row r="37" spans="1:29" x14ac:dyDescent="0.25">
      <c r="A37" s="73">
        <f ca="1">IFERROR(__xludf.DUMMYFUNCTION("""COMPUTED_VALUE"""),1)</f>
        <v>1</v>
      </c>
      <c r="B37" s="74"/>
      <c r="C37" s="75">
        <f ca="1">IFERROR(__xludf.DUMMYFUNCTION("""COMPUTED_VALUE"""),8)</f>
        <v>8</v>
      </c>
      <c r="D37" s="74"/>
      <c r="E37" s="74" t="str">
        <f ca="1">IFERROR(__xludf.DUMMYFUNCTION("""COMPUTED_VALUE"""),"BR0801")</f>
        <v>BR0801</v>
      </c>
      <c r="F37" s="76" t="str">
        <f ca="1">IFERROR(__xludf.DUMMYFUNCTION("""COMPUTED_VALUE"""),"Enrich product meta-data for online use")</f>
        <v>Enrich product meta-data for online use</v>
      </c>
      <c r="G37" s="74"/>
      <c r="H37" s="79" t="e">
        <f ca="1">'Key Design Decisions'!$A$46</f>
        <v>#NAME?</v>
      </c>
      <c r="I37" s="79"/>
      <c r="J37" s="71" t="e">
        <f ca="1"/>
        <v>#NAME?</v>
      </c>
      <c r="K37" s="71" t="e">
        <f ca="1"/>
        <v>#NAME?</v>
      </c>
      <c r="L37" s="72" t="e">
        <f ca="1"/>
        <v>#NAME?</v>
      </c>
      <c r="M37" s="72" t="e">
        <f ca="1"/>
        <v>#NAME?</v>
      </c>
      <c r="N37" s="42"/>
      <c r="O37" s="42"/>
      <c r="P37" s="42"/>
      <c r="Q37" s="42"/>
      <c r="R37" s="42"/>
      <c r="S37" s="42"/>
      <c r="T37" s="42"/>
      <c r="U37" s="42"/>
      <c r="V37" s="42"/>
      <c r="W37" s="42"/>
      <c r="X37" s="42"/>
      <c r="Y37" s="42"/>
      <c r="Z37" s="42"/>
      <c r="AA37" s="42"/>
      <c r="AB37" s="42"/>
      <c r="AC37" s="42"/>
    </row>
    <row r="38" spans="1:29" x14ac:dyDescent="0.25">
      <c r="A38" s="66">
        <f ca="1">IFERROR(__xludf.DUMMYFUNCTION("""COMPUTED_VALUE"""),1)</f>
        <v>1</v>
      </c>
      <c r="B38" s="67"/>
      <c r="C38" s="68">
        <f ca="1">IFERROR(__xludf.DUMMYFUNCTION("""COMPUTED_VALUE"""),8)</f>
        <v>8</v>
      </c>
      <c r="D38" s="67"/>
      <c r="E38" s="67" t="str">
        <f ca="1">IFERROR(__xludf.DUMMYFUNCTION("""COMPUTED_VALUE"""),"BR0802")</f>
        <v>BR0802</v>
      </c>
      <c r="F38" s="69" t="str">
        <f ca="1">IFERROR(__xludf.DUMMYFUNCTION("""COMPUTED_VALUE"""),"Maintain a new flag for each newly listed product")</f>
        <v>Maintain a new flag for each newly listed product</v>
      </c>
      <c r="G38" s="67"/>
      <c r="H38" s="78" t="e">
        <f ca="1">'Key Design Decisions'!$A$46</f>
        <v>#NAME?</v>
      </c>
      <c r="I38" s="78"/>
      <c r="J38" s="71" t="e">
        <f ca="1"/>
        <v>#NAME?</v>
      </c>
      <c r="K38" s="71" t="e">
        <f ca="1"/>
        <v>#NAME?</v>
      </c>
      <c r="L38" s="72" t="e">
        <f ca="1"/>
        <v>#NAME?</v>
      </c>
      <c r="M38" s="72" t="e">
        <f ca="1"/>
        <v>#NAME?</v>
      </c>
      <c r="N38" s="42"/>
      <c r="O38" s="42"/>
      <c r="P38" s="42"/>
      <c r="Q38" s="42"/>
      <c r="R38" s="42"/>
      <c r="S38" s="42"/>
      <c r="T38" s="42"/>
      <c r="U38" s="42"/>
      <c r="V38" s="42"/>
      <c r="W38" s="42"/>
      <c r="X38" s="42"/>
      <c r="Y38" s="42"/>
      <c r="Z38" s="42"/>
      <c r="AA38" s="42"/>
      <c r="AB38" s="42"/>
      <c r="AC38" s="42"/>
    </row>
    <row r="39" spans="1:29" x14ac:dyDescent="0.25">
      <c r="A39" s="73">
        <f ca="1">IFERROR(__xludf.DUMMYFUNCTION("""COMPUTED_VALUE"""),1)</f>
        <v>1</v>
      </c>
      <c r="B39" s="74"/>
      <c r="C39" s="75">
        <f ca="1">IFERROR(__xludf.DUMMYFUNCTION("""COMPUTED_VALUE"""),8)</f>
        <v>8</v>
      </c>
      <c r="D39" s="74"/>
      <c r="E39" s="74" t="str">
        <f ca="1">IFERROR(__xludf.DUMMYFUNCTION("""COMPUTED_VALUE"""),"BR0803")</f>
        <v>BR0803</v>
      </c>
      <c r="F39" s="76" t="str">
        <f ca="1">IFERROR(__xludf.DUMMYFUNCTION("""COMPUTED_VALUE"""),"Enrich advertisement meta-data for online use")</f>
        <v>Enrich advertisement meta-data for online use</v>
      </c>
      <c r="G39" s="74"/>
      <c r="H39" s="79" t="e">
        <f ca="1">'Key Design Decisions'!$A$46</f>
        <v>#NAME?</v>
      </c>
      <c r="I39" s="79"/>
      <c r="J39" s="71" t="e">
        <f ca="1"/>
        <v>#NAME?</v>
      </c>
      <c r="K39" s="71" t="e">
        <f ca="1"/>
        <v>#NAME?</v>
      </c>
      <c r="L39" s="72" t="e">
        <f ca="1"/>
        <v>#NAME?</v>
      </c>
      <c r="M39" s="72" t="e">
        <f ca="1"/>
        <v>#NAME?</v>
      </c>
      <c r="N39" s="42"/>
      <c r="O39" s="42"/>
      <c r="P39" s="42"/>
      <c r="Q39" s="42"/>
      <c r="R39" s="42"/>
      <c r="S39" s="42"/>
      <c r="T39" s="42"/>
      <c r="U39" s="42"/>
      <c r="V39" s="42"/>
      <c r="W39" s="42"/>
      <c r="X39" s="42"/>
      <c r="Y39" s="42"/>
      <c r="Z39" s="42"/>
      <c r="AA39" s="42"/>
      <c r="AB39" s="42"/>
      <c r="AC39" s="42"/>
    </row>
    <row r="40" spans="1:29" x14ac:dyDescent="0.25">
      <c r="A40" s="66">
        <f ca="1">IFERROR(__xludf.DUMMYFUNCTION("""COMPUTED_VALUE"""),1)</f>
        <v>1</v>
      </c>
      <c r="B40" s="67"/>
      <c r="C40" s="68">
        <f ca="1">IFERROR(__xludf.DUMMYFUNCTION("""COMPUTED_VALUE"""),8)</f>
        <v>8</v>
      </c>
      <c r="D40" s="67"/>
      <c r="E40" s="67" t="str">
        <f ca="1">IFERROR(__xludf.DUMMYFUNCTION("""COMPUTED_VALUE"""),"BR0804")</f>
        <v>BR0804</v>
      </c>
      <c r="F40" s="69" t="str">
        <f ca="1">IFERROR(__xludf.DUMMYFUNCTION("""COMPUTED_VALUE"""),"Enrich special content item (article) meta-data for online use")</f>
        <v>Enrich special content item (article) meta-data for online use</v>
      </c>
      <c r="G40" s="67"/>
      <c r="H40" s="78" t="e">
        <f ca="1">'Key Design Decisions'!$A$64</f>
        <v>#NAME?</v>
      </c>
      <c r="I40" s="78"/>
      <c r="J40" s="71" t="e">
        <f ca="1"/>
        <v>#NAME?</v>
      </c>
      <c r="K40" s="71" t="e">
        <f ca="1"/>
        <v>#NAME?</v>
      </c>
      <c r="L40" s="72" t="e">
        <f ca="1"/>
        <v>#NAME?</v>
      </c>
      <c r="M40" s="72" t="e">
        <f ca="1"/>
        <v>#NAME?</v>
      </c>
      <c r="N40" s="42"/>
      <c r="O40" s="42"/>
      <c r="P40" s="42"/>
      <c r="Q40" s="42"/>
      <c r="R40" s="42"/>
      <c r="S40" s="42"/>
      <c r="T40" s="42"/>
      <c r="U40" s="42"/>
      <c r="V40" s="42"/>
      <c r="W40" s="42"/>
      <c r="X40" s="42"/>
      <c r="Y40" s="42"/>
      <c r="Z40" s="42"/>
      <c r="AA40" s="42"/>
      <c r="AB40" s="42"/>
      <c r="AC40" s="42"/>
    </row>
    <row r="41" spans="1:29" x14ac:dyDescent="0.25">
      <c r="A41" s="73">
        <f ca="1">IFERROR(__xludf.DUMMYFUNCTION("""COMPUTED_VALUE"""),1)</f>
        <v>1</v>
      </c>
      <c r="B41" s="74"/>
      <c r="C41" s="75">
        <f ca="1">IFERROR(__xludf.DUMMYFUNCTION("""COMPUTED_VALUE"""),8)</f>
        <v>8</v>
      </c>
      <c r="D41" s="74"/>
      <c r="E41" s="74" t="str">
        <f ca="1">IFERROR(__xludf.DUMMYFUNCTION("""COMPUTED_VALUE"""),"BR0805")</f>
        <v>BR0805</v>
      </c>
      <c r="F41" s="76" t="str">
        <f ca="1">IFERROR(__xludf.DUMMYFUNCTION("""COMPUTED_VALUE"""),"Maintain various sizes for each image")</f>
        <v>Maintain various sizes for each image</v>
      </c>
      <c r="G41" s="74"/>
      <c r="H41" s="79" t="e">
        <f ca="1">'Key Design Decisions'!$A$13</f>
        <v>#NAME?</v>
      </c>
      <c r="I41" s="79"/>
      <c r="J41" s="71" t="e">
        <f ca="1"/>
        <v>#NAME?</v>
      </c>
      <c r="K41" s="71" t="e">
        <f ca="1"/>
        <v>#NAME?</v>
      </c>
      <c r="L41" s="72" t="e">
        <f ca="1"/>
        <v>#NAME?</v>
      </c>
      <c r="M41" s="72" t="e">
        <f ca="1"/>
        <v>#NAME?</v>
      </c>
      <c r="N41" s="42"/>
      <c r="O41" s="42"/>
      <c r="P41" s="42"/>
      <c r="Q41" s="42"/>
      <c r="R41" s="42"/>
      <c r="S41" s="42"/>
      <c r="T41" s="42"/>
      <c r="U41" s="42"/>
      <c r="V41" s="42"/>
      <c r="W41" s="42"/>
      <c r="X41" s="42"/>
      <c r="Y41" s="42"/>
      <c r="Z41" s="42"/>
      <c r="AA41" s="42"/>
      <c r="AB41" s="42"/>
      <c r="AC41" s="42"/>
    </row>
    <row r="42" spans="1:29" x14ac:dyDescent="0.25">
      <c r="A42" s="66">
        <f ca="1">IFERROR(__xludf.DUMMYFUNCTION("""COMPUTED_VALUE"""),1)</f>
        <v>1</v>
      </c>
      <c r="B42" s="67"/>
      <c r="C42" s="68">
        <f ca="1">IFERROR(__xludf.DUMMYFUNCTION("""COMPUTED_VALUE"""),8)</f>
        <v>8</v>
      </c>
      <c r="D42" s="67"/>
      <c r="E42" s="67" t="str">
        <f ca="1">IFERROR(__xludf.DUMMYFUNCTION("""COMPUTED_VALUE"""),"BR0806")</f>
        <v>BR0806</v>
      </c>
      <c r="F42" s="69" t="str">
        <f ca="1">IFERROR(__xludf.DUMMYFUNCTION("""COMPUTED_VALUE"""),"Enrich content relationships and classification using meta-tags")</f>
        <v>Enrich content relationships and classification using meta-tags</v>
      </c>
      <c r="G42" s="67"/>
      <c r="H42" s="78" t="e">
        <f ca="1">'Key Design Decisions'!$A$46</f>
        <v>#NAME?</v>
      </c>
      <c r="I42" s="78"/>
      <c r="J42" s="71" t="e">
        <f ca="1"/>
        <v>#NAME?</v>
      </c>
      <c r="K42" s="71" t="e">
        <f ca="1"/>
        <v>#NAME?</v>
      </c>
      <c r="L42" s="72" t="e">
        <f ca="1"/>
        <v>#NAME?</v>
      </c>
      <c r="M42" s="72" t="e">
        <f ca="1"/>
        <v>#NAME?</v>
      </c>
      <c r="N42" s="42"/>
      <c r="O42" s="42"/>
      <c r="P42" s="42"/>
      <c r="Q42" s="42"/>
      <c r="R42" s="42"/>
      <c r="S42" s="42"/>
      <c r="T42" s="42"/>
      <c r="U42" s="42"/>
      <c r="V42" s="42"/>
      <c r="W42" s="42"/>
      <c r="X42" s="42"/>
      <c r="Y42" s="42"/>
      <c r="Z42" s="42"/>
      <c r="AA42" s="42"/>
      <c r="AB42" s="42"/>
      <c r="AC42" s="42"/>
    </row>
    <row r="43" spans="1:29" x14ac:dyDescent="0.25">
      <c r="A43" s="73">
        <f ca="1">IFERROR(__xludf.DUMMYFUNCTION("""COMPUTED_VALUE"""),1)</f>
        <v>1</v>
      </c>
      <c r="B43" s="74"/>
      <c r="C43" s="75">
        <f ca="1">IFERROR(__xludf.DUMMYFUNCTION("""COMPUTED_VALUE"""),9)</f>
        <v>9</v>
      </c>
      <c r="D43" s="74" t="str">
        <f ca="1">IFERROR(__xludf.DUMMYFUNCTION("""COMPUTED_VALUE"""),"9 Online Shop Users")</f>
        <v>9 Online Shop Users</v>
      </c>
      <c r="E43" s="74" t="str">
        <f ca="1">IFERROR(__xludf.DUMMYFUNCTION("""COMPUTED_VALUE"""),"ReqID")</f>
        <v>ReqID</v>
      </c>
      <c r="F43" s="76" t="str">
        <f ca="1">IFERROR(__xludf.DUMMYFUNCTION("""COMPUTED_VALUE"""),"Requirement")</f>
        <v>Requirement</v>
      </c>
      <c r="G43" s="74"/>
      <c r="H43" s="77"/>
      <c r="I43" s="77"/>
      <c r="J43" s="71" t="str">
        <f ca="1"/>
        <v/>
      </c>
      <c r="K43" s="71" t="str">
        <f ca="1"/>
        <v/>
      </c>
      <c r="L43" s="72" t="str">
        <f ca="1"/>
        <v/>
      </c>
      <c r="M43" s="72" t="str">
        <f ca="1"/>
        <v/>
      </c>
      <c r="N43" s="42"/>
      <c r="O43" s="42"/>
      <c r="P43" s="42"/>
      <c r="Q43" s="42"/>
      <c r="R43" s="42"/>
      <c r="S43" s="42"/>
      <c r="T43" s="42"/>
      <c r="U43" s="42"/>
      <c r="V43" s="42"/>
      <c r="W43" s="42"/>
      <c r="X43" s="42"/>
      <c r="Y43" s="42"/>
      <c r="Z43" s="42"/>
      <c r="AA43" s="42"/>
      <c r="AB43" s="42"/>
      <c r="AC43" s="42"/>
    </row>
    <row r="44" spans="1:29" x14ac:dyDescent="0.25">
      <c r="A44" s="66">
        <f ca="1">IFERROR(__xludf.DUMMYFUNCTION("""COMPUTED_VALUE"""),1)</f>
        <v>1</v>
      </c>
      <c r="B44" s="67"/>
      <c r="C44" s="68">
        <f ca="1">IFERROR(__xludf.DUMMYFUNCTION("""COMPUTED_VALUE"""),9)</f>
        <v>9</v>
      </c>
      <c r="D44" s="67"/>
      <c r="E44" s="67" t="str">
        <f ca="1">IFERROR(__xludf.DUMMYFUNCTION("""COMPUTED_VALUE"""),"BR0901")</f>
        <v>BR0901</v>
      </c>
      <c r="F44" s="69" t="str">
        <f ca="1">IFERROR(__xludf.DUMMYFUNCTION("""COMPUTED_VALUE"""),"Manage online shop user roles")</f>
        <v>Manage online shop user roles</v>
      </c>
      <c r="G44" s="67"/>
      <c r="H44" s="78" t="e">
        <f ca="1">'Key Design Decisions'!$A$131</f>
        <v>#NAME?</v>
      </c>
      <c r="I44" s="78"/>
      <c r="J44" s="71" t="e">
        <f ca="1"/>
        <v>#NAME?</v>
      </c>
      <c r="K44" s="71" t="e">
        <f ca="1"/>
        <v>#NAME?</v>
      </c>
      <c r="L44" s="72" t="e">
        <f ca="1"/>
        <v>#NAME?</v>
      </c>
      <c r="M44" s="72" t="e">
        <f ca="1"/>
        <v>#NAME?</v>
      </c>
      <c r="N44" s="42"/>
      <c r="O44" s="42"/>
      <c r="P44" s="42"/>
      <c r="Q44" s="42"/>
      <c r="R44" s="42"/>
      <c r="S44" s="42"/>
      <c r="T44" s="42"/>
      <c r="U44" s="42"/>
      <c r="V44" s="42"/>
      <c r="W44" s="42"/>
      <c r="X44" s="42"/>
      <c r="Y44" s="42"/>
      <c r="Z44" s="42"/>
      <c r="AA44" s="42"/>
      <c r="AB44" s="42"/>
      <c r="AC44" s="42"/>
    </row>
    <row r="45" spans="1:29" x14ac:dyDescent="0.25">
      <c r="A45" s="73">
        <f ca="1">IFERROR(__xludf.DUMMYFUNCTION("""COMPUTED_VALUE"""),1)</f>
        <v>1</v>
      </c>
      <c r="B45" s="74"/>
      <c r="C45" s="75">
        <f ca="1">IFERROR(__xludf.DUMMYFUNCTION("""COMPUTED_VALUE"""),9)</f>
        <v>9</v>
      </c>
      <c r="D45" s="74"/>
      <c r="E45" s="74" t="str">
        <f ca="1">IFERROR(__xludf.DUMMYFUNCTION("""COMPUTED_VALUE"""),"BR0902")</f>
        <v>BR0902</v>
      </c>
      <c r="F45" s="76" t="str">
        <f ca="1">IFERROR(__xludf.DUMMYFUNCTION("""COMPUTED_VALUE"""),"Register user")</f>
        <v>Register user</v>
      </c>
      <c r="G45" s="74"/>
      <c r="H45" s="79" t="e">
        <f ca="1">'Key Design Decisions'!$A$131</f>
        <v>#NAME?</v>
      </c>
      <c r="I45" s="79"/>
      <c r="J45" s="71" t="e">
        <f ca="1"/>
        <v>#NAME?</v>
      </c>
      <c r="K45" s="71" t="e">
        <f ca="1"/>
        <v>#NAME?</v>
      </c>
      <c r="L45" s="72" t="e">
        <f ca="1"/>
        <v>#NAME?</v>
      </c>
      <c r="M45" s="72" t="e">
        <f ca="1"/>
        <v>#NAME?</v>
      </c>
      <c r="N45" s="42"/>
      <c r="O45" s="42"/>
      <c r="P45" s="42"/>
      <c r="Q45" s="42"/>
      <c r="R45" s="42"/>
      <c r="S45" s="42"/>
      <c r="T45" s="42"/>
      <c r="U45" s="42"/>
      <c r="V45" s="42"/>
      <c r="W45" s="42"/>
      <c r="X45" s="42"/>
      <c r="Y45" s="42"/>
      <c r="Z45" s="42"/>
      <c r="AA45" s="42"/>
      <c r="AB45" s="42"/>
      <c r="AC45" s="42"/>
    </row>
    <row r="46" spans="1:29" x14ac:dyDescent="0.25">
      <c r="A46" s="66">
        <f ca="1">IFERROR(__xludf.DUMMYFUNCTION("""COMPUTED_VALUE"""),1)</f>
        <v>1</v>
      </c>
      <c r="B46" s="67"/>
      <c r="C46" s="68">
        <f ca="1">IFERROR(__xludf.DUMMYFUNCTION("""COMPUTED_VALUE"""),9)</f>
        <v>9</v>
      </c>
      <c r="D46" s="67"/>
      <c r="E46" s="67" t="str">
        <f ca="1">IFERROR(__xludf.DUMMYFUNCTION("""COMPUTED_VALUE"""),"BR0903")</f>
        <v>BR0903</v>
      </c>
      <c r="F46" s="69" t="str">
        <f ca="1">IFERROR(__xludf.DUMMYFUNCTION("""COMPUTED_VALUE"""),"Authenticate user")</f>
        <v>Authenticate user</v>
      </c>
      <c r="G46" s="67"/>
      <c r="H46" s="78" t="e">
        <f ca="1">'Key Design Decisions'!$A$131</f>
        <v>#NAME?</v>
      </c>
      <c r="I46" s="78"/>
      <c r="J46" s="71" t="e">
        <f ca="1"/>
        <v>#NAME?</v>
      </c>
      <c r="K46" s="71" t="e">
        <f ca="1"/>
        <v>#NAME?</v>
      </c>
      <c r="L46" s="72" t="e">
        <f ca="1"/>
        <v>#NAME?</v>
      </c>
      <c r="M46" s="72" t="e">
        <f ca="1"/>
        <v>#NAME?</v>
      </c>
      <c r="N46" s="42"/>
      <c r="O46" s="42"/>
      <c r="P46" s="42"/>
      <c r="Q46" s="42"/>
      <c r="R46" s="42"/>
      <c r="S46" s="42"/>
      <c r="T46" s="42"/>
      <c r="U46" s="42"/>
      <c r="V46" s="42"/>
      <c r="W46" s="42"/>
      <c r="X46" s="42"/>
      <c r="Y46" s="42"/>
      <c r="Z46" s="42"/>
      <c r="AA46" s="42"/>
      <c r="AB46" s="42"/>
      <c r="AC46" s="42"/>
    </row>
    <row r="47" spans="1:29" x14ac:dyDescent="0.25">
      <c r="A47" s="73">
        <f ca="1">IFERROR(__xludf.DUMMYFUNCTION("""COMPUTED_VALUE"""),1)</f>
        <v>1</v>
      </c>
      <c r="B47" s="74"/>
      <c r="C47" s="75">
        <f ca="1">IFERROR(__xludf.DUMMYFUNCTION("""COMPUTED_VALUE"""),9)</f>
        <v>9</v>
      </c>
      <c r="D47" s="74"/>
      <c r="E47" s="74" t="str">
        <f ca="1">IFERROR(__xludf.DUMMYFUNCTION("""COMPUTED_VALUE"""),"BR0904")</f>
        <v>BR0904</v>
      </c>
      <c r="F47" s="76" t="str">
        <f ca="1">IFERROR(__xludf.DUMMYFUNCTION("""COMPUTED_VALUE"""),"Recover user password")</f>
        <v>Recover user password</v>
      </c>
      <c r="G47" s="74"/>
      <c r="H47" s="79" t="e">
        <f ca="1">'Key Design Decisions'!$A$131</f>
        <v>#NAME?</v>
      </c>
      <c r="I47" s="79"/>
      <c r="J47" s="71" t="e">
        <f ca="1"/>
        <v>#NAME?</v>
      </c>
      <c r="K47" s="71" t="e">
        <f ca="1"/>
        <v>#NAME?</v>
      </c>
      <c r="L47" s="72" t="e">
        <f ca="1"/>
        <v>#NAME?</v>
      </c>
      <c r="M47" s="72" t="e">
        <f ca="1"/>
        <v>#NAME?</v>
      </c>
      <c r="N47" s="42"/>
      <c r="O47" s="42"/>
      <c r="P47" s="42"/>
      <c r="Q47" s="42"/>
      <c r="R47" s="42"/>
      <c r="S47" s="42"/>
      <c r="T47" s="42"/>
      <c r="U47" s="42"/>
      <c r="V47" s="42"/>
      <c r="W47" s="42"/>
      <c r="X47" s="42"/>
      <c r="Y47" s="42"/>
      <c r="Z47" s="42"/>
      <c r="AA47" s="42"/>
      <c r="AB47" s="42"/>
      <c r="AC47" s="42"/>
    </row>
    <row r="48" spans="1:29" x14ac:dyDescent="0.25">
      <c r="A48" s="66">
        <f ca="1">IFERROR(__xludf.DUMMYFUNCTION("""COMPUTED_VALUE"""),1)</f>
        <v>1</v>
      </c>
      <c r="B48" s="67"/>
      <c r="C48" s="68">
        <f ca="1">IFERROR(__xludf.DUMMYFUNCTION("""COMPUTED_VALUE"""),9)</f>
        <v>9</v>
      </c>
      <c r="D48" s="67"/>
      <c r="E48" s="67" t="str">
        <f ca="1">IFERROR(__xludf.DUMMYFUNCTION("""COMPUTED_VALUE"""),"BR0905")</f>
        <v>BR0905</v>
      </c>
      <c r="F48" s="69" t="str">
        <f ca="1">IFERROR(__xludf.DUMMYFUNCTION("""COMPUTED_VALUE"""),"Change user password")</f>
        <v>Change user password</v>
      </c>
      <c r="G48" s="67"/>
      <c r="H48" s="78" t="e">
        <f ca="1">'Key Design Decisions'!$A$131</f>
        <v>#NAME?</v>
      </c>
      <c r="I48" s="78"/>
      <c r="J48" s="71" t="e">
        <f ca="1"/>
        <v>#NAME?</v>
      </c>
      <c r="K48" s="71" t="e">
        <f ca="1"/>
        <v>#NAME?</v>
      </c>
      <c r="L48" s="72" t="e">
        <f ca="1"/>
        <v>#NAME?</v>
      </c>
      <c r="M48" s="72" t="e">
        <f ca="1"/>
        <v>#NAME?</v>
      </c>
      <c r="N48" s="42"/>
      <c r="O48" s="42"/>
      <c r="P48" s="42"/>
      <c r="Q48" s="42"/>
      <c r="R48" s="42"/>
      <c r="S48" s="42"/>
      <c r="T48" s="42"/>
      <c r="U48" s="42"/>
      <c r="V48" s="42"/>
      <c r="W48" s="42"/>
      <c r="X48" s="42"/>
      <c r="Y48" s="42"/>
      <c r="Z48" s="42"/>
      <c r="AA48" s="42"/>
      <c r="AB48" s="42"/>
      <c r="AC48" s="42"/>
    </row>
    <row r="49" spans="1:29" x14ac:dyDescent="0.25">
      <c r="A49" s="73">
        <f ca="1">IFERROR(__xludf.DUMMYFUNCTION("""COMPUTED_VALUE"""),1)</f>
        <v>1</v>
      </c>
      <c r="B49" s="74"/>
      <c r="C49" s="75">
        <f ca="1">IFERROR(__xludf.DUMMYFUNCTION("""COMPUTED_VALUE"""),9)</f>
        <v>9</v>
      </c>
      <c r="D49" s="74"/>
      <c r="E49" s="74" t="str">
        <f ca="1">IFERROR(__xludf.DUMMYFUNCTION("""COMPUTED_VALUE"""),"BR0906")</f>
        <v>BR0906</v>
      </c>
      <c r="F49" s="76" t="str">
        <f ca="1">IFERROR(__xludf.DUMMYFUNCTION("""COMPUTED_VALUE"""),"Recover own username (registered email address)")</f>
        <v>Recover own username (registered email address)</v>
      </c>
      <c r="G49" s="74"/>
      <c r="H49" s="79" t="e">
        <f ca="1">'Key Design Decisions'!$A$131</f>
        <v>#NAME?</v>
      </c>
      <c r="I49" s="79"/>
      <c r="J49" s="71" t="e">
        <f ca="1"/>
        <v>#NAME?</v>
      </c>
      <c r="K49" s="71" t="e">
        <f ca="1"/>
        <v>#NAME?</v>
      </c>
      <c r="L49" s="72" t="e">
        <f ca="1"/>
        <v>#NAME?</v>
      </c>
      <c r="M49" s="72" t="e">
        <f ca="1"/>
        <v>#NAME?</v>
      </c>
      <c r="N49" s="42"/>
      <c r="O49" s="42"/>
      <c r="P49" s="42"/>
      <c r="Q49" s="42"/>
      <c r="R49" s="42"/>
      <c r="S49" s="42"/>
      <c r="T49" s="42"/>
      <c r="U49" s="42"/>
      <c r="V49" s="42"/>
      <c r="W49" s="42"/>
      <c r="X49" s="42"/>
      <c r="Y49" s="42"/>
      <c r="Z49" s="42"/>
      <c r="AA49" s="42"/>
      <c r="AB49" s="42"/>
      <c r="AC49" s="42"/>
    </row>
    <row r="50" spans="1:29" x14ac:dyDescent="0.25">
      <c r="A50" s="66">
        <f ca="1">IFERROR(__xludf.DUMMYFUNCTION("""COMPUTED_VALUE"""),1)</f>
        <v>1</v>
      </c>
      <c r="B50" s="67"/>
      <c r="C50" s="68">
        <f ca="1">IFERROR(__xludf.DUMMYFUNCTION("""COMPUTED_VALUE"""),9)</f>
        <v>9</v>
      </c>
      <c r="D50" s="67"/>
      <c r="E50" s="67" t="str">
        <f ca="1">IFERROR(__xludf.DUMMYFUNCTION("""COMPUTED_VALUE"""),"BR0907")</f>
        <v>BR0907</v>
      </c>
      <c r="F50" s="69" t="str">
        <f ca="1">IFERROR(__xludf.DUMMYFUNCTION("""COMPUTED_VALUE"""),"Administer locked users")</f>
        <v>Administer locked users</v>
      </c>
      <c r="G50" s="67"/>
      <c r="H50" s="78" t="e">
        <f ca="1">'Key Design Decisions'!$A$131</f>
        <v>#NAME?</v>
      </c>
      <c r="I50" s="78"/>
      <c r="J50" s="71" t="e">
        <f ca="1"/>
        <v>#NAME?</v>
      </c>
      <c r="K50" s="71" t="e">
        <f ca="1"/>
        <v>#NAME?</v>
      </c>
      <c r="L50" s="72" t="e">
        <f ca="1"/>
        <v>#NAME?</v>
      </c>
      <c r="M50" s="72" t="e">
        <f ca="1"/>
        <v>#NAME?</v>
      </c>
      <c r="N50" s="42"/>
      <c r="O50" s="42"/>
      <c r="P50" s="42"/>
      <c r="Q50" s="42"/>
      <c r="R50" s="42"/>
      <c r="S50" s="42"/>
      <c r="T50" s="42"/>
      <c r="U50" s="42"/>
      <c r="V50" s="42"/>
      <c r="W50" s="42"/>
      <c r="X50" s="42"/>
      <c r="Y50" s="42"/>
      <c r="Z50" s="42"/>
      <c r="AA50" s="42"/>
      <c r="AB50" s="42"/>
      <c r="AC50" s="42"/>
    </row>
    <row r="51" spans="1:29" x14ac:dyDescent="0.25">
      <c r="A51" s="73">
        <f ca="1">IFERROR(__xludf.DUMMYFUNCTION("""COMPUTED_VALUE"""),1)</f>
        <v>1</v>
      </c>
      <c r="B51" s="74"/>
      <c r="C51" s="75">
        <f ca="1">IFERROR(__xludf.DUMMYFUNCTION("""COMPUTED_VALUE"""),9)</f>
        <v>9</v>
      </c>
      <c r="D51" s="74"/>
      <c r="E51" s="74" t="str">
        <f ca="1">IFERROR(__xludf.DUMMYFUNCTION("""COMPUTED_VALUE"""),"BR0908")</f>
        <v>BR0908</v>
      </c>
      <c r="F51" s="76" t="str">
        <f ca="1">IFERROR(__xludf.DUMMYFUNCTION("""COMPUTED_VALUE"""),"Administer abandoned users")</f>
        <v>Administer abandoned users</v>
      </c>
      <c r="G51" s="74"/>
      <c r="H51" s="79" t="e">
        <f ca="1">'Key Design Decisions'!$A$131</f>
        <v>#NAME?</v>
      </c>
      <c r="I51" s="79"/>
      <c r="J51" s="71" t="e">
        <f ca="1"/>
        <v>#NAME?</v>
      </c>
      <c r="K51" s="71" t="e">
        <f ca="1"/>
        <v>#NAME?</v>
      </c>
      <c r="L51" s="72" t="e">
        <f ca="1"/>
        <v>#NAME?</v>
      </c>
      <c r="M51" s="72" t="e">
        <f ca="1"/>
        <v>#NAME?</v>
      </c>
      <c r="N51" s="42"/>
      <c r="O51" s="42"/>
      <c r="P51" s="42"/>
      <c r="Q51" s="42"/>
      <c r="R51" s="42"/>
      <c r="S51" s="42"/>
      <c r="T51" s="42"/>
      <c r="U51" s="42"/>
      <c r="V51" s="42"/>
      <c r="W51" s="42"/>
      <c r="X51" s="42"/>
      <c r="Y51" s="42"/>
      <c r="Z51" s="42"/>
      <c r="AA51" s="42"/>
      <c r="AB51" s="42"/>
      <c r="AC51" s="42"/>
    </row>
    <row r="52" spans="1:29" x14ac:dyDescent="0.25">
      <c r="A52" s="66">
        <f ca="1">IFERROR(__xludf.DUMMYFUNCTION("""COMPUTED_VALUE"""),1)</f>
        <v>1</v>
      </c>
      <c r="B52" s="67"/>
      <c r="C52" s="68">
        <f ca="1">IFERROR(__xludf.DUMMYFUNCTION("""COMPUTED_VALUE"""),10)</f>
        <v>10</v>
      </c>
      <c r="D52" s="67" t="str">
        <f ca="1">IFERROR(__xludf.DUMMYFUNCTION("""COMPUTED_VALUE"""),"10 Online Shop Layout")</f>
        <v>10 Online Shop Layout</v>
      </c>
      <c r="E52" s="67" t="str">
        <f ca="1">IFERROR(__xludf.DUMMYFUNCTION("""COMPUTED_VALUE"""),"ReqID")</f>
        <v>ReqID</v>
      </c>
      <c r="F52" s="69" t="str">
        <f ca="1">IFERROR(__xludf.DUMMYFUNCTION("""COMPUTED_VALUE"""),"Requirement")</f>
        <v>Requirement</v>
      </c>
      <c r="G52" s="67"/>
      <c r="H52" s="70"/>
      <c r="I52" s="70"/>
      <c r="J52" s="71" t="str">
        <f ca="1"/>
        <v/>
      </c>
      <c r="K52" s="71" t="str">
        <f ca="1"/>
        <v/>
      </c>
      <c r="L52" s="72" t="str">
        <f ca="1"/>
        <v/>
      </c>
      <c r="M52" s="72" t="str">
        <f ca="1"/>
        <v/>
      </c>
      <c r="N52" s="42"/>
      <c r="O52" s="42"/>
      <c r="P52" s="42"/>
      <c r="Q52" s="42"/>
      <c r="R52" s="42"/>
      <c r="S52" s="42"/>
      <c r="T52" s="42"/>
      <c r="U52" s="42"/>
      <c r="V52" s="42"/>
      <c r="W52" s="42"/>
      <c r="X52" s="42"/>
      <c r="Y52" s="42"/>
      <c r="Z52" s="42"/>
      <c r="AA52" s="42"/>
      <c r="AB52" s="42"/>
      <c r="AC52" s="42"/>
    </row>
    <row r="53" spans="1:29" x14ac:dyDescent="0.25">
      <c r="A53" s="73">
        <f ca="1">IFERROR(__xludf.DUMMYFUNCTION("""COMPUTED_VALUE"""),1)</f>
        <v>1</v>
      </c>
      <c r="B53" s="74"/>
      <c r="C53" s="75">
        <f ca="1">IFERROR(__xludf.DUMMYFUNCTION("""COMPUTED_VALUE"""),10)</f>
        <v>10</v>
      </c>
      <c r="D53" s="74"/>
      <c r="E53" s="74" t="str">
        <f ca="1">IFERROR(__xludf.DUMMYFUNCTION("""COMPUTED_VALUE"""),"BR1001")</f>
        <v>BR1001</v>
      </c>
      <c r="F53" s="76" t="str">
        <f ca="1">IFERROR(__xludf.DUMMYFUNCTION("""COMPUTED_VALUE"""),"Present an online shop for anonymous visitors")</f>
        <v>Present an online shop for anonymous visitors</v>
      </c>
      <c r="G53" s="74"/>
      <c r="H53" s="79" t="e">
        <f ca="1">'Key Design Decisions'!$A$13</f>
        <v>#NAME?</v>
      </c>
      <c r="I53" s="79" t="e">
        <f ca="1">'Key Design Decisions'!$A$123</f>
        <v>#NAME?</v>
      </c>
      <c r="J53" s="71" t="e">
        <f ca="1"/>
        <v>#NAME?</v>
      </c>
      <c r="K53" s="71" t="e">
        <f ca="1"/>
        <v>#NAME?</v>
      </c>
      <c r="L53" s="72" t="e">
        <f ca="1"/>
        <v>#NAME?</v>
      </c>
      <c r="M53" s="72" t="e">
        <f ca="1"/>
        <v>#NAME?</v>
      </c>
      <c r="N53" s="42"/>
      <c r="O53" s="42"/>
      <c r="P53" s="42"/>
      <c r="Q53" s="42"/>
      <c r="R53" s="42"/>
      <c r="S53" s="42"/>
      <c r="T53" s="42"/>
      <c r="U53" s="42"/>
      <c r="V53" s="42"/>
      <c r="W53" s="42"/>
      <c r="X53" s="42"/>
      <c r="Y53" s="42"/>
      <c r="Z53" s="42"/>
      <c r="AA53" s="42"/>
      <c r="AB53" s="42"/>
      <c r="AC53" s="42"/>
    </row>
    <row r="54" spans="1:29" x14ac:dyDescent="0.25">
      <c r="A54" s="66">
        <f ca="1">IFERROR(__xludf.DUMMYFUNCTION("""COMPUTED_VALUE"""),1)</f>
        <v>1</v>
      </c>
      <c r="B54" s="67"/>
      <c r="C54" s="68">
        <f ca="1">IFERROR(__xludf.DUMMYFUNCTION("""COMPUTED_VALUE"""),10)</f>
        <v>10</v>
      </c>
      <c r="D54" s="67"/>
      <c r="E54" s="67" t="str">
        <f ca="1">IFERROR(__xludf.DUMMYFUNCTION("""COMPUTED_VALUE"""),"BR1002")</f>
        <v>BR1002</v>
      </c>
      <c r="F54" s="69" t="str">
        <f ca="1">IFERROR(__xludf.DUMMYFUNCTION("""COMPUTED_VALUE"""),"Present an online shop for logged-in customers")</f>
        <v>Present an online shop for logged-in customers</v>
      </c>
      <c r="G54" s="67"/>
      <c r="H54" s="78" t="e">
        <f ca="1">'Key Design Decisions'!$A$13</f>
        <v>#NAME?</v>
      </c>
      <c r="I54" s="78" t="e">
        <f ca="1">'Key Design Decisions'!$A$123</f>
        <v>#NAME?</v>
      </c>
      <c r="J54" s="71" t="e">
        <f ca="1"/>
        <v>#NAME?</v>
      </c>
      <c r="K54" s="71" t="e">
        <f ca="1"/>
        <v>#NAME?</v>
      </c>
      <c r="L54" s="72" t="e">
        <f ca="1"/>
        <v>#NAME?</v>
      </c>
      <c r="M54" s="72" t="e">
        <f ca="1"/>
        <v>#NAME?</v>
      </c>
      <c r="N54" s="42"/>
      <c r="O54" s="42"/>
      <c r="P54" s="42"/>
      <c r="Q54" s="42"/>
      <c r="R54" s="42"/>
      <c r="S54" s="42"/>
      <c r="T54" s="42"/>
      <c r="U54" s="42"/>
      <c r="V54" s="42"/>
      <c r="W54" s="42"/>
      <c r="X54" s="42"/>
      <c r="Y54" s="42"/>
      <c r="Z54" s="42"/>
      <c r="AA54" s="42"/>
      <c r="AB54" s="42"/>
      <c r="AC54" s="42"/>
    </row>
    <row r="55" spans="1:29" x14ac:dyDescent="0.25">
      <c r="A55" s="73">
        <f ca="1">IFERROR(__xludf.DUMMYFUNCTION("""COMPUTED_VALUE"""),1)</f>
        <v>1</v>
      </c>
      <c r="B55" s="74"/>
      <c r="C55" s="75">
        <f ca="1">IFERROR(__xludf.DUMMYFUNCTION("""COMPUTED_VALUE"""),10)</f>
        <v>10</v>
      </c>
      <c r="D55" s="74"/>
      <c r="E55" s="74" t="str">
        <f ca="1">IFERROR(__xludf.DUMMYFUNCTION("""COMPUTED_VALUE"""),"BR1003")</f>
        <v>BR1003</v>
      </c>
      <c r="F55" s="76" t="str">
        <f ca="1">IFERROR(__xludf.DUMMYFUNCTION("""COMPUTED_VALUE"""),"Present an online shop for logged-in back-office users")</f>
        <v>Present an online shop for logged-in back-office users</v>
      </c>
      <c r="G55" s="74"/>
      <c r="H55" s="79" t="e">
        <f ca="1">'Key Design Decisions'!$A$139</f>
        <v>#NAME?</v>
      </c>
      <c r="I55" s="79" t="e">
        <f ca="1">'Key Design Decisions'!$A$123</f>
        <v>#NAME?</v>
      </c>
      <c r="J55" s="71" t="e">
        <f ca="1"/>
        <v>#NAME?</v>
      </c>
      <c r="K55" s="71" t="e">
        <f ca="1"/>
        <v>#NAME?</v>
      </c>
      <c r="L55" s="72" t="e">
        <f ca="1"/>
        <v>#NAME?</v>
      </c>
      <c r="M55" s="72" t="e">
        <f ca="1"/>
        <v>#NAME?</v>
      </c>
      <c r="N55" s="42"/>
      <c r="O55" s="42"/>
      <c r="P55" s="42"/>
      <c r="Q55" s="42"/>
      <c r="R55" s="42"/>
      <c r="S55" s="42"/>
      <c r="T55" s="42"/>
      <c r="U55" s="42"/>
      <c r="V55" s="42"/>
      <c r="W55" s="42"/>
      <c r="X55" s="42"/>
      <c r="Y55" s="42"/>
      <c r="Z55" s="42"/>
      <c r="AA55" s="42"/>
      <c r="AB55" s="42"/>
      <c r="AC55" s="42"/>
    </row>
    <row r="56" spans="1:29" x14ac:dyDescent="0.25">
      <c r="A56" s="66">
        <f ca="1">IFERROR(__xludf.DUMMYFUNCTION("""COMPUTED_VALUE"""),1)</f>
        <v>1</v>
      </c>
      <c r="B56" s="67"/>
      <c r="C56" s="68">
        <f ca="1">IFERROR(__xludf.DUMMYFUNCTION("""COMPUTED_VALUE"""),10)</f>
        <v>10</v>
      </c>
      <c r="D56" s="67"/>
      <c r="E56" s="67" t="str">
        <f ca="1">IFERROR(__xludf.DUMMYFUNCTION("""COMPUTED_VALUE"""),"BR1004")</f>
        <v>BR1004</v>
      </c>
      <c r="F56" s="69" t="str">
        <f ca="1">IFERROR(__xludf.DUMMYFUNCTION("""COMPUTED_VALUE"""),"Present the online shopfront as part of the online shop")</f>
        <v>Present the online shopfront as part of the online shop</v>
      </c>
      <c r="G56" s="67"/>
      <c r="H56" s="78" t="e">
        <f ca="1">'Key Design Decisions'!$A$13</f>
        <v>#NAME?</v>
      </c>
      <c r="I56" s="78"/>
      <c r="J56" s="71" t="e">
        <f ca="1"/>
        <v>#NAME?</v>
      </c>
      <c r="K56" s="71" t="e">
        <f ca="1"/>
        <v>#NAME?</v>
      </c>
      <c r="L56" s="72" t="e">
        <f ca="1"/>
        <v>#NAME?</v>
      </c>
      <c r="M56" s="72" t="e">
        <f ca="1"/>
        <v>#NAME?</v>
      </c>
      <c r="N56" s="42"/>
      <c r="O56" s="42"/>
      <c r="P56" s="42"/>
      <c r="Q56" s="42"/>
      <c r="R56" s="42"/>
      <c r="S56" s="42"/>
      <c r="T56" s="42"/>
      <c r="U56" s="42"/>
      <c r="V56" s="42"/>
      <c r="W56" s="42"/>
      <c r="X56" s="42"/>
      <c r="Y56" s="42"/>
      <c r="Z56" s="42"/>
      <c r="AA56" s="42"/>
      <c r="AB56" s="42"/>
      <c r="AC56" s="42"/>
    </row>
    <row r="57" spans="1:29" x14ac:dyDescent="0.25">
      <c r="A57" s="73">
        <f ca="1">IFERROR(__xludf.DUMMYFUNCTION("""COMPUTED_VALUE"""),1)</f>
        <v>1</v>
      </c>
      <c r="B57" s="74"/>
      <c r="C57" s="75">
        <f ca="1">IFERROR(__xludf.DUMMYFUNCTION("""COMPUTED_VALUE"""),10)</f>
        <v>10</v>
      </c>
      <c r="D57" s="74"/>
      <c r="E57" s="74" t="str">
        <f ca="1">IFERROR(__xludf.DUMMYFUNCTION("""COMPUTED_VALUE"""),"BR1005")</f>
        <v>BR1005</v>
      </c>
      <c r="F57" s="76" t="str">
        <f ca="1">IFERROR(__xludf.DUMMYFUNCTION("""COMPUTED_VALUE"""),"Present product in the online shop")</f>
        <v>Present product in the online shop</v>
      </c>
      <c r="G57" s="74"/>
      <c r="H57" s="79" t="e">
        <f ca="1">'Key Design Decisions'!$A$33</f>
        <v>#NAME?</v>
      </c>
      <c r="I57" s="79"/>
      <c r="J57" s="71" t="e">
        <f ca="1"/>
        <v>#NAME?</v>
      </c>
      <c r="K57" s="71" t="e">
        <f ca="1"/>
        <v>#NAME?</v>
      </c>
      <c r="L57" s="72" t="e">
        <f ca="1"/>
        <v>#NAME?</v>
      </c>
      <c r="M57" s="72" t="e">
        <f ca="1"/>
        <v>#NAME?</v>
      </c>
      <c r="N57" s="42"/>
      <c r="O57" s="42"/>
      <c r="P57" s="42"/>
      <c r="Q57" s="42"/>
      <c r="R57" s="42"/>
      <c r="S57" s="42"/>
      <c r="T57" s="42"/>
      <c r="U57" s="42"/>
      <c r="V57" s="42"/>
      <c r="W57" s="42"/>
      <c r="X57" s="42"/>
      <c r="Y57" s="42"/>
      <c r="Z57" s="42"/>
      <c r="AA57" s="42"/>
      <c r="AB57" s="42"/>
      <c r="AC57" s="42"/>
    </row>
    <row r="58" spans="1:29" x14ac:dyDescent="0.25">
      <c r="A58" s="66">
        <f ca="1">IFERROR(__xludf.DUMMYFUNCTION("""COMPUTED_VALUE"""),1)</f>
        <v>1</v>
      </c>
      <c r="B58" s="67"/>
      <c r="C58" s="68">
        <f ca="1">IFERROR(__xludf.DUMMYFUNCTION("""COMPUTED_VALUE"""),10)</f>
        <v>10</v>
      </c>
      <c r="D58" s="67"/>
      <c r="E58" s="67" t="str">
        <f ca="1">IFERROR(__xludf.DUMMYFUNCTION("""COMPUTED_VALUE"""),"BR1006")</f>
        <v>BR1006</v>
      </c>
      <c r="F58" s="69" t="str">
        <f ca="1">IFERROR(__xludf.DUMMYFUNCTION("""COMPUTED_VALUE"""),"Present advertisement in the online shop")</f>
        <v>Present advertisement in the online shop</v>
      </c>
      <c r="G58" s="67"/>
      <c r="H58" s="78" t="e">
        <f ca="1">'Key Design Decisions'!$A$53</f>
        <v>#NAME?</v>
      </c>
      <c r="I58" s="78"/>
      <c r="J58" s="71" t="e">
        <f ca="1"/>
        <v>#NAME?</v>
      </c>
      <c r="K58" s="71" t="e">
        <f ca="1"/>
        <v>#NAME?</v>
      </c>
      <c r="L58" s="72" t="e">
        <f ca="1"/>
        <v>#NAME?</v>
      </c>
      <c r="M58" s="72" t="e">
        <f ca="1"/>
        <v>#NAME?</v>
      </c>
      <c r="N58" s="42"/>
      <c r="O58" s="42"/>
      <c r="P58" s="42"/>
      <c r="Q58" s="42"/>
      <c r="R58" s="42"/>
      <c r="S58" s="42"/>
      <c r="T58" s="42"/>
      <c r="U58" s="42"/>
      <c r="V58" s="42"/>
      <c r="W58" s="42"/>
      <c r="X58" s="42"/>
      <c r="Y58" s="42"/>
      <c r="Z58" s="42"/>
      <c r="AA58" s="42"/>
      <c r="AB58" s="42"/>
      <c r="AC58" s="42"/>
    </row>
    <row r="59" spans="1:29" x14ac:dyDescent="0.25">
      <c r="A59" s="73">
        <f ca="1">IFERROR(__xludf.DUMMYFUNCTION("""COMPUTED_VALUE"""),1)</f>
        <v>1</v>
      </c>
      <c r="B59" s="74"/>
      <c r="C59" s="75">
        <f ca="1">IFERROR(__xludf.DUMMYFUNCTION("""COMPUTED_VALUE"""),10)</f>
        <v>10</v>
      </c>
      <c r="D59" s="74"/>
      <c r="E59" s="74" t="str">
        <f ca="1">IFERROR(__xludf.DUMMYFUNCTION("""COMPUTED_VALUE"""),"BR1007")</f>
        <v>BR1007</v>
      </c>
      <c r="F59" s="76" t="str">
        <f ca="1">IFERROR(__xludf.DUMMYFUNCTION("""COMPUTED_VALUE"""),"Present article in the online shop")</f>
        <v>Present article in the online shop</v>
      </c>
      <c r="G59" s="74"/>
      <c r="H59" s="79" t="e">
        <f ca="1">'Key Design Decisions'!$A$66</f>
        <v>#NAME?</v>
      </c>
      <c r="I59" s="79"/>
      <c r="J59" s="71" t="e">
        <f ca="1"/>
        <v>#NAME?</v>
      </c>
      <c r="K59" s="71" t="e">
        <f ca="1"/>
        <v>#NAME?</v>
      </c>
      <c r="L59" s="72" t="e">
        <f ca="1"/>
        <v>#NAME?</v>
      </c>
      <c r="M59" s="82" t="e">
        <f ca="1"/>
        <v>#NAME?</v>
      </c>
      <c r="N59" s="42"/>
      <c r="O59" s="42"/>
      <c r="P59" s="42"/>
      <c r="Q59" s="42"/>
      <c r="R59" s="42"/>
      <c r="S59" s="42"/>
      <c r="T59" s="42"/>
      <c r="U59" s="42"/>
      <c r="V59" s="42"/>
      <c r="W59" s="42"/>
      <c r="X59" s="42"/>
      <c r="Y59" s="42"/>
      <c r="Z59" s="42"/>
      <c r="AA59" s="42"/>
      <c r="AB59" s="42"/>
      <c r="AC59" s="42"/>
    </row>
    <row r="60" spans="1:29" x14ac:dyDescent="0.25">
      <c r="A60" s="66">
        <f ca="1">IFERROR(__xludf.DUMMYFUNCTION("""COMPUTED_VALUE"""),1)</f>
        <v>1</v>
      </c>
      <c r="B60" s="67"/>
      <c r="C60" s="66">
        <f ca="1">IFERROR(__xludf.DUMMYFUNCTION("""COMPUTED_VALUE"""),10)</f>
        <v>10</v>
      </c>
      <c r="D60" s="67"/>
      <c r="E60" s="67" t="str">
        <f ca="1">IFERROR(__xludf.DUMMYFUNCTION("""COMPUTED_VALUE"""),"BR1008")</f>
        <v>BR1008</v>
      </c>
      <c r="F60" s="69" t="str">
        <f ca="1">IFERROR(__xludf.DUMMYFUNCTION("""COMPUTED_VALUE"""),"Present information about the business (About Us)")</f>
        <v>Present information about the business (About Us)</v>
      </c>
      <c r="G60" s="67"/>
      <c r="H60" s="78" t="e">
        <f ca="1">'Key Design Decisions'!$A$169</f>
        <v>#NAME?</v>
      </c>
      <c r="I60" s="78"/>
      <c r="J60" s="71" t="e">
        <f ca="1"/>
        <v>#NAME?</v>
      </c>
      <c r="K60" s="71" t="e">
        <f ca="1"/>
        <v>#NAME?</v>
      </c>
      <c r="L60" s="72" t="e">
        <f ca="1"/>
        <v>#NAME?</v>
      </c>
      <c r="M60" s="72" t="e">
        <f ca="1"/>
        <v>#NAME?</v>
      </c>
      <c r="N60" s="42"/>
      <c r="O60" s="42"/>
      <c r="P60" s="42"/>
      <c r="Q60" s="42"/>
      <c r="R60" s="42"/>
      <c r="S60" s="42"/>
      <c r="T60" s="42"/>
      <c r="U60" s="42"/>
      <c r="V60" s="42"/>
      <c r="W60" s="42"/>
      <c r="X60" s="42"/>
      <c r="Y60" s="42"/>
      <c r="Z60" s="42"/>
      <c r="AA60" s="42"/>
      <c r="AB60" s="42"/>
      <c r="AC60" s="42"/>
    </row>
    <row r="61" spans="1:29" x14ac:dyDescent="0.25">
      <c r="A61" s="73">
        <f ca="1">IFERROR(__xludf.DUMMYFUNCTION("""COMPUTED_VALUE"""),1)</f>
        <v>1</v>
      </c>
      <c r="B61" s="74"/>
      <c r="C61" s="73">
        <f ca="1">IFERROR(__xludf.DUMMYFUNCTION("""COMPUTED_VALUE"""),10)</f>
        <v>10</v>
      </c>
      <c r="D61" s="74"/>
      <c r="E61" s="74" t="str">
        <f ca="1">IFERROR(__xludf.DUMMYFUNCTION("""COMPUTED_VALUE"""),"BR1009")</f>
        <v>BR1009</v>
      </c>
      <c r="F61" s="76" t="str">
        <f ca="1">IFERROR(__xludf.DUMMYFUNCTION("""COMPUTED_VALUE"""),"Provide the ability to contact the business (Contact Us)")</f>
        <v>Provide the ability to contact the business (Contact Us)</v>
      </c>
      <c r="G61" s="74"/>
      <c r="H61" s="79" t="e">
        <f ca="1">'Key Design Decisions'!$A$223</f>
        <v>#NAME?</v>
      </c>
      <c r="I61" s="79"/>
      <c r="J61" s="71" t="e">
        <f ca="1"/>
        <v>#NAME?</v>
      </c>
      <c r="K61" s="71" t="e">
        <f ca="1"/>
        <v>#NAME?</v>
      </c>
      <c r="L61" s="72" t="e">
        <f ca="1"/>
        <v>#NAME?</v>
      </c>
      <c r="M61" s="72" t="e">
        <f ca="1"/>
        <v>#NAME?</v>
      </c>
      <c r="N61" s="42"/>
      <c r="O61" s="42"/>
      <c r="P61" s="42"/>
      <c r="Q61" s="42"/>
      <c r="R61" s="42"/>
      <c r="S61" s="42"/>
      <c r="T61" s="42"/>
      <c r="U61" s="42"/>
      <c r="V61" s="42"/>
      <c r="W61" s="42"/>
      <c r="X61" s="42"/>
      <c r="Y61" s="42"/>
      <c r="Z61" s="42"/>
      <c r="AA61" s="42"/>
      <c r="AB61" s="42"/>
      <c r="AC61" s="42"/>
    </row>
    <row r="62" spans="1:29" x14ac:dyDescent="0.25">
      <c r="A62" s="66">
        <f ca="1">IFERROR(__xludf.DUMMYFUNCTION("""COMPUTED_VALUE"""),1)</f>
        <v>1</v>
      </c>
      <c r="B62" s="67"/>
      <c r="C62" s="66">
        <f ca="1">IFERROR(__xludf.DUMMYFUNCTION("""COMPUTED_VALUE"""),10)</f>
        <v>10</v>
      </c>
      <c r="D62" s="67"/>
      <c r="E62" s="67" t="str">
        <f ca="1">IFERROR(__xludf.DUMMYFUNCTION("""COMPUTED_VALUE"""),"BR1010")</f>
        <v>BR1010</v>
      </c>
      <c r="F62" s="69" t="str">
        <f ca="1">IFERROR(__xludf.DUMMYFUNCTION("""COMPUTED_VALUE"""),"Present a footer on all pages for all users")</f>
        <v>Present a footer on all pages for all users</v>
      </c>
      <c r="G62" s="67"/>
      <c r="H62" s="78" t="e">
        <f ca="1">'Key Design Decisions'!$A$169</f>
        <v>#NAME?</v>
      </c>
      <c r="I62" s="78"/>
      <c r="J62" s="71" t="e">
        <f ca="1"/>
        <v>#NAME?</v>
      </c>
      <c r="K62" s="71" t="e">
        <f ca="1"/>
        <v>#NAME?</v>
      </c>
      <c r="L62" s="72" t="e">
        <f ca="1"/>
        <v>#NAME?</v>
      </c>
      <c r="M62" s="72" t="e">
        <f ca="1"/>
        <v>#NAME?</v>
      </c>
      <c r="N62" s="42"/>
      <c r="O62" s="42"/>
      <c r="P62" s="42"/>
      <c r="Q62" s="42"/>
      <c r="R62" s="42"/>
      <c r="S62" s="42"/>
      <c r="T62" s="42"/>
      <c r="U62" s="42"/>
      <c r="V62" s="42"/>
      <c r="W62" s="42"/>
      <c r="X62" s="42"/>
      <c r="Y62" s="42"/>
      <c r="Z62" s="42"/>
      <c r="AA62" s="42"/>
      <c r="AB62" s="42"/>
      <c r="AC62" s="42"/>
    </row>
    <row r="63" spans="1:29" x14ac:dyDescent="0.25">
      <c r="A63" s="73">
        <f ca="1">IFERROR(__xludf.DUMMYFUNCTION("""COMPUTED_VALUE"""),1)</f>
        <v>1</v>
      </c>
      <c r="B63" s="74"/>
      <c r="C63" s="73">
        <f ca="1">IFERROR(__xludf.DUMMYFUNCTION("""COMPUTED_VALUE"""),10)</f>
        <v>10</v>
      </c>
      <c r="D63" s="74"/>
      <c r="E63" s="74" t="str">
        <f ca="1">IFERROR(__xludf.DUMMYFUNCTION("""COMPUTED_VALUE"""),"BR1011")</f>
        <v>BR1011</v>
      </c>
      <c r="F63" s="76" t="str">
        <f ca="1">IFERROR(__xludf.DUMMYFUNCTION("""COMPUTED_VALUE"""),"Present the online shop terms and conditions of use")</f>
        <v>Present the online shop terms and conditions of use</v>
      </c>
      <c r="G63" s="74"/>
      <c r="H63" s="79" t="e">
        <f ca="1">'Key Design Decisions'!$A$169</f>
        <v>#NAME?</v>
      </c>
      <c r="I63" s="79"/>
      <c r="J63" s="71" t="e">
        <f ca="1"/>
        <v>#NAME?</v>
      </c>
      <c r="K63" s="71" t="e">
        <f ca="1"/>
        <v>#NAME?</v>
      </c>
      <c r="L63" s="72" t="e">
        <f ca="1"/>
        <v>#NAME?</v>
      </c>
      <c r="M63" s="72" t="e">
        <f ca="1"/>
        <v>#NAME?</v>
      </c>
      <c r="N63" s="42"/>
      <c r="O63" s="42"/>
      <c r="P63" s="42"/>
      <c r="Q63" s="42"/>
      <c r="R63" s="42"/>
      <c r="S63" s="42"/>
      <c r="T63" s="42"/>
      <c r="U63" s="42"/>
      <c r="V63" s="42"/>
      <c r="W63" s="42"/>
      <c r="X63" s="42"/>
      <c r="Y63" s="42"/>
      <c r="Z63" s="42"/>
      <c r="AA63" s="42"/>
      <c r="AB63" s="42"/>
      <c r="AC63" s="42"/>
    </row>
    <row r="64" spans="1:29" x14ac:dyDescent="0.25">
      <c r="A64" s="66">
        <f ca="1">IFERROR(__xludf.DUMMYFUNCTION("""COMPUTED_VALUE"""),1)</f>
        <v>1</v>
      </c>
      <c r="B64" s="67"/>
      <c r="C64" s="66">
        <f ca="1">IFERROR(__xludf.DUMMYFUNCTION("""COMPUTED_VALUE"""),10)</f>
        <v>10</v>
      </c>
      <c r="D64" s="67"/>
      <c r="E64" s="67" t="str">
        <f ca="1">IFERROR(__xludf.DUMMYFUNCTION("""COMPUTED_VALUE"""),"BR1012")</f>
        <v>BR1012</v>
      </c>
      <c r="F64" s="69" t="str">
        <f ca="1">IFERROR(__xludf.DUMMYFUNCTION("""COMPUTED_VALUE"""),"Present the B2C Co Information Privacy Policy")</f>
        <v>Present the B2C Co Information Privacy Policy</v>
      </c>
      <c r="G64" s="67"/>
      <c r="H64" s="78" t="e">
        <f ca="1">'Key Design Decisions'!$A$169</f>
        <v>#NAME?</v>
      </c>
      <c r="I64" s="78"/>
      <c r="J64" s="71" t="e">
        <f ca="1"/>
        <v>#NAME?</v>
      </c>
      <c r="K64" s="71" t="e">
        <f ca="1"/>
        <v>#NAME?</v>
      </c>
      <c r="L64" s="72" t="e">
        <f ca="1"/>
        <v>#NAME?</v>
      </c>
      <c r="M64" s="72" t="e">
        <f ca="1"/>
        <v>#NAME?</v>
      </c>
      <c r="N64" s="42"/>
      <c r="O64" s="42"/>
      <c r="P64" s="42"/>
      <c r="Q64" s="42"/>
      <c r="R64" s="42"/>
      <c r="S64" s="42"/>
      <c r="T64" s="42"/>
      <c r="U64" s="42"/>
      <c r="V64" s="42"/>
      <c r="W64" s="42"/>
      <c r="X64" s="42"/>
      <c r="Y64" s="42"/>
      <c r="Z64" s="42"/>
      <c r="AA64" s="42"/>
      <c r="AB64" s="42"/>
      <c r="AC64" s="42"/>
    </row>
    <row r="65" spans="1:29" x14ac:dyDescent="0.25">
      <c r="A65" s="73">
        <f ca="1">IFERROR(__xludf.DUMMYFUNCTION("""COMPUTED_VALUE"""),1)</f>
        <v>1</v>
      </c>
      <c r="B65" s="74"/>
      <c r="C65" s="73">
        <f ca="1">IFERROR(__xludf.DUMMYFUNCTION("""COMPUTED_VALUE"""),11)</f>
        <v>11</v>
      </c>
      <c r="D65" s="74" t="str">
        <f ca="1">IFERROR(__xludf.DUMMYFUNCTION("""COMPUTED_VALUE"""),"11 Online Shop Navigation")</f>
        <v>11 Online Shop Navigation</v>
      </c>
      <c r="E65" s="74" t="str">
        <f ca="1">IFERROR(__xludf.DUMMYFUNCTION("""COMPUTED_VALUE"""),"ReqID")</f>
        <v>ReqID</v>
      </c>
      <c r="F65" s="76" t="str">
        <f ca="1">IFERROR(__xludf.DUMMYFUNCTION("""COMPUTED_VALUE"""),"Requirement")</f>
        <v>Requirement</v>
      </c>
      <c r="G65" s="74"/>
      <c r="H65" s="77"/>
      <c r="I65" s="77"/>
      <c r="J65" s="71" t="str">
        <f ca="1"/>
        <v/>
      </c>
      <c r="K65" s="71" t="str">
        <f ca="1"/>
        <v/>
      </c>
      <c r="L65" s="72" t="str">
        <f ca="1"/>
        <v/>
      </c>
      <c r="M65" s="72" t="str">
        <f ca="1"/>
        <v/>
      </c>
      <c r="N65" s="42"/>
      <c r="O65" s="42"/>
      <c r="P65" s="42"/>
      <c r="Q65" s="42"/>
      <c r="R65" s="42"/>
      <c r="S65" s="42"/>
      <c r="T65" s="42"/>
      <c r="U65" s="42"/>
      <c r="V65" s="42"/>
      <c r="W65" s="42"/>
      <c r="X65" s="42"/>
      <c r="Y65" s="42"/>
      <c r="Z65" s="42"/>
      <c r="AA65" s="42"/>
      <c r="AB65" s="42"/>
      <c r="AC65" s="42"/>
    </row>
    <row r="66" spans="1:29" x14ac:dyDescent="0.25">
      <c r="A66" s="66">
        <f ca="1">IFERROR(__xludf.DUMMYFUNCTION("""COMPUTED_VALUE"""),1)</f>
        <v>1</v>
      </c>
      <c r="B66" s="67"/>
      <c r="C66" s="66">
        <f ca="1">IFERROR(__xludf.DUMMYFUNCTION("""COMPUTED_VALUE"""),11)</f>
        <v>11</v>
      </c>
      <c r="D66" s="67"/>
      <c r="E66" s="67" t="str">
        <f ca="1">IFERROR(__xludf.DUMMYFUNCTION("""COMPUTED_VALUE"""),"BR1101")</f>
        <v>BR1101</v>
      </c>
      <c r="F66" s="69" t="str">
        <f ca="1">IFERROR(__xludf.DUMMYFUNCTION("""COMPUTED_VALUE"""),"Search for products or articles")</f>
        <v>Search for products or articles</v>
      </c>
      <c r="G66" s="67"/>
      <c r="H66" s="78" t="e">
        <f ca="1">'Key Design Decisions'!$A$174</f>
        <v>#NAME?</v>
      </c>
      <c r="I66" s="78"/>
      <c r="J66" s="71" t="e">
        <f ca="1"/>
        <v>#NAME?</v>
      </c>
      <c r="K66" s="71" t="e">
        <f ca="1"/>
        <v>#NAME?</v>
      </c>
      <c r="L66" s="72" t="e">
        <f ca="1"/>
        <v>#NAME?</v>
      </c>
      <c r="M66" s="82" t="e">
        <f ca="1"/>
        <v>#NAME?</v>
      </c>
      <c r="N66" s="42"/>
      <c r="O66" s="42"/>
      <c r="P66" s="42"/>
      <c r="Q66" s="42"/>
      <c r="R66" s="42"/>
      <c r="S66" s="42"/>
      <c r="T66" s="42"/>
      <c r="U66" s="42"/>
      <c r="V66" s="42"/>
      <c r="W66" s="42"/>
      <c r="X66" s="42"/>
      <c r="Y66" s="42"/>
      <c r="Z66" s="42"/>
      <c r="AA66" s="42"/>
      <c r="AB66" s="42"/>
      <c r="AC66" s="42"/>
    </row>
    <row r="67" spans="1:29" x14ac:dyDescent="0.25">
      <c r="A67" s="73">
        <f ca="1">IFERROR(__xludf.DUMMYFUNCTION("""COMPUTED_VALUE"""),1)</f>
        <v>1</v>
      </c>
      <c r="B67" s="74"/>
      <c r="C67" s="73">
        <f ca="1">IFERROR(__xludf.DUMMYFUNCTION("""COMPUTED_VALUE"""),11)</f>
        <v>11</v>
      </c>
      <c r="D67" s="74"/>
      <c r="E67" s="74" t="str">
        <f ca="1">IFERROR(__xludf.DUMMYFUNCTION("""COMPUTED_VALUE"""),"BR1102")</f>
        <v>BR1102</v>
      </c>
      <c r="F67" s="76" t="str">
        <f ca="1">IFERROR(__xludf.DUMMYFUNCTION("""COMPUTED_VALUE"""),"View a product")</f>
        <v>View a product</v>
      </c>
      <c r="G67" s="74"/>
      <c r="H67" s="79" t="e">
        <f ca="1">'Key Design Decisions'!$A$174</f>
        <v>#NAME?</v>
      </c>
      <c r="I67" s="79"/>
      <c r="J67" s="71" t="e">
        <f ca="1"/>
        <v>#NAME?</v>
      </c>
      <c r="K67" s="71" t="e">
        <f ca="1"/>
        <v>#NAME?</v>
      </c>
      <c r="L67" s="72" t="e">
        <f ca="1"/>
        <v>#NAME?</v>
      </c>
      <c r="M67" s="72" t="e">
        <f ca="1"/>
        <v>#NAME?</v>
      </c>
      <c r="N67" s="42"/>
      <c r="O67" s="42"/>
      <c r="P67" s="42"/>
      <c r="Q67" s="42"/>
      <c r="R67" s="42"/>
      <c r="S67" s="42"/>
      <c r="T67" s="42"/>
      <c r="U67" s="42"/>
      <c r="V67" s="42"/>
      <c r="W67" s="42"/>
      <c r="X67" s="42"/>
      <c r="Y67" s="42"/>
      <c r="Z67" s="42"/>
      <c r="AA67" s="42"/>
      <c r="AB67" s="42"/>
      <c r="AC67" s="42"/>
    </row>
    <row r="68" spans="1:29" x14ac:dyDescent="0.25">
      <c r="A68" s="66">
        <f ca="1">IFERROR(__xludf.DUMMYFUNCTION("""COMPUTED_VALUE"""),1)</f>
        <v>1</v>
      </c>
      <c r="B68" s="67"/>
      <c r="C68" s="66">
        <f ca="1">IFERROR(__xludf.DUMMYFUNCTION("""COMPUTED_VALUE"""),11)</f>
        <v>11</v>
      </c>
      <c r="D68" s="67"/>
      <c r="E68" s="67" t="str">
        <f ca="1">IFERROR(__xludf.DUMMYFUNCTION("""COMPUTED_VALUE"""),"BR1103")</f>
        <v>BR1103</v>
      </c>
      <c r="F68" s="69" t="str">
        <f ca="1">IFERROR(__xludf.DUMMYFUNCTION("""COMPUTED_VALUE"""),"View an advertisement")</f>
        <v>View an advertisement</v>
      </c>
      <c r="G68" s="67"/>
      <c r="H68" s="78" t="e">
        <f ca="1">'Key Design Decisions'!$A$188</f>
        <v>#NAME?</v>
      </c>
      <c r="I68" s="78"/>
      <c r="J68" s="71" t="e">
        <f ca="1"/>
        <v>#NAME?</v>
      </c>
      <c r="K68" s="71" t="e">
        <f ca="1"/>
        <v>#NAME?</v>
      </c>
      <c r="L68" s="72" t="e">
        <f ca="1"/>
        <v>#NAME?</v>
      </c>
      <c r="M68" s="72" t="e">
        <f ca="1"/>
        <v>#NAME?</v>
      </c>
      <c r="N68" s="42"/>
      <c r="O68" s="42"/>
      <c r="P68" s="42"/>
      <c r="Q68" s="42"/>
      <c r="R68" s="42"/>
      <c r="S68" s="42"/>
      <c r="T68" s="42"/>
      <c r="U68" s="42"/>
      <c r="V68" s="42"/>
      <c r="W68" s="42"/>
      <c r="X68" s="42"/>
      <c r="Y68" s="42"/>
      <c r="Z68" s="42"/>
      <c r="AA68" s="42"/>
      <c r="AB68" s="42"/>
      <c r="AC68" s="42"/>
    </row>
    <row r="69" spans="1:29" x14ac:dyDescent="0.25">
      <c r="A69" s="73">
        <f ca="1">IFERROR(__xludf.DUMMYFUNCTION("""COMPUTED_VALUE"""),1)</f>
        <v>1</v>
      </c>
      <c r="B69" s="74"/>
      <c r="C69" s="73">
        <f ca="1">IFERROR(__xludf.DUMMYFUNCTION("""COMPUTED_VALUE"""),11)</f>
        <v>11</v>
      </c>
      <c r="D69" s="74"/>
      <c r="E69" s="74" t="str">
        <f ca="1">IFERROR(__xludf.DUMMYFUNCTION("""COMPUTED_VALUE"""),"BR1104")</f>
        <v>BR1104</v>
      </c>
      <c r="F69" s="76" t="str">
        <f ca="1">IFERROR(__xludf.DUMMYFUNCTION("""COMPUTED_VALUE"""),"View an article")</f>
        <v>View an article</v>
      </c>
      <c r="G69" s="74"/>
      <c r="H69" s="79" t="e">
        <f ca="1">'Key Design Decisions'!$A$195</f>
        <v>#NAME?</v>
      </c>
      <c r="I69" s="79"/>
      <c r="J69" s="71" t="e">
        <f ca="1"/>
        <v>#NAME?</v>
      </c>
      <c r="K69" s="71" t="e">
        <f ca="1"/>
        <v>#NAME?</v>
      </c>
      <c r="L69" s="72" t="e">
        <f ca="1"/>
        <v>#NAME?</v>
      </c>
      <c r="M69" s="82" t="e">
        <f ca="1"/>
        <v>#NAME?</v>
      </c>
      <c r="N69" s="42"/>
      <c r="O69" s="42"/>
      <c r="P69" s="42"/>
      <c r="Q69" s="42"/>
      <c r="R69" s="42"/>
      <c r="S69" s="42"/>
      <c r="T69" s="42"/>
      <c r="U69" s="42"/>
      <c r="V69" s="42"/>
      <c r="W69" s="42"/>
      <c r="X69" s="42"/>
      <c r="Y69" s="42"/>
      <c r="Z69" s="42"/>
      <c r="AA69" s="42"/>
      <c r="AB69" s="42"/>
      <c r="AC69" s="42"/>
    </row>
    <row r="70" spans="1:29" x14ac:dyDescent="0.25">
      <c r="A70" s="66">
        <f ca="1">IFERROR(__xludf.DUMMYFUNCTION("""COMPUTED_VALUE"""),1)</f>
        <v>1</v>
      </c>
      <c r="B70" s="67"/>
      <c r="C70" s="66">
        <f ca="1">IFERROR(__xludf.DUMMYFUNCTION("""COMPUTED_VALUE"""),11)</f>
        <v>11</v>
      </c>
      <c r="D70" s="67"/>
      <c r="E70" s="67" t="str">
        <f ca="1">IFERROR(__xludf.DUMMYFUNCTION("""COMPUTED_VALUE"""),"BR1105")</f>
        <v>BR1105</v>
      </c>
      <c r="F70" s="69" t="str">
        <f ca="1">IFERROR(__xludf.DUMMYFUNCTION("""COMPUTED_VALUE"""),"Add a product to the shopping cart")</f>
        <v>Add a product to the shopping cart</v>
      </c>
      <c r="G70" s="67"/>
      <c r="H70" s="78" t="e">
        <f ca="1">'Key Design Decisions'!$A$33</f>
        <v>#NAME?</v>
      </c>
      <c r="I70" s="78"/>
      <c r="J70" s="71" t="e">
        <f ca="1"/>
        <v>#NAME?</v>
      </c>
      <c r="K70" s="71" t="e">
        <f ca="1"/>
        <v>#NAME?</v>
      </c>
      <c r="L70" s="72" t="e">
        <f ca="1"/>
        <v>#NAME?</v>
      </c>
      <c r="M70" s="72" t="e">
        <f ca="1"/>
        <v>#NAME?</v>
      </c>
      <c r="N70" s="42"/>
      <c r="O70" s="42"/>
      <c r="P70" s="42"/>
      <c r="Q70" s="42"/>
      <c r="R70" s="42"/>
      <c r="S70" s="42"/>
      <c r="T70" s="42"/>
      <c r="U70" s="42"/>
      <c r="V70" s="42"/>
      <c r="W70" s="42"/>
      <c r="X70" s="42"/>
      <c r="Y70" s="42"/>
      <c r="Z70" s="42"/>
      <c r="AA70" s="42"/>
      <c r="AB70" s="42"/>
      <c r="AC70" s="42"/>
    </row>
    <row r="71" spans="1:29" x14ac:dyDescent="0.25">
      <c r="A71" s="73">
        <f ca="1">IFERROR(__xludf.DUMMYFUNCTION("""COMPUTED_VALUE"""),1)</f>
        <v>1</v>
      </c>
      <c r="B71" s="74"/>
      <c r="C71" s="73">
        <f ca="1">IFERROR(__xludf.DUMMYFUNCTION("""COMPUTED_VALUE"""),11)</f>
        <v>11</v>
      </c>
      <c r="D71" s="74"/>
      <c r="E71" s="74" t="str">
        <f ca="1">IFERROR(__xludf.DUMMYFUNCTION("""COMPUTED_VALUE"""),"BR1106")</f>
        <v>BR1106</v>
      </c>
      <c r="F71" s="76" t="str">
        <f ca="1">IFERROR(__xludf.DUMMYFUNCTION("""COMPUTED_VALUE"""),"Add a product to the favourites or wish-list")</f>
        <v>Add a product to the favourites or wish-list</v>
      </c>
      <c r="G71" s="74"/>
      <c r="H71" s="79" t="e">
        <f ca="1">'Key Design Decisions'!$A$162</f>
        <v>#NAME?</v>
      </c>
      <c r="I71" s="79"/>
      <c r="J71" s="71" t="e">
        <f ca="1"/>
        <v>#NAME?</v>
      </c>
      <c r="K71" s="71" t="e">
        <f ca="1"/>
        <v>#NAME?</v>
      </c>
      <c r="L71" s="72" t="e">
        <f ca="1"/>
        <v>#NAME?</v>
      </c>
      <c r="M71" s="72" t="e">
        <f ca="1"/>
        <v>#NAME?</v>
      </c>
      <c r="N71" s="42"/>
      <c r="O71" s="42"/>
      <c r="P71" s="42"/>
      <c r="Q71" s="42"/>
      <c r="R71" s="42"/>
      <c r="S71" s="42"/>
      <c r="T71" s="42"/>
      <c r="U71" s="42"/>
      <c r="V71" s="42"/>
      <c r="W71" s="42"/>
      <c r="X71" s="42"/>
      <c r="Y71" s="42"/>
      <c r="Z71" s="42"/>
      <c r="AA71" s="42"/>
      <c r="AB71" s="42"/>
      <c r="AC71" s="42"/>
    </row>
    <row r="72" spans="1:29" x14ac:dyDescent="0.25">
      <c r="A72" s="66">
        <f ca="1">IFERROR(__xludf.DUMMYFUNCTION("""COMPUTED_VALUE"""),1)</f>
        <v>1</v>
      </c>
      <c r="B72" s="67"/>
      <c r="C72" s="66">
        <f ca="1">IFERROR(__xludf.DUMMYFUNCTION("""COMPUTED_VALUE"""),11)</f>
        <v>11</v>
      </c>
      <c r="D72" s="67"/>
      <c r="E72" s="67" t="str">
        <f ca="1">IFERROR(__xludf.DUMMYFUNCTION("""COMPUTED_VALUE"""),"BR1107")</f>
        <v>BR1107</v>
      </c>
      <c r="F72" s="69" t="str">
        <f ca="1">IFERROR(__xludf.DUMMYFUNCTION("""COMPUTED_VALUE"""),"Add article to articles library")</f>
        <v>Add article to articles library</v>
      </c>
      <c r="G72" s="67"/>
      <c r="H72" s="78" t="e">
        <f ca="1">'Key Design Decisions'!$A$167</f>
        <v>#NAME?</v>
      </c>
      <c r="I72" s="78"/>
      <c r="J72" s="71" t="e">
        <f ca="1"/>
        <v>#NAME?</v>
      </c>
      <c r="K72" s="71" t="e">
        <f ca="1"/>
        <v>#NAME?</v>
      </c>
      <c r="L72" s="72" t="e">
        <f ca="1"/>
        <v>#NAME?</v>
      </c>
      <c r="M72" s="82" t="e">
        <f ca="1"/>
        <v>#NAME?</v>
      </c>
      <c r="N72" s="42"/>
      <c r="O72" s="42"/>
      <c r="P72" s="42"/>
      <c r="Q72" s="42"/>
      <c r="R72" s="42"/>
      <c r="S72" s="42"/>
      <c r="T72" s="42"/>
      <c r="U72" s="42"/>
      <c r="V72" s="42"/>
      <c r="W72" s="42"/>
      <c r="X72" s="42"/>
      <c r="Y72" s="42"/>
      <c r="Z72" s="42"/>
      <c r="AA72" s="42"/>
      <c r="AB72" s="42"/>
      <c r="AC72" s="42"/>
    </row>
    <row r="73" spans="1:29" x14ac:dyDescent="0.25">
      <c r="A73" s="73">
        <f ca="1">IFERROR(__xludf.DUMMYFUNCTION("""COMPUTED_VALUE"""),1)</f>
        <v>1</v>
      </c>
      <c r="B73" s="74"/>
      <c r="C73" s="73">
        <f ca="1">IFERROR(__xludf.DUMMYFUNCTION("""COMPUTED_VALUE"""),12)</f>
        <v>12</v>
      </c>
      <c r="D73" s="74" t="str">
        <f ca="1">IFERROR(__xludf.DUMMYFUNCTION("""COMPUTED_VALUE"""),"12 Back-office User Registration")</f>
        <v>12 Back-office User Registration</v>
      </c>
      <c r="E73" s="74" t="str">
        <f ca="1">IFERROR(__xludf.DUMMYFUNCTION("""COMPUTED_VALUE"""),"ReqID")</f>
        <v>ReqID</v>
      </c>
      <c r="F73" s="76" t="str">
        <f ca="1">IFERROR(__xludf.DUMMYFUNCTION("""COMPUTED_VALUE"""),"Requirement")</f>
        <v>Requirement</v>
      </c>
      <c r="G73" s="74"/>
      <c r="H73" s="77"/>
      <c r="I73" s="77"/>
      <c r="J73" s="71" t="str">
        <f ca="1"/>
        <v/>
      </c>
      <c r="K73" s="71" t="str">
        <f ca="1"/>
        <v/>
      </c>
      <c r="L73" s="72" t="str">
        <f ca="1"/>
        <v/>
      </c>
      <c r="M73" s="72" t="str">
        <f ca="1"/>
        <v/>
      </c>
      <c r="N73" s="42"/>
      <c r="O73" s="42"/>
      <c r="P73" s="42"/>
      <c r="Q73" s="42"/>
      <c r="R73" s="42"/>
      <c r="S73" s="42"/>
      <c r="T73" s="42"/>
      <c r="U73" s="42"/>
      <c r="V73" s="42"/>
      <c r="W73" s="42"/>
      <c r="X73" s="42"/>
      <c r="Y73" s="42"/>
      <c r="Z73" s="42"/>
      <c r="AA73" s="42"/>
      <c r="AB73" s="42"/>
      <c r="AC73" s="42"/>
    </row>
    <row r="74" spans="1:29" x14ac:dyDescent="0.25">
      <c r="A74" s="66">
        <f ca="1">IFERROR(__xludf.DUMMYFUNCTION("""COMPUTED_VALUE"""),1)</f>
        <v>1</v>
      </c>
      <c r="B74" s="67"/>
      <c r="C74" s="66">
        <f ca="1">IFERROR(__xludf.DUMMYFUNCTION("""COMPUTED_VALUE"""),12)</f>
        <v>12</v>
      </c>
      <c r="D74" s="67"/>
      <c r="E74" s="67" t="str">
        <f ca="1">IFERROR(__xludf.DUMMYFUNCTION("""COMPUTED_VALUE"""),"BR1201")</f>
        <v>BR1201</v>
      </c>
      <c r="F74" s="69" t="str">
        <f ca="1">IFERROR(__xludf.DUMMYFUNCTION("""COMPUTED_VALUE"""),"Register back-office users")</f>
        <v>Register back-office users</v>
      </c>
      <c r="G74" s="67"/>
      <c r="H74" s="78" t="e">
        <f ca="1">'Key Design Decisions'!$A$139</f>
        <v>#NAME?</v>
      </c>
      <c r="I74" s="78"/>
      <c r="J74" s="71" t="e">
        <f ca="1"/>
        <v>#NAME?</v>
      </c>
      <c r="K74" s="71" t="e">
        <f ca="1"/>
        <v>#NAME?</v>
      </c>
      <c r="L74" s="72" t="e">
        <f ca="1"/>
        <v>#NAME?</v>
      </c>
      <c r="M74" s="72" t="e">
        <f ca="1"/>
        <v>#NAME?</v>
      </c>
      <c r="N74" s="42"/>
      <c r="O74" s="42"/>
      <c r="P74" s="42"/>
      <c r="Q74" s="42"/>
      <c r="R74" s="42"/>
      <c r="S74" s="42"/>
      <c r="T74" s="42"/>
      <c r="U74" s="42"/>
      <c r="V74" s="42"/>
      <c r="W74" s="42"/>
      <c r="X74" s="42"/>
      <c r="Y74" s="42"/>
      <c r="Z74" s="42"/>
      <c r="AA74" s="42"/>
      <c r="AB74" s="42"/>
      <c r="AC74" s="42"/>
    </row>
    <row r="75" spans="1:29" x14ac:dyDescent="0.25">
      <c r="A75" s="73">
        <f ca="1">IFERROR(__xludf.DUMMYFUNCTION("""COMPUTED_VALUE"""),1)</f>
        <v>1</v>
      </c>
      <c r="B75" s="74"/>
      <c r="C75" s="73">
        <f ca="1">IFERROR(__xludf.DUMMYFUNCTION("""COMPUTED_VALUE"""),12)</f>
        <v>12</v>
      </c>
      <c r="D75" s="74"/>
      <c r="E75" s="74" t="str">
        <f ca="1">IFERROR(__xludf.DUMMYFUNCTION("""COMPUTED_VALUE"""),"BR1202")</f>
        <v>BR1202</v>
      </c>
      <c r="F75" s="76" t="str">
        <f ca="1">IFERROR(__xludf.DUMMYFUNCTION("""COMPUTED_VALUE"""),"Unregister back-office users")</f>
        <v>Unregister back-office users</v>
      </c>
      <c r="G75" s="74"/>
      <c r="H75" s="79" t="e">
        <f ca="1">'Key Design Decisions'!$A$139</f>
        <v>#NAME?</v>
      </c>
      <c r="I75" s="79"/>
      <c r="J75" s="71" t="e">
        <f ca="1"/>
        <v>#NAME?</v>
      </c>
      <c r="K75" s="71" t="e">
        <f ca="1"/>
        <v>#NAME?</v>
      </c>
      <c r="L75" s="72" t="e">
        <f ca="1"/>
        <v>#NAME?</v>
      </c>
      <c r="M75" s="72" t="e">
        <f ca="1"/>
        <v>#NAME?</v>
      </c>
      <c r="N75" s="42"/>
      <c r="O75" s="42"/>
      <c r="P75" s="42"/>
      <c r="Q75" s="42"/>
      <c r="R75" s="42"/>
      <c r="S75" s="42"/>
      <c r="T75" s="42"/>
      <c r="U75" s="42"/>
      <c r="V75" s="42"/>
      <c r="W75" s="42"/>
      <c r="X75" s="42"/>
      <c r="Y75" s="42"/>
      <c r="Z75" s="42"/>
      <c r="AA75" s="42"/>
      <c r="AB75" s="42"/>
      <c r="AC75" s="42"/>
    </row>
    <row r="76" spans="1:29" x14ac:dyDescent="0.25">
      <c r="A76" s="66">
        <f ca="1">IFERROR(__xludf.DUMMYFUNCTION("""COMPUTED_VALUE"""),1)</f>
        <v>1</v>
      </c>
      <c r="B76" s="67"/>
      <c r="C76" s="66">
        <f ca="1">IFERROR(__xludf.DUMMYFUNCTION("""COMPUTED_VALUE"""),13)</f>
        <v>13</v>
      </c>
      <c r="D76" s="67" t="str">
        <f ca="1">IFERROR(__xludf.DUMMYFUNCTION("""COMPUTED_VALUE"""),"13 Back-office User Profile")</f>
        <v>13 Back-office User Profile</v>
      </c>
      <c r="E76" s="67" t="str">
        <f ca="1">IFERROR(__xludf.DUMMYFUNCTION("""COMPUTED_VALUE"""),"ReqID")</f>
        <v>ReqID</v>
      </c>
      <c r="F76" s="69" t="str">
        <f ca="1">IFERROR(__xludf.DUMMYFUNCTION("""COMPUTED_VALUE"""),"Requirement")</f>
        <v>Requirement</v>
      </c>
      <c r="G76" s="67"/>
      <c r="H76" s="70"/>
      <c r="I76" s="70"/>
      <c r="J76" s="71" t="str">
        <f ca="1"/>
        <v/>
      </c>
      <c r="K76" s="71" t="str">
        <f ca="1"/>
        <v/>
      </c>
      <c r="L76" s="72" t="str">
        <f ca="1"/>
        <v/>
      </c>
      <c r="M76" s="72" t="str">
        <f ca="1"/>
        <v/>
      </c>
      <c r="N76" s="42"/>
      <c r="O76" s="42"/>
      <c r="P76" s="42"/>
      <c r="Q76" s="42"/>
      <c r="R76" s="42"/>
      <c r="S76" s="42"/>
      <c r="T76" s="42"/>
      <c r="U76" s="42"/>
      <c r="V76" s="42"/>
      <c r="W76" s="42"/>
      <c r="X76" s="42"/>
      <c r="Y76" s="42"/>
      <c r="Z76" s="42"/>
      <c r="AA76" s="42"/>
      <c r="AB76" s="42"/>
      <c r="AC76" s="42"/>
    </row>
    <row r="77" spans="1:29" x14ac:dyDescent="0.25">
      <c r="A77" s="73">
        <f ca="1">IFERROR(__xludf.DUMMYFUNCTION("""COMPUTED_VALUE"""),1)</f>
        <v>1</v>
      </c>
      <c r="B77" s="74"/>
      <c r="C77" s="73">
        <f ca="1">IFERROR(__xludf.DUMMYFUNCTION("""COMPUTED_VALUE"""),13)</f>
        <v>13</v>
      </c>
      <c r="D77" s="74"/>
      <c r="E77" s="74" t="str">
        <f ca="1">IFERROR(__xludf.DUMMYFUNCTION("""COMPUTED_VALUE"""),"BR1301")</f>
        <v>BR1301</v>
      </c>
      <c r="F77" s="76" t="str">
        <f ca="1">IFERROR(__xludf.DUMMYFUNCTION("""COMPUTED_VALUE"""),"View back-office user profile")</f>
        <v>View back-office user profile</v>
      </c>
      <c r="G77" s="74"/>
      <c r="H77" s="79" t="e">
        <f ca="1">'Key Design Decisions'!$A$139</f>
        <v>#NAME?</v>
      </c>
      <c r="I77" s="79"/>
      <c r="J77" s="71" t="e">
        <f ca="1"/>
        <v>#NAME?</v>
      </c>
      <c r="K77" s="71" t="e">
        <f ca="1"/>
        <v>#NAME?</v>
      </c>
      <c r="L77" s="72" t="e">
        <f ca="1"/>
        <v>#NAME?</v>
      </c>
      <c r="M77" s="72" t="e">
        <f ca="1"/>
        <v>#NAME?</v>
      </c>
      <c r="N77" s="42"/>
      <c r="O77" s="42"/>
      <c r="P77" s="42"/>
      <c r="Q77" s="42"/>
      <c r="R77" s="42"/>
      <c r="S77" s="42"/>
      <c r="T77" s="42"/>
      <c r="U77" s="42"/>
      <c r="V77" s="42"/>
      <c r="W77" s="42"/>
      <c r="X77" s="42"/>
      <c r="Y77" s="42"/>
      <c r="Z77" s="42"/>
      <c r="AA77" s="42"/>
      <c r="AB77" s="42"/>
      <c r="AC77" s="42"/>
    </row>
    <row r="78" spans="1:29" x14ac:dyDescent="0.25">
      <c r="A78" s="66">
        <f ca="1">IFERROR(__xludf.DUMMYFUNCTION("""COMPUTED_VALUE"""),1)</f>
        <v>1</v>
      </c>
      <c r="B78" s="67"/>
      <c r="C78" s="66">
        <f ca="1">IFERROR(__xludf.DUMMYFUNCTION("""COMPUTED_VALUE"""),13)</f>
        <v>13</v>
      </c>
      <c r="D78" s="67"/>
      <c r="E78" s="67" t="str">
        <f ca="1">IFERROR(__xludf.DUMMYFUNCTION("""COMPUTED_VALUE"""),"BR1302")</f>
        <v>BR1302</v>
      </c>
      <c r="F78" s="69" t="str">
        <f ca="1">IFERROR(__xludf.DUMMYFUNCTION("""COMPUTED_VALUE"""),"Change password")</f>
        <v>Change password</v>
      </c>
      <c r="G78" s="67"/>
      <c r="H78" s="78" t="e">
        <f ca="1">'Key Design Decisions'!$A$139</f>
        <v>#NAME?</v>
      </c>
      <c r="I78" s="78"/>
      <c r="J78" s="71" t="e">
        <f ca="1"/>
        <v>#NAME?</v>
      </c>
      <c r="K78" s="71" t="e">
        <f ca="1"/>
        <v>#NAME?</v>
      </c>
      <c r="L78" s="72" t="e">
        <f ca="1"/>
        <v>#NAME?</v>
      </c>
      <c r="M78" s="72" t="e">
        <f ca="1"/>
        <v>#NAME?</v>
      </c>
      <c r="N78" s="42"/>
      <c r="O78" s="42"/>
      <c r="P78" s="42"/>
      <c r="Q78" s="42"/>
      <c r="R78" s="42"/>
      <c r="S78" s="42"/>
      <c r="T78" s="42"/>
      <c r="U78" s="42"/>
      <c r="V78" s="42"/>
      <c r="W78" s="42"/>
      <c r="X78" s="42"/>
      <c r="Y78" s="42"/>
      <c r="Z78" s="42"/>
      <c r="AA78" s="42"/>
      <c r="AB78" s="42"/>
      <c r="AC78" s="42"/>
    </row>
    <row r="79" spans="1:29" x14ac:dyDescent="0.25">
      <c r="A79" s="73">
        <f ca="1">IFERROR(__xludf.DUMMYFUNCTION("""COMPUTED_VALUE"""),1)</f>
        <v>1</v>
      </c>
      <c r="B79" s="74"/>
      <c r="C79" s="73">
        <f ca="1">IFERROR(__xludf.DUMMYFUNCTION("""COMPUTED_VALUE"""),14)</f>
        <v>14</v>
      </c>
      <c r="D79" s="74" t="str">
        <f ca="1">IFERROR(__xludf.DUMMYFUNCTION("""COMPUTED_VALUE"""),"14 Customer Registration")</f>
        <v>14 Customer Registration</v>
      </c>
      <c r="E79" s="74" t="str">
        <f ca="1">IFERROR(__xludf.DUMMYFUNCTION("""COMPUTED_VALUE"""),"ReqID")</f>
        <v>ReqID</v>
      </c>
      <c r="F79" s="76" t="str">
        <f ca="1">IFERROR(__xludf.DUMMYFUNCTION("""COMPUTED_VALUE"""),"Requirement")</f>
        <v>Requirement</v>
      </c>
      <c r="G79" s="74"/>
      <c r="H79" s="77"/>
      <c r="I79" s="77"/>
      <c r="J79" s="71" t="str">
        <f ca="1"/>
        <v/>
      </c>
      <c r="K79" s="71" t="str">
        <f ca="1"/>
        <v/>
      </c>
      <c r="L79" s="72" t="str">
        <f ca="1"/>
        <v/>
      </c>
      <c r="M79" s="72" t="str">
        <f ca="1"/>
        <v/>
      </c>
      <c r="N79" s="42"/>
      <c r="O79" s="42"/>
      <c r="P79" s="42"/>
      <c r="Q79" s="42"/>
      <c r="R79" s="42"/>
      <c r="S79" s="42"/>
      <c r="T79" s="42"/>
      <c r="U79" s="42"/>
      <c r="V79" s="42"/>
      <c r="W79" s="42"/>
      <c r="X79" s="42"/>
      <c r="Y79" s="42"/>
      <c r="Z79" s="42"/>
      <c r="AA79" s="42"/>
      <c r="AB79" s="42"/>
      <c r="AC79" s="42"/>
    </row>
    <row r="80" spans="1:29" x14ac:dyDescent="0.25">
      <c r="A80" s="66">
        <f ca="1">IFERROR(__xludf.DUMMYFUNCTION("""COMPUTED_VALUE"""),1)</f>
        <v>1</v>
      </c>
      <c r="B80" s="67"/>
      <c r="C80" s="66">
        <f ca="1">IFERROR(__xludf.DUMMYFUNCTION("""COMPUTED_VALUE"""),14)</f>
        <v>14</v>
      </c>
      <c r="D80" s="67"/>
      <c r="E80" s="67" t="str">
        <f ca="1">IFERROR(__xludf.DUMMYFUNCTION("""COMPUTED_VALUE"""),"BR1401")</f>
        <v>BR1401</v>
      </c>
      <c r="F80" s="69" t="str">
        <f ca="1">IFERROR(__xludf.DUMMYFUNCTION("""COMPUTED_VALUE"""),"Register customer")</f>
        <v>Register customer</v>
      </c>
      <c r="G80" s="67"/>
      <c r="H80" s="78" t="e">
        <f ca="1">'Key Design Decisions'!$A$131</f>
        <v>#NAME?</v>
      </c>
      <c r="I80" s="78"/>
      <c r="J80" s="71" t="e">
        <f ca="1"/>
        <v>#NAME?</v>
      </c>
      <c r="K80" s="71" t="e">
        <f ca="1"/>
        <v>#NAME?</v>
      </c>
      <c r="L80" s="72" t="e">
        <f ca="1"/>
        <v>#NAME?</v>
      </c>
      <c r="M80" s="72" t="e">
        <f ca="1"/>
        <v>#NAME?</v>
      </c>
      <c r="N80" s="42"/>
      <c r="O80" s="42"/>
      <c r="P80" s="42"/>
      <c r="Q80" s="42"/>
      <c r="R80" s="42"/>
      <c r="S80" s="42"/>
      <c r="T80" s="42"/>
      <c r="U80" s="42"/>
      <c r="V80" s="42"/>
      <c r="W80" s="42"/>
      <c r="X80" s="42"/>
      <c r="Y80" s="42"/>
      <c r="Z80" s="42"/>
      <c r="AA80" s="42"/>
      <c r="AB80" s="42"/>
      <c r="AC80" s="42"/>
    </row>
    <row r="81" spans="1:29" x14ac:dyDescent="0.25">
      <c r="A81" s="73">
        <f ca="1">IFERROR(__xludf.DUMMYFUNCTION("""COMPUTED_VALUE"""),1)</f>
        <v>1</v>
      </c>
      <c r="B81" s="74"/>
      <c r="C81" s="73">
        <f ca="1">IFERROR(__xludf.DUMMYFUNCTION("""COMPUTED_VALUE"""),14)</f>
        <v>14</v>
      </c>
      <c r="D81" s="74"/>
      <c r="E81" s="74" t="str">
        <f ca="1">IFERROR(__xludf.DUMMYFUNCTION("""COMPUTED_VALUE"""),"BR1402")</f>
        <v>BR1402</v>
      </c>
      <c r="F81" s="76" t="str">
        <f ca="1">IFERROR(__xludf.DUMMYFUNCTION("""COMPUTED_VALUE"""),"Login customer")</f>
        <v>Login customer</v>
      </c>
      <c r="G81" s="74"/>
      <c r="H81" s="79" t="e">
        <f ca="1">'Key Design Decisions'!$A$131</f>
        <v>#NAME?</v>
      </c>
      <c r="I81" s="79"/>
      <c r="J81" s="71" t="e">
        <f ca="1"/>
        <v>#NAME?</v>
      </c>
      <c r="K81" s="71" t="e">
        <f ca="1"/>
        <v>#NAME?</v>
      </c>
      <c r="L81" s="72" t="e">
        <f ca="1"/>
        <v>#NAME?</v>
      </c>
      <c r="M81" s="72" t="e">
        <f ca="1"/>
        <v>#NAME?</v>
      </c>
      <c r="N81" s="42"/>
      <c r="O81" s="42"/>
      <c r="P81" s="42"/>
      <c r="Q81" s="42"/>
      <c r="R81" s="42"/>
      <c r="S81" s="42"/>
      <c r="T81" s="42"/>
      <c r="U81" s="42"/>
      <c r="V81" s="42"/>
      <c r="W81" s="42"/>
      <c r="X81" s="42"/>
      <c r="Y81" s="42"/>
      <c r="Z81" s="42"/>
      <c r="AA81" s="42"/>
      <c r="AB81" s="42"/>
      <c r="AC81" s="42"/>
    </row>
    <row r="82" spans="1:29" x14ac:dyDescent="0.25">
      <c r="A82" s="66">
        <f ca="1">IFERROR(__xludf.DUMMYFUNCTION("""COMPUTED_VALUE"""),1)</f>
        <v>1</v>
      </c>
      <c r="B82" s="67"/>
      <c r="C82" s="66">
        <f ca="1">IFERROR(__xludf.DUMMYFUNCTION("""COMPUTED_VALUE"""),14)</f>
        <v>14</v>
      </c>
      <c r="D82" s="67"/>
      <c r="E82" s="67" t="str">
        <f ca="1">IFERROR(__xludf.DUMMYFUNCTION("""COMPUTED_VALUE"""),"BR1403")</f>
        <v>BR1403</v>
      </c>
      <c r="F82" s="69" t="str">
        <f ca="1">IFERROR(__xludf.DUMMYFUNCTION("""COMPUTED_VALUE"""),"Unregister customer")</f>
        <v>Unregister customer</v>
      </c>
      <c r="G82" s="67"/>
      <c r="H82" s="78" t="e">
        <f ca="1">'Key Design Decisions'!$A$131</f>
        <v>#NAME?</v>
      </c>
      <c r="I82" s="78"/>
      <c r="J82" s="71" t="e">
        <f ca="1"/>
        <v>#NAME?</v>
      </c>
      <c r="K82" s="71" t="e">
        <f ca="1"/>
        <v>#NAME?</v>
      </c>
      <c r="L82" s="72" t="e">
        <f ca="1"/>
        <v>#NAME?</v>
      </c>
      <c r="M82" s="72" t="e">
        <f ca="1"/>
        <v>#NAME?</v>
      </c>
      <c r="N82" s="42"/>
      <c r="O82" s="42"/>
      <c r="P82" s="42"/>
      <c r="Q82" s="42"/>
      <c r="R82" s="42"/>
      <c r="S82" s="42"/>
      <c r="T82" s="42"/>
      <c r="U82" s="42"/>
      <c r="V82" s="42"/>
      <c r="W82" s="42"/>
      <c r="X82" s="42"/>
      <c r="Y82" s="42"/>
      <c r="Z82" s="42"/>
      <c r="AA82" s="42"/>
      <c r="AB82" s="42"/>
      <c r="AC82" s="42"/>
    </row>
    <row r="83" spans="1:29" x14ac:dyDescent="0.25">
      <c r="A83" s="73">
        <f ca="1">IFERROR(__xludf.DUMMYFUNCTION("""COMPUTED_VALUE"""),1)</f>
        <v>1</v>
      </c>
      <c r="B83" s="74"/>
      <c r="C83" s="73">
        <f ca="1">IFERROR(__xludf.DUMMYFUNCTION("""COMPUTED_VALUE"""),15)</f>
        <v>15</v>
      </c>
      <c r="D83" s="74" t="str">
        <f ca="1">IFERROR(__xludf.DUMMYFUNCTION("""COMPUTED_VALUE"""),"15 Customer Profile")</f>
        <v>15 Customer Profile</v>
      </c>
      <c r="E83" s="74" t="str">
        <f ca="1">IFERROR(__xludf.DUMMYFUNCTION("""COMPUTED_VALUE"""),"ReqID")</f>
        <v>ReqID</v>
      </c>
      <c r="F83" s="76" t="str">
        <f ca="1">IFERROR(__xludf.DUMMYFUNCTION("""COMPUTED_VALUE"""),"Requirement")</f>
        <v>Requirement</v>
      </c>
      <c r="G83" s="74"/>
      <c r="H83" s="77"/>
      <c r="I83" s="77"/>
      <c r="J83" s="71" t="str">
        <f ca="1"/>
        <v/>
      </c>
      <c r="K83" s="71" t="str">
        <f ca="1"/>
        <v/>
      </c>
      <c r="L83" s="72" t="str">
        <f ca="1"/>
        <v/>
      </c>
      <c r="M83" s="72" t="str">
        <f ca="1"/>
        <v/>
      </c>
      <c r="N83" s="42"/>
      <c r="O83" s="42"/>
      <c r="P83" s="42"/>
      <c r="Q83" s="42"/>
      <c r="R83" s="42"/>
      <c r="S83" s="42"/>
      <c r="T83" s="42"/>
      <c r="U83" s="42"/>
      <c r="V83" s="42"/>
      <c r="W83" s="42"/>
      <c r="X83" s="42"/>
      <c r="Y83" s="42"/>
      <c r="Z83" s="42"/>
      <c r="AA83" s="42"/>
      <c r="AB83" s="42"/>
      <c r="AC83" s="42"/>
    </row>
    <row r="84" spans="1:29" x14ac:dyDescent="0.25">
      <c r="A84" s="66">
        <f ca="1">IFERROR(__xludf.DUMMYFUNCTION("""COMPUTED_VALUE"""),1)</f>
        <v>1</v>
      </c>
      <c r="B84" s="67"/>
      <c r="C84" s="66">
        <f ca="1">IFERROR(__xludf.DUMMYFUNCTION("""COMPUTED_VALUE"""),15)</f>
        <v>15</v>
      </c>
      <c r="D84" s="67"/>
      <c r="E84" s="67" t="str">
        <f ca="1">IFERROR(__xludf.DUMMYFUNCTION("""COMPUTED_VALUE"""),"BR1501")</f>
        <v>BR1501</v>
      </c>
      <c r="F84" s="69" t="str">
        <f ca="1">IFERROR(__xludf.DUMMYFUNCTION("""COMPUTED_VALUE"""),"View customer profile")</f>
        <v>View customer profile</v>
      </c>
      <c r="G84" s="67"/>
      <c r="H84" s="78" t="e">
        <f ca="1">'Key Design Decisions'!$A$145</f>
        <v>#NAME?</v>
      </c>
      <c r="I84" s="78"/>
      <c r="J84" s="71" t="e">
        <f ca="1"/>
        <v>#NAME?</v>
      </c>
      <c r="K84" s="71" t="e">
        <f ca="1"/>
        <v>#NAME?</v>
      </c>
      <c r="L84" s="72" t="e">
        <f ca="1"/>
        <v>#NAME?</v>
      </c>
      <c r="M84" s="72" t="e">
        <f ca="1"/>
        <v>#NAME?</v>
      </c>
      <c r="N84" s="42"/>
      <c r="O84" s="42"/>
      <c r="P84" s="42"/>
      <c r="Q84" s="42"/>
      <c r="R84" s="42"/>
      <c r="S84" s="42"/>
      <c r="T84" s="42"/>
      <c r="U84" s="42"/>
      <c r="V84" s="42"/>
      <c r="W84" s="42"/>
      <c r="X84" s="42"/>
      <c r="Y84" s="42"/>
      <c r="Z84" s="42"/>
      <c r="AA84" s="42"/>
      <c r="AB84" s="42"/>
      <c r="AC84" s="42"/>
    </row>
    <row r="85" spans="1:29" x14ac:dyDescent="0.25">
      <c r="A85" s="73">
        <f ca="1">IFERROR(__xludf.DUMMYFUNCTION("""COMPUTED_VALUE"""),1)</f>
        <v>1</v>
      </c>
      <c r="B85" s="74"/>
      <c r="C85" s="73">
        <f ca="1">IFERROR(__xludf.DUMMYFUNCTION("""COMPUTED_VALUE"""),15)</f>
        <v>15</v>
      </c>
      <c r="D85" s="74"/>
      <c r="E85" s="74" t="str">
        <f ca="1">IFERROR(__xludf.DUMMYFUNCTION("""COMPUTED_VALUE"""),"BR1502")</f>
        <v>BR1502</v>
      </c>
      <c r="F85" s="76" t="str">
        <f ca="1">IFERROR(__xludf.DUMMYFUNCTION("""COMPUTED_VALUE"""),"Maintain personal details")</f>
        <v>Maintain personal details</v>
      </c>
      <c r="G85" s="74"/>
      <c r="H85" s="79" t="e">
        <f ca="1">'Key Design Decisions'!$A$145</f>
        <v>#NAME?</v>
      </c>
      <c r="I85" s="79"/>
      <c r="J85" s="71" t="e">
        <f ca="1"/>
        <v>#NAME?</v>
      </c>
      <c r="K85" s="71" t="e">
        <f ca="1"/>
        <v>#NAME?</v>
      </c>
      <c r="L85" s="72" t="e">
        <f ca="1"/>
        <v>#NAME?</v>
      </c>
      <c r="M85" s="72" t="e">
        <f ca="1"/>
        <v>#NAME?</v>
      </c>
      <c r="N85" s="42"/>
      <c r="O85" s="42"/>
      <c r="P85" s="42"/>
      <c r="Q85" s="42"/>
      <c r="R85" s="42"/>
      <c r="S85" s="42"/>
      <c r="T85" s="42"/>
      <c r="U85" s="42"/>
      <c r="V85" s="42"/>
      <c r="W85" s="42"/>
      <c r="X85" s="42"/>
      <c r="Y85" s="42"/>
      <c r="Z85" s="42"/>
      <c r="AA85" s="42"/>
      <c r="AB85" s="42"/>
      <c r="AC85" s="42"/>
    </row>
    <row r="86" spans="1:29" x14ac:dyDescent="0.25">
      <c r="A86" s="66">
        <f ca="1">IFERROR(__xludf.DUMMYFUNCTION("""COMPUTED_VALUE"""),1)</f>
        <v>1</v>
      </c>
      <c r="B86" s="67"/>
      <c r="C86" s="66">
        <f ca="1">IFERROR(__xludf.DUMMYFUNCTION("""COMPUTED_VALUE"""),15)</f>
        <v>15</v>
      </c>
      <c r="D86" s="67"/>
      <c r="E86" s="67" t="str">
        <f ca="1">IFERROR(__xludf.DUMMYFUNCTION("""COMPUTED_VALUE"""),"BR1503")</f>
        <v>BR1503</v>
      </c>
      <c r="F86" s="69" t="str">
        <f ca="1">IFERROR(__xludf.DUMMYFUNCTION("""COMPUTED_VALUE"""),"Change password")</f>
        <v>Change password</v>
      </c>
      <c r="G86" s="67"/>
      <c r="H86" s="78" t="e">
        <f ca="1">'Key Design Decisions'!$A$145</f>
        <v>#NAME?</v>
      </c>
      <c r="I86" s="78"/>
      <c r="J86" s="71" t="e">
        <f ca="1"/>
        <v>#NAME?</v>
      </c>
      <c r="K86" s="71" t="e">
        <f ca="1"/>
        <v>#NAME?</v>
      </c>
      <c r="L86" s="72" t="e">
        <f ca="1"/>
        <v>#NAME?</v>
      </c>
      <c r="M86" s="72" t="e">
        <f ca="1"/>
        <v>#NAME?</v>
      </c>
      <c r="N86" s="42"/>
      <c r="O86" s="42"/>
      <c r="P86" s="42"/>
      <c r="Q86" s="42"/>
      <c r="R86" s="42"/>
      <c r="S86" s="42"/>
      <c r="T86" s="42"/>
      <c r="U86" s="42"/>
      <c r="V86" s="42"/>
      <c r="W86" s="42"/>
      <c r="X86" s="42"/>
      <c r="Y86" s="42"/>
      <c r="Z86" s="42"/>
      <c r="AA86" s="42"/>
      <c r="AB86" s="42"/>
      <c r="AC86" s="42"/>
    </row>
    <row r="87" spans="1:29" x14ac:dyDescent="0.25">
      <c r="A87" s="73">
        <f ca="1">IFERROR(__xludf.DUMMYFUNCTION("""COMPUTED_VALUE"""),1)</f>
        <v>1</v>
      </c>
      <c r="B87" s="74"/>
      <c r="C87" s="73">
        <f ca="1">IFERROR(__xludf.DUMMYFUNCTION("""COMPUTED_VALUE"""),15)</f>
        <v>15</v>
      </c>
      <c r="D87" s="74"/>
      <c r="E87" s="74" t="str">
        <f ca="1">IFERROR(__xludf.DUMMYFUNCTION("""COMPUTED_VALUE"""),"BR1504")</f>
        <v>BR1504</v>
      </c>
      <c r="F87" s="76" t="str">
        <f ca="1">IFERROR(__xludf.DUMMYFUNCTION("""COMPUTED_VALUE"""),"Maintain contact details")</f>
        <v>Maintain contact details</v>
      </c>
      <c r="G87" s="74"/>
      <c r="H87" s="79" t="e">
        <f ca="1">'Key Design Decisions'!$A$145</f>
        <v>#NAME?</v>
      </c>
      <c r="I87" s="79"/>
      <c r="J87" s="71" t="e">
        <f ca="1"/>
        <v>#NAME?</v>
      </c>
      <c r="K87" s="71" t="e">
        <f ca="1"/>
        <v>#NAME?</v>
      </c>
      <c r="L87" s="72" t="e">
        <f ca="1"/>
        <v>#NAME?</v>
      </c>
      <c r="M87" s="72" t="e">
        <f ca="1"/>
        <v>#NAME?</v>
      </c>
      <c r="N87" s="42"/>
      <c r="O87" s="42"/>
      <c r="P87" s="42"/>
      <c r="Q87" s="42"/>
      <c r="R87" s="42"/>
      <c r="S87" s="42"/>
      <c r="T87" s="42"/>
      <c r="U87" s="42"/>
      <c r="V87" s="42"/>
      <c r="W87" s="42"/>
      <c r="X87" s="42"/>
      <c r="Y87" s="42"/>
      <c r="Z87" s="42"/>
      <c r="AA87" s="42"/>
      <c r="AB87" s="42"/>
      <c r="AC87" s="42"/>
    </row>
    <row r="88" spans="1:29" x14ac:dyDescent="0.25">
      <c r="A88" s="66">
        <f ca="1">IFERROR(__xludf.DUMMYFUNCTION("""COMPUTED_VALUE"""),1)</f>
        <v>1</v>
      </c>
      <c r="B88" s="67"/>
      <c r="C88" s="66">
        <f ca="1">IFERROR(__xludf.DUMMYFUNCTION("""COMPUTED_VALUE"""),15)</f>
        <v>15</v>
      </c>
      <c r="D88" s="67"/>
      <c r="E88" s="67" t="str">
        <f ca="1">IFERROR(__xludf.DUMMYFUNCTION("""COMPUTED_VALUE"""),"BR1505")</f>
        <v>BR1505</v>
      </c>
      <c r="F88" s="69" t="str">
        <f ca="1">IFERROR(__xludf.DUMMYFUNCTION("""COMPUTED_VALUE"""),"Maintain family details")</f>
        <v>Maintain family details</v>
      </c>
      <c r="G88" s="67"/>
      <c r="H88" s="78" t="e">
        <f ca="1">'Key Design Decisions'!$A$152</f>
        <v>#NAME?</v>
      </c>
      <c r="I88" s="78"/>
      <c r="J88" s="71" t="e">
        <f ca="1"/>
        <v>#NAME?</v>
      </c>
      <c r="K88" s="71" t="e">
        <f ca="1"/>
        <v>#NAME?</v>
      </c>
      <c r="L88" s="72" t="e">
        <f ca="1"/>
        <v>#NAME?</v>
      </c>
      <c r="M88" s="72" t="e">
        <f ca="1"/>
        <v>#NAME?</v>
      </c>
      <c r="N88" s="42"/>
      <c r="O88" s="42"/>
      <c r="P88" s="42"/>
      <c r="Q88" s="42"/>
      <c r="R88" s="42"/>
      <c r="S88" s="42"/>
      <c r="T88" s="42"/>
      <c r="U88" s="42"/>
      <c r="V88" s="42"/>
      <c r="W88" s="42"/>
      <c r="X88" s="42"/>
      <c r="Y88" s="42"/>
      <c r="Z88" s="42"/>
      <c r="AA88" s="42"/>
      <c r="AB88" s="42"/>
      <c r="AC88" s="42"/>
    </row>
    <row r="89" spans="1:29" x14ac:dyDescent="0.25">
      <c r="A89" s="73">
        <f ca="1">IFERROR(__xludf.DUMMYFUNCTION("""COMPUTED_VALUE"""),1)</f>
        <v>1</v>
      </c>
      <c r="B89" s="74"/>
      <c r="C89" s="73">
        <f ca="1">IFERROR(__xludf.DUMMYFUNCTION("""COMPUTED_VALUE"""),15)</f>
        <v>15</v>
      </c>
      <c r="D89" s="74"/>
      <c r="E89" s="74" t="str">
        <f ca="1">IFERROR(__xludf.DUMMYFUNCTION("""COMPUTED_VALUE"""),"BR1506")</f>
        <v>BR1506</v>
      </c>
      <c r="F89" s="76" t="str">
        <f ca="1">IFERROR(__xludf.DUMMYFUNCTION("""COMPUTED_VALUE"""),"Maintain delivery address(es)")</f>
        <v>Maintain delivery address(es)</v>
      </c>
      <c r="G89" s="74"/>
      <c r="H89" s="79" t="e">
        <f ca="1">'Key Design Decisions'!$A$145</f>
        <v>#NAME?</v>
      </c>
      <c r="I89" s="79"/>
      <c r="J89" s="71" t="e">
        <f ca="1"/>
        <v>#NAME?</v>
      </c>
      <c r="K89" s="71" t="e">
        <f ca="1"/>
        <v>#NAME?</v>
      </c>
      <c r="L89" s="72" t="e">
        <f ca="1"/>
        <v>#NAME?</v>
      </c>
      <c r="M89" s="72" t="e">
        <f ca="1"/>
        <v>#NAME?</v>
      </c>
      <c r="N89" s="42"/>
      <c r="O89" s="42"/>
      <c r="P89" s="42"/>
      <c r="Q89" s="42"/>
      <c r="R89" s="42"/>
      <c r="S89" s="42"/>
      <c r="T89" s="42"/>
      <c r="U89" s="42"/>
      <c r="V89" s="42"/>
      <c r="W89" s="42"/>
      <c r="X89" s="42"/>
      <c r="Y89" s="42"/>
      <c r="Z89" s="42"/>
      <c r="AA89" s="42"/>
      <c r="AB89" s="42"/>
      <c r="AC89" s="42"/>
    </row>
    <row r="90" spans="1:29" x14ac:dyDescent="0.25">
      <c r="A90" s="66">
        <f ca="1">IFERROR(__xludf.DUMMYFUNCTION("""COMPUTED_VALUE"""),1)</f>
        <v>1</v>
      </c>
      <c r="B90" s="67"/>
      <c r="C90" s="66">
        <f ca="1">IFERROR(__xludf.DUMMYFUNCTION("""COMPUTED_VALUE"""),15)</f>
        <v>15</v>
      </c>
      <c r="D90" s="67"/>
      <c r="E90" s="67" t="str">
        <f ca="1">IFERROR(__xludf.DUMMYFUNCTION("""COMPUTED_VALUE"""),"BR1507")</f>
        <v>BR1507</v>
      </c>
      <c r="F90" s="69" t="str">
        <f ca="1">IFERROR(__xludf.DUMMYFUNCTION("""COMPUTED_VALUE"""),"Maintain payment details")</f>
        <v>Maintain payment details</v>
      </c>
      <c r="G90" s="67"/>
      <c r="H90" s="78" t="e">
        <f ca="1">'Key Design Decisions'!$A$13</f>
        <v>#NAME?</v>
      </c>
      <c r="I90" s="78"/>
      <c r="J90" s="71" t="e">
        <f ca="1"/>
        <v>#NAME?</v>
      </c>
      <c r="K90" s="71" t="e">
        <f ca="1"/>
        <v>#NAME?</v>
      </c>
      <c r="L90" s="72" t="e">
        <f ca="1"/>
        <v>#NAME?</v>
      </c>
      <c r="M90" s="82" t="e">
        <f ca="1"/>
        <v>#NAME?</v>
      </c>
      <c r="N90" s="42"/>
      <c r="O90" s="42"/>
      <c r="P90" s="42"/>
      <c r="Q90" s="42"/>
      <c r="R90" s="42"/>
      <c r="S90" s="42"/>
      <c r="T90" s="42"/>
      <c r="U90" s="42"/>
      <c r="V90" s="42"/>
      <c r="W90" s="42"/>
      <c r="X90" s="42"/>
      <c r="Y90" s="42"/>
      <c r="Z90" s="42"/>
      <c r="AA90" s="42"/>
      <c r="AB90" s="42"/>
      <c r="AC90" s="42"/>
    </row>
    <row r="91" spans="1:29" x14ac:dyDescent="0.25">
      <c r="A91" s="73">
        <f ca="1">IFERROR(__xludf.DUMMYFUNCTION("""COMPUTED_VALUE"""),1)</f>
        <v>1</v>
      </c>
      <c r="B91" s="74"/>
      <c r="C91" s="73">
        <f ca="1">IFERROR(__xludf.DUMMYFUNCTION("""COMPUTED_VALUE"""),15)</f>
        <v>15</v>
      </c>
      <c r="D91" s="74"/>
      <c r="E91" s="74" t="str">
        <f ca="1">IFERROR(__xludf.DUMMYFUNCTION("""COMPUTED_VALUE"""),"BR1508")</f>
        <v>BR1508</v>
      </c>
      <c r="F91" s="76" t="str">
        <f ca="1">IFERROR(__xludf.DUMMYFUNCTION("""COMPUTED_VALUE"""),"Maintain favourite product list")</f>
        <v>Maintain favourite product list</v>
      </c>
      <c r="G91" s="74"/>
      <c r="H91" s="79" t="e">
        <f ca="1">'Key Design Decisions'!$A$162</f>
        <v>#NAME?</v>
      </c>
      <c r="I91" s="79"/>
      <c r="J91" s="71" t="e">
        <f ca="1"/>
        <v>#NAME?</v>
      </c>
      <c r="K91" s="71" t="e">
        <f ca="1"/>
        <v>#NAME?</v>
      </c>
      <c r="L91" s="72" t="e">
        <f ca="1"/>
        <v>#NAME?</v>
      </c>
      <c r="M91" s="72" t="e">
        <f ca="1"/>
        <v>#NAME?</v>
      </c>
      <c r="N91" s="42"/>
      <c r="O91" s="42"/>
      <c r="P91" s="42"/>
      <c r="Q91" s="42"/>
      <c r="R91" s="42"/>
      <c r="S91" s="42"/>
      <c r="T91" s="42"/>
      <c r="U91" s="42"/>
      <c r="V91" s="42"/>
      <c r="W91" s="42"/>
      <c r="X91" s="42"/>
      <c r="Y91" s="42"/>
      <c r="Z91" s="42"/>
      <c r="AA91" s="42"/>
      <c r="AB91" s="42"/>
      <c r="AC91" s="42"/>
    </row>
    <row r="92" spans="1:29" x14ac:dyDescent="0.25">
      <c r="A92" s="66">
        <f ca="1">IFERROR(__xludf.DUMMYFUNCTION("""COMPUTED_VALUE"""),1)</f>
        <v>1</v>
      </c>
      <c r="B92" s="67"/>
      <c r="C92" s="66">
        <f ca="1">IFERROR(__xludf.DUMMYFUNCTION("""COMPUTED_VALUE"""),15)</f>
        <v>15</v>
      </c>
      <c r="D92" s="67"/>
      <c r="E92" s="67" t="str">
        <f ca="1">IFERROR(__xludf.DUMMYFUNCTION("""COMPUTED_VALUE"""),"BR1509")</f>
        <v>BR1509</v>
      </c>
      <c r="F92" s="69" t="str">
        <f ca="1">IFERROR(__xludf.DUMMYFUNCTION("""COMPUTED_VALUE"""),"Maintain products wish-list")</f>
        <v>Maintain products wish-list</v>
      </c>
      <c r="G92" s="67"/>
      <c r="H92" s="78" t="e">
        <f ca="1">'Key Design Decisions'!$A$164</f>
        <v>#NAME?</v>
      </c>
      <c r="I92" s="78"/>
      <c r="J92" s="71" t="e">
        <f ca="1"/>
        <v>#NAME?</v>
      </c>
      <c r="K92" s="71" t="e">
        <f ca="1"/>
        <v>#NAME?</v>
      </c>
      <c r="L92" s="72" t="e">
        <f ca="1"/>
        <v>#NAME?</v>
      </c>
      <c r="M92" s="72" t="e">
        <f ca="1"/>
        <v>#NAME?</v>
      </c>
      <c r="N92" s="42"/>
      <c r="O92" s="42"/>
      <c r="P92" s="42"/>
      <c r="Q92" s="42"/>
      <c r="R92" s="42"/>
      <c r="S92" s="42"/>
      <c r="T92" s="42"/>
      <c r="U92" s="42"/>
      <c r="V92" s="42"/>
      <c r="W92" s="42"/>
      <c r="X92" s="42"/>
      <c r="Y92" s="42"/>
      <c r="Z92" s="42"/>
      <c r="AA92" s="42"/>
      <c r="AB92" s="42"/>
      <c r="AC92" s="42"/>
    </row>
    <row r="93" spans="1:29" x14ac:dyDescent="0.25">
      <c r="A93" s="73">
        <f ca="1">IFERROR(__xludf.DUMMYFUNCTION("""COMPUTED_VALUE"""),1)</f>
        <v>1</v>
      </c>
      <c r="B93" s="74"/>
      <c r="C93" s="73">
        <f ca="1">IFERROR(__xludf.DUMMYFUNCTION("""COMPUTED_VALUE"""),15)</f>
        <v>15</v>
      </c>
      <c r="D93" s="74"/>
      <c r="E93" s="74" t="str">
        <f ca="1">IFERROR(__xludf.DUMMYFUNCTION("""COMPUTED_VALUE"""),"BR1510")</f>
        <v>BR1510</v>
      </c>
      <c r="F93" s="76" t="str">
        <f ca="1">IFERROR(__xludf.DUMMYFUNCTION("""COMPUTED_VALUE"""),"Maintain articles library")</f>
        <v>Maintain articles library</v>
      </c>
      <c r="G93" s="74"/>
      <c r="H93" s="79" t="e">
        <f ca="1">'Key Design Decisions'!$A$167</f>
        <v>#NAME?</v>
      </c>
      <c r="I93" s="79"/>
      <c r="J93" s="71" t="e">
        <f ca="1"/>
        <v>#NAME?</v>
      </c>
      <c r="K93" s="71" t="e">
        <f ca="1"/>
        <v>#NAME?</v>
      </c>
      <c r="L93" s="72" t="e">
        <f ca="1"/>
        <v>#NAME?</v>
      </c>
      <c r="M93" s="82" t="e">
        <f ca="1"/>
        <v>#NAME?</v>
      </c>
      <c r="N93" s="42"/>
      <c r="O93" s="42"/>
      <c r="P93" s="42"/>
      <c r="Q93" s="42"/>
      <c r="R93" s="42"/>
      <c r="S93" s="42"/>
      <c r="T93" s="42"/>
      <c r="U93" s="42"/>
      <c r="V93" s="42"/>
      <c r="W93" s="42"/>
      <c r="X93" s="42"/>
      <c r="Y93" s="42"/>
      <c r="Z93" s="42"/>
      <c r="AA93" s="42"/>
      <c r="AB93" s="42"/>
      <c r="AC93" s="42"/>
    </row>
    <row r="94" spans="1:29" x14ac:dyDescent="0.25">
      <c r="A94" s="66">
        <f ca="1">IFERROR(__xludf.DUMMYFUNCTION("""COMPUTED_VALUE"""),1)</f>
        <v>1</v>
      </c>
      <c r="B94" s="67"/>
      <c r="C94" s="66">
        <f ca="1">IFERROR(__xludf.DUMMYFUNCTION("""COMPUTED_VALUE"""),15)</f>
        <v>15</v>
      </c>
      <c r="D94" s="67"/>
      <c r="E94" s="67" t="str">
        <f ca="1">IFERROR(__xludf.DUMMYFUNCTION("""COMPUTED_VALUE"""),"BR1511")</f>
        <v>BR1511</v>
      </c>
      <c r="F94" s="69" t="str">
        <f ca="1">IFERROR(__xludf.DUMMYFUNCTION("""COMPUTED_VALUE"""),"View History")</f>
        <v>View History</v>
      </c>
      <c r="G94" s="67"/>
      <c r="H94" s="78" t="e">
        <f ca="1">'Key Design Decisions'!$A$145</f>
        <v>#NAME?</v>
      </c>
      <c r="I94" s="78"/>
      <c r="J94" s="71" t="e">
        <f ca="1"/>
        <v>#NAME?</v>
      </c>
      <c r="K94" s="71" t="e">
        <f ca="1"/>
        <v>#NAME?</v>
      </c>
      <c r="L94" s="72" t="e">
        <f ca="1"/>
        <v>#NAME?</v>
      </c>
      <c r="M94" s="72" t="e">
        <f ca="1"/>
        <v>#NAME?</v>
      </c>
      <c r="N94" s="42"/>
      <c r="O94" s="42"/>
      <c r="P94" s="42"/>
      <c r="Q94" s="42"/>
      <c r="R94" s="42"/>
      <c r="S94" s="42"/>
      <c r="T94" s="42"/>
      <c r="U94" s="42"/>
      <c r="V94" s="42"/>
      <c r="W94" s="42"/>
      <c r="X94" s="42"/>
      <c r="Y94" s="42"/>
      <c r="Z94" s="42"/>
      <c r="AA94" s="42"/>
      <c r="AB94" s="42"/>
      <c r="AC94" s="42"/>
    </row>
    <row r="95" spans="1:29" x14ac:dyDescent="0.25">
      <c r="A95" s="73">
        <f ca="1">IFERROR(__xludf.DUMMYFUNCTION("""COMPUTED_VALUE"""),1)</f>
        <v>1</v>
      </c>
      <c r="B95" s="74"/>
      <c r="C95" s="73">
        <f ca="1">IFERROR(__xludf.DUMMYFUNCTION("""COMPUTED_VALUE"""),16)</f>
        <v>16</v>
      </c>
      <c r="D95" s="74" t="str">
        <f ca="1">IFERROR(__xludf.DUMMYFUNCTION("""COMPUTED_VALUE"""),"16 Online Shop Recommended Content")</f>
        <v>16 Online Shop Recommended Content</v>
      </c>
      <c r="E95" s="74" t="str">
        <f ca="1">IFERROR(__xludf.DUMMYFUNCTION("""COMPUTED_VALUE"""),"ReqID")</f>
        <v>ReqID</v>
      </c>
      <c r="F95" s="76" t="str">
        <f ca="1">IFERROR(__xludf.DUMMYFUNCTION("""COMPUTED_VALUE"""),"Requirement")</f>
        <v>Requirement</v>
      </c>
      <c r="G95" s="74"/>
      <c r="H95" s="77"/>
      <c r="I95" s="77"/>
      <c r="J95" s="71" t="str">
        <f ca="1"/>
        <v/>
      </c>
      <c r="K95" s="71" t="str">
        <f ca="1"/>
        <v/>
      </c>
      <c r="L95" s="72" t="str">
        <f ca="1"/>
        <v/>
      </c>
      <c r="M95" s="72" t="str">
        <f ca="1"/>
        <v/>
      </c>
      <c r="N95" s="42"/>
      <c r="O95" s="42"/>
      <c r="P95" s="42"/>
      <c r="Q95" s="42"/>
      <c r="R95" s="42"/>
      <c r="S95" s="42"/>
      <c r="T95" s="42"/>
      <c r="U95" s="42"/>
      <c r="V95" s="42"/>
      <c r="W95" s="42"/>
      <c r="X95" s="42"/>
      <c r="Y95" s="42"/>
      <c r="Z95" s="42"/>
      <c r="AA95" s="42"/>
      <c r="AB95" s="42"/>
      <c r="AC95" s="42"/>
    </row>
    <row r="96" spans="1:29" x14ac:dyDescent="0.25">
      <c r="A96" s="66">
        <f ca="1">IFERROR(__xludf.DUMMYFUNCTION("""COMPUTED_VALUE"""),1)</f>
        <v>1</v>
      </c>
      <c r="B96" s="67"/>
      <c r="C96" s="66">
        <f ca="1">IFERROR(__xludf.DUMMYFUNCTION("""COMPUTED_VALUE"""),16)</f>
        <v>16</v>
      </c>
      <c r="D96" s="67"/>
      <c r="E96" s="67" t="str">
        <f ca="1">IFERROR(__xludf.DUMMYFUNCTION("""COMPUTED_VALUE"""),"BR1601")</f>
        <v>BR1601</v>
      </c>
      <c r="F96" s="69" t="str">
        <f ca="1">IFERROR(__xludf.DUMMYFUNCTION("""COMPUTED_VALUE"""),"Identify products matching submitted search terms")</f>
        <v>Identify products matching submitted search terms</v>
      </c>
      <c r="G96" s="67"/>
      <c r="H96" s="78" t="e">
        <f ca="1">'Key Design Decisions'!$A$174</f>
        <v>#NAME?</v>
      </c>
      <c r="I96" s="78"/>
      <c r="J96" s="71" t="e">
        <f ca="1"/>
        <v>#NAME?</v>
      </c>
      <c r="K96" s="71" t="e">
        <f ca="1"/>
        <v>#NAME?</v>
      </c>
      <c r="L96" s="72" t="e">
        <f ca="1"/>
        <v>#NAME?</v>
      </c>
      <c r="M96" s="72" t="e">
        <f ca="1"/>
        <v>#NAME?</v>
      </c>
      <c r="N96" s="42"/>
      <c r="O96" s="42"/>
      <c r="P96" s="42"/>
      <c r="Q96" s="42"/>
      <c r="R96" s="42"/>
      <c r="S96" s="42"/>
      <c r="T96" s="42"/>
      <c r="U96" s="42"/>
      <c r="V96" s="42"/>
      <c r="W96" s="42"/>
      <c r="X96" s="42"/>
      <c r="Y96" s="42"/>
      <c r="Z96" s="42"/>
      <c r="AA96" s="42"/>
      <c r="AB96" s="42"/>
      <c r="AC96" s="42"/>
    </row>
    <row r="97" spans="1:29" x14ac:dyDescent="0.25">
      <c r="A97" s="73">
        <f ca="1">IFERROR(__xludf.DUMMYFUNCTION("""COMPUTED_VALUE"""),1)</f>
        <v>1</v>
      </c>
      <c r="B97" s="74"/>
      <c r="C97" s="73">
        <f ca="1">IFERROR(__xludf.DUMMYFUNCTION("""COMPUTED_VALUE"""),16)</f>
        <v>16</v>
      </c>
      <c r="D97" s="74"/>
      <c r="E97" s="74" t="str">
        <f ca="1">IFERROR(__xludf.DUMMYFUNCTION("""COMPUTED_VALUE"""),"BR1602")</f>
        <v>BR1602</v>
      </c>
      <c r="F97" s="76" t="str">
        <f ca="1">IFERROR(__xludf.DUMMYFUNCTION("""COMPUTED_VALUE"""),"Identify advertisements matching submitted search terms")</f>
        <v>Identify advertisements matching submitted search terms</v>
      </c>
      <c r="G97" s="74"/>
      <c r="H97" s="79" t="e">
        <f ca="1">'Key Design Decisions'!$A$188</f>
        <v>#NAME?</v>
      </c>
      <c r="I97" s="79"/>
      <c r="J97" s="71" t="e">
        <f ca="1"/>
        <v>#NAME?</v>
      </c>
      <c r="K97" s="71" t="e">
        <f ca="1"/>
        <v>#NAME?</v>
      </c>
      <c r="L97" s="72" t="e">
        <f ca="1"/>
        <v>#NAME?</v>
      </c>
      <c r="M97" s="72" t="e">
        <f ca="1"/>
        <v>#NAME?</v>
      </c>
      <c r="N97" s="42"/>
      <c r="O97" s="42"/>
      <c r="P97" s="42"/>
      <c r="Q97" s="42"/>
      <c r="R97" s="42"/>
      <c r="S97" s="42"/>
      <c r="T97" s="42"/>
      <c r="U97" s="42"/>
      <c r="V97" s="42"/>
      <c r="W97" s="42"/>
      <c r="X97" s="42"/>
      <c r="Y97" s="42"/>
      <c r="Z97" s="42"/>
      <c r="AA97" s="42"/>
      <c r="AB97" s="42"/>
      <c r="AC97" s="42"/>
    </row>
    <row r="98" spans="1:29" x14ac:dyDescent="0.25">
      <c r="A98" s="66">
        <f ca="1">IFERROR(__xludf.DUMMYFUNCTION("""COMPUTED_VALUE"""),1)</f>
        <v>1</v>
      </c>
      <c r="B98" s="67"/>
      <c r="C98" s="66">
        <f ca="1">IFERROR(__xludf.DUMMYFUNCTION("""COMPUTED_VALUE"""),16)</f>
        <v>16</v>
      </c>
      <c r="D98" s="67"/>
      <c r="E98" s="67" t="str">
        <f ca="1">IFERROR(__xludf.DUMMYFUNCTION("""COMPUTED_VALUE"""),"BR1603")</f>
        <v>BR1603</v>
      </c>
      <c r="F98" s="69" t="str">
        <f ca="1">IFERROR(__xludf.DUMMYFUNCTION("""COMPUTED_VALUE"""),"Identify articles matching submitted search terms (future phase)")</f>
        <v>Identify articles matching submitted search terms (future phase)</v>
      </c>
      <c r="G98" s="67"/>
      <c r="H98" s="78" t="e">
        <f ca="1">'Key Design Decisions'!$A$195</f>
        <v>#NAME?</v>
      </c>
      <c r="I98" s="78"/>
      <c r="J98" s="71" t="e">
        <f ca="1"/>
        <v>#NAME?</v>
      </c>
      <c r="K98" s="71" t="e">
        <f ca="1"/>
        <v>#NAME?</v>
      </c>
      <c r="L98" s="72" t="e">
        <f ca="1"/>
        <v>#NAME?</v>
      </c>
      <c r="M98" s="82" t="e">
        <f ca="1"/>
        <v>#NAME?</v>
      </c>
      <c r="N98" s="42"/>
      <c r="O98" s="42"/>
      <c r="P98" s="42"/>
      <c r="Q98" s="42"/>
      <c r="R98" s="42"/>
      <c r="S98" s="42"/>
      <c r="T98" s="42"/>
      <c r="U98" s="42"/>
      <c r="V98" s="42"/>
      <c r="W98" s="42"/>
      <c r="X98" s="42"/>
      <c r="Y98" s="42"/>
      <c r="Z98" s="42"/>
      <c r="AA98" s="42"/>
      <c r="AB98" s="42"/>
      <c r="AC98" s="42"/>
    </row>
    <row r="99" spans="1:29" x14ac:dyDescent="0.25">
      <c r="A99" s="73">
        <f ca="1">IFERROR(__xludf.DUMMYFUNCTION("""COMPUTED_VALUE"""),1)</f>
        <v>1</v>
      </c>
      <c r="B99" s="74"/>
      <c r="C99" s="73">
        <f ca="1">IFERROR(__xludf.DUMMYFUNCTION("""COMPUTED_VALUE"""),16)</f>
        <v>16</v>
      </c>
      <c r="D99" s="74"/>
      <c r="E99" s="74" t="str">
        <f ca="1">IFERROR(__xludf.DUMMYFUNCTION("""COMPUTED_VALUE"""),"BR1604")</f>
        <v>BR1604</v>
      </c>
      <c r="F99" s="76" t="str">
        <f ca="1">IFERROR(__xludf.DUMMYFUNCTION("""COMPUTED_VALUE"""),"Return search results, using the preferred results order")</f>
        <v>Return search results, using the preferred results order</v>
      </c>
      <c r="G99" s="74"/>
      <c r="H99" s="79" t="e">
        <f ca="1">'Key Design Decisions'!$A$174</f>
        <v>#NAME?</v>
      </c>
      <c r="I99" s="79"/>
      <c r="J99" s="71" t="e">
        <f ca="1"/>
        <v>#NAME?</v>
      </c>
      <c r="K99" s="71" t="e">
        <f ca="1"/>
        <v>#NAME?</v>
      </c>
      <c r="L99" s="72" t="e">
        <f ca="1"/>
        <v>#NAME?</v>
      </c>
      <c r="M99" s="72" t="e">
        <f ca="1"/>
        <v>#NAME?</v>
      </c>
      <c r="N99" s="42"/>
      <c r="O99" s="42"/>
      <c r="P99" s="42"/>
      <c r="Q99" s="42"/>
      <c r="R99" s="42"/>
      <c r="S99" s="42"/>
      <c r="T99" s="42"/>
      <c r="U99" s="42"/>
      <c r="V99" s="42"/>
      <c r="W99" s="42"/>
      <c r="X99" s="42"/>
      <c r="Y99" s="42"/>
      <c r="Z99" s="42"/>
      <c r="AA99" s="42"/>
      <c r="AB99" s="42"/>
      <c r="AC99" s="42"/>
    </row>
    <row r="100" spans="1:29" x14ac:dyDescent="0.25">
      <c r="A100" s="66">
        <f ca="1">IFERROR(__xludf.DUMMYFUNCTION("""COMPUTED_VALUE"""),1)</f>
        <v>1</v>
      </c>
      <c r="B100" s="67"/>
      <c r="C100" s="66">
        <f ca="1">IFERROR(__xludf.DUMMYFUNCTION("""COMPUTED_VALUE"""),16)</f>
        <v>16</v>
      </c>
      <c r="D100" s="67"/>
      <c r="E100" s="67" t="str">
        <f ca="1">IFERROR(__xludf.DUMMYFUNCTION("""COMPUTED_VALUE"""),"BR1605")</f>
        <v>BR1605</v>
      </c>
      <c r="F100" s="69" t="str">
        <f ca="1">IFERROR(__xludf.DUMMYFUNCTION("""COMPUTED_VALUE"""),"Order search results, based on user choice")</f>
        <v>Order search results, based on user choice</v>
      </c>
      <c r="G100" s="67"/>
      <c r="H100" s="78" t="e">
        <f ca="1">'Key Design Decisions'!$A$174</f>
        <v>#NAME?</v>
      </c>
      <c r="I100" s="78"/>
      <c r="J100" s="71" t="e">
        <f ca="1"/>
        <v>#NAME?</v>
      </c>
      <c r="K100" s="71" t="e">
        <f ca="1"/>
        <v>#NAME?</v>
      </c>
      <c r="L100" s="72" t="e">
        <f ca="1"/>
        <v>#NAME?</v>
      </c>
      <c r="M100" s="72" t="e">
        <f ca="1"/>
        <v>#NAME?</v>
      </c>
      <c r="N100" s="42"/>
      <c r="O100" s="42"/>
      <c r="P100" s="42"/>
      <c r="Q100" s="42"/>
      <c r="R100" s="42"/>
      <c r="S100" s="42"/>
      <c r="T100" s="42"/>
      <c r="U100" s="42"/>
      <c r="V100" s="42"/>
      <c r="W100" s="42"/>
      <c r="X100" s="42"/>
      <c r="Y100" s="42"/>
      <c r="Z100" s="42"/>
      <c r="AA100" s="42"/>
      <c r="AB100" s="42"/>
      <c r="AC100" s="42"/>
    </row>
    <row r="101" spans="1:29" x14ac:dyDescent="0.25">
      <c r="A101" s="73">
        <f ca="1">IFERROR(__xludf.DUMMYFUNCTION("""COMPUTED_VALUE"""),1)</f>
        <v>1</v>
      </c>
      <c r="B101" s="74"/>
      <c r="C101" s="73">
        <f ca="1">IFERROR(__xludf.DUMMYFUNCTION("""COMPUTED_VALUE"""),16)</f>
        <v>16</v>
      </c>
      <c r="D101" s="74"/>
      <c r="E101" s="74" t="str">
        <f ca="1">IFERROR(__xludf.DUMMYFUNCTION("""COMPUTED_VALUE"""),"BR1606")</f>
        <v>BR1606</v>
      </c>
      <c r="F101" s="76" t="str">
        <f ca="1">IFERROR(__xludf.DUMMYFUNCTION("""COMPUTED_VALUE"""),"Identify appropriate products to promote on a product page")</f>
        <v>Identify appropriate products to promote on a product page</v>
      </c>
      <c r="G101" s="74"/>
      <c r="H101" s="79" t="e">
        <f ca="1">'Key Design Decisions'!$A$174</f>
        <v>#NAME?</v>
      </c>
      <c r="I101" s="43" t="e">
        <f ca="1">'Key Design Decisions'!$A$201</f>
        <v>#NAME?</v>
      </c>
      <c r="J101" s="71" t="e">
        <f ca="1"/>
        <v>#NAME?</v>
      </c>
      <c r="K101" s="71" t="e">
        <f ca="1"/>
        <v>#NAME?</v>
      </c>
      <c r="L101" s="72" t="e">
        <f ca="1"/>
        <v>#NAME?</v>
      </c>
      <c r="M101" s="72" t="e">
        <f ca="1"/>
        <v>#NAME?</v>
      </c>
      <c r="N101" s="42"/>
      <c r="O101" s="42"/>
      <c r="P101" s="42"/>
      <c r="Q101" s="42"/>
      <c r="R101" s="42"/>
      <c r="S101" s="42"/>
      <c r="T101" s="42"/>
      <c r="U101" s="42"/>
      <c r="V101" s="42"/>
      <c r="W101" s="42"/>
      <c r="X101" s="42"/>
      <c r="Y101" s="42"/>
      <c r="Z101" s="42"/>
      <c r="AA101" s="42"/>
      <c r="AB101" s="42"/>
      <c r="AC101" s="42"/>
    </row>
    <row r="102" spans="1:29" x14ac:dyDescent="0.25">
      <c r="A102" s="66">
        <f ca="1">IFERROR(__xludf.DUMMYFUNCTION("""COMPUTED_VALUE"""),1)</f>
        <v>1</v>
      </c>
      <c r="B102" s="67"/>
      <c r="C102" s="66">
        <f ca="1">IFERROR(__xludf.DUMMYFUNCTION("""COMPUTED_VALUE"""),16)</f>
        <v>16</v>
      </c>
      <c r="D102" s="67"/>
      <c r="E102" s="67" t="str">
        <f ca="1">IFERROR(__xludf.DUMMYFUNCTION("""COMPUTED_VALUE"""),"BR1607")</f>
        <v>BR1607</v>
      </c>
      <c r="F102" s="69" t="str">
        <f ca="1">IFERROR(__xludf.DUMMYFUNCTION("""COMPUTED_VALUE"""),"Identify appropriate articles to promote on a product page (future phase)")</f>
        <v>Identify appropriate articles to promote on a product page (future phase)</v>
      </c>
      <c r="G102" s="67"/>
      <c r="H102" s="78" t="e">
        <f ca="1">'Key Design Decisions'!$A$195</f>
        <v>#NAME?</v>
      </c>
      <c r="I102" s="78"/>
      <c r="J102" s="71" t="e">
        <f ca="1"/>
        <v>#NAME?</v>
      </c>
      <c r="K102" s="71" t="e">
        <f ca="1"/>
        <v>#NAME?</v>
      </c>
      <c r="L102" s="72" t="e">
        <f ca="1"/>
        <v>#NAME?</v>
      </c>
      <c r="M102" s="82" t="e">
        <f ca="1"/>
        <v>#NAME?</v>
      </c>
      <c r="N102" s="42"/>
      <c r="O102" s="42"/>
      <c r="P102" s="42"/>
      <c r="Q102" s="42"/>
      <c r="R102" s="42"/>
      <c r="S102" s="42"/>
      <c r="T102" s="42"/>
      <c r="U102" s="42"/>
      <c r="V102" s="42"/>
      <c r="W102" s="42"/>
      <c r="X102" s="42"/>
      <c r="Y102" s="42"/>
      <c r="Z102" s="42"/>
      <c r="AA102" s="42"/>
      <c r="AB102" s="42"/>
      <c r="AC102" s="42"/>
    </row>
    <row r="103" spans="1:29" x14ac:dyDescent="0.25">
      <c r="A103" s="73">
        <f ca="1">IFERROR(__xludf.DUMMYFUNCTION("""COMPUTED_VALUE"""),1)</f>
        <v>1</v>
      </c>
      <c r="B103" s="74"/>
      <c r="C103" s="73">
        <f ca="1">IFERROR(__xludf.DUMMYFUNCTION("""COMPUTED_VALUE"""),16)</f>
        <v>16</v>
      </c>
      <c r="D103" s="74"/>
      <c r="E103" s="74" t="str">
        <f ca="1">IFERROR(__xludf.DUMMYFUNCTION("""COMPUTED_VALUE"""),"BR1608")</f>
        <v>BR1608</v>
      </c>
      <c r="F103" s="76" t="str">
        <f ca="1">IFERROR(__xludf.DUMMYFUNCTION("""COMPUTED_VALUE"""),"Promote relevant other products on a product page")</f>
        <v>Promote relevant other products on a product page</v>
      </c>
      <c r="G103" s="74"/>
      <c r="H103" s="79" t="e">
        <f ca="1">'Key Design Decisions'!$A$174</f>
        <v>#NAME?</v>
      </c>
      <c r="I103" s="79"/>
      <c r="J103" s="71" t="e">
        <f ca="1"/>
        <v>#NAME?</v>
      </c>
      <c r="K103" s="71" t="e">
        <f ca="1"/>
        <v>#NAME?</v>
      </c>
      <c r="L103" s="72" t="e">
        <f ca="1"/>
        <v>#NAME?</v>
      </c>
      <c r="M103" s="72" t="e">
        <f ca="1"/>
        <v>#NAME?</v>
      </c>
      <c r="N103" s="42"/>
      <c r="O103" s="42"/>
      <c r="P103" s="42"/>
      <c r="Q103" s="42"/>
      <c r="R103" s="42"/>
      <c r="S103" s="42"/>
      <c r="T103" s="42"/>
      <c r="U103" s="42"/>
      <c r="V103" s="42"/>
      <c r="W103" s="42"/>
      <c r="X103" s="42"/>
      <c r="Y103" s="42"/>
      <c r="Z103" s="42"/>
      <c r="AA103" s="42"/>
      <c r="AB103" s="42"/>
      <c r="AC103" s="42"/>
    </row>
    <row r="104" spans="1:29" x14ac:dyDescent="0.25">
      <c r="A104" s="66">
        <f ca="1">IFERROR(__xludf.DUMMYFUNCTION("""COMPUTED_VALUE"""),1)</f>
        <v>1</v>
      </c>
      <c r="B104" s="67"/>
      <c r="C104" s="66">
        <f ca="1">IFERROR(__xludf.DUMMYFUNCTION("""COMPUTED_VALUE"""),16)</f>
        <v>16</v>
      </c>
      <c r="D104" s="67"/>
      <c r="E104" s="67" t="str">
        <f ca="1">IFERROR(__xludf.DUMMYFUNCTION("""COMPUTED_VALUE"""),"BR1609")</f>
        <v>BR1609</v>
      </c>
      <c r="F104" s="69" t="str">
        <f ca="1">IFERROR(__xludf.DUMMYFUNCTION("""COMPUTED_VALUE"""),"Promote articles on product pages (future phase)")</f>
        <v>Promote articles on product pages (future phase)</v>
      </c>
      <c r="G104" s="67"/>
      <c r="H104" s="78" t="e">
        <f ca="1">'Key Design Decisions'!$A$195</f>
        <v>#NAME?</v>
      </c>
      <c r="I104" s="78"/>
      <c r="J104" s="71" t="e">
        <f ca="1"/>
        <v>#NAME?</v>
      </c>
      <c r="K104" s="71" t="e">
        <f ca="1"/>
        <v>#NAME?</v>
      </c>
      <c r="L104" s="72" t="e">
        <f ca="1"/>
        <v>#NAME?</v>
      </c>
      <c r="M104" s="82" t="e">
        <f ca="1"/>
        <v>#NAME?</v>
      </c>
      <c r="N104" s="42"/>
      <c r="O104" s="42"/>
      <c r="P104" s="42"/>
      <c r="Q104" s="42"/>
      <c r="R104" s="42"/>
      <c r="S104" s="42"/>
      <c r="T104" s="42"/>
      <c r="U104" s="42"/>
      <c r="V104" s="42"/>
      <c r="W104" s="42"/>
      <c r="X104" s="42"/>
      <c r="Y104" s="42"/>
      <c r="Z104" s="42"/>
      <c r="AA104" s="42"/>
      <c r="AB104" s="42"/>
      <c r="AC104" s="42"/>
    </row>
    <row r="105" spans="1:29" x14ac:dyDescent="0.25">
      <c r="A105" s="73">
        <f ca="1">IFERROR(__xludf.DUMMYFUNCTION("""COMPUTED_VALUE"""),1)</f>
        <v>1</v>
      </c>
      <c r="B105" s="74"/>
      <c r="C105" s="73">
        <f ca="1">IFERROR(__xludf.DUMMYFUNCTION("""COMPUTED_VALUE"""),17)</f>
        <v>17</v>
      </c>
      <c r="D105" s="74" t="str">
        <f ca="1">IFERROR(__xludf.DUMMYFUNCTION("""COMPUTED_VALUE"""),"17 Shopping Cart")</f>
        <v>17 Shopping Cart</v>
      </c>
      <c r="E105" s="74" t="str">
        <f ca="1">IFERROR(__xludf.DUMMYFUNCTION("""COMPUTED_VALUE"""),"ReqID")</f>
        <v>ReqID</v>
      </c>
      <c r="F105" s="76" t="str">
        <f ca="1">IFERROR(__xludf.DUMMYFUNCTION("""COMPUTED_VALUE"""),"Requirement")</f>
        <v>Requirement</v>
      </c>
      <c r="G105" s="74"/>
      <c r="H105" s="77"/>
      <c r="I105" s="77"/>
      <c r="J105" s="71" t="str">
        <f ca="1"/>
        <v/>
      </c>
      <c r="K105" s="71" t="str">
        <f ca="1"/>
        <v/>
      </c>
      <c r="L105" s="72" t="str">
        <f ca="1"/>
        <v/>
      </c>
      <c r="M105" s="72" t="str">
        <f ca="1"/>
        <v/>
      </c>
      <c r="N105" s="42"/>
      <c r="O105" s="42"/>
      <c r="P105" s="42"/>
      <c r="Q105" s="42"/>
      <c r="R105" s="42"/>
      <c r="S105" s="42"/>
      <c r="T105" s="42"/>
      <c r="U105" s="42"/>
      <c r="V105" s="42"/>
      <c r="W105" s="42"/>
      <c r="X105" s="42"/>
      <c r="Y105" s="42"/>
      <c r="Z105" s="42"/>
      <c r="AA105" s="42"/>
      <c r="AB105" s="42"/>
      <c r="AC105" s="42"/>
    </row>
    <row r="106" spans="1:29" x14ac:dyDescent="0.25">
      <c r="A106" s="66">
        <f ca="1">IFERROR(__xludf.DUMMYFUNCTION("""COMPUTED_VALUE"""),1)</f>
        <v>1</v>
      </c>
      <c r="B106" s="67"/>
      <c r="C106" s="66">
        <f ca="1">IFERROR(__xludf.DUMMYFUNCTION("""COMPUTED_VALUE"""),17)</f>
        <v>17</v>
      </c>
      <c r="D106" s="67"/>
      <c r="E106" s="67" t="str">
        <f ca="1">IFERROR(__xludf.DUMMYFUNCTION("""COMPUTED_VALUE"""),"BR1701")</f>
        <v>BR1701</v>
      </c>
      <c r="F106" s="69" t="str">
        <f ca="1">IFERROR(__xludf.DUMMYFUNCTION("""COMPUTED_VALUE"""),"View shopping cart status")</f>
        <v>View shopping cart status</v>
      </c>
      <c r="G106" s="67"/>
      <c r="H106" s="78" t="e">
        <f ca="1">'Key Design Decisions'!$A$208</f>
        <v>#NAME?</v>
      </c>
      <c r="I106" s="78"/>
      <c r="J106" s="71" t="e">
        <f ca="1"/>
        <v>#NAME?</v>
      </c>
      <c r="K106" s="71" t="e">
        <f ca="1"/>
        <v>#NAME?</v>
      </c>
      <c r="L106" s="72" t="e">
        <f ca="1"/>
        <v>#NAME?</v>
      </c>
      <c r="M106" s="72" t="e">
        <f ca="1"/>
        <v>#NAME?</v>
      </c>
      <c r="N106" s="42"/>
      <c r="O106" s="42"/>
      <c r="P106" s="42"/>
      <c r="Q106" s="42"/>
      <c r="R106" s="42"/>
      <c r="S106" s="42"/>
      <c r="T106" s="42"/>
      <c r="U106" s="42"/>
      <c r="V106" s="42"/>
      <c r="W106" s="42"/>
      <c r="X106" s="42"/>
      <c r="Y106" s="42"/>
      <c r="Z106" s="42"/>
      <c r="AA106" s="42"/>
      <c r="AB106" s="42"/>
      <c r="AC106" s="42"/>
    </row>
    <row r="107" spans="1:29" x14ac:dyDescent="0.25">
      <c r="A107" s="73">
        <f ca="1">IFERROR(__xludf.DUMMYFUNCTION("""COMPUTED_VALUE"""),1)</f>
        <v>1</v>
      </c>
      <c r="B107" s="74"/>
      <c r="C107" s="73">
        <f ca="1">IFERROR(__xludf.DUMMYFUNCTION("""COMPUTED_VALUE"""),17)</f>
        <v>17</v>
      </c>
      <c r="D107" s="74"/>
      <c r="E107" s="74" t="str">
        <f ca="1">IFERROR(__xludf.DUMMYFUNCTION("""COMPUTED_VALUE"""),"BR1702")</f>
        <v>BR1702</v>
      </c>
      <c r="F107" s="76" t="str">
        <f ca="1">IFERROR(__xludf.DUMMYFUNCTION("""COMPUTED_VALUE"""),"View shopping cart detail")</f>
        <v>View shopping cart detail</v>
      </c>
      <c r="G107" s="74"/>
      <c r="H107" s="79" t="e">
        <f ca="1">'Key Design Decisions'!$A$208</f>
        <v>#NAME?</v>
      </c>
      <c r="I107" s="79"/>
      <c r="J107" s="71" t="e">
        <f ca="1"/>
        <v>#NAME?</v>
      </c>
      <c r="K107" s="71" t="e">
        <f ca="1"/>
        <v>#NAME?</v>
      </c>
      <c r="L107" s="72" t="e">
        <f ca="1"/>
        <v>#NAME?</v>
      </c>
      <c r="M107" s="72" t="e">
        <f ca="1"/>
        <v>#NAME?</v>
      </c>
      <c r="N107" s="42"/>
      <c r="O107" s="42"/>
      <c r="P107" s="42"/>
      <c r="Q107" s="42"/>
      <c r="R107" s="42"/>
      <c r="S107" s="42"/>
      <c r="T107" s="42"/>
      <c r="U107" s="42"/>
      <c r="V107" s="42"/>
      <c r="W107" s="42"/>
      <c r="X107" s="42"/>
      <c r="Y107" s="42"/>
      <c r="Z107" s="42"/>
      <c r="AA107" s="42"/>
      <c r="AB107" s="42"/>
      <c r="AC107" s="42"/>
    </row>
    <row r="108" spans="1:29" x14ac:dyDescent="0.25">
      <c r="A108" s="66">
        <f ca="1">IFERROR(__xludf.DUMMYFUNCTION("""COMPUTED_VALUE"""),1)</f>
        <v>1</v>
      </c>
      <c r="B108" s="67"/>
      <c r="C108" s="66">
        <f ca="1">IFERROR(__xludf.DUMMYFUNCTION("""COMPUTED_VALUE"""),17)</f>
        <v>17</v>
      </c>
      <c r="D108" s="67"/>
      <c r="E108" s="67" t="str">
        <f ca="1">IFERROR(__xludf.DUMMYFUNCTION("""COMPUTED_VALUE"""),"BR1703")</f>
        <v>BR1703</v>
      </c>
      <c r="F108" s="69" t="str">
        <f ca="1">IFERROR(__xludf.DUMMYFUNCTION("""COMPUTED_VALUE"""),"Change products in shopping cart")</f>
        <v>Change products in shopping cart</v>
      </c>
      <c r="G108" s="67"/>
      <c r="H108" s="78" t="e">
        <f ca="1">'Key Design Decisions'!$A$208</f>
        <v>#NAME?</v>
      </c>
      <c r="I108" s="78"/>
      <c r="J108" s="71" t="e">
        <f ca="1"/>
        <v>#NAME?</v>
      </c>
      <c r="K108" s="71" t="e">
        <f ca="1"/>
        <v>#NAME?</v>
      </c>
      <c r="L108" s="72" t="e">
        <f ca="1"/>
        <v>#NAME?</v>
      </c>
      <c r="M108" s="72" t="e">
        <f ca="1"/>
        <v>#NAME?</v>
      </c>
      <c r="N108" s="42"/>
      <c r="O108" s="42"/>
      <c r="P108" s="42"/>
      <c r="Q108" s="42"/>
      <c r="R108" s="42"/>
      <c r="S108" s="42"/>
      <c r="T108" s="42"/>
      <c r="U108" s="42"/>
      <c r="V108" s="42"/>
      <c r="W108" s="42"/>
      <c r="X108" s="42"/>
      <c r="Y108" s="42"/>
      <c r="Z108" s="42"/>
      <c r="AA108" s="42"/>
      <c r="AB108" s="42"/>
      <c r="AC108" s="42"/>
    </row>
    <row r="109" spans="1:29" x14ac:dyDescent="0.25">
      <c r="A109" s="73">
        <f ca="1">IFERROR(__xludf.DUMMYFUNCTION("""COMPUTED_VALUE"""),1)</f>
        <v>1</v>
      </c>
      <c r="B109" s="74"/>
      <c r="C109" s="73">
        <f ca="1">IFERROR(__xludf.DUMMYFUNCTION("""COMPUTED_VALUE"""),17)</f>
        <v>17</v>
      </c>
      <c r="D109" s="74"/>
      <c r="E109" s="74" t="str">
        <f ca="1">IFERROR(__xludf.DUMMYFUNCTION("""COMPUTED_VALUE"""),"BR1704")</f>
        <v>BR1704</v>
      </c>
      <c r="F109" s="76" t="str">
        <f ca="1">IFERROR(__xludf.DUMMYFUNCTION("""COMPUTED_VALUE"""),"Remove product from shopping cart")</f>
        <v>Remove product from shopping cart</v>
      </c>
      <c r="G109" s="74"/>
      <c r="H109" s="79" t="e">
        <f ca="1">'Key Design Decisions'!$A$208</f>
        <v>#NAME?</v>
      </c>
      <c r="I109" s="79"/>
      <c r="J109" s="71" t="e">
        <f ca="1"/>
        <v>#NAME?</v>
      </c>
      <c r="K109" s="71" t="e">
        <f ca="1"/>
        <v>#NAME?</v>
      </c>
      <c r="L109" s="72" t="e">
        <f ca="1"/>
        <v>#NAME?</v>
      </c>
      <c r="M109" s="72" t="e">
        <f ca="1"/>
        <v>#NAME?</v>
      </c>
      <c r="N109" s="42"/>
      <c r="O109" s="42"/>
      <c r="P109" s="42"/>
      <c r="Q109" s="42"/>
      <c r="R109" s="42"/>
      <c r="S109" s="42"/>
      <c r="T109" s="42"/>
      <c r="U109" s="42"/>
      <c r="V109" s="42"/>
      <c r="W109" s="42"/>
      <c r="X109" s="42"/>
      <c r="Y109" s="42"/>
      <c r="Z109" s="42"/>
      <c r="AA109" s="42"/>
      <c r="AB109" s="42"/>
      <c r="AC109" s="42"/>
    </row>
    <row r="110" spans="1:29" x14ac:dyDescent="0.25">
      <c r="A110" s="66">
        <f ca="1">IFERROR(__xludf.DUMMYFUNCTION("""COMPUTED_VALUE"""),1)</f>
        <v>1</v>
      </c>
      <c r="B110" s="67"/>
      <c r="C110" s="66">
        <f ca="1">IFERROR(__xludf.DUMMYFUNCTION("""COMPUTED_VALUE"""),17)</f>
        <v>17</v>
      </c>
      <c r="D110" s="67"/>
      <c r="E110" s="67" t="str">
        <f ca="1">IFERROR(__xludf.DUMMYFUNCTION("""COMPUTED_VALUE"""),"BR1705")</f>
        <v>BR1705</v>
      </c>
      <c r="F110" s="69" t="str">
        <f ca="1">IFERROR(__xludf.DUMMYFUNCTION("""COMPUTED_VALUE"""),"Add shopping cart product to favorites")</f>
        <v>Add shopping cart product to favorites</v>
      </c>
      <c r="G110" s="67"/>
      <c r="H110" s="78" t="e">
        <f ca="1">'Key Design Decisions'!$A$208</f>
        <v>#NAME?</v>
      </c>
      <c r="I110" s="78"/>
      <c r="J110" s="71" t="e">
        <f ca="1"/>
        <v>#NAME?</v>
      </c>
      <c r="K110" s="71" t="e">
        <f ca="1"/>
        <v>#NAME?</v>
      </c>
      <c r="L110" s="72" t="e">
        <f ca="1"/>
        <v>#NAME?</v>
      </c>
      <c r="M110" s="72" t="e">
        <f ca="1"/>
        <v>#NAME?</v>
      </c>
      <c r="N110" s="42"/>
      <c r="O110" s="42"/>
      <c r="P110" s="42"/>
      <c r="Q110" s="42"/>
      <c r="R110" s="42"/>
      <c r="S110" s="42"/>
      <c r="T110" s="42"/>
      <c r="U110" s="42"/>
      <c r="V110" s="42"/>
      <c r="W110" s="42"/>
      <c r="X110" s="42"/>
      <c r="Y110" s="42"/>
      <c r="Z110" s="42"/>
      <c r="AA110" s="42"/>
      <c r="AB110" s="42"/>
      <c r="AC110" s="42"/>
    </row>
    <row r="111" spans="1:29" x14ac:dyDescent="0.25">
      <c r="A111" s="73">
        <f ca="1">IFERROR(__xludf.DUMMYFUNCTION("""COMPUTED_VALUE"""),1)</f>
        <v>1</v>
      </c>
      <c r="B111" s="74"/>
      <c r="C111" s="73">
        <f ca="1">IFERROR(__xludf.DUMMYFUNCTION("""COMPUTED_VALUE"""),17)</f>
        <v>17</v>
      </c>
      <c r="D111" s="74"/>
      <c r="E111" s="74" t="str">
        <f ca="1">IFERROR(__xludf.DUMMYFUNCTION("""COMPUTED_VALUE"""),"BR1706")</f>
        <v>BR1706</v>
      </c>
      <c r="F111" s="76" t="str">
        <f ca="1">IFERROR(__xludf.DUMMYFUNCTION("""COMPUTED_VALUE"""),"Move shopping cart product to favourites")</f>
        <v>Move shopping cart product to favourites</v>
      </c>
      <c r="G111" s="74"/>
      <c r="H111" s="79" t="e">
        <f ca="1">'Key Design Decisions'!$A$208</f>
        <v>#NAME?</v>
      </c>
      <c r="I111" s="79"/>
      <c r="J111" s="71" t="e">
        <f ca="1"/>
        <v>#NAME?</v>
      </c>
      <c r="K111" s="71" t="e">
        <f ca="1"/>
        <v>#NAME?</v>
      </c>
      <c r="L111" s="72" t="e">
        <f ca="1"/>
        <v>#NAME?</v>
      </c>
      <c r="M111" s="72" t="e">
        <f ca="1"/>
        <v>#NAME?</v>
      </c>
      <c r="N111" s="42"/>
      <c r="O111" s="42"/>
      <c r="P111" s="42"/>
      <c r="Q111" s="42"/>
      <c r="R111" s="42"/>
      <c r="S111" s="42"/>
      <c r="T111" s="42"/>
      <c r="U111" s="42"/>
      <c r="V111" s="42"/>
      <c r="W111" s="42"/>
      <c r="X111" s="42"/>
      <c r="Y111" s="42"/>
      <c r="Z111" s="42"/>
      <c r="AA111" s="42"/>
      <c r="AB111" s="42"/>
      <c r="AC111" s="42"/>
    </row>
    <row r="112" spans="1:29" x14ac:dyDescent="0.25">
      <c r="A112" s="66">
        <f ca="1">IFERROR(__xludf.DUMMYFUNCTION("""COMPUTED_VALUE"""),1)</f>
        <v>1</v>
      </c>
      <c r="B112" s="67"/>
      <c r="C112" s="66">
        <f ca="1">IFERROR(__xludf.DUMMYFUNCTION("""COMPUTED_VALUE"""),17)</f>
        <v>17</v>
      </c>
      <c r="D112" s="67"/>
      <c r="E112" s="67" t="str">
        <f ca="1">IFERROR(__xludf.DUMMYFUNCTION("""COMPUTED_VALUE"""),"BR1707")</f>
        <v>BR1707</v>
      </c>
      <c r="F112" s="69" t="str">
        <f ca="1">IFERROR(__xludf.DUMMYFUNCTION("""COMPUTED_VALUE"""),"Add shopping cart product to wish-list")</f>
        <v>Add shopping cart product to wish-list</v>
      </c>
      <c r="G112" s="67"/>
      <c r="H112" s="78" t="e">
        <f ca="1">'Key Design Decisions'!$A$208</f>
        <v>#NAME?</v>
      </c>
      <c r="I112" s="78"/>
      <c r="J112" s="71" t="e">
        <f ca="1"/>
        <v>#NAME?</v>
      </c>
      <c r="K112" s="71" t="e">
        <f ca="1"/>
        <v>#NAME?</v>
      </c>
      <c r="L112" s="72" t="e">
        <f ca="1"/>
        <v>#NAME?</v>
      </c>
      <c r="M112" s="72" t="e">
        <f ca="1"/>
        <v>#NAME?</v>
      </c>
      <c r="N112" s="42"/>
      <c r="O112" s="42"/>
      <c r="P112" s="42"/>
      <c r="Q112" s="42"/>
      <c r="R112" s="42"/>
      <c r="S112" s="42"/>
      <c r="T112" s="42"/>
      <c r="U112" s="42"/>
      <c r="V112" s="42"/>
      <c r="W112" s="42"/>
      <c r="X112" s="42"/>
      <c r="Y112" s="42"/>
      <c r="Z112" s="42"/>
      <c r="AA112" s="42"/>
      <c r="AB112" s="42"/>
      <c r="AC112" s="42"/>
    </row>
    <row r="113" spans="1:29" x14ac:dyDescent="0.25">
      <c r="A113" s="73">
        <f ca="1">IFERROR(__xludf.DUMMYFUNCTION("""COMPUTED_VALUE"""),1)</f>
        <v>1</v>
      </c>
      <c r="B113" s="74"/>
      <c r="C113" s="73">
        <f ca="1">IFERROR(__xludf.DUMMYFUNCTION("""COMPUTED_VALUE"""),17)</f>
        <v>17</v>
      </c>
      <c r="D113" s="74"/>
      <c r="E113" s="74" t="str">
        <f ca="1">IFERROR(__xludf.DUMMYFUNCTION("""COMPUTED_VALUE"""),"BR1708")</f>
        <v>BR1708</v>
      </c>
      <c r="F113" s="76" t="str">
        <f ca="1">IFERROR(__xludf.DUMMYFUNCTION("""COMPUTED_VALUE"""),"Move shopping cart product to wish-list")</f>
        <v>Move shopping cart product to wish-list</v>
      </c>
      <c r="G113" s="74"/>
      <c r="H113" s="79" t="e">
        <f ca="1">'Key Design Decisions'!$A$208</f>
        <v>#NAME?</v>
      </c>
      <c r="I113" s="79"/>
      <c r="J113" s="71" t="e">
        <f ca="1"/>
        <v>#NAME?</v>
      </c>
      <c r="K113" s="71" t="e">
        <f ca="1"/>
        <v>#NAME?</v>
      </c>
      <c r="L113" s="72" t="e">
        <f ca="1"/>
        <v>#NAME?</v>
      </c>
      <c r="M113" s="72" t="e">
        <f ca="1"/>
        <v>#NAME?</v>
      </c>
      <c r="N113" s="42"/>
      <c r="O113" s="42"/>
      <c r="P113" s="42"/>
      <c r="Q113" s="42"/>
      <c r="R113" s="42"/>
      <c r="S113" s="42"/>
      <c r="T113" s="42"/>
      <c r="U113" s="42"/>
      <c r="V113" s="42"/>
      <c r="W113" s="42"/>
      <c r="X113" s="42"/>
      <c r="Y113" s="42"/>
      <c r="Z113" s="42"/>
      <c r="AA113" s="42"/>
      <c r="AB113" s="42"/>
      <c r="AC113" s="42"/>
    </row>
    <row r="114" spans="1:29" x14ac:dyDescent="0.25">
      <c r="A114" s="66">
        <f ca="1">IFERROR(__xludf.DUMMYFUNCTION("""COMPUTED_VALUE"""),1)</f>
        <v>1</v>
      </c>
      <c r="B114" s="67"/>
      <c r="C114" s="66">
        <f ca="1">IFERROR(__xludf.DUMMYFUNCTION("""COMPUTED_VALUE"""),17)</f>
        <v>17</v>
      </c>
      <c r="D114" s="67"/>
      <c r="E114" s="67" t="str">
        <f ca="1">IFERROR(__xludf.DUMMYFUNCTION("""COMPUTED_VALUE"""),"BR1709")</f>
        <v>BR1709</v>
      </c>
      <c r="F114" s="69" t="str">
        <f ca="1">IFERROR(__xludf.DUMMYFUNCTION("""COMPUTED_VALUE"""),"Add all favourite products to shopping cart")</f>
        <v>Add all favourite products to shopping cart</v>
      </c>
      <c r="G114" s="67"/>
      <c r="H114" s="78" t="e">
        <f ca="1">'Key Design Decisions'!$A$162</f>
        <v>#NAME?</v>
      </c>
      <c r="I114" s="78"/>
      <c r="J114" s="71" t="e">
        <f ca="1"/>
        <v>#NAME?</v>
      </c>
      <c r="K114" s="71" t="e">
        <f ca="1"/>
        <v>#NAME?</v>
      </c>
      <c r="L114" s="72" t="e">
        <f ca="1"/>
        <v>#NAME?</v>
      </c>
      <c r="M114" s="72" t="e">
        <f ca="1"/>
        <v>#NAME?</v>
      </c>
      <c r="N114" s="42"/>
      <c r="O114" s="42"/>
      <c r="P114" s="42"/>
      <c r="Q114" s="42"/>
      <c r="R114" s="42"/>
      <c r="S114" s="42"/>
      <c r="T114" s="42"/>
      <c r="U114" s="42"/>
      <c r="V114" s="42"/>
      <c r="W114" s="42"/>
      <c r="X114" s="42"/>
      <c r="Y114" s="42"/>
      <c r="Z114" s="42"/>
      <c r="AA114" s="42"/>
      <c r="AB114" s="42"/>
      <c r="AC114" s="42"/>
    </row>
    <row r="115" spans="1:29" x14ac:dyDescent="0.25">
      <c r="A115" s="73">
        <f ca="1">IFERROR(__xludf.DUMMYFUNCTION("""COMPUTED_VALUE"""),1)</f>
        <v>1</v>
      </c>
      <c r="B115" s="74"/>
      <c r="C115" s="73">
        <f ca="1">IFERROR(__xludf.DUMMYFUNCTION("""COMPUTED_VALUE"""),17)</f>
        <v>17</v>
      </c>
      <c r="D115" s="74"/>
      <c r="E115" s="74" t="str">
        <f ca="1">IFERROR(__xludf.DUMMYFUNCTION("""COMPUTED_VALUE"""),"BR1710")</f>
        <v>BR1710</v>
      </c>
      <c r="F115" s="76" t="str">
        <f ca="1">IFERROR(__xludf.DUMMYFUNCTION("""COMPUTED_VALUE"""),"Add all wish-list products to shopping cart")</f>
        <v>Add all wish-list products to shopping cart</v>
      </c>
      <c r="G115" s="74"/>
      <c r="H115" s="79" t="e">
        <f ca="1">'Key Design Decisions'!$A$164</f>
        <v>#NAME?</v>
      </c>
      <c r="I115" s="79"/>
      <c r="J115" s="71" t="e">
        <f ca="1"/>
        <v>#NAME?</v>
      </c>
      <c r="K115" s="71" t="e">
        <f ca="1"/>
        <v>#NAME?</v>
      </c>
      <c r="L115" s="72" t="e">
        <f ca="1"/>
        <v>#NAME?</v>
      </c>
      <c r="M115" s="82" t="e">
        <f ca="1"/>
        <v>#NAME?</v>
      </c>
      <c r="N115" s="42"/>
      <c r="O115" s="42"/>
      <c r="P115" s="42"/>
      <c r="Q115" s="42"/>
      <c r="R115" s="42"/>
      <c r="S115" s="42"/>
      <c r="T115" s="42"/>
      <c r="U115" s="42"/>
      <c r="V115" s="42"/>
      <c r="W115" s="42"/>
      <c r="X115" s="42"/>
      <c r="Y115" s="42"/>
      <c r="Z115" s="42"/>
      <c r="AA115" s="42"/>
      <c r="AB115" s="42"/>
      <c r="AC115" s="42"/>
    </row>
    <row r="116" spans="1:29" x14ac:dyDescent="0.25">
      <c r="A116" s="66">
        <f ca="1">IFERROR(__xludf.DUMMYFUNCTION("""COMPUTED_VALUE"""),1)</f>
        <v>1</v>
      </c>
      <c r="B116" s="67"/>
      <c r="C116" s="66">
        <f ca="1">IFERROR(__xludf.DUMMYFUNCTION("""COMPUTED_VALUE"""),17)</f>
        <v>17</v>
      </c>
      <c r="D116" s="67"/>
      <c r="E116" s="67" t="str">
        <f ca="1">IFERROR(__xludf.DUMMYFUNCTION("""COMPUTED_VALUE"""),"BR1711")</f>
        <v>BR1711</v>
      </c>
      <c r="F116" s="69" t="str">
        <f ca="1">IFERROR(__xludf.DUMMYFUNCTION("""COMPUTED_VALUE"""),"View favourites")</f>
        <v>View favourites</v>
      </c>
      <c r="G116" s="67"/>
      <c r="H116" s="78" t="e">
        <f ca="1">'Key Design Decisions'!$A$162</f>
        <v>#NAME?</v>
      </c>
      <c r="I116" s="78"/>
      <c r="J116" s="71" t="e">
        <f ca="1"/>
        <v>#NAME?</v>
      </c>
      <c r="K116" s="71" t="e">
        <f ca="1"/>
        <v>#NAME?</v>
      </c>
      <c r="L116" s="72" t="e">
        <f ca="1"/>
        <v>#NAME?</v>
      </c>
      <c r="M116" s="72" t="e">
        <f ca="1"/>
        <v>#NAME?</v>
      </c>
      <c r="N116" s="42"/>
      <c r="O116" s="42"/>
      <c r="P116" s="42"/>
      <c r="Q116" s="42"/>
      <c r="R116" s="42"/>
      <c r="S116" s="42"/>
      <c r="T116" s="42"/>
      <c r="U116" s="42"/>
      <c r="V116" s="42"/>
      <c r="W116" s="42"/>
      <c r="X116" s="42"/>
      <c r="Y116" s="42"/>
      <c r="Z116" s="42"/>
      <c r="AA116" s="42"/>
      <c r="AB116" s="42"/>
      <c r="AC116" s="42"/>
    </row>
    <row r="117" spans="1:29" x14ac:dyDescent="0.25">
      <c r="A117" s="73">
        <f ca="1">IFERROR(__xludf.DUMMYFUNCTION("""COMPUTED_VALUE"""),1)</f>
        <v>1</v>
      </c>
      <c r="B117" s="74"/>
      <c r="C117" s="73">
        <f ca="1">IFERROR(__xludf.DUMMYFUNCTION("""COMPUTED_VALUE"""),17)</f>
        <v>17</v>
      </c>
      <c r="D117" s="74"/>
      <c r="E117" s="74" t="str">
        <f ca="1">IFERROR(__xludf.DUMMYFUNCTION("""COMPUTED_VALUE"""),"BR1712")</f>
        <v>BR1712</v>
      </c>
      <c r="F117" s="76" t="str">
        <f ca="1">IFERROR(__xludf.DUMMYFUNCTION("""COMPUTED_VALUE"""),"View wish-list")</f>
        <v>View wish-list</v>
      </c>
      <c r="G117" s="74"/>
      <c r="H117" s="79" t="e">
        <f ca="1">'Key Design Decisions'!$A$164</f>
        <v>#NAME?</v>
      </c>
      <c r="I117" s="79"/>
      <c r="J117" s="71" t="e">
        <f ca="1"/>
        <v>#NAME?</v>
      </c>
      <c r="K117" s="71" t="e">
        <f ca="1"/>
        <v>#NAME?</v>
      </c>
      <c r="L117" s="72" t="e">
        <f ca="1"/>
        <v>#NAME?</v>
      </c>
      <c r="M117" s="72" t="e">
        <f ca="1"/>
        <v>#NAME?</v>
      </c>
      <c r="N117" s="42"/>
      <c r="O117" s="42"/>
      <c r="P117" s="42"/>
      <c r="Q117" s="42"/>
      <c r="R117" s="42"/>
      <c r="S117" s="42"/>
      <c r="T117" s="42"/>
      <c r="U117" s="42"/>
      <c r="V117" s="42"/>
      <c r="W117" s="42"/>
      <c r="X117" s="42"/>
      <c r="Y117" s="42"/>
      <c r="Z117" s="42"/>
      <c r="AA117" s="42"/>
      <c r="AB117" s="42"/>
      <c r="AC117" s="42"/>
    </row>
    <row r="118" spans="1:29" x14ac:dyDescent="0.25">
      <c r="A118" s="66">
        <f ca="1">IFERROR(__xludf.DUMMYFUNCTION("""COMPUTED_VALUE"""),1)</f>
        <v>1</v>
      </c>
      <c r="B118" s="67"/>
      <c r="C118" s="66">
        <f ca="1">IFERROR(__xludf.DUMMYFUNCTION("""COMPUTED_VALUE"""),17)</f>
        <v>17</v>
      </c>
      <c r="D118" s="67"/>
      <c r="E118" s="67" t="str">
        <f ca="1">IFERROR(__xludf.DUMMYFUNCTION("""COMPUTED_VALUE"""),"BR1713")</f>
        <v>BR1713</v>
      </c>
      <c r="F118" s="69" t="str">
        <f ca="1">IFERROR(__xludf.DUMMYFUNCTION("""COMPUTED_VALUE"""),"Proceed to checkout")</f>
        <v>Proceed to checkout</v>
      </c>
      <c r="G118" s="67"/>
      <c r="H118" s="78" t="e">
        <f ca="1">'Key Design Decisions'!$A$215</f>
        <v>#NAME?</v>
      </c>
      <c r="I118" s="78"/>
      <c r="J118" s="71" t="e">
        <f ca="1"/>
        <v>#NAME?</v>
      </c>
      <c r="K118" s="71" t="e">
        <f ca="1"/>
        <v>#NAME?</v>
      </c>
      <c r="L118" s="72" t="e">
        <f ca="1"/>
        <v>#NAME?</v>
      </c>
      <c r="M118" s="72" t="e">
        <f ca="1"/>
        <v>#NAME?</v>
      </c>
      <c r="N118" s="42"/>
      <c r="O118" s="42"/>
      <c r="P118" s="42"/>
      <c r="Q118" s="42"/>
      <c r="R118" s="42"/>
      <c r="S118" s="42"/>
      <c r="T118" s="42"/>
      <c r="U118" s="42"/>
      <c r="V118" s="42"/>
      <c r="W118" s="42"/>
      <c r="X118" s="42"/>
      <c r="Y118" s="42"/>
      <c r="Z118" s="42"/>
      <c r="AA118" s="42"/>
      <c r="AB118" s="42"/>
      <c r="AC118" s="42"/>
    </row>
    <row r="119" spans="1:29" x14ac:dyDescent="0.25">
      <c r="A119" s="73">
        <f ca="1">IFERROR(__xludf.DUMMYFUNCTION("""COMPUTED_VALUE"""),1)</f>
        <v>1</v>
      </c>
      <c r="B119" s="74"/>
      <c r="C119" s="73">
        <f ca="1">IFERROR(__xludf.DUMMYFUNCTION("""COMPUTED_VALUE"""),17)</f>
        <v>17</v>
      </c>
      <c r="D119" s="74"/>
      <c r="E119" s="74" t="str">
        <f ca="1">IFERROR(__xludf.DUMMYFUNCTION("""COMPUTED_VALUE"""),"BR1714")</f>
        <v>BR1714</v>
      </c>
      <c r="F119" s="76" t="str">
        <f ca="1">IFERROR(__xludf.DUMMYFUNCTION("""COMPUTED_VALUE"""),"Abandon shopping cart")</f>
        <v>Abandon shopping cart</v>
      </c>
      <c r="G119" s="74"/>
      <c r="H119" s="79" t="e">
        <f ca="1">'Key Design Decisions'!$A$208</f>
        <v>#NAME?</v>
      </c>
      <c r="I119" s="79"/>
      <c r="J119" s="71" t="e">
        <f ca="1"/>
        <v>#NAME?</v>
      </c>
      <c r="K119" s="71" t="e">
        <f ca="1"/>
        <v>#NAME?</v>
      </c>
      <c r="L119" s="72" t="e">
        <f ca="1"/>
        <v>#NAME?</v>
      </c>
      <c r="M119" s="72" t="e">
        <f ca="1"/>
        <v>#NAME?</v>
      </c>
      <c r="N119" s="42"/>
      <c r="O119" s="42"/>
      <c r="P119" s="42"/>
      <c r="Q119" s="42"/>
      <c r="R119" s="42"/>
      <c r="S119" s="42"/>
      <c r="T119" s="42"/>
      <c r="U119" s="42"/>
      <c r="V119" s="42"/>
      <c r="W119" s="42"/>
      <c r="X119" s="42"/>
      <c r="Y119" s="42"/>
      <c r="Z119" s="42"/>
      <c r="AA119" s="42"/>
      <c r="AB119" s="42"/>
      <c r="AC119" s="42"/>
    </row>
    <row r="120" spans="1:29" x14ac:dyDescent="0.25">
      <c r="A120" s="66">
        <f ca="1">IFERROR(__xludf.DUMMYFUNCTION("""COMPUTED_VALUE"""),1)</f>
        <v>1</v>
      </c>
      <c r="B120" s="67"/>
      <c r="C120" s="66">
        <f ca="1">IFERROR(__xludf.DUMMYFUNCTION("""COMPUTED_VALUE"""),18)</f>
        <v>18</v>
      </c>
      <c r="D120" s="67" t="str">
        <f ca="1">IFERROR(__xludf.DUMMYFUNCTION("""COMPUTED_VALUE"""),"18 Checkout and Pay")</f>
        <v>18 Checkout and Pay</v>
      </c>
      <c r="E120" s="67" t="str">
        <f ca="1">IFERROR(__xludf.DUMMYFUNCTION("""COMPUTED_VALUE"""),"ReqID")</f>
        <v>ReqID</v>
      </c>
      <c r="F120" s="69" t="str">
        <f ca="1">IFERROR(__xludf.DUMMYFUNCTION("""COMPUTED_VALUE"""),"Requirement")</f>
        <v>Requirement</v>
      </c>
      <c r="G120" s="67"/>
      <c r="H120" s="70"/>
      <c r="I120" s="70"/>
      <c r="J120" s="71" t="str">
        <f ca="1"/>
        <v/>
      </c>
      <c r="K120" s="71" t="str">
        <f ca="1"/>
        <v/>
      </c>
      <c r="L120" s="72" t="str">
        <f ca="1"/>
        <v/>
      </c>
      <c r="M120" s="72" t="str">
        <f ca="1"/>
        <v/>
      </c>
      <c r="N120" s="42"/>
      <c r="O120" s="42"/>
      <c r="P120" s="42"/>
      <c r="Q120" s="42"/>
      <c r="R120" s="42"/>
      <c r="S120" s="42"/>
      <c r="T120" s="42"/>
      <c r="U120" s="42"/>
      <c r="V120" s="42"/>
      <c r="W120" s="42"/>
      <c r="X120" s="42"/>
      <c r="Y120" s="42"/>
      <c r="Z120" s="42"/>
      <c r="AA120" s="42"/>
      <c r="AB120" s="42"/>
      <c r="AC120" s="42"/>
    </row>
    <row r="121" spans="1:29" x14ac:dyDescent="0.25">
      <c r="A121" s="73">
        <f ca="1">IFERROR(__xludf.DUMMYFUNCTION("""COMPUTED_VALUE"""),1)</f>
        <v>1</v>
      </c>
      <c r="B121" s="74"/>
      <c r="C121" s="73">
        <f ca="1">IFERROR(__xludf.DUMMYFUNCTION("""COMPUTED_VALUE"""),18)</f>
        <v>18</v>
      </c>
      <c r="D121" s="74"/>
      <c r="E121" s="74" t="str">
        <f ca="1">IFERROR(__xludf.DUMMYFUNCTION("""COMPUTED_VALUE"""),"BR1801")</f>
        <v>BR1801</v>
      </c>
      <c r="F121" s="76" t="str">
        <f ca="1">IFERROR(__xludf.DUMMYFUNCTION("""COMPUTED_VALUE"""),"Confirm/Update Customer Delivery")</f>
        <v>Confirm/Update Customer Delivery</v>
      </c>
      <c r="G121" s="74"/>
      <c r="H121" s="79" t="e">
        <f ca="1">'Key Design Decisions'!$A$215</f>
        <v>#NAME?</v>
      </c>
      <c r="I121" s="79"/>
      <c r="J121" s="71" t="e">
        <f ca="1"/>
        <v>#NAME?</v>
      </c>
      <c r="K121" s="71" t="e">
        <f ca="1"/>
        <v>#NAME?</v>
      </c>
      <c r="L121" s="72" t="e">
        <f ca="1"/>
        <v>#NAME?</v>
      </c>
      <c r="M121" s="72" t="e">
        <f ca="1"/>
        <v>#NAME?</v>
      </c>
      <c r="N121" s="42"/>
      <c r="O121" s="42"/>
      <c r="P121" s="42"/>
      <c r="Q121" s="42"/>
      <c r="R121" s="42"/>
      <c r="S121" s="42"/>
      <c r="T121" s="42"/>
      <c r="U121" s="42"/>
      <c r="V121" s="42"/>
      <c r="W121" s="42"/>
      <c r="X121" s="42"/>
      <c r="Y121" s="42"/>
      <c r="Z121" s="42"/>
      <c r="AA121" s="42"/>
      <c r="AB121" s="42"/>
      <c r="AC121" s="42"/>
    </row>
    <row r="122" spans="1:29" x14ac:dyDescent="0.25">
      <c r="A122" s="66">
        <f ca="1">IFERROR(__xludf.DUMMYFUNCTION("""COMPUTED_VALUE"""),1)</f>
        <v>1</v>
      </c>
      <c r="B122" s="67"/>
      <c r="C122" s="66">
        <f ca="1">IFERROR(__xludf.DUMMYFUNCTION("""COMPUTED_VALUE"""),18)</f>
        <v>18</v>
      </c>
      <c r="D122" s="67"/>
      <c r="E122" s="67" t="str">
        <f ca="1">IFERROR(__xludf.DUMMYFUNCTION("""COMPUTED_VALUE"""),"BR1802")</f>
        <v>BR1802</v>
      </c>
      <c r="F122" s="69" t="str">
        <f ca="1">IFERROR(__xludf.DUMMYFUNCTION("""COMPUTED_VALUE"""),"Confirm payment method")</f>
        <v>Confirm payment method</v>
      </c>
      <c r="G122" s="67"/>
      <c r="H122" s="78" t="e">
        <f ca="1">'Key Design Decisions'!$A$215</f>
        <v>#NAME?</v>
      </c>
      <c r="I122" s="78"/>
      <c r="J122" s="71" t="e">
        <f ca="1"/>
        <v>#NAME?</v>
      </c>
      <c r="K122" s="71" t="e">
        <f ca="1"/>
        <v>#NAME?</v>
      </c>
      <c r="L122" s="72" t="e">
        <f ca="1"/>
        <v>#NAME?</v>
      </c>
      <c r="M122" s="72" t="e">
        <f ca="1"/>
        <v>#NAME?</v>
      </c>
      <c r="N122" s="42"/>
      <c r="O122" s="42"/>
      <c r="P122" s="42"/>
      <c r="Q122" s="42"/>
      <c r="R122" s="42"/>
      <c r="S122" s="42"/>
      <c r="T122" s="42"/>
      <c r="U122" s="42"/>
      <c r="V122" s="42"/>
      <c r="W122" s="42"/>
      <c r="X122" s="42"/>
      <c r="Y122" s="42"/>
      <c r="Z122" s="42"/>
      <c r="AA122" s="42"/>
      <c r="AB122" s="42"/>
      <c r="AC122" s="42"/>
    </row>
    <row r="123" spans="1:29" x14ac:dyDescent="0.25">
      <c r="A123" s="73">
        <f ca="1">IFERROR(__xludf.DUMMYFUNCTION("""COMPUTED_VALUE"""),1)</f>
        <v>1</v>
      </c>
      <c r="B123" s="74"/>
      <c r="C123" s="73">
        <f ca="1">IFERROR(__xludf.DUMMYFUNCTION("""COMPUTED_VALUE"""),18)</f>
        <v>18</v>
      </c>
      <c r="D123" s="74"/>
      <c r="E123" s="74" t="str">
        <f ca="1">IFERROR(__xludf.DUMMYFUNCTION("""COMPUTED_VALUE"""),"BR1803")</f>
        <v>BR1803</v>
      </c>
      <c r="F123" s="76" t="str">
        <f ca="1">IFERROR(__xludf.DUMMYFUNCTION("""COMPUTED_VALUE"""),"Pay for order using debit/credit card")</f>
        <v>Pay for order using debit/credit card</v>
      </c>
      <c r="G123" s="74"/>
      <c r="H123" s="79" t="e">
        <f ca="1">'Key Design Decisions'!$A$215</f>
        <v>#NAME?</v>
      </c>
      <c r="I123" s="79"/>
      <c r="J123" s="71" t="e">
        <f ca="1"/>
        <v>#NAME?</v>
      </c>
      <c r="K123" s="71" t="e">
        <f ca="1"/>
        <v>#NAME?</v>
      </c>
      <c r="L123" s="72" t="e">
        <f ca="1"/>
        <v>#NAME?</v>
      </c>
      <c r="M123" s="72" t="e">
        <f ca="1"/>
        <v>#NAME?</v>
      </c>
      <c r="N123" s="42"/>
      <c r="O123" s="42"/>
      <c r="P123" s="42"/>
      <c r="Q123" s="42"/>
      <c r="R123" s="42"/>
      <c r="S123" s="42"/>
      <c r="T123" s="42"/>
      <c r="U123" s="42"/>
      <c r="V123" s="42"/>
      <c r="W123" s="42"/>
      <c r="X123" s="42"/>
      <c r="Y123" s="42"/>
      <c r="Z123" s="42"/>
      <c r="AA123" s="42"/>
      <c r="AB123" s="42"/>
      <c r="AC123" s="42"/>
    </row>
    <row r="124" spans="1:29" x14ac:dyDescent="0.25">
      <c r="A124" s="66">
        <f ca="1">IFERROR(__xludf.DUMMYFUNCTION("""COMPUTED_VALUE"""),1)</f>
        <v>1</v>
      </c>
      <c r="B124" s="67"/>
      <c r="C124" s="66">
        <f ca="1">IFERROR(__xludf.DUMMYFUNCTION("""COMPUTED_VALUE"""),18)</f>
        <v>18</v>
      </c>
      <c r="D124" s="67"/>
      <c r="E124" s="67" t="str">
        <f ca="1">IFERROR(__xludf.DUMMYFUNCTION("""COMPUTED_VALUE"""),"BR1804")</f>
        <v>BR1804</v>
      </c>
      <c r="F124" s="69" t="str">
        <f ca="1">IFERROR(__xludf.DUMMYFUNCTION("""COMPUTED_VALUE"""),"View payment successful confirmation")</f>
        <v>View payment successful confirmation</v>
      </c>
      <c r="G124" s="67"/>
      <c r="H124" s="78" t="e">
        <f ca="1">'Key Design Decisions'!$A$215</f>
        <v>#NAME?</v>
      </c>
      <c r="I124" s="78"/>
      <c r="J124" s="71" t="e">
        <f ca="1"/>
        <v>#NAME?</v>
      </c>
      <c r="K124" s="71" t="e">
        <f ca="1"/>
        <v>#NAME?</v>
      </c>
      <c r="L124" s="72" t="e">
        <f ca="1"/>
        <v>#NAME?</v>
      </c>
      <c r="M124" s="72" t="e">
        <f ca="1"/>
        <v>#NAME?</v>
      </c>
      <c r="N124" s="42"/>
      <c r="O124" s="42"/>
      <c r="P124" s="42"/>
      <c r="Q124" s="42"/>
      <c r="R124" s="42"/>
      <c r="S124" s="42"/>
      <c r="T124" s="42"/>
      <c r="U124" s="42"/>
      <c r="V124" s="42"/>
      <c r="W124" s="42"/>
      <c r="X124" s="42"/>
      <c r="Y124" s="42"/>
      <c r="Z124" s="42"/>
      <c r="AA124" s="42"/>
      <c r="AB124" s="42"/>
      <c r="AC124" s="42"/>
    </row>
    <row r="125" spans="1:29" x14ac:dyDescent="0.25">
      <c r="A125" s="73">
        <f ca="1">IFERROR(__xludf.DUMMYFUNCTION("""COMPUTED_VALUE"""),1)</f>
        <v>1</v>
      </c>
      <c r="B125" s="74"/>
      <c r="C125" s="73">
        <f ca="1">IFERROR(__xludf.DUMMYFUNCTION("""COMPUTED_VALUE"""),18)</f>
        <v>18</v>
      </c>
      <c r="D125" s="74"/>
      <c r="E125" s="74" t="str">
        <f ca="1">IFERROR(__xludf.DUMMYFUNCTION("""COMPUTED_VALUE"""),"BR1805")</f>
        <v>BR1805</v>
      </c>
      <c r="F125" s="76" t="str">
        <f ca="1">IFERROR(__xludf.DUMMYFUNCTION("""COMPUTED_VALUE"""),"View payment failed")</f>
        <v>View payment failed</v>
      </c>
      <c r="G125" s="74"/>
      <c r="H125" s="79" t="e">
        <f ca="1">'Key Design Decisions'!$A$215</f>
        <v>#NAME?</v>
      </c>
      <c r="I125" s="79"/>
      <c r="J125" s="71" t="e">
        <f ca="1"/>
        <v>#NAME?</v>
      </c>
      <c r="K125" s="71" t="e">
        <f ca="1"/>
        <v>#NAME?</v>
      </c>
      <c r="L125" s="72" t="e">
        <f ca="1"/>
        <v>#NAME?</v>
      </c>
      <c r="M125" s="72" t="e">
        <f ca="1"/>
        <v>#NAME?</v>
      </c>
      <c r="N125" s="42"/>
      <c r="O125" s="42"/>
      <c r="P125" s="42"/>
      <c r="Q125" s="42"/>
      <c r="R125" s="42"/>
      <c r="S125" s="42"/>
      <c r="T125" s="42"/>
      <c r="U125" s="42"/>
      <c r="V125" s="42"/>
      <c r="W125" s="42"/>
      <c r="X125" s="42"/>
      <c r="Y125" s="42"/>
      <c r="Z125" s="42"/>
      <c r="AA125" s="42"/>
      <c r="AB125" s="42"/>
      <c r="AC125" s="42"/>
    </row>
    <row r="126" spans="1:29" x14ac:dyDescent="0.25">
      <c r="A126" s="66">
        <f ca="1">IFERROR(__xludf.DUMMYFUNCTION("""COMPUTED_VALUE"""),1)</f>
        <v>1</v>
      </c>
      <c r="B126" s="67"/>
      <c r="C126" s="66">
        <f ca="1">IFERROR(__xludf.DUMMYFUNCTION("""COMPUTED_VALUE"""),19)</f>
        <v>19</v>
      </c>
      <c r="D126" s="67" t="str">
        <f ca="1">IFERROR(__xludf.DUMMYFUNCTION("""COMPUTED_VALUE"""),"19 View Orders")</f>
        <v>19 View Orders</v>
      </c>
      <c r="E126" s="67" t="str">
        <f ca="1">IFERROR(__xludf.DUMMYFUNCTION("""COMPUTED_VALUE"""),"ReqID")</f>
        <v>ReqID</v>
      </c>
      <c r="F126" s="69" t="str">
        <f ca="1">IFERROR(__xludf.DUMMYFUNCTION("""COMPUTED_VALUE"""),"Requirement")</f>
        <v>Requirement</v>
      </c>
      <c r="G126" s="67"/>
      <c r="H126" s="70"/>
      <c r="I126" s="70"/>
      <c r="J126" s="71" t="str">
        <f ca="1"/>
        <v/>
      </c>
      <c r="K126" s="71" t="str">
        <f ca="1"/>
        <v/>
      </c>
      <c r="L126" s="72" t="str">
        <f ca="1"/>
        <v/>
      </c>
      <c r="M126" s="72" t="str">
        <f ca="1"/>
        <v/>
      </c>
      <c r="N126" s="42"/>
      <c r="O126" s="42"/>
      <c r="P126" s="42"/>
      <c r="Q126" s="42"/>
      <c r="R126" s="42"/>
      <c r="S126" s="42"/>
      <c r="T126" s="42"/>
      <c r="U126" s="42"/>
      <c r="V126" s="42"/>
      <c r="W126" s="42"/>
      <c r="X126" s="42"/>
      <c r="Y126" s="42"/>
      <c r="Z126" s="42"/>
      <c r="AA126" s="42"/>
      <c r="AB126" s="42"/>
      <c r="AC126" s="42"/>
    </row>
    <row r="127" spans="1:29" x14ac:dyDescent="0.25">
      <c r="A127" s="73">
        <f ca="1">IFERROR(__xludf.DUMMYFUNCTION("""COMPUTED_VALUE"""),1)</f>
        <v>1</v>
      </c>
      <c r="B127" s="74"/>
      <c r="C127" s="73">
        <f ca="1">IFERROR(__xludf.DUMMYFUNCTION("""COMPUTED_VALUE"""),19)</f>
        <v>19</v>
      </c>
      <c r="D127" s="74"/>
      <c r="E127" s="74" t="str">
        <f ca="1">IFERROR(__xludf.DUMMYFUNCTION("""COMPUTED_VALUE"""),"BR1901")</f>
        <v>BR1901</v>
      </c>
      <c r="F127" s="76" t="str">
        <f ca="1">IFERROR(__xludf.DUMMYFUNCTION("""COMPUTED_VALUE"""),"View customer orders list")</f>
        <v>View customer orders list</v>
      </c>
      <c r="G127" s="74"/>
      <c r="H127" s="79" t="e">
        <f ca="1">'Key Design Decisions'!$A$237</f>
        <v>#NAME?</v>
      </c>
      <c r="I127" s="79"/>
      <c r="J127" s="71" t="e">
        <f ca="1"/>
        <v>#NAME?</v>
      </c>
      <c r="K127" s="71" t="e">
        <f ca="1"/>
        <v>#NAME?</v>
      </c>
      <c r="L127" s="72" t="e">
        <f ca="1"/>
        <v>#NAME?</v>
      </c>
      <c r="M127" s="72" t="e">
        <f ca="1"/>
        <v>#NAME?</v>
      </c>
      <c r="N127" s="42"/>
      <c r="O127" s="42"/>
      <c r="P127" s="42"/>
      <c r="Q127" s="42"/>
      <c r="R127" s="42"/>
      <c r="S127" s="42"/>
      <c r="T127" s="42"/>
      <c r="U127" s="42"/>
      <c r="V127" s="42"/>
      <c r="W127" s="42"/>
      <c r="X127" s="42"/>
      <c r="Y127" s="42"/>
      <c r="Z127" s="42"/>
      <c r="AA127" s="42"/>
      <c r="AB127" s="42"/>
      <c r="AC127" s="42"/>
    </row>
    <row r="128" spans="1:29" x14ac:dyDescent="0.25">
      <c r="A128" s="66">
        <f ca="1">IFERROR(__xludf.DUMMYFUNCTION("""COMPUTED_VALUE"""),1)</f>
        <v>1</v>
      </c>
      <c r="B128" s="67"/>
      <c r="C128" s="66">
        <f ca="1">IFERROR(__xludf.DUMMYFUNCTION("""COMPUTED_VALUE"""),19)</f>
        <v>19</v>
      </c>
      <c r="D128" s="67"/>
      <c r="E128" s="67" t="str">
        <f ca="1">IFERROR(__xludf.DUMMYFUNCTION("""COMPUTED_VALUE"""),"BR1902")</f>
        <v>BR1902</v>
      </c>
      <c r="F128" s="69" t="str">
        <f ca="1">IFERROR(__xludf.DUMMYFUNCTION("""COMPUTED_VALUE"""),"View customer order")</f>
        <v>View customer order</v>
      </c>
      <c r="G128" s="67"/>
      <c r="H128" s="78" t="e">
        <f ca="1">'Key Design Decisions'!$A$237</f>
        <v>#NAME?</v>
      </c>
      <c r="I128" s="78"/>
      <c r="J128" s="71" t="e">
        <f ca="1"/>
        <v>#NAME?</v>
      </c>
      <c r="K128" s="71" t="e">
        <f ca="1"/>
        <v>#NAME?</v>
      </c>
      <c r="L128" s="72" t="e">
        <f ca="1"/>
        <v>#NAME?</v>
      </c>
      <c r="M128" s="72" t="e">
        <f ca="1"/>
        <v>#NAME?</v>
      </c>
      <c r="N128" s="42"/>
      <c r="O128" s="42"/>
      <c r="P128" s="42"/>
      <c r="Q128" s="42"/>
      <c r="R128" s="42"/>
      <c r="S128" s="42"/>
      <c r="T128" s="42"/>
      <c r="U128" s="42"/>
      <c r="V128" s="42"/>
      <c r="W128" s="42"/>
      <c r="X128" s="42"/>
      <c r="Y128" s="42"/>
      <c r="Z128" s="42"/>
      <c r="AA128" s="42"/>
      <c r="AB128" s="42"/>
      <c r="AC128" s="42"/>
    </row>
    <row r="129" spans="1:29" x14ac:dyDescent="0.25">
      <c r="A129" s="73">
        <f ca="1">IFERROR(__xludf.DUMMYFUNCTION("""COMPUTED_VALUE"""),1)</f>
        <v>1</v>
      </c>
      <c r="B129" s="74"/>
      <c r="C129" s="73">
        <f ca="1">IFERROR(__xludf.DUMMYFUNCTION("""COMPUTED_VALUE"""),19)</f>
        <v>19</v>
      </c>
      <c r="D129" s="74"/>
      <c r="E129" s="74" t="str">
        <f ca="1">IFERROR(__xludf.DUMMYFUNCTION("""COMPUTED_VALUE"""),"BR1903")</f>
        <v>BR1903</v>
      </c>
      <c r="F129" s="76" t="str">
        <f ca="1">IFERROR(__xludf.DUMMYFUNCTION("""COMPUTED_VALUE"""),"Receive order status updates")</f>
        <v>Receive order status updates</v>
      </c>
      <c r="G129" s="74"/>
      <c r="H129" s="79" t="e">
        <f ca="1">'Key Design Decisions'!$A$237</f>
        <v>#NAME?</v>
      </c>
      <c r="I129" s="79"/>
      <c r="J129" s="71" t="e">
        <f ca="1"/>
        <v>#NAME?</v>
      </c>
      <c r="K129" s="71" t="e">
        <f ca="1"/>
        <v>#NAME?</v>
      </c>
      <c r="L129" s="72" t="e">
        <f ca="1"/>
        <v>#NAME?</v>
      </c>
      <c r="M129" s="72" t="e">
        <f ca="1"/>
        <v>#NAME?</v>
      </c>
      <c r="N129" s="42"/>
      <c r="O129" s="42"/>
      <c r="P129" s="42"/>
      <c r="Q129" s="42"/>
      <c r="R129" s="42"/>
      <c r="S129" s="42"/>
      <c r="T129" s="42"/>
      <c r="U129" s="42"/>
      <c r="V129" s="42"/>
      <c r="W129" s="42"/>
      <c r="X129" s="42"/>
      <c r="Y129" s="42"/>
      <c r="Z129" s="42"/>
      <c r="AA129" s="42"/>
      <c r="AB129" s="42"/>
      <c r="AC129" s="42"/>
    </row>
    <row r="130" spans="1:29" x14ac:dyDescent="0.25">
      <c r="A130" s="66">
        <f ca="1">IFERROR(__xludf.DUMMYFUNCTION("""COMPUTED_VALUE"""),1)</f>
        <v>1</v>
      </c>
      <c r="B130" s="67"/>
      <c r="C130" s="66">
        <f ca="1">IFERROR(__xludf.DUMMYFUNCTION("""COMPUTED_VALUE"""),19)</f>
        <v>19</v>
      </c>
      <c r="D130" s="67"/>
      <c r="E130" s="67" t="str">
        <f ca="1">IFERROR(__xludf.DUMMYFUNCTION("""COMPUTED_VALUE"""),"BR1904")</f>
        <v>BR1904</v>
      </c>
      <c r="F130" s="69" t="str">
        <f ca="1">IFERROR(__xludf.DUMMYFUNCTION("""COMPUTED_VALUE"""),"Enquire about order")</f>
        <v>Enquire about order</v>
      </c>
      <c r="G130" s="67"/>
      <c r="H130" s="78" t="e">
        <f ca="1">'Key Design Decisions'!$A$237</f>
        <v>#NAME?</v>
      </c>
      <c r="I130" s="78"/>
      <c r="J130" s="71" t="e">
        <f ca="1"/>
        <v>#NAME?</v>
      </c>
      <c r="K130" s="71" t="e">
        <f ca="1"/>
        <v>#NAME?</v>
      </c>
      <c r="L130" s="72" t="e">
        <f ca="1"/>
        <v>#NAME?</v>
      </c>
      <c r="M130" s="72" t="e">
        <f ca="1"/>
        <v>#NAME?</v>
      </c>
      <c r="N130" s="42"/>
      <c r="O130" s="42"/>
      <c r="P130" s="42"/>
      <c r="Q130" s="42"/>
      <c r="R130" s="42"/>
      <c r="S130" s="42"/>
      <c r="T130" s="42"/>
      <c r="U130" s="42"/>
      <c r="V130" s="42"/>
      <c r="W130" s="42"/>
      <c r="X130" s="42"/>
      <c r="Y130" s="42"/>
      <c r="Z130" s="42"/>
      <c r="AA130" s="42"/>
      <c r="AB130" s="42"/>
      <c r="AC130" s="42"/>
    </row>
    <row r="131" spans="1:29" x14ac:dyDescent="0.25">
      <c r="A131" s="73">
        <f ca="1">IFERROR(__xludf.DUMMYFUNCTION("""COMPUTED_VALUE"""),1)</f>
        <v>1</v>
      </c>
      <c r="B131" s="74"/>
      <c r="C131" s="73">
        <f ca="1">IFERROR(__xludf.DUMMYFUNCTION("""COMPUTED_VALUE"""),20)</f>
        <v>20</v>
      </c>
      <c r="D131" s="74" t="str">
        <f ca="1">IFERROR(__xludf.DUMMYFUNCTION("""COMPUTED_VALUE"""),"20 Return Products")</f>
        <v>20 Return Products</v>
      </c>
      <c r="E131" s="74" t="str">
        <f ca="1">IFERROR(__xludf.DUMMYFUNCTION("""COMPUTED_VALUE"""),"ReqID")</f>
        <v>ReqID</v>
      </c>
      <c r="F131" s="76" t="str">
        <f ca="1">IFERROR(__xludf.DUMMYFUNCTION("""COMPUTED_VALUE"""),"Requirement")</f>
        <v>Requirement</v>
      </c>
      <c r="G131" s="74"/>
      <c r="H131" s="77"/>
      <c r="I131" s="77"/>
      <c r="J131" s="71" t="str">
        <f ca="1"/>
        <v/>
      </c>
      <c r="K131" s="71" t="str">
        <f ca="1"/>
        <v/>
      </c>
      <c r="L131" s="72" t="str">
        <f ca="1"/>
        <v/>
      </c>
      <c r="M131" s="72" t="str">
        <f ca="1"/>
        <v/>
      </c>
      <c r="N131" s="42"/>
      <c r="O131" s="42"/>
      <c r="P131" s="42"/>
      <c r="Q131" s="42"/>
      <c r="R131" s="42"/>
      <c r="S131" s="42"/>
      <c r="T131" s="42"/>
      <c r="U131" s="42"/>
      <c r="V131" s="42"/>
      <c r="W131" s="42"/>
      <c r="X131" s="42"/>
      <c r="Y131" s="42"/>
      <c r="Z131" s="42"/>
      <c r="AA131" s="42"/>
      <c r="AB131" s="42"/>
      <c r="AC131" s="42"/>
    </row>
    <row r="132" spans="1:29" x14ac:dyDescent="0.25">
      <c r="A132" s="66">
        <f ca="1">IFERROR(__xludf.DUMMYFUNCTION("""COMPUTED_VALUE"""),1)</f>
        <v>1</v>
      </c>
      <c r="B132" s="67"/>
      <c r="C132" s="66">
        <f ca="1">IFERROR(__xludf.DUMMYFUNCTION("""COMPUTED_VALUE"""),20)</f>
        <v>20</v>
      </c>
      <c r="D132" s="67"/>
      <c r="E132" s="67" t="str">
        <f ca="1">IFERROR(__xludf.DUMMYFUNCTION("""COMPUTED_VALUE"""),"BR2001")</f>
        <v>BR2001</v>
      </c>
      <c r="F132" s="69" t="str">
        <f ca="1">IFERROR(__xludf.DUMMYFUNCTION("""COMPUTED_VALUE"""),"Request product return")</f>
        <v>Request product return</v>
      </c>
      <c r="G132" s="67"/>
      <c r="H132" s="78" t="e">
        <f ca="1">'Key Design Decisions'!$A$244</f>
        <v>#NAME?</v>
      </c>
      <c r="I132" s="78"/>
      <c r="J132" s="71" t="e">
        <f ca="1"/>
        <v>#NAME?</v>
      </c>
      <c r="K132" s="71" t="e">
        <f ca="1"/>
        <v>#NAME?</v>
      </c>
      <c r="L132" s="72" t="e">
        <f ca="1"/>
        <v>#NAME?</v>
      </c>
      <c r="M132" s="72" t="e">
        <f ca="1"/>
        <v>#NAME?</v>
      </c>
      <c r="N132" s="42"/>
      <c r="O132" s="42"/>
      <c r="P132" s="42"/>
      <c r="Q132" s="42"/>
      <c r="R132" s="42"/>
      <c r="S132" s="42"/>
      <c r="T132" s="42"/>
      <c r="U132" s="42"/>
      <c r="V132" s="42"/>
      <c r="W132" s="42"/>
      <c r="X132" s="42"/>
      <c r="Y132" s="42"/>
      <c r="Z132" s="42"/>
      <c r="AA132" s="42"/>
      <c r="AB132" s="42"/>
      <c r="AC132" s="42"/>
    </row>
    <row r="133" spans="1:29" x14ac:dyDescent="0.25">
      <c r="A133" s="73">
        <f ca="1">IFERROR(__xludf.DUMMYFUNCTION("""COMPUTED_VALUE"""),1)</f>
        <v>1</v>
      </c>
      <c r="B133" s="74"/>
      <c r="C133" s="73">
        <f ca="1">IFERROR(__xludf.DUMMYFUNCTION("""COMPUTED_VALUE"""),20)</f>
        <v>20</v>
      </c>
      <c r="D133" s="74"/>
      <c r="E133" s="74" t="str">
        <f ca="1">IFERROR(__xludf.DUMMYFUNCTION("""COMPUTED_VALUE"""),"BR2002")</f>
        <v>BR2002</v>
      </c>
      <c r="F133" s="76" t="str">
        <f ca="1">IFERROR(__xludf.DUMMYFUNCTION("""COMPUTED_VALUE"""),"View return request list")</f>
        <v>View return request list</v>
      </c>
      <c r="G133" s="74"/>
      <c r="H133" s="79" t="e">
        <f ca="1">'Key Design Decisions'!$A$244</f>
        <v>#NAME?</v>
      </c>
      <c r="I133" s="79"/>
      <c r="J133" s="71" t="e">
        <f ca="1"/>
        <v>#NAME?</v>
      </c>
      <c r="K133" s="71" t="e">
        <f ca="1"/>
        <v>#NAME?</v>
      </c>
      <c r="L133" s="72" t="e">
        <f ca="1"/>
        <v>#NAME?</v>
      </c>
      <c r="M133" s="72" t="e">
        <f ca="1"/>
        <v>#NAME?</v>
      </c>
      <c r="N133" s="42"/>
      <c r="O133" s="42"/>
      <c r="P133" s="42"/>
      <c r="Q133" s="42"/>
      <c r="R133" s="42"/>
      <c r="S133" s="42"/>
      <c r="T133" s="42"/>
      <c r="U133" s="42"/>
      <c r="V133" s="42"/>
      <c r="W133" s="42"/>
      <c r="X133" s="42"/>
      <c r="Y133" s="42"/>
      <c r="Z133" s="42"/>
      <c r="AA133" s="42"/>
      <c r="AB133" s="42"/>
      <c r="AC133" s="42"/>
    </row>
    <row r="134" spans="1:29" x14ac:dyDescent="0.25">
      <c r="A134" s="66">
        <f ca="1">IFERROR(__xludf.DUMMYFUNCTION("""COMPUTED_VALUE"""),1)</f>
        <v>1</v>
      </c>
      <c r="B134" s="67"/>
      <c r="C134" s="66">
        <f ca="1">IFERROR(__xludf.DUMMYFUNCTION("""COMPUTED_VALUE"""),20)</f>
        <v>20</v>
      </c>
      <c r="D134" s="67"/>
      <c r="E134" s="67" t="str">
        <f ca="1">IFERROR(__xludf.DUMMYFUNCTION("""COMPUTED_VALUE"""),"BR2003")</f>
        <v>BR2003</v>
      </c>
      <c r="F134" s="69" t="str">
        <f ca="1">IFERROR(__xludf.DUMMYFUNCTION("""COMPUTED_VALUE"""),"View return request")</f>
        <v>View return request</v>
      </c>
      <c r="G134" s="67"/>
      <c r="H134" s="78" t="e">
        <f ca="1">'Key Design Decisions'!$A$244</f>
        <v>#NAME?</v>
      </c>
      <c r="I134" s="78"/>
      <c r="J134" s="71" t="e">
        <f ca="1"/>
        <v>#NAME?</v>
      </c>
      <c r="K134" s="71" t="e">
        <f ca="1"/>
        <v>#NAME?</v>
      </c>
      <c r="L134" s="72" t="e">
        <f ca="1"/>
        <v>#NAME?</v>
      </c>
      <c r="M134" s="72" t="e">
        <f ca="1"/>
        <v>#NAME?</v>
      </c>
      <c r="N134" s="42"/>
      <c r="O134" s="42"/>
      <c r="P134" s="42"/>
      <c r="Q134" s="42"/>
      <c r="R134" s="42"/>
      <c r="S134" s="42"/>
      <c r="T134" s="42"/>
      <c r="U134" s="42"/>
      <c r="V134" s="42"/>
      <c r="W134" s="42"/>
      <c r="X134" s="42"/>
      <c r="Y134" s="42"/>
      <c r="Z134" s="42"/>
      <c r="AA134" s="42"/>
      <c r="AB134" s="42"/>
      <c r="AC134" s="42"/>
    </row>
    <row r="135" spans="1:29" x14ac:dyDescent="0.25">
      <c r="A135" s="73">
        <f ca="1">IFERROR(__xludf.DUMMYFUNCTION("""COMPUTED_VALUE"""),1)</f>
        <v>1</v>
      </c>
      <c r="B135" s="74"/>
      <c r="C135" s="73">
        <f ca="1">IFERROR(__xludf.DUMMYFUNCTION("""COMPUTED_VALUE"""),20)</f>
        <v>20</v>
      </c>
      <c r="D135" s="74"/>
      <c r="E135" s="74" t="str">
        <f ca="1">IFERROR(__xludf.DUMMYFUNCTION("""COMPUTED_VALUE"""),"BR2004")</f>
        <v>BR2004</v>
      </c>
      <c r="F135" s="76" t="str">
        <f ca="1">IFERROR(__xludf.DUMMYFUNCTION("""COMPUTED_VALUE"""),"Enquire about return request")</f>
        <v>Enquire about return request</v>
      </c>
      <c r="G135" s="74"/>
      <c r="H135" s="79" t="e">
        <f ca="1">'Key Design Decisions'!$A$244</f>
        <v>#NAME?</v>
      </c>
      <c r="I135" s="79"/>
      <c r="J135" s="71" t="e">
        <f ca="1"/>
        <v>#NAME?</v>
      </c>
      <c r="K135" s="71" t="e">
        <f ca="1"/>
        <v>#NAME?</v>
      </c>
      <c r="L135" s="72" t="e">
        <f ca="1"/>
        <v>#NAME?</v>
      </c>
      <c r="M135" s="72" t="e">
        <f ca="1"/>
        <v>#NAME?</v>
      </c>
      <c r="N135" s="42"/>
      <c r="O135" s="42"/>
      <c r="P135" s="42"/>
      <c r="Q135" s="42"/>
      <c r="R135" s="42"/>
      <c r="S135" s="42"/>
      <c r="T135" s="42"/>
      <c r="U135" s="42"/>
      <c r="V135" s="42"/>
      <c r="W135" s="42"/>
      <c r="X135" s="42"/>
      <c r="Y135" s="42"/>
      <c r="Z135" s="42"/>
      <c r="AA135" s="42"/>
      <c r="AB135" s="42"/>
      <c r="AC135" s="42"/>
    </row>
    <row r="136" spans="1:29" x14ac:dyDescent="0.25">
      <c r="A136" s="66">
        <f ca="1">IFERROR(__xludf.DUMMYFUNCTION("""COMPUTED_VALUE"""),1)</f>
        <v>1</v>
      </c>
      <c r="B136" s="67"/>
      <c r="C136" s="66">
        <f ca="1">IFERROR(__xludf.DUMMYFUNCTION("""COMPUTED_VALUE"""),21)</f>
        <v>21</v>
      </c>
      <c r="D136" s="67" t="str">
        <f ca="1">IFERROR(__xludf.DUMMYFUNCTION("""COMPUTED_VALUE"""),"21 Customer Messages")</f>
        <v>21 Customer Messages</v>
      </c>
      <c r="E136" s="67" t="str">
        <f ca="1">IFERROR(__xludf.DUMMYFUNCTION("""COMPUTED_VALUE"""),"ReqID")</f>
        <v>ReqID</v>
      </c>
      <c r="F136" s="69" t="str">
        <f ca="1">IFERROR(__xludf.DUMMYFUNCTION("""COMPUTED_VALUE"""),"Requirement")</f>
        <v>Requirement</v>
      </c>
      <c r="G136" s="67"/>
      <c r="H136" s="70"/>
      <c r="I136" s="70"/>
      <c r="J136" s="71" t="str">
        <f ca="1"/>
        <v/>
      </c>
      <c r="K136" s="71" t="str">
        <f ca="1"/>
        <v/>
      </c>
      <c r="L136" s="72" t="str">
        <f ca="1"/>
        <v/>
      </c>
      <c r="M136" s="72" t="str">
        <f ca="1"/>
        <v/>
      </c>
      <c r="N136" s="42"/>
      <c r="O136" s="42"/>
      <c r="P136" s="42"/>
      <c r="Q136" s="42"/>
      <c r="R136" s="42"/>
      <c r="S136" s="42"/>
      <c r="T136" s="42"/>
      <c r="U136" s="42"/>
      <c r="V136" s="42"/>
      <c r="W136" s="42"/>
      <c r="X136" s="42"/>
      <c r="Y136" s="42"/>
      <c r="Z136" s="42"/>
      <c r="AA136" s="42"/>
      <c r="AB136" s="42"/>
      <c r="AC136" s="42"/>
    </row>
    <row r="137" spans="1:29" x14ac:dyDescent="0.25">
      <c r="A137" s="73">
        <f ca="1">IFERROR(__xludf.DUMMYFUNCTION("""COMPUTED_VALUE"""),1)</f>
        <v>1</v>
      </c>
      <c r="B137" s="74"/>
      <c r="C137" s="73">
        <f ca="1">IFERROR(__xludf.DUMMYFUNCTION("""COMPUTED_VALUE"""),21)</f>
        <v>21</v>
      </c>
      <c r="D137" s="74"/>
      <c r="E137" s="74" t="str">
        <f ca="1">IFERROR(__xludf.DUMMYFUNCTION("""COMPUTED_VALUE"""),"BR2101")</f>
        <v>BR2101</v>
      </c>
      <c r="F137" s="76" t="str">
        <f ca="1">IFERROR(__xludf.DUMMYFUNCTION("""COMPUTED_VALUE"""),"Notify user that their submitted request has been received")</f>
        <v>Notify user that their submitted request has been received</v>
      </c>
      <c r="G137" s="74"/>
      <c r="H137" s="79" t="e">
        <f ca="1">'Key Design Decisions'!$A$230</f>
        <v>#NAME?</v>
      </c>
      <c r="I137" s="77"/>
      <c r="J137" s="71" t="e">
        <f ca="1"/>
        <v>#NAME?</v>
      </c>
      <c r="K137" s="71" t="e">
        <f ca="1"/>
        <v>#NAME?</v>
      </c>
      <c r="L137" s="72" t="e">
        <f ca="1"/>
        <v>#NAME?</v>
      </c>
      <c r="M137" s="72" t="e">
        <f ca="1"/>
        <v>#NAME?</v>
      </c>
      <c r="N137" s="42"/>
      <c r="O137" s="42"/>
      <c r="P137" s="42"/>
      <c r="Q137" s="42"/>
      <c r="R137" s="42"/>
      <c r="S137" s="42"/>
      <c r="T137" s="42"/>
      <c r="U137" s="42"/>
      <c r="V137" s="42"/>
      <c r="W137" s="42"/>
      <c r="X137" s="42"/>
      <c r="Y137" s="42"/>
      <c r="Z137" s="42"/>
      <c r="AA137" s="42"/>
      <c r="AB137" s="42"/>
      <c r="AC137" s="42"/>
    </row>
    <row r="138" spans="1:29" x14ac:dyDescent="0.25">
      <c r="A138" s="66">
        <f ca="1">IFERROR(__xludf.DUMMYFUNCTION("""COMPUTED_VALUE"""),1)</f>
        <v>1</v>
      </c>
      <c r="B138" s="67"/>
      <c r="C138" s="66">
        <f ca="1">IFERROR(__xludf.DUMMYFUNCTION("""COMPUTED_VALUE"""),21)</f>
        <v>21</v>
      </c>
      <c r="D138" s="67"/>
      <c r="E138" s="67" t="str">
        <f ca="1">IFERROR(__xludf.DUMMYFUNCTION("""COMPUTED_VALUE"""),"BR2102")</f>
        <v>BR2102</v>
      </c>
      <c r="F138" s="69" t="str">
        <f ca="1">IFERROR(__xludf.DUMMYFUNCTION("""COMPUTED_VALUE"""),"Present customer messages alert")</f>
        <v>Present customer messages alert</v>
      </c>
      <c r="G138" s="67"/>
      <c r="H138" s="78" t="e">
        <f ca="1">'Key Design Decisions'!$A$230</f>
        <v>#NAME?</v>
      </c>
      <c r="I138" s="70"/>
      <c r="J138" s="71" t="e">
        <f ca="1"/>
        <v>#NAME?</v>
      </c>
      <c r="K138" s="71" t="e">
        <f ca="1"/>
        <v>#NAME?</v>
      </c>
      <c r="L138" s="72" t="e">
        <f ca="1"/>
        <v>#NAME?</v>
      </c>
      <c r="M138" s="72" t="e">
        <f ca="1"/>
        <v>#NAME?</v>
      </c>
      <c r="N138" s="42"/>
      <c r="O138" s="42"/>
      <c r="P138" s="42"/>
      <c r="Q138" s="42"/>
      <c r="R138" s="42"/>
      <c r="S138" s="42"/>
      <c r="T138" s="42"/>
      <c r="U138" s="42"/>
      <c r="V138" s="42"/>
      <c r="W138" s="42"/>
      <c r="X138" s="42"/>
      <c r="Y138" s="42"/>
      <c r="Z138" s="42"/>
      <c r="AA138" s="42"/>
      <c r="AB138" s="42"/>
      <c r="AC138" s="42"/>
    </row>
    <row r="139" spans="1:29" x14ac:dyDescent="0.25">
      <c r="A139" s="73">
        <f ca="1">IFERROR(__xludf.DUMMYFUNCTION("""COMPUTED_VALUE"""),1)</f>
        <v>1</v>
      </c>
      <c r="B139" s="74"/>
      <c r="C139" s="73">
        <f ca="1">IFERROR(__xludf.DUMMYFUNCTION("""COMPUTED_VALUE"""),21)</f>
        <v>21</v>
      </c>
      <c r="D139" s="74"/>
      <c r="E139" s="74" t="str">
        <f ca="1">IFERROR(__xludf.DUMMYFUNCTION("""COMPUTED_VALUE"""),"BR2103")</f>
        <v>BR2103</v>
      </c>
      <c r="F139" s="76" t="str">
        <f ca="1">IFERROR(__xludf.DUMMYFUNCTION("""COMPUTED_VALUE"""),"Customer views their messages list.")</f>
        <v>Customer views their messages list.</v>
      </c>
      <c r="G139" s="74"/>
      <c r="H139" s="79" t="e">
        <f ca="1">'Key Design Decisions'!$A$230</f>
        <v>#NAME?</v>
      </c>
      <c r="I139" s="77"/>
      <c r="J139" s="71" t="e">
        <f ca="1"/>
        <v>#NAME?</v>
      </c>
      <c r="K139" s="71" t="e">
        <f ca="1"/>
        <v>#NAME?</v>
      </c>
      <c r="L139" s="72" t="e">
        <f ca="1"/>
        <v>#NAME?</v>
      </c>
      <c r="M139" s="72" t="e">
        <f ca="1"/>
        <v>#NAME?</v>
      </c>
      <c r="N139" s="42"/>
      <c r="O139" s="42"/>
      <c r="P139" s="42"/>
      <c r="Q139" s="42"/>
      <c r="R139" s="42"/>
      <c r="S139" s="42"/>
      <c r="T139" s="42"/>
      <c r="U139" s="42"/>
      <c r="V139" s="42"/>
      <c r="W139" s="42"/>
      <c r="X139" s="42"/>
      <c r="Y139" s="42"/>
      <c r="Z139" s="42"/>
      <c r="AA139" s="42"/>
      <c r="AB139" s="42"/>
      <c r="AC139" s="42"/>
    </row>
    <row r="140" spans="1:29" x14ac:dyDescent="0.25">
      <c r="A140" s="66">
        <f ca="1">IFERROR(__xludf.DUMMYFUNCTION("""COMPUTED_VALUE"""),1)</f>
        <v>1</v>
      </c>
      <c r="B140" s="67"/>
      <c r="C140" s="66">
        <f ca="1">IFERROR(__xludf.DUMMYFUNCTION("""COMPUTED_VALUE"""),21)</f>
        <v>21</v>
      </c>
      <c r="D140" s="67"/>
      <c r="E140" s="67" t="str">
        <f ca="1">IFERROR(__xludf.DUMMYFUNCTION("""COMPUTED_VALUE"""),"BR2104")</f>
        <v>BR2104</v>
      </c>
      <c r="F140" s="69" t="str">
        <f ca="1">IFERROR(__xludf.DUMMYFUNCTION("""COMPUTED_VALUE"""),"Customer views message detail")</f>
        <v>Customer views message detail</v>
      </c>
      <c r="G140" s="67"/>
      <c r="H140" s="78" t="e">
        <f ca="1">'Key Design Decisions'!$A$230</f>
        <v>#NAME?</v>
      </c>
      <c r="I140" s="70"/>
      <c r="J140" s="71" t="e">
        <f ca="1"/>
        <v>#NAME?</v>
      </c>
      <c r="K140" s="71" t="e">
        <f ca="1"/>
        <v>#NAME?</v>
      </c>
      <c r="L140" s="72" t="e">
        <f ca="1"/>
        <v>#NAME?</v>
      </c>
      <c r="M140" s="72" t="e">
        <f ca="1"/>
        <v>#NAME?</v>
      </c>
      <c r="N140" s="42"/>
      <c r="O140" s="42"/>
      <c r="P140" s="42"/>
      <c r="Q140" s="42"/>
      <c r="R140" s="42"/>
      <c r="S140" s="42"/>
      <c r="T140" s="42"/>
      <c r="U140" s="42"/>
      <c r="V140" s="42"/>
      <c r="W140" s="42"/>
      <c r="X140" s="42"/>
      <c r="Y140" s="42"/>
      <c r="Z140" s="42"/>
      <c r="AA140" s="42"/>
      <c r="AB140" s="42"/>
      <c r="AC140" s="42"/>
    </row>
    <row r="141" spans="1:29" x14ac:dyDescent="0.25">
      <c r="A141" s="73">
        <f ca="1">IFERROR(__xludf.DUMMYFUNCTION("""COMPUTED_VALUE"""),1)</f>
        <v>1</v>
      </c>
      <c r="B141" s="74"/>
      <c r="C141" s="73">
        <f ca="1">IFERROR(__xludf.DUMMYFUNCTION("""COMPUTED_VALUE"""),21)</f>
        <v>21</v>
      </c>
      <c r="D141" s="74"/>
      <c r="E141" s="74" t="str">
        <f ca="1">IFERROR(__xludf.DUMMYFUNCTION("""COMPUTED_VALUE"""),"BR2105")</f>
        <v>BR2105</v>
      </c>
      <c r="F141" s="76" t="str">
        <f ca="1">IFERROR(__xludf.DUMMYFUNCTION("""COMPUTED_VALUE"""),"Back-office views customer messages needing attention")</f>
        <v>Back-office views customer messages needing attention</v>
      </c>
      <c r="G141" s="74"/>
      <c r="H141" s="79" t="e">
        <f ca="1">'Key Design Decisions'!$A$265</f>
        <v>#NAME?</v>
      </c>
      <c r="I141" s="77"/>
      <c r="J141" s="71" t="e">
        <f ca="1"/>
        <v>#NAME?</v>
      </c>
      <c r="K141" s="71" t="e">
        <f ca="1"/>
        <v>#NAME?</v>
      </c>
      <c r="L141" s="72" t="e">
        <f ca="1"/>
        <v>#NAME?</v>
      </c>
      <c r="M141" s="72" t="e">
        <f ca="1"/>
        <v>#NAME?</v>
      </c>
      <c r="N141" s="42"/>
      <c r="O141" s="42"/>
      <c r="P141" s="42"/>
      <c r="Q141" s="42"/>
      <c r="R141" s="42"/>
      <c r="S141" s="42"/>
      <c r="T141" s="42"/>
      <c r="U141" s="42"/>
      <c r="V141" s="42"/>
      <c r="W141" s="42"/>
      <c r="X141" s="42"/>
      <c r="Y141" s="42"/>
      <c r="Z141" s="42"/>
      <c r="AA141" s="42"/>
      <c r="AB141" s="42"/>
      <c r="AC141" s="42"/>
    </row>
    <row r="142" spans="1:29" x14ac:dyDescent="0.25">
      <c r="A142" s="66">
        <f ca="1">IFERROR(__xludf.DUMMYFUNCTION("""COMPUTED_VALUE"""),1)</f>
        <v>1</v>
      </c>
      <c r="B142" s="67"/>
      <c r="C142" s="66">
        <f ca="1">IFERROR(__xludf.DUMMYFUNCTION("""COMPUTED_VALUE"""),21)</f>
        <v>21</v>
      </c>
      <c r="D142" s="67"/>
      <c r="E142" s="67" t="str">
        <f ca="1">IFERROR(__xludf.DUMMYFUNCTION("""COMPUTED_VALUE"""),"BR2106")</f>
        <v>BR2106</v>
      </c>
      <c r="F142" s="69" t="str">
        <f ca="1">IFERROR(__xludf.DUMMYFUNCTION("""COMPUTED_VALUE"""),"Back-office responds to customer message")</f>
        <v>Back-office responds to customer message</v>
      </c>
      <c r="G142" s="67"/>
      <c r="H142" s="78" t="e">
        <f ca="1">'Key Design Decisions'!$A$265</f>
        <v>#NAME?</v>
      </c>
      <c r="I142" s="70"/>
      <c r="J142" s="71" t="e">
        <f ca="1"/>
        <v>#NAME?</v>
      </c>
      <c r="K142" s="71" t="e">
        <f ca="1"/>
        <v>#NAME?</v>
      </c>
      <c r="L142" s="72" t="e">
        <f ca="1"/>
        <v>#NAME?</v>
      </c>
      <c r="M142" s="72" t="e">
        <f ca="1"/>
        <v>#NAME?</v>
      </c>
      <c r="N142" s="42"/>
      <c r="O142" s="42"/>
      <c r="P142" s="42"/>
      <c r="Q142" s="42"/>
      <c r="R142" s="42"/>
      <c r="S142" s="42"/>
      <c r="T142" s="42"/>
      <c r="U142" s="42"/>
      <c r="V142" s="42"/>
      <c r="W142" s="42"/>
      <c r="X142" s="42"/>
      <c r="Y142" s="42"/>
      <c r="Z142" s="42"/>
      <c r="AA142" s="42"/>
      <c r="AB142" s="42"/>
      <c r="AC142" s="42"/>
    </row>
    <row r="143" spans="1:29" x14ac:dyDescent="0.25">
      <c r="A143" s="73">
        <f ca="1">IFERROR(__xludf.DUMMYFUNCTION("""COMPUTED_VALUE"""),1)</f>
        <v>1</v>
      </c>
      <c r="B143" s="74"/>
      <c r="C143" s="73">
        <f ca="1">IFERROR(__xludf.DUMMYFUNCTION("""COMPUTED_VALUE"""),22)</f>
        <v>22</v>
      </c>
      <c r="D143" s="74" t="str">
        <f ca="1">IFERROR(__xludf.DUMMYFUNCTION("""COMPUTED_VALUE"""),"22 Online Payments Management")</f>
        <v>22 Online Payments Management</v>
      </c>
      <c r="E143" s="74" t="str">
        <f ca="1">IFERROR(__xludf.DUMMYFUNCTION("""COMPUTED_VALUE"""),"ReqID")</f>
        <v>ReqID</v>
      </c>
      <c r="F143" s="76" t="str">
        <f ca="1">IFERROR(__xludf.DUMMYFUNCTION("""COMPUTED_VALUE"""),"Requirement")</f>
        <v>Requirement</v>
      </c>
      <c r="G143" s="74"/>
      <c r="H143" s="77"/>
      <c r="I143" s="77"/>
      <c r="J143" s="71" t="str">
        <f ca="1"/>
        <v/>
      </c>
      <c r="K143" s="71" t="str">
        <f ca="1"/>
        <v/>
      </c>
      <c r="L143" s="72" t="str">
        <f ca="1"/>
        <v/>
      </c>
      <c r="M143" s="72" t="str">
        <f ca="1"/>
        <v/>
      </c>
      <c r="N143" s="42"/>
      <c r="O143" s="42"/>
      <c r="P143" s="42"/>
      <c r="Q143" s="42"/>
      <c r="R143" s="42"/>
      <c r="S143" s="42"/>
      <c r="T143" s="42"/>
      <c r="U143" s="42"/>
      <c r="V143" s="42"/>
      <c r="W143" s="42"/>
      <c r="X143" s="42"/>
      <c r="Y143" s="42"/>
      <c r="Z143" s="42"/>
      <c r="AA143" s="42"/>
      <c r="AB143" s="42"/>
      <c r="AC143" s="42"/>
    </row>
    <row r="144" spans="1:29" x14ac:dyDescent="0.25">
      <c r="A144" s="66">
        <f ca="1">IFERROR(__xludf.DUMMYFUNCTION("""COMPUTED_VALUE"""),1)</f>
        <v>1</v>
      </c>
      <c r="B144" s="67"/>
      <c r="C144" s="66">
        <f ca="1">IFERROR(__xludf.DUMMYFUNCTION("""COMPUTED_VALUE"""),22)</f>
        <v>22</v>
      </c>
      <c r="D144" s="67"/>
      <c r="E144" s="67" t="str">
        <f ca="1">IFERROR(__xludf.DUMMYFUNCTION("""COMPUTED_VALUE"""),"BR2201")</f>
        <v>BR2201</v>
      </c>
      <c r="F144" s="69" t="str">
        <f ca="1">IFERROR(__xludf.DUMMYFUNCTION("""COMPUTED_VALUE"""),"Process customer card payment")</f>
        <v>Process customer card payment</v>
      </c>
      <c r="G144" s="67"/>
      <c r="H144" s="78" t="e">
        <f ca="1">'Key Design Decisions'!$A$215</f>
        <v>#NAME?</v>
      </c>
      <c r="I144" s="78"/>
      <c r="J144" s="71" t="e">
        <f ca="1"/>
        <v>#NAME?</v>
      </c>
      <c r="K144" s="71" t="e">
        <f ca="1"/>
        <v>#NAME?</v>
      </c>
      <c r="L144" s="72" t="e">
        <f ca="1"/>
        <v>#NAME?</v>
      </c>
      <c r="M144" s="72" t="e">
        <f ca="1"/>
        <v>#NAME?</v>
      </c>
      <c r="N144" s="42"/>
      <c r="O144" s="42"/>
      <c r="P144" s="42"/>
      <c r="Q144" s="42"/>
      <c r="R144" s="42"/>
      <c r="S144" s="42"/>
      <c r="T144" s="42"/>
      <c r="U144" s="42"/>
      <c r="V144" s="42"/>
      <c r="W144" s="42"/>
      <c r="X144" s="42"/>
      <c r="Y144" s="42"/>
      <c r="Z144" s="42"/>
      <c r="AA144" s="42"/>
      <c r="AB144" s="42"/>
      <c r="AC144" s="42"/>
    </row>
    <row r="145" spans="1:29" x14ac:dyDescent="0.25">
      <c r="A145" s="73">
        <f ca="1">IFERROR(__xludf.DUMMYFUNCTION("""COMPUTED_VALUE"""),1)</f>
        <v>1</v>
      </c>
      <c r="B145" s="74"/>
      <c r="C145" s="73">
        <f ca="1">IFERROR(__xludf.DUMMYFUNCTION("""COMPUTED_VALUE"""),22)</f>
        <v>22</v>
      </c>
      <c r="D145" s="74"/>
      <c r="E145" s="74" t="str">
        <f ca="1">IFERROR(__xludf.DUMMYFUNCTION("""COMPUTED_VALUE"""),"BR2202")</f>
        <v>BR2202</v>
      </c>
      <c r="F145" s="76" t="str">
        <f ca="1">IFERROR(__xludf.DUMMYFUNCTION("""COMPUTED_VALUE"""),"Reverse approved customer online payment")</f>
        <v>Reverse approved customer online payment</v>
      </c>
      <c r="G145" s="74"/>
      <c r="H145" s="79" t="e">
        <f ca="1">'Key Design Decisions'!$A$215</f>
        <v>#NAME?</v>
      </c>
      <c r="I145" s="79"/>
      <c r="J145" s="71" t="e">
        <f ca="1"/>
        <v>#NAME?</v>
      </c>
      <c r="K145" s="71" t="e">
        <f ca="1"/>
        <v>#NAME?</v>
      </c>
      <c r="L145" s="72" t="e">
        <f ca="1"/>
        <v>#NAME?</v>
      </c>
      <c r="M145" s="72" t="e">
        <f ca="1"/>
        <v>#NAME?</v>
      </c>
      <c r="N145" s="42"/>
      <c r="O145" s="42"/>
      <c r="P145" s="42"/>
      <c r="Q145" s="42"/>
      <c r="R145" s="42"/>
      <c r="S145" s="42"/>
      <c r="T145" s="42"/>
      <c r="U145" s="42"/>
      <c r="V145" s="42"/>
      <c r="W145" s="42"/>
      <c r="X145" s="42"/>
      <c r="Y145" s="42"/>
      <c r="Z145" s="42"/>
      <c r="AA145" s="42"/>
      <c r="AB145" s="42"/>
      <c r="AC145" s="42"/>
    </row>
    <row r="146" spans="1:29" x14ac:dyDescent="0.25">
      <c r="A146" s="66">
        <f ca="1">IFERROR(__xludf.DUMMYFUNCTION("""COMPUTED_VALUE"""),1)</f>
        <v>1</v>
      </c>
      <c r="B146" s="67"/>
      <c r="C146" s="66">
        <f ca="1">IFERROR(__xludf.DUMMYFUNCTION("""COMPUTED_VALUE"""),22)</f>
        <v>22</v>
      </c>
      <c r="D146" s="67"/>
      <c r="E146" s="67" t="str">
        <f ca="1">IFERROR(__xludf.DUMMYFUNCTION("""COMPUTED_VALUE"""),"BR2203")</f>
        <v>BR2203</v>
      </c>
      <c r="F146" s="69" t="str">
        <f ca="1">IFERROR(__xludf.DUMMYFUNCTION("""COMPUTED_VALUE"""),"Reconcile online payments to transactions from the payment gateway.")</f>
        <v>Reconcile online payments to transactions from the payment gateway.</v>
      </c>
      <c r="G146" s="67"/>
      <c r="H146" s="78" t="e">
        <f ca="1">'Key Design Decisions'!$A$274</f>
        <v>#NAME?</v>
      </c>
      <c r="I146" s="78"/>
      <c r="J146" s="71" t="e">
        <f ca="1"/>
        <v>#NAME?</v>
      </c>
      <c r="K146" s="71" t="e">
        <f ca="1"/>
        <v>#NAME?</v>
      </c>
      <c r="L146" s="72" t="e">
        <f ca="1"/>
        <v>#NAME?</v>
      </c>
      <c r="M146" s="72" t="e">
        <f ca="1"/>
        <v>#NAME?</v>
      </c>
      <c r="N146" s="42"/>
      <c r="O146" s="42"/>
      <c r="P146" s="42"/>
      <c r="Q146" s="42"/>
      <c r="R146" s="42"/>
      <c r="S146" s="42"/>
      <c r="T146" s="42"/>
      <c r="U146" s="42"/>
      <c r="V146" s="42"/>
      <c r="W146" s="42"/>
      <c r="X146" s="42"/>
      <c r="Y146" s="42"/>
      <c r="Z146" s="42"/>
      <c r="AA146" s="42"/>
      <c r="AB146" s="42"/>
      <c r="AC146" s="42"/>
    </row>
    <row r="147" spans="1:29" x14ac:dyDescent="0.25">
      <c r="A147" s="73">
        <f ca="1">IFERROR(__xludf.DUMMYFUNCTION("""COMPUTED_VALUE"""),1)</f>
        <v>1</v>
      </c>
      <c r="B147" s="74"/>
      <c r="C147" s="73">
        <f ca="1">IFERROR(__xludf.DUMMYFUNCTION("""COMPUTED_VALUE"""),22)</f>
        <v>22</v>
      </c>
      <c r="D147" s="74"/>
      <c r="E147" s="74" t="str">
        <f ca="1">IFERROR(__xludf.DUMMYFUNCTION("""COMPUTED_VALUE"""),"BR2204")</f>
        <v>BR2204</v>
      </c>
      <c r="F147" s="76" t="str">
        <f ca="1">IFERROR(__xludf.DUMMYFUNCTION("""COMPUTED_VALUE"""),"Reconcile online transactions from the payment gateway to the bank deposits.")</f>
        <v>Reconcile online transactions from the payment gateway to the bank deposits.</v>
      </c>
      <c r="G147" s="74"/>
      <c r="H147" s="79" t="e">
        <f ca="1">'Key Design Decisions'!$A$274</f>
        <v>#NAME?</v>
      </c>
      <c r="I147" s="79"/>
      <c r="J147" s="71" t="e">
        <f ca="1"/>
        <v>#NAME?</v>
      </c>
      <c r="K147" s="71" t="e">
        <f ca="1"/>
        <v>#NAME?</v>
      </c>
      <c r="L147" s="72" t="e">
        <f ca="1"/>
        <v>#NAME?</v>
      </c>
      <c r="M147" s="72" t="e">
        <f ca="1"/>
        <v>#NAME?</v>
      </c>
      <c r="N147" s="42"/>
      <c r="O147" s="42"/>
      <c r="P147" s="42"/>
      <c r="Q147" s="42"/>
      <c r="R147" s="42"/>
      <c r="S147" s="42"/>
      <c r="T147" s="42"/>
      <c r="U147" s="42"/>
      <c r="V147" s="42"/>
      <c r="W147" s="42"/>
      <c r="X147" s="42"/>
      <c r="Y147" s="42"/>
      <c r="Z147" s="42"/>
      <c r="AA147" s="42"/>
      <c r="AB147" s="42"/>
      <c r="AC147" s="42"/>
    </row>
    <row r="148" spans="1:29" x14ac:dyDescent="0.25">
      <c r="A148" s="66">
        <f ca="1">IFERROR(__xludf.DUMMYFUNCTION("""COMPUTED_VALUE"""),1)</f>
        <v>1</v>
      </c>
      <c r="B148" s="67"/>
      <c r="C148" s="66">
        <f ca="1">IFERROR(__xludf.DUMMYFUNCTION("""COMPUTED_VALUE"""),23)</f>
        <v>23</v>
      </c>
      <c r="D148" s="67" t="str">
        <f ca="1">IFERROR(__xludf.DUMMYFUNCTION("""COMPUTED_VALUE"""),"23 Customer Orders Management")</f>
        <v>23 Customer Orders Management</v>
      </c>
      <c r="E148" s="67" t="str">
        <f ca="1">IFERROR(__xludf.DUMMYFUNCTION("""COMPUTED_VALUE"""),"ReqID")</f>
        <v>ReqID</v>
      </c>
      <c r="F148" s="69" t="str">
        <f ca="1">IFERROR(__xludf.DUMMYFUNCTION("""COMPUTED_VALUE"""),"Requirement")</f>
        <v>Requirement</v>
      </c>
      <c r="G148" s="67"/>
      <c r="H148" s="70"/>
      <c r="I148" s="70"/>
      <c r="J148" s="71" t="str">
        <f ca="1"/>
        <v/>
      </c>
      <c r="K148" s="71" t="str">
        <f ca="1"/>
        <v/>
      </c>
      <c r="L148" s="72" t="str">
        <f ca="1"/>
        <v/>
      </c>
      <c r="M148" s="72" t="str">
        <f ca="1"/>
        <v/>
      </c>
      <c r="N148" s="42"/>
      <c r="O148" s="42"/>
      <c r="P148" s="42"/>
      <c r="Q148" s="42"/>
      <c r="R148" s="42"/>
      <c r="S148" s="42"/>
      <c r="T148" s="42"/>
      <c r="U148" s="42"/>
      <c r="V148" s="42"/>
      <c r="W148" s="42"/>
      <c r="X148" s="42"/>
      <c r="Y148" s="42"/>
      <c r="Z148" s="42"/>
      <c r="AA148" s="42"/>
      <c r="AB148" s="42"/>
      <c r="AC148" s="42"/>
    </row>
    <row r="149" spans="1:29" x14ac:dyDescent="0.25">
      <c r="A149" s="73">
        <f ca="1">IFERROR(__xludf.DUMMYFUNCTION("""COMPUTED_VALUE"""),1)</f>
        <v>1</v>
      </c>
      <c r="B149" s="74"/>
      <c r="C149" s="73">
        <f ca="1">IFERROR(__xludf.DUMMYFUNCTION("""COMPUTED_VALUE"""),23)</f>
        <v>23</v>
      </c>
      <c r="D149" s="74"/>
      <c r="E149" s="74" t="str">
        <f ca="1">IFERROR(__xludf.DUMMYFUNCTION("""COMPUTED_VALUE"""),"BR2301")</f>
        <v>BR2301</v>
      </c>
      <c r="F149" s="76" t="str">
        <f ca="1">IFERROR(__xludf.DUMMYFUNCTION("""COMPUTED_VALUE"""),"Allocate the products for a customer order to the relevant suppliers (drop-shipping)")</f>
        <v>Allocate the products for a customer order to the relevant suppliers (drop-shipping)</v>
      </c>
      <c r="G149" s="74"/>
      <c r="H149" s="79" t="e">
        <f ca="1">'Key Design Decisions'!$A$84</f>
        <v>#NAME?</v>
      </c>
      <c r="I149" s="79" t="e">
        <f ca="1">'Key Design Decisions'!$A$95</f>
        <v>#NAME?</v>
      </c>
      <c r="J149" s="71" t="e">
        <f ca="1"/>
        <v>#NAME?</v>
      </c>
      <c r="K149" s="71" t="e">
        <f ca="1"/>
        <v>#NAME?</v>
      </c>
      <c r="L149" s="72" t="e">
        <f ca="1"/>
        <v>#NAME?</v>
      </c>
      <c r="M149" s="72" t="e">
        <f ca="1"/>
        <v>#NAME?</v>
      </c>
      <c r="N149" s="42"/>
      <c r="O149" s="42"/>
      <c r="P149" s="42"/>
      <c r="Q149" s="42"/>
      <c r="R149" s="42"/>
      <c r="S149" s="42"/>
      <c r="T149" s="42"/>
      <c r="U149" s="42"/>
      <c r="V149" s="42"/>
      <c r="W149" s="42"/>
      <c r="X149" s="42"/>
      <c r="Y149" s="42"/>
      <c r="Z149" s="42"/>
      <c r="AA149" s="42"/>
      <c r="AB149" s="42"/>
      <c r="AC149" s="42"/>
    </row>
    <row r="150" spans="1:29" x14ac:dyDescent="0.25">
      <c r="A150" s="66">
        <f ca="1">IFERROR(__xludf.DUMMYFUNCTION("""COMPUTED_VALUE"""),1)</f>
        <v>1</v>
      </c>
      <c r="B150" s="67"/>
      <c r="C150" s="66">
        <f ca="1">IFERROR(__xludf.DUMMYFUNCTION("""COMPUTED_VALUE"""),23)</f>
        <v>23</v>
      </c>
      <c r="D150" s="67"/>
      <c r="E150" s="67" t="str">
        <f ca="1">IFERROR(__xludf.DUMMYFUNCTION("""COMPUTED_VALUE"""),"BR2302")</f>
        <v>BR2302</v>
      </c>
      <c r="F150" s="69" t="str">
        <f ca="1">IFERROR(__xludf.DUMMYFUNCTION("""COMPUTED_VALUE"""),"Process each received supplier status update on an allocated supplier order")</f>
        <v>Process each received supplier status update on an allocated supplier order</v>
      </c>
      <c r="G150" s="67"/>
      <c r="H150" s="78" t="e">
        <f ca="1">'Key Design Decisions'!$A$84</f>
        <v>#NAME?</v>
      </c>
      <c r="I150" s="78" t="e">
        <f ca="1">'Key Design Decisions'!$A$95</f>
        <v>#NAME?</v>
      </c>
      <c r="J150" s="71" t="e">
        <f ca="1"/>
        <v>#NAME?</v>
      </c>
      <c r="K150" s="71" t="e">
        <f ca="1"/>
        <v>#NAME?</v>
      </c>
      <c r="L150" s="72" t="e">
        <f ca="1"/>
        <v>#NAME?</v>
      </c>
      <c r="M150" s="72" t="e">
        <f ca="1"/>
        <v>#NAME?</v>
      </c>
      <c r="N150" s="42"/>
      <c r="O150" s="42"/>
      <c r="P150" s="42"/>
      <c r="Q150" s="42"/>
      <c r="R150" s="42"/>
      <c r="S150" s="42"/>
      <c r="T150" s="42"/>
      <c r="U150" s="42"/>
      <c r="V150" s="42"/>
      <c r="W150" s="42"/>
      <c r="X150" s="42"/>
      <c r="Y150" s="42"/>
      <c r="Z150" s="42"/>
      <c r="AA150" s="42"/>
      <c r="AB150" s="42"/>
      <c r="AC150" s="42"/>
    </row>
    <row r="151" spans="1:29" x14ac:dyDescent="0.25">
      <c r="A151" s="73">
        <f ca="1">IFERROR(__xludf.DUMMYFUNCTION("""COMPUTED_VALUE"""),1)</f>
        <v>1</v>
      </c>
      <c r="B151" s="74"/>
      <c r="C151" s="73">
        <f ca="1">IFERROR(__xludf.DUMMYFUNCTION("""COMPUTED_VALUE"""),23)</f>
        <v>23</v>
      </c>
      <c r="D151" s="74"/>
      <c r="E151" s="74" t="str">
        <f ca="1">IFERROR(__xludf.DUMMYFUNCTION("""COMPUTED_VALUE"""),"BR2303")</f>
        <v>BR2303</v>
      </c>
      <c r="F151" s="76" t="str">
        <f ca="1">IFERROR(__xludf.DUMMYFUNCTION("""COMPUTED_VALUE"""),"Allocate each packed order to the courier")</f>
        <v>Allocate each packed order to the courier</v>
      </c>
      <c r="G151" s="74"/>
      <c r="H151" s="79" t="e">
        <f ca="1">'Key Design Decisions'!$A$104</f>
        <v>#NAME?</v>
      </c>
      <c r="I151" s="79" t="e">
        <f ca="1">'Key Design Decisions'!$A$288</f>
        <v>#NAME?</v>
      </c>
      <c r="J151" s="71" t="e">
        <f ca="1"/>
        <v>#NAME?</v>
      </c>
      <c r="K151" s="71" t="e">
        <f ca="1"/>
        <v>#NAME?</v>
      </c>
      <c r="L151" s="72" t="e">
        <f ca="1"/>
        <v>#NAME?</v>
      </c>
      <c r="M151" s="72" t="e">
        <f ca="1"/>
        <v>#NAME?</v>
      </c>
      <c r="N151" s="42"/>
      <c r="O151" s="42"/>
      <c r="P151" s="42"/>
      <c r="Q151" s="42"/>
      <c r="R151" s="42"/>
      <c r="S151" s="42"/>
      <c r="T151" s="42"/>
      <c r="U151" s="42"/>
      <c r="V151" s="42"/>
      <c r="W151" s="42"/>
      <c r="X151" s="42"/>
      <c r="Y151" s="42"/>
      <c r="Z151" s="42"/>
      <c r="AA151" s="42"/>
      <c r="AB151" s="42"/>
      <c r="AC151" s="42"/>
    </row>
    <row r="152" spans="1:29" x14ac:dyDescent="0.25">
      <c r="A152" s="66">
        <f ca="1">IFERROR(__xludf.DUMMYFUNCTION("""COMPUTED_VALUE"""),1)</f>
        <v>1</v>
      </c>
      <c r="B152" s="67"/>
      <c r="C152" s="66">
        <f ca="1">IFERROR(__xludf.DUMMYFUNCTION("""COMPUTED_VALUE"""),23)</f>
        <v>23</v>
      </c>
      <c r="D152" s="67"/>
      <c r="E152" s="67" t="str">
        <f ca="1">IFERROR(__xludf.DUMMYFUNCTION("""COMPUTED_VALUE"""),"BR2304")</f>
        <v>BR2304</v>
      </c>
      <c r="F152" s="69" t="str">
        <f ca="1">IFERROR(__xludf.DUMMYFUNCTION("""COMPUTED_VALUE"""),"Process each courier status update on a supplier order")</f>
        <v>Process each courier status update on a supplier order</v>
      </c>
      <c r="G152" s="67"/>
      <c r="H152" s="78" t="e">
        <f ca="1">'Key Design Decisions'!$A$19</f>
        <v>#NAME?</v>
      </c>
      <c r="I152" s="70"/>
      <c r="J152" s="71" t="e">
        <f ca="1"/>
        <v>#NAME?</v>
      </c>
      <c r="K152" s="71" t="e">
        <f ca="1"/>
        <v>#NAME?</v>
      </c>
      <c r="L152" s="72" t="e">
        <f ca="1"/>
        <v>#NAME?</v>
      </c>
      <c r="M152" s="72" t="e">
        <f ca="1"/>
        <v>#NAME?</v>
      </c>
      <c r="N152" s="42"/>
      <c r="O152" s="42"/>
      <c r="P152" s="42"/>
      <c r="Q152" s="42"/>
      <c r="R152" s="42"/>
      <c r="S152" s="42"/>
      <c r="T152" s="42"/>
      <c r="U152" s="42"/>
      <c r="V152" s="42"/>
      <c r="W152" s="42"/>
      <c r="X152" s="42"/>
      <c r="Y152" s="42"/>
      <c r="Z152" s="42"/>
      <c r="AA152" s="42"/>
      <c r="AB152" s="42"/>
      <c r="AC152" s="42"/>
    </row>
    <row r="153" spans="1:29" x14ac:dyDescent="0.25">
      <c r="A153" s="73">
        <f ca="1">IFERROR(__xludf.DUMMYFUNCTION("""COMPUTED_VALUE"""),1)</f>
        <v>1</v>
      </c>
      <c r="B153" s="74"/>
      <c r="C153" s="73">
        <f ca="1">IFERROR(__xludf.DUMMYFUNCTION("""COMPUTED_VALUE"""),23)</f>
        <v>23</v>
      </c>
      <c r="D153" s="74"/>
      <c r="E153" s="74" t="str">
        <f ca="1">IFERROR(__xludf.DUMMYFUNCTION("""COMPUTED_VALUE"""),"BR2305")</f>
        <v>BR2305</v>
      </c>
      <c r="F153" s="76" t="str">
        <f ca="1">IFERROR(__xludf.DUMMYFUNCTION("""COMPUTED_VALUE"""),"Follow-up on the incomplete fulfilment of a customer order")</f>
        <v>Follow-up on the incomplete fulfilment of a customer order</v>
      </c>
      <c r="G153" s="74"/>
      <c r="H153" s="79" t="e">
        <f ca="1">'Key Design Decisions'!$A$258</f>
        <v>#NAME?</v>
      </c>
      <c r="I153" s="79" t="e">
        <f ca="1">'Key Design Decisions'!$A$281</f>
        <v>#NAME?</v>
      </c>
      <c r="J153" s="71" t="e">
        <f ca="1"/>
        <v>#NAME?</v>
      </c>
      <c r="K153" s="71" t="e">
        <f ca="1"/>
        <v>#NAME?</v>
      </c>
      <c r="L153" s="72" t="e">
        <f ca="1"/>
        <v>#NAME?</v>
      </c>
      <c r="M153" s="72" t="e">
        <f ca="1"/>
        <v>#NAME?</v>
      </c>
      <c r="N153" s="42"/>
      <c r="O153" s="42"/>
      <c r="P153" s="42"/>
      <c r="Q153" s="42"/>
      <c r="R153" s="42"/>
      <c r="S153" s="42"/>
      <c r="T153" s="42"/>
      <c r="U153" s="42"/>
      <c r="V153" s="42"/>
      <c r="W153" s="42"/>
      <c r="X153" s="42"/>
      <c r="Y153" s="42"/>
      <c r="Z153" s="42"/>
      <c r="AA153" s="42"/>
      <c r="AB153" s="42"/>
      <c r="AC153" s="42"/>
    </row>
    <row r="154" spans="1:29" x14ac:dyDescent="0.25">
      <c r="A154" s="66">
        <f ca="1">IFERROR(__xludf.DUMMYFUNCTION("""COMPUTED_VALUE"""),1)</f>
        <v>1</v>
      </c>
      <c r="B154" s="67"/>
      <c r="C154" s="66">
        <f ca="1">IFERROR(__xludf.DUMMYFUNCTION("""COMPUTED_VALUE"""),23)</f>
        <v>23</v>
      </c>
      <c r="D154" s="67"/>
      <c r="E154" s="67" t="str">
        <f ca="1">IFERROR(__xludf.DUMMYFUNCTION("""COMPUTED_VALUE"""),"BR2306")</f>
        <v>BR2306</v>
      </c>
      <c r="F154" s="69" t="str">
        <f ca="1">IFERROR(__xludf.DUMMYFUNCTION("""COMPUTED_VALUE"""),"Cancel a supplier order")</f>
        <v>Cancel a supplier order</v>
      </c>
      <c r="G154" s="67"/>
      <c r="H154" s="78" t="e">
        <f ca="1">'Key Design Decisions'!$A$258</f>
        <v>#NAME?</v>
      </c>
      <c r="I154" s="78" t="e">
        <f ca="1">'Key Design Decisions'!$A$281</f>
        <v>#NAME?</v>
      </c>
      <c r="J154" s="71" t="e">
        <f ca="1"/>
        <v>#NAME?</v>
      </c>
      <c r="K154" s="71" t="e">
        <f ca="1"/>
        <v>#NAME?</v>
      </c>
      <c r="L154" s="72" t="e">
        <f ca="1"/>
        <v>#NAME?</v>
      </c>
      <c r="M154" s="72" t="e">
        <f ca="1"/>
        <v>#NAME?</v>
      </c>
      <c r="N154" s="42"/>
      <c r="O154" s="42"/>
      <c r="P154" s="42"/>
      <c r="Q154" s="42"/>
      <c r="R154" s="42"/>
      <c r="S154" s="42"/>
      <c r="T154" s="42"/>
      <c r="U154" s="42"/>
      <c r="V154" s="42"/>
      <c r="W154" s="42"/>
      <c r="X154" s="42"/>
      <c r="Y154" s="42"/>
      <c r="Z154" s="42"/>
      <c r="AA154" s="42"/>
      <c r="AB154" s="42"/>
      <c r="AC154" s="42"/>
    </row>
    <row r="155" spans="1:29" x14ac:dyDescent="0.25">
      <c r="A155" s="73">
        <f ca="1">IFERROR(__xludf.DUMMYFUNCTION("""COMPUTED_VALUE"""),1)</f>
        <v>1</v>
      </c>
      <c r="B155" s="74"/>
      <c r="C155" s="73">
        <f ca="1">IFERROR(__xludf.DUMMYFUNCTION("""COMPUTED_VALUE"""),23)</f>
        <v>23</v>
      </c>
      <c r="D155" s="74"/>
      <c r="E155" s="74" t="str">
        <f ca="1">IFERROR(__xludf.DUMMYFUNCTION("""COMPUTED_VALUE"""),"BR2307")</f>
        <v>BR2307</v>
      </c>
      <c r="F155" s="76" t="str">
        <f ca="1">IFERROR(__xludf.DUMMYFUNCTION("""COMPUTED_VALUE"""),"Refund customer order")</f>
        <v>Refund customer order</v>
      </c>
      <c r="G155" s="74"/>
      <c r="H155" s="79" t="e">
        <f ca="1">'Key Design Decisions'!$A$274</f>
        <v>#NAME?</v>
      </c>
      <c r="I155" s="79" t="e">
        <f ca="1">'Key Design Decisions'!$A$281</f>
        <v>#NAME?</v>
      </c>
      <c r="J155" s="71" t="e">
        <f ca="1"/>
        <v>#NAME?</v>
      </c>
      <c r="K155" s="71" t="e">
        <f ca="1"/>
        <v>#NAME?</v>
      </c>
      <c r="L155" s="72" t="e">
        <f ca="1"/>
        <v>#NAME?</v>
      </c>
      <c r="M155" s="72" t="e">
        <f ca="1"/>
        <v>#NAME?</v>
      </c>
      <c r="N155" s="42"/>
      <c r="O155" s="42"/>
      <c r="P155" s="42"/>
      <c r="Q155" s="42"/>
      <c r="R155" s="42"/>
      <c r="S155" s="42"/>
      <c r="T155" s="42"/>
      <c r="U155" s="42"/>
      <c r="V155" s="42"/>
      <c r="W155" s="42"/>
      <c r="X155" s="42"/>
      <c r="Y155" s="42"/>
      <c r="Z155" s="42"/>
      <c r="AA155" s="42"/>
      <c r="AB155" s="42"/>
      <c r="AC155" s="42"/>
    </row>
    <row r="156" spans="1:29" x14ac:dyDescent="0.25">
      <c r="A156" s="66">
        <f ca="1">IFERROR(__xludf.DUMMYFUNCTION("""COMPUTED_VALUE"""),1)</f>
        <v>1</v>
      </c>
      <c r="B156" s="67"/>
      <c r="C156" s="66">
        <f ca="1">IFERROR(__xludf.DUMMYFUNCTION("""COMPUTED_VALUE"""),24)</f>
        <v>24</v>
      </c>
      <c r="D156" s="67" t="str">
        <f ca="1">IFERROR(__xludf.DUMMYFUNCTION("""COMPUTED_VALUE"""),"24 Customer Returns Management")</f>
        <v>24 Customer Returns Management</v>
      </c>
      <c r="E156" s="67" t="str">
        <f ca="1">IFERROR(__xludf.DUMMYFUNCTION("""COMPUTED_VALUE"""),"ReqID")</f>
        <v>ReqID</v>
      </c>
      <c r="F156" s="69" t="str">
        <f ca="1">IFERROR(__xludf.DUMMYFUNCTION("""COMPUTED_VALUE"""),"Requirement")</f>
        <v>Requirement</v>
      </c>
      <c r="G156" s="67"/>
      <c r="H156" s="70"/>
      <c r="I156" s="70"/>
      <c r="J156" s="71" t="str">
        <f ca="1"/>
        <v/>
      </c>
      <c r="K156" s="71" t="str">
        <f ca="1"/>
        <v/>
      </c>
      <c r="L156" s="72" t="str">
        <f ca="1"/>
        <v/>
      </c>
      <c r="M156" s="72" t="str">
        <f ca="1"/>
        <v/>
      </c>
      <c r="N156" s="42"/>
      <c r="O156" s="42"/>
      <c r="P156" s="42"/>
      <c r="Q156" s="42"/>
      <c r="R156" s="42"/>
      <c r="S156" s="42"/>
      <c r="T156" s="42"/>
      <c r="U156" s="42"/>
      <c r="V156" s="42"/>
      <c r="W156" s="42"/>
      <c r="X156" s="42"/>
      <c r="Y156" s="42"/>
      <c r="Z156" s="42"/>
      <c r="AA156" s="42"/>
      <c r="AB156" s="42"/>
      <c r="AC156" s="42"/>
    </row>
    <row r="157" spans="1:29" x14ac:dyDescent="0.25">
      <c r="A157" s="73">
        <f ca="1">IFERROR(__xludf.DUMMYFUNCTION("""COMPUTED_VALUE"""),1)</f>
        <v>1</v>
      </c>
      <c r="B157" s="74"/>
      <c r="C157" s="73">
        <f ca="1">IFERROR(__xludf.DUMMYFUNCTION("""COMPUTED_VALUE"""),24)</f>
        <v>24</v>
      </c>
      <c r="D157" s="74"/>
      <c r="E157" s="74" t="str">
        <f ca="1">IFERROR(__xludf.DUMMYFUNCTION("""COMPUTED_VALUE"""),"BR2401")</f>
        <v>BR2401</v>
      </c>
      <c r="F157" s="76" t="str">
        <f ca="1">IFERROR(__xludf.DUMMYFUNCTION("""COMPUTED_VALUE"""),"Review customer return request")</f>
        <v>Review customer return request</v>
      </c>
      <c r="G157" s="74"/>
      <c r="H157" s="79" t="e">
        <f ca="1">'Key Design Decisions'!$A$244</f>
        <v>#NAME?</v>
      </c>
      <c r="I157" s="77"/>
      <c r="J157" s="71" t="e">
        <f ca="1"/>
        <v>#NAME?</v>
      </c>
      <c r="K157" s="71" t="e">
        <f ca="1"/>
        <v>#NAME?</v>
      </c>
      <c r="L157" s="72" t="e">
        <f ca="1"/>
        <v>#NAME?</v>
      </c>
      <c r="M157" s="72" t="e">
        <f ca="1"/>
        <v>#NAME?</v>
      </c>
      <c r="N157" s="42"/>
      <c r="O157" s="42"/>
      <c r="P157" s="42"/>
      <c r="Q157" s="42"/>
      <c r="R157" s="42"/>
      <c r="S157" s="42"/>
      <c r="T157" s="42"/>
      <c r="U157" s="42"/>
      <c r="V157" s="42"/>
      <c r="W157" s="42"/>
      <c r="X157" s="42"/>
      <c r="Y157" s="42"/>
      <c r="Z157" s="42"/>
      <c r="AA157" s="42"/>
      <c r="AB157" s="42"/>
      <c r="AC157" s="42"/>
    </row>
    <row r="158" spans="1:29" x14ac:dyDescent="0.25">
      <c r="A158" s="66">
        <f ca="1">IFERROR(__xludf.DUMMYFUNCTION("""COMPUTED_VALUE"""),1)</f>
        <v>1</v>
      </c>
      <c r="B158" s="67"/>
      <c r="C158" s="66">
        <f ca="1">IFERROR(__xludf.DUMMYFUNCTION("""COMPUTED_VALUE"""),24)</f>
        <v>24</v>
      </c>
      <c r="D158" s="67"/>
      <c r="E158" s="67" t="str">
        <f ca="1">IFERROR(__xludf.DUMMYFUNCTION("""COMPUTED_VALUE"""),"BR2402")</f>
        <v>BR2402</v>
      </c>
      <c r="F158" s="69" t="str">
        <f ca="1">IFERROR(__xludf.DUMMYFUNCTION("""COMPUTED_VALUE"""),"Submit a supplier return for an approved return request to the relevant supplier")</f>
        <v>Submit a supplier return for an approved return request to the relevant supplier</v>
      </c>
      <c r="G158" s="67"/>
      <c r="H158" s="78" t="e">
        <f ca="1">'Key Design Decisions'!$A$244</f>
        <v>#NAME?</v>
      </c>
      <c r="I158" s="78" t="e">
        <f ca="1">'Key Design Decisions'!$A$108</f>
        <v>#NAME?</v>
      </c>
      <c r="J158" s="71" t="e">
        <f ca="1"/>
        <v>#NAME?</v>
      </c>
      <c r="K158" s="71" t="e">
        <f ca="1"/>
        <v>#NAME?</v>
      </c>
      <c r="L158" s="72" t="e">
        <f ca="1"/>
        <v>#NAME?</v>
      </c>
      <c r="M158" s="72" t="e">
        <f ca="1"/>
        <v>#NAME?</v>
      </c>
      <c r="N158" s="42"/>
      <c r="O158" s="42"/>
      <c r="P158" s="42"/>
      <c r="Q158" s="42"/>
      <c r="R158" s="42"/>
      <c r="S158" s="42"/>
      <c r="T158" s="42"/>
      <c r="U158" s="42"/>
      <c r="V158" s="42"/>
      <c r="W158" s="42"/>
      <c r="X158" s="42"/>
      <c r="Y158" s="42"/>
      <c r="Z158" s="42"/>
      <c r="AA158" s="42"/>
      <c r="AB158" s="42"/>
      <c r="AC158" s="42"/>
    </row>
    <row r="159" spans="1:29" x14ac:dyDescent="0.25">
      <c r="A159" s="73">
        <f ca="1">IFERROR(__xludf.DUMMYFUNCTION("""COMPUTED_VALUE"""),1)</f>
        <v>1</v>
      </c>
      <c r="B159" s="74"/>
      <c r="C159" s="73">
        <f ca="1">IFERROR(__xludf.DUMMYFUNCTION("""COMPUTED_VALUE"""),24)</f>
        <v>24</v>
      </c>
      <c r="D159" s="74"/>
      <c r="E159" s="74" t="str">
        <f ca="1">IFERROR(__xludf.DUMMYFUNCTION("""COMPUTED_VALUE"""),"BR2403")</f>
        <v>BR2403</v>
      </c>
      <c r="F159" s="76" t="str">
        <f ca="1">IFERROR(__xludf.DUMMYFUNCTION("""COMPUTED_VALUE"""),"Process each supplier status update on return request")</f>
        <v>Process each supplier status update on return request</v>
      </c>
      <c r="G159" s="74"/>
      <c r="H159" s="79" t="e">
        <f ca="1">'Key Design Decisions'!$A$19</f>
        <v>#NAME?</v>
      </c>
      <c r="I159" s="79" t="e">
        <f ca="1">'Key Design Decisions'!$A$88</f>
        <v>#NAME?</v>
      </c>
      <c r="J159" s="71" t="e">
        <f ca="1"/>
        <v>#NAME?</v>
      </c>
      <c r="K159" s="71" t="e">
        <f ca="1"/>
        <v>#NAME?</v>
      </c>
      <c r="L159" s="72" t="e">
        <f ca="1"/>
        <v>#NAME?</v>
      </c>
      <c r="M159" s="72" t="e">
        <f ca="1"/>
        <v>#NAME?</v>
      </c>
      <c r="N159" s="42"/>
      <c r="O159" s="42"/>
      <c r="P159" s="42"/>
      <c r="Q159" s="42"/>
      <c r="R159" s="42"/>
      <c r="S159" s="42"/>
      <c r="T159" s="42"/>
      <c r="U159" s="42"/>
      <c r="V159" s="42"/>
      <c r="W159" s="42"/>
      <c r="X159" s="42"/>
      <c r="Y159" s="42"/>
      <c r="Z159" s="42"/>
      <c r="AA159" s="42"/>
      <c r="AB159" s="42"/>
      <c r="AC159" s="42"/>
    </row>
    <row r="160" spans="1:29" x14ac:dyDescent="0.25">
      <c r="A160" s="66">
        <f ca="1">IFERROR(__xludf.DUMMYFUNCTION("""COMPUTED_VALUE"""),1)</f>
        <v>1</v>
      </c>
      <c r="B160" s="67"/>
      <c r="C160" s="66">
        <f ca="1">IFERROR(__xludf.DUMMYFUNCTION("""COMPUTED_VALUE"""),24)</f>
        <v>24</v>
      </c>
      <c r="D160" s="67"/>
      <c r="E160" s="67" t="str">
        <f ca="1">IFERROR(__xludf.DUMMYFUNCTION("""COMPUTED_VALUE"""),"BR2404")</f>
        <v>BR2404</v>
      </c>
      <c r="F160" s="69" t="str">
        <f ca="1">IFERROR(__xludf.DUMMYFUNCTION("""COMPUTED_VALUE"""),"Submit each supplier return request to the courier for collection")</f>
        <v>Submit each supplier return request to the courier for collection</v>
      </c>
      <c r="G160" s="67"/>
      <c r="H160" s="78" t="e">
        <f ca="1">'Key Design Decisions'!$A$104</f>
        <v>#NAME?</v>
      </c>
      <c r="I160" s="78" t="e">
        <f ca="1">'Key Design Decisions'!$A$288</f>
        <v>#NAME?</v>
      </c>
      <c r="J160" s="71" t="e">
        <f ca="1"/>
        <v>#NAME?</v>
      </c>
      <c r="K160" s="71" t="e">
        <f ca="1"/>
        <v>#NAME?</v>
      </c>
      <c r="L160" s="72" t="e">
        <f ca="1"/>
        <v>#NAME?</v>
      </c>
      <c r="M160" s="72" t="e">
        <f ca="1"/>
        <v>#NAME?</v>
      </c>
      <c r="N160" s="42"/>
      <c r="O160" s="42"/>
      <c r="P160" s="42"/>
      <c r="Q160" s="42"/>
      <c r="R160" s="42"/>
      <c r="S160" s="42"/>
      <c r="T160" s="42"/>
      <c r="U160" s="42"/>
      <c r="V160" s="42"/>
      <c r="W160" s="42"/>
      <c r="X160" s="42"/>
      <c r="Y160" s="42"/>
      <c r="Z160" s="42"/>
      <c r="AA160" s="42"/>
      <c r="AB160" s="42"/>
      <c r="AC160" s="42"/>
    </row>
    <row r="161" spans="1:29" x14ac:dyDescent="0.25">
      <c r="A161" s="73">
        <f ca="1">IFERROR(__xludf.DUMMYFUNCTION("""COMPUTED_VALUE"""),1)</f>
        <v>1</v>
      </c>
      <c r="B161" s="74"/>
      <c r="C161" s="73">
        <f ca="1">IFERROR(__xludf.DUMMYFUNCTION("""COMPUTED_VALUE"""),24)</f>
        <v>24</v>
      </c>
      <c r="D161" s="74"/>
      <c r="E161" s="74" t="str">
        <f ca="1">IFERROR(__xludf.DUMMYFUNCTION("""COMPUTED_VALUE"""),"BR2405")</f>
        <v>BR2405</v>
      </c>
      <c r="F161" s="76" t="str">
        <f ca="1">IFERROR(__xludf.DUMMYFUNCTION("""COMPUTED_VALUE"""),"Process each courier status update on a return request")</f>
        <v>Process each courier status update on a return request</v>
      </c>
      <c r="G161" s="74"/>
      <c r="H161" s="79" t="e">
        <f ca="1">'Key Design Decisions'!$A$19</f>
        <v>#NAME?</v>
      </c>
      <c r="I161" s="77"/>
      <c r="J161" s="71" t="e">
        <f ca="1"/>
        <v>#NAME?</v>
      </c>
      <c r="K161" s="71" t="e">
        <f ca="1"/>
        <v>#NAME?</v>
      </c>
      <c r="L161" s="72" t="e">
        <f ca="1"/>
        <v>#NAME?</v>
      </c>
      <c r="M161" s="72" t="e">
        <f ca="1"/>
        <v>#NAME?</v>
      </c>
      <c r="N161" s="42"/>
      <c r="O161" s="42"/>
      <c r="P161" s="42"/>
      <c r="Q161" s="42"/>
      <c r="R161" s="42"/>
      <c r="S161" s="42"/>
      <c r="T161" s="42"/>
      <c r="U161" s="42"/>
      <c r="V161" s="42"/>
      <c r="W161" s="42"/>
      <c r="X161" s="42"/>
      <c r="Y161" s="42"/>
      <c r="Z161" s="42"/>
      <c r="AA161" s="42"/>
      <c r="AB161" s="42"/>
      <c r="AC161" s="42"/>
    </row>
    <row r="162" spans="1:29" x14ac:dyDescent="0.25">
      <c r="A162" s="66">
        <f ca="1">IFERROR(__xludf.DUMMYFUNCTION("""COMPUTED_VALUE"""),1)</f>
        <v>1</v>
      </c>
      <c r="B162" s="67"/>
      <c r="C162" s="66">
        <f ca="1">IFERROR(__xludf.DUMMYFUNCTION("""COMPUTED_VALUE"""),24)</f>
        <v>24</v>
      </c>
      <c r="D162" s="67"/>
      <c r="E162" s="67" t="str">
        <f ca="1">IFERROR(__xludf.DUMMYFUNCTION("""COMPUTED_VALUE"""),"BR2406")</f>
        <v>BR2406</v>
      </c>
      <c r="F162" s="69" t="str">
        <f ca="1">IFERROR(__xludf.DUMMYFUNCTION("""COMPUTED_VALUE"""),"Follow-up on the incomplete fulfilment of a customer return request")</f>
        <v>Follow-up on the incomplete fulfilment of a customer return request</v>
      </c>
      <c r="G162" s="67"/>
      <c r="H162" s="78" t="e">
        <f ca="1">'Key Design Decisions'!$A$251</f>
        <v>#NAME?</v>
      </c>
      <c r="I162" s="78" t="e">
        <f ca="1">'Key Design Decisions'!$A$281</f>
        <v>#NAME?</v>
      </c>
      <c r="J162" s="71" t="e">
        <f ca="1"/>
        <v>#NAME?</v>
      </c>
      <c r="K162" s="71" t="e">
        <f ca="1"/>
        <v>#NAME?</v>
      </c>
      <c r="L162" s="72" t="e">
        <f ca="1"/>
        <v>#NAME?</v>
      </c>
      <c r="M162" s="72" t="e">
        <f ca="1"/>
        <v>#NAME?</v>
      </c>
      <c r="N162" s="42"/>
      <c r="O162" s="42"/>
      <c r="P162" s="42"/>
      <c r="Q162" s="42"/>
      <c r="R162" s="42"/>
      <c r="S162" s="42"/>
      <c r="T162" s="42"/>
      <c r="U162" s="42"/>
      <c r="V162" s="42"/>
      <c r="W162" s="42"/>
      <c r="X162" s="42"/>
      <c r="Y162" s="42"/>
      <c r="Z162" s="42"/>
      <c r="AA162" s="42"/>
      <c r="AB162" s="42"/>
      <c r="AC162" s="42"/>
    </row>
    <row r="163" spans="1:29" x14ac:dyDescent="0.25">
      <c r="A163" s="73">
        <f ca="1">IFERROR(__xludf.DUMMYFUNCTION("""COMPUTED_VALUE"""),1)</f>
        <v>1</v>
      </c>
      <c r="B163" s="74"/>
      <c r="C163" s="73">
        <f ca="1">IFERROR(__xludf.DUMMYFUNCTION("""COMPUTED_VALUE"""),25)</f>
        <v>25</v>
      </c>
      <c r="D163" s="74" t="str">
        <f ca="1">IFERROR(__xludf.DUMMYFUNCTION("""COMPUTED_VALUE"""),"25 Customer Contact Management")</f>
        <v>25 Customer Contact Management</v>
      </c>
      <c r="E163" s="74" t="str">
        <f ca="1">IFERROR(__xludf.DUMMYFUNCTION("""COMPUTED_VALUE"""),"ReqID")</f>
        <v>ReqID</v>
      </c>
      <c r="F163" s="76" t="str">
        <f ca="1">IFERROR(__xludf.DUMMYFUNCTION("""COMPUTED_VALUE"""),"Requirement")</f>
        <v>Requirement</v>
      </c>
      <c r="G163" s="74"/>
      <c r="H163" s="77"/>
      <c r="I163" s="77"/>
      <c r="J163" s="71" t="str">
        <f ca="1"/>
        <v/>
      </c>
      <c r="K163" s="71" t="str">
        <f ca="1"/>
        <v/>
      </c>
      <c r="L163" s="72" t="str">
        <f ca="1"/>
        <v/>
      </c>
      <c r="M163" s="72" t="str">
        <f ca="1"/>
        <v/>
      </c>
      <c r="N163" s="42"/>
      <c r="O163" s="42"/>
      <c r="P163" s="42"/>
      <c r="Q163" s="42"/>
      <c r="R163" s="42"/>
      <c r="S163" s="42"/>
      <c r="T163" s="42"/>
      <c r="U163" s="42"/>
      <c r="V163" s="42"/>
      <c r="W163" s="42"/>
      <c r="X163" s="42"/>
      <c r="Y163" s="42"/>
      <c r="Z163" s="42"/>
      <c r="AA163" s="42"/>
      <c r="AB163" s="42"/>
      <c r="AC163" s="42"/>
    </row>
    <row r="164" spans="1:29" x14ac:dyDescent="0.25">
      <c r="A164" s="66">
        <f ca="1">IFERROR(__xludf.DUMMYFUNCTION("""COMPUTED_VALUE"""),1)</f>
        <v>1</v>
      </c>
      <c r="B164" s="67"/>
      <c r="C164" s="66">
        <f ca="1">IFERROR(__xludf.DUMMYFUNCTION("""COMPUTED_VALUE"""),25)</f>
        <v>25</v>
      </c>
      <c r="D164" s="67"/>
      <c r="E164" s="67" t="str">
        <f ca="1">IFERROR(__xludf.DUMMYFUNCTION("""COMPUTED_VALUE"""),"BR2501")</f>
        <v>BR2501</v>
      </c>
      <c r="F164" s="69" t="str">
        <f ca="1">IFERROR(__xludf.DUMMYFUNCTION("""COMPUTED_VALUE"""),"Provide a central customer contact management capability")</f>
        <v>Provide a central customer contact management capability</v>
      </c>
      <c r="G164" s="67"/>
      <c r="H164" s="78" t="e">
        <f ca="1">'Key Design Decisions'!$A$230</f>
        <v>#NAME?</v>
      </c>
      <c r="I164" s="70"/>
      <c r="J164" s="71" t="e">
        <f ca="1"/>
        <v>#NAME?</v>
      </c>
      <c r="K164" s="71" t="e">
        <f ca="1"/>
        <v>#NAME?</v>
      </c>
      <c r="L164" s="72" t="e">
        <f ca="1"/>
        <v>#NAME?</v>
      </c>
      <c r="M164" s="72" t="e">
        <f ca="1"/>
        <v>#NAME?</v>
      </c>
      <c r="N164" s="42"/>
      <c r="O164" s="42"/>
      <c r="P164" s="42"/>
      <c r="Q164" s="42"/>
      <c r="R164" s="42"/>
      <c r="S164" s="42"/>
      <c r="T164" s="42"/>
      <c r="U164" s="42"/>
      <c r="V164" s="42"/>
      <c r="W164" s="42"/>
      <c r="X164" s="42"/>
      <c r="Y164" s="42"/>
      <c r="Z164" s="42"/>
      <c r="AA164" s="42"/>
      <c r="AB164" s="42"/>
      <c r="AC164" s="42"/>
    </row>
    <row r="165" spans="1:29" x14ac:dyDescent="0.25">
      <c r="A165" s="73">
        <f ca="1">IFERROR(__xludf.DUMMYFUNCTION("""COMPUTED_VALUE"""),1)</f>
        <v>1</v>
      </c>
      <c r="B165" s="74"/>
      <c r="C165" s="73">
        <f ca="1">IFERROR(__xludf.DUMMYFUNCTION("""COMPUTED_VALUE"""),25)</f>
        <v>25</v>
      </c>
      <c r="D165" s="74"/>
      <c r="E165" s="74" t="str">
        <f ca="1">IFERROR(__xludf.DUMMYFUNCTION("""COMPUTED_VALUE"""),"BR2502")</f>
        <v>BR2502</v>
      </c>
      <c r="F165" s="76" t="str">
        <f ca="1">IFERROR(__xludf.DUMMYFUNCTION("""COMPUTED_VALUE"""),"Provide a central contact centre capability")</f>
        <v>Provide a central contact centre capability</v>
      </c>
      <c r="G165" s="74"/>
      <c r="H165" s="79" t="e">
        <f ca="1">'Key Design Decisions'!$A$223</f>
        <v>#NAME?</v>
      </c>
      <c r="I165" s="77"/>
      <c r="J165" s="71" t="e">
        <f ca="1"/>
        <v>#NAME?</v>
      </c>
      <c r="K165" s="71" t="e">
        <f ca="1"/>
        <v>#NAME?</v>
      </c>
      <c r="L165" s="72" t="e">
        <f ca="1"/>
        <v>#NAME?</v>
      </c>
      <c r="M165" s="72" t="e">
        <f ca="1"/>
        <v>#NAME?</v>
      </c>
      <c r="N165" s="42"/>
      <c r="O165" s="42"/>
      <c r="P165" s="42"/>
      <c r="Q165" s="42"/>
      <c r="R165" s="42"/>
      <c r="S165" s="42"/>
      <c r="T165" s="42"/>
      <c r="U165" s="42"/>
      <c r="V165" s="42"/>
      <c r="W165" s="42"/>
      <c r="X165" s="42"/>
      <c r="Y165" s="42"/>
      <c r="Z165" s="42"/>
      <c r="AA165" s="42"/>
      <c r="AB165" s="42"/>
      <c r="AC165" s="42"/>
    </row>
    <row r="166" spans="1:29" x14ac:dyDescent="0.25">
      <c r="A166" s="66">
        <f ca="1">IFERROR(__xludf.DUMMYFUNCTION("""COMPUTED_VALUE"""),1)</f>
        <v>1</v>
      </c>
      <c r="B166" s="67"/>
      <c r="C166" s="66">
        <f ca="1">IFERROR(__xludf.DUMMYFUNCTION("""COMPUTED_VALUE"""),26)</f>
        <v>26</v>
      </c>
      <c r="D166" s="67" t="str">
        <f ca="1">IFERROR(__xludf.DUMMYFUNCTION("""COMPUTED_VALUE"""),"26 End-to-end Statistics")</f>
        <v>26 End-to-end Statistics</v>
      </c>
      <c r="E166" s="67" t="str">
        <f ca="1">IFERROR(__xludf.DUMMYFUNCTION("""COMPUTED_VALUE"""),"ReqID")</f>
        <v>ReqID</v>
      </c>
      <c r="F166" s="69" t="str">
        <f ca="1">IFERROR(__xludf.DUMMYFUNCTION("""COMPUTED_VALUE"""),"Requirement")</f>
        <v>Requirement</v>
      </c>
      <c r="G166" s="67"/>
      <c r="H166" s="70"/>
      <c r="I166" s="70"/>
      <c r="J166" s="71" t="str">
        <f ca="1"/>
        <v/>
      </c>
      <c r="K166" s="71" t="str">
        <f ca="1"/>
        <v/>
      </c>
      <c r="L166" s="72" t="str">
        <f ca="1"/>
        <v/>
      </c>
      <c r="M166" s="72" t="str">
        <f ca="1"/>
        <v/>
      </c>
      <c r="N166" s="42"/>
      <c r="O166" s="42"/>
      <c r="P166" s="42"/>
      <c r="Q166" s="42"/>
      <c r="R166" s="42"/>
      <c r="S166" s="42"/>
      <c r="T166" s="42"/>
      <c r="U166" s="42"/>
      <c r="V166" s="42"/>
      <c r="W166" s="42"/>
      <c r="X166" s="42"/>
      <c r="Y166" s="42"/>
      <c r="Z166" s="42"/>
      <c r="AA166" s="42"/>
      <c r="AB166" s="42"/>
      <c r="AC166" s="42"/>
    </row>
    <row r="167" spans="1:29" x14ac:dyDescent="0.25">
      <c r="A167" s="73">
        <f ca="1">IFERROR(__xludf.DUMMYFUNCTION("""COMPUTED_VALUE"""),1)</f>
        <v>1</v>
      </c>
      <c r="B167" s="74"/>
      <c r="C167" s="73">
        <f ca="1">IFERROR(__xludf.DUMMYFUNCTION("""COMPUTED_VALUE"""),26)</f>
        <v>26</v>
      </c>
      <c r="D167" s="74"/>
      <c r="E167" s="74" t="str">
        <f ca="1">IFERROR(__xludf.DUMMYFUNCTION("""COMPUTED_VALUE"""),"BR2601")</f>
        <v>BR2601</v>
      </c>
      <c r="F167" s="76" t="str">
        <f ca="1">IFERROR(__xludf.DUMMYFUNCTION("""COMPUTED_VALUE"""),"Record advertisement related activity")</f>
        <v>Record advertisement related activity</v>
      </c>
      <c r="G167" s="74"/>
      <c r="H167" s="79" t="e">
        <f ca="1">'Key Design Decisions'!$A$296</f>
        <v>#NAME?</v>
      </c>
      <c r="I167" s="79" t="e">
        <f ca="1">'Key Design Decisions'!$A$303</f>
        <v>#NAME?</v>
      </c>
      <c r="J167" s="71" t="e">
        <f ca="1"/>
        <v>#NAME?</v>
      </c>
      <c r="K167" s="71" t="e">
        <f ca="1"/>
        <v>#NAME?</v>
      </c>
      <c r="L167" s="72" t="e">
        <f ca="1"/>
        <v>#NAME?</v>
      </c>
      <c r="M167" s="72" t="e">
        <f ca="1"/>
        <v>#NAME?</v>
      </c>
      <c r="N167" s="42"/>
      <c r="O167" s="42"/>
      <c r="P167" s="42"/>
      <c r="Q167" s="42"/>
      <c r="R167" s="42"/>
      <c r="S167" s="42"/>
      <c r="T167" s="42"/>
      <c r="U167" s="42"/>
      <c r="V167" s="42"/>
      <c r="W167" s="42"/>
      <c r="X167" s="42"/>
      <c r="Y167" s="42"/>
      <c r="Z167" s="42"/>
      <c r="AA167" s="42"/>
      <c r="AB167" s="42"/>
      <c r="AC167" s="42"/>
    </row>
    <row r="168" spans="1:29" x14ac:dyDescent="0.25">
      <c r="A168" s="66">
        <f ca="1">IFERROR(__xludf.DUMMYFUNCTION("""COMPUTED_VALUE"""),1)</f>
        <v>1</v>
      </c>
      <c r="B168" s="67"/>
      <c r="C168" s="66">
        <f ca="1">IFERROR(__xludf.DUMMYFUNCTION("""COMPUTED_VALUE"""),26)</f>
        <v>26</v>
      </c>
      <c r="D168" s="67"/>
      <c r="E168" s="67" t="str">
        <f ca="1">IFERROR(__xludf.DUMMYFUNCTION("""COMPUTED_VALUE"""),"BR2602")</f>
        <v>BR2602</v>
      </c>
      <c r="F168" s="69" t="str">
        <f ca="1">IFERROR(__xludf.DUMMYFUNCTION("""COMPUTED_VALUE"""),"Record product related activity")</f>
        <v>Record product related activity</v>
      </c>
      <c r="G168" s="67"/>
      <c r="H168" s="78" t="e">
        <f ca="1">'Key Design Decisions'!$A$296</f>
        <v>#NAME?</v>
      </c>
      <c r="I168" s="70"/>
      <c r="J168" s="71" t="e">
        <f ca="1"/>
        <v>#NAME?</v>
      </c>
      <c r="K168" s="71" t="e">
        <f ca="1"/>
        <v>#NAME?</v>
      </c>
      <c r="L168" s="72" t="e">
        <f ca="1"/>
        <v>#NAME?</v>
      </c>
      <c r="M168" s="72" t="e">
        <f ca="1"/>
        <v>#NAME?</v>
      </c>
      <c r="N168" s="42"/>
      <c r="O168" s="42"/>
      <c r="P168" s="42"/>
      <c r="Q168" s="42"/>
      <c r="R168" s="42"/>
      <c r="S168" s="42"/>
      <c r="T168" s="42"/>
      <c r="U168" s="42"/>
      <c r="V168" s="42"/>
      <c r="W168" s="42"/>
      <c r="X168" s="42"/>
      <c r="Y168" s="42"/>
      <c r="Z168" s="42"/>
      <c r="AA168" s="42"/>
      <c r="AB168" s="42"/>
      <c r="AC168" s="42"/>
    </row>
    <row r="169" spans="1:29" x14ac:dyDescent="0.25">
      <c r="A169" s="73">
        <f ca="1">IFERROR(__xludf.DUMMYFUNCTION("""COMPUTED_VALUE"""),1)</f>
        <v>1</v>
      </c>
      <c r="B169" s="74"/>
      <c r="C169" s="73">
        <f ca="1">IFERROR(__xludf.DUMMYFUNCTION("""COMPUTED_VALUE"""),26)</f>
        <v>26</v>
      </c>
      <c r="D169" s="74"/>
      <c r="E169" s="74" t="str">
        <f ca="1">IFERROR(__xludf.DUMMYFUNCTION("""COMPUTED_VALUE"""),"BR2603")</f>
        <v>BR2603</v>
      </c>
      <c r="F169" s="76" t="str">
        <f ca="1">IFERROR(__xludf.DUMMYFUNCTION("""COMPUTED_VALUE"""),"Record special content related activity")</f>
        <v>Record special content related activity</v>
      </c>
      <c r="G169" s="74"/>
      <c r="H169" s="79" t="e">
        <f ca="1">'Key Design Decisions'!$A$64</f>
        <v>#NAME?</v>
      </c>
      <c r="I169" s="77"/>
      <c r="J169" s="71" t="e">
        <f ca="1"/>
        <v>#NAME?</v>
      </c>
      <c r="K169" s="71" t="e">
        <f ca="1"/>
        <v>#NAME?</v>
      </c>
      <c r="L169" s="72" t="e">
        <f ca="1"/>
        <v>#NAME?</v>
      </c>
      <c r="M169" s="82" t="e">
        <f ca="1"/>
        <v>#NAME?</v>
      </c>
      <c r="N169" s="42"/>
      <c r="O169" s="42"/>
      <c r="P169" s="42"/>
      <c r="Q169" s="42"/>
      <c r="R169" s="42"/>
      <c r="S169" s="42"/>
      <c r="T169" s="42"/>
      <c r="U169" s="42"/>
      <c r="V169" s="42"/>
      <c r="W169" s="42"/>
      <c r="X169" s="42"/>
      <c r="Y169" s="42"/>
      <c r="Z169" s="42"/>
      <c r="AA169" s="42"/>
      <c r="AB169" s="42"/>
      <c r="AC169" s="42"/>
    </row>
    <row r="170" spans="1:29" x14ac:dyDescent="0.25">
      <c r="A170" s="66">
        <f ca="1">IFERROR(__xludf.DUMMYFUNCTION("""COMPUTED_VALUE"""),1)</f>
        <v>1</v>
      </c>
      <c r="B170" s="67"/>
      <c r="C170" s="66">
        <f ca="1">IFERROR(__xludf.DUMMYFUNCTION("""COMPUTED_VALUE"""),26)</f>
        <v>26</v>
      </c>
      <c r="D170" s="67"/>
      <c r="E170" s="67" t="str">
        <f ca="1">IFERROR(__xludf.DUMMYFUNCTION("""COMPUTED_VALUE"""),"BR2604")</f>
        <v>BR2604</v>
      </c>
      <c r="F170" s="69" t="str">
        <f ca="1">IFERROR(__xludf.DUMMYFUNCTION("""COMPUTED_VALUE"""),"Identify online shop visitors")</f>
        <v>Identify online shop visitors</v>
      </c>
      <c r="G170" s="67"/>
      <c r="H170" s="78" t="e">
        <f ca="1">'Key Design Decisions'!$A$296</f>
        <v>#NAME?</v>
      </c>
      <c r="I170" s="78" t="e">
        <f ca="1">'Key Design Decisions'!$A$158</f>
        <v>#NAME?</v>
      </c>
      <c r="J170" s="71" t="e">
        <f ca="1"/>
        <v>#NAME?</v>
      </c>
      <c r="K170" s="71" t="e">
        <f ca="1"/>
        <v>#NAME?</v>
      </c>
      <c r="L170" s="72" t="e">
        <f ca="1"/>
        <v>#NAME?</v>
      </c>
      <c r="M170" s="72" t="e">
        <f ca="1"/>
        <v>#NAME?</v>
      </c>
      <c r="N170" s="42"/>
      <c r="O170" s="42"/>
      <c r="P170" s="42"/>
      <c r="Q170" s="42"/>
      <c r="R170" s="42"/>
      <c r="S170" s="42"/>
      <c r="T170" s="42"/>
      <c r="U170" s="42"/>
      <c r="V170" s="42"/>
      <c r="W170" s="42"/>
      <c r="X170" s="42"/>
      <c r="Y170" s="42"/>
      <c r="Z170" s="42"/>
      <c r="AA170" s="42"/>
      <c r="AB170" s="42"/>
      <c r="AC170" s="42"/>
    </row>
    <row r="171" spans="1:29" x14ac:dyDescent="0.25">
      <c r="A171" s="73">
        <f ca="1">IFERROR(__xludf.DUMMYFUNCTION("""COMPUTED_VALUE"""),1)</f>
        <v>1</v>
      </c>
      <c r="B171" s="74"/>
      <c r="C171" s="73">
        <f ca="1">IFERROR(__xludf.DUMMYFUNCTION("""COMPUTED_VALUE"""),26)</f>
        <v>26</v>
      </c>
      <c r="D171" s="74"/>
      <c r="E171" s="74" t="str">
        <f ca="1">IFERROR(__xludf.DUMMYFUNCTION("""COMPUTED_VALUE"""),"BR2605")</f>
        <v>BR2605</v>
      </c>
      <c r="F171" s="76" t="str">
        <f ca="1">IFERROR(__xludf.DUMMYFUNCTION("""COMPUTED_VALUE"""),"Compile and track website activity per user")</f>
        <v>Compile and track website activity per user</v>
      </c>
      <c r="G171" s="74"/>
      <c r="H171" s="79" t="e">
        <f ca="1">'Key Design Decisions'!$A$296</f>
        <v>#NAME?</v>
      </c>
      <c r="I171" s="79" t="e">
        <f ca="1">'Key Design Decisions'!$A$158</f>
        <v>#NAME?</v>
      </c>
      <c r="J171" s="71" t="e">
        <f ca="1"/>
        <v>#NAME?</v>
      </c>
      <c r="K171" s="71" t="e">
        <f ca="1"/>
        <v>#NAME?</v>
      </c>
      <c r="L171" s="72" t="e">
        <f ca="1"/>
        <v>#NAME?</v>
      </c>
      <c r="M171" s="72" t="e">
        <f ca="1"/>
        <v>#NAME?</v>
      </c>
      <c r="N171" s="42"/>
      <c r="O171" s="42"/>
      <c r="P171" s="42"/>
      <c r="Q171" s="42"/>
      <c r="R171" s="42"/>
      <c r="S171" s="42"/>
      <c r="T171" s="42"/>
      <c r="U171" s="42"/>
      <c r="V171" s="42"/>
      <c r="W171" s="42"/>
      <c r="X171" s="42"/>
      <c r="Y171" s="42"/>
      <c r="Z171" s="42"/>
      <c r="AA171" s="42"/>
      <c r="AB171" s="42"/>
      <c r="AC171" s="42"/>
    </row>
    <row r="172" spans="1:29" x14ac:dyDescent="0.25">
      <c r="A172" s="66">
        <f ca="1">IFERROR(__xludf.DUMMYFUNCTION("""COMPUTED_VALUE"""),1)</f>
        <v>1</v>
      </c>
      <c r="B172" s="67"/>
      <c r="C172" s="66">
        <f ca="1">IFERROR(__xludf.DUMMYFUNCTION("""COMPUTED_VALUE"""),26)</f>
        <v>26</v>
      </c>
      <c r="D172" s="67"/>
      <c r="E172" s="67" t="str">
        <f ca="1">IFERROR(__xludf.DUMMYFUNCTION("""COMPUTED_VALUE"""),"BR2606")</f>
        <v>BR2606</v>
      </c>
      <c r="F172" s="69" t="str">
        <f ca="1">IFERROR(__xludf.DUMMYFUNCTION("""COMPUTED_VALUE"""),"Track meta-tag activity")</f>
        <v>Track meta-tag activity</v>
      </c>
      <c r="G172" s="67"/>
      <c r="H172" s="78" t="e">
        <f ca="1">'Key Design Decisions'!$A$296</f>
        <v>#NAME?</v>
      </c>
      <c r="I172" s="70"/>
      <c r="J172" s="71" t="e">
        <f ca="1"/>
        <v>#NAME?</v>
      </c>
      <c r="K172" s="71" t="e">
        <f ca="1"/>
        <v>#NAME?</v>
      </c>
      <c r="L172" s="72" t="e">
        <f ca="1"/>
        <v>#NAME?</v>
      </c>
      <c r="M172" s="72" t="e">
        <f ca="1"/>
        <v>#NAME?</v>
      </c>
      <c r="N172" s="42"/>
      <c r="O172" s="42"/>
      <c r="P172" s="42"/>
      <c r="Q172" s="42"/>
      <c r="R172" s="42"/>
      <c r="S172" s="42"/>
      <c r="T172" s="42"/>
      <c r="U172" s="42"/>
      <c r="V172" s="42"/>
      <c r="W172" s="42"/>
      <c r="X172" s="42"/>
      <c r="Y172" s="42"/>
      <c r="Z172" s="42"/>
      <c r="AA172" s="42"/>
      <c r="AB172" s="42"/>
      <c r="AC172" s="42"/>
    </row>
    <row r="173" spans="1:29" x14ac:dyDescent="0.25">
      <c r="A173" s="73">
        <f ca="1">IFERROR(__xludf.DUMMYFUNCTION("""COMPUTED_VALUE"""),1)</f>
        <v>1</v>
      </c>
      <c r="B173" s="74"/>
      <c r="C173" s="73">
        <f ca="1">IFERROR(__xludf.DUMMYFUNCTION("""COMPUTED_VALUE"""),26)</f>
        <v>26</v>
      </c>
      <c r="D173" s="74"/>
      <c r="E173" s="74" t="str">
        <f ca="1">IFERROR(__xludf.DUMMYFUNCTION("""COMPUTED_VALUE"""),"BR2607")</f>
        <v>BR2607</v>
      </c>
      <c r="F173" s="76" t="str">
        <f ca="1">IFERROR(__xludf.DUMMYFUNCTION("""COMPUTED_VALUE"""),"Compile and track search term activity")</f>
        <v>Compile and track search term activity</v>
      </c>
      <c r="G173" s="74"/>
      <c r="H173" s="79" t="e">
        <f ca="1">'Key Design Decisions'!$A$296</f>
        <v>#NAME?</v>
      </c>
      <c r="I173" s="77"/>
      <c r="J173" s="71" t="e">
        <f ca="1"/>
        <v>#NAME?</v>
      </c>
      <c r="K173" s="71" t="e">
        <f ca="1"/>
        <v>#NAME?</v>
      </c>
      <c r="L173" s="72" t="e">
        <f ca="1"/>
        <v>#NAME?</v>
      </c>
      <c r="M173" s="72" t="e">
        <f ca="1"/>
        <v>#NAME?</v>
      </c>
      <c r="N173" s="42"/>
      <c r="O173" s="42"/>
      <c r="P173" s="42"/>
      <c r="Q173" s="42"/>
      <c r="R173" s="42"/>
      <c r="S173" s="42"/>
      <c r="T173" s="42"/>
      <c r="U173" s="42"/>
      <c r="V173" s="42"/>
      <c r="W173" s="42"/>
      <c r="X173" s="42"/>
      <c r="Y173" s="42"/>
      <c r="Z173" s="42"/>
      <c r="AA173" s="42"/>
      <c r="AB173" s="42"/>
      <c r="AC173" s="42"/>
    </row>
    <row r="174" spans="1:29" x14ac:dyDescent="0.25">
      <c r="A174" s="66">
        <f ca="1">IFERROR(__xludf.DUMMYFUNCTION("""COMPUTED_VALUE"""),1)</f>
        <v>1</v>
      </c>
      <c r="B174" s="67"/>
      <c r="C174" s="66">
        <f ca="1">IFERROR(__xludf.DUMMYFUNCTION("""COMPUTED_VALUE"""),26)</f>
        <v>26</v>
      </c>
      <c r="D174" s="67"/>
      <c r="E174" s="67" t="str">
        <f ca="1">IFERROR(__xludf.DUMMYFUNCTION("""COMPUTED_VALUE"""),"BR2608")</f>
        <v>BR2608</v>
      </c>
      <c r="F174" s="69" t="str">
        <f ca="1">IFERROR(__xludf.DUMMYFUNCTION("""COMPUTED_VALUE"""),"Track customer preferences")</f>
        <v>Track customer preferences</v>
      </c>
      <c r="G174" s="67"/>
      <c r="H174" s="78" t="e">
        <f ca="1">'Key Design Decisions'!$A$296</f>
        <v>#NAME?</v>
      </c>
      <c r="I174" s="78" t="e">
        <f ca="1">'Key Design Decisions'!$A$158</f>
        <v>#NAME?</v>
      </c>
      <c r="J174" s="71" t="e">
        <f ca="1"/>
        <v>#NAME?</v>
      </c>
      <c r="K174" s="71" t="e">
        <f ca="1"/>
        <v>#NAME?</v>
      </c>
      <c r="L174" s="72" t="e">
        <f ca="1"/>
        <v>#NAME?</v>
      </c>
      <c r="M174" s="72" t="e">
        <f ca="1"/>
        <v>#NAME?</v>
      </c>
      <c r="N174" s="42"/>
      <c r="O174" s="42"/>
      <c r="P174" s="42"/>
      <c r="Q174" s="42"/>
      <c r="R174" s="42"/>
      <c r="S174" s="42"/>
      <c r="T174" s="42"/>
      <c r="U174" s="42"/>
      <c r="V174" s="42"/>
      <c r="W174" s="42"/>
      <c r="X174" s="42"/>
      <c r="Y174" s="42"/>
      <c r="Z174" s="42"/>
      <c r="AA174" s="42"/>
      <c r="AB174" s="42"/>
      <c r="AC174" s="42"/>
    </row>
    <row r="175" spans="1:29" x14ac:dyDescent="0.25">
      <c r="A175" s="73">
        <f ca="1">IFERROR(__xludf.DUMMYFUNCTION("""COMPUTED_VALUE"""),1)</f>
        <v>1</v>
      </c>
      <c r="B175" s="74"/>
      <c r="C175" s="73">
        <f ca="1">IFERROR(__xludf.DUMMYFUNCTION("""COMPUTED_VALUE"""),26)</f>
        <v>26</v>
      </c>
      <c r="D175" s="74"/>
      <c r="E175" s="74" t="str">
        <f ca="1">IFERROR(__xludf.DUMMYFUNCTION("""COMPUTED_VALUE"""),"BR2609")</f>
        <v>BR2609</v>
      </c>
      <c r="F175" s="76" t="str">
        <f ca="1">IFERROR(__xludf.DUMMYFUNCTION("""COMPUTED_VALUE"""),"Record customer order events")</f>
        <v>Record customer order events</v>
      </c>
      <c r="G175" s="74"/>
      <c r="H175" s="79" t="e">
        <f ca="1">'Key Design Decisions'!$A$296</f>
        <v>#NAME?</v>
      </c>
      <c r="I175" s="79" t="e">
        <f ca="1">'Key Design Decisions'!$A$158</f>
        <v>#NAME?</v>
      </c>
      <c r="J175" s="71" t="e">
        <f ca="1"/>
        <v>#NAME?</v>
      </c>
      <c r="K175" s="71" t="e">
        <f ca="1"/>
        <v>#NAME?</v>
      </c>
      <c r="L175" s="72" t="e">
        <f ca="1"/>
        <v>#NAME?</v>
      </c>
      <c r="M175" s="72" t="e">
        <f ca="1"/>
        <v>#NAME?</v>
      </c>
      <c r="N175" s="42"/>
      <c r="O175" s="42"/>
      <c r="P175" s="42"/>
      <c r="Q175" s="42"/>
      <c r="R175" s="42"/>
      <c r="S175" s="42"/>
      <c r="T175" s="42"/>
      <c r="U175" s="42"/>
      <c r="V175" s="42"/>
      <c r="W175" s="42"/>
      <c r="X175" s="42"/>
      <c r="Y175" s="42"/>
      <c r="Z175" s="42"/>
      <c r="AA175" s="42"/>
      <c r="AB175" s="42"/>
      <c r="AC175" s="42"/>
    </row>
    <row r="176" spans="1:29" x14ac:dyDescent="0.25">
      <c r="A176" s="66">
        <f ca="1">IFERROR(__xludf.DUMMYFUNCTION("""COMPUTED_VALUE"""),1)</f>
        <v>1</v>
      </c>
      <c r="B176" s="67"/>
      <c r="C176" s="66">
        <f ca="1">IFERROR(__xludf.DUMMYFUNCTION("""COMPUTED_VALUE"""),26)</f>
        <v>26</v>
      </c>
      <c r="D176" s="67"/>
      <c r="E176" s="67" t="str">
        <f ca="1">IFERROR(__xludf.DUMMYFUNCTION("""COMPUTED_VALUE"""),"BR2610")</f>
        <v>BR2610</v>
      </c>
      <c r="F176" s="69" t="str">
        <f ca="1">IFERROR(__xludf.DUMMYFUNCTION("""COMPUTED_VALUE"""),"Record customer return request events")</f>
        <v>Record customer return request events</v>
      </c>
      <c r="G176" s="67"/>
      <c r="H176" s="78" t="e">
        <f ca="1">'Key Design Decisions'!$A$296</f>
        <v>#NAME?</v>
      </c>
      <c r="I176" s="78" t="e">
        <f ca="1">'Key Design Decisions'!$A$158</f>
        <v>#NAME?</v>
      </c>
      <c r="J176" s="71" t="e">
        <f ca="1"/>
        <v>#NAME?</v>
      </c>
      <c r="K176" s="71" t="e">
        <f ca="1"/>
        <v>#NAME?</v>
      </c>
      <c r="L176" s="72" t="e">
        <f ca="1"/>
        <v>#NAME?</v>
      </c>
      <c r="M176" s="72" t="e">
        <f ca="1"/>
        <v>#NAME?</v>
      </c>
      <c r="N176" s="42"/>
      <c r="O176" s="42"/>
      <c r="P176" s="42"/>
      <c r="Q176" s="42"/>
      <c r="R176" s="42"/>
      <c r="S176" s="42"/>
      <c r="T176" s="42"/>
      <c r="U176" s="42"/>
      <c r="V176" s="42"/>
      <c r="W176" s="42"/>
      <c r="X176" s="42"/>
      <c r="Y176" s="42"/>
      <c r="Z176" s="42"/>
      <c r="AA176" s="42"/>
      <c r="AB176" s="42"/>
      <c r="AC176" s="42"/>
    </row>
    <row r="177" spans="1:29" x14ac:dyDescent="0.25">
      <c r="A177" s="73">
        <f ca="1">IFERROR(__xludf.DUMMYFUNCTION("""COMPUTED_VALUE"""),1)</f>
        <v>1</v>
      </c>
      <c r="B177" s="74"/>
      <c r="C177" s="73">
        <f ca="1">IFERROR(__xludf.DUMMYFUNCTION("""COMPUTED_VALUE"""),26)</f>
        <v>26</v>
      </c>
      <c r="D177" s="74"/>
      <c r="E177" s="74" t="str">
        <f ca="1">IFERROR(__xludf.DUMMYFUNCTION("""COMPUTED_VALUE"""),"BR2611")</f>
        <v>BR2611</v>
      </c>
      <c r="F177" s="76" t="str">
        <f ca="1">IFERROR(__xludf.DUMMYFUNCTION("""COMPUTED_VALUE"""),"Record supplier order fulfilment events")</f>
        <v>Record supplier order fulfilment events</v>
      </c>
      <c r="G177" s="74"/>
      <c r="H177" s="79" t="e">
        <f ca="1">'Key Design Decisions'!$A$296</f>
        <v>#NAME?</v>
      </c>
      <c r="I177" s="79" t="e">
        <f ca="1">'Key Design Decisions'!$A$158</f>
        <v>#NAME?</v>
      </c>
      <c r="J177" s="71" t="e">
        <f ca="1"/>
        <v>#NAME?</v>
      </c>
      <c r="K177" s="71" t="e">
        <f ca="1"/>
        <v>#NAME?</v>
      </c>
      <c r="L177" s="72" t="e">
        <f ca="1"/>
        <v>#NAME?</v>
      </c>
      <c r="M177" s="72" t="e">
        <f ca="1"/>
        <v>#NAME?</v>
      </c>
      <c r="N177" s="42"/>
      <c r="O177" s="42"/>
      <c r="P177" s="42"/>
      <c r="Q177" s="42"/>
      <c r="R177" s="42"/>
      <c r="S177" s="42"/>
      <c r="T177" s="42"/>
      <c r="U177" s="42"/>
      <c r="V177" s="42"/>
      <c r="W177" s="42"/>
      <c r="X177" s="42"/>
      <c r="Y177" s="42"/>
      <c r="Z177" s="42"/>
      <c r="AA177" s="42"/>
      <c r="AB177" s="42"/>
      <c r="AC177" s="42"/>
    </row>
    <row r="178" spans="1:29" x14ac:dyDescent="0.25">
      <c r="A178" s="66">
        <f ca="1">IFERROR(__xludf.DUMMYFUNCTION("""COMPUTED_VALUE"""),1)</f>
        <v>1</v>
      </c>
      <c r="B178" s="67"/>
      <c r="C178" s="66">
        <f ca="1">IFERROR(__xludf.DUMMYFUNCTION("""COMPUTED_VALUE"""),27)</f>
        <v>27</v>
      </c>
      <c r="D178" s="67" t="str">
        <f ca="1">IFERROR(__xludf.DUMMYFUNCTION("""COMPUTED_VALUE"""),"27 Supplier Orders Fulfilment")</f>
        <v>27 Supplier Orders Fulfilment</v>
      </c>
      <c r="E178" s="67" t="str">
        <f ca="1">IFERROR(__xludf.DUMMYFUNCTION("""COMPUTED_VALUE"""),"ReqID")</f>
        <v>ReqID</v>
      </c>
      <c r="F178" s="69" t="str">
        <f ca="1">IFERROR(__xludf.DUMMYFUNCTION("""COMPUTED_VALUE"""),"Requirement")</f>
        <v>Requirement</v>
      </c>
      <c r="G178" s="67"/>
      <c r="H178" s="70"/>
      <c r="I178" s="70"/>
      <c r="J178" s="71" t="str">
        <f ca="1"/>
        <v/>
      </c>
      <c r="K178" s="71" t="str">
        <f ca="1"/>
        <v/>
      </c>
      <c r="L178" s="72" t="str">
        <f ca="1"/>
        <v/>
      </c>
      <c r="M178" s="72" t="str">
        <f ca="1"/>
        <v/>
      </c>
      <c r="N178" s="42"/>
      <c r="O178" s="42"/>
      <c r="P178" s="42"/>
      <c r="Q178" s="42"/>
      <c r="R178" s="42"/>
      <c r="S178" s="42"/>
      <c r="T178" s="42"/>
      <c r="U178" s="42"/>
      <c r="V178" s="42"/>
      <c r="W178" s="42"/>
      <c r="X178" s="42"/>
      <c r="Y178" s="42"/>
      <c r="Z178" s="42"/>
      <c r="AA178" s="42"/>
      <c r="AB178" s="42"/>
      <c r="AC178" s="42"/>
    </row>
    <row r="179" spans="1:29" x14ac:dyDescent="0.25">
      <c r="A179" s="73">
        <f ca="1">IFERROR(__xludf.DUMMYFUNCTION("""COMPUTED_VALUE"""),1)</f>
        <v>1</v>
      </c>
      <c r="B179" s="74"/>
      <c r="C179" s="73">
        <f ca="1">IFERROR(__xludf.DUMMYFUNCTION("""COMPUTED_VALUE"""),27)</f>
        <v>27</v>
      </c>
      <c r="D179" s="74"/>
      <c r="E179" s="74" t="str">
        <f ca="1">IFERROR(__xludf.DUMMYFUNCTION("""COMPUTED_VALUE"""),"BR2701")</f>
        <v>BR2701</v>
      </c>
      <c r="F179" s="76" t="str">
        <f ca="1">IFERROR(__xludf.DUMMYFUNCTION("""COMPUTED_VALUE"""),"Integrate online shop with each supplier")</f>
        <v>Integrate online shop with each supplier</v>
      </c>
      <c r="G179" s="74"/>
      <c r="H179" s="79" t="e">
        <f ca="1">'Key Design Decisions'!$A$19</f>
        <v>#NAME?</v>
      </c>
      <c r="I179" s="79"/>
      <c r="J179" s="71" t="e">
        <f ca="1"/>
        <v>#NAME?</v>
      </c>
      <c r="K179" s="71" t="e">
        <f ca="1"/>
        <v>#NAME?</v>
      </c>
      <c r="L179" s="72" t="e">
        <f ca="1"/>
        <v>#NAME?</v>
      </c>
      <c r="M179" s="72" t="e">
        <f ca="1"/>
        <v>#NAME?</v>
      </c>
      <c r="N179" s="42"/>
      <c r="O179" s="42"/>
      <c r="P179" s="42"/>
      <c r="Q179" s="42"/>
      <c r="R179" s="42"/>
      <c r="S179" s="42"/>
      <c r="T179" s="42"/>
      <c r="U179" s="42"/>
      <c r="V179" s="42"/>
      <c r="W179" s="42"/>
      <c r="X179" s="42"/>
      <c r="Y179" s="42"/>
      <c r="Z179" s="42"/>
      <c r="AA179" s="42"/>
      <c r="AB179" s="42"/>
      <c r="AC179" s="42"/>
    </row>
    <row r="180" spans="1:29" x14ac:dyDescent="0.25">
      <c r="A180" s="66">
        <f ca="1">IFERROR(__xludf.DUMMYFUNCTION("""COMPUTED_VALUE"""),1)</f>
        <v>1</v>
      </c>
      <c r="B180" s="67"/>
      <c r="C180" s="66">
        <f ca="1">IFERROR(__xludf.DUMMYFUNCTION("""COMPUTED_VALUE"""),27)</f>
        <v>27</v>
      </c>
      <c r="D180" s="67"/>
      <c r="E180" s="67" t="str">
        <f ca="1">IFERROR(__xludf.DUMMYFUNCTION("""COMPUTED_VALUE"""),"BR2702")</f>
        <v>BR2702</v>
      </c>
      <c r="F180" s="69" t="str">
        <f ca="1">IFERROR(__xludf.DUMMYFUNCTION("""COMPUTED_VALUE"""),"A supplier manages the fulfilment of a supplier order across their distribution centres and depots")</f>
        <v>A supplier manages the fulfilment of a supplier order across their distribution centres and depots</v>
      </c>
      <c r="G180" s="67"/>
      <c r="H180" s="78" t="e">
        <f ca="1">'Key Design Decisions'!$A$84</f>
        <v>#NAME?</v>
      </c>
      <c r="I180" s="78"/>
      <c r="J180" s="71" t="e">
        <f ca="1"/>
        <v>#NAME?</v>
      </c>
      <c r="K180" s="71" t="e">
        <f ca="1"/>
        <v>#NAME?</v>
      </c>
      <c r="L180" s="72" t="e">
        <f ca="1"/>
        <v>#NAME?</v>
      </c>
      <c r="M180" s="72" t="e">
        <f ca="1"/>
        <v>#NAME?</v>
      </c>
      <c r="N180" s="42"/>
      <c r="O180" s="42"/>
      <c r="P180" s="42"/>
      <c r="Q180" s="42"/>
      <c r="R180" s="42"/>
      <c r="S180" s="42"/>
      <c r="T180" s="42"/>
      <c r="U180" s="42"/>
      <c r="V180" s="42"/>
      <c r="W180" s="42"/>
      <c r="X180" s="42"/>
      <c r="Y180" s="42"/>
      <c r="Z180" s="42"/>
      <c r="AA180" s="42"/>
      <c r="AB180" s="42"/>
      <c r="AC180" s="42"/>
    </row>
    <row r="181" spans="1:29" x14ac:dyDescent="0.25">
      <c r="A181" s="73">
        <f ca="1">IFERROR(__xludf.DUMMYFUNCTION("""COMPUTED_VALUE"""),1)</f>
        <v>1</v>
      </c>
      <c r="B181" s="74"/>
      <c r="C181" s="73">
        <f ca="1">IFERROR(__xludf.DUMMYFUNCTION("""COMPUTED_VALUE"""),27)</f>
        <v>27</v>
      </c>
      <c r="D181" s="74"/>
      <c r="E181" s="74" t="str">
        <f ca="1">IFERROR(__xludf.DUMMYFUNCTION("""COMPUTED_VALUE"""),"BR2703")</f>
        <v>BR2703</v>
      </c>
      <c r="F181" s="76" t="str">
        <f ca="1">IFERROR(__xludf.DUMMYFUNCTION("""COMPUTED_VALUE"""),"Fulfil supplier orders on behalf of the business")</f>
        <v>Fulfil supplier orders on behalf of the business</v>
      </c>
      <c r="G181" s="74"/>
      <c r="H181" s="79" t="e">
        <f ca="1">'Key Design Decisions'!$A$80</f>
        <v>#NAME?</v>
      </c>
      <c r="I181" s="79"/>
      <c r="J181" s="71" t="e">
        <f ca="1"/>
        <v>#NAME?</v>
      </c>
      <c r="K181" s="71" t="e">
        <f ca="1"/>
        <v>#NAME?</v>
      </c>
      <c r="L181" s="72" t="e">
        <f ca="1"/>
        <v>#NAME?</v>
      </c>
      <c r="M181" s="72" t="e">
        <f ca="1"/>
        <v>#NAME?</v>
      </c>
      <c r="N181" s="42"/>
      <c r="O181" s="42"/>
      <c r="P181" s="42"/>
      <c r="Q181" s="42"/>
      <c r="R181" s="42"/>
      <c r="S181" s="42"/>
      <c r="T181" s="42"/>
      <c r="U181" s="42"/>
      <c r="V181" s="42"/>
      <c r="W181" s="42"/>
      <c r="X181" s="42"/>
      <c r="Y181" s="42"/>
      <c r="Z181" s="42"/>
      <c r="AA181" s="42"/>
      <c r="AB181" s="42"/>
      <c r="AC181" s="42"/>
    </row>
    <row r="182" spans="1:29" x14ac:dyDescent="0.25">
      <c r="A182" s="66">
        <f ca="1">IFERROR(__xludf.DUMMYFUNCTION("""COMPUTED_VALUE"""),1)</f>
        <v>1</v>
      </c>
      <c r="B182" s="67"/>
      <c r="C182" s="66">
        <f ca="1">IFERROR(__xludf.DUMMYFUNCTION("""COMPUTED_VALUE"""),27)</f>
        <v>27</v>
      </c>
      <c r="D182" s="67"/>
      <c r="E182" s="67" t="str">
        <f ca="1">IFERROR(__xludf.DUMMYFUNCTION("""COMPUTED_VALUE"""),"BR2704")</f>
        <v>BR2704</v>
      </c>
      <c r="F182" s="69" t="str">
        <f ca="1">IFERROR(__xludf.DUMMYFUNCTION("""COMPUTED_VALUE"""),"View and print the customer documentation for a supplier from the online shop")</f>
        <v>View and print the customer documentation for a supplier from the online shop</v>
      </c>
      <c r="G182" s="67"/>
      <c r="H182" s="78" t="e">
        <f ca="1">'Key Design Decisions'!$A$80</f>
        <v>#NAME?</v>
      </c>
      <c r="I182" s="78"/>
      <c r="J182" s="71" t="e">
        <f ca="1"/>
        <v>#NAME?</v>
      </c>
      <c r="K182" s="71" t="e">
        <f ca="1"/>
        <v>#NAME?</v>
      </c>
      <c r="L182" s="72" t="e">
        <f ca="1"/>
        <v>#NAME?</v>
      </c>
      <c r="M182" s="72" t="e">
        <f ca="1"/>
        <v>#NAME?</v>
      </c>
      <c r="N182" s="42"/>
      <c r="O182" s="42"/>
      <c r="P182" s="42"/>
      <c r="Q182" s="42"/>
      <c r="R182" s="42"/>
      <c r="S182" s="42"/>
      <c r="T182" s="42"/>
      <c r="U182" s="42"/>
      <c r="V182" s="42"/>
      <c r="W182" s="42"/>
      <c r="X182" s="42"/>
      <c r="Y182" s="42"/>
      <c r="Z182" s="42"/>
      <c r="AA182" s="42"/>
      <c r="AB182" s="42"/>
      <c r="AC182" s="42"/>
    </row>
    <row r="183" spans="1:29" x14ac:dyDescent="0.25">
      <c r="A183" s="73">
        <f ca="1">IFERROR(__xludf.DUMMYFUNCTION("""COMPUTED_VALUE"""),1)</f>
        <v>1</v>
      </c>
      <c r="B183" s="74"/>
      <c r="C183" s="73">
        <f ca="1">IFERROR(__xludf.DUMMYFUNCTION("""COMPUTED_VALUE"""),28)</f>
        <v>28</v>
      </c>
      <c r="D183" s="74" t="str">
        <f ca="1">IFERROR(__xludf.DUMMYFUNCTION("""COMPUTED_VALUE"""),"28 Establish B2C Co as Business")</f>
        <v>28 Establish B2C Co as Business</v>
      </c>
      <c r="E183" s="74" t="str">
        <f ca="1">IFERROR(__xludf.DUMMYFUNCTION("""COMPUTED_VALUE"""),"ReqID")</f>
        <v>ReqID</v>
      </c>
      <c r="F183" s="76" t="str">
        <f ca="1">IFERROR(__xludf.DUMMYFUNCTION("""COMPUTED_VALUE"""),"Requirement")</f>
        <v>Requirement</v>
      </c>
      <c r="G183" s="74"/>
      <c r="H183" s="77"/>
      <c r="I183" s="77"/>
      <c r="J183" s="71" t="str">
        <f ca="1"/>
        <v/>
      </c>
      <c r="K183" s="71" t="str">
        <f ca="1"/>
        <v/>
      </c>
      <c r="L183" s="72" t="str">
        <f ca="1"/>
        <v/>
      </c>
      <c r="M183" s="72" t="str">
        <f ca="1"/>
        <v/>
      </c>
      <c r="N183" s="42"/>
      <c r="O183" s="42"/>
      <c r="P183" s="42"/>
      <c r="Q183" s="42"/>
      <c r="R183" s="42"/>
      <c r="S183" s="42"/>
      <c r="T183" s="42"/>
      <c r="U183" s="42"/>
      <c r="V183" s="42"/>
      <c r="W183" s="42"/>
      <c r="X183" s="42"/>
      <c r="Y183" s="42"/>
      <c r="Z183" s="42"/>
      <c r="AA183" s="42"/>
      <c r="AB183" s="42"/>
      <c r="AC183" s="42"/>
    </row>
    <row r="184" spans="1:29" x14ac:dyDescent="0.25">
      <c r="A184" s="66">
        <f ca="1">IFERROR(__xludf.DUMMYFUNCTION("""COMPUTED_VALUE"""),1)</f>
        <v>1</v>
      </c>
      <c r="B184" s="67"/>
      <c r="C184" s="66">
        <f ca="1">IFERROR(__xludf.DUMMYFUNCTION("""COMPUTED_VALUE"""),28)</f>
        <v>28</v>
      </c>
      <c r="D184" s="67"/>
      <c r="E184" s="67" t="str">
        <f ca="1">IFERROR(__xludf.DUMMYFUNCTION("""COMPUTED_VALUE"""),"BR2801")</f>
        <v>BR2801</v>
      </c>
      <c r="F184" s="69" t="str">
        <f ca="1">IFERROR(__xludf.DUMMYFUNCTION("""COMPUTED_VALUE"""),"Register the B2C as legal entity")</f>
        <v>Register the B2C as legal entity</v>
      </c>
      <c r="G184" s="67"/>
      <c r="H184" s="78" t="e">
        <f ca="1">'Key Design Decisions'!$A$10</f>
        <v>#NAME?</v>
      </c>
      <c r="I184" s="78"/>
      <c r="J184" s="71" t="e">
        <f ca="1"/>
        <v>#NAME?</v>
      </c>
      <c r="K184" s="71" t="e">
        <f ca="1"/>
        <v>#NAME?</v>
      </c>
      <c r="L184" s="72" t="e">
        <f ca="1"/>
        <v>#NAME?</v>
      </c>
      <c r="M184" s="82" t="e">
        <f ca="1"/>
        <v>#NAME?</v>
      </c>
      <c r="N184" s="42"/>
      <c r="O184" s="42"/>
      <c r="P184" s="42"/>
      <c r="Q184" s="42"/>
      <c r="R184" s="42"/>
      <c r="S184" s="42"/>
      <c r="T184" s="42"/>
      <c r="U184" s="42"/>
      <c r="V184" s="42"/>
      <c r="W184" s="42"/>
      <c r="X184" s="42"/>
      <c r="Y184" s="42"/>
      <c r="Z184" s="42"/>
      <c r="AA184" s="42"/>
      <c r="AB184" s="42"/>
      <c r="AC184" s="42"/>
    </row>
    <row r="185" spans="1:29" x14ac:dyDescent="0.25">
      <c r="A185" s="73">
        <f ca="1">IFERROR(__xludf.DUMMYFUNCTION("""COMPUTED_VALUE"""),1)</f>
        <v>1</v>
      </c>
      <c r="B185" s="74"/>
      <c r="C185" s="73">
        <f ca="1">IFERROR(__xludf.DUMMYFUNCTION("""COMPUTED_VALUE"""),28)</f>
        <v>28</v>
      </c>
      <c r="D185" s="74"/>
      <c r="E185" s="74" t="str">
        <f ca="1">IFERROR(__xludf.DUMMYFUNCTION("""COMPUTED_VALUE"""),"BR2802")</f>
        <v>BR2802</v>
      </c>
      <c r="F185" s="76" t="str">
        <f ca="1">IFERROR(__xludf.DUMMYFUNCTION("""COMPUTED_VALUE"""),"Register the B2C legal entity with a trading bank account")</f>
        <v>Register the B2C legal entity with a trading bank account</v>
      </c>
      <c r="G185" s="74"/>
      <c r="H185" s="79" t="e">
        <f ca="1">'Key Design Decisions'!$A$10</f>
        <v>#NAME?</v>
      </c>
      <c r="I185" s="79"/>
      <c r="J185" s="71" t="e">
        <f ca="1"/>
        <v>#NAME?</v>
      </c>
      <c r="K185" s="71" t="e">
        <f ca="1"/>
        <v>#NAME?</v>
      </c>
      <c r="L185" s="72" t="e">
        <f ca="1"/>
        <v>#NAME?</v>
      </c>
      <c r="M185" s="72" t="e">
        <f ca="1"/>
        <v>#NAME?</v>
      </c>
      <c r="N185" s="42"/>
      <c r="O185" s="42"/>
      <c r="P185" s="42"/>
      <c r="Q185" s="42"/>
      <c r="R185" s="42"/>
      <c r="S185" s="42"/>
      <c r="T185" s="42"/>
      <c r="U185" s="42"/>
      <c r="V185" s="42"/>
      <c r="W185" s="42"/>
      <c r="X185" s="42"/>
      <c r="Y185" s="42"/>
      <c r="Z185" s="42"/>
      <c r="AA185" s="42"/>
      <c r="AB185" s="42"/>
      <c r="AC185" s="42"/>
    </row>
    <row r="186" spans="1:29" x14ac:dyDescent="0.25">
      <c r="A186" s="66">
        <f ca="1">IFERROR(__xludf.DUMMYFUNCTION("""COMPUTED_VALUE"""),1)</f>
        <v>1</v>
      </c>
      <c r="B186" s="67"/>
      <c r="C186" s="66">
        <f ca="1">IFERROR(__xludf.DUMMYFUNCTION("""COMPUTED_VALUE"""),28)</f>
        <v>28</v>
      </c>
      <c r="D186" s="67"/>
      <c r="E186" s="67" t="str">
        <f ca="1">IFERROR(__xludf.DUMMYFUNCTION("""COMPUTED_VALUE"""),"BR2803")</f>
        <v>BR2803</v>
      </c>
      <c r="F186" s="69" t="str">
        <f ca="1">IFERROR(__xludf.DUMMYFUNCTION("""COMPUTED_VALUE"""),"Configure B2C Co as company in the Shoprite financial systems")</f>
        <v>Configure B2C Co as company in the Shoprite financial systems</v>
      </c>
      <c r="G186" s="67"/>
      <c r="H186" s="78" t="e">
        <f ca="1">'Key Design Decisions'!$A$19</f>
        <v>#NAME?</v>
      </c>
      <c r="I186" s="78"/>
      <c r="J186" s="71" t="e">
        <f ca="1"/>
        <v>#NAME?</v>
      </c>
      <c r="K186" s="71" t="e">
        <f ca="1"/>
        <v>#NAME?</v>
      </c>
      <c r="L186" s="72" t="e">
        <f ca="1"/>
        <v>#NAME?</v>
      </c>
      <c r="M186" s="72" t="e">
        <f ca="1"/>
        <v>#NAME?</v>
      </c>
      <c r="N186" s="42"/>
      <c r="O186" s="42"/>
      <c r="P186" s="42"/>
      <c r="Q186" s="42"/>
      <c r="R186" s="42"/>
      <c r="S186" s="42"/>
      <c r="T186" s="42"/>
      <c r="U186" s="42"/>
      <c r="V186" s="42"/>
      <c r="W186" s="42"/>
      <c r="X186" s="42"/>
      <c r="Y186" s="42"/>
      <c r="Z186" s="42"/>
      <c r="AA186" s="42"/>
      <c r="AB186" s="42"/>
      <c r="AC186" s="42"/>
    </row>
    <row r="187" spans="1:29" x14ac:dyDescent="0.25">
      <c r="A187" s="73">
        <f ca="1">IFERROR(__xludf.DUMMYFUNCTION("""COMPUTED_VALUE"""),1)</f>
        <v>1</v>
      </c>
      <c r="B187" s="74"/>
      <c r="C187" s="73">
        <f ca="1">IFERROR(__xludf.DUMMYFUNCTION("""COMPUTED_VALUE"""),28)</f>
        <v>28</v>
      </c>
      <c r="D187" s="74"/>
      <c r="E187" s="74" t="str">
        <f ca="1">IFERROR(__xludf.DUMMYFUNCTION("""COMPUTED_VALUE"""),"BR2804")</f>
        <v>BR2804</v>
      </c>
      <c r="F187" s="76" t="str">
        <f ca="1">IFERROR(__xludf.DUMMYFUNCTION("""COMPUTED_VALUE"""),"Configure B2C Co as company for trading in the Shoprite retail system")</f>
        <v>Configure B2C Co as company for trading in the Shoprite retail system</v>
      </c>
      <c r="G187" s="74"/>
      <c r="H187" s="79" t="e">
        <f ca="1">'Key Design Decisions'!$A$19</f>
        <v>#NAME?</v>
      </c>
      <c r="I187" s="79"/>
      <c r="J187" s="71" t="e">
        <f ca="1"/>
        <v>#NAME?</v>
      </c>
      <c r="K187" s="71" t="e">
        <f ca="1"/>
        <v>#NAME?</v>
      </c>
      <c r="L187" s="72" t="e">
        <f ca="1"/>
        <v>#NAME?</v>
      </c>
      <c r="M187" s="72" t="e">
        <f ca="1"/>
        <v>#NAME?</v>
      </c>
      <c r="N187" s="42"/>
      <c r="O187" s="42"/>
      <c r="P187" s="42"/>
      <c r="Q187" s="42"/>
      <c r="R187" s="42"/>
      <c r="S187" s="42"/>
      <c r="T187" s="42"/>
      <c r="U187" s="42"/>
      <c r="V187" s="42"/>
      <c r="W187" s="42"/>
      <c r="X187" s="42"/>
      <c r="Y187" s="42"/>
      <c r="Z187" s="42"/>
      <c r="AA187" s="42"/>
      <c r="AB187" s="42"/>
      <c r="AC187" s="42"/>
    </row>
    <row r="188" spans="1:29" x14ac:dyDescent="0.25">
      <c r="A188" s="66">
        <f ca="1">IFERROR(__xludf.DUMMYFUNCTION("""COMPUTED_VALUE"""),1)</f>
        <v>1</v>
      </c>
      <c r="B188" s="67"/>
      <c r="C188" s="66">
        <f ca="1">IFERROR(__xludf.DUMMYFUNCTION("""COMPUTED_VALUE"""),28)</f>
        <v>28</v>
      </c>
      <c r="D188" s="67"/>
      <c r="E188" s="67" t="str">
        <f ca="1">IFERROR(__xludf.DUMMYFUNCTION("""COMPUTED_VALUE"""),"BR2805")</f>
        <v>BR2805</v>
      </c>
      <c r="F188" s="69" t="str">
        <f ca="1">IFERROR(__xludf.DUMMYFUNCTION("""COMPUTED_VALUE"""),"Configure B2C Co as company for trading in the Shoprite customer-facing systems")</f>
        <v>Configure B2C Co as company for trading in the Shoprite customer-facing systems</v>
      </c>
      <c r="G188" s="67"/>
      <c r="H188" s="78" t="e">
        <f ca="1">'Key Design Decisions'!$A$19</f>
        <v>#NAME?</v>
      </c>
      <c r="I188" s="78"/>
      <c r="J188" s="71" t="e">
        <f ca="1"/>
        <v>#NAME?</v>
      </c>
      <c r="K188" s="71" t="e">
        <f ca="1"/>
        <v>#NAME?</v>
      </c>
      <c r="L188" s="72" t="e">
        <f ca="1"/>
        <v>#NAME?</v>
      </c>
      <c r="M188" s="72" t="e">
        <f ca="1"/>
        <v>#NAME?</v>
      </c>
      <c r="N188" s="42"/>
      <c r="O188" s="42"/>
      <c r="P188" s="42"/>
      <c r="Q188" s="42"/>
      <c r="R188" s="42"/>
      <c r="S188" s="42"/>
      <c r="T188" s="42"/>
      <c r="U188" s="42"/>
      <c r="V188" s="42"/>
      <c r="W188" s="42"/>
      <c r="X188" s="42"/>
      <c r="Y188" s="42"/>
      <c r="Z188" s="42"/>
      <c r="AA188" s="42"/>
      <c r="AB188" s="42"/>
      <c r="AC188" s="42"/>
    </row>
    <row r="189" spans="1:29" x14ac:dyDescent="0.25">
      <c r="A189" s="73">
        <f ca="1">IFERROR(__xludf.DUMMYFUNCTION("""COMPUTED_VALUE"""),1)</f>
        <v>1</v>
      </c>
      <c r="B189" s="74"/>
      <c r="C189" s="73">
        <f ca="1">IFERROR(__xludf.DUMMYFUNCTION("""COMPUTED_VALUE"""),28)</f>
        <v>28</v>
      </c>
      <c r="D189" s="74"/>
      <c r="E189" s="74" t="str">
        <f ca="1">IFERROR(__xludf.DUMMYFUNCTION("""COMPUTED_VALUE"""),"BR2806")</f>
        <v>BR2806</v>
      </c>
      <c r="F189" s="76" t="str">
        <f ca="1">IFERROR(__xludf.DUMMYFUNCTION("""COMPUTED_VALUE"""),"Interface B2C sales payment transaction audit information from the B2C shop to the Shoprite financial system")</f>
        <v>Interface B2C sales payment transaction audit information from the B2C shop to the Shoprite financial system</v>
      </c>
      <c r="G189" s="74"/>
      <c r="H189" s="79" t="e">
        <f ca="1">'Key Design Decisions'!$A$19</f>
        <v>#NAME?</v>
      </c>
      <c r="I189" s="79"/>
      <c r="J189" s="71" t="e">
        <f ca="1"/>
        <v>#NAME?</v>
      </c>
      <c r="K189" s="71" t="e">
        <f ca="1"/>
        <v>#NAME?</v>
      </c>
      <c r="L189" s="72" t="e">
        <f ca="1"/>
        <v>#NAME?</v>
      </c>
      <c r="M189" s="82" t="e">
        <f ca="1"/>
        <v>#NAME?</v>
      </c>
      <c r="N189" s="42"/>
      <c r="O189" s="42"/>
      <c r="P189" s="42"/>
      <c r="Q189" s="42"/>
      <c r="R189" s="42"/>
      <c r="S189" s="42"/>
      <c r="T189" s="42"/>
      <c r="U189" s="42"/>
      <c r="V189" s="42"/>
      <c r="W189" s="42"/>
      <c r="X189" s="42"/>
      <c r="Y189" s="42"/>
      <c r="Z189" s="42"/>
      <c r="AA189" s="42"/>
      <c r="AB189" s="42"/>
      <c r="AC189" s="42"/>
    </row>
    <row r="190" spans="1:29" x14ac:dyDescent="0.25">
      <c r="A190" s="66">
        <f ca="1">IFERROR(__xludf.DUMMYFUNCTION("""COMPUTED_VALUE"""),1)</f>
        <v>1</v>
      </c>
      <c r="B190" s="67"/>
      <c r="C190" s="66">
        <f ca="1">IFERROR(__xludf.DUMMYFUNCTION("""COMPUTED_VALUE"""),28)</f>
        <v>28</v>
      </c>
      <c r="D190" s="67"/>
      <c r="E190" s="67" t="str">
        <f ca="1">IFERROR(__xludf.DUMMYFUNCTION("""COMPUTED_VALUE"""),"BR2807")</f>
        <v>BR2807</v>
      </c>
      <c r="F190" s="69" t="str">
        <f ca="1">IFERROR(__xludf.DUMMYFUNCTION("""COMPUTED_VALUE"""),"Configure B2C Co in the Shoprite HR systems")</f>
        <v>Configure B2C Co in the Shoprite HR systems</v>
      </c>
      <c r="G190" s="67"/>
      <c r="H190" s="78" t="e">
        <f ca="1">'Key Design Decisions'!$A$19</f>
        <v>#NAME?</v>
      </c>
      <c r="I190" s="78"/>
      <c r="J190" s="71" t="e">
        <f ca="1"/>
        <v>#NAME?</v>
      </c>
      <c r="K190" s="71" t="e">
        <f ca="1"/>
        <v>#NAME?</v>
      </c>
      <c r="L190" s="72" t="e">
        <f ca="1"/>
        <v>#NAME?</v>
      </c>
      <c r="M190" s="72" t="e">
        <f ca="1"/>
        <v>#NAME?</v>
      </c>
      <c r="N190" s="42"/>
      <c r="O190" s="42"/>
      <c r="P190" s="42"/>
      <c r="Q190" s="42"/>
      <c r="R190" s="42"/>
      <c r="S190" s="42"/>
      <c r="T190" s="42"/>
      <c r="U190" s="42"/>
      <c r="V190" s="42"/>
      <c r="W190" s="42"/>
      <c r="X190" s="42"/>
      <c r="Y190" s="42"/>
      <c r="Z190" s="42"/>
      <c r="AA190" s="42"/>
      <c r="AB190" s="42"/>
      <c r="AC190" s="42"/>
    </row>
    <row r="191" spans="1:29" x14ac:dyDescent="0.25">
      <c r="A191" s="73">
        <f ca="1">IFERROR(__xludf.DUMMYFUNCTION("""COMPUTED_VALUE"""),1)</f>
        <v>1</v>
      </c>
      <c r="B191" s="74"/>
      <c r="C191" s="73">
        <f ca="1">IFERROR(__xludf.DUMMYFUNCTION("""COMPUTED_VALUE"""),29)</f>
        <v>29</v>
      </c>
      <c r="D191" s="74" t="str">
        <f ca="1">IFERROR(__xludf.DUMMYFUNCTION("""COMPUTED_VALUE"""),"29 Establish IT Support for B2C Co")</f>
        <v>29 Establish IT Support for B2C Co</v>
      </c>
      <c r="E191" s="74" t="str">
        <f ca="1">IFERROR(__xludf.DUMMYFUNCTION("""COMPUTED_VALUE"""),"ReqID")</f>
        <v>ReqID</v>
      </c>
      <c r="F191" s="76" t="str">
        <f ca="1">IFERROR(__xludf.DUMMYFUNCTION("""COMPUTED_VALUE"""),"Requirement")</f>
        <v>Requirement</v>
      </c>
      <c r="G191" s="74"/>
      <c r="H191" s="77"/>
      <c r="I191" s="77"/>
      <c r="J191" s="71" t="str">
        <f ca="1"/>
        <v/>
      </c>
      <c r="K191" s="71" t="str">
        <f ca="1"/>
        <v/>
      </c>
      <c r="L191" s="72" t="str">
        <f ca="1"/>
        <v/>
      </c>
      <c r="M191" s="72" t="str">
        <f ca="1"/>
        <v/>
      </c>
      <c r="N191" s="42"/>
      <c r="O191" s="42"/>
      <c r="P191" s="42"/>
      <c r="Q191" s="42"/>
      <c r="R191" s="42"/>
      <c r="S191" s="42"/>
      <c r="T191" s="42"/>
      <c r="U191" s="42"/>
      <c r="V191" s="42"/>
      <c r="W191" s="42"/>
      <c r="X191" s="42"/>
      <c r="Y191" s="42"/>
      <c r="Z191" s="42"/>
      <c r="AA191" s="42"/>
      <c r="AB191" s="42"/>
      <c r="AC191" s="42"/>
    </row>
    <row r="192" spans="1:29" x14ac:dyDescent="0.25">
      <c r="A192" s="66">
        <f ca="1">IFERROR(__xludf.DUMMYFUNCTION("""COMPUTED_VALUE"""),1)</f>
        <v>1</v>
      </c>
      <c r="B192" s="67"/>
      <c r="C192" s="66">
        <f ca="1">IFERROR(__xludf.DUMMYFUNCTION("""COMPUTED_VALUE"""),29)</f>
        <v>29</v>
      </c>
      <c r="D192" s="67"/>
      <c r="E192" s="67" t="str">
        <f ca="1">IFERROR(__xludf.DUMMYFUNCTION("""COMPUTED_VALUE"""),"BR2901")</f>
        <v>BR2901</v>
      </c>
      <c r="F192" s="69" t="str">
        <f ca="1">IFERROR(__xludf.DUMMYFUNCTION("""COMPUTED_VALUE"""),"Configure B2C Co in the Shoprite IT systems")</f>
        <v>Configure B2C Co in the Shoprite IT systems</v>
      </c>
      <c r="G192" s="67"/>
      <c r="H192" s="78" t="e">
        <f ca="1">'Key Design Decisions'!$A$19</f>
        <v>#NAME?</v>
      </c>
      <c r="I192" s="78"/>
      <c r="J192" s="71" t="e">
        <f ca="1"/>
        <v>#NAME?</v>
      </c>
      <c r="K192" s="71" t="e">
        <f ca="1"/>
        <v>#NAME?</v>
      </c>
      <c r="L192" s="72" t="e">
        <f ca="1"/>
        <v>#NAME?</v>
      </c>
      <c r="M192" s="82" t="e">
        <f ca="1"/>
        <v>#NAME?</v>
      </c>
      <c r="N192" s="42"/>
      <c r="O192" s="42"/>
      <c r="P192" s="42"/>
      <c r="Q192" s="42"/>
      <c r="R192" s="42"/>
      <c r="S192" s="42"/>
      <c r="T192" s="42"/>
      <c r="U192" s="42"/>
      <c r="V192" s="42"/>
      <c r="W192" s="42"/>
      <c r="X192" s="42"/>
      <c r="Y192" s="42"/>
      <c r="Z192" s="42"/>
      <c r="AA192" s="42"/>
      <c r="AB192" s="42"/>
      <c r="AC192" s="42"/>
    </row>
    <row r="193" spans="1:29" x14ac:dyDescent="0.25">
      <c r="A193" s="73">
        <f ca="1">IFERROR(__xludf.DUMMYFUNCTION("""COMPUTED_VALUE"""),1)</f>
        <v>1</v>
      </c>
      <c r="B193" s="74"/>
      <c r="C193" s="73">
        <f ca="1">IFERROR(__xludf.DUMMYFUNCTION("""COMPUTED_VALUE"""),30)</f>
        <v>30</v>
      </c>
      <c r="D193" s="74" t="str">
        <f ca="1">IFERROR(__xludf.DUMMYFUNCTION("""COMPUTED_VALUE"""),"30 Customer Retention Enhancements (next phase)")</f>
        <v>30 Customer Retention Enhancements (next phase)</v>
      </c>
      <c r="E193" s="74" t="str">
        <f ca="1">IFERROR(__xludf.DUMMYFUNCTION("""COMPUTED_VALUE"""),"ReqID")</f>
        <v>ReqID</v>
      </c>
      <c r="F193" s="76" t="str">
        <f ca="1">IFERROR(__xludf.DUMMYFUNCTION("""COMPUTED_VALUE"""),"Requirement")</f>
        <v>Requirement</v>
      </c>
      <c r="G193" s="74"/>
      <c r="H193" s="77"/>
      <c r="I193" s="77"/>
      <c r="J193" s="71" t="str">
        <f ca="1"/>
        <v/>
      </c>
      <c r="K193" s="71" t="str">
        <f ca="1"/>
        <v/>
      </c>
      <c r="L193" s="72" t="str">
        <f ca="1"/>
        <v/>
      </c>
      <c r="M193" s="82" t="str">
        <f ca="1"/>
        <v/>
      </c>
      <c r="N193" s="42"/>
      <c r="O193" s="42"/>
      <c r="P193" s="42"/>
      <c r="Q193" s="42"/>
      <c r="R193" s="42"/>
      <c r="S193" s="42"/>
      <c r="T193" s="42"/>
      <c r="U193" s="42"/>
      <c r="V193" s="42"/>
      <c r="W193" s="42"/>
      <c r="X193" s="42"/>
      <c r="Y193" s="42"/>
      <c r="Z193" s="42"/>
      <c r="AA193" s="42"/>
      <c r="AB193" s="42"/>
      <c r="AC193" s="42"/>
    </row>
    <row r="194" spans="1:29" x14ac:dyDescent="0.25">
      <c r="A194" s="66">
        <f ca="1">IFERROR(__xludf.DUMMYFUNCTION("""COMPUTED_VALUE"""),1)</f>
        <v>1</v>
      </c>
      <c r="B194" s="67"/>
      <c r="C194" s="66">
        <f ca="1">IFERROR(__xludf.DUMMYFUNCTION("""COMPUTED_VALUE"""),30)</f>
        <v>30</v>
      </c>
      <c r="D194" s="67"/>
      <c r="E194" s="67" t="str">
        <f ca="1">IFERROR(__xludf.DUMMYFUNCTION("""COMPUTED_VALUE"""),"BR3001")</f>
        <v>BR3001</v>
      </c>
      <c r="F194" s="69" t="str">
        <f ca="1">IFERROR(__xludf.DUMMYFUNCTION("""COMPUTED_VALUE"""),"Maintain a Discount Vouchers System")</f>
        <v>Maintain a Discount Vouchers System</v>
      </c>
      <c r="G194" s="67"/>
      <c r="H194" s="70"/>
      <c r="I194" s="70"/>
      <c r="J194" s="71" t="str">
        <f ca="1"/>
        <v/>
      </c>
      <c r="K194" s="71" t="str">
        <f ca="1"/>
        <v/>
      </c>
      <c r="L194" s="72" t="str">
        <f ca="1"/>
        <v/>
      </c>
      <c r="M194" s="72" t="str">
        <f ca="1"/>
        <v/>
      </c>
      <c r="N194" s="42"/>
      <c r="O194" s="42"/>
      <c r="P194" s="42"/>
      <c r="Q194" s="42"/>
      <c r="R194" s="42"/>
      <c r="S194" s="42"/>
      <c r="T194" s="42"/>
      <c r="U194" s="42"/>
      <c r="V194" s="42"/>
      <c r="W194" s="42"/>
      <c r="X194" s="42"/>
      <c r="Y194" s="42"/>
      <c r="Z194" s="42"/>
      <c r="AA194" s="42"/>
      <c r="AB194" s="42"/>
      <c r="AC194" s="42"/>
    </row>
    <row r="195" spans="1:29" x14ac:dyDescent="0.25">
      <c r="A195" s="73">
        <f ca="1">IFERROR(__xludf.DUMMYFUNCTION("""COMPUTED_VALUE"""),1)</f>
        <v>1</v>
      </c>
      <c r="B195" s="74"/>
      <c r="C195" s="73">
        <f ca="1">IFERROR(__xludf.DUMMYFUNCTION("""COMPUTED_VALUE"""),30)</f>
        <v>30</v>
      </c>
      <c r="D195" s="74"/>
      <c r="E195" s="74" t="str">
        <f ca="1">IFERROR(__xludf.DUMMYFUNCTION("""COMPUTED_VALUE"""),"BR3002")</f>
        <v>BR3002</v>
      </c>
      <c r="F195" s="76" t="str">
        <f ca="1">IFERROR(__xludf.DUMMYFUNCTION("""COMPUTED_VALUE"""),"Maintain sales promotion discount vouchers")</f>
        <v>Maintain sales promotion discount vouchers</v>
      </c>
      <c r="G195" s="74"/>
      <c r="H195" s="79" t="e">
        <f ca="1">'Key Design Decisions'!$A$316</f>
        <v>#NAME?</v>
      </c>
      <c r="I195" s="77"/>
      <c r="J195" s="71" t="e">
        <f ca="1"/>
        <v>#NAME?</v>
      </c>
      <c r="K195" s="71" t="e">
        <f ca="1"/>
        <v>#NAME?</v>
      </c>
      <c r="L195" s="72" t="e">
        <f ca="1"/>
        <v>#NAME?</v>
      </c>
      <c r="M195" s="72" t="e">
        <f ca="1"/>
        <v>#NAME?</v>
      </c>
      <c r="N195" s="42"/>
      <c r="O195" s="42"/>
      <c r="P195" s="42"/>
      <c r="Q195" s="42"/>
      <c r="R195" s="42"/>
      <c r="S195" s="42"/>
      <c r="T195" s="42"/>
      <c r="U195" s="42"/>
      <c r="V195" s="42"/>
      <c r="W195" s="42"/>
      <c r="X195" s="42"/>
      <c r="Y195" s="42"/>
      <c r="Z195" s="42"/>
      <c r="AA195" s="42"/>
      <c r="AB195" s="42"/>
      <c r="AC195" s="42"/>
    </row>
    <row r="196" spans="1:29" x14ac:dyDescent="0.25">
      <c r="A196" s="66">
        <f ca="1">IFERROR(__xludf.DUMMYFUNCTION("""COMPUTED_VALUE"""),1)</f>
        <v>1</v>
      </c>
      <c r="B196" s="67"/>
      <c r="C196" s="66">
        <f ca="1">IFERROR(__xludf.DUMMYFUNCTION("""COMPUTED_VALUE"""),30)</f>
        <v>30</v>
      </c>
      <c r="D196" s="67"/>
      <c r="E196" s="67" t="str">
        <f ca="1">IFERROR(__xludf.DUMMYFUNCTION("""COMPUTED_VALUE"""),"BR3003")</f>
        <v>BR3003</v>
      </c>
      <c r="F196" s="69" t="str">
        <f ca="1">IFERROR(__xludf.DUMMYFUNCTION("""COMPUTED_VALUE"""),"Maintain customer-specific discount vouchers")</f>
        <v>Maintain customer-specific discount vouchers</v>
      </c>
      <c r="G196" s="67"/>
      <c r="H196" s="78" t="e">
        <f ca="1">'Key Design Decisions'!$A$316</f>
        <v>#NAME?</v>
      </c>
      <c r="I196" s="70"/>
      <c r="J196" s="71" t="e">
        <f ca="1"/>
        <v>#NAME?</v>
      </c>
      <c r="K196" s="71" t="e">
        <f ca="1"/>
        <v>#NAME?</v>
      </c>
      <c r="L196" s="72" t="e">
        <f ca="1"/>
        <v>#NAME?</v>
      </c>
      <c r="M196" s="72" t="e">
        <f ca="1"/>
        <v>#NAME?</v>
      </c>
      <c r="N196" s="42"/>
      <c r="O196" s="42"/>
      <c r="P196" s="42"/>
      <c r="Q196" s="42"/>
      <c r="R196" s="42"/>
      <c r="S196" s="42"/>
      <c r="T196" s="42"/>
      <c r="U196" s="42"/>
      <c r="V196" s="42"/>
      <c r="W196" s="42"/>
      <c r="X196" s="42"/>
      <c r="Y196" s="42"/>
      <c r="Z196" s="42"/>
      <c r="AA196" s="42"/>
      <c r="AB196" s="42"/>
      <c r="AC196" s="42"/>
    </row>
    <row r="197" spans="1:29" x14ac:dyDescent="0.25">
      <c r="A197" s="73">
        <f ca="1">IFERROR(__xludf.DUMMYFUNCTION("""COMPUTED_VALUE"""),1)</f>
        <v>1</v>
      </c>
      <c r="B197" s="74"/>
      <c r="C197" s="73">
        <f ca="1">IFERROR(__xludf.DUMMYFUNCTION("""COMPUTED_VALUE"""),30)</f>
        <v>30</v>
      </c>
      <c r="D197" s="74"/>
      <c r="E197" s="74" t="str">
        <f ca="1">IFERROR(__xludf.DUMMYFUNCTION("""COMPUTED_VALUE"""),"BR3004")</f>
        <v>BR3004</v>
      </c>
      <c r="F197" s="76" t="str">
        <f ca="1">IFERROR(__xludf.DUMMYFUNCTION("""COMPUTED_VALUE"""),"Maintain product-specific discount vouchers")</f>
        <v>Maintain product-specific discount vouchers</v>
      </c>
      <c r="G197" s="74"/>
      <c r="H197" s="79" t="e">
        <f ca="1">'Key Design Decisions'!$A$324</f>
        <v>#NAME?</v>
      </c>
      <c r="I197" s="77"/>
      <c r="J197" s="71" t="e">
        <f ca="1"/>
        <v>#NAME?</v>
      </c>
      <c r="K197" s="71" t="e">
        <f ca="1"/>
        <v>#NAME?</v>
      </c>
      <c r="L197" s="72" t="e">
        <f ca="1"/>
        <v>#NAME?</v>
      </c>
      <c r="M197" s="72" t="e">
        <f ca="1"/>
        <v>#NAME?</v>
      </c>
      <c r="N197" s="42"/>
      <c r="O197" s="42"/>
      <c r="P197" s="42"/>
      <c r="Q197" s="42"/>
      <c r="R197" s="42"/>
      <c r="S197" s="42"/>
      <c r="T197" s="42"/>
      <c r="U197" s="42"/>
      <c r="V197" s="42"/>
      <c r="W197" s="42"/>
      <c r="X197" s="42"/>
      <c r="Y197" s="42"/>
      <c r="Z197" s="42"/>
      <c r="AA197" s="42"/>
      <c r="AB197" s="42"/>
      <c r="AC197" s="42"/>
    </row>
    <row r="198" spans="1:29" x14ac:dyDescent="0.25">
      <c r="A198" s="66">
        <f ca="1">IFERROR(__xludf.DUMMYFUNCTION("""COMPUTED_VALUE"""),1)</f>
        <v>1</v>
      </c>
      <c r="B198" s="67"/>
      <c r="C198" s="66">
        <f ca="1">IFERROR(__xludf.DUMMYFUNCTION("""COMPUTED_VALUE"""),30)</f>
        <v>30</v>
      </c>
      <c r="D198" s="67"/>
      <c r="E198" s="67" t="str">
        <f ca="1">IFERROR(__xludf.DUMMYFUNCTION("""COMPUTED_VALUE"""),"BR3005")</f>
        <v>BR3005</v>
      </c>
      <c r="F198" s="69" t="str">
        <f ca="1">IFERROR(__xludf.DUMMYFUNCTION("""COMPUTED_VALUE"""),"Use Discount Vouchers at checkout")</f>
        <v>Use Discount Vouchers at checkout</v>
      </c>
      <c r="G198" s="67"/>
      <c r="H198" s="78" t="e">
        <f ca="1">'Key Design Decisions'!$A$324</f>
        <v>#NAME?</v>
      </c>
      <c r="I198" s="70"/>
      <c r="J198" s="71" t="e">
        <f ca="1"/>
        <v>#NAME?</v>
      </c>
      <c r="K198" s="71" t="e">
        <f ca="1"/>
        <v>#NAME?</v>
      </c>
      <c r="L198" s="72" t="e">
        <f ca="1"/>
        <v>#NAME?</v>
      </c>
      <c r="M198" s="72" t="e">
        <f ca="1"/>
        <v>#NAME?</v>
      </c>
      <c r="N198" s="42"/>
      <c r="O198" s="42"/>
      <c r="P198" s="42"/>
      <c r="Q198" s="42"/>
      <c r="R198" s="42"/>
      <c r="S198" s="42"/>
      <c r="T198" s="42"/>
      <c r="U198" s="42"/>
      <c r="V198" s="42"/>
      <c r="W198" s="42"/>
      <c r="X198" s="42"/>
      <c r="Y198" s="42"/>
      <c r="Z198" s="42"/>
      <c r="AA198" s="42"/>
      <c r="AB198" s="42"/>
      <c r="AC198" s="42"/>
    </row>
    <row r="199" spans="1:29" x14ac:dyDescent="0.25">
      <c r="A199" s="73">
        <f ca="1">IFERROR(__xludf.DUMMYFUNCTION("""COMPUTED_VALUE"""),1)</f>
        <v>1</v>
      </c>
      <c r="B199" s="74"/>
      <c r="C199" s="73">
        <f ca="1">IFERROR(__xludf.DUMMYFUNCTION("""COMPUTED_VALUE"""),31)</f>
        <v>31</v>
      </c>
      <c r="D199" s="74" t="str">
        <f ca="1">IFERROR(__xludf.DUMMYFUNCTION("""COMPUTED_VALUE"""),"31 B2C Co Parcel Packing and Dispatch")</f>
        <v>31 B2C Co Parcel Packing and Dispatch</v>
      </c>
      <c r="E199" s="74" t="str">
        <f ca="1">IFERROR(__xludf.DUMMYFUNCTION("""COMPUTED_VALUE"""),"ReqID")</f>
        <v>ReqID</v>
      </c>
      <c r="F199" s="76" t="str">
        <f ca="1">IFERROR(__xludf.DUMMYFUNCTION("""COMPUTED_VALUE"""),"Requirement")</f>
        <v>Requirement</v>
      </c>
      <c r="G199" s="74"/>
      <c r="H199" s="79" t="e">
        <f ca="1">'Key Design Decisions'!$A$296</f>
        <v>#NAME?</v>
      </c>
      <c r="I199" s="79" t="e">
        <f ca="1">'Key Design Decisions'!$A$303</f>
        <v>#NAME?</v>
      </c>
      <c r="J199" s="71" t="e">
        <f ca="1"/>
        <v>#NAME?</v>
      </c>
      <c r="K199" s="71" t="e">
        <f ca="1"/>
        <v>#NAME?</v>
      </c>
      <c r="L199" s="72" t="e">
        <f ca="1"/>
        <v>#NAME?</v>
      </c>
      <c r="M199" s="72" t="e">
        <f ca="1"/>
        <v>#NAME?</v>
      </c>
      <c r="N199" s="42"/>
      <c r="O199" s="42"/>
      <c r="P199" s="42"/>
      <c r="Q199" s="42"/>
      <c r="R199" s="42"/>
      <c r="S199" s="42"/>
      <c r="T199" s="42"/>
      <c r="U199" s="42"/>
      <c r="V199" s="42"/>
      <c r="W199" s="42"/>
      <c r="X199" s="42"/>
      <c r="Y199" s="42"/>
      <c r="Z199" s="42"/>
      <c r="AA199" s="42"/>
      <c r="AB199" s="42"/>
      <c r="AC199" s="42"/>
    </row>
    <row r="200" spans="1:29" x14ac:dyDescent="0.25">
      <c r="A200" s="66">
        <f ca="1">IFERROR(__xludf.DUMMYFUNCTION("""COMPUTED_VALUE"""),1)</f>
        <v>1</v>
      </c>
      <c r="B200" s="67"/>
      <c r="C200" s="66">
        <f ca="1">IFERROR(__xludf.DUMMYFUNCTION("""COMPUTED_VALUE"""),31)</f>
        <v>31</v>
      </c>
      <c r="D200" s="67"/>
      <c r="E200" s="67" t="str">
        <f ca="1">IFERROR(__xludf.DUMMYFUNCTION("""COMPUTED_VALUE"""),"BR3101")</f>
        <v>BR3101</v>
      </c>
      <c r="F200" s="69" t="str">
        <f ca="1">IFERROR(__xludf.DUMMYFUNCTION("""COMPUTED_VALUE"""),"Transpharm prepares orders for B2C Co")</f>
        <v>Transpharm prepares orders for B2C Co</v>
      </c>
      <c r="G200" s="67"/>
      <c r="H200" s="78" t="e">
        <f ca="1">'Key Design Decisions'!$A$296</f>
        <v>#NAME?</v>
      </c>
      <c r="I200" s="78" t="e">
        <f ca="1">'Key Design Decisions'!$A$332</f>
        <v>#NAME?</v>
      </c>
      <c r="J200" s="71" t="e">
        <f ca="1"/>
        <v>#NAME?</v>
      </c>
      <c r="K200" s="71" t="e">
        <f ca="1"/>
        <v>#NAME?</v>
      </c>
      <c r="L200" s="72" t="e">
        <f ca="1"/>
        <v>#NAME?</v>
      </c>
      <c r="M200" s="72" t="e">
        <f ca="1"/>
        <v>#NAME?</v>
      </c>
      <c r="N200" s="42"/>
      <c r="O200" s="42"/>
      <c r="P200" s="42"/>
      <c r="Q200" s="42"/>
      <c r="R200" s="42"/>
      <c r="S200" s="42"/>
      <c r="T200" s="42"/>
      <c r="U200" s="42"/>
      <c r="V200" s="42"/>
      <c r="W200" s="42"/>
      <c r="X200" s="42"/>
      <c r="Y200" s="42"/>
      <c r="Z200" s="42"/>
      <c r="AA200" s="42"/>
      <c r="AB200" s="42"/>
      <c r="AC200" s="42"/>
    </row>
    <row r="201" spans="1:29" x14ac:dyDescent="0.25">
      <c r="A201" s="73">
        <f ca="1">IFERROR(__xludf.DUMMYFUNCTION("""COMPUTED_VALUE"""),1)</f>
        <v>1</v>
      </c>
      <c r="B201" s="74"/>
      <c r="C201" s="73">
        <f ca="1">IFERROR(__xludf.DUMMYFUNCTION("""COMPUTED_VALUE"""),31)</f>
        <v>31</v>
      </c>
      <c r="D201" s="74"/>
      <c r="E201" s="74" t="str">
        <f ca="1">IFERROR(__xludf.DUMMYFUNCTION("""COMPUTED_VALUE"""),"BR3102")</f>
        <v>BR3102</v>
      </c>
      <c r="F201" s="76" t="str">
        <f ca="1">IFERROR(__xludf.DUMMYFUNCTION("""COMPUTED_VALUE"""),"B2C Co packs customer parcels for prepared Transpharm orders")</f>
        <v>B2C Co packs customer parcels for prepared Transpharm orders</v>
      </c>
      <c r="G201" s="74"/>
      <c r="H201" s="77"/>
      <c r="I201" s="77"/>
      <c r="J201" s="71" t="str">
        <f ca="1"/>
        <v/>
      </c>
      <c r="K201" s="71" t="str">
        <f ca="1"/>
        <v/>
      </c>
      <c r="L201" s="72" t="str">
        <f ca="1"/>
        <v/>
      </c>
      <c r="M201" s="72" t="str">
        <f ca="1"/>
        <v/>
      </c>
      <c r="N201" s="42"/>
      <c r="O201" s="42"/>
      <c r="P201" s="42"/>
      <c r="Q201" s="42"/>
      <c r="R201" s="42"/>
      <c r="S201" s="42"/>
      <c r="T201" s="42"/>
      <c r="U201" s="42"/>
      <c r="V201" s="42"/>
      <c r="W201" s="42"/>
      <c r="X201" s="42"/>
      <c r="Y201" s="42"/>
      <c r="Z201" s="42"/>
      <c r="AA201" s="42"/>
      <c r="AB201" s="42"/>
      <c r="AC201" s="42"/>
    </row>
    <row r="202" spans="1:29" x14ac:dyDescent="0.25">
      <c r="A202" s="66">
        <f ca="1">IFERROR(__xludf.DUMMYFUNCTION("""COMPUTED_VALUE"""),1)</f>
        <v>1</v>
      </c>
      <c r="B202" s="67"/>
      <c r="C202" s="66">
        <f ca="1">IFERROR(__xludf.DUMMYFUNCTION("""COMPUTED_VALUE"""),31)</f>
        <v>31</v>
      </c>
      <c r="D202" s="67"/>
      <c r="E202" s="67" t="str">
        <f ca="1">IFERROR(__xludf.DUMMYFUNCTION("""COMPUTED_VALUE"""),"BR3103")</f>
        <v>BR3103</v>
      </c>
      <c r="F202" s="69" t="str">
        <f ca="1">IFERROR(__xludf.DUMMYFUNCTION("""COMPUTED_VALUE"""),"B2C Co dispatches own packed customer parcels")</f>
        <v>B2C Co dispatches own packed customer parcels</v>
      </c>
      <c r="G202" s="67"/>
      <c r="H202" s="78" t="e">
        <f ca="1">'Key Design Decisions'!$A$309</f>
        <v>#NAME?</v>
      </c>
      <c r="I202" s="70"/>
      <c r="J202" s="71" t="e">
        <f ca="1"/>
        <v>#NAME?</v>
      </c>
      <c r="K202" s="71" t="e">
        <f ca="1"/>
        <v>#NAME?</v>
      </c>
      <c r="L202" s="72" t="e">
        <f ca="1"/>
        <v>#NAME?</v>
      </c>
      <c r="M202" s="72" t="e">
        <f ca="1"/>
        <v>#NAME?</v>
      </c>
      <c r="N202" s="42"/>
      <c r="O202" s="42"/>
      <c r="P202" s="42"/>
      <c r="Q202" s="42"/>
      <c r="R202" s="42"/>
      <c r="S202" s="42"/>
      <c r="T202" s="42"/>
      <c r="U202" s="42"/>
      <c r="V202" s="42"/>
      <c r="W202" s="42"/>
      <c r="X202" s="42"/>
      <c r="Y202" s="42"/>
      <c r="Z202" s="42"/>
      <c r="AA202" s="42"/>
      <c r="AB202" s="42"/>
      <c r="AC202" s="42"/>
    </row>
    <row r="203" spans="1:29" x14ac:dyDescent="0.25">
      <c r="A203" s="73">
        <f ca="1">IFERROR(__xludf.DUMMYFUNCTION("""COMPUTED_VALUE"""),2)</f>
        <v>2</v>
      </c>
      <c r="B203" s="74" t="str">
        <f ca="1">IFERROR(__xludf.DUMMYFUNCTION("""COMPUTED_VALUE"""),"Information Requirements")</f>
        <v>Information Requirements</v>
      </c>
      <c r="C203" s="73">
        <f ca="1">IFERROR(__xludf.DUMMYFUNCTION("""COMPUTED_VALUE"""),0)</f>
        <v>0</v>
      </c>
      <c r="D203" s="74"/>
      <c r="E203" s="74"/>
      <c r="F203" s="76"/>
      <c r="G203" s="74"/>
      <c r="H203" s="79" t="e">
        <f ca="1">'Key Design Decisions'!$A$296</f>
        <v>#NAME?</v>
      </c>
      <c r="I203" s="79" t="e">
        <f ca="1">'Key Design Decisions'!$A$303</f>
        <v>#NAME?</v>
      </c>
      <c r="J203" s="71" t="e">
        <f ca="1"/>
        <v>#NAME?</v>
      </c>
      <c r="K203" s="71" t="e">
        <f ca="1"/>
        <v>#NAME?</v>
      </c>
      <c r="L203" s="72" t="e">
        <f ca="1"/>
        <v>#NAME?</v>
      </c>
      <c r="M203" s="72" t="e">
        <f ca="1"/>
        <v>#NAME?</v>
      </c>
      <c r="N203" s="42"/>
      <c r="O203" s="42"/>
      <c r="P203" s="42"/>
      <c r="Q203" s="42"/>
      <c r="R203" s="42"/>
      <c r="S203" s="42"/>
      <c r="T203" s="42"/>
      <c r="U203" s="42"/>
      <c r="V203" s="42"/>
      <c r="W203" s="42"/>
      <c r="X203" s="42"/>
      <c r="Y203" s="42"/>
      <c r="Z203" s="42"/>
      <c r="AA203" s="42"/>
      <c r="AB203" s="42"/>
      <c r="AC203" s="42"/>
    </row>
    <row r="204" spans="1:29" x14ac:dyDescent="0.25">
      <c r="A204" s="66">
        <f ca="1">IFERROR(__xludf.DUMMYFUNCTION("""COMPUTED_VALUE"""),2)</f>
        <v>2</v>
      </c>
      <c r="B204" s="67"/>
      <c r="C204" s="66">
        <f ca="1">IFERROR(__xludf.DUMMYFUNCTION("""COMPUTED_VALUE"""),1)</f>
        <v>1</v>
      </c>
      <c r="D204" s="67" t="str">
        <f ca="1">IFERROR(__xludf.DUMMYFUNCTION("""COMPUTED_VALUE"""),"1 Operational Reports")</f>
        <v>1 Operational Reports</v>
      </c>
      <c r="E204" s="67" t="str">
        <f ca="1">IFERROR(__xludf.DUMMYFUNCTION("""COMPUTED_VALUE"""),"ReqID")</f>
        <v>ReqID</v>
      </c>
      <c r="F204" s="69" t="str">
        <f ca="1">IFERROR(__xludf.DUMMYFUNCTION("""COMPUTED_VALUE"""),"Requirement")</f>
        <v>Requirement</v>
      </c>
      <c r="G204" s="67"/>
      <c r="H204" s="78" t="e">
        <f ca="1">'Key Design Decisions'!$A$324</f>
        <v>#NAME?</v>
      </c>
      <c r="I204" s="78" t="e">
        <f ca="1">'Key Design Decisions'!$A$332</f>
        <v>#NAME?</v>
      </c>
      <c r="J204" s="71" t="e">
        <f ca="1"/>
        <v>#NAME?</v>
      </c>
      <c r="K204" s="71" t="e">
        <f ca="1"/>
        <v>#NAME?</v>
      </c>
      <c r="L204" s="72" t="e">
        <f ca="1"/>
        <v>#NAME?</v>
      </c>
      <c r="M204" s="72" t="e">
        <f ca="1"/>
        <v>#NAME?</v>
      </c>
      <c r="N204" s="42"/>
      <c r="O204" s="42"/>
      <c r="P204" s="42"/>
      <c r="Q204" s="42"/>
      <c r="R204" s="42"/>
      <c r="S204" s="42"/>
      <c r="T204" s="42"/>
      <c r="U204" s="42"/>
      <c r="V204" s="42"/>
      <c r="W204" s="42"/>
      <c r="X204" s="42"/>
      <c r="Y204" s="42"/>
      <c r="Z204" s="42"/>
      <c r="AA204" s="42"/>
      <c r="AB204" s="42"/>
      <c r="AC204" s="42"/>
    </row>
    <row r="205" spans="1:29" x14ac:dyDescent="0.25">
      <c r="A205" s="73">
        <f ca="1">IFERROR(__xludf.DUMMYFUNCTION("""COMPUTED_VALUE"""),2)</f>
        <v>2</v>
      </c>
      <c r="B205" s="74"/>
      <c r="C205" s="73">
        <f ca="1">IFERROR(__xludf.DUMMYFUNCTION("""COMPUTED_VALUE"""),1)</f>
        <v>1</v>
      </c>
      <c r="D205" s="74"/>
      <c r="E205" s="74" t="str">
        <f ca="1">IFERROR(__xludf.DUMMYFUNCTION("""COMPUTED_VALUE"""),"IR0101")</f>
        <v>IR0101</v>
      </c>
      <c r="F205" s="76" t="str">
        <f ca="1">IFERROR(__xludf.DUMMYFUNCTION("""COMPUTED_VALUE"""),"Provide an operational dashboard")</f>
        <v>Provide an operational dashboard</v>
      </c>
      <c r="G205" s="74"/>
      <c r="H205" s="77"/>
      <c r="I205" s="77"/>
      <c r="J205" s="71" t="str">
        <f ca="1"/>
        <v/>
      </c>
      <c r="K205" s="71" t="str">
        <f ca="1"/>
        <v/>
      </c>
      <c r="L205" s="72" t="str">
        <f ca="1"/>
        <v/>
      </c>
      <c r="M205" s="72" t="str">
        <f ca="1"/>
        <v/>
      </c>
      <c r="N205" s="42"/>
      <c r="O205" s="42"/>
      <c r="P205" s="42"/>
      <c r="Q205" s="42"/>
      <c r="R205" s="42"/>
      <c r="S205" s="42"/>
      <c r="T205" s="42"/>
      <c r="U205" s="42"/>
      <c r="V205" s="42"/>
      <c r="W205" s="42"/>
      <c r="X205" s="42"/>
      <c r="Y205" s="42"/>
      <c r="Z205" s="42"/>
      <c r="AA205" s="42"/>
      <c r="AB205" s="42"/>
      <c r="AC205" s="42"/>
    </row>
    <row r="206" spans="1:29" x14ac:dyDescent="0.25">
      <c r="A206" s="66">
        <f ca="1">IFERROR(__xludf.DUMMYFUNCTION("""COMPUTED_VALUE"""),2)</f>
        <v>2</v>
      </c>
      <c r="B206" s="67"/>
      <c r="C206" s="66">
        <f ca="1">IFERROR(__xludf.DUMMYFUNCTION("""COMPUTED_VALUE"""),1)</f>
        <v>1</v>
      </c>
      <c r="D206" s="67"/>
      <c r="E206" s="67" t="str">
        <f ca="1">IFERROR(__xludf.DUMMYFUNCTION("""COMPUTED_VALUE"""),"IR0102")</f>
        <v>IR0102</v>
      </c>
      <c r="F206" s="69" t="str">
        <f ca="1">IFERROR(__xludf.DUMMYFUNCTION("""COMPUTED_VALUE"""),"Provide operational performance and exception reports")</f>
        <v>Provide operational performance and exception reports</v>
      </c>
      <c r="G206" s="67"/>
      <c r="H206" s="70"/>
      <c r="I206" s="70"/>
      <c r="J206" s="71" t="str">
        <f ca="1"/>
        <v/>
      </c>
      <c r="K206" s="71" t="str">
        <f ca="1"/>
        <v/>
      </c>
      <c r="L206" s="72" t="str">
        <f ca="1"/>
        <v/>
      </c>
      <c r="M206" s="72" t="str">
        <f ca="1"/>
        <v/>
      </c>
      <c r="N206" s="42"/>
      <c r="O206" s="42"/>
      <c r="P206" s="42"/>
      <c r="Q206" s="42"/>
      <c r="R206" s="42"/>
      <c r="S206" s="42"/>
      <c r="T206" s="42"/>
      <c r="U206" s="42"/>
      <c r="V206" s="42"/>
      <c r="W206" s="42"/>
      <c r="X206" s="42"/>
      <c r="Y206" s="42"/>
      <c r="Z206" s="42"/>
      <c r="AA206" s="42"/>
      <c r="AB206" s="42"/>
      <c r="AC206" s="42"/>
    </row>
    <row r="207" spans="1:29" x14ac:dyDescent="0.25">
      <c r="A207" s="73">
        <f ca="1">IFERROR(__xludf.DUMMYFUNCTION("""COMPUTED_VALUE"""),2)</f>
        <v>2</v>
      </c>
      <c r="B207" s="74"/>
      <c r="C207" s="73">
        <f ca="1">IFERROR(__xludf.DUMMYFUNCTION("""COMPUTED_VALUE"""),1)</f>
        <v>1</v>
      </c>
      <c r="D207" s="74"/>
      <c r="E207" s="74" t="str">
        <f ca="1">IFERROR(__xludf.DUMMYFUNCTION("""COMPUTED_VALUE"""),"IR0103")</f>
        <v>IR0103</v>
      </c>
      <c r="F207" s="76" t="str">
        <f ca="1">IFERROR(__xludf.DUMMYFUNCTION("""COMPUTED_VALUE"""),"Report to suppliers on their product performance")</f>
        <v>Report to suppliers on their product performance</v>
      </c>
      <c r="G207" s="74"/>
      <c r="H207" s="77"/>
      <c r="I207" s="77"/>
      <c r="J207" s="71" t="str">
        <f ca="1"/>
        <v/>
      </c>
      <c r="K207" s="71" t="str">
        <f ca="1"/>
        <v/>
      </c>
      <c r="L207" s="72" t="str">
        <f ca="1"/>
        <v/>
      </c>
      <c r="M207" s="72" t="str">
        <f ca="1"/>
        <v/>
      </c>
      <c r="N207" s="42"/>
      <c r="O207" s="42"/>
      <c r="P207" s="42"/>
      <c r="Q207" s="42"/>
      <c r="R207" s="42"/>
      <c r="S207" s="42"/>
      <c r="T207" s="42"/>
      <c r="U207" s="42"/>
      <c r="V207" s="42"/>
      <c r="W207" s="42"/>
      <c r="X207" s="42"/>
      <c r="Y207" s="42"/>
      <c r="Z207" s="42"/>
      <c r="AA207" s="42"/>
      <c r="AB207" s="42"/>
      <c r="AC207" s="42"/>
    </row>
    <row r="208" spans="1:29" x14ac:dyDescent="0.25">
      <c r="A208" s="66">
        <f ca="1">IFERROR(__xludf.DUMMYFUNCTION("""COMPUTED_VALUE"""),2)</f>
        <v>2</v>
      </c>
      <c r="B208" s="67"/>
      <c r="C208" s="66">
        <f ca="1">IFERROR(__xludf.DUMMYFUNCTION("""COMPUTED_VALUE"""),1)</f>
        <v>1</v>
      </c>
      <c r="D208" s="67"/>
      <c r="E208" s="67" t="str">
        <f ca="1">IFERROR(__xludf.DUMMYFUNCTION("""COMPUTED_VALUE"""),"IR0104")</f>
        <v>IR0104</v>
      </c>
      <c r="F208" s="69" t="str">
        <f ca="1">IFERROR(__xludf.DUMMYFUNCTION("""COMPUTED_VALUE"""),"Report to suppliers on their fulfilment performance")</f>
        <v>Report to suppliers on their fulfilment performance</v>
      </c>
      <c r="G208" s="67"/>
      <c r="H208" s="70"/>
      <c r="I208" s="70"/>
      <c r="J208" s="71" t="str">
        <f ca="1"/>
        <v/>
      </c>
      <c r="K208" s="71" t="str">
        <f ca="1"/>
        <v/>
      </c>
      <c r="L208" s="72" t="str">
        <f ca="1"/>
        <v/>
      </c>
      <c r="M208" s="72" t="str">
        <f ca="1"/>
        <v/>
      </c>
      <c r="N208" s="42"/>
      <c r="O208" s="42"/>
      <c r="P208" s="42"/>
      <c r="Q208" s="42"/>
      <c r="R208" s="42"/>
      <c r="S208" s="42"/>
      <c r="T208" s="42"/>
      <c r="U208" s="42"/>
      <c r="V208" s="42"/>
      <c r="W208" s="42"/>
      <c r="X208" s="42"/>
      <c r="Y208" s="42"/>
      <c r="Z208" s="42"/>
      <c r="AA208" s="42"/>
      <c r="AB208" s="42"/>
      <c r="AC208" s="42"/>
    </row>
    <row r="209" spans="1:29" x14ac:dyDescent="0.25">
      <c r="A209" s="73">
        <f ca="1">IFERROR(__xludf.DUMMYFUNCTION("""COMPUTED_VALUE"""),2)</f>
        <v>2</v>
      </c>
      <c r="B209" s="74"/>
      <c r="C209" s="73">
        <f ca="1">IFERROR(__xludf.DUMMYFUNCTION("""COMPUTED_VALUE"""),1)</f>
        <v>1</v>
      </c>
      <c r="D209" s="74"/>
      <c r="E209" s="74" t="str">
        <f ca="1">IFERROR(__xludf.DUMMYFUNCTION("""COMPUTED_VALUE"""),"IR0105")</f>
        <v>IR0105</v>
      </c>
      <c r="F209" s="76" t="str">
        <f ca="1">IFERROR(__xludf.DUMMYFUNCTION("""COMPUTED_VALUE"""),"Report on advertisement activity")</f>
        <v>Report on advertisement activity</v>
      </c>
      <c r="G209" s="74"/>
      <c r="H209" s="77"/>
      <c r="I209" s="77"/>
      <c r="J209" s="71" t="str">
        <f ca="1"/>
        <v/>
      </c>
      <c r="K209" s="71" t="str">
        <f ca="1"/>
        <v/>
      </c>
      <c r="L209" s="72" t="str">
        <f ca="1"/>
        <v/>
      </c>
      <c r="M209" s="72" t="str">
        <f ca="1"/>
        <v/>
      </c>
      <c r="N209" s="42"/>
      <c r="O209" s="42"/>
      <c r="P209" s="42"/>
      <c r="Q209" s="42"/>
      <c r="R209" s="42"/>
      <c r="S209" s="42"/>
      <c r="T209" s="42"/>
      <c r="U209" s="42"/>
      <c r="V209" s="42"/>
      <c r="W209" s="42"/>
      <c r="X209" s="42"/>
      <c r="Y209" s="42"/>
      <c r="Z209" s="42"/>
      <c r="AA209" s="42"/>
      <c r="AB209" s="42"/>
      <c r="AC209" s="42"/>
    </row>
    <row r="210" spans="1:29" x14ac:dyDescent="0.25">
      <c r="A210" s="66">
        <f ca="1">IFERROR(__xludf.DUMMYFUNCTION("""COMPUTED_VALUE"""),2)</f>
        <v>2</v>
      </c>
      <c r="B210" s="67"/>
      <c r="C210" s="66">
        <f ca="1">IFERROR(__xludf.DUMMYFUNCTION("""COMPUTED_VALUE"""),1)</f>
        <v>1</v>
      </c>
      <c r="D210" s="67"/>
      <c r="E210" s="67" t="str">
        <f ca="1">IFERROR(__xludf.DUMMYFUNCTION("""COMPUTED_VALUE"""),"IR0106")</f>
        <v>IR0106</v>
      </c>
      <c r="F210" s="69" t="str">
        <f ca="1">IFERROR(__xludf.DUMMYFUNCTION("""COMPUTED_VALUE"""),"Report on article activity")</f>
        <v>Report on article activity</v>
      </c>
      <c r="G210" s="67"/>
      <c r="H210" s="70"/>
      <c r="I210" s="70"/>
      <c r="J210" s="71" t="str">
        <f ca="1"/>
        <v/>
      </c>
      <c r="K210" s="71" t="str">
        <f ca="1"/>
        <v/>
      </c>
      <c r="L210" s="72" t="str">
        <f ca="1"/>
        <v/>
      </c>
      <c r="M210" s="72" t="str">
        <f ca="1"/>
        <v/>
      </c>
      <c r="N210" s="42"/>
      <c r="O210" s="42"/>
      <c r="P210" s="42"/>
      <c r="Q210" s="42"/>
      <c r="R210" s="42"/>
      <c r="S210" s="42"/>
      <c r="T210" s="42"/>
      <c r="U210" s="42"/>
      <c r="V210" s="42"/>
      <c r="W210" s="42"/>
      <c r="X210" s="42"/>
      <c r="Y210" s="42"/>
      <c r="Z210" s="42"/>
      <c r="AA210" s="42"/>
      <c r="AB210" s="42"/>
      <c r="AC210" s="42"/>
    </row>
    <row r="211" spans="1:29" x14ac:dyDescent="0.25">
      <c r="A211" s="73">
        <f ca="1">IFERROR(__xludf.DUMMYFUNCTION("""COMPUTED_VALUE"""),2)</f>
        <v>2</v>
      </c>
      <c r="B211" s="74"/>
      <c r="C211" s="73">
        <f ca="1">IFERROR(__xludf.DUMMYFUNCTION("""COMPUTED_VALUE"""),2)</f>
        <v>2</v>
      </c>
      <c r="D211" s="74" t="str">
        <f ca="1">IFERROR(__xludf.DUMMYFUNCTION("""COMPUTED_VALUE"""),"2 Analytical Reports")</f>
        <v>2 Analytical Reports</v>
      </c>
      <c r="E211" s="74" t="str">
        <f ca="1">IFERROR(__xludf.DUMMYFUNCTION("""COMPUTED_VALUE"""),"ReqID")</f>
        <v>ReqID</v>
      </c>
      <c r="F211" s="76" t="str">
        <f ca="1">IFERROR(__xludf.DUMMYFUNCTION("""COMPUTED_VALUE"""),"Requirement")</f>
        <v>Requirement</v>
      </c>
      <c r="G211" s="74"/>
      <c r="H211" s="77"/>
      <c r="I211" s="77"/>
      <c r="J211" s="71" t="str">
        <f ca="1"/>
        <v/>
      </c>
      <c r="K211" s="71" t="str">
        <f ca="1"/>
        <v/>
      </c>
      <c r="L211" s="72" t="str">
        <f ca="1"/>
        <v/>
      </c>
      <c r="M211" s="72" t="str">
        <f ca="1"/>
        <v/>
      </c>
      <c r="N211" s="42"/>
      <c r="O211" s="42"/>
      <c r="P211" s="42"/>
      <c r="Q211" s="42"/>
      <c r="R211" s="42"/>
      <c r="S211" s="42"/>
      <c r="T211" s="42"/>
      <c r="U211" s="42"/>
      <c r="V211" s="42"/>
      <c r="W211" s="42"/>
      <c r="X211" s="42"/>
      <c r="Y211" s="42"/>
      <c r="Z211" s="42"/>
      <c r="AA211" s="42"/>
      <c r="AB211" s="42"/>
      <c r="AC211" s="42"/>
    </row>
    <row r="212" spans="1:29" x14ac:dyDescent="0.25">
      <c r="A212" s="66">
        <f ca="1">IFERROR(__xludf.DUMMYFUNCTION("""COMPUTED_VALUE"""),2)</f>
        <v>2</v>
      </c>
      <c r="B212" s="67"/>
      <c r="C212" s="66">
        <f ca="1">IFERROR(__xludf.DUMMYFUNCTION("""COMPUTED_VALUE"""),2)</f>
        <v>2</v>
      </c>
      <c r="D212" s="67"/>
      <c r="E212" s="67" t="str">
        <f ca="1">IFERROR(__xludf.DUMMYFUNCTION("""COMPUTED_VALUE"""),"IR0201")</f>
        <v>IR0201</v>
      </c>
      <c r="F212" s="69" t="str">
        <f ca="1">IFERROR(__xludf.DUMMYFUNCTION("""COMPUTED_VALUE"""),"Provide business performance reports")</f>
        <v>Provide business performance reports</v>
      </c>
      <c r="G212" s="67"/>
      <c r="H212" s="70"/>
      <c r="I212" s="70"/>
      <c r="J212" s="71" t="str">
        <f ca="1"/>
        <v/>
      </c>
      <c r="K212" s="71" t="str">
        <f ca="1"/>
        <v/>
      </c>
      <c r="L212" s="72" t="str">
        <f ca="1"/>
        <v/>
      </c>
      <c r="M212" s="72" t="str">
        <f ca="1"/>
        <v/>
      </c>
      <c r="N212" s="42"/>
      <c r="O212" s="42"/>
      <c r="P212" s="42"/>
      <c r="Q212" s="42"/>
      <c r="R212" s="42"/>
      <c r="S212" s="42"/>
      <c r="T212" s="42"/>
      <c r="U212" s="42"/>
      <c r="V212" s="42"/>
      <c r="W212" s="42"/>
      <c r="X212" s="42"/>
      <c r="Y212" s="42"/>
      <c r="Z212" s="42"/>
      <c r="AA212" s="42"/>
      <c r="AB212" s="42"/>
      <c r="AC212" s="42"/>
    </row>
    <row r="213" spans="1:29" x14ac:dyDescent="0.25">
      <c r="A213" s="73">
        <f ca="1">IFERROR(__xludf.DUMMYFUNCTION("""COMPUTED_VALUE"""),2)</f>
        <v>2</v>
      </c>
      <c r="B213" s="74"/>
      <c r="C213" s="73">
        <f ca="1">IFERROR(__xludf.DUMMYFUNCTION("""COMPUTED_VALUE"""),2)</f>
        <v>2</v>
      </c>
      <c r="D213" s="74"/>
      <c r="E213" s="74" t="str">
        <f ca="1">IFERROR(__xludf.DUMMYFUNCTION("""COMPUTED_VALUE"""),"IR0202")</f>
        <v>IR0202</v>
      </c>
      <c r="F213" s="76" t="str">
        <f ca="1">IFERROR(__xludf.DUMMYFUNCTION("""COMPUTED_VALUE"""),"Report on marketing campaign income and expenses")</f>
        <v>Report on marketing campaign income and expenses</v>
      </c>
      <c r="G213" s="74"/>
      <c r="H213" s="77"/>
      <c r="I213" s="77"/>
      <c r="J213" s="71" t="str">
        <f ca="1"/>
        <v/>
      </c>
      <c r="K213" s="71" t="str">
        <f ca="1"/>
        <v/>
      </c>
      <c r="L213" s="72" t="str">
        <f ca="1"/>
        <v/>
      </c>
      <c r="M213" s="72" t="str">
        <f ca="1"/>
        <v/>
      </c>
      <c r="N213" s="42"/>
      <c r="O213" s="42"/>
      <c r="P213" s="42"/>
      <c r="Q213" s="42"/>
      <c r="R213" s="42"/>
      <c r="S213" s="42"/>
      <c r="T213" s="42"/>
      <c r="U213" s="42"/>
      <c r="V213" s="42"/>
      <c r="W213" s="42"/>
      <c r="X213" s="42"/>
      <c r="Y213" s="42"/>
      <c r="Z213" s="42"/>
      <c r="AA213" s="42"/>
      <c r="AB213" s="42"/>
      <c r="AC213" s="42"/>
    </row>
    <row r="214" spans="1:29" x14ac:dyDescent="0.25">
      <c r="A214" s="66">
        <f ca="1">IFERROR(__xludf.DUMMYFUNCTION("""COMPUTED_VALUE"""),2)</f>
        <v>2</v>
      </c>
      <c r="B214" s="67"/>
      <c r="C214" s="66">
        <f ca="1">IFERROR(__xludf.DUMMYFUNCTION("""COMPUTED_VALUE"""),2)</f>
        <v>2</v>
      </c>
      <c r="D214" s="67"/>
      <c r="E214" s="67" t="str">
        <f ca="1">IFERROR(__xludf.DUMMYFUNCTION("""COMPUTED_VALUE"""),"IR0203")</f>
        <v>IR0203</v>
      </c>
      <c r="F214" s="69" t="str">
        <f ca="1">IFERROR(__xludf.DUMMYFUNCTION("""COMPUTED_VALUE"""),"Report on the use of presented content")</f>
        <v>Report on the use of presented content</v>
      </c>
      <c r="G214" s="67"/>
      <c r="H214" s="70"/>
      <c r="I214" s="70"/>
      <c r="J214" s="71" t="str">
        <f ca="1"/>
        <v/>
      </c>
      <c r="K214" s="71" t="str">
        <f ca="1"/>
        <v/>
      </c>
      <c r="L214" s="72" t="str">
        <f ca="1"/>
        <v/>
      </c>
      <c r="M214" s="72" t="str">
        <f ca="1"/>
        <v/>
      </c>
      <c r="N214" s="42"/>
      <c r="O214" s="42"/>
      <c r="P214" s="42"/>
      <c r="Q214" s="42"/>
      <c r="R214" s="42"/>
      <c r="S214" s="42"/>
      <c r="T214" s="42"/>
      <c r="U214" s="42"/>
      <c r="V214" s="42"/>
      <c r="W214" s="42"/>
      <c r="X214" s="42"/>
      <c r="Y214" s="42"/>
      <c r="Z214" s="42"/>
      <c r="AA214" s="42"/>
      <c r="AB214" s="42"/>
      <c r="AC214" s="42"/>
    </row>
    <row r="215" spans="1:29" x14ac:dyDescent="0.25">
      <c r="A215" s="73">
        <f ca="1">IFERROR(__xludf.DUMMYFUNCTION("""COMPUTED_VALUE"""),4)</f>
        <v>4</v>
      </c>
      <c r="B215" s="74" t="str">
        <f ca="1">IFERROR(__xludf.DUMMYFUNCTION("""COMPUTED_VALUE"""),"Non-Functional Requirements")</f>
        <v>Non-Functional Requirements</v>
      </c>
      <c r="C215" s="73">
        <f ca="1">IFERROR(__xludf.DUMMYFUNCTION("""COMPUTED_VALUE"""),0)</f>
        <v>0</v>
      </c>
      <c r="D215" s="74"/>
      <c r="E215" s="74"/>
      <c r="F215" s="76"/>
      <c r="G215" s="74"/>
      <c r="H215" s="77"/>
      <c r="I215" s="77"/>
      <c r="J215" s="71" t="str">
        <f ca="1"/>
        <v/>
      </c>
      <c r="K215" s="71" t="str">
        <f ca="1"/>
        <v/>
      </c>
      <c r="L215" s="72" t="str">
        <f ca="1"/>
        <v/>
      </c>
      <c r="M215" s="72" t="str">
        <f ca="1"/>
        <v/>
      </c>
      <c r="N215" s="42"/>
      <c r="O215" s="42"/>
      <c r="P215" s="42"/>
      <c r="Q215" s="42"/>
      <c r="R215" s="42"/>
      <c r="S215" s="42"/>
      <c r="T215" s="42"/>
      <c r="U215" s="42"/>
      <c r="V215" s="42"/>
      <c r="W215" s="42"/>
      <c r="X215" s="42"/>
      <c r="Y215" s="42"/>
      <c r="Z215" s="42"/>
      <c r="AA215" s="42"/>
      <c r="AB215" s="42"/>
      <c r="AC215" s="42"/>
    </row>
    <row r="216" spans="1:29" x14ac:dyDescent="0.25">
      <c r="A216" s="66">
        <f ca="1">IFERROR(__xludf.DUMMYFUNCTION("""COMPUTED_VALUE"""),4)</f>
        <v>4</v>
      </c>
      <c r="B216" s="67"/>
      <c r="C216" s="66">
        <f ca="1">IFERROR(__xludf.DUMMYFUNCTION("""COMPUTED_VALUE"""),1)</f>
        <v>1</v>
      </c>
      <c r="D216" s="67" t="str">
        <f ca="1">IFERROR(__xludf.DUMMYFUNCTION("""COMPUTED_VALUE"""),"1 Regulatory and Compliance")</f>
        <v>1 Regulatory and Compliance</v>
      </c>
      <c r="E216" s="67" t="str">
        <f ca="1">IFERROR(__xludf.DUMMYFUNCTION("""COMPUTED_VALUE"""),"ReqID")</f>
        <v>ReqID</v>
      </c>
      <c r="F216" s="69" t="str">
        <f ca="1">IFERROR(__xludf.DUMMYFUNCTION("""COMPUTED_VALUE"""),"Requirement")</f>
        <v>Requirement</v>
      </c>
      <c r="G216" s="67"/>
      <c r="H216" s="70"/>
      <c r="I216" s="70"/>
      <c r="J216" s="71" t="str">
        <f ca="1"/>
        <v/>
      </c>
      <c r="K216" s="71" t="str">
        <f ca="1"/>
        <v/>
      </c>
      <c r="L216" s="72" t="str">
        <f ca="1"/>
        <v/>
      </c>
      <c r="M216" s="72" t="str">
        <f ca="1"/>
        <v/>
      </c>
      <c r="N216" s="42"/>
      <c r="O216" s="42"/>
      <c r="P216" s="42"/>
      <c r="Q216" s="42"/>
      <c r="R216" s="42"/>
      <c r="S216" s="42"/>
      <c r="T216" s="42"/>
      <c r="U216" s="42"/>
      <c r="V216" s="42"/>
      <c r="W216" s="42"/>
      <c r="X216" s="42"/>
      <c r="Y216" s="42"/>
      <c r="Z216" s="42"/>
      <c r="AA216" s="42"/>
      <c r="AB216" s="42"/>
      <c r="AC216" s="42"/>
    </row>
    <row r="217" spans="1:29" x14ac:dyDescent="0.25">
      <c r="A217" s="73">
        <f ca="1">IFERROR(__xludf.DUMMYFUNCTION("""COMPUTED_VALUE"""),4)</f>
        <v>4</v>
      </c>
      <c r="B217" s="74"/>
      <c r="C217" s="73">
        <f ca="1">IFERROR(__xludf.DUMMYFUNCTION("""COMPUTED_VALUE"""),1)</f>
        <v>1</v>
      </c>
      <c r="D217" s="74"/>
      <c r="E217" s="74" t="str">
        <f ca="1">IFERROR(__xludf.DUMMYFUNCTION("""COMPUTED_VALUE"""),"NF0101")</f>
        <v>NF0101</v>
      </c>
      <c r="F217" s="76" t="str">
        <f ca="1">IFERROR(__xludf.DUMMYFUNCTION("""COMPUTED_VALUE"""),"Pharmaceutical regulations")</f>
        <v>Pharmaceutical regulations</v>
      </c>
      <c r="G217" s="74"/>
      <c r="H217" s="77"/>
      <c r="I217" s="77"/>
      <c r="J217" s="71" t="str">
        <f ca="1"/>
        <v/>
      </c>
      <c r="K217" s="71" t="str">
        <f ca="1"/>
        <v/>
      </c>
      <c r="L217" s="72" t="str">
        <f ca="1"/>
        <v/>
      </c>
      <c r="M217" s="72" t="str">
        <f ca="1"/>
        <v/>
      </c>
      <c r="N217" s="42"/>
      <c r="O217" s="42"/>
      <c r="P217" s="42"/>
      <c r="Q217" s="42"/>
      <c r="R217" s="42"/>
      <c r="S217" s="42"/>
      <c r="T217" s="42"/>
      <c r="U217" s="42"/>
      <c r="V217" s="42"/>
      <c r="W217" s="42"/>
      <c r="X217" s="42"/>
      <c r="Y217" s="42"/>
      <c r="Z217" s="42"/>
      <c r="AA217" s="42"/>
      <c r="AB217" s="42"/>
      <c r="AC217" s="42"/>
    </row>
    <row r="218" spans="1:29" x14ac:dyDescent="0.25">
      <c r="A218" s="66">
        <f ca="1">IFERROR(__xludf.DUMMYFUNCTION("""COMPUTED_VALUE"""),4)</f>
        <v>4</v>
      </c>
      <c r="B218" s="67"/>
      <c r="C218" s="66">
        <f ca="1">IFERROR(__xludf.DUMMYFUNCTION("""COMPUTED_VALUE"""),1)</f>
        <v>1</v>
      </c>
      <c r="D218" s="67"/>
      <c r="E218" s="67" t="str">
        <f ca="1">IFERROR(__xludf.DUMMYFUNCTION("""COMPUTED_VALUE"""),"NF0102")</f>
        <v>NF0102</v>
      </c>
      <c r="F218" s="69" t="str">
        <f ca="1">IFERROR(__xludf.DUMMYFUNCTION("""COMPUTED_VALUE"""),"Information Privacy regulations")</f>
        <v>Information Privacy regulations</v>
      </c>
      <c r="G218" s="67"/>
      <c r="H218" s="70"/>
      <c r="I218" s="70"/>
      <c r="J218" s="71" t="str">
        <f ca="1"/>
        <v/>
      </c>
      <c r="K218" s="71" t="str">
        <f ca="1"/>
        <v/>
      </c>
      <c r="L218" s="72" t="str">
        <f ca="1"/>
        <v/>
      </c>
      <c r="M218" s="72" t="str">
        <f ca="1"/>
        <v/>
      </c>
      <c r="N218" s="42"/>
      <c r="O218" s="42"/>
      <c r="P218" s="42"/>
      <c r="Q218" s="42"/>
      <c r="R218" s="42"/>
      <c r="S218" s="42"/>
      <c r="T218" s="42"/>
      <c r="U218" s="42"/>
      <c r="V218" s="42"/>
      <c r="W218" s="42"/>
      <c r="X218" s="42"/>
      <c r="Y218" s="42"/>
      <c r="Z218" s="42"/>
      <c r="AA218" s="42"/>
      <c r="AB218" s="42"/>
      <c r="AC218" s="42"/>
    </row>
    <row r="219" spans="1:29" x14ac:dyDescent="0.25">
      <c r="A219" s="73">
        <f ca="1">IFERROR(__xludf.DUMMYFUNCTION("""COMPUTED_VALUE"""),4)</f>
        <v>4</v>
      </c>
      <c r="B219" s="74"/>
      <c r="C219" s="73">
        <f ca="1">IFERROR(__xludf.DUMMYFUNCTION("""COMPUTED_VALUE"""),2)</f>
        <v>2</v>
      </c>
      <c r="D219" s="74" t="str">
        <f ca="1">IFERROR(__xludf.DUMMYFUNCTION("""COMPUTED_VALUE"""),"2 Operational")</f>
        <v>2 Operational</v>
      </c>
      <c r="E219" s="74" t="str">
        <f ca="1">IFERROR(__xludf.DUMMYFUNCTION("""COMPUTED_VALUE"""),"ReqID")</f>
        <v>ReqID</v>
      </c>
      <c r="F219" s="76" t="str">
        <f ca="1">IFERROR(__xludf.DUMMYFUNCTION("""COMPUTED_VALUE"""),"Requirement")</f>
        <v>Requirement</v>
      </c>
      <c r="G219" s="74"/>
      <c r="H219" s="77"/>
      <c r="I219" s="77"/>
      <c r="J219" s="71" t="str">
        <f ca="1"/>
        <v/>
      </c>
      <c r="K219" s="71" t="str">
        <f ca="1"/>
        <v/>
      </c>
      <c r="L219" s="72" t="str">
        <f ca="1"/>
        <v/>
      </c>
      <c r="M219" s="72" t="str">
        <f ca="1"/>
        <v/>
      </c>
      <c r="N219" s="42"/>
      <c r="O219" s="42"/>
      <c r="P219" s="42"/>
      <c r="Q219" s="42"/>
      <c r="R219" s="42"/>
      <c r="S219" s="42"/>
      <c r="T219" s="42"/>
      <c r="U219" s="42"/>
      <c r="V219" s="42"/>
      <c r="W219" s="42"/>
      <c r="X219" s="42"/>
      <c r="Y219" s="42"/>
      <c r="Z219" s="42"/>
      <c r="AA219" s="42"/>
      <c r="AB219" s="42"/>
      <c r="AC219" s="42"/>
    </row>
    <row r="220" spans="1:29" x14ac:dyDescent="0.25">
      <c r="A220" s="66">
        <f ca="1">IFERROR(__xludf.DUMMYFUNCTION("""COMPUTED_VALUE"""),4)</f>
        <v>4</v>
      </c>
      <c r="B220" s="67"/>
      <c r="C220" s="66">
        <f ca="1">IFERROR(__xludf.DUMMYFUNCTION("""COMPUTED_VALUE"""),2)</f>
        <v>2</v>
      </c>
      <c r="D220" s="67"/>
      <c r="E220" s="67" t="str">
        <f ca="1">IFERROR(__xludf.DUMMYFUNCTION("""COMPUTED_VALUE"""),"NF0201")</f>
        <v>NF0201</v>
      </c>
      <c r="F220" s="69" t="str">
        <f ca="1">IFERROR(__xludf.DUMMYFUNCTION("""COMPUTED_VALUE"""),"Geographic Use")</f>
        <v>Geographic Use</v>
      </c>
      <c r="G220" s="67"/>
      <c r="H220" s="70"/>
      <c r="I220" s="70"/>
      <c r="J220" s="71" t="str">
        <f ca="1"/>
        <v/>
      </c>
      <c r="K220" s="71" t="str">
        <f ca="1"/>
        <v/>
      </c>
      <c r="L220" s="72" t="str">
        <f ca="1"/>
        <v/>
      </c>
      <c r="M220" s="72" t="str">
        <f ca="1"/>
        <v/>
      </c>
      <c r="N220" s="42"/>
      <c r="O220" s="42"/>
      <c r="P220" s="42"/>
      <c r="Q220" s="42"/>
      <c r="R220" s="42"/>
      <c r="S220" s="42"/>
      <c r="T220" s="42"/>
      <c r="U220" s="42"/>
      <c r="V220" s="42"/>
      <c r="W220" s="42"/>
      <c r="X220" s="42"/>
      <c r="Y220" s="42"/>
      <c r="Z220" s="42"/>
      <c r="AA220" s="42"/>
      <c r="AB220" s="42"/>
      <c r="AC220" s="42"/>
    </row>
    <row r="221" spans="1:29" x14ac:dyDescent="0.25">
      <c r="A221" s="73">
        <f ca="1">IFERROR(__xludf.DUMMYFUNCTION("""COMPUTED_VALUE"""),4)</f>
        <v>4</v>
      </c>
      <c r="B221" s="74"/>
      <c r="C221" s="73">
        <f ca="1">IFERROR(__xludf.DUMMYFUNCTION("""COMPUTED_VALUE"""),3)</f>
        <v>3</v>
      </c>
      <c r="D221" s="74" t="str">
        <f ca="1">IFERROR(__xludf.DUMMYFUNCTION("""COMPUTED_VALUE"""),"3 Performance")</f>
        <v>3 Performance</v>
      </c>
      <c r="E221" s="74" t="str">
        <f ca="1">IFERROR(__xludf.DUMMYFUNCTION("""COMPUTED_VALUE"""),"ReqID")</f>
        <v>ReqID</v>
      </c>
      <c r="F221" s="76" t="str">
        <f ca="1">IFERROR(__xludf.DUMMYFUNCTION("""COMPUTED_VALUE"""),"Requirement")</f>
        <v>Requirement</v>
      </c>
      <c r="G221" s="74"/>
      <c r="H221" s="77"/>
      <c r="I221" s="77"/>
      <c r="J221" s="71" t="str">
        <f ca="1"/>
        <v/>
      </c>
      <c r="K221" s="71" t="str">
        <f ca="1"/>
        <v/>
      </c>
      <c r="L221" s="72" t="str">
        <f ca="1"/>
        <v/>
      </c>
      <c r="M221" s="72" t="str">
        <f ca="1"/>
        <v/>
      </c>
      <c r="N221" s="42"/>
      <c r="O221" s="42"/>
      <c r="P221" s="42"/>
      <c r="Q221" s="42"/>
      <c r="R221" s="42"/>
      <c r="S221" s="42"/>
      <c r="T221" s="42"/>
      <c r="U221" s="42"/>
      <c r="V221" s="42"/>
      <c r="W221" s="42"/>
      <c r="X221" s="42"/>
      <c r="Y221" s="42"/>
      <c r="Z221" s="42"/>
      <c r="AA221" s="42"/>
      <c r="AB221" s="42"/>
      <c r="AC221" s="42"/>
    </row>
    <row r="222" spans="1:29" x14ac:dyDescent="0.25">
      <c r="A222" s="66">
        <f ca="1">IFERROR(__xludf.DUMMYFUNCTION("""COMPUTED_VALUE"""),4)</f>
        <v>4</v>
      </c>
      <c r="B222" s="67"/>
      <c r="C222" s="66">
        <f ca="1">IFERROR(__xludf.DUMMYFUNCTION("""COMPUTED_VALUE"""),3)</f>
        <v>3</v>
      </c>
      <c r="D222" s="67"/>
      <c r="E222" s="67" t="str">
        <f ca="1">IFERROR(__xludf.DUMMYFUNCTION("""COMPUTED_VALUE"""),"NF0301")</f>
        <v>NF0301</v>
      </c>
      <c r="F222" s="69" t="str">
        <f ca="1">IFERROR(__xludf.DUMMYFUNCTION("""COMPUTED_VALUE"""),"Response time")</f>
        <v>Response time</v>
      </c>
      <c r="G222" s="67"/>
      <c r="H222" s="70"/>
      <c r="I222" s="70"/>
      <c r="J222" s="71" t="str">
        <f ca="1"/>
        <v/>
      </c>
      <c r="K222" s="71" t="str">
        <f ca="1"/>
        <v/>
      </c>
      <c r="L222" s="72" t="str">
        <f ca="1"/>
        <v/>
      </c>
      <c r="M222" s="72" t="str">
        <f ca="1"/>
        <v/>
      </c>
      <c r="N222" s="42"/>
      <c r="O222" s="42"/>
      <c r="P222" s="42"/>
      <c r="Q222" s="42"/>
      <c r="R222" s="42"/>
      <c r="S222" s="42"/>
      <c r="T222" s="42"/>
      <c r="U222" s="42"/>
      <c r="V222" s="42"/>
      <c r="W222" s="42"/>
      <c r="X222" s="42"/>
      <c r="Y222" s="42"/>
      <c r="Z222" s="42"/>
      <c r="AA222" s="42"/>
      <c r="AB222" s="42"/>
      <c r="AC222" s="42"/>
    </row>
    <row r="223" spans="1:29" x14ac:dyDescent="0.25">
      <c r="A223" s="73">
        <f ca="1">IFERROR(__xludf.DUMMYFUNCTION("""COMPUTED_VALUE"""),4)</f>
        <v>4</v>
      </c>
      <c r="B223" s="74"/>
      <c r="C223" s="73">
        <f ca="1">IFERROR(__xludf.DUMMYFUNCTION("""COMPUTED_VALUE"""),3)</f>
        <v>3</v>
      </c>
      <c r="D223" s="74"/>
      <c r="E223" s="74" t="str">
        <f ca="1">IFERROR(__xludf.DUMMYFUNCTION("""COMPUTED_VALUE"""),"NF0302")</f>
        <v>NF0302</v>
      </c>
      <c r="F223" s="76" t="str">
        <f ca="1">IFERROR(__xludf.DUMMYFUNCTION("""COMPUTED_VALUE"""),"Throughput")</f>
        <v>Throughput</v>
      </c>
      <c r="G223" s="74"/>
      <c r="H223" s="77"/>
      <c r="I223" s="77"/>
      <c r="J223" s="71" t="str">
        <f ca="1"/>
        <v/>
      </c>
      <c r="K223" s="71" t="str">
        <f ca="1"/>
        <v/>
      </c>
      <c r="L223" s="72" t="str">
        <f ca="1"/>
        <v/>
      </c>
      <c r="M223" s="72" t="str">
        <f ca="1"/>
        <v/>
      </c>
      <c r="N223" s="42"/>
      <c r="O223" s="42"/>
      <c r="P223" s="42"/>
      <c r="Q223" s="42"/>
      <c r="R223" s="42"/>
      <c r="S223" s="42"/>
      <c r="T223" s="42"/>
      <c r="U223" s="42"/>
      <c r="V223" s="42"/>
      <c r="W223" s="42"/>
      <c r="X223" s="42"/>
      <c r="Y223" s="42"/>
      <c r="Z223" s="42"/>
      <c r="AA223" s="42"/>
      <c r="AB223" s="42"/>
      <c r="AC223" s="42"/>
    </row>
    <row r="224" spans="1:29" x14ac:dyDescent="0.25">
      <c r="A224" s="66">
        <f ca="1">IFERROR(__xludf.DUMMYFUNCTION("""COMPUTED_VALUE"""),4)</f>
        <v>4</v>
      </c>
      <c r="B224" s="67"/>
      <c r="C224" s="66">
        <f ca="1">IFERROR(__xludf.DUMMYFUNCTION("""COMPUTED_VALUE"""),3)</f>
        <v>3</v>
      </c>
      <c r="D224" s="67"/>
      <c r="E224" s="67" t="str">
        <f ca="1">IFERROR(__xludf.DUMMYFUNCTION("""COMPUTED_VALUE"""),"NF0303")</f>
        <v>NF0303</v>
      </c>
      <c r="F224" s="69" t="str">
        <f ca="1">IFERROR(__xludf.DUMMYFUNCTION("""COMPUTED_VALUE"""),"Capacity")</f>
        <v>Capacity</v>
      </c>
      <c r="G224" s="67"/>
      <c r="H224" s="70"/>
      <c r="I224" s="70"/>
      <c r="J224" s="71" t="str">
        <f ca="1"/>
        <v/>
      </c>
      <c r="K224" s="71" t="str">
        <f ca="1"/>
        <v/>
      </c>
      <c r="L224" s="72" t="str">
        <f ca="1"/>
        <v/>
      </c>
      <c r="M224" s="72" t="str">
        <f ca="1"/>
        <v/>
      </c>
      <c r="N224" s="42"/>
      <c r="O224" s="42"/>
      <c r="P224" s="42"/>
      <c r="Q224" s="42"/>
      <c r="R224" s="42"/>
      <c r="S224" s="42"/>
      <c r="T224" s="42"/>
      <c r="U224" s="42"/>
      <c r="V224" s="42"/>
      <c r="W224" s="42"/>
      <c r="X224" s="42"/>
      <c r="Y224" s="42"/>
      <c r="Z224" s="42"/>
      <c r="AA224" s="42"/>
      <c r="AB224" s="42"/>
      <c r="AC224" s="42"/>
    </row>
    <row r="225" spans="1:29" x14ac:dyDescent="0.25">
      <c r="A225" s="73">
        <f ca="1">IFERROR(__xludf.DUMMYFUNCTION("""COMPUTED_VALUE"""),4)</f>
        <v>4</v>
      </c>
      <c r="B225" s="74"/>
      <c r="C225" s="73">
        <f ca="1">IFERROR(__xludf.DUMMYFUNCTION("""COMPUTED_VALUE"""),3)</f>
        <v>3</v>
      </c>
      <c r="D225" s="74"/>
      <c r="E225" s="74" t="str">
        <f ca="1">IFERROR(__xludf.DUMMYFUNCTION("""COMPUTED_VALUE"""),"NF0304")</f>
        <v>NF0304</v>
      </c>
      <c r="F225" s="76" t="str">
        <f ca="1">IFERROR(__xludf.DUMMYFUNCTION("""COMPUTED_VALUE"""),"Degradation")</f>
        <v>Degradation</v>
      </c>
      <c r="G225" s="74"/>
      <c r="H225" s="77"/>
      <c r="I225" s="77"/>
      <c r="J225" s="71" t="str">
        <f ca="1"/>
        <v/>
      </c>
      <c r="K225" s="71" t="str">
        <f ca="1"/>
        <v/>
      </c>
      <c r="L225" s="72" t="str">
        <f ca="1"/>
        <v/>
      </c>
      <c r="M225" s="72" t="str">
        <f ca="1"/>
        <v/>
      </c>
      <c r="N225" s="42"/>
      <c r="O225" s="42"/>
      <c r="P225" s="42"/>
      <c r="Q225" s="42"/>
      <c r="R225" s="42"/>
      <c r="S225" s="42"/>
      <c r="T225" s="42"/>
      <c r="U225" s="42"/>
      <c r="V225" s="42"/>
      <c r="W225" s="42"/>
      <c r="X225" s="42"/>
      <c r="Y225" s="42"/>
      <c r="Z225" s="42"/>
      <c r="AA225" s="42"/>
      <c r="AB225" s="42"/>
      <c r="AC225" s="42"/>
    </row>
    <row r="226" spans="1:29" x14ac:dyDescent="0.25">
      <c r="A226" s="66">
        <f ca="1">IFERROR(__xludf.DUMMYFUNCTION("""COMPUTED_VALUE"""),4)</f>
        <v>4</v>
      </c>
      <c r="B226" s="67"/>
      <c r="C226" s="66">
        <f ca="1">IFERROR(__xludf.DUMMYFUNCTION("""COMPUTED_VALUE"""),3)</f>
        <v>3</v>
      </c>
      <c r="D226" s="67"/>
      <c r="E226" s="67" t="str">
        <f ca="1">IFERROR(__xludf.DUMMYFUNCTION("""COMPUTED_VALUE"""),"NF0305")</f>
        <v>NF0305</v>
      </c>
      <c r="F226" s="69" t="str">
        <f ca="1">IFERROR(__xludf.DUMMYFUNCTION("""COMPUTED_VALUE"""),"Backup")</f>
        <v>Backup</v>
      </c>
      <c r="G226" s="67"/>
      <c r="H226" s="70"/>
      <c r="I226" s="70"/>
      <c r="J226" s="71" t="str">
        <f ca="1"/>
        <v/>
      </c>
      <c r="K226" s="71" t="str">
        <f ca="1"/>
        <v/>
      </c>
      <c r="L226" s="72" t="str">
        <f ca="1"/>
        <v/>
      </c>
      <c r="M226" s="72" t="str">
        <f ca="1"/>
        <v/>
      </c>
      <c r="N226" s="42"/>
      <c r="O226" s="42"/>
      <c r="P226" s="42"/>
      <c r="Q226" s="42"/>
      <c r="R226" s="42"/>
      <c r="S226" s="42"/>
      <c r="T226" s="42"/>
      <c r="U226" s="42"/>
      <c r="V226" s="42"/>
      <c r="W226" s="42"/>
      <c r="X226" s="42"/>
      <c r="Y226" s="42"/>
      <c r="Z226" s="42"/>
      <c r="AA226" s="42"/>
      <c r="AB226" s="42"/>
      <c r="AC226" s="42"/>
    </row>
    <row r="227" spans="1:29" x14ac:dyDescent="0.25">
      <c r="A227" s="73">
        <f ca="1">IFERROR(__xludf.DUMMYFUNCTION("""COMPUTED_VALUE"""),4)</f>
        <v>4</v>
      </c>
      <c r="B227" s="74"/>
      <c r="C227" s="73">
        <f ca="1">IFERROR(__xludf.DUMMYFUNCTION("""COMPUTED_VALUE"""),4)</f>
        <v>4</v>
      </c>
      <c r="D227" s="74" t="str">
        <f ca="1">IFERROR(__xludf.DUMMYFUNCTION("""COMPUTED_VALUE"""),"4 Reliability, Availability and Integrity")</f>
        <v>4 Reliability, Availability and Integrity</v>
      </c>
      <c r="E227" s="74" t="str">
        <f ca="1">IFERROR(__xludf.DUMMYFUNCTION("""COMPUTED_VALUE"""),"ReqID")</f>
        <v>ReqID</v>
      </c>
      <c r="F227" s="76" t="str">
        <f ca="1">IFERROR(__xludf.DUMMYFUNCTION("""COMPUTED_VALUE"""),"Requirement")</f>
        <v>Requirement</v>
      </c>
      <c r="G227" s="74"/>
      <c r="H227" s="77"/>
      <c r="I227" s="77"/>
      <c r="J227" s="71" t="str">
        <f ca="1"/>
        <v/>
      </c>
      <c r="K227" s="71" t="str">
        <f ca="1"/>
        <v/>
      </c>
      <c r="L227" s="72" t="str">
        <f ca="1"/>
        <v/>
      </c>
      <c r="M227" s="72" t="str">
        <f ca="1"/>
        <v/>
      </c>
      <c r="N227" s="42"/>
      <c r="O227" s="42"/>
      <c r="P227" s="42"/>
      <c r="Q227" s="42"/>
      <c r="R227" s="42"/>
      <c r="S227" s="42"/>
      <c r="T227" s="42"/>
      <c r="U227" s="42"/>
      <c r="V227" s="42"/>
      <c r="W227" s="42"/>
      <c r="X227" s="42"/>
      <c r="Y227" s="42"/>
      <c r="Z227" s="42"/>
      <c r="AA227" s="42"/>
      <c r="AB227" s="42"/>
      <c r="AC227" s="42"/>
    </row>
    <row r="228" spans="1:29" x14ac:dyDescent="0.25">
      <c r="A228" s="66">
        <f ca="1">IFERROR(__xludf.DUMMYFUNCTION("""COMPUTED_VALUE"""),4)</f>
        <v>4</v>
      </c>
      <c r="B228" s="67"/>
      <c r="C228" s="66">
        <f ca="1">IFERROR(__xludf.DUMMYFUNCTION("""COMPUTED_VALUE"""),4)</f>
        <v>4</v>
      </c>
      <c r="D228" s="67"/>
      <c r="E228" s="67" t="str">
        <f ca="1">IFERROR(__xludf.DUMMYFUNCTION("""COMPUTED_VALUE"""),"NF0401")</f>
        <v>NF0401</v>
      </c>
      <c r="F228" s="69" t="str">
        <f ca="1">IFERROR(__xludf.DUMMYFUNCTION("""COMPUTED_VALUE"""),"Reliability")</f>
        <v>Reliability</v>
      </c>
      <c r="G228" s="67"/>
      <c r="H228" s="83" t="e">
        <f ca="1">'Key Design Decisions'!$A$158</f>
        <v>#NAME?</v>
      </c>
      <c r="I228" s="66"/>
      <c r="J228" s="84" t="e">
        <f ca="1"/>
        <v>#NAME?</v>
      </c>
      <c r="K228" s="84" t="e">
        <f ca="1"/>
        <v>#NAME?</v>
      </c>
      <c r="L228" s="82" t="e">
        <f ca="1"/>
        <v>#NAME?</v>
      </c>
      <c r="M228" s="82" t="e">
        <f ca="1"/>
        <v>#NAME?</v>
      </c>
      <c r="N228" s="42"/>
      <c r="O228" s="42"/>
      <c r="P228" s="42"/>
      <c r="Q228" s="42"/>
      <c r="R228" s="42"/>
      <c r="S228" s="42"/>
      <c r="T228" s="42"/>
      <c r="U228" s="42"/>
      <c r="V228" s="42"/>
      <c r="W228" s="42"/>
      <c r="X228" s="42"/>
      <c r="Y228" s="42"/>
      <c r="Z228" s="42"/>
      <c r="AA228" s="42"/>
      <c r="AB228" s="42"/>
      <c r="AC228" s="42"/>
    </row>
    <row r="229" spans="1:29" x14ac:dyDescent="0.25">
      <c r="A229" s="73">
        <f ca="1">IFERROR(__xludf.DUMMYFUNCTION("""COMPUTED_VALUE"""),4)</f>
        <v>4</v>
      </c>
      <c r="B229" s="74"/>
      <c r="C229" s="73">
        <f ca="1">IFERROR(__xludf.DUMMYFUNCTION("""COMPUTED_VALUE"""),4)</f>
        <v>4</v>
      </c>
      <c r="D229" s="74"/>
      <c r="E229" s="74" t="str">
        <f ca="1">IFERROR(__xludf.DUMMYFUNCTION("""COMPUTED_VALUE"""),"NF0402")</f>
        <v>NF0402</v>
      </c>
      <c r="F229" s="76" t="str">
        <f ca="1">IFERROR(__xludf.DUMMYFUNCTION("""COMPUTED_VALUE"""),"Availability")</f>
        <v>Availability</v>
      </c>
      <c r="G229" s="74"/>
      <c r="H229" s="73"/>
      <c r="I229" s="73"/>
      <c r="J229" s="84" t="str">
        <f ca="1"/>
        <v/>
      </c>
      <c r="K229" s="84" t="str">
        <f ca="1"/>
        <v/>
      </c>
      <c r="L229" s="82" t="str">
        <f ca="1"/>
        <v/>
      </c>
      <c r="M229" s="82" t="str">
        <f ca="1"/>
        <v/>
      </c>
      <c r="N229" s="42"/>
      <c r="O229" s="42"/>
      <c r="P229" s="42"/>
      <c r="Q229" s="42"/>
      <c r="R229" s="42"/>
      <c r="S229" s="42"/>
      <c r="T229" s="42"/>
      <c r="U229" s="42"/>
      <c r="V229" s="42"/>
      <c r="W229" s="42"/>
      <c r="X229" s="42"/>
      <c r="Y229" s="42"/>
      <c r="Z229" s="42"/>
      <c r="AA229" s="42"/>
      <c r="AB229" s="42"/>
      <c r="AC229" s="42"/>
    </row>
    <row r="230" spans="1:29" x14ac:dyDescent="0.25">
      <c r="A230" s="66">
        <f ca="1">IFERROR(__xludf.DUMMYFUNCTION("""COMPUTED_VALUE"""),4)</f>
        <v>4</v>
      </c>
      <c r="B230" s="67"/>
      <c r="C230" s="66">
        <f ca="1">IFERROR(__xludf.DUMMYFUNCTION("""COMPUTED_VALUE"""),4)</f>
        <v>4</v>
      </c>
      <c r="D230" s="67"/>
      <c r="E230" s="67" t="str">
        <f ca="1">IFERROR(__xludf.DUMMYFUNCTION("""COMPUTED_VALUE"""),"NF0403")</f>
        <v>NF0403</v>
      </c>
      <c r="F230" s="69" t="str">
        <f ca="1">IFERROR(__xludf.DUMMYFUNCTION("""COMPUTED_VALUE"""),"Storage")</f>
        <v>Storage</v>
      </c>
      <c r="G230" s="67"/>
      <c r="H230" s="66"/>
      <c r="I230" s="66"/>
      <c r="J230" s="84" t="str">
        <f ca="1"/>
        <v/>
      </c>
      <c r="K230" s="84" t="str">
        <f ca="1"/>
        <v/>
      </c>
      <c r="L230" s="82" t="str">
        <f ca="1"/>
        <v/>
      </c>
      <c r="M230" s="82" t="str">
        <f ca="1"/>
        <v/>
      </c>
      <c r="N230" s="42"/>
      <c r="O230" s="42"/>
      <c r="P230" s="42"/>
      <c r="Q230" s="42"/>
      <c r="R230" s="42"/>
      <c r="S230" s="42"/>
      <c r="T230" s="42"/>
      <c r="U230" s="42"/>
      <c r="V230" s="42"/>
      <c r="W230" s="42"/>
      <c r="X230" s="42"/>
      <c r="Y230" s="42"/>
      <c r="Z230" s="42"/>
      <c r="AA230" s="42"/>
      <c r="AB230" s="42"/>
      <c r="AC230" s="42"/>
    </row>
    <row r="231" spans="1:29" x14ac:dyDescent="0.25">
      <c r="A231" s="73">
        <f ca="1">IFERROR(__xludf.DUMMYFUNCTION("""COMPUTED_VALUE"""),4)</f>
        <v>4</v>
      </c>
      <c r="B231" s="74"/>
      <c r="C231" s="73">
        <f ca="1">IFERROR(__xludf.DUMMYFUNCTION("""COMPUTED_VALUE"""),4)</f>
        <v>4</v>
      </c>
      <c r="D231" s="74"/>
      <c r="E231" s="74" t="str">
        <f ca="1">IFERROR(__xludf.DUMMYFUNCTION("""COMPUTED_VALUE"""),"NF0404")</f>
        <v>NF0404</v>
      </c>
      <c r="F231" s="76" t="str">
        <f ca="1">IFERROR(__xludf.DUMMYFUNCTION("""COMPUTED_VALUE"""),"Usability and Channel requirements")</f>
        <v>Usability and Channel requirements</v>
      </c>
      <c r="G231" s="74"/>
      <c r="H231" s="73"/>
      <c r="I231" s="73"/>
      <c r="J231" s="84" t="str">
        <f ca="1"/>
        <v/>
      </c>
      <c r="K231" s="84" t="str">
        <f ca="1"/>
        <v/>
      </c>
      <c r="L231" s="82" t="str">
        <f ca="1"/>
        <v/>
      </c>
      <c r="M231" s="82" t="str">
        <f ca="1"/>
        <v/>
      </c>
      <c r="N231" s="42"/>
      <c r="O231" s="42"/>
      <c r="P231" s="42"/>
      <c r="Q231" s="42"/>
      <c r="R231" s="42"/>
      <c r="S231" s="42"/>
      <c r="T231" s="42"/>
      <c r="U231" s="42"/>
      <c r="V231" s="42"/>
      <c r="W231" s="42"/>
      <c r="X231" s="42"/>
      <c r="Y231" s="42"/>
      <c r="Z231" s="42"/>
      <c r="AA231" s="42"/>
      <c r="AB231" s="42"/>
      <c r="AC231" s="42"/>
    </row>
    <row r="232" spans="1:29" x14ac:dyDescent="0.25">
      <c r="A232" s="66">
        <f ca="1">IFERROR(__xludf.DUMMYFUNCTION("""COMPUTED_VALUE"""),4)</f>
        <v>4</v>
      </c>
      <c r="B232" s="67"/>
      <c r="C232" s="66">
        <f ca="1">IFERROR(__xludf.DUMMYFUNCTION("""COMPUTED_VALUE"""),4)</f>
        <v>4</v>
      </c>
      <c r="D232" s="67"/>
      <c r="E232" s="67" t="str">
        <f ca="1">IFERROR(__xludf.DUMMYFUNCTION("""COMPUTED_VALUE"""),"NF0405")</f>
        <v>NF0405</v>
      </c>
      <c r="F232" s="69" t="str">
        <f ca="1">IFERROR(__xludf.DUMMYFUNCTION("""COMPUTED_VALUE"""),"Styling")</f>
        <v>Styling</v>
      </c>
      <c r="G232" s="67"/>
      <c r="H232" s="66"/>
      <c r="I232" s="66"/>
      <c r="J232" s="84" t="str">
        <f ca="1"/>
        <v/>
      </c>
      <c r="K232" s="84" t="str">
        <f ca="1"/>
        <v/>
      </c>
      <c r="L232" s="82" t="str">
        <f ca="1"/>
        <v/>
      </c>
      <c r="M232" s="82" t="str">
        <f ca="1"/>
        <v/>
      </c>
      <c r="N232" s="42"/>
      <c r="O232" s="42"/>
      <c r="P232" s="42"/>
      <c r="Q232" s="42"/>
      <c r="R232" s="42"/>
      <c r="S232" s="42"/>
      <c r="T232" s="42"/>
      <c r="U232" s="42"/>
      <c r="V232" s="42"/>
      <c r="W232" s="42"/>
      <c r="X232" s="42"/>
      <c r="Y232" s="42"/>
      <c r="Z232" s="42"/>
      <c r="AA232" s="42"/>
      <c r="AB232" s="42"/>
      <c r="AC232" s="42"/>
    </row>
    <row r="233" spans="1:29" x14ac:dyDescent="0.25">
      <c r="A233" s="73">
        <f ca="1">IFERROR(__xludf.DUMMYFUNCTION("""COMPUTED_VALUE"""),4)</f>
        <v>4</v>
      </c>
      <c r="B233" s="74"/>
      <c r="C233" s="73">
        <f ca="1">IFERROR(__xludf.DUMMYFUNCTION("""COMPUTED_VALUE"""),5)</f>
        <v>5</v>
      </c>
      <c r="D233" s="74" t="str">
        <f ca="1">IFERROR(__xludf.DUMMYFUNCTION("""COMPUTED_VALUE"""),"5 Security")</f>
        <v>5 Security</v>
      </c>
      <c r="E233" s="74" t="str">
        <f ca="1">IFERROR(__xludf.DUMMYFUNCTION("""COMPUTED_VALUE"""),"ReqID")</f>
        <v>ReqID</v>
      </c>
      <c r="F233" s="76" t="str">
        <f ca="1">IFERROR(__xludf.DUMMYFUNCTION("""COMPUTED_VALUE"""),"Requirement")</f>
        <v>Requirement</v>
      </c>
      <c r="G233" s="74"/>
      <c r="H233" s="73"/>
      <c r="I233" s="73"/>
      <c r="J233" s="84" t="str">
        <f ca="1"/>
        <v/>
      </c>
      <c r="K233" s="84" t="str">
        <f ca="1"/>
        <v/>
      </c>
      <c r="L233" s="82" t="str">
        <f ca="1"/>
        <v/>
      </c>
      <c r="M233" s="82" t="str">
        <f ca="1"/>
        <v/>
      </c>
      <c r="N233" s="42"/>
      <c r="O233" s="42"/>
      <c r="P233" s="42"/>
      <c r="Q233" s="42"/>
      <c r="R233" s="42"/>
      <c r="S233" s="42"/>
      <c r="T233" s="42"/>
      <c r="U233" s="42"/>
      <c r="V233" s="42"/>
      <c r="W233" s="42"/>
      <c r="X233" s="42"/>
      <c r="Y233" s="42"/>
      <c r="Z233" s="42"/>
      <c r="AA233" s="42"/>
      <c r="AB233" s="42"/>
      <c r="AC233" s="42"/>
    </row>
    <row r="234" spans="1:29" x14ac:dyDescent="0.25">
      <c r="A234" s="66">
        <f ca="1">IFERROR(__xludf.DUMMYFUNCTION("""COMPUTED_VALUE"""),4)</f>
        <v>4</v>
      </c>
      <c r="B234" s="67"/>
      <c r="C234" s="66">
        <f ca="1">IFERROR(__xludf.DUMMYFUNCTION("""COMPUTED_VALUE"""),5)</f>
        <v>5</v>
      </c>
      <c r="D234" s="67"/>
      <c r="E234" s="67" t="str">
        <f ca="1">IFERROR(__xludf.DUMMYFUNCTION("""COMPUTED_VALUE"""),"NF0501")</f>
        <v>NF0501</v>
      </c>
      <c r="F234" s="69" t="str">
        <f ca="1">IFERROR(__xludf.DUMMYFUNCTION("""COMPUTED_VALUE"""),"Access Control")</f>
        <v>Access Control</v>
      </c>
      <c r="G234" s="67"/>
      <c r="H234" s="66"/>
      <c r="I234" s="66"/>
      <c r="J234" s="84" t="str">
        <f ca="1"/>
        <v/>
      </c>
      <c r="K234" s="84" t="str">
        <f ca="1"/>
        <v/>
      </c>
      <c r="L234" s="82" t="str">
        <f ca="1"/>
        <v/>
      </c>
      <c r="M234" s="82" t="str">
        <f ca="1"/>
        <v/>
      </c>
      <c r="N234" s="42"/>
      <c r="O234" s="42"/>
      <c r="P234" s="42"/>
      <c r="Q234" s="42"/>
      <c r="R234" s="42"/>
      <c r="S234" s="42"/>
      <c r="T234" s="42"/>
      <c r="U234" s="42"/>
      <c r="V234" s="42"/>
      <c r="W234" s="42"/>
      <c r="X234" s="42"/>
      <c r="Y234" s="42"/>
      <c r="Z234" s="42"/>
      <c r="AA234" s="42"/>
      <c r="AB234" s="42"/>
      <c r="AC234" s="42"/>
    </row>
    <row r="235" spans="1:29" x14ac:dyDescent="0.25">
      <c r="A235" s="73">
        <f ca="1">IFERROR(__xludf.DUMMYFUNCTION("""COMPUTED_VALUE"""),4)</f>
        <v>4</v>
      </c>
      <c r="B235" s="74"/>
      <c r="C235" s="73">
        <f ca="1">IFERROR(__xludf.DUMMYFUNCTION("""COMPUTED_VALUE"""),5)</f>
        <v>5</v>
      </c>
      <c r="D235" s="74"/>
      <c r="E235" s="74" t="str">
        <f ca="1">IFERROR(__xludf.DUMMYFUNCTION("""COMPUTED_VALUE"""),"NF0502")</f>
        <v>NF0502</v>
      </c>
      <c r="F235" s="76" t="str">
        <f ca="1">IFERROR(__xludf.DUMMYFUNCTION("""COMPUTED_VALUE"""),"Hacking Protection")</f>
        <v>Hacking Protection</v>
      </c>
      <c r="G235" s="74"/>
      <c r="H235" s="73"/>
      <c r="I235" s="73"/>
      <c r="J235" s="84" t="str">
        <f ca="1"/>
        <v/>
      </c>
      <c r="K235" s="84" t="str">
        <f ca="1"/>
        <v/>
      </c>
      <c r="L235" s="82" t="str">
        <f ca="1"/>
        <v/>
      </c>
      <c r="M235" s="82" t="str">
        <f ca="1"/>
        <v/>
      </c>
      <c r="N235" s="42"/>
      <c r="O235" s="42"/>
      <c r="P235" s="42"/>
      <c r="Q235" s="42"/>
      <c r="R235" s="42"/>
      <c r="S235" s="42"/>
      <c r="T235" s="42"/>
      <c r="U235" s="42"/>
      <c r="V235" s="42"/>
      <c r="W235" s="42"/>
      <c r="X235" s="42"/>
      <c r="Y235" s="42"/>
      <c r="Z235" s="42"/>
      <c r="AA235" s="42"/>
      <c r="AB235" s="42"/>
      <c r="AC235" s="42"/>
    </row>
    <row r="236" spans="1:29" x14ac:dyDescent="0.25">
      <c r="A236" s="66">
        <f ca="1">IFERROR(__xludf.DUMMYFUNCTION("""COMPUTED_VALUE"""),3)</f>
        <v>3</v>
      </c>
      <c r="B236" s="67" t="str">
        <f ca="1">IFERROR(__xludf.DUMMYFUNCTION("""COMPUTED_VALUE"""),"Data Requirements")</f>
        <v>Data Requirements</v>
      </c>
      <c r="C236" s="66">
        <f ca="1">IFERROR(__xludf.DUMMYFUNCTION("""COMPUTED_VALUE"""),0)</f>
        <v>0</v>
      </c>
      <c r="D236" s="67"/>
      <c r="E236" s="67"/>
      <c r="F236" s="69"/>
      <c r="G236" s="67"/>
      <c r="H236" s="66"/>
      <c r="I236" s="66"/>
      <c r="J236" s="84" t="str">
        <f ca="1"/>
        <v/>
      </c>
      <c r="K236" s="84" t="str">
        <f ca="1"/>
        <v/>
      </c>
      <c r="L236" s="82" t="str">
        <f ca="1"/>
        <v/>
      </c>
      <c r="M236" s="82" t="str">
        <f ca="1"/>
        <v/>
      </c>
      <c r="N236" s="42"/>
      <c r="O236" s="42"/>
      <c r="P236" s="42"/>
      <c r="Q236" s="42"/>
      <c r="R236" s="42"/>
      <c r="S236" s="42"/>
      <c r="T236" s="42"/>
      <c r="U236" s="42"/>
      <c r="V236" s="42"/>
      <c r="W236" s="42"/>
      <c r="X236" s="42"/>
      <c r="Y236" s="42"/>
      <c r="Z236" s="42"/>
      <c r="AA236" s="42"/>
      <c r="AB236" s="42"/>
      <c r="AC236" s="42"/>
    </row>
    <row r="237" spans="1:29" x14ac:dyDescent="0.25">
      <c r="A237" s="73">
        <f ca="1">IFERROR(__xludf.DUMMYFUNCTION("""COMPUTED_VALUE"""),3)</f>
        <v>3</v>
      </c>
      <c r="B237" s="74"/>
      <c r="C237" s="73">
        <f ca="1">IFERROR(__xludf.DUMMYFUNCTION("""COMPUTED_VALUE"""),1)</f>
        <v>1</v>
      </c>
      <c r="D237" s="74" t="str">
        <f ca="1">IFERROR(__xludf.DUMMYFUNCTION("""COMPUTED_VALUE"""),"1 Customer Data Security")</f>
        <v>1 Customer Data Security</v>
      </c>
      <c r="E237" s="74" t="str">
        <f ca="1">IFERROR(__xludf.DUMMYFUNCTION("""COMPUTED_VALUE"""),"ReqID")</f>
        <v>ReqID</v>
      </c>
      <c r="F237" s="76" t="str">
        <f ca="1">IFERROR(__xludf.DUMMYFUNCTION("""COMPUTED_VALUE"""),"Requirement")</f>
        <v>Requirement</v>
      </c>
      <c r="G237" s="74"/>
      <c r="H237" s="73"/>
      <c r="I237" s="73"/>
      <c r="J237" s="84" t="str">
        <f ca="1"/>
        <v/>
      </c>
      <c r="K237" s="84" t="str">
        <f ca="1"/>
        <v/>
      </c>
      <c r="L237" s="82" t="str">
        <f ca="1"/>
        <v/>
      </c>
      <c r="M237" s="82" t="str">
        <f ca="1"/>
        <v/>
      </c>
      <c r="N237" s="42"/>
      <c r="O237" s="42"/>
      <c r="P237" s="42"/>
      <c r="Q237" s="42"/>
      <c r="R237" s="42"/>
      <c r="S237" s="42"/>
      <c r="T237" s="42"/>
      <c r="U237" s="42"/>
      <c r="V237" s="42"/>
      <c r="W237" s="42"/>
      <c r="X237" s="42"/>
      <c r="Y237" s="42"/>
      <c r="Z237" s="42"/>
      <c r="AA237" s="42"/>
      <c r="AB237" s="42"/>
      <c r="AC237" s="42"/>
    </row>
    <row r="238" spans="1:29" x14ac:dyDescent="0.25">
      <c r="A238" s="66">
        <f ca="1">IFERROR(__xludf.DUMMYFUNCTION("""COMPUTED_VALUE"""),3)</f>
        <v>3</v>
      </c>
      <c r="B238" s="67"/>
      <c r="C238" s="66">
        <f ca="1">IFERROR(__xludf.DUMMYFUNCTION("""COMPUTED_VALUE"""),1)</f>
        <v>1</v>
      </c>
      <c r="D238" s="67"/>
      <c r="E238" s="67" t="str">
        <f ca="1">IFERROR(__xludf.DUMMYFUNCTION("""COMPUTED_VALUE"""),"DR0101")</f>
        <v>DR0101</v>
      </c>
      <c r="F238" s="69" t="str">
        <f ca="1">IFERROR(__xludf.DUMMYFUNCTION("""COMPUTED_VALUE"""),"Securely store customer profile")</f>
        <v>Securely store customer profile</v>
      </c>
      <c r="G238" s="67"/>
      <c r="H238" s="66"/>
      <c r="I238" s="66"/>
      <c r="J238" s="84" t="str">
        <f ca="1"/>
        <v/>
      </c>
      <c r="K238" s="84" t="str">
        <f ca="1"/>
        <v/>
      </c>
      <c r="L238" s="82" t="str">
        <f ca="1"/>
        <v/>
      </c>
      <c r="M238" s="82" t="str">
        <f ca="1"/>
        <v/>
      </c>
      <c r="N238" s="42"/>
      <c r="O238" s="42"/>
      <c r="P238" s="42"/>
      <c r="Q238" s="42"/>
      <c r="R238" s="42"/>
      <c r="S238" s="42"/>
      <c r="T238" s="42"/>
      <c r="U238" s="42"/>
      <c r="V238" s="42"/>
      <c r="W238" s="42"/>
      <c r="X238" s="42"/>
      <c r="Y238" s="42"/>
      <c r="Z238" s="42"/>
      <c r="AA238" s="42"/>
      <c r="AB238" s="42"/>
      <c r="AC238" s="42"/>
    </row>
    <row r="239" spans="1:29" x14ac:dyDescent="0.25">
      <c r="A239" s="73">
        <f ca="1">IFERROR(__xludf.DUMMYFUNCTION("""COMPUTED_VALUE"""),3)</f>
        <v>3</v>
      </c>
      <c r="B239" s="74"/>
      <c r="C239" s="73">
        <f ca="1">IFERROR(__xludf.DUMMYFUNCTION("""COMPUTED_VALUE"""),1)</f>
        <v>1</v>
      </c>
      <c r="D239" s="74"/>
      <c r="E239" s="74" t="str">
        <f ca="1">IFERROR(__xludf.DUMMYFUNCTION("""COMPUTED_VALUE"""),"DR0102")</f>
        <v>DR0102</v>
      </c>
      <c r="F239" s="76" t="str">
        <f ca="1">IFERROR(__xludf.DUMMYFUNCTION("""COMPUTED_VALUE"""),"Archive old customer profiles")</f>
        <v>Archive old customer profiles</v>
      </c>
      <c r="G239" s="74"/>
      <c r="H239" s="73"/>
      <c r="I239" s="73"/>
      <c r="J239" s="84" t="str">
        <f ca="1"/>
        <v/>
      </c>
      <c r="K239" s="84" t="str">
        <f ca="1"/>
        <v/>
      </c>
      <c r="L239" s="82" t="str">
        <f ca="1"/>
        <v/>
      </c>
      <c r="M239" s="82" t="str">
        <f ca="1"/>
        <v/>
      </c>
      <c r="N239" s="42"/>
      <c r="O239" s="42"/>
      <c r="P239" s="42"/>
      <c r="Q239" s="42"/>
      <c r="R239" s="42"/>
      <c r="S239" s="42"/>
      <c r="T239" s="42"/>
      <c r="U239" s="42"/>
      <c r="V239" s="42"/>
      <c r="W239" s="42"/>
      <c r="X239" s="42"/>
      <c r="Y239" s="42"/>
      <c r="Z239" s="42"/>
      <c r="AA239" s="42"/>
      <c r="AB239" s="42"/>
      <c r="AC239" s="42"/>
    </row>
    <row r="240" spans="1:29" x14ac:dyDescent="0.25">
      <c r="A240" s="66">
        <f ca="1">IFERROR(__xludf.DUMMYFUNCTION("""COMPUTED_VALUE"""),3)</f>
        <v>3</v>
      </c>
      <c r="B240" s="67"/>
      <c r="C240" s="66">
        <f ca="1">IFERROR(__xludf.DUMMYFUNCTION("""COMPUTED_VALUE"""),2)</f>
        <v>2</v>
      </c>
      <c r="D240" s="67" t="str">
        <f ca="1">IFERROR(__xludf.DUMMYFUNCTION("""COMPUTED_VALUE"""),"2 Customer Data Sharing")</f>
        <v>2 Customer Data Sharing</v>
      </c>
      <c r="E240" s="67" t="str">
        <f ca="1">IFERROR(__xludf.DUMMYFUNCTION("""COMPUTED_VALUE"""),"ReqID")</f>
        <v>ReqID</v>
      </c>
      <c r="F240" s="69" t="str">
        <f ca="1">IFERROR(__xludf.DUMMYFUNCTION("""COMPUTED_VALUE"""),"Requirement")</f>
        <v>Requirement</v>
      </c>
      <c r="G240" s="67"/>
      <c r="H240" s="66"/>
      <c r="I240" s="66"/>
      <c r="J240" s="84" t="str">
        <f ca="1"/>
        <v/>
      </c>
      <c r="K240" s="84" t="str">
        <f ca="1"/>
        <v/>
      </c>
      <c r="L240" s="82" t="str">
        <f ca="1"/>
        <v/>
      </c>
      <c r="M240" s="82" t="str">
        <f ca="1"/>
        <v/>
      </c>
      <c r="N240" s="42"/>
      <c r="O240" s="42"/>
      <c r="P240" s="42"/>
      <c r="Q240" s="42"/>
      <c r="R240" s="42"/>
      <c r="S240" s="42"/>
      <c r="T240" s="42"/>
      <c r="U240" s="42"/>
      <c r="V240" s="42"/>
      <c r="W240" s="42"/>
      <c r="X240" s="42"/>
      <c r="Y240" s="42"/>
      <c r="Z240" s="42"/>
      <c r="AA240" s="42"/>
      <c r="AB240" s="42"/>
      <c r="AC240" s="42"/>
    </row>
    <row r="241" spans="1:29" x14ac:dyDescent="0.25">
      <c r="A241" s="73">
        <f ca="1">IFERROR(__xludf.DUMMYFUNCTION("""COMPUTED_VALUE"""),3)</f>
        <v>3</v>
      </c>
      <c r="B241" s="74"/>
      <c r="C241" s="73">
        <f ca="1">IFERROR(__xludf.DUMMYFUNCTION("""COMPUTED_VALUE"""),2)</f>
        <v>2</v>
      </c>
      <c r="D241" s="74"/>
      <c r="E241" s="74" t="str">
        <f ca="1">IFERROR(__xludf.DUMMYFUNCTION("""COMPUTED_VALUE"""),"DR0201")</f>
        <v>DR0201</v>
      </c>
      <c r="F241" s="76" t="str">
        <f ca="1">IFERROR(__xludf.DUMMYFUNCTION("""COMPUTED_VALUE"""),"Adhere to customer consent to share")</f>
        <v>Adhere to customer consent to share</v>
      </c>
      <c r="G241" s="74"/>
      <c r="H241" s="73"/>
      <c r="I241" s="73"/>
      <c r="J241" s="84" t="str">
        <f ca="1"/>
        <v/>
      </c>
      <c r="K241" s="84" t="str">
        <f ca="1"/>
        <v/>
      </c>
      <c r="L241" s="82" t="str">
        <f ca="1"/>
        <v/>
      </c>
      <c r="M241" s="82" t="str">
        <f ca="1"/>
        <v/>
      </c>
      <c r="N241" s="42"/>
      <c r="O241" s="42"/>
      <c r="P241" s="42"/>
      <c r="Q241" s="42"/>
      <c r="R241" s="42"/>
      <c r="S241" s="42"/>
      <c r="T241" s="42"/>
      <c r="U241" s="42"/>
      <c r="V241" s="42"/>
      <c r="W241" s="42"/>
      <c r="X241" s="42"/>
      <c r="Y241" s="42"/>
      <c r="Z241" s="42"/>
      <c r="AA241" s="42"/>
      <c r="AB241" s="42"/>
      <c r="AC241" s="42"/>
    </row>
    <row r="242" spans="1:29" x14ac:dyDescent="0.25">
      <c r="A242" s="66">
        <f ca="1">IFERROR(__xludf.DUMMYFUNCTION("""COMPUTED_VALUE"""),5)</f>
        <v>5</v>
      </c>
      <c r="B242" s="67" t="str">
        <f ca="1">IFERROR(__xludf.DUMMYFUNCTION("""COMPUTED_VALUE"""),"Constraints, Assumptions, Issues, Risks")</f>
        <v>Constraints, Assumptions, Issues, Risks</v>
      </c>
      <c r="C242" s="66">
        <f ca="1">IFERROR(__xludf.DUMMYFUNCTION("""COMPUTED_VALUE"""),0)</f>
        <v>0</v>
      </c>
      <c r="D242" s="67"/>
      <c r="E242" s="67"/>
      <c r="F242" s="69"/>
      <c r="G242" s="67"/>
      <c r="H242" s="66"/>
      <c r="I242" s="66"/>
      <c r="J242" s="84" t="str">
        <f ca="1"/>
        <v/>
      </c>
      <c r="K242" s="84" t="str">
        <f ca="1"/>
        <v/>
      </c>
      <c r="L242" s="82" t="str">
        <f ca="1"/>
        <v/>
      </c>
      <c r="M242" s="82" t="str">
        <f ca="1"/>
        <v/>
      </c>
      <c r="N242" s="42"/>
      <c r="O242" s="42"/>
      <c r="P242" s="42"/>
      <c r="Q242" s="42"/>
      <c r="R242" s="42"/>
      <c r="S242" s="42"/>
      <c r="T242" s="42"/>
      <c r="U242" s="42"/>
      <c r="V242" s="42"/>
      <c r="W242" s="42"/>
      <c r="X242" s="42"/>
      <c r="Y242" s="42"/>
      <c r="Z242" s="42"/>
      <c r="AA242" s="42"/>
      <c r="AB242" s="42"/>
      <c r="AC242" s="42"/>
    </row>
    <row r="243" spans="1:29" x14ac:dyDescent="0.25">
      <c r="A243" s="73">
        <f ca="1">IFERROR(__xludf.DUMMYFUNCTION("""COMPUTED_VALUE"""),5)</f>
        <v>5</v>
      </c>
      <c r="B243" s="74"/>
      <c r="C243" s="73">
        <f ca="1">IFERROR(__xludf.DUMMYFUNCTION("""COMPUTED_VALUE"""),1)</f>
        <v>1</v>
      </c>
      <c r="D243" s="74" t="str">
        <f ca="1">IFERROR(__xludf.DUMMYFUNCTION("""COMPUTED_VALUE"""),"1 Constraints, Assumptions, Issues, Risks")</f>
        <v>1 Constraints, Assumptions, Issues, Risks</v>
      </c>
      <c r="E243" s="74" t="str">
        <f ca="1">IFERROR(__xludf.DUMMYFUNCTION("""COMPUTED_VALUE"""),"ReqID")</f>
        <v>ReqID</v>
      </c>
      <c r="F243" s="76"/>
      <c r="G243" s="74"/>
      <c r="H243" s="73"/>
      <c r="I243" s="73"/>
      <c r="J243" s="84" t="str">
        <f ca="1"/>
        <v/>
      </c>
      <c r="K243" s="84" t="str">
        <f ca="1"/>
        <v/>
      </c>
      <c r="L243" s="82" t="str">
        <f ca="1"/>
        <v/>
      </c>
      <c r="M243" s="82" t="str">
        <f ca="1"/>
        <v/>
      </c>
      <c r="N243" s="42"/>
      <c r="O243" s="42"/>
      <c r="P243" s="42"/>
      <c r="Q243" s="42"/>
      <c r="R243" s="42"/>
      <c r="S243" s="42"/>
      <c r="T243" s="42"/>
      <c r="U243" s="42"/>
      <c r="V243" s="42"/>
      <c r="W243" s="42"/>
      <c r="X243" s="42"/>
      <c r="Y243" s="42"/>
      <c r="Z243" s="42"/>
      <c r="AA243" s="42"/>
      <c r="AB243" s="42"/>
      <c r="AC243" s="42"/>
    </row>
    <row r="244" spans="1:29" x14ac:dyDescent="0.25">
      <c r="A244" s="66">
        <f ca="1">IFERROR(__xludf.DUMMYFUNCTION("""COMPUTED_VALUE"""),5)</f>
        <v>5</v>
      </c>
      <c r="B244" s="67"/>
      <c r="C244" s="66">
        <f ca="1">IFERROR(__xludf.DUMMYFUNCTION("""COMPUTED_VALUE"""),1)</f>
        <v>1</v>
      </c>
      <c r="D244" s="67"/>
      <c r="E244" s="67" t="str">
        <f ca="1">IFERROR(__xludf.DUMMYFUNCTION("""COMPUTED_VALUE"""),"DR0101")</f>
        <v>DR0101</v>
      </c>
      <c r="F244" s="69" t="str">
        <f ca="1">IFERROR(__xludf.DUMMYFUNCTION("""COMPUTED_VALUE"""),"Constraints")</f>
        <v>Constraints</v>
      </c>
      <c r="G244" s="67"/>
      <c r="H244" s="66"/>
      <c r="I244" s="66"/>
      <c r="J244" s="84" t="str">
        <f ca="1"/>
        <v/>
      </c>
      <c r="K244" s="84" t="str">
        <f ca="1"/>
        <v/>
      </c>
      <c r="L244" s="82" t="str">
        <f ca="1"/>
        <v/>
      </c>
      <c r="M244" s="82" t="str">
        <f ca="1"/>
        <v/>
      </c>
      <c r="N244" s="42"/>
      <c r="O244" s="42"/>
      <c r="P244" s="42"/>
      <c r="Q244" s="42"/>
      <c r="R244" s="42"/>
      <c r="S244" s="42"/>
      <c r="T244" s="42"/>
      <c r="U244" s="42"/>
      <c r="V244" s="42"/>
      <c r="W244" s="42"/>
      <c r="X244" s="42"/>
      <c r="Y244" s="42"/>
      <c r="Z244" s="42"/>
      <c r="AA244" s="42"/>
      <c r="AB244" s="42"/>
      <c r="AC244" s="42"/>
    </row>
    <row r="245" spans="1:29" x14ac:dyDescent="0.25">
      <c r="A245" s="73">
        <f ca="1">IFERROR(__xludf.DUMMYFUNCTION("""COMPUTED_VALUE"""),5)</f>
        <v>5</v>
      </c>
      <c r="B245" s="74"/>
      <c r="C245" s="73">
        <f ca="1">IFERROR(__xludf.DUMMYFUNCTION("""COMPUTED_VALUE"""),1)</f>
        <v>1</v>
      </c>
      <c r="D245" s="74"/>
      <c r="E245" s="74" t="str">
        <f ca="1">IFERROR(__xludf.DUMMYFUNCTION("""COMPUTED_VALUE"""),"DR0102")</f>
        <v>DR0102</v>
      </c>
      <c r="F245" s="76" t="str">
        <f ca="1">IFERROR(__xludf.DUMMYFUNCTION("""COMPUTED_VALUE"""),"Assumptions")</f>
        <v>Assumptions</v>
      </c>
      <c r="G245" s="74"/>
      <c r="H245" s="73"/>
      <c r="I245" s="73"/>
      <c r="J245" s="84" t="str">
        <f ca="1"/>
        <v/>
      </c>
      <c r="K245" s="84" t="str">
        <f ca="1"/>
        <v/>
      </c>
      <c r="L245" s="82" t="str">
        <f ca="1"/>
        <v/>
      </c>
      <c r="M245" s="82" t="str">
        <f ca="1"/>
        <v/>
      </c>
      <c r="N245" s="42"/>
      <c r="O245" s="42"/>
      <c r="P245" s="42"/>
      <c r="Q245" s="42"/>
      <c r="R245" s="42"/>
      <c r="S245" s="42"/>
      <c r="T245" s="42"/>
      <c r="U245" s="42"/>
      <c r="V245" s="42"/>
      <c r="W245" s="42"/>
      <c r="X245" s="42"/>
      <c r="Y245" s="42"/>
      <c r="Z245" s="42"/>
      <c r="AA245" s="42"/>
      <c r="AB245" s="42"/>
      <c r="AC245" s="42"/>
    </row>
    <row r="246" spans="1:29" x14ac:dyDescent="0.25">
      <c r="A246" s="66">
        <f ca="1">IFERROR(__xludf.DUMMYFUNCTION("""COMPUTED_VALUE"""),5)</f>
        <v>5</v>
      </c>
      <c r="B246" s="67"/>
      <c r="C246" s="66">
        <f ca="1">IFERROR(__xludf.DUMMYFUNCTION("""COMPUTED_VALUE"""),1)</f>
        <v>1</v>
      </c>
      <c r="D246" s="67"/>
      <c r="E246" s="67" t="str">
        <f ca="1">IFERROR(__xludf.DUMMYFUNCTION("""COMPUTED_VALUE"""),"DR0103")</f>
        <v>DR0103</v>
      </c>
      <c r="F246" s="69" t="str">
        <f ca="1">IFERROR(__xludf.DUMMYFUNCTION("""COMPUTED_VALUE"""),"Issues")</f>
        <v>Issues</v>
      </c>
      <c r="G246" s="67"/>
      <c r="H246" s="66"/>
      <c r="I246" s="66"/>
      <c r="J246" s="84" t="str">
        <f ca="1"/>
        <v/>
      </c>
      <c r="K246" s="84" t="str">
        <f ca="1"/>
        <v/>
      </c>
      <c r="L246" s="82" t="str">
        <f ca="1"/>
        <v/>
      </c>
      <c r="M246" s="82" t="str">
        <f ca="1"/>
        <v/>
      </c>
      <c r="N246" s="42"/>
      <c r="O246" s="42"/>
      <c r="P246" s="42"/>
      <c r="Q246" s="42"/>
      <c r="R246" s="42"/>
      <c r="S246" s="42"/>
      <c r="T246" s="42"/>
      <c r="U246" s="42"/>
      <c r="V246" s="42"/>
      <c r="W246" s="42"/>
      <c r="X246" s="42"/>
      <c r="Y246" s="42"/>
      <c r="Z246" s="42"/>
      <c r="AA246" s="42"/>
      <c r="AB246" s="42"/>
      <c r="AC246" s="42"/>
    </row>
    <row r="247" spans="1:29" x14ac:dyDescent="0.25">
      <c r="A247" s="73">
        <f ca="1">IFERROR(__xludf.DUMMYFUNCTION("""COMPUTED_VALUE"""),5)</f>
        <v>5</v>
      </c>
      <c r="B247" s="74"/>
      <c r="C247" s="73">
        <f ca="1">IFERROR(__xludf.DUMMYFUNCTION("""COMPUTED_VALUE"""),1)</f>
        <v>1</v>
      </c>
      <c r="D247" s="74"/>
      <c r="E247" s="74" t="str">
        <f ca="1">IFERROR(__xludf.DUMMYFUNCTION("""COMPUTED_VALUE"""),"DR0104")</f>
        <v>DR0104</v>
      </c>
      <c r="F247" s="76" t="str">
        <f ca="1">IFERROR(__xludf.DUMMYFUNCTION("""COMPUTED_VALUE"""),"Risks")</f>
        <v>Risks</v>
      </c>
      <c r="G247" s="74"/>
      <c r="H247" s="73"/>
      <c r="I247" s="73"/>
      <c r="J247" s="84" t="str">
        <f ca="1"/>
        <v/>
      </c>
      <c r="K247" s="84" t="str">
        <f ca="1"/>
        <v/>
      </c>
      <c r="L247" s="82" t="str">
        <f ca="1"/>
        <v/>
      </c>
      <c r="M247" s="82" t="str">
        <f ca="1"/>
        <v/>
      </c>
      <c r="N247" s="42"/>
      <c r="O247" s="42"/>
      <c r="P247" s="42"/>
      <c r="Q247" s="42"/>
      <c r="R247" s="42"/>
      <c r="S247" s="42"/>
      <c r="T247" s="42"/>
      <c r="U247" s="42"/>
      <c r="V247" s="42"/>
      <c r="W247" s="42"/>
      <c r="X247" s="42"/>
      <c r="Y247" s="42"/>
      <c r="Z247" s="42"/>
      <c r="AA247" s="42"/>
      <c r="AB247" s="42"/>
      <c r="AC247" s="42"/>
    </row>
    <row r="248" spans="1:29" x14ac:dyDescent="0.25">
      <c r="A248" s="66">
        <f ca="1">IFERROR(__xludf.DUMMYFUNCTION("""COMPUTED_VALUE"""),5)</f>
        <v>5</v>
      </c>
      <c r="B248" s="67"/>
      <c r="C248" s="66">
        <f ca="1">IFERROR(__xludf.DUMMYFUNCTION("""COMPUTED_VALUE"""),1)</f>
        <v>1</v>
      </c>
      <c r="D248" s="67"/>
      <c r="E248" s="67" t="str">
        <f ca="1">IFERROR(__xludf.DUMMYFUNCTION("""COMPUTED_VALUE"""),"DR0105")</f>
        <v>DR0105</v>
      </c>
      <c r="F248" s="69" t="str">
        <f ca="1">IFERROR(__xludf.DUMMYFUNCTION("""COMPUTED_VALUE"""),"Organisational Change")</f>
        <v>Organisational Change</v>
      </c>
      <c r="G248" s="67"/>
      <c r="H248" s="66"/>
      <c r="I248" s="66"/>
      <c r="J248" s="84" t="str">
        <f ca="1"/>
        <v/>
      </c>
      <c r="K248" s="84" t="str">
        <f ca="1"/>
        <v/>
      </c>
      <c r="L248" s="82" t="str">
        <f ca="1"/>
        <v/>
      </c>
      <c r="M248" s="82" t="str">
        <f ca="1"/>
        <v/>
      </c>
      <c r="N248" s="42"/>
      <c r="O248" s="42"/>
      <c r="P248" s="42"/>
      <c r="Q248" s="42"/>
      <c r="R248" s="42"/>
      <c r="S248" s="42"/>
      <c r="T248" s="42"/>
      <c r="U248" s="42"/>
      <c r="V248" s="42"/>
      <c r="W248" s="42"/>
      <c r="X248" s="42"/>
      <c r="Y248" s="42"/>
      <c r="Z248" s="42"/>
      <c r="AA248" s="42"/>
      <c r="AB248" s="42"/>
      <c r="AC248" s="42"/>
    </row>
    <row r="249" spans="1:29" x14ac:dyDescent="0.25">
      <c r="A249" s="73">
        <f ca="1">IFERROR(__xludf.DUMMYFUNCTION("""COMPUTED_VALUE"""),6)</f>
        <v>6</v>
      </c>
      <c r="B249" s="74" t="str">
        <f ca="1">IFERROR(__xludf.DUMMYFUNCTION("""COMPUTED_VALUE"""),"Terminology")</f>
        <v>Terminology</v>
      </c>
      <c r="C249" s="73">
        <f ca="1">IFERROR(__xludf.DUMMYFUNCTION("""COMPUTED_VALUE"""),0)</f>
        <v>0</v>
      </c>
      <c r="D249" s="74"/>
      <c r="E249" s="74"/>
      <c r="F249" s="76"/>
      <c r="G249" s="74"/>
      <c r="H249" s="73"/>
      <c r="I249" s="73"/>
      <c r="J249" s="84" t="str">
        <f ca="1"/>
        <v/>
      </c>
      <c r="K249" s="84" t="str">
        <f ca="1"/>
        <v/>
      </c>
      <c r="L249" s="82" t="str">
        <f ca="1"/>
        <v/>
      </c>
      <c r="M249" s="82" t="str">
        <f ca="1"/>
        <v/>
      </c>
      <c r="N249" s="42"/>
      <c r="O249" s="42"/>
      <c r="P249" s="42"/>
      <c r="Q249" s="42"/>
      <c r="R249" s="42"/>
      <c r="S249" s="42"/>
      <c r="T249" s="42"/>
      <c r="U249" s="42"/>
      <c r="V249" s="42"/>
      <c r="W249" s="42"/>
      <c r="X249" s="42"/>
      <c r="Y249" s="42"/>
      <c r="Z249" s="42"/>
      <c r="AA249" s="42"/>
      <c r="AB249" s="42"/>
      <c r="AC249" s="42"/>
    </row>
    <row r="250" spans="1:29" x14ac:dyDescent="0.25">
      <c r="A250" s="66">
        <f ca="1">IFERROR(__xludf.DUMMYFUNCTION("""COMPUTED_VALUE"""),6)</f>
        <v>6</v>
      </c>
      <c r="B250" s="67"/>
      <c r="C250" s="66">
        <f ca="1">IFERROR(__xludf.DUMMYFUNCTION("""COMPUTED_VALUE"""),1)</f>
        <v>1</v>
      </c>
      <c r="D250" s="67" t="str">
        <f ca="1">IFERROR(__xludf.DUMMYFUNCTION("""COMPUTED_VALUE"""),"1 Business")</f>
        <v>1 Business</v>
      </c>
      <c r="E250" s="67" t="str">
        <f ca="1">IFERROR(__xludf.DUMMYFUNCTION("""COMPUTED_VALUE"""),"ReqID")</f>
        <v>ReqID</v>
      </c>
      <c r="F250" s="69" t="str">
        <f ca="1">IFERROR(__xludf.DUMMYFUNCTION("""COMPUTED_VALUE"""),"1 Business")</f>
        <v>1 Business</v>
      </c>
      <c r="G250" s="67"/>
      <c r="H250" s="66"/>
      <c r="I250" s="66"/>
      <c r="J250" s="84" t="str">
        <f ca="1"/>
        <v/>
      </c>
      <c r="K250" s="84" t="str">
        <f ca="1"/>
        <v/>
      </c>
      <c r="L250" s="82" t="str">
        <f ca="1"/>
        <v/>
      </c>
      <c r="M250" s="82" t="str">
        <f ca="1"/>
        <v/>
      </c>
      <c r="N250" s="42"/>
      <c r="O250" s="42"/>
      <c r="P250" s="42"/>
      <c r="Q250" s="42"/>
      <c r="R250" s="42"/>
      <c r="S250" s="42"/>
      <c r="T250" s="42"/>
      <c r="U250" s="42"/>
      <c r="V250" s="42"/>
      <c r="W250" s="42"/>
      <c r="X250" s="42"/>
      <c r="Y250" s="42"/>
      <c r="Z250" s="42"/>
      <c r="AA250" s="42"/>
      <c r="AB250" s="42"/>
      <c r="AC250" s="42"/>
    </row>
    <row r="251" spans="1:29" x14ac:dyDescent="0.25">
      <c r="A251" s="73">
        <f ca="1">IFERROR(__xludf.DUMMYFUNCTION("""COMPUTED_VALUE"""),6)</f>
        <v>6</v>
      </c>
      <c r="B251" s="74"/>
      <c r="C251" s="73">
        <f ca="1">IFERROR(__xludf.DUMMYFUNCTION("""COMPUTED_VALUE"""),1)</f>
        <v>1</v>
      </c>
      <c r="D251" s="74"/>
      <c r="E251" s="74" t="str">
        <f ca="1">IFERROR(__xludf.DUMMYFUNCTION("""COMPUTED_VALUE"""),"T0101")</f>
        <v>T0101</v>
      </c>
      <c r="F251" s="76" t="str">
        <f ca="1">IFERROR(__xludf.DUMMYFUNCTION("""COMPUTED_VALUE"""),"Business / B2C Co")</f>
        <v>Business / B2C Co</v>
      </c>
      <c r="G251" s="74"/>
      <c r="H251" s="73"/>
      <c r="I251" s="73"/>
      <c r="J251" s="84" t="str">
        <f ca="1"/>
        <v/>
      </c>
      <c r="K251" s="84" t="str">
        <f ca="1"/>
        <v/>
      </c>
      <c r="L251" s="82" t="str">
        <f ca="1"/>
        <v/>
      </c>
      <c r="M251" s="82" t="str">
        <f ca="1"/>
        <v/>
      </c>
      <c r="N251" s="42"/>
      <c r="O251" s="42"/>
      <c r="P251" s="42"/>
      <c r="Q251" s="42"/>
      <c r="R251" s="42"/>
      <c r="S251" s="42"/>
      <c r="T251" s="42"/>
      <c r="U251" s="42"/>
      <c r="V251" s="42"/>
      <c r="W251" s="42"/>
      <c r="X251" s="42"/>
      <c r="Y251" s="42"/>
      <c r="Z251" s="42"/>
      <c r="AA251" s="42"/>
      <c r="AB251" s="42"/>
      <c r="AC251" s="42"/>
    </row>
    <row r="252" spans="1:29" x14ac:dyDescent="0.25">
      <c r="A252" s="66">
        <f ca="1">IFERROR(__xludf.DUMMYFUNCTION("""COMPUTED_VALUE"""),6)</f>
        <v>6</v>
      </c>
      <c r="B252" s="67"/>
      <c r="C252" s="66">
        <f ca="1">IFERROR(__xludf.DUMMYFUNCTION("""COMPUTED_VALUE"""),1)</f>
        <v>1</v>
      </c>
      <c r="D252" s="67"/>
      <c r="E252" s="67" t="str">
        <f ca="1">IFERROR(__xludf.DUMMYFUNCTION("""COMPUTED_VALUE"""),"T0102")</f>
        <v>T0102</v>
      </c>
      <c r="F252" s="69" t="str">
        <f ca="1">IFERROR(__xludf.DUMMYFUNCTION("""COMPUTED_VALUE"""),"Supplier")</f>
        <v>Supplier</v>
      </c>
      <c r="G252" s="67"/>
      <c r="H252" s="66"/>
      <c r="I252" s="66"/>
      <c r="J252" s="84" t="str">
        <f ca="1"/>
        <v/>
      </c>
      <c r="K252" s="84" t="str">
        <f ca="1"/>
        <v/>
      </c>
      <c r="L252" s="82" t="str">
        <f ca="1"/>
        <v/>
      </c>
      <c r="M252" s="82" t="str">
        <f ca="1"/>
        <v/>
      </c>
      <c r="N252" s="42"/>
      <c r="O252" s="42"/>
      <c r="P252" s="42"/>
      <c r="Q252" s="42"/>
      <c r="R252" s="42"/>
      <c r="S252" s="42"/>
      <c r="T252" s="42"/>
      <c r="U252" s="42"/>
      <c r="V252" s="42"/>
      <c r="W252" s="42"/>
      <c r="X252" s="42"/>
      <c r="Y252" s="42"/>
      <c r="Z252" s="42"/>
      <c r="AA252" s="42"/>
      <c r="AB252" s="42"/>
      <c r="AC252" s="42"/>
    </row>
    <row r="253" spans="1:29" x14ac:dyDescent="0.25">
      <c r="A253" s="73">
        <f ca="1">IFERROR(__xludf.DUMMYFUNCTION("""COMPUTED_VALUE"""),6)</f>
        <v>6</v>
      </c>
      <c r="B253" s="74"/>
      <c r="C253" s="73">
        <f ca="1">IFERROR(__xludf.DUMMYFUNCTION("""COMPUTED_VALUE"""),1)</f>
        <v>1</v>
      </c>
      <c r="D253" s="74"/>
      <c r="E253" s="74" t="str">
        <f ca="1">IFERROR(__xludf.DUMMYFUNCTION("""COMPUTED_VALUE"""),"T0103")</f>
        <v>T0103</v>
      </c>
      <c r="F253" s="76" t="str">
        <f ca="1">IFERROR(__xludf.DUMMYFUNCTION("""COMPUTED_VALUE"""),"Marketing")</f>
        <v>Marketing</v>
      </c>
      <c r="G253" s="74"/>
      <c r="H253" s="73"/>
      <c r="I253" s="73"/>
      <c r="J253" s="84" t="str">
        <f ca="1"/>
        <v/>
      </c>
      <c r="K253" s="84" t="str">
        <f ca="1"/>
        <v/>
      </c>
      <c r="L253" s="82" t="str">
        <f ca="1"/>
        <v/>
      </c>
      <c r="M253" s="82" t="str">
        <f ca="1"/>
        <v/>
      </c>
      <c r="N253" s="42"/>
      <c r="O253" s="42"/>
      <c r="P253" s="42"/>
      <c r="Q253" s="42"/>
      <c r="R253" s="42"/>
      <c r="S253" s="42"/>
      <c r="T253" s="42"/>
      <c r="U253" s="42"/>
      <c r="V253" s="42"/>
      <c r="W253" s="42"/>
      <c r="X253" s="42"/>
      <c r="Y253" s="42"/>
      <c r="Z253" s="42"/>
      <c r="AA253" s="42"/>
      <c r="AB253" s="42"/>
      <c r="AC253" s="42"/>
    </row>
    <row r="254" spans="1:29" x14ac:dyDescent="0.25">
      <c r="A254" s="66">
        <f ca="1">IFERROR(__xludf.DUMMYFUNCTION("""COMPUTED_VALUE"""),6)</f>
        <v>6</v>
      </c>
      <c r="B254" s="67"/>
      <c r="C254" s="66">
        <f ca="1">IFERROR(__xludf.DUMMYFUNCTION("""COMPUTED_VALUE"""),1)</f>
        <v>1</v>
      </c>
      <c r="D254" s="67"/>
      <c r="E254" s="67" t="str">
        <f ca="1">IFERROR(__xludf.DUMMYFUNCTION("""COMPUTED_VALUE"""),"T0104")</f>
        <v>T0104</v>
      </c>
      <c r="F254" s="69" t="str">
        <f ca="1">IFERROR(__xludf.DUMMYFUNCTION("""COMPUTED_VALUE"""),"Online shop")</f>
        <v>Online shop</v>
      </c>
      <c r="G254" s="67"/>
      <c r="H254" s="66"/>
      <c r="I254" s="66"/>
      <c r="J254" s="84" t="str">
        <f ca="1"/>
        <v/>
      </c>
      <c r="K254" s="84" t="str">
        <f ca="1"/>
        <v/>
      </c>
      <c r="L254" s="82" t="str">
        <f ca="1"/>
        <v/>
      </c>
      <c r="M254" s="82" t="str">
        <f ca="1"/>
        <v/>
      </c>
      <c r="N254" s="42"/>
      <c r="O254" s="42"/>
      <c r="P254" s="42"/>
      <c r="Q254" s="42"/>
      <c r="R254" s="42"/>
      <c r="S254" s="42"/>
      <c r="T254" s="42"/>
      <c r="U254" s="42"/>
      <c r="V254" s="42"/>
      <c r="W254" s="42"/>
      <c r="X254" s="42"/>
      <c r="Y254" s="42"/>
      <c r="Z254" s="42"/>
      <c r="AA254" s="42"/>
      <c r="AB254" s="42"/>
      <c r="AC254" s="42"/>
    </row>
    <row r="255" spans="1:29" x14ac:dyDescent="0.25">
      <c r="A255" s="73">
        <f ca="1">IFERROR(__xludf.DUMMYFUNCTION("""COMPUTED_VALUE"""),6)</f>
        <v>6</v>
      </c>
      <c r="B255" s="74"/>
      <c r="C255" s="73">
        <f ca="1">IFERROR(__xludf.DUMMYFUNCTION("""COMPUTED_VALUE"""),1)</f>
        <v>1</v>
      </c>
      <c r="D255" s="74"/>
      <c r="E255" s="74" t="str">
        <f ca="1">IFERROR(__xludf.DUMMYFUNCTION("""COMPUTED_VALUE"""),"T0105")</f>
        <v>T0105</v>
      </c>
      <c r="F255" s="76" t="str">
        <f ca="1">IFERROR(__xludf.DUMMYFUNCTION("""COMPUTED_VALUE"""),"Website")</f>
        <v>Website</v>
      </c>
      <c r="G255" s="74"/>
      <c r="H255" s="73"/>
      <c r="I255" s="73"/>
      <c r="J255" s="84" t="str">
        <f ca="1"/>
        <v/>
      </c>
      <c r="K255" s="84" t="str">
        <f ca="1"/>
        <v/>
      </c>
      <c r="L255" s="82" t="str">
        <f ca="1"/>
        <v/>
      </c>
      <c r="M255" s="82" t="str">
        <f ca="1"/>
        <v/>
      </c>
      <c r="N255" s="42"/>
      <c r="O255" s="42"/>
      <c r="P255" s="42"/>
      <c r="Q255" s="42"/>
      <c r="R255" s="42"/>
      <c r="S255" s="42"/>
      <c r="T255" s="42"/>
      <c r="U255" s="42"/>
      <c r="V255" s="42"/>
      <c r="W255" s="42"/>
      <c r="X255" s="42"/>
      <c r="Y255" s="42"/>
      <c r="Z255" s="42"/>
      <c r="AA255" s="42"/>
      <c r="AB255" s="42"/>
      <c r="AC255" s="42"/>
    </row>
    <row r="256" spans="1:29" x14ac:dyDescent="0.25">
      <c r="A256" s="66">
        <f ca="1">IFERROR(__xludf.DUMMYFUNCTION("""COMPUTED_VALUE"""),6)</f>
        <v>6</v>
      </c>
      <c r="B256" s="67"/>
      <c r="C256" s="66">
        <f ca="1">IFERROR(__xludf.DUMMYFUNCTION("""COMPUTED_VALUE"""),2)</f>
        <v>2</v>
      </c>
      <c r="D256" s="67" t="str">
        <f ca="1">IFERROR(__xludf.DUMMYFUNCTION("""COMPUTED_VALUE"""),"2 Marketing")</f>
        <v>2 Marketing</v>
      </c>
      <c r="E256" s="67" t="str">
        <f ca="1">IFERROR(__xludf.DUMMYFUNCTION("""COMPUTED_VALUE"""),"ReqID")</f>
        <v>ReqID</v>
      </c>
      <c r="F256" s="69" t="str">
        <f ca="1">IFERROR(__xludf.DUMMYFUNCTION("""COMPUTED_VALUE"""),"2 Marketing")</f>
        <v>2 Marketing</v>
      </c>
      <c r="G256" s="67"/>
      <c r="H256" s="66"/>
      <c r="I256" s="66"/>
      <c r="J256" s="84" t="str">
        <f ca="1"/>
        <v/>
      </c>
      <c r="K256" s="84" t="str">
        <f ca="1"/>
        <v/>
      </c>
      <c r="L256" s="82" t="str">
        <f ca="1"/>
        <v/>
      </c>
      <c r="M256" s="82" t="str">
        <f ca="1"/>
        <v/>
      </c>
      <c r="N256" s="42"/>
      <c r="O256" s="42"/>
      <c r="P256" s="42"/>
      <c r="Q256" s="42"/>
      <c r="R256" s="42"/>
      <c r="S256" s="42"/>
      <c r="T256" s="42"/>
      <c r="U256" s="42"/>
      <c r="V256" s="42"/>
      <c r="W256" s="42"/>
      <c r="X256" s="42"/>
      <c r="Y256" s="42"/>
      <c r="Z256" s="42"/>
      <c r="AA256" s="42"/>
      <c r="AB256" s="42"/>
      <c r="AC256" s="42"/>
    </row>
    <row r="257" spans="1:29" x14ac:dyDescent="0.25">
      <c r="A257" s="73">
        <f ca="1">IFERROR(__xludf.DUMMYFUNCTION("""COMPUTED_VALUE"""),6)</f>
        <v>6</v>
      </c>
      <c r="B257" s="74"/>
      <c r="C257" s="73">
        <f ca="1">IFERROR(__xludf.DUMMYFUNCTION("""COMPUTED_VALUE"""),2)</f>
        <v>2</v>
      </c>
      <c r="D257" s="74"/>
      <c r="E257" s="74" t="str">
        <f ca="1">IFERROR(__xludf.DUMMYFUNCTION("""COMPUTED_VALUE"""),"T0201")</f>
        <v>T0201</v>
      </c>
      <c r="F257" s="76" t="str">
        <f ca="1">IFERROR(__xludf.DUMMYFUNCTION("""COMPUTED_VALUE"""),"baby")</f>
        <v>baby</v>
      </c>
      <c r="G257" s="74"/>
      <c r="H257" s="73"/>
      <c r="I257" s="73"/>
      <c r="J257" s="84" t="str">
        <f ca="1"/>
        <v/>
      </c>
      <c r="K257" s="84" t="str">
        <f ca="1"/>
        <v/>
      </c>
      <c r="L257" s="82" t="str">
        <f ca="1"/>
        <v/>
      </c>
      <c r="M257" s="82" t="str">
        <f ca="1"/>
        <v/>
      </c>
      <c r="N257" s="42"/>
      <c r="O257" s="42"/>
      <c r="P257" s="42"/>
      <c r="Q257" s="42"/>
      <c r="R257" s="42"/>
      <c r="S257" s="42"/>
      <c r="T257" s="42"/>
      <c r="U257" s="42"/>
      <c r="V257" s="42"/>
      <c r="W257" s="42"/>
      <c r="X257" s="42"/>
      <c r="Y257" s="42"/>
      <c r="Z257" s="42"/>
      <c r="AA257" s="42"/>
      <c r="AB257" s="42"/>
      <c r="AC257" s="42"/>
    </row>
    <row r="258" spans="1:29" x14ac:dyDescent="0.25">
      <c r="A258" s="66">
        <f ca="1">IFERROR(__xludf.DUMMYFUNCTION("""COMPUTED_VALUE"""),6)</f>
        <v>6</v>
      </c>
      <c r="B258" s="67"/>
      <c r="C258" s="66">
        <f ca="1">IFERROR(__xludf.DUMMYFUNCTION("""COMPUTED_VALUE"""),2)</f>
        <v>2</v>
      </c>
      <c r="D258" s="67"/>
      <c r="E258" s="67" t="str">
        <f ca="1">IFERROR(__xludf.DUMMYFUNCTION("""COMPUTED_VALUE"""),"T0202")</f>
        <v>T0202</v>
      </c>
      <c r="F258" s="69" t="str">
        <f ca="1">IFERROR(__xludf.DUMMYFUNCTION("""COMPUTED_VALUE"""),"baby development")</f>
        <v>baby development</v>
      </c>
      <c r="G258" s="67"/>
      <c r="H258" s="66"/>
      <c r="I258" s="66"/>
      <c r="J258" s="84" t="str">
        <f ca="1"/>
        <v/>
      </c>
      <c r="K258" s="84" t="str">
        <f ca="1"/>
        <v/>
      </c>
      <c r="L258" s="82" t="str">
        <f ca="1"/>
        <v/>
      </c>
      <c r="M258" s="82" t="str">
        <f ca="1"/>
        <v/>
      </c>
      <c r="N258" s="42"/>
      <c r="O258" s="42"/>
      <c r="P258" s="42"/>
      <c r="Q258" s="42"/>
      <c r="R258" s="42"/>
      <c r="S258" s="42"/>
      <c r="T258" s="42"/>
      <c r="U258" s="42"/>
      <c r="V258" s="42"/>
      <c r="W258" s="42"/>
      <c r="X258" s="42"/>
      <c r="Y258" s="42"/>
      <c r="Z258" s="42"/>
      <c r="AA258" s="42"/>
      <c r="AB258" s="42"/>
      <c r="AC258" s="42"/>
    </row>
    <row r="259" spans="1:29" x14ac:dyDescent="0.25">
      <c r="A259" s="73">
        <f ca="1">IFERROR(__xludf.DUMMYFUNCTION("""COMPUTED_VALUE"""),6)</f>
        <v>6</v>
      </c>
      <c r="B259" s="74"/>
      <c r="C259" s="73">
        <f ca="1">IFERROR(__xludf.DUMMYFUNCTION("""COMPUTED_VALUE"""),2)</f>
        <v>2</v>
      </c>
      <c r="D259" s="74"/>
      <c r="E259" s="74" t="str">
        <f ca="1">IFERROR(__xludf.DUMMYFUNCTION("""COMPUTED_VALUE"""),"T0203")</f>
        <v>T0203</v>
      </c>
      <c r="F259" s="76" t="str">
        <f ca="1">IFERROR(__xludf.DUMMYFUNCTION("""COMPUTED_VALUE"""),"newborn")</f>
        <v>newborn</v>
      </c>
      <c r="G259" s="74"/>
      <c r="H259" s="73"/>
      <c r="I259" s="73"/>
      <c r="J259" s="84" t="str">
        <f ca="1"/>
        <v/>
      </c>
      <c r="K259" s="84" t="str">
        <f ca="1"/>
        <v/>
      </c>
      <c r="L259" s="82" t="str">
        <f ca="1"/>
        <v/>
      </c>
      <c r="M259" s="82" t="str">
        <f ca="1"/>
        <v/>
      </c>
      <c r="N259" s="42"/>
      <c r="O259" s="42"/>
      <c r="P259" s="42"/>
      <c r="Q259" s="42"/>
      <c r="R259" s="42"/>
      <c r="S259" s="42"/>
      <c r="T259" s="42"/>
      <c r="U259" s="42"/>
      <c r="V259" s="42"/>
      <c r="W259" s="42"/>
      <c r="X259" s="42"/>
      <c r="Y259" s="42"/>
      <c r="Z259" s="42"/>
      <c r="AA259" s="42"/>
      <c r="AB259" s="42"/>
      <c r="AC259" s="42"/>
    </row>
    <row r="260" spans="1:29" x14ac:dyDescent="0.25">
      <c r="A260" s="66">
        <f ca="1">IFERROR(__xludf.DUMMYFUNCTION("""COMPUTED_VALUE"""),6)</f>
        <v>6</v>
      </c>
      <c r="B260" s="67"/>
      <c r="C260" s="66">
        <f ca="1">IFERROR(__xludf.DUMMYFUNCTION("""COMPUTED_VALUE"""),2)</f>
        <v>2</v>
      </c>
      <c r="D260" s="67"/>
      <c r="E260" s="67" t="str">
        <f ca="1">IFERROR(__xludf.DUMMYFUNCTION("""COMPUTED_VALUE"""),"T0204")</f>
        <v>T0204</v>
      </c>
      <c r="F260" s="69" t="str">
        <f ca="1">IFERROR(__xludf.DUMMYFUNCTION("""COMPUTED_VALUE"""),"infant")</f>
        <v>infant</v>
      </c>
      <c r="G260" s="67"/>
      <c r="H260" s="66"/>
      <c r="I260" s="66"/>
      <c r="J260" s="84" t="str">
        <f ca="1"/>
        <v/>
      </c>
      <c r="K260" s="84" t="str">
        <f ca="1"/>
        <v/>
      </c>
      <c r="L260" s="82" t="str">
        <f ca="1"/>
        <v/>
      </c>
      <c r="M260" s="82" t="str">
        <f ca="1"/>
        <v/>
      </c>
      <c r="N260" s="42"/>
      <c r="O260" s="42"/>
      <c r="P260" s="42"/>
      <c r="Q260" s="42"/>
      <c r="R260" s="42"/>
      <c r="S260" s="42"/>
      <c r="T260" s="42"/>
      <c r="U260" s="42"/>
      <c r="V260" s="42"/>
      <c r="W260" s="42"/>
      <c r="X260" s="42"/>
      <c r="Y260" s="42"/>
      <c r="Z260" s="42"/>
      <c r="AA260" s="42"/>
      <c r="AB260" s="42"/>
      <c r="AC260" s="42"/>
    </row>
    <row r="261" spans="1:29" x14ac:dyDescent="0.25">
      <c r="A261" s="73">
        <f ca="1">IFERROR(__xludf.DUMMYFUNCTION("""COMPUTED_VALUE"""),6)</f>
        <v>6</v>
      </c>
      <c r="B261" s="74"/>
      <c r="C261" s="73">
        <f ca="1">IFERROR(__xludf.DUMMYFUNCTION("""COMPUTED_VALUE"""),2)</f>
        <v>2</v>
      </c>
      <c r="D261" s="74"/>
      <c r="E261" s="74" t="str">
        <f ca="1">IFERROR(__xludf.DUMMYFUNCTION("""COMPUTED_VALUE"""),"T0205")</f>
        <v>T0205</v>
      </c>
      <c r="F261" s="76" t="str">
        <f ca="1">IFERROR(__xludf.DUMMYFUNCTION("""COMPUTED_VALUE"""),"toddler")</f>
        <v>toddler</v>
      </c>
      <c r="G261" s="74"/>
      <c r="H261" s="77"/>
      <c r="I261" s="77"/>
      <c r="J261" s="71" t="str">
        <f ca="1"/>
        <v/>
      </c>
      <c r="K261" s="71" t="str">
        <f ca="1"/>
        <v/>
      </c>
      <c r="L261" s="72" t="str">
        <f ca="1"/>
        <v/>
      </c>
      <c r="M261" s="82" t="str">
        <f ca="1"/>
        <v/>
      </c>
      <c r="N261" s="42"/>
      <c r="O261" s="42"/>
      <c r="P261" s="42"/>
      <c r="Q261" s="42"/>
      <c r="R261" s="42"/>
      <c r="S261" s="42"/>
      <c r="T261" s="42"/>
      <c r="U261" s="42"/>
      <c r="V261" s="42"/>
      <c r="W261" s="42"/>
      <c r="X261" s="42"/>
      <c r="Y261" s="42"/>
      <c r="Z261" s="42"/>
      <c r="AA261" s="42"/>
      <c r="AB261" s="42"/>
      <c r="AC261" s="42"/>
    </row>
    <row r="262" spans="1:29" x14ac:dyDescent="0.25">
      <c r="A262" s="66">
        <f ca="1">IFERROR(__xludf.DUMMYFUNCTION("""COMPUTED_VALUE"""),6)</f>
        <v>6</v>
      </c>
      <c r="B262" s="67"/>
      <c r="C262" s="66">
        <f ca="1">IFERROR(__xludf.DUMMYFUNCTION("""COMPUTED_VALUE"""),3)</f>
        <v>3</v>
      </c>
      <c r="D262" s="67" t="str">
        <f ca="1">IFERROR(__xludf.DUMMYFUNCTION("""COMPUTED_VALUE"""),"3 Customer")</f>
        <v>3 Customer</v>
      </c>
      <c r="E262" s="67" t="str">
        <f ca="1">IFERROR(__xludf.DUMMYFUNCTION("""COMPUTED_VALUE"""),"ReqID")</f>
        <v>ReqID</v>
      </c>
      <c r="F262" s="69" t="str">
        <f ca="1">IFERROR(__xludf.DUMMYFUNCTION("""COMPUTED_VALUE"""),"3 Customer")</f>
        <v>3 Customer</v>
      </c>
      <c r="G262" s="67"/>
      <c r="H262" s="66"/>
      <c r="I262" s="66"/>
      <c r="J262" s="84" t="str">
        <f ca="1"/>
        <v/>
      </c>
      <c r="K262" s="84" t="str">
        <f ca="1"/>
        <v/>
      </c>
      <c r="L262" s="82" t="str">
        <f ca="1"/>
        <v/>
      </c>
      <c r="M262" s="82" t="str">
        <f ca="1"/>
        <v/>
      </c>
      <c r="N262" s="42"/>
      <c r="O262" s="42"/>
      <c r="P262" s="42"/>
      <c r="Q262" s="42"/>
      <c r="R262" s="42"/>
      <c r="S262" s="42"/>
      <c r="T262" s="42"/>
      <c r="U262" s="42"/>
      <c r="V262" s="42"/>
      <c r="W262" s="42"/>
      <c r="X262" s="42"/>
      <c r="Y262" s="42"/>
      <c r="Z262" s="42"/>
      <c r="AA262" s="42"/>
      <c r="AB262" s="42"/>
      <c r="AC262" s="42"/>
    </row>
    <row r="263" spans="1:29" x14ac:dyDescent="0.25">
      <c r="A263" s="73">
        <f ca="1">IFERROR(__xludf.DUMMYFUNCTION("""COMPUTED_VALUE"""),6)</f>
        <v>6</v>
      </c>
      <c r="B263" s="74"/>
      <c r="C263" s="73">
        <f ca="1">IFERROR(__xludf.DUMMYFUNCTION("""COMPUTED_VALUE"""),3)</f>
        <v>3</v>
      </c>
      <c r="D263" s="74"/>
      <c r="E263" s="74" t="str">
        <f ca="1">IFERROR(__xludf.DUMMYFUNCTION("""COMPUTED_VALUE"""),"T0301")</f>
        <v>T0301</v>
      </c>
      <c r="F263" s="76" t="str">
        <f ca="1">IFERROR(__xludf.DUMMYFUNCTION("""COMPUTED_VALUE"""),"Customer")</f>
        <v>Customer</v>
      </c>
      <c r="G263" s="74"/>
      <c r="H263" s="73"/>
      <c r="I263" s="73"/>
      <c r="J263" s="84" t="str">
        <f ca="1"/>
        <v/>
      </c>
      <c r="K263" s="84" t="str">
        <f ca="1"/>
        <v/>
      </c>
      <c r="L263" s="82" t="str">
        <f ca="1"/>
        <v/>
      </c>
      <c r="M263" s="82" t="str">
        <f ca="1"/>
        <v/>
      </c>
      <c r="N263" s="42"/>
      <c r="O263" s="42"/>
      <c r="P263" s="42"/>
      <c r="Q263" s="42"/>
      <c r="R263" s="42"/>
      <c r="S263" s="42"/>
      <c r="T263" s="42"/>
      <c r="U263" s="42"/>
      <c r="V263" s="42"/>
      <c r="W263" s="42"/>
      <c r="X263" s="42"/>
      <c r="Y263" s="42"/>
      <c r="Z263" s="42"/>
      <c r="AA263" s="42"/>
      <c r="AB263" s="42"/>
      <c r="AC263" s="42"/>
    </row>
    <row r="264" spans="1:29" x14ac:dyDescent="0.25">
      <c r="A264" s="66">
        <f ca="1">IFERROR(__xludf.DUMMYFUNCTION("""COMPUTED_VALUE"""),6)</f>
        <v>6</v>
      </c>
      <c r="B264" s="67"/>
      <c r="C264" s="66">
        <f ca="1">IFERROR(__xludf.DUMMYFUNCTION("""COMPUTED_VALUE"""),3)</f>
        <v>3</v>
      </c>
      <c r="D264" s="67"/>
      <c r="E264" s="67" t="str">
        <f ca="1">IFERROR(__xludf.DUMMYFUNCTION("""COMPUTED_VALUE"""),"T0302")</f>
        <v>T0302</v>
      </c>
      <c r="F264" s="69" t="str">
        <f ca="1">IFERROR(__xludf.DUMMYFUNCTION("""COMPUTED_VALUE"""),"Visitor")</f>
        <v>Visitor</v>
      </c>
      <c r="G264" s="67"/>
      <c r="H264" s="70"/>
      <c r="I264" s="70"/>
      <c r="J264" s="71" t="str">
        <f ca="1"/>
        <v/>
      </c>
      <c r="K264" s="71" t="str">
        <f ca="1"/>
        <v/>
      </c>
      <c r="L264" s="72" t="str">
        <f ca="1"/>
        <v/>
      </c>
      <c r="M264" s="82" t="str">
        <f ca="1"/>
        <v/>
      </c>
      <c r="N264" s="42"/>
      <c r="O264" s="42"/>
      <c r="P264" s="42"/>
      <c r="Q264" s="42"/>
      <c r="R264" s="42"/>
      <c r="S264" s="42"/>
      <c r="T264" s="42"/>
      <c r="U264" s="42"/>
      <c r="V264" s="42"/>
      <c r="W264" s="42"/>
      <c r="X264" s="42"/>
      <c r="Y264" s="42"/>
      <c r="Z264" s="42"/>
      <c r="AA264" s="42"/>
      <c r="AB264" s="42"/>
      <c r="AC264" s="42"/>
    </row>
    <row r="265" spans="1:29" x14ac:dyDescent="0.25">
      <c r="A265" s="73">
        <f ca="1">IFERROR(__xludf.DUMMYFUNCTION("""COMPUTED_VALUE"""),6)</f>
        <v>6</v>
      </c>
      <c r="B265" s="74"/>
      <c r="C265" s="73">
        <f ca="1">IFERROR(__xludf.DUMMYFUNCTION("""COMPUTED_VALUE"""),3)</f>
        <v>3</v>
      </c>
      <c r="D265" s="74"/>
      <c r="E265" s="74" t="str">
        <f ca="1">IFERROR(__xludf.DUMMYFUNCTION("""COMPUTED_VALUE"""),"T0303")</f>
        <v>T0303</v>
      </c>
      <c r="F265" s="76" t="str">
        <f ca="1">IFERROR(__xludf.DUMMYFUNCTION("""COMPUTED_VALUE"""),"Customer - Direct")</f>
        <v>Customer - Direct</v>
      </c>
      <c r="G265" s="74"/>
      <c r="H265" s="77"/>
      <c r="I265" s="77"/>
      <c r="J265" s="71" t="str">
        <f ca="1"/>
        <v/>
      </c>
      <c r="K265" s="71" t="str">
        <f ca="1"/>
        <v/>
      </c>
      <c r="L265" s="72" t="str">
        <f ca="1"/>
        <v/>
      </c>
      <c r="M265" s="82" t="str">
        <f ca="1"/>
        <v/>
      </c>
      <c r="N265" s="42"/>
      <c r="O265" s="42"/>
      <c r="P265" s="42"/>
      <c r="Q265" s="42"/>
      <c r="R265" s="42"/>
      <c r="S265" s="42"/>
      <c r="T265" s="42"/>
      <c r="U265" s="42"/>
      <c r="V265" s="42"/>
      <c r="W265" s="42"/>
      <c r="X265" s="42"/>
      <c r="Y265" s="42"/>
      <c r="Z265" s="42"/>
      <c r="AA265" s="42"/>
      <c r="AB265" s="42"/>
      <c r="AC265" s="42"/>
    </row>
    <row r="266" spans="1:29" x14ac:dyDescent="0.25">
      <c r="A266" s="66">
        <f ca="1">IFERROR(__xludf.DUMMYFUNCTION("""COMPUTED_VALUE"""),6)</f>
        <v>6</v>
      </c>
      <c r="B266" s="67"/>
      <c r="C266" s="66">
        <f ca="1">IFERROR(__xludf.DUMMYFUNCTION("""COMPUTED_VALUE"""),3)</f>
        <v>3</v>
      </c>
      <c r="D266" s="67"/>
      <c r="E266" s="67" t="str">
        <f ca="1">IFERROR(__xludf.DUMMYFUNCTION("""COMPUTED_VALUE"""),"T0304")</f>
        <v>T0304</v>
      </c>
      <c r="F266" s="69" t="str">
        <f ca="1">IFERROR(__xludf.DUMMYFUNCTION("""COMPUTED_VALUE"""),"Customer - Anonymous")</f>
        <v>Customer - Anonymous</v>
      </c>
      <c r="G266" s="67"/>
      <c r="H266" s="66"/>
      <c r="I266" s="66"/>
      <c r="J266" s="84" t="str">
        <f ca="1"/>
        <v/>
      </c>
      <c r="K266" s="84" t="str">
        <f ca="1"/>
        <v/>
      </c>
      <c r="L266" s="82" t="str">
        <f ca="1"/>
        <v/>
      </c>
      <c r="M266" s="82" t="str">
        <f ca="1"/>
        <v/>
      </c>
      <c r="N266" s="42"/>
      <c r="O266" s="42"/>
      <c r="P266" s="42"/>
      <c r="Q266" s="42"/>
      <c r="R266" s="42"/>
      <c r="S266" s="42"/>
      <c r="T266" s="42"/>
      <c r="U266" s="42"/>
      <c r="V266" s="42"/>
      <c r="W266" s="42"/>
      <c r="X266" s="42"/>
      <c r="Y266" s="42"/>
      <c r="Z266" s="42"/>
      <c r="AA266" s="42"/>
      <c r="AB266" s="42"/>
      <c r="AC266" s="42"/>
    </row>
    <row r="267" spans="1:29" x14ac:dyDescent="0.25">
      <c r="A267" s="73">
        <f ca="1">IFERROR(__xludf.DUMMYFUNCTION("""COMPUTED_VALUE"""),6)</f>
        <v>6</v>
      </c>
      <c r="B267" s="74"/>
      <c r="C267" s="73">
        <f ca="1">IFERROR(__xludf.DUMMYFUNCTION("""COMPUTED_VALUE"""),3)</f>
        <v>3</v>
      </c>
      <c r="D267" s="74"/>
      <c r="E267" s="74" t="str">
        <f ca="1">IFERROR(__xludf.DUMMYFUNCTION("""COMPUTED_VALUE"""),"T0305")</f>
        <v>T0305</v>
      </c>
      <c r="F267" s="76" t="str">
        <f ca="1">IFERROR(__xludf.DUMMYFUNCTION("""COMPUTED_VALUE"""),"Customer - Website")</f>
        <v>Customer - Website</v>
      </c>
      <c r="G267" s="74"/>
      <c r="H267" s="73"/>
      <c r="I267" s="73"/>
      <c r="J267" s="84" t="str">
        <f ca="1"/>
        <v/>
      </c>
      <c r="K267" s="84" t="str">
        <f ca="1"/>
        <v/>
      </c>
      <c r="L267" s="82" t="str">
        <f ca="1"/>
        <v/>
      </c>
      <c r="M267" s="82" t="str">
        <f ca="1"/>
        <v/>
      </c>
      <c r="N267" s="42"/>
      <c r="O267" s="42"/>
      <c r="P267" s="42"/>
      <c r="Q267" s="42"/>
      <c r="R267" s="42"/>
      <c r="S267" s="42"/>
      <c r="T267" s="42"/>
      <c r="U267" s="42"/>
      <c r="V267" s="42"/>
      <c r="W267" s="42"/>
      <c r="X267" s="42"/>
      <c r="Y267" s="42"/>
      <c r="Z267" s="42"/>
      <c r="AA267" s="42"/>
      <c r="AB267" s="42"/>
      <c r="AC267" s="42"/>
    </row>
    <row r="268" spans="1:29" x14ac:dyDescent="0.25">
      <c r="A268" s="66">
        <f ca="1">IFERROR(__xludf.DUMMYFUNCTION("""COMPUTED_VALUE"""),6)</f>
        <v>6</v>
      </c>
      <c r="B268" s="67"/>
      <c r="C268" s="66">
        <f ca="1">IFERROR(__xludf.DUMMYFUNCTION("""COMPUTED_VALUE"""),3)</f>
        <v>3</v>
      </c>
      <c r="D268" s="67"/>
      <c r="E268" s="67" t="str">
        <f ca="1">IFERROR(__xludf.DUMMYFUNCTION("""COMPUTED_VALUE"""),"T0306")</f>
        <v>T0306</v>
      </c>
      <c r="F268" s="69" t="str">
        <f ca="1">IFERROR(__xludf.DUMMYFUNCTION("""COMPUTED_VALUE"""),"Favourites-list")</f>
        <v>Favourites-list</v>
      </c>
      <c r="G268" s="67"/>
      <c r="H268" s="66"/>
      <c r="I268" s="66"/>
      <c r="J268" s="84" t="str">
        <f ca="1"/>
        <v/>
      </c>
      <c r="K268" s="84" t="str">
        <f ca="1"/>
        <v/>
      </c>
      <c r="L268" s="82" t="str">
        <f ca="1"/>
        <v/>
      </c>
      <c r="M268" s="82" t="str">
        <f ca="1"/>
        <v/>
      </c>
      <c r="N268" s="42"/>
      <c r="O268" s="42"/>
      <c r="P268" s="42"/>
      <c r="Q268" s="42"/>
      <c r="R268" s="42"/>
      <c r="S268" s="42"/>
      <c r="T268" s="42"/>
      <c r="U268" s="42"/>
      <c r="V268" s="42"/>
      <c r="W268" s="42"/>
      <c r="X268" s="42"/>
      <c r="Y268" s="42"/>
      <c r="Z268" s="42"/>
      <c r="AA268" s="42"/>
      <c r="AB268" s="42"/>
      <c r="AC268" s="42"/>
    </row>
    <row r="269" spans="1:29" x14ac:dyDescent="0.25">
      <c r="A269" s="73">
        <f ca="1">IFERROR(__xludf.DUMMYFUNCTION("""COMPUTED_VALUE"""),6)</f>
        <v>6</v>
      </c>
      <c r="B269" s="74"/>
      <c r="C269" s="73">
        <f ca="1">IFERROR(__xludf.DUMMYFUNCTION("""COMPUTED_VALUE"""),3)</f>
        <v>3</v>
      </c>
      <c r="D269" s="74"/>
      <c r="E269" s="74" t="str">
        <f ca="1">IFERROR(__xludf.DUMMYFUNCTION("""COMPUTED_VALUE"""),"T0307")</f>
        <v>T0307</v>
      </c>
      <c r="F269" s="76" t="str">
        <f ca="1">IFERROR(__xludf.DUMMYFUNCTION("""COMPUTED_VALUE"""),"Wish-list")</f>
        <v>Wish-list</v>
      </c>
      <c r="G269" s="74"/>
      <c r="H269" s="77"/>
      <c r="I269" s="77"/>
      <c r="J269" s="71" t="str">
        <f ca="1"/>
        <v/>
      </c>
      <c r="K269" s="71" t="str">
        <f ca="1"/>
        <v/>
      </c>
      <c r="L269" s="72" t="str">
        <f ca="1"/>
        <v/>
      </c>
      <c r="M269" s="82" t="str">
        <f ca="1"/>
        <v/>
      </c>
      <c r="N269" s="42"/>
      <c r="O269" s="42"/>
      <c r="P269" s="42"/>
      <c r="Q269" s="42"/>
      <c r="R269" s="42"/>
      <c r="S269" s="42"/>
      <c r="T269" s="42"/>
      <c r="U269" s="42"/>
      <c r="V269" s="42"/>
      <c r="W269" s="42"/>
      <c r="X269" s="42"/>
      <c r="Y269" s="42"/>
      <c r="Z269" s="42"/>
      <c r="AA269" s="42"/>
      <c r="AB269" s="42"/>
      <c r="AC269" s="42"/>
    </row>
    <row r="270" spans="1:29" x14ac:dyDescent="0.25">
      <c r="A270" s="66">
        <f ca="1">IFERROR(__xludf.DUMMYFUNCTION("""COMPUTED_VALUE"""),6)</f>
        <v>6</v>
      </c>
      <c r="B270" s="67"/>
      <c r="C270" s="66">
        <f ca="1">IFERROR(__xludf.DUMMYFUNCTION("""COMPUTED_VALUE"""),4)</f>
        <v>4</v>
      </c>
      <c r="D270" s="67" t="str">
        <f ca="1">IFERROR(__xludf.DUMMYFUNCTION("""COMPUTED_VALUE"""),"4 Advertisement")</f>
        <v>4 Advertisement</v>
      </c>
      <c r="E270" s="67" t="str">
        <f ca="1">IFERROR(__xludf.DUMMYFUNCTION("""COMPUTED_VALUE"""),"ReqID")</f>
        <v>ReqID</v>
      </c>
      <c r="F270" s="69" t="str">
        <f ca="1">IFERROR(__xludf.DUMMYFUNCTION("""COMPUTED_VALUE"""),"4 Advertisement")</f>
        <v>4 Advertisement</v>
      </c>
      <c r="G270" s="67"/>
      <c r="H270" s="70"/>
      <c r="I270" s="70"/>
      <c r="J270" s="71" t="str">
        <f ca="1"/>
        <v/>
      </c>
      <c r="K270" s="71" t="str">
        <f ca="1"/>
        <v/>
      </c>
      <c r="L270" s="72" t="str">
        <f ca="1"/>
        <v/>
      </c>
      <c r="M270" s="82" t="str">
        <f ca="1"/>
        <v/>
      </c>
      <c r="N270" s="42"/>
      <c r="O270" s="42"/>
      <c r="P270" s="42"/>
      <c r="Q270" s="42"/>
      <c r="R270" s="42"/>
      <c r="S270" s="42"/>
      <c r="T270" s="42"/>
      <c r="U270" s="42"/>
      <c r="V270" s="42"/>
      <c r="W270" s="42"/>
      <c r="X270" s="42"/>
      <c r="Y270" s="42"/>
      <c r="Z270" s="42"/>
      <c r="AA270" s="42"/>
      <c r="AB270" s="42"/>
      <c r="AC270" s="42"/>
    </row>
    <row r="271" spans="1:29" x14ac:dyDescent="0.25">
      <c r="A271" s="73">
        <f ca="1">IFERROR(__xludf.DUMMYFUNCTION("""COMPUTED_VALUE"""),6)</f>
        <v>6</v>
      </c>
      <c r="B271" s="74"/>
      <c r="C271" s="73">
        <f ca="1">IFERROR(__xludf.DUMMYFUNCTION("""COMPUTED_VALUE"""),4)</f>
        <v>4</v>
      </c>
      <c r="D271" s="74"/>
      <c r="E271" s="74" t="str">
        <f ca="1">IFERROR(__xludf.DUMMYFUNCTION("""COMPUTED_VALUE"""),"T0401")</f>
        <v>T0401</v>
      </c>
      <c r="F271" s="76" t="str">
        <f ca="1">IFERROR(__xludf.DUMMYFUNCTION("""COMPUTED_VALUE"""),"Advertisement")</f>
        <v>Advertisement</v>
      </c>
      <c r="G271" s="74"/>
      <c r="H271" s="77"/>
      <c r="I271" s="77"/>
      <c r="J271" s="71" t="str">
        <f ca="1"/>
        <v/>
      </c>
      <c r="K271" s="71" t="str">
        <f ca="1"/>
        <v/>
      </c>
      <c r="L271" s="72" t="str">
        <f ca="1"/>
        <v/>
      </c>
      <c r="M271" s="82" t="str">
        <f ca="1"/>
        <v/>
      </c>
      <c r="N271" s="42"/>
      <c r="O271" s="42"/>
      <c r="P271" s="42"/>
      <c r="Q271" s="42"/>
      <c r="R271" s="42"/>
      <c r="S271" s="42"/>
      <c r="T271" s="42"/>
      <c r="U271" s="42"/>
      <c r="V271" s="42"/>
      <c r="W271" s="42"/>
      <c r="X271" s="42"/>
      <c r="Y271" s="42"/>
      <c r="Z271" s="42"/>
      <c r="AA271" s="42"/>
      <c r="AB271" s="42"/>
      <c r="AC271" s="42"/>
    </row>
    <row r="272" spans="1:29" x14ac:dyDescent="0.25">
      <c r="A272" s="66">
        <f ca="1">IFERROR(__xludf.DUMMYFUNCTION("""COMPUTED_VALUE"""),6)</f>
        <v>6</v>
      </c>
      <c r="B272" s="67"/>
      <c r="C272" s="66">
        <f ca="1">IFERROR(__xludf.DUMMYFUNCTION("""COMPUTED_VALUE"""),4)</f>
        <v>4</v>
      </c>
      <c r="D272" s="67"/>
      <c r="E272" s="67" t="str">
        <f ca="1">IFERROR(__xludf.DUMMYFUNCTION("""COMPUTED_VALUE"""),"T0402")</f>
        <v>T0402</v>
      </c>
      <c r="F272" s="69" t="str">
        <f ca="1">IFERROR(__xludf.DUMMYFUNCTION("""COMPUTED_VALUE"""),"Online shop advertisement")</f>
        <v>Online shop advertisement</v>
      </c>
      <c r="G272" s="67"/>
      <c r="H272" s="70"/>
      <c r="I272" s="70"/>
      <c r="J272" s="71" t="str">
        <f ca="1"/>
        <v/>
      </c>
      <c r="K272" s="71" t="str">
        <f ca="1"/>
        <v/>
      </c>
      <c r="L272" s="72" t="str">
        <f ca="1"/>
        <v/>
      </c>
      <c r="M272" s="82" t="str">
        <f ca="1"/>
        <v/>
      </c>
      <c r="N272" s="42"/>
      <c r="O272" s="42"/>
      <c r="P272" s="42"/>
      <c r="Q272" s="42"/>
      <c r="R272" s="42"/>
      <c r="S272" s="42"/>
      <c r="T272" s="42"/>
      <c r="U272" s="42"/>
      <c r="V272" s="42"/>
      <c r="W272" s="42"/>
      <c r="X272" s="42"/>
      <c r="Y272" s="42"/>
      <c r="Z272" s="42"/>
      <c r="AA272" s="42"/>
      <c r="AB272" s="42"/>
      <c r="AC272" s="42"/>
    </row>
    <row r="273" spans="1:29" x14ac:dyDescent="0.25">
      <c r="A273" s="73">
        <f ca="1">IFERROR(__xludf.DUMMYFUNCTION("""COMPUTED_VALUE"""),6)</f>
        <v>6</v>
      </c>
      <c r="B273" s="74"/>
      <c r="C273" s="73">
        <f ca="1">IFERROR(__xludf.DUMMYFUNCTION("""COMPUTED_VALUE"""),4)</f>
        <v>4</v>
      </c>
      <c r="D273" s="74"/>
      <c r="E273" s="74" t="str">
        <f ca="1">IFERROR(__xludf.DUMMYFUNCTION("""COMPUTED_VALUE"""),"T0403")</f>
        <v>T0403</v>
      </c>
      <c r="F273" s="76" t="str">
        <f ca="1">IFERROR(__xludf.DUMMYFUNCTION("""COMPUTED_VALUE"""),"Online advertisement")</f>
        <v>Online advertisement</v>
      </c>
      <c r="G273" s="74"/>
      <c r="H273" s="77"/>
      <c r="I273" s="77"/>
      <c r="J273" s="71" t="str">
        <f ca="1"/>
        <v/>
      </c>
      <c r="K273" s="71" t="str">
        <f ca="1"/>
        <v/>
      </c>
      <c r="L273" s="72" t="str">
        <f ca="1"/>
        <v/>
      </c>
      <c r="M273" s="82" t="str">
        <f ca="1"/>
        <v/>
      </c>
      <c r="N273" s="42"/>
      <c r="O273" s="42"/>
      <c r="P273" s="42"/>
      <c r="Q273" s="42"/>
      <c r="R273" s="42"/>
      <c r="S273" s="42"/>
      <c r="T273" s="42"/>
      <c r="U273" s="42"/>
      <c r="V273" s="42"/>
      <c r="W273" s="42"/>
      <c r="X273" s="42"/>
      <c r="Y273" s="42"/>
      <c r="Z273" s="42"/>
      <c r="AA273" s="42"/>
      <c r="AB273" s="42"/>
      <c r="AC273" s="42"/>
    </row>
    <row r="274" spans="1:29" x14ac:dyDescent="0.25">
      <c r="A274" s="66">
        <f ca="1">IFERROR(__xludf.DUMMYFUNCTION("""COMPUTED_VALUE"""),6)</f>
        <v>6</v>
      </c>
      <c r="B274" s="67"/>
      <c r="C274" s="66">
        <f ca="1">IFERROR(__xludf.DUMMYFUNCTION("""COMPUTED_VALUE"""),4)</f>
        <v>4</v>
      </c>
      <c r="D274" s="67"/>
      <c r="E274" s="67" t="str">
        <f ca="1">IFERROR(__xludf.DUMMYFUNCTION("""COMPUTED_VALUE"""),"T0404")</f>
        <v>T0404</v>
      </c>
      <c r="F274" s="69" t="str">
        <f ca="1">IFERROR(__xludf.DUMMYFUNCTION("""COMPUTED_VALUE"""),"Promotion")</f>
        <v>Promotion</v>
      </c>
      <c r="G274" s="67"/>
      <c r="H274" s="70"/>
      <c r="I274" s="70"/>
      <c r="J274" s="71" t="str">
        <f ca="1"/>
        <v/>
      </c>
      <c r="K274" s="71" t="str">
        <f ca="1"/>
        <v/>
      </c>
      <c r="L274" s="72" t="str">
        <f ca="1"/>
        <v/>
      </c>
      <c r="M274" s="82" t="str">
        <f ca="1"/>
        <v/>
      </c>
      <c r="N274" s="42"/>
      <c r="O274" s="42"/>
      <c r="P274" s="42"/>
      <c r="Q274" s="42"/>
      <c r="R274" s="42"/>
      <c r="S274" s="42"/>
      <c r="T274" s="42"/>
      <c r="U274" s="42"/>
      <c r="V274" s="42"/>
      <c r="W274" s="42"/>
      <c r="X274" s="42"/>
      <c r="Y274" s="42"/>
      <c r="Z274" s="42"/>
      <c r="AA274" s="42"/>
      <c r="AB274" s="42"/>
      <c r="AC274" s="42"/>
    </row>
    <row r="275" spans="1:29" x14ac:dyDescent="0.25">
      <c r="A275" s="73">
        <f ca="1">IFERROR(__xludf.DUMMYFUNCTION("""COMPUTED_VALUE"""),6)</f>
        <v>6</v>
      </c>
      <c r="B275" s="74"/>
      <c r="C275" s="73">
        <f ca="1">IFERROR(__xludf.DUMMYFUNCTION("""COMPUTED_VALUE"""),5)</f>
        <v>5</v>
      </c>
      <c r="D275" s="74" t="str">
        <f ca="1">IFERROR(__xludf.DUMMYFUNCTION("""COMPUTED_VALUE"""),"5 Product")</f>
        <v>5 Product</v>
      </c>
      <c r="E275" s="74" t="str">
        <f ca="1">IFERROR(__xludf.DUMMYFUNCTION("""COMPUTED_VALUE"""),"ReqID")</f>
        <v>ReqID</v>
      </c>
      <c r="F275" s="76" t="str">
        <f ca="1">IFERROR(__xludf.DUMMYFUNCTION("""COMPUTED_VALUE"""),"5 Product")</f>
        <v>5 Product</v>
      </c>
      <c r="G275" s="74"/>
      <c r="H275" s="77"/>
      <c r="I275" s="77"/>
      <c r="J275" s="71" t="str">
        <f ca="1"/>
        <v/>
      </c>
      <c r="K275" s="71" t="str">
        <f ca="1"/>
        <v/>
      </c>
      <c r="L275" s="72" t="str">
        <f ca="1"/>
        <v/>
      </c>
      <c r="M275" s="82" t="str">
        <f ca="1"/>
        <v/>
      </c>
      <c r="N275" s="42"/>
      <c r="O275" s="42"/>
      <c r="P275" s="42"/>
      <c r="Q275" s="42"/>
      <c r="R275" s="42"/>
      <c r="S275" s="42"/>
      <c r="T275" s="42"/>
      <c r="U275" s="42"/>
      <c r="V275" s="42"/>
      <c r="W275" s="42"/>
      <c r="X275" s="42"/>
      <c r="Y275" s="42"/>
      <c r="Z275" s="42"/>
      <c r="AA275" s="42"/>
      <c r="AB275" s="42"/>
      <c r="AC275" s="42"/>
    </row>
    <row r="276" spans="1:29" x14ac:dyDescent="0.25">
      <c r="A276" s="66">
        <f ca="1">IFERROR(__xludf.DUMMYFUNCTION("""COMPUTED_VALUE"""),6)</f>
        <v>6</v>
      </c>
      <c r="B276" s="67"/>
      <c r="C276" s="66">
        <f ca="1">IFERROR(__xludf.DUMMYFUNCTION("""COMPUTED_VALUE"""),5)</f>
        <v>5</v>
      </c>
      <c r="D276" s="67"/>
      <c r="E276" s="67" t="str">
        <f ca="1">IFERROR(__xludf.DUMMYFUNCTION("""COMPUTED_VALUE"""),"T0501")</f>
        <v>T0501</v>
      </c>
      <c r="F276" s="69" t="str">
        <f ca="1">IFERROR(__xludf.DUMMYFUNCTION("""COMPUTED_VALUE"""),"B2C Co advertised product")</f>
        <v>B2C Co advertised product</v>
      </c>
      <c r="G276" s="67"/>
      <c r="H276" s="66"/>
      <c r="I276" s="66"/>
      <c r="J276" s="84" t="str">
        <f ca="1"/>
        <v/>
      </c>
      <c r="K276" s="84" t="str">
        <f ca="1"/>
        <v/>
      </c>
      <c r="L276" s="82" t="str">
        <f ca="1"/>
        <v/>
      </c>
      <c r="M276" s="82" t="str">
        <f ca="1"/>
        <v/>
      </c>
      <c r="N276" s="42"/>
      <c r="O276" s="42"/>
      <c r="P276" s="42"/>
      <c r="Q276" s="42"/>
      <c r="R276" s="42"/>
      <c r="S276" s="42"/>
      <c r="T276" s="42"/>
      <c r="U276" s="42"/>
      <c r="V276" s="42"/>
      <c r="W276" s="42"/>
      <c r="X276" s="42"/>
      <c r="Y276" s="42"/>
      <c r="Z276" s="42"/>
      <c r="AA276" s="42"/>
      <c r="AB276" s="42"/>
      <c r="AC276" s="42"/>
    </row>
    <row r="277" spans="1:29" x14ac:dyDescent="0.25">
      <c r="A277" s="73">
        <f ca="1">IFERROR(__xludf.DUMMYFUNCTION("""COMPUTED_VALUE"""),6)</f>
        <v>6</v>
      </c>
      <c r="B277" s="74"/>
      <c r="C277" s="73">
        <f ca="1">IFERROR(__xludf.DUMMYFUNCTION("""COMPUTED_VALUE"""),5)</f>
        <v>5</v>
      </c>
      <c r="D277" s="74"/>
      <c r="E277" s="74" t="str">
        <f ca="1">IFERROR(__xludf.DUMMYFUNCTION("""COMPUTED_VALUE"""),"T0502")</f>
        <v>T0502</v>
      </c>
      <c r="F277" s="76" t="str">
        <f ca="1">IFERROR(__xludf.DUMMYFUNCTION("""COMPUTED_VALUE"""),"Web advertised product")</f>
        <v>Web advertised product</v>
      </c>
      <c r="G277" s="74"/>
      <c r="H277" s="73"/>
      <c r="I277" s="73"/>
      <c r="J277" s="84" t="str">
        <f ca="1"/>
        <v/>
      </c>
      <c r="K277" s="84" t="str">
        <f ca="1"/>
        <v/>
      </c>
      <c r="L277" s="82" t="str">
        <f ca="1"/>
        <v/>
      </c>
      <c r="M277" s="82" t="str">
        <f ca="1"/>
        <v/>
      </c>
      <c r="N277" s="42"/>
      <c r="O277" s="42"/>
      <c r="P277" s="42"/>
      <c r="Q277" s="42"/>
      <c r="R277" s="42"/>
      <c r="S277" s="42"/>
      <c r="T277" s="42"/>
      <c r="U277" s="42"/>
      <c r="V277" s="42"/>
      <c r="W277" s="42"/>
      <c r="X277" s="42"/>
      <c r="Y277" s="42"/>
      <c r="Z277" s="42"/>
      <c r="AA277" s="42"/>
      <c r="AB277" s="42"/>
      <c r="AC277" s="42"/>
    </row>
    <row r="278" spans="1:29" x14ac:dyDescent="0.25">
      <c r="A278" s="66">
        <f ca="1">IFERROR(__xludf.DUMMYFUNCTION("""COMPUTED_VALUE"""),6)</f>
        <v>6</v>
      </c>
      <c r="B278" s="67"/>
      <c r="C278" s="66">
        <f ca="1">IFERROR(__xludf.DUMMYFUNCTION("""COMPUTED_VALUE"""),5)</f>
        <v>5</v>
      </c>
      <c r="D278" s="67"/>
      <c r="E278" s="67" t="str">
        <f ca="1">IFERROR(__xludf.DUMMYFUNCTION("""COMPUTED_VALUE"""),"T0503")</f>
        <v>T0503</v>
      </c>
      <c r="F278" s="69" t="str">
        <f ca="1">IFERROR(__xludf.DUMMYFUNCTION("""COMPUTED_VALUE"""),"Promoted brand")</f>
        <v>Promoted brand</v>
      </c>
      <c r="G278" s="67"/>
      <c r="H278" s="66"/>
      <c r="I278" s="66"/>
      <c r="J278" s="84" t="str">
        <f ca="1"/>
        <v/>
      </c>
      <c r="K278" s="84" t="str">
        <f ca="1"/>
        <v/>
      </c>
      <c r="L278" s="82" t="str">
        <f ca="1"/>
        <v/>
      </c>
      <c r="M278" s="82" t="str">
        <f ca="1"/>
        <v/>
      </c>
      <c r="N278" s="42"/>
      <c r="O278" s="42"/>
      <c r="P278" s="42"/>
      <c r="Q278" s="42"/>
      <c r="R278" s="42"/>
      <c r="S278" s="42"/>
      <c r="T278" s="42"/>
      <c r="U278" s="42"/>
      <c r="V278" s="42"/>
      <c r="W278" s="42"/>
      <c r="X278" s="42"/>
      <c r="Y278" s="42"/>
      <c r="Z278" s="42"/>
      <c r="AA278" s="42"/>
      <c r="AB278" s="42"/>
      <c r="AC278" s="42"/>
    </row>
    <row r="279" spans="1:29" x14ac:dyDescent="0.25">
      <c r="A279" s="73">
        <f ca="1">IFERROR(__xludf.DUMMYFUNCTION("""COMPUTED_VALUE"""),6)</f>
        <v>6</v>
      </c>
      <c r="B279" s="74"/>
      <c r="C279" s="73">
        <f ca="1">IFERROR(__xludf.DUMMYFUNCTION("""COMPUTED_VALUE"""),5)</f>
        <v>5</v>
      </c>
      <c r="D279" s="74"/>
      <c r="E279" s="74" t="str">
        <f ca="1">IFERROR(__xludf.DUMMYFUNCTION("""COMPUTED_VALUE"""),"T0504")</f>
        <v>T0504</v>
      </c>
      <c r="F279" s="76" t="str">
        <f ca="1">IFERROR(__xludf.DUMMYFUNCTION("""COMPUTED_VALUE"""),"Promoted product")</f>
        <v>Promoted product</v>
      </c>
      <c r="G279" s="74"/>
      <c r="H279" s="73"/>
      <c r="I279" s="73"/>
      <c r="J279" s="84" t="str">
        <f ca="1"/>
        <v/>
      </c>
      <c r="K279" s="84" t="str">
        <f ca="1"/>
        <v/>
      </c>
      <c r="L279" s="82" t="str">
        <f ca="1"/>
        <v/>
      </c>
      <c r="M279" s="82" t="str">
        <f ca="1"/>
        <v/>
      </c>
      <c r="N279" s="42"/>
      <c r="O279" s="42"/>
      <c r="P279" s="42"/>
      <c r="Q279" s="42"/>
      <c r="R279" s="42"/>
      <c r="S279" s="42"/>
      <c r="T279" s="42"/>
      <c r="U279" s="42"/>
      <c r="V279" s="42"/>
      <c r="W279" s="42"/>
      <c r="X279" s="42"/>
      <c r="Y279" s="42"/>
      <c r="Z279" s="42"/>
      <c r="AA279" s="42"/>
      <c r="AB279" s="42"/>
      <c r="AC279" s="42"/>
    </row>
    <row r="280" spans="1:29" x14ac:dyDescent="0.25">
      <c r="A280" s="66">
        <f ca="1">IFERROR(__xludf.DUMMYFUNCTION("""COMPUTED_VALUE"""),6)</f>
        <v>6</v>
      </c>
      <c r="B280" s="67"/>
      <c r="C280" s="66">
        <f ca="1">IFERROR(__xludf.DUMMYFUNCTION("""COMPUTED_VALUE"""),5)</f>
        <v>5</v>
      </c>
      <c r="D280" s="67"/>
      <c r="E280" s="67" t="str">
        <f ca="1">IFERROR(__xludf.DUMMYFUNCTION("""COMPUTED_VALUE"""),"T0505")</f>
        <v>T0505</v>
      </c>
      <c r="F280" s="69" t="str">
        <f ca="1">IFERROR(__xludf.DUMMYFUNCTION("""COMPUTED_VALUE"""),"Frequently-bough product")</f>
        <v>Frequently-bough product</v>
      </c>
      <c r="G280" s="67"/>
      <c r="H280" s="66"/>
      <c r="I280" s="66"/>
      <c r="J280" s="85" t="str">
        <f ca="1"/>
        <v/>
      </c>
      <c r="K280" s="85" t="str">
        <f ca="1"/>
        <v/>
      </c>
      <c r="L280" s="66" t="str">
        <f ca="1"/>
        <v/>
      </c>
      <c r="M280" s="66" t="str">
        <f ca="1"/>
        <v/>
      </c>
      <c r="N280" s="42"/>
      <c r="O280" s="42"/>
      <c r="P280" s="42"/>
      <c r="Q280" s="42"/>
      <c r="R280" s="42"/>
      <c r="S280" s="42"/>
      <c r="T280" s="42"/>
      <c r="U280" s="42"/>
      <c r="V280" s="42"/>
      <c r="W280" s="42"/>
      <c r="X280" s="42"/>
      <c r="Y280" s="42"/>
      <c r="Z280" s="42"/>
      <c r="AA280" s="42"/>
      <c r="AB280" s="42"/>
      <c r="AC280" s="42"/>
    </row>
    <row r="281" spans="1:29" x14ac:dyDescent="0.25">
      <c r="A281" s="73">
        <f ca="1">IFERROR(__xludf.DUMMYFUNCTION("""COMPUTED_VALUE"""),6)</f>
        <v>6</v>
      </c>
      <c r="B281" s="74"/>
      <c r="C281" s="73">
        <f ca="1">IFERROR(__xludf.DUMMYFUNCTION("""COMPUTED_VALUE"""),5)</f>
        <v>5</v>
      </c>
      <c r="D281" s="74"/>
      <c r="E281" s="74" t="str">
        <f ca="1">IFERROR(__xludf.DUMMYFUNCTION("""COMPUTED_VALUE"""),"T0506")</f>
        <v>T0506</v>
      </c>
      <c r="F281" s="76" t="str">
        <f ca="1">IFERROR(__xludf.DUMMYFUNCTION("""COMPUTED_VALUE"""),"Similar product")</f>
        <v>Similar product</v>
      </c>
      <c r="G281" s="74"/>
      <c r="H281" s="73"/>
      <c r="I281" s="73"/>
      <c r="J281" s="86" t="str">
        <f ca="1"/>
        <v/>
      </c>
      <c r="K281" s="86" t="str">
        <f ca="1"/>
        <v/>
      </c>
      <c r="L281" s="73" t="str">
        <f ca="1"/>
        <v/>
      </c>
      <c r="M281" s="73" t="str">
        <f ca="1"/>
        <v/>
      </c>
      <c r="N281" s="42"/>
      <c r="O281" s="42"/>
      <c r="P281" s="42"/>
      <c r="Q281" s="42"/>
      <c r="R281" s="42"/>
      <c r="S281" s="42"/>
      <c r="T281" s="42"/>
      <c r="U281" s="42"/>
      <c r="V281" s="42"/>
      <c r="W281" s="42"/>
      <c r="X281" s="42"/>
      <c r="Y281" s="42"/>
      <c r="Z281" s="42"/>
      <c r="AA281" s="42"/>
      <c r="AB281" s="42"/>
      <c r="AC281" s="42"/>
    </row>
    <row r="282" spans="1:29" x14ac:dyDescent="0.25">
      <c r="A282" s="66">
        <f ca="1">IFERROR(__xludf.DUMMYFUNCTION("""COMPUTED_VALUE"""),6)</f>
        <v>6</v>
      </c>
      <c r="B282" s="67"/>
      <c r="C282" s="66">
        <f ca="1">IFERROR(__xludf.DUMMYFUNCTION("""COMPUTED_VALUE"""),5)</f>
        <v>5</v>
      </c>
      <c r="D282" s="67"/>
      <c r="E282" s="67" t="str">
        <f ca="1">IFERROR(__xludf.DUMMYFUNCTION("""COMPUTED_VALUE"""),"T0507")</f>
        <v>T0507</v>
      </c>
      <c r="F282" s="69" t="str">
        <f ca="1">IFERROR(__xludf.DUMMYFUNCTION("""COMPUTED_VALUE"""),"UOM")</f>
        <v>UOM</v>
      </c>
      <c r="G282" s="67"/>
      <c r="H282" s="66"/>
      <c r="I282" s="66"/>
      <c r="J282" s="85" t="str">
        <f ca="1"/>
        <v/>
      </c>
      <c r="K282" s="85" t="str">
        <f ca="1"/>
        <v/>
      </c>
      <c r="L282" s="66" t="str">
        <f ca="1"/>
        <v/>
      </c>
      <c r="M282" s="66" t="str">
        <f ca="1"/>
        <v/>
      </c>
      <c r="N282" s="42"/>
      <c r="O282" s="42"/>
      <c r="P282" s="42"/>
      <c r="Q282" s="42"/>
      <c r="R282" s="42"/>
      <c r="S282" s="42"/>
      <c r="T282" s="42"/>
      <c r="U282" s="42"/>
      <c r="V282" s="42"/>
      <c r="W282" s="42"/>
      <c r="X282" s="42"/>
      <c r="Y282" s="42"/>
      <c r="Z282" s="42"/>
      <c r="AA282" s="42"/>
      <c r="AB282" s="42"/>
      <c r="AC282" s="42"/>
    </row>
    <row r="283" spans="1:29" x14ac:dyDescent="0.25">
      <c r="A283" s="73">
        <f ca="1">IFERROR(__xludf.DUMMYFUNCTION("""COMPUTED_VALUE"""),6)</f>
        <v>6</v>
      </c>
      <c r="B283" s="74"/>
      <c r="C283" s="73">
        <f ca="1">IFERROR(__xludf.DUMMYFUNCTION("""COMPUTED_VALUE"""),5)</f>
        <v>5</v>
      </c>
      <c r="D283" s="74"/>
      <c r="E283" s="74" t="str">
        <f ca="1">IFERROR(__xludf.DUMMYFUNCTION("""COMPUTED_VALUE"""),"T0508")</f>
        <v>T0508</v>
      </c>
      <c r="F283" s="76" t="str">
        <f ca="1">IFERROR(__xludf.DUMMYFUNCTION("""COMPUTED_VALUE"""),"Each")</f>
        <v>Each</v>
      </c>
      <c r="G283" s="74"/>
      <c r="H283" s="73"/>
      <c r="I283" s="73"/>
      <c r="J283" s="86" t="str">
        <f ca="1"/>
        <v/>
      </c>
      <c r="K283" s="86" t="str">
        <f ca="1"/>
        <v/>
      </c>
      <c r="L283" s="73" t="str">
        <f ca="1"/>
        <v/>
      </c>
      <c r="M283" s="73" t="str">
        <f ca="1"/>
        <v/>
      </c>
      <c r="N283" s="42"/>
      <c r="O283" s="42"/>
      <c r="P283" s="42"/>
      <c r="Q283" s="42"/>
      <c r="R283" s="42"/>
      <c r="S283" s="42"/>
      <c r="T283" s="42"/>
      <c r="U283" s="42"/>
      <c r="V283" s="42"/>
      <c r="W283" s="42"/>
      <c r="X283" s="42"/>
      <c r="Y283" s="42"/>
      <c r="Z283" s="42"/>
      <c r="AA283" s="42"/>
      <c r="AB283" s="42"/>
      <c r="AC283" s="42"/>
    </row>
    <row r="284" spans="1:29" x14ac:dyDescent="0.25">
      <c r="A284" s="66">
        <f ca="1">IFERROR(__xludf.DUMMYFUNCTION("""COMPUTED_VALUE"""),6)</f>
        <v>6</v>
      </c>
      <c r="B284" s="67"/>
      <c r="C284" s="66">
        <f ca="1">IFERROR(__xludf.DUMMYFUNCTION("""COMPUTED_VALUE"""),5)</f>
        <v>5</v>
      </c>
      <c r="D284" s="67"/>
      <c r="E284" s="67" t="str">
        <f ca="1">IFERROR(__xludf.DUMMYFUNCTION("""COMPUTED_VALUE"""),"T0509")</f>
        <v>T0509</v>
      </c>
      <c r="F284" s="69" t="str">
        <f ca="1">IFERROR(__xludf.DUMMYFUNCTION("""COMPUTED_VALUE"""),"BMC")</f>
        <v>BMC</v>
      </c>
      <c r="G284" s="67"/>
      <c r="H284" s="66"/>
      <c r="I284" s="66"/>
      <c r="J284" s="85" t="str">
        <f ca="1"/>
        <v/>
      </c>
      <c r="K284" s="85" t="str">
        <f ca="1"/>
        <v/>
      </c>
      <c r="L284" s="66" t="str">
        <f ca="1"/>
        <v/>
      </c>
      <c r="M284" s="66" t="str">
        <f ca="1"/>
        <v/>
      </c>
      <c r="N284" s="42"/>
      <c r="O284" s="42"/>
      <c r="P284" s="42"/>
      <c r="Q284" s="42"/>
      <c r="R284" s="42"/>
      <c r="S284" s="42"/>
      <c r="T284" s="42"/>
      <c r="U284" s="42"/>
      <c r="V284" s="42"/>
      <c r="W284" s="42"/>
      <c r="X284" s="42"/>
      <c r="Y284" s="42"/>
      <c r="Z284" s="42"/>
      <c r="AA284" s="42"/>
      <c r="AB284" s="42"/>
      <c r="AC284" s="42"/>
    </row>
    <row r="285" spans="1:29" x14ac:dyDescent="0.25">
      <c r="A285" s="73">
        <f ca="1">IFERROR(__xludf.DUMMYFUNCTION("""COMPUTED_VALUE"""),6)</f>
        <v>6</v>
      </c>
      <c r="B285" s="74"/>
      <c r="C285" s="73">
        <f ca="1">IFERROR(__xludf.DUMMYFUNCTION("""COMPUTED_VALUE"""),5)</f>
        <v>5</v>
      </c>
      <c r="D285" s="74"/>
      <c r="E285" s="74" t="str">
        <f ca="1">IFERROR(__xludf.DUMMYFUNCTION("""COMPUTED_VALUE"""),"T0510")</f>
        <v>T0510</v>
      </c>
      <c r="F285" s="76" t="str">
        <f ca="1">IFERROR(__xludf.DUMMYFUNCTION("""COMPUTED_VALUE"""),"Proposed Selling Price (excl)")</f>
        <v>Proposed Selling Price (excl)</v>
      </c>
      <c r="G285" s="74"/>
      <c r="H285" s="73"/>
      <c r="I285" s="73"/>
      <c r="J285" s="86" t="str">
        <f ca="1"/>
        <v/>
      </c>
      <c r="K285" s="86" t="str">
        <f ca="1"/>
        <v/>
      </c>
      <c r="L285" s="73" t="str">
        <f ca="1"/>
        <v/>
      </c>
      <c r="M285" s="73" t="str">
        <f ca="1"/>
        <v/>
      </c>
      <c r="N285" s="42"/>
      <c r="O285" s="42"/>
      <c r="P285" s="42"/>
      <c r="Q285" s="42"/>
      <c r="R285" s="42"/>
      <c r="S285" s="42"/>
      <c r="T285" s="42"/>
      <c r="U285" s="42"/>
      <c r="V285" s="42"/>
      <c r="W285" s="42"/>
      <c r="X285" s="42"/>
      <c r="Y285" s="42"/>
      <c r="Z285" s="42"/>
      <c r="AA285" s="42"/>
      <c r="AB285" s="42"/>
      <c r="AC285" s="42"/>
    </row>
    <row r="286" spans="1:29" x14ac:dyDescent="0.25">
      <c r="A286" s="66">
        <f ca="1">IFERROR(__xludf.DUMMYFUNCTION("""COMPUTED_VALUE"""),6)</f>
        <v>6</v>
      </c>
      <c r="B286" s="67"/>
      <c r="C286" s="66">
        <f ca="1">IFERROR(__xludf.DUMMYFUNCTION("""COMPUTED_VALUE"""),5)</f>
        <v>5</v>
      </c>
      <c r="D286" s="67"/>
      <c r="E286" s="67" t="str">
        <f ca="1">IFERROR(__xludf.DUMMYFUNCTION("""COMPUTED_VALUE"""),"T0511")</f>
        <v>T0511</v>
      </c>
      <c r="F286" s="69" t="str">
        <f ca="1">IFERROR(__xludf.DUMMYFUNCTION("""COMPUTED_VALUE"""),"Proposed Selling Price (incl)")</f>
        <v>Proposed Selling Price (incl)</v>
      </c>
      <c r="G286" s="67"/>
      <c r="H286" s="66"/>
      <c r="I286" s="66"/>
      <c r="J286" s="85" t="str">
        <f ca="1"/>
        <v/>
      </c>
      <c r="K286" s="85" t="str">
        <f ca="1"/>
        <v/>
      </c>
      <c r="L286" s="66" t="str">
        <f ca="1"/>
        <v/>
      </c>
      <c r="M286" s="66" t="str">
        <f ca="1"/>
        <v/>
      </c>
      <c r="N286" s="42"/>
      <c r="O286" s="42"/>
      <c r="P286" s="42"/>
      <c r="Q286" s="42"/>
      <c r="R286" s="42"/>
      <c r="S286" s="42"/>
      <c r="T286" s="42"/>
      <c r="U286" s="42"/>
      <c r="V286" s="42"/>
      <c r="W286" s="42"/>
      <c r="X286" s="42"/>
      <c r="Y286" s="42"/>
      <c r="Z286" s="42"/>
      <c r="AA286" s="42"/>
      <c r="AB286" s="42"/>
      <c r="AC286" s="42"/>
    </row>
    <row r="287" spans="1:29" x14ac:dyDescent="0.25">
      <c r="A287" s="73">
        <f ca="1">IFERROR(__xludf.DUMMYFUNCTION("""COMPUTED_VALUE"""),6)</f>
        <v>6</v>
      </c>
      <c r="B287" s="74"/>
      <c r="C287" s="73">
        <f ca="1">IFERROR(__xludf.DUMMYFUNCTION("""COMPUTED_VALUE"""),5)</f>
        <v>5</v>
      </c>
      <c r="D287" s="74"/>
      <c r="E287" s="74" t="str">
        <f ca="1">IFERROR(__xludf.DUMMYFUNCTION("""COMPUTED_VALUE"""),"T0512")</f>
        <v>T0512</v>
      </c>
      <c r="F287" s="76" t="str">
        <f ca="1">IFERROR(__xludf.DUMMYFUNCTION("""COMPUTED_VALUE"""),"Selling Price (incl)")</f>
        <v>Selling Price (incl)</v>
      </c>
      <c r="G287" s="74"/>
      <c r="H287" s="73"/>
      <c r="I287" s="73"/>
      <c r="J287" s="86" t="str">
        <f ca="1"/>
        <v/>
      </c>
      <c r="K287" s="86" t="str">
        <f ca="1"/>
        <v/>
      </c>
      <c r="L287" s="73" t="str">
        <f ca="1"/>
        <v/>
      </c>
      <c r="M287" s="73" t="str">
        <f ca="1"/>
        <v/>
      </c>
      <c r="N287" s="42"/>
      <c r="O287" s="42"/>
      <c r="P287" s="42"/>
      <c r="Q287" s="42"/>
      <c r="R287" s="42"/>
      <c r="S287" s="42"/>
      <c r="T287" s="42"/>
      <c r="U287" s="42"/>
      <c r="V287" s="42"/>
      <c r="W287" s="42"/>
      <c r="X287" s="42"/>
      <c r="Y287" s="42"/>
      <c r="Z287" s="42"/>
      <c r="AA287" s="42"/>
      <c r="AB287" s="42"/>
      <c r="AC287" s="42"/>
    </row>
    <row r="288" spans="1:29" x14ac:dyDescent="0.25">
      <c r="A288" s="66">
        <f ca="1">IFERROR(__xludf.DUMMYFUNCTION("""COMPUTED_VALUE"""),6)</f>
        <v>6</v>
      </c>
      <c r="B288" s="67"/>
      <c r="C288" s="66">
        <f ca="1">IFERROR(__xludf.DUMMYFUNCTION("""COMPUTED_VALUE"""),5)</f>
        <v>5</v>
      </c>
      <c r="D288" s="67"/>
      <c r="E288" s="67" t="str">
        <f ca="1">IFERROR(__xludf.DUMMYFUNCTION("""COMPUTED_VALUE"""),"T0513")</f>
        <v>T0513</v>
      </c>
      <c r="F288" s="69" t="str">
        <f ca="1">IFERROR(__xludf.DUMMYFUNCTION("""COMPUTED_VALUE"""),"Selling Price (excl)")</f>
        <v>Selling Price (excl)</v>
      </c>
      <c r="G288" s="67"/>
      <c r="H288" s="66"/>
      <c r="I288" s="66"/>
      <c r="J288" s="85" t="str">
        <f ca="1"/>
        <v/>
      </c>
      <c r="K288" s="85" t="str">
        <f ca="1"/>
        <v/>
      </c>
      <c r="L288" s="66" t="str">
        <f ca="1"/>
        <v/>
      </c>
      <c r="M288" s="66" t="str">
        <f ca="1"/>
        <v/>
      </c>
      <c r="N288" s="42"/>
      <c r="O288" s="42"/>
      <c r="P288" s="42"/>
      <c r="Q288" s="42"/>
      <c r="R288" s="42"/>
      <c r="S288" s="42"/>
      <c r="T288" s="42"/>
      <c r="U288" s="42"/>
      <c r="V288" s="42"/>
      <c r="W288" s="42"/>
      <c r="X288" s="42"/>
      <c r="Y288" s="42"/>
      <c r="Z288" s="42"/>
      <c r="AA288" s="42"/>
      <c r="AB288" s="42"/>
      <c r="AC288" s="42"/>
    </row>
    <row r="289" spans="1:29" x14ac:dyDescent="0.25">
      <c r="A289" s="73">
        <f ca="1">IFERROR(__xludf.DUMMYFUNCTION("""COMPUTED_VALUE"""),6)</f>
        <v>6</v>
      </c>
      <c r="B289" s="74"/>
      <c r="C289" s="73">
        <f ca="1">IFERROR(__xludf.DUMMYFUNCTION("""COMPUTED_VALUE"""),5)</f>
        <v>5</v>
      </c>
      <c r="D289" s="74"/>
      <c r="E289" s="74" t="str">
        <f ca="1">IFERROR(__xludf.DUMMYFUNCTION("""COMPUTED_VALUE"""),"T0514")</f>
        <v>T0514</v>
      </c>
      <c r="F289" s="76" t="str">
        <f ca="1">IFERROR(__xludf.DUMMYFUNCTION("""COMPUTED_VALUE"""),"Promotional Price")</f>
        <v>Promotional Price</v>
      </c>
      <c r="G289" s="74"/>
      <c r="H289" s="73"/>
      <c r="I289" s="73"/>
      <c r="J289" s="86" t="str">
        <f ca="1"/>
        <v/>
      </c>
      <c r="K289" s="86" t="str">
        <f ca="1"/>
        <v/>
      </c>
      <c r="L289" s="73" t="str">
        <f ca="1"/>
        <v/>
      </c>
      <c r="M289" s="73" t="str">
        <f ca="1"/>
        <v/>
      </c>
      <c r="N289" s="42"/>
      <c r="O289" s="42"/>
      <c r="P289" s="42"/>
      <c r="Q289" s="42"/>
      <c r="R289" s="42"/>
      <c r="S289" s="42"/>
      <c r="T289" s="42"/>
      <c r="U289" s="42"/>
      <c r="V289" s="42"/>
      <c r="W289" s="42"/>
      <c r="X289" s="42"/>
      <c r="Y289" s="42"/>
      <c r="Z289" s="42"/>
      <c r="AA289" s="42"/>
      <c r="AB289" s="42"/>
      <c r="AC289" s="42"/>
    </row>
    <row r="290" spans="1:29" x14ac:dyDescent="0.25">
      <c r="A290" s="66">
        <f ca="1">IFERROR(__xludf.DUMMYFUNCTION("""COMPUTED_VALUE"""),6)</f>
        <v>6</v>
      </c>
      <c r="B290" s="67"/>
      <c r="C290" s="66">
        <f ca="1">IFERROR(__xludf.DUMMYFUNCTION("""COMPUTED_VALUE"""),5)</f>
        <v>5</v>
      </c>
      <c r="D290" s="67"/>
      <c r="E290" s="67" t="str">
        <f ca="1">IFERROR(__xludf.DUMMYFUNCTION("""COMPUTED_VALUE"""),"T0515")</f>
        <v>T0515</v>
      </c>
      <c r="F290" s="69" t="str">
        <f ca="1">IFERROR(__xludf.DUMMYFUNCTION("""COMPUTED_VALUE"""),"Price Of The Day / Ruling Price")</f>
        <v>Price Of The Day / Ruling Price</v>
      </c>
      <c r="G290" s="67"/>
      <c r="H290" s="66"/>
      <c r="I290" s="66"/>
      <c r="J290" s="85" t="str">
        <f ca="1"/>
        <v/>
      </c>
      <c r="K290" s="85" t="str">
        <f ca="1"/>
        <v/>
      </c>
      <c r="L290" s="66" t="str">
        <f ca="1"/>
        <v/>
      </c>
      <c r="M290" s="66" t="str">
        <f ca="1"/>
        <v/>
      </c>
      <c r="N290" s="42"/>
      <c r="O290" s="42"/>
      <c r="P290" s="42"/>
      <c r="Q290" s="42"/>
      <c r="R290" s="42"/>
      <c r="S290" s="42"/>
      <c r="T290" s="42"/>
      <c r="U290" s="42"/>
      <c r="V290" s="42"/>
      <c r="W290" s="42"/>
      <c r="X290" s="42"/>
      <c r="Y290" s="42"/>
      <c r="Z290" s="42"/>
      <c r="AA290" s="42"/>
      <c r="AB290" s="42"/>
      <c r="AC290" s="42"/>
    </row>
    <row r="291" spans="1:29" x14ac:dyDescent="0.25">
      <c r="A291" s="73">
        <f ca="1">IFERROR(__xludf.DUMMYFUNCTION("""COMPUTED_VALUE"""),6)</f>
        <v>6</v>
      </c>
      <c r="B291" s="74"/>
      <c r="C291" s="73">
        <f ca="1">IFERROR(__xludf.DUMMYFUNCTION("""COMPUTED_VALUE"""),6)</f>
        <v>6</v>
      </c>
      <c r="D291" s="74" t="str">
        <f ca="1">IFERROR(__xludf.DUMMYFUNCTION("""COMPUTED_VALUE"""),"6 Special Content")</f>
        <v>6 Special Content</v>
      </c>
      <c r="E291" s="74" t="str">
        <f ca="1">IFERROR(__xludf.DUMMYFUNCTION("""COMPUTED_VALUE"""),"ReqID")</f>
        <v>ReqID</v>
      </c>
      <c r="F291" s="76" t="str">
        <f ca="1">IFERROR(__xludf.DUMMYFUNCTION("""COMPUTED_VALUE"""),"6 Special Content")</f>
        <v>6 Special Content</v>
      </c>
      <c r="G291" s="74"/>
      <c r="H291" s="73"/>
      <c r="I291" s="73"/>
      <c r="J291" s="86" t="str">
        <f ca="1"/>
        <v/>
      </c>
      <c r="K291" s="86" t="str">
        <f ca="1"/>
        <v/>
      </c>
      <c r="L291" s="73" t="str">
        <f ca="1"/>
        <v/>
      </c>
      <c r="M291" s="73" t="str">
        <f ca="1"/>
        <v/>
      </c>
      <c r="N291" s="42"/>
      <c r="O291" s="42"/>
      <c r="P291" s="42"/>
      <c r="Q291" s="42"/>
      <c r="R291" s="42"/>
      <c r="S291" s="42"/>
      <c r="T291" s="42"/>
      <c r="U291" s="42"/>
      <c r="V291" s="42"/>
      <c r="W291" s="42"/>
      <c r="X291" s="42"/>
      <c r="Y291" s="42"/>
      <c r="Z291" s="42"/>
      <c r="AA291" s="42"/>
      <c r="AB291" s="42"/>
      <c r="AC291" s="42"/>
    </row>
    <row r="292" spans="1:29" x14ac:dyDescent="0.25">
      <c r="A292" s="66">
        <f ca="1">IFERROR(__xludf.DUMMYFUNCTION("""COMPUTED_VALUE"""),6)</f>
        <v>6</v>
      </c>
      <c r="B292" s="67"/>
      <c r="C292" s="66">
        <f ca="1">IFERROR(__xludf.DUMMYFUNCTION("""COMPUTED_VALUE"""),6)</f>
        <v>6</v>
      </c>
      <c r="D292" s="67"/>
      <c r="E292" s="67" t="str">
        <f ca="1">IFERROR(__xludf.DUMMYFUNCTION("""COMPUTED_VALUE"""),"T0601")</f>
        <v>T0601</v>
      </c>
      <c r="F292" s="69" t="str">
        <f ca="1">IFERROR(__xludf.DUMMYFUNCTION("""COMPUTED_VALUE"""),"Special Content")</f>
        <v>Special Content</v>
      </c>
      <c r="G292" s="67"/>
      <c r="H292" s="66"/>
      <c r="I292" s="85"/>
      <c r="J292" s="85" t="str">
        <f ca="1"/>
        <v/>
      </c>
      <c r="K292" s="85" t="str">
        <f ca="1"/>
        <v/>
      </c>
      <c r="L292" s="66" t="str">
        <f ca="1"/>
        <v/>
      </c>
      <c r="M292" s="66" t="str">
        <f ca="1"/>
        <v/>
      </c>
      <c r="N292" s="42"/>
      <c r="O292" s="42"/>
      <c r="P292" s="42"/>
      <c r="Q292" s="42"/>
      <c r="R292" s="42"/>
      <c r="S292" s="42"/>
      <c r="T292" s="42"/>
      <c r="U292" s="42"/>
      <c r="V292" s="42"/>
      <c r="W292" s="42"/>
      <c r="X292" s="42"/>
      <c r="Y292" s="42"/>
      <c r="Z292" s="42"/>
      <c r="AA292" s="42"/>
      <c r="AB292" s="42"/>
      <c r="AC292" s="42"/>
    </row>
    <row r="293" spans="1:29" x14ac:dyDescent="0.25">
      <c r="A293" s="73">
        <f ca="1">IFERROR(__xludf.DUMMYFUNCTION("""COMPUTED_VALUE"""),6)</f>
        <v>6</v>
      </c>
      <c r="B293" s="74"/>
      <c r="C293" s="73">
        <f ca="1">IFERROR(__xludf.DUMMYFUNCTION("""COMPUTED_VALUE"""),6)</f>
        <v>6</v>
      </c>
      <c r="D293" s="74"/>
      <c r="E293" s="74" t="str">
        <f ca="1">IFERROR(__xludf.DUMMYFUNCTION("""COMPUTED_VALUE"""),"T0602")</f>
        <v>T0602</v>
      </c>
      <c r="F293" s="76" t="str">
        <f ca="1">IFERROR(__xludf.DUMMYFUNCTION("""COMPUTED_VALUE"""),"Article")</f>
        <v>Article</v>
      </c>
      <c r="G293" s="74"/>
      <c r="H293" s="73"/>
      <c r="I293" s="86"/>
      <c r="J293" s="86" t="str">
        <f ca="1"/>
        <v/>
      </c>
      <c r="K293" s="86" t="str">
        <f ca="1"/>
        <v/>
      </c>
      <c r="L293" s="73" t="str">
        <f ca="1"/>
        <v/>
      </c>
      <c r="M293" s="73" t="str">
        <f ca="1"/>
        <v/>
      </c>
      <c r="N293" s="42"/>
      <c r="O293" s="42"/>
      <c r="P293" s="42"/>
      <c r="Q293" s="42"/>
      <c r="R293" s="42"/>
      <c r="S293" s="42"/>
      <c r="T293" s="42"/>
      <c r="U293" s="42"/>
      <c r="V293" s="42"/>
      <c r="W293" s="42"/>
      <c r="X293" s="42"/>
      <c r="Y293" s="42"/>
      <c r="Z293" s="42"/>
      <c r="AA293" s="42"/>
      <c r="AB293" s="42"/>
      <c r="AC293" s="42"/>
    </row>
    <row r="294" spans="1:29" x14ac:dyDescent="0.25">
      <c r="A294" s="66">
        <f ca="1">IFERROR(__xludf.DUMMYFUNCTION("""COMPUTED_VALUE"""),6)</f>
        <v>6</v>
      </c>
      <c r="B294" s="67"/>
      <c r="C294" s="66">
        <f ca="1">IFERROR(__xludf.DUMMYFUNCTION("""COMPUTED_VALUE"""),6)</f>
        <v>6</v>
      </c>
      <c r="D294" s="67"/>
      <c r="E294" s="67" t="str">
        <f ca="1">IFERROR(__xludf.DUMMYFUNCTION("""COMPUTED_VALUE"""),"T0603")</f>
        <v>T0603</v>
      </c>
      <c r="F294" s="69" t="str">
        <f ca="1">IFERROR(__xludf.DUMMYFUNCTION("""COMPUTED_VALUE"""),"Checklist")</f>
        <v>Checklist</v>
      </c>
      <c r="G294" s="67"/>
      <c r="H294" s="66"/>
      <c r="I294" s="85"/>
      <c r="J294" s="85" t="str">
        <f ca="1"/>
        <v/>
      </c>
      <c r="K294" s="85" t="str">
        <f ca="1"/>
        <v/>
      </c>
      <c r="L294" s="66" t="str">
        <f ca="1"/>
        <v/>
      </c>
      <c r="M294" s="66" t="str">
        <f ca="1"/>
        <v/>
      </c>
      <c r="N294" s="42"/>
      <c r="O294" s="42"/>
      <c r="P294" s="42"/>
      <c r="Q294" s="42"/>
      <c r="R294" s="42"/>
      <c r="S294" s="42"/>
      <c r="T294" s="42"/>
      <c r="U294" s="42"/>
      <c r="V294" s="42"/>
      <c r="W294" s="42"/>
      <c r="X294" s="42"/>
      <c r="Y294" s="42"/>
      <c r="Z294" s="42"/>
      <c r="AA294" s="42"/>
      <c r="AB294" s="42"/>
      <c r="AC294" s="42"/>
    </row>
    <row r="295" spans="1:29" x14ac:dyDescent="0.25">
      <c r="A295" s="73">
        <f ca="1">IFERROR(__xludf.DUMMYFUNCTION("""COMPUTED_VALUE"""),6)</f>
        <v>6</v>
      </c>
      <c r="B295" s="74"/>
      <c r="C295" s="73">
        <f ca="1">IFERROR(__xludf.DUMMYFUNCTION("""COMPUTED_VALUE"""),6)</f>
        <v>6</v>
      </c>
      <c r="D295" s="74"/>
      <c r="E295" s="74" t="str">
        <f ca="1">IFERROR(__xludf.DUMMYFUNCTION("""COMPUTED_VALUE"""),"T0604")</f>
        <v>T0604</v>
      </c>
      <c r="F295" s="76" t="str">
        <f ca="1">IFERROR(__xludf.DUMMYFUNCTION("""COMPUTED_VALUE"""),"Checklist task item")</f>
        <v>Checklist task item</v>
      </c>
      <c r="G295" s="74"/>
      <c r="H295" s="73"/>
      <c r="I295" s="86"/>
      <c r="J295" s="86" t="str">
        <f ca="1"/>
        <v/>
      </c>
      <c r="K295" s="86" t="str">
        <f ca="1"/>
        <v/>
      </c>
      <c r="L295" s="73" t="str">
        <f ca="1"/>
        <v/>
      </c>
      <c r="M295" s="73" t="str">
        <f ca="1"/>
        <v/>
      </c>
      <c r="N295" s="42"/>
      <c r="O295" s="42"/>
      <c r="P295" s="42"/>
      <c r="Q295" s="42"/>
      <c r="R295" s="42"/>
      <c r="S295" s="42"/>
      <c r="T295" s="42"/>
      <c r="U295" s="42"/>
      <c r="V295" s="42"/>
      <c r="W295" s="42"/>
      <c r="X295" s="42"/>
      <c r="Y295" s="42"/>
      <c r="Z295" s="42"/>
      <c r="AA295" s="42"/>
      <c r="AB295" s="42"/>
      <c r="AC295" s="42"/>
    </row>
    <row r="296" spans="1:29" x14ac:dyDescent="0.25">
      <c r="A296" s="66">
        <f ca="1">IFERROR(__xludf.DUMMYFUNCTION("""COMPUTED_VALUE"""),6)</f>
        <v>6</v>
      </c>
      <c r="B296" s="67"/>
      <c r="C296" s="66">
        <f ca="1">IFERROR(__xludf.DUMMYFUNCTION("""COMPUTED_VALUE"""),6)</f>
        <v>6</v>
      </c>
      <c r="D296" s="67"/>
      <c r="E296" s="67" t="str">
        <f ca="1">IFERROR(__xludf.DUMMYFUNCTION("""COMPUTED_VALUE"""),"T0605")</f>
        <v>T0605</v>
      </c>
      <c r="F296" s="69" t="str">
        <f ca="1">IFERROR(__xludf.DUMMYFUNCTION("""COMPUTED_VALUE"""),"Checklist article item")</f>
        <v>Checklist article item</v>
      </c>
      <c r="G296" s="67"/>
      <c r="H296" s="66"/>
      <c r="I296" s="85"/>
      <c r="J296" s="85" t="str">
        <f ca="1"/>
        <v/>
      </c>
      <c r="K296" s="85" t="str">
        <f ca="1"/>
        <v/>
      </c>
      <c r="L296" s="66" t="str">
        <f ca="1"/>
        <v/>
      </c>
      <c r="M296" s="66" t="str">
        <f ca="1"/>
        <v/>
      </c>
      <c r="N296" s="42"/>
      <c r="O296" s="42"/>
      <c r="P296" s="42"/>
      <c r="Q296" s="42"/>
      <c r="R296" s="42"/>
      <c r="S296" s="42"/>
      <c r="T296" s="42"/>
      <c r="U296" s="42"/>
      <c r="V296" s="42"/>
      <c r="W296" s="42"/>
      <c r="X296" s="42"/>
      <c r="Y296" s="42"/>
      <c r="Z296" s="42"/>
      <c r="AA296" s="42"/>
      <c r="AB296" s="42"/>
      <c r="AC296" s="42"/>
    </row>
    <row r="297" spans="1:29" x14ac:dyDescent="0.25">
      <c r="A297" s="73">
        <f ca="1">IFERROR(__xludf.DUMMYFUNCTION("""COMPUTED_VALUE"""),6)</f>
        <v>6</v>
      </c>
      <c r="B297" s="74"/>
      <c r="C297" s="73">
        <f ca="1">IFERROR(__xludf.DUMMYFUNCTION("""COMPUTED_VALUE"""),6)</f>
        <v>6</v>
      </c>
      <c r="D297" s="74"/>
      <c r="E297" s="74" t="str">
        <f ca="1">IFERROR(__xludf.DUMMYFUNCTION("""COMPUTED_VALUE"""),"T0606")</f>
        <v>T0606</v>
      </c>
      <c r="F297" s="76" t="str">
        <f ca="1">IFERROR(__xludf.DUMMYFUNCTION("""COMPUTED_VALUE"""),"Checklist article type item")</f>
        <v>Checklist article type item</v>
      </c>
      <c r="G297" s="74"/>
      <c r="H297" s="73"/>
      <c r="I297" s="86"/>
      <c r="J297" s="86" t="str">
        <f ca="1"/>
        <v/>
      </c>
      <c r="K297" s="86" t="str">
        <f ca="1"/>
        <v/>
      </c>
      <c r="L297" s="73" t="str">
        <f ca="1"/>
        <v/>
      </c>
      <c r="M297" s="73" t="str">
        <f ca="1"/>
        <v/>
      </c>
      <c r="N297" s="42"/>
      <c r="O297" s="42"/>
      <c r="P297" s="42"/>
      <c r="Q297" s="42"/>
      <c r="R297" s="42"/>
      <c r="S297" s="42"/>
      <c r="T297" s="42"/>
      <c r="U297" s="42"/>
      <c r="V297" s="42"/>
      <c r="W297" s="42"/>
      <c r="X297" s="42"/>
      <c r="Y297" s="42"/>
      <c r="Z297" s="42"/>
      <c r="AA297" s="42"/>
      <c r="AB297" s="42"/>
      <c r="AC297" s="42"/>
    </row>
    <row r="298" spans="1:29" x14ac:dyDescent="0.25">
      <c r="A298" s="66">
        <f ca="1">IFERROR(__xludf.DUMMYFUNCTION("""COMPUTED_VALUE"""),6)</f>
        <v>6</v>
      </c>
      <c r="B298" s="67"/>
      <c r="C298" s="66">
        <f ca="1">IFERROR(__xludf.DUMMYFUNCTION("""COMPUTED_VALUE"""),7)</f>
        <v>7</v>
      </c>
      <c r="D298" s="67" t="str">
        <f ca="1">IFERROR(__xludf.DUMMYFUNCTION("""COMPUTED_VALUE"""),"7 Technology")</f>
        <v>7 Technology</v>
      </c>
      <c r="E298" s="67" t="str">
        <f ca="1">IFERROR(__xludf.DUMMYFUNCTION("""COMPUTED_VALUE"""),"ReqID")</f>
        <v>ReqID</v>
      </c>
      <c r="F298" s="69" t="str">
        <f ca="1">IFERROR(__xludf.DUMMYFUNCTION("""COMPUTED_VALUE"""),"7 Technology")</f>
        <v>7 Technology</v>
      </c>
      <c r="G298" s="67"/>
      <c r="H298" s="66"/>
      <c r="I298" s="85"/>
      <c r="J298" s="85" t="str">
        <f ca="1"/>
        <v/>
      </c>
      <c r="K298" s="85" t="str">
        <f ca="1"/>
        <v/>
      </c>
      <c r="L298" s="66" t="str">
        <f ca="1"/>
        <v/>
      </c>
      <c r="M298" s="66" t="str">
        <f ca="1"/>
        <v/>
      </c>
      <c r="N298" s="42"/>
      <c r="O298" s="42"/>
      <c r="P298" s="42"/>
      <c r="Q298" s="42"/>
      <c r="R298" s="42"/>
      <c r="S298" s="42"/>
      <c r="T298" s="42"/>
      <c r="U298" s="42"/>
      <c r="V298" s="42"/>
      <c r="W298" s="42"/>
      <c r="X298" s="42"/>
      <c r="Y298" s="42"/>
      <c r="Z298" s="42"/>
      <c r="AA298" s="42"/>
      <c r="AB298" s="42"/>
      <c r="AC298" s="42"/>
    </row>
    <row r="299" spans="1:29" x14ac:dyDescent="0.25">
      <c r="A299" s="73">
        <f ca="1">IFERROR(__xludf.DUMMYFUNCTION("""COMPUTED_VALUE"""),6)</f>
        <v>6</v>
      </c>
      <c r="B299" s="74"/>
      <c r="C299" s="73">
        <f ca="1">IFERROR(__xludf.DUMMYFUNCTION("""COMPUTED_VALUE"""),7)</f>
        <v>7</v>
      </c>
      <c r="D299" s="74"/>
      <c r="E299" s="74" t="str">
        <f ca="1">IFERROR(__xludf.DUMMYFUNCTION("""COMPUTED_VALUE"""),"T0701")</f>
        <v>T0701</v>
      </c>
      <c r="F299" s="76" t="str">
        <f ca="1">IFERROR(__xludf.DUMMYFUNCTION("""COMPUTED_VALUE"""),"CTI")</f>
        <v>CTI</v>
      </c>
      <c r="G299" s="74"/>
      <c r="H299" s="73"/>
      <c r="I299" s="86"/>
      <c r="J299" s="86" t="str">
        <f ca="1"/>
        <v/>
      </c>
      <c r="K299" s="86" t="str">
        <f ca="1"/>
        <v/>
      </c>
      <c r="L299" s="73" t="str">
        <f ca="1"/>
        <v/>
      </c>
      <c r="M299" s="73" t="str">
        <f ca="1"/>
        <v/>
      </c>
      <c r="N299" s="42"/>
      <c r="O299" s="42"/>
      <c r="P299" s="42"/>
      <c r="Q299" s="42"/>
      <c r="R299" s="42"/>
      <c r="S299" s="42"/>
      <c r="T299" s="42"/>
      <c r="U299" s="42"/>
      <c r="V299" s="42"/>
      <c r="W299" s="42"/>
      <c r="X299" s="42"/>
      <c r="Y299" s="42"/>
      <c r="Z299" s="42"/>
      <c r="AA299" s="42"/>
      <c r="AB299" s="42"/>
      <c r="AC299" s="42"/>
    </row>
    <row r="300" spans="1:29" x14ac:dyDescent="0.25">
      <c r="A300" s="66">
        <f ca="1">IFERROR(__xludf.DUMMYFUNCTION("""COMPUTED_VALUE"""),6)</f>
        <v>6</v>
      </c>
      <c r="B300" s="67"/>
      <c r="C300" s="66">
        <f ca="1">IFERROR(__xludf.DUMMYFUNCTION("""COMPUTED_VALUE"""),7)</f>
        <v>7</v>
      </c>
      <c r="D300" s="67"/>
      <c r="E300" s="67" t="str">
        <f ca="1">IFERROR(__xludf.DUMMYFUNCTION("""COMPUTED_VALUE"""),"T0702")</f>
        <v>T0702</v>
      </c>
      <c r="F300" s="69" t="str">
        <f ca="1">IFERROR(__xludf.DUMMYFUNCTION("""COMPUTED_VALUE"""),"EDI")</f>
        <v>EDI</v>
      </c>
      <c r="G300" s="67"/>
      <c r="H300" s="66"/>
      <c r="I300" s="85"/>
      <c r="J300" s="85" t="str">
        <f ca="1"/>
        <v/>
      </c>
      <c r="K300" s="85" t="str">
        <f ca="1"/>
        <v/>
      </c>
      <c r="L300" s="66" t="str">
        <f ca="1"/>
        <v/>
      </c>
      <c r="M300" s="66" t="str">
        <f ca="1"/>
        <v/>
      </c>
      <c r="N300" s="42"/>
      <c r="O300" s="42"/>
      <c r="P300" s="42"/>
      <c r="Q300" s="42"/>
      <c r="R300" s="42"/>
      <c r="S300" s="42"/>
      <c r="T300" s="42"/>
      <c r="U300" s="42"/>
      <c r="V300" s="42"/>
      <c r="W300" s="42"/>
      <c r="X300" s="42"/>
      <c r="Y300" s="42"/>
      <c r="Z300" s="42"/>
      <c r="AA300" s="42"/>
      <c r="AB300" s="42"/>
      <c r="AC300" s="42"/>
    </row>
    <row r="301" spans="1:29" x14ac:dyDescent="0.25">
      <c r="A301" s="87">
        <f ca="1">IFERROR(__xludf.DUMMYFUNCTION("""COMPUTED_VALUE"""),6)</f>
        <v>6</v>
      </c>
      <c r="B301" s="88"/>
      <c r="C301" s="87">
        <f ca="1">IFERROR(__xludf.DUMMYFUNCTION("""COMPUTED_VALUE"""),7)</f>
        <v>7</v>
      </c>
      <c r="D301" s="88"/>
      <c r="E301" s="88" t="str">
        <f ca="1">IFERROR(__xludf.DUMMYFUNCTION("""COMPUTED_VALUE"""),"T0703")</f>
        <v>T0703</v>
      </c>
      <c r="F301" s="89" t="str">
        <f ca="1">IFERROR(__xludf.DUMMYFUNCTION("""COMPUTED_VALUE"""),"Faceted Search")</f>
        <v>Faceted Search</v>
      </c>
      <c r="G301" s="88"/>
      <c r="H301" s="87"/>
      <c r="I301" s="90"/>
      <c r="J301" s="90" t="str">
        <f ca="1"/>
        <v/>
      </c>
      <c r="K301" s="90" t="str">
        <f ca="1"/>
        <v/>
      </c>
      <c r="L301" s="87" t="str">
        <f ca="1"/>
        <v/>
      </c>
      <c r="M301" s="87" t="str">
        <f ca="1"/>
        <v/>
      </c>
      <c r="N301" s="42"/>
      <c r="O301" s="42"/>
      <c r="P301" s="42"/>
      <c r="Q301" s="42"/>
      <c r="R301" s="42"/>
      <c r="S301" s="42"/>
      <c r="T301" s="42"/>
      <c r="U301" s="42"/>
      <c r="V301" s="42"/>
      <c r="W301" s="42"/>
      <c r="X301" s="42"/>
      <c r="Y301" s="42"/>
      <c r="Z301" s="42"/>
      <c r="AA301" s="42"/>
      <c r="AB301" s="42"/>
      <c r="AC301" s="42"/>
    </row>
    <row r="302" spans="1:29" x14ac:dyDescent="0.25">
      <c r="A302" s="41"/>
      <c r="B302" s="42"/>
      <c r="C302" s="41"/>
      <c r="D302" s="42"/>
      <c r="E302" s="42"/>
      <c r="F302" s="35"/>
      <c r="G302" s="42"/>
      <c r="H302" s="41"/>
      <c r="I302" s="91"/>
      <c r="J302" s="91" t="str">
        <f ca="1"/>
        <v/>
      </c>
      <c r="K302" s="91" t="str">
        <f ca="1"/>
        <v/>
      </c>
      <c r="L302" s="41" t="str">
        <f ca="1"/>
        <v/>
      </c>
      <c r="M302" s="41" t="str">
        <f ca="1"/>
        <v/>
      </c>
      <c r="N302" s="42"/>
      <c r="O302" s="42"/>
      <c r="P302" s="42"/>
      <c r="Q302" s="42"/>
      <c r="R302" s="42"/>
      <c r="S302" s="42"/>
      <c r="T302" s="42"/>
      <c r="U302" s="42"/>
      <c r="V302" s="42"/>
      <c r="W302" s="42"/>
      <c r="X302" s="42"/>
      <c r="Y302" s="42"/>
      <c r="Z302" s="42"/>
      <c r="AA302" s="42"/>
      <c r="AB302" s="42"/>
      <c r="AC302" s="42"/>
    </row>
    <row r="303" spans="1:29" x14ac:dyDescent="0.25">
      <c r="A303" s="41"/>
      <c r="B303" s="42"/>
      <c r="C303" s="41"/>
      <c r="D303" s="42"/>
      <c r="E303" s="42"/>
      <c r="F303" s="35"/>
      <c r="G303" s="42"/>
      <c r="H303" s="41"/>
      <c r="I303" s="91"/>
      <c r="J303" s="91" t="str">
        <f ca="1"/>
        <v/>
      </c>
      <c r="K303" s="91" t="str">
        <f ca="1"/>
        <v/>
      </c>
      <c r="L303" s="41" t="str">
        <f ca="1"/>
        <v/>
      </c>
      <c r="M303" s="41" t="str">
        <f ca="1"/>
        <v/>
      </c>
      <c r="N303" s="42"/>
      <c r="O303" s="42"/>
      <c r="P303" s="42"/>
      <c r="Q303" s="42"/>
      <c r="R303" s="42"/>
      <c r="S303" s="42"/>
      <c r="T303" s="42"/>
      <c r="U303" s="42"/>
      <c r="V303" s="42"/>
      <c r="W303" s="42"/>
      <c r="X303" s="42"/>
      <c r="Y303" s="42"/>
      <c r="Z303" s="42"/>
      <c r="AA303" s="42"/>
      <c r="AB303" s="42"/>
      <c r="AC303" s="42"/>
    </row>
    <row r="304" spans="1:29" x14ac:dyDescent="0.25">
      <c r="A304" s="41"/>
      <c r="B304" s="42"/>
      <c r="C304" s="41"/>
      <c r="D304" s="42"/>
      <c r="E304" s="42"/>
      <c r="F304" s="35"/>
      <c r="G304" s="42"/>
      <c r="H304" s="41"/>
      <c r="I304" s="91"/>
      <c r="J304" s="91" t="str">
        <f ca="1"/>
        <v/>
      </c>
      <c r="K304" s="91" t="str">
        <f ca="1"/>
        <v/>
      </c>
      <c r="L304" s="41" t="str">
        <f ca="1"/>
        <v/>
      </c>
      <c r="M304" s="41" t="str">
        <f ca="1"/>
        <v/>
      </c>
      <c r="N304" s="42"/>
      <c r="O304" s="42"/>
      <c r="P304" s="42"/>
      <c r="Q304" s="42"/>
      <c r="R304" s="42"/>
      <c r="S304" s="42"/>
      <c r="T304" s="42"/>
      <c r="U304" s="42"/>
      <c r="V304" s="42"/>
      <c r="W304" s="42"/>
      <c r="X304" s="42"/>
      <c r="Y304" s="42"/>
      <c r="Z304" s="42"/>
      <c r="AA304" s="42"/>
      <c r="AB304" s="42"/>
      <c r="AC304" s="42"/>
    </row>
    <row r="305" spans="1:29" x14ac:dyDescent="0.25">
      <c r="A305" s="41"/>
      <c r="B305" s="42"/>
      <c r="C305" s="41"/>
      <c r="D305" s="42"/>
      <c r="E305" s="42"/>
      <c r="F305" s="35"/>
      <c r="G305" s="42"/>
      <c r="H305" s="41"/>
      <c r="I305" s="91"/>
      <c r="J305" s="91" t="str">
        <f ca="1"/>
        <v/>
      </c>
      <c r="K305" s="91" t="str">
        <f ca="1"/>
        <v/>
      </c>
      <c r="L305" s="41" t="str">
        <f ca="1"/>
        <v/>
      </c>
      <c r="M305" s="41" t="str">
        <f ca="1"/>
        <v/>
      </c>
      <c r="N305" s="42"/>
      <c r="O305" s="42"/>
      <c r="P305" s="42"/>
      <c r="Q305" s="42"/>
      <c r="R305" s="42"/>
      <c r="S305" s="42"/>
      <c r="T305" s="42"/>
      <c r="U305" s="42"/>
      <c r="V305" s="42"/>
      <c r="W305" s="42"/>
      <c r="X305" s="42"/>
      <c r="Y305" s="42"/>
      <c r="Z305" s="42"/>
      <c r="AA305" s="42"/>
      <c r="AB305" s="42"/>
      <c r="AC305" s="42"/>
    </row>
    <row r="306" spans="1:29" x14ac:dyDescent="0.25">
      <c r="A306" s="41"/>
      <c r="B306" s="42"/>
      <c r="C306" s="41"/>
      <c r="D306" s="42"/>
      <c r="E306" s="42"/>
      <c r="F306" s="35"/>
      <c r="G306" s="42"/>
      <c r="H306" s="41"/>
      <c r="I306" s="91"/>
      <c r="J306" s="91" t="str">
        <f ca="1"/>
        <v/>
      </c>
      <c r="K306" s="91" t="str">
        <f ca="1"/>
        <v/>
      </c>
      <c r="L306" s="41" t="str">
        <f ca="1"/>
        <v/>
      </c>
      <c r="M306" s="41" t="str">
        <f ca="1"/>
        <v/>
      </c>
      <c r="N306" s="42"/>
      <c r="O306" s="42"/>
      <c r="P306" s="42"/>
      <c r="Q306" s="42"/>
      <c r="R306" s="42"/>
      <c r="S306" s="42"/>
      <c r="T306" s="42"/>
      <c r="U306" s="42"/>
      <c r="V306" s="42"/>
      <c r="W306" s="42"/>
      <c r="X306" s="42"/>
      <c r="Y306" s="42"/>
      <c r="Z306" s="42"/>
      <c r="AA306" s="42"/>
      <c r="AB306" s="42"/>
      <c r="AC306" s="42"/>
    </row>
    <row r="307" spans="1:29" x14ac:dyDescent="0.25">
      <c r="A307" s="41"/>
      <c r="B307" s="42"/>
      <c r="C307" s="41"/>
      <c r="D307" s="42"/>
      <c r="E307" s="42"/>
      <c r="F307" s="35"/>
      <c r="G307" s="42"/>
      <c r="H307" s="41"/>
      <c r="I307" s="91"/>
      <c r="J307" s="91" t="str">
        <f ca="1"/>
        <v/>
      </c>
      <c r="K307" s="91" t="str">
        <f ca="1"/>
        <v/>
      </c>
      <c r="L307" s="41" t="str">
        <f ca="1"/>
        <v/>
      </c>
      <c r="M307" s="41" t="str">
        <f ca="1"/>
        <v/>
      </c>
      <c r="N307" s="42"/>
      <c r="O307" s="42"/>
      <c r="P307" s="42"/>
      <c r="Q307" s="42"/>
      <c r="R307" s="42"/>
      <c r="S307" s="42"/>
      <c r="T307" s="42"/>
      <c r="U307" s="42"/>
      <c r="V307" s="42"/>
      <c r="W307" s="42"/>
      <c r="X307" s="42"/>
      <c r="Y307" s="42"/>
      <c r="Z307" s="42"/>
      <c r="AA307" s="42"/>
      <c r="AB307" s="42"/>
      <c r="AC307" s="42"/>
    </row>
    <row r="308" spans="1:29" x14ac:dyDescent="0.25">
      <c r="A308" s="41"/>
      <c r="B308" s="42"/>
      <c r="C308" s="41"/>
      <c r="D308" s="42"/>
      <c r="E308" s="42"/>
      <c r="F308" s="35"/>
      <c r="G308" s="42"/>
      <c r="H308" s="41"/>
      <c r="I308" s="91"/>
      <c r="J308" s="91" t="str">
        <f ca="1"/>
        <v/>
      </c>
      <c r="K308" s="91" t="str">
        <f ca="1"/>
        <v/>
      </c>
      <c r="L308" s="41" t="str">
        <f ca="1"/>
        <v/>
      </c>
      <c r="M308" s="41" t="str">
        <f ca="1"/>
        <v/>
      </c>
      <c r="N308" s="42"/>
      <c r="O308" s="42"/>
      <c r="P308" s="42"/>
      <c r="Q308" s="42"/>
      <c r="R308" s="42"/>
      <c r="S308" s="42"/>
      <c r="T308" s="42"/>
      <c r="U308" s="42"/>
      <c r="V308" s="42"/>
      <c r="W308" s="42"/>
      <c r="X308" s="42"/>
      <c r="Y308" s="42"/>
      <c r="Z308" s="42"/>
      <c r="AA308" s="42"/>
      <c r="AB308" s="42"/>
      <c r="AC308" s="42"/>
    </row>
    <row r="309" spans="1:29" x14ac:dyDescent="0.25">
      <c r="A309" s="41"/>
      <c r="B309" s="42"/>
      <c r="C309" s="41"/>
      <c r="D309" s="42"/>
      <c r="E309" s="42"/>
      <c r="F309" s="35"/>
      <c r="G309" s="42"/>
      <c r="H309" s="41"/>
      <c r="I309" s="91"/>
      <c r="J309" s="91" t="str">
        <f ca="1"/>
        <v/>
      </c>
      <c r="K309" s="91" t="str">
        <f ca="1"/>
        <v/>
      </c>
      <c r="L309" s="41" t="str">
        <f ca="1"/>
        <v/>
      </c>
      <c r="M309" s="41" t="str">
        <f ca="1"/>
        <v/>
      </c>
      <c r="N309" s="42"/>
      <c r="O309" s="42"/>
      <c r="P309" s="42"/>
      <c r="Q309" s="42"/>
      <c r="R309" s="42"/>
      <c r="S309" s="42"/>
      <c r="T309" s="42"/>
      <c r="U309" s="42"/>
      <c r="V309" s="42"/>
      <c r="W309" s="42"/>
      <c r="X309" s="42"/>
      <c r="Y309" s="42"/>
      <c r="Z309" s="42"/>
      <c r="AA309" s="42"/>
      <c r="AB309" s="42"/>
      <c r="AC309" s="42"/>
    </row>
    <row r="310" spans="1:29" x14ac:dyDescent="0.25">
      <c r="A310" s="41"/>
      <c r="B310" s="42"/>
      <c r="C310" s="41"/>
      <c r="D310" s="42"/>
      <c r="E310" s="42"/>
      <c r="F310" s="35"/>
      <c r="G310" s="42"/>
      <c r="H310" s="41"/>
      <c r="I310" s="91"/>
      <c r="J310" s="91" t="str">
        <f ca="1"/>
        <v/>
      </c>
      <c r="K310" s="91" t="str">
        <f ca="1"/>
        <v/>
      </c>
      <c r="L310" s="41" t="str">
        <f ca="1"/>
        <v/>
      </c>
      <c r="M310" s="41" t="str">
        <f ca="1"/>
        <v/>
      </c>
      <c r="N310" s="42"/>
      <c r="O310" s="42"/>
      <c r="P310" s="42"/>
      <c r="Q310" s="42"/>
      <c r="R310" s="42"/>
      <c r="S310" s="42"/>
      <c r="T310" s="42"/>
      <c r="U310" s="42"/>
      <c r="V310" s="42"/>
      <c r="W310" s="42"/>
      <c r="X310" s="42"/>
      <c r="Y310" s="42"/>
      <c r="Z310" s="42"/>
      <c r="AA310" s="42"/>
      <c r="AB310" s="42"/>
      <c r="AC310" s="42"/>
    </row>
    <row r="311" spans="1:29" x14ac:dyDescent="0.25">
      <c r="A311" s="41"/>
      <c r="B311" s="42"/>
      <c r="C311" s="41"/>
      <c r="D311" s="42"/>
      <c r="E311" s="42"/>
      <c r="F311" s="35"/>
      <c r="G311" s="42"/>
      <c r="H311" s="41"/>
      <c r="I311" s="91"/>
      <c r="J311" s="91" t="str">
        <f ca="1"/>
        <v/>
      </c>
      <c r="K311" s="91" t="str">
        <f ca="1"/>
        <v/>
      </c>
      <c r="L311" s="41" t="str">
        <f ca="1"/>
        <v/>
      </c>
      <c r="M311" s="41" t="str">
        <f ca="1"/>
        <v/>
      </c>
      <c r="N311" s="42"/>
      <c r="O311" s="42"/>
      <c r="P311" s="42"/>
      <c r="Q311" s="42"/>
      <c r="R311" s="42"/>
      <c r="S311" s="42"/>
      <c r="T311" s="42"/>
      <c r="U311" s="42"/>
      <c r="V311" s="42"/>
      <c r="W311" s="42"/>
      <c r="X311" s="42"/>
      <c r="Y311" s="42"/>
      <c r="Z311" s="42"/>
      <c r="AA311" s="42"/>
      <c r="AB311" s="42"/>
      <c r="AC311" s="42"/>
    </row>
    <row r="312" spans="1:29" x14ac:dyDescent="0.25">
      <c r="A312" s="41"/>
      <c r="B312" s="42"/>
      <c r="C312" s="41"/>
      <c r="D312" s="42"/>
      <c r="E312" s="42"/>
      <c r="F312" s="35"/>
      <c r="G312" s="42"/>
      <c r="H312" s="41"/>
      <c r="I312" s="91"/>
      <c r="J312" s="91" t="str">
        <f ca="1"/>
        <v/>
      </c>
      <c r="K312" s="91" t="str">
        <f ca="1"/>
        <v/>
      </c>
      <c r="L312" s="41" t="str">
        <f ca="1"/>
        <v/>
      </c>
      <c r="M312" s="41" t="str">
        <f ca="1"/>
        <v/>
      </c>
      <c r="N312" s="42"/>
      <c r="O312" s="42"/>
      <c r="P312" s="42"/>
      <c r="Q312" s="42"/>
      <c r="R312" s="42"/>
      <c r="S312" s="42"/>
      <c r="T312" s="42"/>
      <c r="U312" s="42"/>
      <c r="V312" s="42"/>
      <c r="W312" s="42"/>
      <c r="X312" s="42"/>
      <c r="Y312" s="42"/>
      <c r="Z312" s="42"/>
      <c r="AA312" s="42"/>
      <c r="AB312" s="42"/>
      <c r="AC312" s="42"/>
    </row>
    <row r="313" spans="1:29" x14ac:dyDescent="0.25">
      <c r="A313" s="41"/>
      <c r="B313" s="42"/>
      <c r="C313" s="41"/>
      <c r="D313" s="42"/>
      <c r="E313" s="42"/>
      <c r="F313" s="35"/>
      <c r="G313" s="42"/>
      <c r="H313" s="41"/>
      <c r="I313" s="91"/>
      <c r="J313" s="91" t="str">
        <f ca="1"/>
        <v/>
      </c>
      <c r="K313" s="91" t="str">
        <f ca="1"/>
        <v/>
      </c>
      <c r="L313" s="41" t="str">
        <f ca="1"/>
        <v/>
      </c>
      <c r="M313" s="41" t="str">
        <f ca="1"/>
        <v/>
      </c>
      <c r="N313" s="42"/>
      <c r="O313" s="42"/>
      <c r="P313" s="42"/>
      <c r="Q313" s="42"/>
      <c r="R313" s="42"/>
      <c r="S313" s="42"/>
      <c r="T313" s="42"/>
      <c r="U313" s="42"/>
      <c r="V313" s="42"/>
      <c r="W313" s="42"/>
      <c r="X313" s="42"/>
      <c r="Y313" s="42"/>
      <c r="Z313" s="42"/>
      <c r="AA313" s="42"/>
      <c r="AB313" s="42"/>
      <c r="AC313" s="42"/>
    </row>
    <row r="314" spans="1:29" x14ac:dyDescent="0.25">
      <c r="A314" s="41"/>
      <c r="B314" s="42"/>
      <c r="C314" s="41"/>
      <c r="D314" s="42"/>
      <c r="E314" s="42"/>
      <c r="F314" s="35"/>
      <c r="G314" s="42"/>
      <c r="H314" s="41"/>
      <c r="I314" s="91"/>
      <c r="J314" s="91" t="str">
        <f ca="1"/>
        <v/>
      </c>
      <c r="K314" s="91" t="str">
        <f ca="1"/>
        <v/>
      </c>
      <c r="L314" s="41" t="str">
        <f ca="1"/>
        <v/>
      </c>
      <c r="M314" s="41" t="str">
        <f ca="1"/>
        <v/>
      </c>
      <c r="N314" s="42"/>
      <c r="O314" s="42"/>
      <c r="P314" s="42"/>
      <c r="Q314" s="42"/>
      <c r="R314" s="42"/>
      <c r="S314" s="42"/>
      <c r="T314" s="42"/>
      <c r="U314" s="42"/>
      <c r="V314" s="42"/>
      <c r="W314" s="42"/>
      <c r="X314" s="42"/>
      <c r="Y314" s="42"/>
      <c r="Z314" s="42"/>
      <c r="AA314" s="42"/>
      <c r="AB314" s="42"/>
      <c r="AC314" s="42"/>
    </row>
    <row r="315" spans="1:29" x14ac:dyDescent="0.25">
      <c r="A315" s="41"/>
      <c r="B315" s="42"/>
      <c r="C315" s="41"/>
      <c r="D315" s="42"/>
      <c r="E315" s="42"/>
      <c r="F315" s="35"/>
      <c r="G315" s="42"/>
      <c r="H315" s="41"/>
      <c r="I315" s="91"/>
      <c r="J315" s="91" t="str">
        <f ca="1"/>
        <v/>
      </c>
      <c r="K315" s="91" t="str">
        <f ca="1"/>
        <v/>
      </c>
      <c r="L315" s="41" t="str">
        <f ca="1"/>
        <v/>
      </c>
      <c r="M315" s="41" t="str">
        <f ca="1"/>
        <v/>
      </c>
      <c r="N315" s="42"/>
      <c r="O315" s="42"/>
      <c r="P315" s="42"/>
      <c r="Q315" s="42"/>
      <c r="R315" s="42"/>
      <c r="S315" s="42"/>
      <c r="T315" s="42"/>
      <c r="U315" s="42"/>
      <c r="V315" s="42"/>
      <c r="W315" s="42"/>
      <c r="X315" s="42"/>
      <c r="Y315" s="42"/>
      <c r="Z315" s="42"/>
      <c r="AA315" s="42"/>
      <c r="AB315" s="42"/>
      <c r="AC315" s="42"/>
    </row>
    <row r="316" spans="1:29" x14ac:dyDescent="0.25">
      <c r="A316" s="41"/>
      <c r="B316" s="42"/>
      <c r="C316" s="41"/>
      <c r="D316" s="42"/>
      <c r="E316" s="42"/>
      <c r="F316" s="35"/>
      <c r="G316" s="42"/>
      <c r="H316" s="41"/>
      <c r="I316" s="91"/>
      <c r="J316" s="91" t="str">
        <f ca="1"/>
        <v/>
      </c>
      <c r="K316" s="91" t="str">
        <f ca="1"/>
        <v/>
      </c>
      <c r="L316" s="41" t="str">
        <f ca="1"/>
        <v/>
      </c>
      <c r="M316" s="41" t="str">
        <f ca="1"/>
        <v/>
      </c>
      <c r="N316" s="42"/>
      <c r="O316" s="42"/>
      <c r="P316" s="42"/>
      <c r="Q316" s="42"/>
      <c r="R316" s="42"/>
      <c r="S316" s="42"/>
      <c r="T316" s="42"/>
      <c r="U316" s="42"/>
      <c r="V316" s="42"/>
      <c r="W316" s="42"/>
      <c r="X316" s="42"/>
      <c r="Y316" s="42"/>
      <c r="Z316" s="42"/>
      <c r="AA316" s="42"/>
      <c r="AB316" s="42"/>
      <c r="AC316" s="42"/>
    </row>
    <row r="317" spans="1:29" x14ac:dyDescent="0.25">
      <c r="A317" s="41"/>
      <c r="B317" s="42"/>
      <c r="C317" s="41"/>
      <c r="D317" s="42"/>
      <c r="E317" s="42"/>
      <c r="F317" s="35"/>
      <c r="G317" s="42"/>
      <c r="H317" s="41"/>
      <c r="I317" s="91"/>
      <c r="J317" s="91" t="str">
        <f ca="1"/>
        <v/>
      </c>
      <c r="K317" s="91" t="str">
        <f ca="1"/>
        <v/>
      </c>
      <c r="L317" s="41" t="str">
        <f ca="1"/>
        <v/>
      </c>
      <c r="M317" s="41" t="str">
        <f ca="1"/>
        <v/>
      </c>
      <c r="N317" s="42"/>
      <c r="O317" s="42"/>
      <c r="P317" s="42"/>
      <c r="Q317" s="42"/>
      <c r="R317" s="42"/>
      <c r="S317" s="42"/>
      <c r="T317" s="42"/>
      <c r="U317" s="42"/>
      <c r="V317" s="42"/>
      <c r="W317" s="42"/>
      <c r="X317" s="42"/>
      <c r="Y317" s="42"/>
      <c r="Z317" s="42"/>
      <c r="AA317" s="42"/>
      <c r="AB317" s="42"/>
      <c r="AC317" s="42"/>
    </row>
    <row r="318" spans="1:29" x14ac:dyDescent="0.25">
      <c r="A318" s="41"/>
      <c r="B318" s="42"/>
      <c r="C318" s="41"/>
      <c r="D318" s="42"/>
      <c r="E318" s="42"/>
      <c r="F318" s="35"/>
      <c r="G318" s="42"/>
      <c r="H318" s="41"/>
      <c r="I318" s="91"/>
      <c r="J318" s="91" t="str">
        <f ca="1"/>
        <v/>
      </c>
      <c r="K318" s="91" t="str">
        <f ca="1"/>
        <v/>
      </c>
      <c r="L318" s="41" t="str">
        <f ca="1"/>
        <v/>
      </c>
      <c r="M318" s="41" t="str">
        <f ca="1"/>
        <v/>
      </c>
      <c r="N318" s="42"/>
      <c r="O318" s="42"/>
      <c r="P318" s="42"/>
      <c r="Q318" s="42"/>
      <c r="R318" s="42"/>
      <c r="S318" s="42"/>
      <c r="T318" s="42"/>
      <c r="U318" s="42"/>
      <c r="V318" s="42"/>
      <c r="W318" s="42"/>
      <c r="X318" s="42"/>
      <c r="Y318" s="42"/>
      <c r="Z318" s="42"/>
      <c r="AA318" s="42"/>
      <c r="AB318" s="42"/>
      <c r="AC318" s="42"/>
    </row>
    <row r="319" spans="1:29" x14ac:dyDescent="0.25">
      <c r="A319" s="41"/>
      <c r="B319" s="42"/>
      <c r="C319" s="41"/>
      <c r="D319" s="42"/>
      <c r="E319" s="42"/>
      <c r="F319" s="35"/>
      <c r="G319" s="42"/>
      <c r="H319" s="41"/>
      <c r="I319" s="91"/>
      <c r="J319" s="91" t="str">
        <f ca="1"/>
        <v/>
      </c>
      <c r="K319" s="91" t="str">
        <f ca="1"/>
        <v/>
      </c>
      <c r="L319" s="41" t="str">
        <f ca="1"/>
        <v/>
      </c>
      <c r="M319" s="41" t="str">
        <f ca="1"/>
        <v/>
      </c>
      <c r="N319" s="42"/>
      <c r="O319" s="42"/>
      <c r="P319" s="42"/>
      <c r="Q319" s="42"/>
      <c r="R319" s="42"/>
      <c r="S319" s="42"/>
      <c r="T319" s="42"/>
      <c r="U319" s="42"/>
      <c r="V319" s="42"/>
      <c r="W319" s="42"/>
      <c r="X319" s="42"/>
      <c r="Y319" s="42"/>
      <c r="Z319" s="42"/>
      <c r="AA319" s="42"/>
      <c r="AB319" s="42"/>
      <c r="AC319" s="42"/>
    </row>
    <row r="320" spans="1:29" x14ac:dyDescent="0.25">
      <c r="A320" s="41"/>
      <c r="B320" s="42"/>
      <c r="C320" s="41"/>
      <c r="D320" s="42"/>
      <c r="E320" s="42"/>
      <c r="F320" s="35"/>
      <c r="G320" s="42"/>
      <c r="H320" s="41"/>
      <c r="I320" s="91"/>
      <c r="J320" s="91" t="str">
        <f ca="1"/>
        <v/>
      </c>
      <c r="K320" s="91" t="str">
        <f ca="1"/>
        <v/>
      </c>
      <c r="L320" s="41" t="str">
        <f ca="1"/>
        <v/>
      </c>
      <c r="M320" s="41" t="str">
        <f ca="1"/>
        <v/>
      </c>
      <c r="N320" s="42"/>
      <c r="O320" s="42"/>
      <c r="P320" s="42"/>
      <c r="Q320" s="42"/>
      <c r="R320" s="42"/>
      <c r="S320" s="42"/>
      <c r="T320" s="42"/>
      <c r="U320" s="42"/>
      <c r="V320" s="42"/>
      <c r="W320" s="42"/>
      <c r="X320" s="42"/>
      <c r="Y320" s="42"/>
      <c r="Z320" s="42"/>
      <c r="AA320" s="42"/>
      <c r="AB320" s="42"/>
      <c r="AC320" s="42"/>
    </row>
    <row r="321" spans="1:29" x14ac:dyDescent="0.25">
      <c r="A321" s="41"/>
      <c r="B321" s="42"/>
      <c r="C321" s="41"/>
      <c r="D321" s="42"/>
      <c r="E321" s="42"/>
      <c r="F321" s="35"/>
      <c r="G321" s="42"/>
      <c r="H321" s="41"/>
      <c r="I321" s="91"/>
      <c r="J321" s="91" t="str">
        <f ca="1"/>
        <v/>
      </c>
      <c r="K321" s="91" t="str">
        <f ca="1"/>
        <v/>
      </c>
      <c r="L321" s="41" t="str">
        <f ca="1"/>
        <v/>
      </c>
      <c r="M321" s="41" t="str">
        <f ca="1"/>
        <v/>
      </c>
      <c r="N321" s="42"/>
      <c r="O321" s="42"/>
      <c r="P321" s="42"/>
      <c r="Q321" s="42"/>
      <c r="R321" s="42"/>
      <c r="S321" s="42"/>
      <c r="T321" s="42"/>
      <c r="U321" s="42"/>
      <c r="V321" s="42"/>
      <c r="W321" s="42"/>
      <c r="X321" s="42"/>
      <c r="Y321" s="42"/>
      <c r="Z321" s="42"/>
      <c r="AA321" s="42"/>
      <c r="AB321" s="42"/>
      <c r="AC321" s="42"/>
    </row>
    <row r="322" spans="1:29" x14ac:dyDescent="0.25">
      <c r="A322" s="41"/>
      <c r="B322" s="42"/>
      <c r="C322" s="41"/>
      <c r="D322" s="42"/>
      <c r="E322" s="42"/>
      <c r="F322" s="35"/>
      <c r="G322" s="42"/>
      <c r="H322" s="41"/>
      <c r="I322" s="91"/>
      <c r="J322" s="91" t="str">
        <f ca="1"/>
        <v/>
      </c>
      <c r="K322" s="91" t="str">
        <f ca="1"/>
        <v/>
      </c>
      <c r="L322" s="41" t="str">
        <f ca="1"/>
        <v/>
      </c>
      <c r="M322" s="41" t="str">
        <f ca="1"/>
        <v/>
      </c>
      <c r="N322" s="42"/>
      <c r="O322" s="42"/>
      <c r="P322" s="42"/>
      <c r="Q322" s="42"/>
      <c r="R322" s="42"/>
      <c r="S322" s="42"/>
      <c r="T322" s="42"/>
      <c r="U322" s="42"/>
      <c r="V322" s="42"/>
      <c r="W322" s="42"/>
      <c r="X322" s="42"/>
      <c r="Y322" s="42"/>
      <c r="Z322" s="42"/>
      <c r="AA322" s="42"/>
      <c r="AB322" s="42"/>
      <c r="AC322" s="42"/>
    </row>
    <row r="323" spans="1:29" x14ac:dyDescent="0.25">
      <c r="A323" s="41"/>
      <c r="B323" s="42"/>
      <c r="C323" s="41"/>
      <c r="D323" s="42"/>
      <c r="E323" s="42"/>
      <c r="F323" s="35"/>
      <c r="G323" s="42"/>
      <c r="H323" s="41"/>
      <c r="I323" s="91"/>
      <c r="J323" s="91" t="str">
        <f ca="1"/>
        <v/>
      </c>
      <c r="K323" s="91" t="str">
        <f ca="1"/>
        <v/>
      </c>
      <c r="L323" s="41" t="str">
        <f ca="1"/>
        <v/>
      </c>
      <c r="M323" s="41" t="str">
        <f ca="1"/>
        <v/>
      </c>
      <c r="N323" s="42"/>
      <c r="O323" s="42"/>
      <c r="P323" s="42"/>
      <c r="Q323" s="42"/>
      <c r="R323" s="42"/>
      <c r="S323" s="42"/>
      <c r="T323" s="42"/>
      <c r="U323" s="42"/>
      <c r="V323" s="42"/>
      <c r="W323" s="42"/>
      <c r="X323" s="42"/>
      <c r="Y323" s="42"/>
      <c r="Z323" s="42"/>
      <c r="AA323" s="42"/>
      <c r="AB323" s="42"/>
      <c r="AC323" s="42"/>
    </row>
    <row r="324" spans="1:29" x14ac:dyDescent="0.25">
      <c r="A324" s="41"/>
      <c r="B324" s="42"/>
      <c r="C324" s="41"/>
      <c r="D324" s="42"/>
      <c r="E324" s="42"/>
      <c r="F324" s="35"/>
      <c r="G324" s="42"/>
      <c r="H324" s="41"/>
      <c r="I324" s="91"/>
      <c r="J324" s="91" t="str">
        <f ca="1"/>
        <v/>
      </c>
      <c r="K324" s="91" t="str">
        <f ca="1"/>
        <v/>
      </c>
      <c r="L324" s="41" t="str">
        <f ca="1"/>
        <v/>
      </c>
      <c r="M324" s="41" t="str">
        <f ca="1"/>
        <v/>
      </c>
      <c r="N324" s="42"/>
      <c r="O324" s="42"/>
      <c r="P324" s="42"/>
      <c r="Q324" s="42"/>
      <c r="R324" s="42"/>
      <c r="S324" s="42"/>
      <c r="T324" s="42"/>
      <c r="U324" s="42"/>
      <c r="V324" s="42"/>
      <c r="W324" s="42"/>
      <c r="X324" s="42"/>
      <c r="Y324" s="42"/>
      <c r="Z324" s="42"/>
      <c r="AA324" s="42"/>
      <c r="AB324" s="42"/>
      <c r="AC324" s="42"/>
    </row>
    <row r="325" spans="1:29" x14ac:dyDescent="0.25">
      <c r="A325" s="41"/>
      <c r="B325" s="42"/>
      <c r="C325" s="41"/>
      <c r="D325" s="42"/>
      <c r="E325" s="42"/>
      <c r="F325" s="35"/>
      <c r="G325" s="42"/>
      <c r="H325" s="41"/>
      <c r="I325" s="91"/>
      <c r="J325" s="91" t="str">
        <f ca="1"/>
        <v/>
      </c>
      <c r="K325" s="91" t="str">
        <f ca="1"/>
        <v/>
      </c>
      <c r="L325" s="41" t="str">
        <f ca="1"/>
        <v/>
      </c>
      <c r="M325" s="41" t="str">
        <f ca="1"/>
        <v/>
      </c>
      <c r="N325" s="42"/>
      <c r="O325" s="42"/>
      <c r="P325" s="42"/>
      <c r="Q325" s="42"/>
      <c r="R325" s="42"/>
      <c r="S325" s="42"/>
      <c r="T325" s="42"/>
      <c r="U325" s="42"/>
      <c r="V325" s="42"/>
      <c r="W325" s="42"/>
      <c r="X325" s="42"/>
      <c r="Y325" s="42"/>
      <c r="Z325" s="42"/>
      <c r="AA325" s="42"/>
      <c r="AB325" s="42"/>
      <c r="AC325" s="42"/>
    </row>
    <row r="326" spans="1:29" x14ac:dyDescent="0.25">
      <c r="A326" s="41"/>
      <c r="B326" s="42"/>
      <c r="C326" s="41"/>
      <c r="D326" s="42"/>
      <c r="E326" s="42"/>
      <c r="F326" s="35"/>
      <c r="G326" s="42"/>
      <c r="H326" s="41"/>
      <c r="I326" s="91"/>
      <c r="J326" s="91" t="str">
        <f ca="1"/>
        <v/>
      </c>
      <c r="K326" s="91" t="str">
        <f ca="1"/>
        <v/>
      </c>
      <c r="L326" s="41" t="str">
        <f ca="1"/>
        <v/>
      </c>
      <c r="M326" s="41" t="str">
        <f ca="1"/>
        <v/>
      </c>
      <c r="N326" s="42"/>
      <c r="O326" s="42"/>
      <c r="P326" s="42"/>
      <c r="Q326" s="42"/>
      <c r="R326" s="42"/>
      <c r="S326" s="42"/>
      <c r="T326" s="42"/>
      <c r="U326" s="42"/>
      <c r="V326" s="42"/>
      <c r="W326" s="42"/>
      <c r="X326" s="42"/>
      <c r="Y326" s="42"/>
      <c r="Z326" s="42"/>
      <c r="AA326" s="42"/>
      <c r="AB326" s="42"/>
      <c r="AC326" s="42"/>
    </row>
    <row r="327" spans="1:29" x14ac:dyDescent="0.25">
      <c r="A327" s="41"/>
      <c r="B327" s="42"/>
      <c r="C327" s="41"/>
      <c r="D327" s="42"/>
      <c r="E327" s="42"/>
      <c r="F327" s="35"/>
      <c r="G327" s="42"/>
      <c r="H327" s="41"/>
      <c r="I327" s="91"/>
      <c r="J327" s="91" t="str">
        <f ca="1"/>
        <v/>
      </c>
      <c r="K327" s="91" t="str">
        <f ca="1"/>
        <v/>
      </c>
      <c r="L327" s="41" t="str">
        <f ca="1"/>
        <v/>
      </c>
      <c r="M327" s="41" t="str">
        <f ca="1"/>
        <v/>
      </c>
      <c r="N327" s="42"/>
      <c r="O327" s="42"/>
      <c r="P327" s="42"/>
      <c r="Q327" s="42"/>
      <c r="R327" s="42"/>
      <c r="S327" s="42"/>
      <c r="T327" s="42"/>
      <c r="U327" s="42"/>
      <c r="V327" s="42"/>
      <c r="W327" s="42"/>
      <c r="X327" s="42"/>
      <c r="Y327" s="42"/>
      <c r="Z327" s="42"/>
      <c r="AA327" s="42"/>
      <c r="AB327" s="42"/>
      <c r="AC327" s="42"/>
    </row>
    <row r="328" spans="1:29" x14ac:dyDescent="0.25">
      <c r="A328" s="41"/>
      <c r="B328" s="42"/>
      <c r="C328" s="41"/>
      <c r="D328" s="42"/>
      <c r="E328" s="42"/>
      <c r="F328" s="35"/>
      <c r="G328" s="42"/>
      <c r="H328" s="41"/>
      <c r="I328" s="91"/>
      <c r="J328" s="91" t="str">
        <f ca="1"/>
        <v/>
      </c>
      <c r="K328" s="91" t="str">
        <f ca="1"/>
        <v/>
      </c>
      <c r="L328" s="41" t="str">
        <f ca="1"/>
        <v/>
      </c>
      <c r="M328" s="41" t="str">
        <f ca="1"/>
        <v/>
      </c>
      <c r="N328" s="42"/>
      <c r="O328" s="42"/>
      <c r="P328" s="42"/>
      <c r="Q328" s="42"/>
      <c r="R328" s="42"/>
      <c r="S328" s="42"/>
      <c r="T328" s="42"/>
      <c r="U328" s="42"/>
      <c r="V328" s="42"/>
      <c r="W328" s="42"/>
      <c r="X328" s="42"/>
      <c r="Y328" s="42"/>
      <c r="Z328" s="42"/>
      <c r="AA328" s="42"/>
      <c r="AB328" s="42"/>
      <c r="AC328" s="42"/>
    </row>
    <row r="329" spans="1:29" x14ac:dyDescent="0.25">
      <c r="A329" s="41"/>
      <c r="B329" s="42"/>
      <c r="C329" s="41"/>
      <c r="D329" s="42"/>
      <c r="E329" s="42"/>
      <c r="F329" s="35"/>
      <c r="G329" s="42"/>
      <c r="H329" s="41"/>
      <c r="I329" s="91"/>
      <c r="J329" s="91" t="str">
        <f ca="1"/>
        <v/>
      </c>
      <c r="K329" s="91" t="str">
        <f ca="1"/>
        <v/>
      </c>
      <c r="L329" s="41" t="str">
        <f ca="1"/>
        <v/>
      </c>
      <c r="M329" s="41" t="str">
        <f ca="1"/>
        <v/>
      </c>
      <c r="N329" s="42"/>
      <c r="O329" s="42"/>
      <c r="P329" s="42"/>
      <c r="Q329" s="42"/>
      <c r="R329" s="42"/>
      <c r="S329" s="42"/>
      <c r="T329" s="42"/>
      <c r="U329" s="42"/>
      <c r="V329" s="42"/>
      <c r="W329" s="42"/>
      <c r="X329" s="42"/>
      <c r="Y329" s="42"/>
      <c r="Z329" s="42"/>
      <c r="AA329" s="42"/>
      <c r="AB329" s="42"/>
      <c r="AC329" s="42"/>
    </row>
    <row r="330" spans="1:29" x14ac:dyDescent="0.25">
      <c r="A330" s="41"/>
      <c r="B330" s="42"/>
      <c r="C330" s="41"/>
      <c r="D330" s="42"/>
      <c r="E330" s="42"/>
      <c r="F330" s="35"/>
      <c r="G330" s="42"/>
      <c r="H330" s="41"/>
      <c r="I330" s="91"/>
      <c r="J330" s="91" t="str">
        <f ca="1"/>
        <v/>
      </c>
      <c r="K330" s="91" t="str">
        <f ca="1"/>
        <v/>
      </c>
      <c r="L330" s="41" t="str">
        <f ca="1"/>
        <v/>
      </c>
      <c r="M330" s="41" t="str">
        <f ca="1"/>
        <v/>
      </c>
      <c r="N330" s="42"/>
      <c r="O330" s="42"/>
      <c r="P330" s="42"/>
      <c r="Q330" s="42"/>
      <c r="R330" s="42"/>
      <c r="S330" s="42"/>
      <c r="T330" s="42"/>
      <c r="U330" s="42"/>
      <c r="V330" s="42"/>
      <c r="W330" s="42"/>
      <c r="X330" s="42"/>
      <c r="Y330" s="42"/>
      <c r="Z330" s="42"/>
      <c r="AA330" s="42"/>
      <c r="AB330" s="42"/>
      <c r="AC330" s="42"/>
    </row>
    <row r="331" spans="1:29" x14ac:dyDescent="0.25">
      <c r="A331" s="41"/>
      <c r="B331" s="42"/>
      <c r="C331" s="41"/>
      <c r="D331" s="42"/>
      <c r="E331" s="42"/>
      <c r="F331" s="35"/>
      <c r="G331" s="42"/>
      <c r="H331" s="41"/>
      <c r="I331" s="91"/>
      <c r="J331" s="91" t="str">
        <f ca="1"/>
        <v/>
      </c>
      <c r="K331" s="91" t="str">
        <f ca="1"/>
        <v/>
      </c>
      <c r="L331" s="41" t="str">
        <f ca="1"/>
        <v/>
      </c>
      <c r="M331" s="41" t="str">
        <f ca="1"/>
        <v/>
      </c>
      <c r="N331" s="42"/>
      <c r="O331" s="42"/>
      <c r="P331" s="42"/>
      <c r="Q331" s="42"/>
      <c r="R331" s="42"/>
      <c r="S331" s="42"/>
      <c r="T331" s="42"/>
      <c r="U331" s="42"/>
      <c r="V331" s="42"/>
      <c r="W331" s="42"/>
      <c r="X331" s="42"/>
      <c r="Y331" s="42"/>
      <c r="Z331" s="42"/>
      <c r="AA331" s="42"/>
      <c r="AB331" s="42"/>
      <c r="AC331" s="42"/>
    </row>
    <row r="332" spans="1:29" x14ac:dyDescent="0.25">
      <c r="A332" s="41"/>
      <c r="B332" s="42"/>
      <c r="C332" s="41"/>
      <c r="D332" s="42"/>
      <c r="E332" s="42"/>
      <c r="F332" s="35"/>
      <c r="G332" s="42"/>
      <c r="H332" s="41"/>
      <c r="I332" s="91"/>
      <c r="J332" s="91" t="str">
        <f ca="1"/>
        <v/>
      </c>
      <c r="K332" s="91" t="str">
        <f ca="1"/>
        <v/>
      </c>
      <c r="L332" s="41" t="str">
        <f ca="1"/>
        <v/>
      </c>
      <c r="M332" s="41" t="str">
        <f ca="1"/>
        <v/>
      </c>
      <c r="N332" s="42"/>
      <c r="O332" s="42"/>
      <c r="P332" s="42"/>
      <c r="Q332" s="42"/>
      <c r="R332" s="42"/>
      <c r="S332" s="42"/>
      <c r="T332" s="42"/>
      <c r="U332" s="42"/>
      <c r="V332" s="42"/>
      <c r="W332" s="42"/>
      <c r="X332" s="42"/>
      <c r="Y332" s="42"/>
      <c r="Z332" s="42"/>
      <c r="AA332" s="42"/>
      <c r="AB332" s="42"/>
      <c r="AC332" s="42"/>
    </row>
    <row r="333" spans="1:29" x14ac:dyDescent="0.25">
      <c r="A333" s="41"/>
      <c r="B333" s="42"/>
      <c r="C333" s="41"/>
      <c r="D333" s="42"/>
      <c r="E333" s="42"/>
      <c r="F333" s="35"/>
      <c r="G333" s="42"/>
      <c r="H333" s="41"/>
      <c r="I333" s="91"/>
      <c r="J333" s="91" t="str">
        <f ca="1"/>
        <v/>
      </c>
      <c r="K333" s="91" t="str">
        <f ca="1"/>
        <v/>
      </c>
      <c r="L333" s="41" t="str">
        <f ca="1"/>
        <v/>
      </c>
      <c r="M333" s="41" t="str">
        <f ca="1"/>
        <v/>
      </c>
      <c r="N333" s="42"/>
      <c r="O333" s="42"/>
      <c r="P333" s="42"/>
      <c r="Q333" s="42"/>
      <c r="R333" s="42"/>
      <c r="S333" s="42"/>
      <c r="T333" s="42"/>
      <c r="U333" s="42"/>
      <c r="V333" s="42"/>
      <c r="W333" s="42"/>
      <c r="X333" s="42"/>
      <c r="Y333" s="42"/>
      <c r="Z333" s="42"/>
      <c r="AA333" s="42"/>
      <c r="AB333" s="42"/>
      <c r="AC333" s="42"/>
    </row>
    <row r="334" spans="1:29" x14ac:dyDescent="0.25">
      <c r="A334" s="41"/>
      <c r="B334" s="42"/>
      <c r="C334" s="41"/>
      <c r="D334" s="42"/>
      <c r="E334" s="42"/>
      <c r="F334" s="35"/>
      <c r="G334" s="42"/>
      <c r="H334" s="41"/>
      <c r="I334" s="91"/>
      <c r="J334" s="91" t="str">
        <f ca="1"/>
        <v/>
      </c>
      <c r="K334" s="91" t="str">
        <f ca="1"/>
        <v/>
      </c>
      <c r="L334" s="41" t="str">
        <f ca="1"/>
        <v/>
      </c>
      <c r="M334" s="41" t="str">
        <f ca="1"/>
        <v/>
      </c>
      <c r="N334" s="42"/>
      <c r="O334" s="42"/>
      <c r="P334" s="42"/>
      <c r="Q334" s="42"/>
      <c r="R334" s="42"/>
      <c r="S334" s="42"/>
      <c r="T334" s="42"/>
      <c r="U334" s="42"/>
      <c r="V334" s="42"/>
      <c r="W334" s="42"/>
      <c r="X334" s="42"/>
      <c r="Y334" s="42"/>
      <c r="Z334" s="42"/>
      <c r="AA334" s="42"/>
      <c r="AB334" s="42"/>
      <c r="AC334" s="42"/>
    </row>
    <row r="335" spans="1:29" x14ac:dyDescent="0.25">
      <c r="A335" s="41"/>
      <c r="B335" s="42"/>
      <c r="C335" s="41"/>
      <c r="D335" s="42"/>
      <c r="E335" s="42"/>
      <c r="F335" s="35"/>
      <c r="G335" s="42"/>
      <c r="H335" s="41"/>
      <c r="I335" s="91"/>
      <c r="J335" s="91" t="str">
        <f ca="1"/>
        <v/>
      </c>
      <c r="K335" s="91" t="str">
        <f ca="1"/>
        <v/>
      </c>
      <c r="L335" s="41" t="str">
        <f ca="1"/>
        <v/>
      </c>
      <c r="M335" s="41" t="str">
        <f ca="1"/>
        <v/>
      </c>
      <c r="N335" s="42"/>
      <c r="O335" s="42"/>
      <c r="P335" s="42"/>
      <c r="Q335" s="42"/>
      <c r="R335" s="42"/>
      <c r="S335" s="42"/>
      <c r="T335" s="42"/>
      <c r="U335" s="42"/>
      <c r="V335" s="42"/>
      <c r="W335" s="42"/>
      <c r="X335" s="42"/>
      <c r="Y335" s="42"/>
      <c r="Z335" s="42"/>
      <c r="AA335" s="42"/>
      <c r="AB335" s="42"/>
      <c r="AC335" s="42"/>
    </row>
    <row r="336" spans="1:29" x14ac:dyDescent="0.25">
      <c r="A336" s="41"/>
      <c r="B336" s="42"/>
      <c r="C336" s="41"/>
      <c r="D336" s="42"/>
      <c r="E336" s="42"/>
      <c r="F336" s="35"/>
      <c r="G336" s="42"/>
      <c r="H336" s="41"/>
      <c r="I336" s="91"/>
      <c r="J336" s="91" t="str">
        <f ca="1"/>
        <v/>
      </c>
      <c r="K336" s="91" t="str">
        <f ca="1"/>
        <v/>
      </c>
      <c r="L336" s="41" t="str">
        <f ca="1"/>
        <v/>
      </c>
      <c r="M336" s="41" t="str">
        <f ca="1"/>
        <v/>
      </c>
      <c r="N336" s="42"/>
      <c r="O336" s="42"/>
      <c r="P336" s="42"/>
      <c r="Q336" s="42"/>
      <c r="R336" s="42"/>
      <c r="S336" s="42"/>
      <c r="T336" s="42"/>
      <c r="U336" s="42"/>
      <c r="V336" s="42"/>
      <c r="W336" s="42"/>
      <c r="X336" s="42"/>
      <c r="Y336" s="42"/>
      <c r="Z336" s="42"/>
      <c r="AA336" s="42"/>
      <c r="AB336" s="42"/>
      <c r="AC336" s="42"/>
    </row>
    <row r="337" spans="1:29" x14ac:dyDescent="0.25">
      <c r="A337" s="41"/>
      <c r="B337" s="42"/>
      <c r="C337" s="41"/>
      <c r="D337" s="42"/>
      <c r="E337" s="42"/>
      <c r="F337" s="35"/>
      <c r="G337" s="42"/>
      <c r="H337" s="41"/>
      <c r="I337" s="91"/>
      <c r="J337" s="91" t="str">
        <f ca="1"/>
        <v/>
      </c>
      <c r="K337" s="91" t="str">
        <f ca="1"/>
        <v/>
      </c>
      <c r="L337" s="41" t="str">
        <f ca="1"/>
        <v/>
      </c>
      <c r="M337" s="41" t="str">
        <f ca="1"/>
        <v/>
      </c>
      <c r="N337" s="42"/>
      <c r="O337" s="42"/>
      <c r="P337" s="42"/>
      <c r="Q337" s="42"/>
      <c r="R337" s="42"/>
      <c r="S337" s="42"/>
      <c r="T337" s="42"/>
      <c r="U337" s="42"/>
      <c r="V337" s="42"/>
      <c r="W337" s="42"/>
      <c r="X337" s="42"/>
      <c r="Y337" s="42"/>
      <c r="Z337" s="42"/>
      <c r="AA337" s="42"/>
      <c r="AB337" s="42"/>
      <c r="AC337" s="42"/>
    </row>
    <row r="338" spans="1:29" x14ac:dyDescent="0.25">
      <c r="A338" s="41"/>
      <c r="B338" s="42"/>
      <c r="C338" s="41"/>
      <c r="D338" s="42"/>
      <c r="E338" s="42"/>
      <c r="F338" s="35"/>
      <c r="G338" s="42"/>
      <c r="H338" s="41"/>
      <c r="I338" s="91"/>
      <c r="J338" s="91" t="str">
        <f ca="1"/>
        <v/>
      </c>
      <c r="K338" s="91" t="str">
        <f ca="1"/>
        <v/>
      </c>
      <c r="L338" s="41" t="str">
        <f ca="1"/>
        <v/>
      </c>
      <c r="M338" s="41" t="str">
        <f ca="1"/>
        <v/>
      </c>
      <c r="N338" s="42"/>
      <c r="O338" s="42"/>
      <c r="P338" s="42"/>
      <c r="Q338" s="42"/>
      <c r="R338" s="42"/>
      <c r="S338" s="42"/>
      <c r="T338" s="42"/>
      <c r="U338" s="42"/>
      <c r="V338" s="42"/>
      <c r="W338" s="42"/>
      <c r="X338" s="42"/>
      <c r="Y338" s="42"/>
      <c r="Z338" s="42"/>
      <c r="AA338" s="42"/>
      <c r="AB338" s="42"/>
      <c r="AC338" s="42"/>
    </row>
    <row r="339" spans="1:29" x14ac:dyDescent="0.25">
      <c r="A339" s="41"/>
      <c r="B339" s="42"/>
      <c r="C339" s="41"/>
      <c r="D339" s="42"/>
      <c r="E339" s="42"/>
      <c r="F339" s="35"/>
      <c r="G339" s="42"/>
      <c r="H339" s="41"/>
      <c r="I339" s="91"/>
      <c r="J339" s="91" t="str">
        <f ca="1"/>
        <v/>
      </c>
      <c r="K339" s="91" t="str">
        <f ca="1"/>
        <v/>
      </c>
      <c r="L339" s="41" t="str">
        <f ca="1"/>
        <v/>
      </c>
      <c r="M339" s="41" t="str">
        <f ca="1"/>
        <v/>
      </c>
      <c r="N339" s="42"/>
      <c r="O339" s="42"/>
      <c r="P339" s="42"/>
      <c r="Q339" s="42"/>
      <c r="R339" s="42"/>
      <c r="S339" s="42"/>
      <c r="T339" s="42"/>
      <c r="U339" s="42"/>
      <c r="V339" s="42"/>
      <c r="W339" s="42"/>
      <c r="X339" s="42"/>
      <c r="Y339" s="42"/>
      <c r="Z339" s="42"/>
      <c r="AA339" s="42"/>
      <c r="AB339" s="42"/>
      <c r="AC339" s="42"/>
    </row>
    <row r="340" spans="1:29" x14ac:dyDescent="0.25">
      <c r="A340" s="41"/>
      <c r="B340" s="42"/>
      <c r="C340" s="41"/>
      <c r="D340" s="42"/>
      <c r="E340" s="42"/>
      <c r="F340" s="35"/>
      <c r="G340" s="42"/>
      <c r="H340" s="41"/>
      <c r="I340" s="91"/>
      <c r="J340" s="91" t="str">
        <f ca="1"/>
        <v/>
      </c>
      <c r="K340" s="91" t="str">
        <f ca="1"/>
        <v/>
      </c>
      <c r="L340" s="41" t="str">
        <f ca="1"/>
        <v/>
      </c>
      <c r="M340" s="41" t="str">
        <f ca="1"/>
        <v/>
      </c>
      <c r="N340" s="42"/>
      <c r="O340" s="42"/>
      <c r="P340" s="42"/>
      <c r="Q340" s="42"/>
      <c r="R340" s="42"/>
      <c r="S340" s="42"/>
      <c r="T340" s="42"/>
      <c r="U340" s="42"/>
      <c r="V340" s="42"/>
      <c r="W340" s="42"/>
      <c r="X340" s="42"/>
      <c r="Y340" s="42"/>
      <c r="Z340" s="42"/>
      <c r="AA340" s="42"/>
      <c r="AB340" s="42"/>
      <c r="AC340" s="42"/>
    </row>
    <row r="341" spans="1:29" x14ac:dyDescent="0.25">
      <c r="A341" s="41"/>
      <c r="B341" s="42"/>
      <c r="C341" s="41"/>
      <c r="D341" s="42"/>
      <c r="E341" s="42"/>
      <c r="F341" s="35"/>
      <c r="G341" s="42"/>
      <c r="H341" s="41"/>
      <c r="I341" s="91"/>
      <c r="J341" s="91" t="str">
        <f ca="1"/>
        <v/>
      </c>
      <c r="K341" s="91" t="str">
        <f ca="1"/>
        <v/>
      </c>
      <c r="L341" s="41" t="str">
        <f ca="1"/>
        <v/>
      </c>
      <c r="M341" s="41" t="str">
        <f ca="1"/>
        <v/>
      </c>
      <c r="N341" s="42"/>
      <c r="O341" s="42"/>
      <c r="P341" s="42"/>
      <c r="Q341" s="42"/>
      <c r="R341" s="42"/>
      <c r="S341" s="42"/>
      <c r="T341" s="42"/>
      <c r="U341" s="42"/>
      <c r="V341" s="42"/>
      <c r="W341" s="42"/>
      <c r="X341" s="42"/>
      <c r="Y341" s="42"/>
      <c r="Z341" s="42"/>
      <c r="AA341" s="42"/>
      <c r="AB341" s="42"/>
      <c r="AC341" s="42"/>
    </row>
    <row r="342" spans="1:29" x14ac:dyDescent="0.25">
      <c r="A342" s="41"/>
      <c r="B342" s="42"/>
      <c r="C342" s="41"/>
      <c r="D342" s="42"/>
      <c r="E342" s="42"/>
      <c r="F342" s="35"/>
      <c r="G342" s="42"/>
      <c r="H342" s="41"/>
      <c r="I342" s="91"/>
      <c r="J342" s="91" t="str">
        <f ca="1"/>
        <v/>
      </c>
      <c r="K342" s="91" t="str">
        <f ca="1"/>
        <v/>
      </c>
      <c r="L342" s="41" t="str">
        <f ca="1"/>
        <v/>
      </c>
      <c r="M342" s="41" t="str">
        <f ca="1"/>
        <v/>
      </c>
      <c r="N342" s="42"/>
      <c r="O342" s="42"/>
      <c r="P342" s="42"/>
      <c r="Q342" s="42"/>
      <c r="R342" s="42"/>
      <c r="S342" s="42"/>
      <c r="T342" s="42"/>
      <c r="U342" s="42"/>
      <c r="V342" s="42"/>
      <c r="W342" s="42"/>
      <c r="X342" s="42"/>
      <c r="Y342" s="42"/>
      <c r="Z342" s="42"/>
      <c r="AA342" s="42"/>
      <c r="AB342" s="42"/>
      <c r="AC342" s="42"/>
    </row>
    <row r="343" spans="1:29" x14ac:dyDescent="0.25">
      <c r="A343" s="41"/>
      <c r="B343" s="42"/>
      <c r="C343" s="41"/>
      <c r="D343" s="42"/>
      <c r="E343" s="42"/>
      <c r="F343" s="35"/>
      <c r="G343" s="42"/>
      <c r="H343" s="41"/>
      <c r="I343" s="91"/>
      <c r="J343" s="91"/>
      <c r="K343" s="91"/>
      <c r="L343" s="41"/>
      <c r="M343" s="41"/>
      <c r="N343" s="42"/>
      <c r="O343" s="42"/>
      <c r="P343" s="42"/>
      <c r="Q343" s="42"/>
      <c r="R343" s="42"/>
      <c r="S343" s="42"/>
      <c r="T343" s="42"/>
      <c r="U343" s="42"/>
      <c r="V343" s="42"/>
      <c r="W343" s="42"/>
      <c r="X343" s="42"/>
      <c r="Y343" s="42"/>
      <c r="Z343" s="42"/>
      <c r="AA343" s="42"/>
      <c r="AB343" s="42"/>
      <c r="AC343" s="42"/>
    </row>
    <row r="344" spans="1:29" x14ac:dyDescent="0.25">
      <c r="A344" s="41"/>
      <c r="B344" s="42"/>
      <c r="C344" s="41"/>
      <c r="D344" s="42"/>
      <c r="E344" s="42"/>
      <c r="F344" s="35"/>
      <c r="G344" s="42"/>
      <c r="H344" s="41"/>
      <c r="I344" s="91"/>
      <c r="J344" s="91"/>
      <c r="K344" s="91"/>
      <c r="L344" s="41"/>
      <c r="M344" s="41"/>
      <c r="N344" s="42"/>
      <c r="O344" s="42"/>
      <c r="P344" s="42"/>
      <c r="Q344" s="42"/>
      <c r="R344" s="42"/>
      <c r="S344" s="42"/>
      <c r="T344" s="42"/>
      <c r="U344" s="42"/>
      <c r="V344" s="42"/>
      <c r="W344" s="42"/>
      <c r="X344" s="42"/>
      <c r="Y344" s="42"/>
      <c r="Z344" s="42"/>
      <c r="AA344" s="42"/>
      <c r="AB344" s="42"/>
      <c r="AC344" s="42"/>
    </row>
    <row r="345" spans="1:29" x14ac:dyDescent="0.25">
      <c r="A345" s="41"/>
      <c r="B345" s="42"/>
      <c r="C345" s="41"/>
      <c r="D345" s="42"/>
      <c r="E345" s="42"/>
      <c r="F345" s="35"/>
      <c r="G345" s="42"/>
      <c r="H345" s="41"/>
      <c r="I345" s="91"/>
      <c r="J345" s="91"/>
      <c r="K345" s="91"/>
      <c r="L345" s="41"/>
      <c r="M345" s="41"/>
      <c r="N345" s="42"/>
      <c r="O345" s="42"/>
      <c r="P345" s="42"/>
      <c r="Q345" s="42"/>
      <c r="R345" s="42"/>
      <c r="S345" s="42"/>
      <c r="T345" s="42"/>
      <c r="U345" s="42"/>
      <c r="V345" s="42"/>
      <c r="W345" s="42"/>
      <c r="X345" s="42"/>
      <c r="Y345" s="42"/>
      <c r="Z345" s="42"/>
      <c r="AA345" s="42"/>
      <c r="AB345" s="42"/>
      <c r="AC345" s="42"/>
    </row>
    <row r="346" spans="1:29" x14ac:dyDescent="0.25">
      <c r="A346" s="41"/>
      <c r="B346" s="42"/>
      <c r="C346" s="41"/>
      <c r="D346" s="42"/>
      <c r="E346" s="42"/>
      <c r="F346" s="35"/>
      <c r="G346" s="42"/>
      <c r="H346" s="41"/>
      <c r="I346" s="91"/>
      <c r="J346" s="91"/>
      <c r="K346" s="91"/>
      <c r="L346" s="41"/>
      <c r="M346" s="41"/>
      <c r="N346" s="42"/>
      <c r="O346" s="42"/>
      <c r="P346" s="42"/>
      <c r="Q346" s="42"/>
      <c r="R346" s="42"/>
      <c r="S346" s="42"/>
      <c r="T346" s="42"/>
      <c r="U346" s="42"/>
      <c r="V346" s="42"/>
      <c r="W346" s="42"/>
      <c r="X346" s="42"/>
      <c r="Y346" s="42"/>
      <c r="Z346" s="42"/>
      <c r="AA346" s="42"/>
      <c r="AB346" s="42"/>
      <c r="AC346" s="42"/>
    </row>
    <row r="347" spans="1:29" x14ac:dyDescent="0.25">
      <c r="A347" s="41"/>
      <c r="B347" s="42"/>
      <c r="C347" s="41"/>
      <c r="D347" s="42"/>
      <c r="E347" s="42"/>
      <c r="F347" s="35"/>
      <c r="G347" s="42"/>
      <c r="H347" s="41"/>
      <c r="I347" s="91"/>
      <c r="J347" s="91"/>
      <c r="K347" s="91"/>
      <c r="L347" s="41"/>
      <c r="M347" s="41"/>
      <c r="N347" s="42"/>
      <c r="O347" s="42"/>
      <c r="P347" s="42"/>
      <c r="Q347" s="42"/>
      <c r="R347" s="42"/>
      <c r="S347" s="42"/>
      <c r="T347" s="42"/>
      <c r="U347" s="42"/>
      <c r="V347" s="42"/>
      <c r="W347" s="42"/>
      <c r="X347" s="42"/>
      <c r="Y347" s="42"/>
      <c r="Z347" s="42"/>
      <c r="AA347" s="42"/>
      <c r="AB347" s="42"/>
      <c r="AC347" s="42"/>
    </row>
    <row r="348" spans="1:29" x14ac:dyDescent="0.25">
      <c r="A348" s="41"/>
      <c r="B348" s="42"/>
      <c r="C348" s="41"/>
      <c r="D348" s="42"/>
      <c r="E348" s="42"/>
      <c r="F348" s="35"/>
      <c r="G348" s="42"/>
      <c r="H348" s="41"/>
      <c r="I348" s="91"/>
      <c r="J348" s="91"/>
      <c r="K348" s="91"/>
      <c r="L348" s="41"/>
      <c r="M348" s="41"/>
      <c r="N348" s="42"/>
      <c r="O348" s="42"/>
      <c r="P348" s="42"/>
      <c r="Q348" s="42"/>
      <c r="R348" s="42"/>
      <c r="S348" s="42"/>
      <c r="T348" s="42"/>
      <c r="U348" s="42"/>
      <c r="V348" s="42"/>
      <c r="W348" s="42"/>
      <c r="X348" s="42"/>
      <c r="Y348" s="42"/>
      <c r="Z348" s="42"/>
      <c r="AA348" s="42"/>
      <c r="AB348" s="42"/>
      <c r="AC348" s="42"/>
    </row>
    <row r="349" spans="1:29" x14ac:dyDescent="0.25">
      <c r="A349" s="41"/>
      <c r="B349" s="42"/>
      <c r="C349" s="41"/>
      <c r="D349" s="42"/>
      <c r="E349" s="42"/>
      <c r="F349" s="35"/>
      <c r="G349" s="42"/>
      <c r="H349" s="41"/>
      <c r="I349" s="91"/>
      <c r="J349" s="91"/>
      <c r="K349" s="91"/>
      <c r="L349" s="41"/>
      <c r="M349" s="41"/>
      <c r="N349" s="42"/>
      <c r="O349" s="42"/>
      <c r="P349" s="42"/>
      <c r="Q349" s="42"/>
      <c r="R349" s="42"/>
      <c r="S349" s="42"/>
      <c r="T349" s="42"/>
      <c r="U349" s="42"/>
      <c r="V349" s="42"/>
      <c r="W349" s="42"/>
      <c r="X349" s="42"/>
      <c r="Y349" s="42"/>
      <c r="Z349" s="42"/>
      <c r="AA349" s="42"/>
      <c r="AB349" s="42"/>
      <c r="AC349" s="42"/>
    </row>
    <row r="350" spans="1:29" x14ac:dyDescent="0.25">
      <c r="A350" s="41"/>
      <c r="B350" s="42"/>
      <c r="C350" s="41"/>
      <c r="D350" s="42"/>
      <c r="E350" s="42"/>
      <c r="F350" s="35"/>
      <c r="G350" s="42"/>
      <c r="H350" s="41"/>
      <c r="I350" s="91"/>
      <c r="J350" s="91"/>
      <c r="K350" s="91"/>
      <c r="L350" s="41"/>
      <c r="M350" s="41"/>
      <c r="N350" s="42"/>
      <c r="O350" s="42"/>
      <c r="P350" s="42"/>
      <c r="Q350" s="42"/>
      <c r="R350" s="42"/>
      <c r="S350" s="42"/>
      <c r="T350" s="42"/>
      <c r="U350" s="42"/>
      <c r="V350" s="42"/>
      <c r="W350" s="42"/>
      <c r="X350" s="42"/>
      <c r="Y350" s="42"/>
      <c r="Z350" s="42"/>
      <c r="AA350" s="42"/>
      <c r="AB350" s="42"/>
      <c r="AC350" s="42"/>
    </row>
    <row r="351" spans="1:29" x14ac:dyDescent="0.25">
      <c r="A351" s="41"/>
      <c r="B351" s="42"/>
      <c r="C351" s="41"/>
      <c r="D351" s="42"/>
      <c r="E351" s="42"/>
      <c r="F351" s="35"/>
      <c r="G351" s="42"/>
      <c r="H351" s="41"/>
      <c r="I351" s="91"/>
      <c r="J351" s="91"/>
      <c r="K351" s="91"/>
      <c r="L351" s="41"/>
      <c r="M351" s="41"/>
      <c r="N351" s="42"/>
      <c r="O351" s="42"/>
      <c r="P351" s="42"/>
      <c r="Q351" s="42"/>
      <c r="R351" s="42"/>
      <c r="S351" s="42"/>
      <c r="T351" s="42"/>
      <c r="U351" s="42"/>
      <c r="V351" s="42"/>
      <c r="W351" s="42"/>
      <c r="X351" s="42"/>
      <c r="Y351" s="42"/>
      <c r="Z351" s="42"/>
      <c r="AA351" s="42"/>
      <c r="AB351" s="42"/>
      <c r="AC351" s="42"/>
    </row>
    <row r="352" spans="1:29" x14ac:dyDescent="0.25">
      <c r="A352" s="41"/>
      <c r="B352" s="42"/>
      <c r="C352" s="41"/>
      <c r="D352" s="42"/>
      <c r="E352" s="42"/>
      <c r="F352" s="35"/>
      <c r="G352" s="42"/>
      <c r="H352" s="41"/>
      <c r="I352" s="91"/>
      <c r="J352" s="91"/>
      <c r="K352" s="91"/>
      <c r="L352" s="41"/>
      <c r="M352" s="41"/>
      <c r="N352" s="42"/>
      <c r="O352" s="42"/>
      <c r="P352" s="42"/>
      <c r="Q352" s="42"/>
      <c r="R352" s="42"/>
      <c r="S352" s="42"/>
      <c r="T352" s="42"/>
      <c r="U352" s="42"/>
      <c r="V352" s="42"/>
      <c r="W352" s="42"/>
      <c r="X352" s="42"/>
      <c r="Y352" s="42"/>
      <c r="Z352" s="42"/>
      <c r="AA352" s="42"/>
      <c r="AB352" s="42"/>
      <c r="AC352" s="42"/>
    </row>
    <row r="353" spans="1:29" x14ac:dyDescent="0.25">
      <c r="A353" s="41"/>
      <c r="B353" s="42"/>
      <c r="C353" s="41"/>
      <c r="D353" s="42"/>
      <c r="E353" s="42"/>
      <c r="F353" s="35"/>
      <c r="G353" s="42"/>
      <c r="H353" s="41"/>
      <c r="I353" s="91"/>
      <c r="J353" s="91"/>
      <c r="K353" s="91"/>
      <c r="L353" s="41"/>
      <c r="M353" s="41"/>
      <c r="N353" s="42"/>
      <c r="O353" s="42"/>
      <c r="P353" s="42"/>
      <c r="Q353" s="42"/>
      <c r="R353" s="42"/>
      <c r="S353" s="42"/>
      <c r="T353" s="42"/>
      <c r="U353" s="42"/>
      <c r="V353" s="42"/>
      <c r="W353" s="42"/>
      <c r="X353" s="42"/>
      <c r="Y353" s="42"/>
      <c r="Z353" s="42"/>
      <c r="AA353" s="42"/>
      <c r="AB353" s="42"/>
      <c r="AC353" s="42"/>
    </row>
    <row r="354" spans="1:29" x14ac:dyDescent="0.25">
      <c r="A354" s="41"/>
      <c r="B354" s="42"/>
      <c r="C354" s="41"/>
      <c r="D354" s="42"/>
      <c r="E354" s="42"/>
      <c r="F354" s="35"/>
      <c r="G354" s="42"/>
      <c r="H354" s="41"/>
      <c r="I354" s="91"/>
      <c r="J354" s="91"/>
      <c r="K354" s="91"/>
      <c r="L354" s="41"/>
      <c r="M354" s="41"/>
      <c r="N354" s="42"/>
      <c r="O354" s="42"/>
      <c r="P354" s="42"/>
      <c r="Q354" s="42"/>
      <c r="R354" s="42"/>
      <c r="S354" s="42"/>
      <c r="T354" s="42"/>
      <c r="U354" s="42"/>
      <c r="V354" s="42"/>
      <c r="W354" s="42"/>
      <c r="X354" s="42"/>
      <c r="Y354" s="42"/>
      <c r="Z354" s="42"/>
      <c r="AA354" s="42"/>
      <c r="AB354" s="42"/>
      <c r="AC354" s="42"/>
    </row>
    <row r="355" spans="1:29" x14ac:dyDescent="0.25">
      <c r="A355" s="41"/>
      <c r="B355" s="42"/>
      <c r="C355" s="41"/>
      <c r="D355" s="42"/>
      <c r="E355" s="42"/>
      <c r="F355" s="35"/>
      <c r="G355" s="42"/>
      <c r="H355" s="41"/>
      <c r="I355" s="91"/>
      <c r="J355" s="91"/>
      <c r="K355" s="91"/>
      <c r="L355" s="41"/>
      <c r="M355" s="41"/>
      <c r="N355" s="42"/>
      <c r="O355" s="42"/>
      <c r="P355" s="42"/>
      <c r="Q355" s="42"/>
      <c r="R355" s="42"/>
      <c r="S355" s="42"/>
      <c r="T355" s="42"/>
      <c r="U355" s="42"/>
      <c r="V355" s="42"/>
      <c r="W355" s="42"/>
      <c r="X355" s="42"/>
      <c r="Y355" s="42"/>
      <c r="Z355" s="42"/>
      <c r="AA355" s="42"/>
      <c r="AB355" s="42"/>
      <c r="AC355" s="42"/>
    </row>
    <row r="356" spans="1:29" x14ac:dyDescent="0.25">
      <c r="A356" s="41"/>
      <c r="B356" s="42"/>
      <c r="C356" s="41"/>
      <c r="D356" s="42"/>
      <c r="E356" s="42"/>
      <c r="F356" s="35"/>
      <c r="G356" s="42"/>
      <c r="H356" s="41"/>
      <c r="I356" s="91"/>
      <c r="J356" s="91"/>
      <c r="K356" s="91"/>
      <c r="L356" s="41"/>
      <c r="M356" s="41"/>
      <c r="N356" s="42"/>
      <c r="O356" s="42"/>
      <c r="P356" s="42"/>
      <c r="Q356" s="42"/>
      <c r="R356" s="42"/>
      <c r="S356" s="42"/>
      <c r="T356" s="42"/>
      <c r="U356" s="42"/>
      <c r="V356" s="42"/>
      <c r="W356" s="42"/>
      <c r="X356" s="42"/>
      <c r="Y356" s="42"/>
      <c r="Z356" s="42"/>
      <c r="AA356" s="42"/>
      <c r="AB356" s="42"/>
      <c r="AC356" s="42"/>
    </row>
    <row r="357" spans="1:29" x14ac:dyDescent="0.25">
      <c r="A357" s="41"/>
      <c r="B357" s="42"/>
      <c r="C357" s="41"/>
      <c r="D357" s="42"/>
      <c r="E357" s="42"/>
      <c r="F357" s="35"/>
      <c r="G357" s="42"/>
      <c r="H357" s="41"/>
      <c r="I357" s="91"/>
      <c r="J357" s="91"/>
      <c r="K357" s="91"/>
      <c r="L357" s="41"/>
      <c r="M357" s="41"/>
      <c r="N357" s="42"/>
      <c r="O357" s="42"/>
      <c r="P357" s="42"/>
      <c r="Q357" s="42"/>
      <c r="R357" s="42"/>
      <c r="S357" s="42"/>
      <c r="T357" s="42"/>
      <c r="U357" s="42"/>
      <c r="V357" s="42"/>
      <c r="W357" s="42"/>
      <c r="X357" s="42"/>
      <c r="Y357" s="42"/>
      <c r="Z357" s="42"/>
      <c r="AA357" s="42"/>
      <c r="AB357" s="42"/>
      <c r="AC357" s="42"/>
    </row>
    <row r="358" spans="1:29" x14ac:dyDescent="0.25">
      <c r="A358" s="41"/>
      <c r="B358" s="42"/>
      <c r="C358" s="41"/>
      <c r="D358" s="42"/>
      <c r="E358" s="42"/>
      <c r="F358" s="35"/>
      <c r="G358" s="42"/>
      <c r="H358" s="41"/>
      <c r="I358" s="91"/>
      <c r="J358" s="91"/>
      <c r="K358" s="91"/>
      <c r="L358" s="41"/>
      <c r="M358" s="41"/>
      <c r="N358" s="42"/>
      <c r="O358" s="42"/>
      <c r="P358" s="42"/>
      <c r="Q358" s="42"/>
      <c r="R358" s="42"/>
      <c r="S358" s="42"/>
      <c r="T358" s="42"/>
      <c r="U358" s="42"/>
      <c r="V358" s="42"/>
      <c r="W358" s="42"/>
      <c r="X358" s="42"/>
      <c r="Y358" s="42"/>
      <c r="Z358" s="42"/>
      <c r="AA358" s="42"/>
      <c r="AB358" s="42"/>
      <c r="AC358" s="42"/>
    </row>
    <row r="359" spans="1:29" x14ac:dyDescent="0.25">
      <c r="A359" s="41"/>
      <c r="B359" s="42"/>
      <c r="C359" s="41"/>
      <c r="D359" s="42"/>
      <c r="E359" s="42"/>
      <c r="F359" s="35"/>
      <c r="G359" s="42"/>
      <c r="H359" s="41"/>
      <c r="I359" s="91"/>
      <c r="J359" s="91"/>
      <c r="K359" s="91"/>
      <c r="L359" s="41"/>
      <c r="M359" s="41"/>
      <c r="N359" s="42"/>
      <c r="O359" s="42"/>
      <c r="P359" s="42"/>
      <c r="Q359" s="42"/>
      <c r="R359" s="42"/>
      <c r="S359" s="42"/>
      <c r="T359" s="42"/>
      <c r="U359" s="42"/>
      <c r="V359" s="42"/>
      <c r="W359" s="42"/>
      <c r="X359" s="42"/>
      <c r="Y359" s="42"/>
      <c r="Z359" s="42"/>
      <c r="AA359" s="42"/>
      <c r="AB359" s="42"/>
      <c r="AC359" s="42"/>
    </row>
    <row r="360" spans="1:29" x14ac:dyDescent="0.25">
      <c r="A360" s="41"/>
      <c r="B360" s="42"/>
      <c r="C360" s="41"/>
      <c r="D360" s="42"/>
      <c r="E360" s="42"/>
      <c r="F360" s="35"/>
      <c r="G360" s="42"/>
      <c r="H360" s="41"/>
      <c r="I360" s="91"/>
      <c r="J360" s="91"/>
      <c r="K360" s="91"/>
      <c r="L360" s="41"/>
      <c r="M360" s="41"/>
      <c r="N360" s="42"/>
      <c r="O360" s="42"/>
      <c r="P360" s="42"/>
      <c r="Q360" s="42"/>
      <c r="R360" s="42"/>
      <c r="S360" s="42"/>
      <c r="T360" s="42"/>
      <c r="U360" s="42"/>
      <c r="V360" s="42"/>
      <c r="W360" s="42"/>
      <c r="X360" s="42"/>
      <c r="Y360" s="42"/>
      <c r="Z360" s="42"/>
      <c r="AA360" s="42"/>
      <c r="AB360" s="42"/>
      <c r="AC360" s="42"/>
    </row>
    <row r="361" spans="1:29" x14ac:dyDescent="0.25">
      <c r="A361" s="41"/>
      <c r="B361" s="42"/>
      <c r="C361" s="41"/>
      <c r="D361" s="42"/>
      <c r="E361" s="42"/>
      <c r="F361" s="35"/>
      <c r="G361" s="42"/>
      <c r="H361" s="41"/>
      <c r="I361" s="91"/>
      <c r="J361" s="91"/>
      <c r="K361" s="91"/>
      <c r="L361" s="41"/>
      <c r="M361" s="41"/>
      <c r="N361" s="42"/>
      <c r="O361" s="42"/>
      <c r="P361" s="42"/>
      <c r="Q361" s="42"/>
      <c r="R361" s="42"/>
      <c r="S361" s="42"/>
      <c r="T361" s="42"/>
      <c r="U361" s="42"/>
      <c r="V361" s="42"/>
      <c r="W361" s="42"/>
      <c r="X361" s="42"/>
      <c r="Y361" s="42"/>
      <c r="Z361" s="42"/>
      <c r="AA361" s="42"/>
      <c r="AB361" s="42"/>
      <c r="AC361" s="42"/>
    </row>
    <row r="362" spans="1:29" x14ac:dyDescent="0.25">
      <c r="A362" s="41"/>
      <c r="B362" s="42"/>
      <c r="C362" s="41"/>
      <c r="D362" s="42"/>
      <c r="E362" s="42"/>
      <c r="F362" s="35"/>
      <c r="G362" s="42"/>
      <c r="H362" s="41"/>
      <c r="I362" s="91"/>
      <c r="J362" s="91"/>
      <c r="K362" s="91"/>
      <c r="L362" s="41"/>
      <c r="M362" s="41"/>
      <c r="N362" s="42"/>
      <c r="O362" s="42"/>
      <c r="P362" s="42"/>
      <c r="Q362" s="42"/>
      <c r="R362" s="42"/>
      <c r="S362" s="42"/>
      <c r="T362" s="42"/>
      <c r="U362" s="42"/>
      <c r="V362" s="42"/>
      <c r="W362" s="42"/>
      <c r="X362" s="42"/>
      <c r="Y362" s="42"/>
      <c r="Z362" s="42"/>
      <c r="AA362" s="42"/>
      <c r="AB362" s="42"/>
      <c r="AC362" s="42"/>
    </row>
    <row r="363" spans="1:29" x14ac:dyDescent="0.25">
      <c r="A363" s="41"/>
      <c r="B363" s="42"/>
      <c r="C363" s="41"/>
      <c r="D363" s="42"/>
      <c r="E363" s="42"/>
      <c r="F363" s="35"/>
      <c r="G363" s="42"/>
      <c r="H363" s="41"/>
      <c r="I363" s="91"/>
      <c r="J363" s="91"/>
      <c r="K363" s="91"/>
      <c r="L363" s="41"/>
      <c r="M363" s="41"/>
      <c r="N363" s="42"/>
      <c r="O363" s="42"/>
      <c r="P363" s="42"/>
      <c r="Q363" s="42"/>
      <c r="R363" s="42"/>
      <c r="S363" s="42"/>
      <c r="T363" s="42"/>
      <c r="U363" s="42"/>
      <c r="V363" s="42"/>
      <c r="W363" s="42"/>
      <c r="X363" s="42"/>
      <c r="Y363" s="42"/>
      <c r="Z363" s="42"/>
      <c r="AA363" s="42"/>
      <c r="AB363" s="42"/>
      <c r="AC363" s="42"/>
    </row>
    <row r="364" spans="1:29" x14ac:dyDescent="0.25">
      <c r="A364" s="41"/>
      <c r="B364" s="42"/>
      <c r="C364" s="41"/>
      <c r="D364" s="42"/>
      <c r="E364" s="42"/>
      <c r="F364" s="35"/>
      <c r="G364" s="42"/>
      <c r="H364" s="41"/>
      <c r="I364" s="91"/>
      <c r="J364" s="91"/>
      <c r="K364" s="91"/>
      <c r="L364" s="41"/>
      <c r="M364" s="41"/>
      <c r="N364" s="42"/>
      <c r="O364" s="42"/>
      <c r="P364" s="42"/>
      <c r="Q364" s="42"/>
      <c r="R364" s="42"/>
      <c r="S364" s="42"/>
      <c r="T364" s="42"/>
      <c r="U364" s="42"/>
      <c r="V364" s="42"/>
      <c r="W364" s="42"/>
      <c r="X364" s="42"/>
      <c r="Y364" s="42"/>
      <c r="Z364" s="42"/>
      <c r="AA364" s="42"/>
      <c r="AB364" s="42"/>
      <c r="AC364" s="42"/>
    </row>
    <row r="365" spans="1:29" x14ac:dyDescent="0.25">
      <c r="A365" s="41"/>
      <c r="B365" s="42"/>
      <c r="C365" s="41"/>
      <c r="D365" s="42"/>
      <c r="E365" s="42"/>
      <c r="F365" s="35"/>
      <c r="G365" s="42"/>
      <c r="H365" s="41"/>
      <c r="I365" s="91"/>
      <c r="J365" s="91"/>
      <c r="K365" s="91"/>
      <c r="L365" s="41"/>
      <c r="M365" s="41"/>
      <c r="N365" s="42"/>
      <c r="O365" s="42"/>
      <c r="P365" s="42"/>
      <c r="Q365" s="42"/>
      <c r="R365" s="42"/>
      <c r="S365" s="42"/>
      <c r="T365" s="42"/>
      <c r="U365" s="42"/>
      <c r="V365" s="42"/>
      <c r="W365" s="42"/>
      <c r="X365" s="42"/>
      <c r="Y365" s="42"/>
      <c r="Z365" s="42"/>
      <c r="AA365" s="42"/>
      <c r="AB365" s="42"/>
      <c r="AC365" s="42"/>
    </row>
    <row r="366" spans="1:29" x14ac:dyDescent="0.25">
      <c r="A366" s="41"/>
      <c r="B366" s="42"/>
      <c r="C366" s="41"/>
      <c r="D366" s="42"/>
      <c r="E366" s="42"/>
      <c r="F366" s="35"/>
      <c r="G366" s="42"/>
      <c r="H366" s="41"/>
      <c r="I366" s="91"/>
      <c r="J366" s="91"/>
      <c r="K366" s="91"/>
      <c r="L366" s="41"/>
      <c r="M366" s="41"/>
      <c r="N366" s="42"/>
      <c r="O366" s="42"/>
      <c r="P366" s="42"/>
      <c r="Q366" s="42"/>
      <c r="R366" s="42"/>
      <c r="S366" s="42"/>
      <c r="T366" s="42"/>
      <c r="U366" s="42"/>
      <c r="V366" s="42"/>
      <c r="W366" s="42"/>
      <c r="X366" s="42"/>
      <c r="Y366" s="42"/>
      <c r="Z366" s="42"/>
      <c r="AA366" s="42"/>
      <c r="AB366" s="42"/>
      <c r="AC366" s="42"/>
    </row>
    <row r="367" spans="1:29" x14ac:dyDescent="0.25">
      <c r="A367" s="41"/>
      <c r="B367" s="42"/>
      <c r="C367" s="41"/>
      <c r="D367" s="42"/>
      <c r="E367" s="42"/>
      <c r="F367" s="35"/>
      <c r="G367" s="42"/>
      <c r="H367" s="41"/>
      <c r="I367" s="91"/>
      <c r="J367" s="91"/>
      <c r="K367" s="91"/>
      <c r="L367" s="41"/>
      <c r="M367" s="41"/>
      <c r="N367" s="42"/>
      <c r="O367" s="42"/>
      <c r="P367" s="42"/>
      <c r="Q367" s="42"/>
      <c r="R367" s="42"/>
      <c r="S367" s="42"/>
      <c r="T367" s="42"/>
      <c r="U367" s="42"/>
      <c r="V367" s="42"/>
      <c r="W367" s="42"/>
      <c r="X367" s="42"/>
      <c r="Y367" s="42"/>
      <c r="Z367" s="42"/>
      <c r="AA367" s="42"/>
      <c r="AB367" s="42"/>
      <c r="AC367" s="42"/>
    </row>
    <row r="368" spans="1:29" x14ac:dyDescent="0.25">
      <c r="A368" s="41"/>
      <c r="B368" s="42"/>
      <c r="C368" s="41"/>
      <c r="D368" s="42"/>
      <c r="E368" s="42"/>
      <c r="F368" s="35"/>
      <c r="G368" s="42"/>
      <c r="H368" s="41"/>
      <c r="I368" s="91"/>
      <c r="J368" s="91"/>
      <c r="K368" s="91"/>
      <c r="L368" s="41"/>
      <c r="M368" s="41"/>
      <c r="N368" s="42"/>
      <c r="O368" s="42"/>
      <c r="P368" s="42"/>
      <c r="Q368" s="42"/>
      <c r="R368" s="42"/>
      <c r="S368" s="42"/>
      <c r="T368" s="42"/>
      <c r="U368" s="42"/>
      <c r="V368" s="42"/>
      <c r="W368" s="42"/>
      <c r="X368" s="42"/>
      <c r="Y368" s="42"/>
      <c r="Z368" s="42"/>
      <c r="AA368" s="42"/>
      <c r="AB368" s="42"/>
      <c r="AC368" s="42"/>
    </row>
    <row r="369" spans="1:29" x14ac:dyDescent="0.25">
      <c r="A369" s="41"/>
      <c r="B369" s="42"/>
      <c r="C369" s="41"/>
      <c r="D369" s="42"/>
      <c r="E369" s="42"/>
      <c r="F369" s="35"/>
      <c r="G369" s="42"/>
      <c r="H369" s="41"/>
      <c r="I369" s="91"/>
      <c r="J369" s="91"/>
      <c r="K369" s="91"/>
      <c r="L369" s="41"/>
      <c r="M369" s="41"/>
      <c r="N369" s="42"/>
      <c r="O369" s="42"/>
      <c r="P369" s="42"/>
      <c r="Q369" s="42"/>
      <c r="R369" s="42"/>
      <c r="S369" s="42"/>
      <c r="T369" s="42"/>
      <c r="U369" s="42"/>
      <c r="V369" s="42"/>
      <c r="W369" s="42"/>
      <c r="X369" s="42"/>
      <c r="Y369" s="42"/>
      <c r="Z369" s="42"/>
      <c r="AA369" s="42"/>
      <c r="AB369" s="42"/>
      <c r="AC369" s="42"/>
    </row>
    <row r="370" spans="1:29" x14ac:dyDescent="0.25">
      <c r="A370" s="41"/>
      <c r="B370" s="42"/>
      <c r="C370" s="41"/>
      <c r="D370" s="42"/>
      <c r="E370" s="42"/>
      <c r="F370" s="35"/>
      <c r="G370" s="42"/>
      <c r="H370" s="41"/>
      <c r="I370" s="91"/>
      <c r="J370" s="91"/>
      <c r="K370" s="91"/>
      <c r="L370" s="41"/>
      <c r="M370" s="41"/>
      <c r="N370" s="42"/>
      <c r="O370" s="42"/>
      <c r="P370" s="42"/>
      <c r="Q370" s="42"/>
      <c r="R370" s="42"/>
      <c r="S370" s="42"/>
      <c r="T370" s="42"/>
      <c r="U370" s="42"/>
      <c r="V370" s="42"/>
      <c r="W370" s="42"/>
      <c r="X370" s="42"/>
      <c r="Y370" s="42"/>
      <c r="Z370" s="42"/>
      <c r="AA370" s="42"/>
      <c r="AB370" s="42"/>
      <c r="AC370" s="42"/>
    </row>
    <row r="371" spans="1:29" x14ac:dyDescent="0.25">
      <c r="A371" s="41"/>
      <c r="B371" s="42"/>
      <c r="C371" s="41"/>
      <c r="D371" s="42"/>
      <c r="E371" s="42"/>
      <c r="F371" s="35"/>
      <c r="G371" s="42"/>
      <c r="H371" s="41"/>
      <c r="I371" s="91"/>
      <c r="J371" s="91"/>
      <c r="K371" s="91"/>
      <c r="L371" s="41"/>
      <c r="M371" s="41"/>
      <c r="N371" s="42"/>
      <c r="O371" s="42"/>
      <c r="P371" s="42"/>
      <c r="Q371" s="42"/>
      <c r="R371" s="42"/>
      <c r="S371" s="42"/>
      <c r="T371" s="42"/>
      <c r="U371" s="42"/>
      <c r="V371" s="42"/>
      <c r="W371" s="42"/>
      <c r="X371" s="42"/>
      <c r="Y371" s="42"/>
      <c r="Z371" s="42"/>
      <c r="AA371" s="42"/>
      <c r="AB371" s="42"/>
      <c r="AC371" s="42"/>
    </row>
    <row r="372" spans="1:29" x14ac:dyDescent="0.25">
      <c r="A372" s="41"/>
      <c r="B372" s="42"/>
      <c r="C372" s="41"/>
      <c r="D372" s="42"/>
      <c r="E372" s="42"/>
      <c r="F372" s="35"/>
      <c r="G372" s="42"/>
      <c r="H372" s="41"/>
      <c r="I372" s="91"/>
      <c r="J372" s="91"/>
      <c r="K372" s="91"/>
      <c r="L372" s="41"/>
      <c r="M372" s="41"/>
      <c r="N372" s="42"/>
      <c r="O372" s="42"/>
      <c r="P372" s="42"/>
      <c r="Q372" s="42"/>
      <c r="R372" s="42"/>
      <c r="S372" s="42"/>
      <c r="T372" s="42"/>
      <c r="U372" s="42"/>
      <c r="V372" s="42"/>
      <c r="W372" s="42"/>
      <c r="X372" s="42"/>
      <c r="Y372" s="42"/>
      <c r="Z372" s="42"/>
      <c r="AA372" s="42"/>
      <c r="AB372" s="42"/>
      <c r="AC372" s="42"/>
    </row>
    <row r="373" spans="1:29" x14ac:dyDescent="0.25">
      <c r="A373" s="41"/>
      <c r="B373" s="42"/>
      <c r="C373" s="41"/>
      <c r="D373" s="42"/>
      <c r="E373" s="42"/>
      <c r="F373" s="35"/>
      <c r="G373" s="42"/>
      <c r="H373" s="41"/>
      <c r="I373" s="91"/>
      <c r="J373" s="91"/>
      <c r="K373" s="91"/>
      <c r="L373" s="41"/>
      <c r="M373" s="41"/>
      <c r="N373" s="42"/>
      <c r="O373" s="42"/>
      <c r="P373" s="42"/>
      <c r="Q373" s="42"/>
      <c r="R373" s="42"/>
      <c r="S373" s="42"/>
      <c r="T373" s="42"/>
      <c r="U373" s="42"/>
      <c r="V373" s="42"/>
      <c r="W373" s="42"/>
      <c r="X373" s="42"/>
      <c r="Y373" s="42"/>
      <c r="Z373" s="42"/>
      <c r="AA373" s="42"/>
      <c r="AB373" s="42"/>
      <c r="AC373" s="42"/>
    </row>
    <row r="374" spans="1:29" x14ac:dyDescent="0.25">
      <c r="A374" s="41"/>
      <c r="B374" s="42"/>
      <c r="C374" s="41"/>
      <c r="D374" s="42"/>
      <c r="E374" s="42"/>
      <c r="F374" s="35"/>
      <c r="G374" s="42"/>
      <c r="H374" s="41"/>
      <c r="I374" s="91"/>
      <c r="J374" s="91"/>
      <c r="K374" s="91"/>
      <c r="L374" s="41"/>
      <c r="M374" s="41"/>
      <c r="N374" s="42"/>
      <c r="O374" s="42"/>
      <c r="P374" s="42"/>
      <c r="Q374" s="42"/>
      <c r="R374" s="42"/>
      <c r="S374" s="42"/>
      <c r="T374" s="42"/>
      <c r="U374" s="42"/>
      <c r="V374" s="42"/>
      <c r="W374" s="42"/>
      <c r="X374" s="42"/>
      <c r="Y374" s="42"/>
      <c r="Z374" s="42"/>
      <c r="AA374" s="42"/>
      <c r="AB374" s="42"/>
      <c r="AC374" s="42"/>
    </row>
    <row r="375" spans="1:29" x14ac:dyDescent="0.25">
      <c r="A375" s="41"/>
      <c r="B375" s="42"/>
      <c r="C375" s="41"/>
      <c r="D375" s="42"/>
      <c r="E375" s="42"/>
      <c r="F375" s="35"/>
      <c r="G375" s="42"/>
      <c r="H375" s="41"/>
      <c r="I375" s="91"/>
      <c r="J375" s="91"/>
      <c r="K375" s="91"/>
      <c r="L375" s="41"/>
      <c r="M375" s="41"/>
      <c r="N375" s="42"/>
      <c r="O375" s="42"/>
      <c r="P375" s="42"/>
      <c r="Q375" s="42"/>
      <c r="R375" s="42"/>
      <c r="S375" s="42"/>
      <c r="T375" s="42"/>
      <c r="U375" s="42"/>
      <c r="V375" s="42"/>
      <c r="W375" s="42"/>
      <c r="X375" s="42"/>
      <c r="Y375" s="42"/>
      <c r="Z375" s="42"/>
      <c r="AA375" s="42"/>
      <c r="AB375" s="42"/>
      <c r="AC375" s="42"/>
    </row>
    <row r="376" spans="1:29" x14ac:dyDescent="0.25">
      <c r="A376" s="41"/>
      <c r="B376" s="42"/>
      <c r="C376" s="41"/>
      <c r="D376" s="42"/>
      <c r="E376" s="42"/>
      <c r="F376" s="35"/>
      <c r="G376" s="42"/>
      <c r="H376" s="41"/>
      <c r="I376" s="91"/>
      <c r="J376" s="91"/>
      <c r="K376" s="91"/>
      <c r="L376" s="41"/>
      <c r="M376" s="41"/>
      <c r="N376" s="42"/>
      <c r="O376" s="42"/>
      <c r="P376" s="42"/>
      <c r="Q376" s="42"/>
      <c r="R376" s="42"/>
      <c r="S376" s="42"/>
      <c r="T376" s="42"/>
      <c r="U376" s="42"/>
      <c r="V376" s="42"/>
      <c r="W376" s="42"/>
      <c r="X376" s="42"/>
      <c r="Y376" s="42"/>
      <c r="Z376" s="42"/>
      <c r="AA376" s="42"/>
      <c r="AB376" s="42"/>
      <c r="AC376" s="42"/>
    </row>
    <row r="377" spans="1:29" x14ac:dyDescent="0.25">
      <c r="A377" s="41"/>
      <c r="B377" s="42"/>
      <c r="C377" s="41"/>
      <c r="D377" s="42"/>
      <c r="E377" s="42"/>
      <c r="F377" s="35"/>
      <c r="G377" s="42"/>
      <c r="H377" s="41"/>
      <c r="I377" s="91"/>
      <c r="J377" s="91"/>
      <c r="K377" s="91"/>
      <c r="L377" s="41"/>
      <c r="M377" s="41"/>
      <c r="N377" s="42"/>
      <c r="O377" s="42"/>
      <c r="P377" s="42"/>
      <c r="Q377" s="42"/>
      <c r="R377" s="42"/>
      <c r="S377" s="42"/>
      <c r="T377" s="42"/>
      <c r="U377" s="42"/>
      <c r="V377" s="42"/>
      <c r="W377" s="42"/>
      <c r="X377" s="42"/>
      <c r="Y377" s="42"/>
      <c r="Z377" s="42"/>
      <c r="AA377" s="42"/>
      <c r="AB377" s="42"/>
      <c r="AC377" s="42"/>
    </row>
    <row r="378" spans="1:29" x14ac:dyDescent="0.25">
      <c r="A378" s="41"/>
      <c r="B378" s="42"/>
      <c r="C378" s="41"/>
      <c r="D378" s="42"/>
      <c r="E378" s="42"/>
      <c r="F378" s="35"/>
      <c r="G378" s="42"/>
      <c r="H378" s="41"/>
      <c r="I378" s="91"/>
      <c r="J378" s="91"/>
      <c r="K378" s="91"/>
      <c r="L378" s="41"/>
      <c r="M378" s="41"/>
      <c r="N378" s="42"/>
      <c r="O378" s="42"/>
      <c r="P378" s="42"/>
      <c r="Q378" s="42"/>
      <c r="R378" s="42"/>
      <c r="S378" s="42"/>
      <c r="T378" s="42"/>
      <c r="U378" s="42"/>
      <c r="V378" s="42"/>
      <c r="W378" s="42"/>
      <c r="X378" s="42"/>
      <c r="Y378" s="42"/>
      <c r="Z378" s="42"/>
      <c r="AA378" s="42"/>
      <c r="AB378" s="42"/>
      <c r="AC378" s="42"/>
    </row>
    <row r="379" spans="1:29" x14ac:dyDescent="0.25">
      <c r="A379" s="41"/>
      <c r="B379" s="42"/>
      <c r="C379" s="41"/>
      <c r="D379" s="42"/>
      <c r="E379" s="42"/>
      <c r="F379" s="35"/>
      <c r="G379" s="42"/>
      <c r="H379" s="41"/>
      <c r="I379" s="91"/>
      <c r="J379" s="91"/>
      <c r="K379" s="91"/>
      <c r="L379" s="41"/>
      <c r="M379" s="41"/>
      <c r="N379" s="42"/>
      <c r="O379" s="42"/>
      <c r="P379" s="42"/>
      <c r="Q379" s="42"/>
      <c r="R379" s="42"/>
      <c r="S379" s="42"/>
      <c r="T379" s="42"/>
      <c r="U379" s="42"/>
      <c r="V379" s="42"/>
      <c r="W379" s="42"/>
      <c r="X379" s="42"/>
      <c r="Y379" s="42"/>
      <c r="Z379" s="42"/>
      <c r="AA379" s="42"/>
      <c r="AB379" s="42"/>
      <c r="AC379" s="42"/>
    </row>
    <row r="380" spans="1:29" x14ac:dyDescent="0.25">
      <c r="A380" s="41"/>
      <c r="B380" s="42"/>
      <c r="C380" s="41"/>
      <c r="D380" s="42"/>
      <c r="E380" s="42"/>
      <c r="F380" s="35"/>
      <c r="G380" s="42"/>
      <c r="H380" s="41"/>
      <c r="I380" s="91"/>
      <c r="J380" s="91"/>
      <c r="K380" s="91"/>
      <c r="L380" s="41"/>
      <c r="M380" s="41"/>
      <c r="N380" s="42"/>
      <c r="O380" s="42"/>
      <c r="P380" s="42"/>
      <c r="Q380" s="42"/>
      <c r="R380" s="42"/>
      <c r="S380" s="42"/>
      <c r="T380" s="42"/>
      <c r="U380" s="42"/>
      <c r="V380" s="42"/>
      <c r="W380" s="42"/>
      <c r="X380" s="42"/>
      <c r="Y380" s="42"/>
      <c r="Z380" s="42"/>
      <c r="AA380" s="42"/>
      <c r="AB380" s="42"/>
      <c r="AC380" s="42"/>
    </row>
    <row r="381" spans="1:29" x14ac:dyDescent="0.25">
      <c r="A381" s="41"/>
      <c r="B381" s="42"/>
      <c r="C381" s="41"/>
      <c r="D381" s="42"/>
      <c r="E381" s="42"/>
      <c r="F381" s="35"/>
      <c r="G381" s="42"/>
      <c r="H381" s="41"/>
      <c r="I381" s="91"/>
      <c r="J381" s="91"/>
      <c r="K381" s="91"/>
      <c r="L381" s="41"/>
      <c r="M381" s="41"/>
      <c r="N381" s="42"/>
      <c r="O381" s="42"/>
      <c r="P381" s="42"/>
      <c r="Q381" s="42"/>
      <c r="R381" s="42"/>
      <c r="S381" s="42"/>
      <c r="T381" s="42"/>
      <c r="U381" s="42"/>
      <c r="V381" s="42"/>
      <c r="W381" s="42"/>
      <c r="X381" s="42"/>
      <c r="Y381" s="42"/>
      <c r="Z381" s="42"/>
      <c r="AA381" s="42"/>
      <c r="AB381" s="42"/>
      <c r="AC381" s="42"/>
    </row>
    <row r="382" spans="1:29" x14ac:dyDescent="0.25">
      <c r="A382" s="41"/>
      <c r="B382" s="42"/>
      <c r="C382" s="41"/>
      <c r="D382" s="42"/>
      <c r="E382" s="42"/>
      <c r="F382" s="35"/>
      <c r="G382" s="42"/>
      <c r="H382" s="41"/>
      <c r="I382" s="91"/>
      <c r="J382" s="91"/>
      <c r="K382" s="91"/>
      <c r="L382" s="41"/>
      <c r="M382" s="41"/>
      <c r="N382" s="42"/>
      <c r="O382" s="42"/>
      <c r="P382" s="42"/>
      <c r="Q382" s="42"/>
      <c r="R382" s="42"/>
      <c r="S382" s="42"/>
      <c r="T382" s="42"/>
      <c r="U382" s="42"/>
      <c r="V382" s="42"/>
      <c r="W382" s="42"/>
      <c r="X382" s="42"/>
      <c r="Y382" s="42"/>
      <c r="Z382" s="42"/>
      <c r="AA382" s="42"/>
      <c r="AB382" s="42"/>
      <c r="AC382" s="42"/>
    </row>
    <row r="383" spans="1:29" x14ac:dyDescent="0.25">
      <c r="A383" s="41"/>
      <c r="B383" s="42"/>
      <c r="C383" s="41"/>
      <c r="D383" s="42"/>
      <c r="E383" s="42"/>
      <c r="F383" s="35"/>
      <c r="G383" s="42"/>
      <c r="H383" s="41"/>
      <c r="I383" s="91"/>
      <c r="J383" s="91"/>
      <c r="K383" s="91"/>
      <c r="L383" s="41"/>
      <c r="M383" s="41"/>
      <c r="N383" s="42"/>
      <c r="O383" s="42"/>
      <c r="P383" s="42"/>
      <c r="Q383" s="42"/>
      <c r="R383" s="42"/>
      <c r="S383" s="42"/>
      <c r="T383" s="42"/>
      <c r="U383" s="42"/>
      <c r="V383" s="42"/>
      <c r="W383" s="42"/>
      <c r="X383" s="42"/>
      <c r="Y383" s="42"/>
      <c r="Z383" s="42"/>
      <c r="AA383" s="42"/>
      <c r="AB383" s="42"/>
      <c r="AC383" s="42"/>
    </row>
    <row r="384" spans="1:29" x14ac:dyDescent="0.25">
      <c r="A384" s="41"/>
      <c r="B384" s="42"/>
      <c r="C384" s="41"/>
      <c r="D384" s="42"/>
      <c r="E384" s="42"/>
      <c r="F384" s="35"/>
      <c r="G384" s="42"/>
      <c r="H384" s="41"/>
      <c r="I384" s="91"/>
      <c r="J384" s="91"/>
      <c r="K384" s="91"/>
      <c r="L384" s="41"/>
      <c r="M384" s="41"/>
      <c r="N384" s="42"/>
      <c r="O384" s="42"/>
      <c r="P384" s="42"/>
      <c r="Q384" s="42"/>
      <c r="R384" s="42"/>
      <c r="S384" s="42"/>
      <c r="T384" s="42"/>
      <c r="U384" s="42"/>
      <c r="V384" s="42"/>
      <c r="W384" s="42"/>
      <c r="X384" s="42"/>
      <c r="Y384" s="42"/>
      <c r="Z384" s="42"/>
      <c r="AA384" s="42"/>
      <c r="AB384" s="42"/>
      <c r="AC384" s="42"/>
    </row>
    <row r="385" spans="1:29" x14ac:dyDescent="0.25">
      <c r="A385" s="41"/>
      <c r="B385" s="42"/>
      <c r="C385" s="41"/>
      <c r="D385" s="42"/>
      <c r="E385" s="42"/>
      <c r="F385" s="35"/>
      <c r="G385" s="42"/>
      <c r="H385" s="41"/>
      <c r="I385" s="91"/>
      <c r="J385" s="91"/>
      <c r="K385" s="91"/>
      <c r="L385" s="41"/>
      <c r="M385" s="41"/>
      <c r="N385" s="42"/>
      <c r="O385" s="42"/>
      <c r="P385" s="42"/>
      <c r="Q385" s="42"/>
      <c r="R385" s="42"/>
      <c r="S385" s="42"/>
      <c r="T385" s="42"/>
      <c r="U385" s="42"/>
      <c r="V385" s="42"/>
      <c r="W385" s="42"/>
      <c r="X385" s="42"/>
      <c r="Y385" s="42"/>
      <c r="Z385" s="42"/>
      <c r="AA385" s="42"/>
      <c r="AB385" s="42"/>
      <c r="AC385" s="42"/>
    </row>
    <row r="386" spans="1:29" x14ac:dyDescent="0.25">
      <c r="A386" s="41"/>
      <c r="B386" s="42"/>
      <c r="C386" s="41"/>
      <c r="D386" s="42"/>
      <c r="E386" s="42"/>
      <c r="F386" s="35"/>
      <c r="G386" s="42"/>
      <c r="H386" s="41"/>
      <c r="I386" s="91"/>
      <c r="J386" s="91"/>
      <c r="K386" s="91"/>
      <c r="L386" s="41"/>
      <c r="M386" s="41"/>
      <c r="N386" s="42"/>
      <c r="O386" s="42"/>
      <c r="P386" s="42"/>
      <c r="Q386" s="42"/>
      <c r="R386" s="42"/>
      <c r="S386" s="42"/>
      <c r="T386" s="42"/>
      <c r="U386" s="42"/>
      <c r="V386" s="42"/>
      <c r="W386" s="42"/>
      <c r="X386" s="42"/>
      <c r="Y386" s="42"/>
      <c r="Z386" s="42"/>
      <c r="AA386" s="42"/>
      <c r="AB386" s="42"/>
      <c r="AC386" s="42"/>
    </row>
    <row r="387" spans="1:29" x14ac:dyDescent="0.25">
      <c r="A387" s="41"/>
      <c r="B387" s="42"/>
      <c r="C387" s="41"/>
      <c r="D387" s="42"/>
      <c r="E387" s="42"/>
      <c r="F387" s="35"/>
      <c r="G387" s="42"/>
      <c r="H387" s="41"/>
      <c r="I387" s="91"/>
      <c r="J387" s="91"/>
      <c r="K387" s="91"/>
      <c r="L387" s="41"/>
      <c r="M387" s="41"/>
      <c r="N387" s="42"/>
      <c r="O387" s="42"/>
      <c r="P387" s="42"/>
      <c r="Q387" s="42"/>
      <c r="R387" s="42"/>
      <c r="S387" s="42"/>
      <c r="T387" s="42"/>
      <c r="U387" s="42"/>
      <c r="V387" s="42"/>
      <c r="W387" s="42"/>
      <c r="X387" s="42"/>
      <c r="Y387" s="42"/>
      <c r="Z387" s="42"/>
      <c r="AA387" s="42"/>
      <c r="AB387" s="42"/>
      <c r="AC387" s="42"/>
    </row>
    <row r="388" spans="1:29" x14ac:dyDescent="0.25">
      <c r="A388" s="41"/>
      <c r="B388" s="42"/>
      <c r="C388" s="41"/>
      <c r="D388" s="42"/>
      <c r="E388" s="42"/>
      <c r="F388" s="35"/>
      <c r="G388" s="42"/>
      <c r="H388" s="41"/>
      <c r="I388" s="91"/>
      <c r="J388" s="91"/>
      <c r="K388" s="91"/>
      <c r="L388" s="41"/>
      <c r="M388" s="41"/>
      <c r="N388" s="42"/>
      <c r="O388" s="42"/>
      <c r="P388" s="42"/>
      <c r="Q388" s="42"/>
      <c r="R388" s="42"/>
      <c r="S388" s="42"/>
      <c r="T388" s="42"/>
      <c r="U388" s="42"/>
      <c r="V388" s="42"/>
      <c r="W388" s="42"/>
      <c r="X388" s="42"/>
      <c r="Y388" s="42"/>
      <c r="Z388" s="42"/>
      <c r="AA388" s="42"/>
      <c r="AB388" s="42"/>
      <c r="AC388" s="42"/>
    </row>
    <row r="389" spans="1:29" x14ac:dyDescent="0.25">
      <c r="A389" s="41"/>
      <c r="B389" s="42"/>
      <c r="C389" s="41"/>
      <c r="D389" s="42"/>
      <c r="E389" s="42"/>
      <c r="F389" s="35"/>
      <c r="G389" s="42"/>
      <c r="H389" s="41"/>
      <c r="I389" s="91"/>
      <c r="J389" s="91"/>
      <c r="K389" s="91"/>
      <c r="L389" s="41"/>
      <c r="M389" s="41"/>
      <c r="N389" s="42"/>
      <c r="O389" s="42"/>
      <c r="P389" s="42"/>
      <c r="Q389" s="42"/>
      <c r="R389" s="42"/>
      <c r="S389" s="42"/>
      <c r="T389" s="42"/>
      <c r="U389" s="42"/>
      <c r="V389" s="42"/>
      <c r="W389" s="42"/>
      <c r="X389" s="42"/>
      <c r="Y389" s="42"/>
      <c r="Z389" s="42"/>
      <c r="AA389" s="42"/>
      <c r="AB389" s="42"/>
      <c r="AC389" s="42"/>
    </row>
    <row r="390" spans="1:29" x14ac:dyDescent="0.25">
      <c r="A390" s="41"/>
      <c r="B390" s="42"/>
      <c r="C390" s="41"/>
      <c r="D390" s="42"/>
      <c r="E390" s="42"/>
      <c r="F390" s="35"/>
      <c r="G390" s="42"/>
      <c r="H390" s="41"/>
      <c r="I390" s="91"/>
      <c r="J390" s="91"/>
      <c r="K390" s="91"/>
      <c r="L390" s="41"/>
      <c r="M390" s="41"/>
      <c r="N390" s="42"/>
      <c r="O390" s="42"/>
      <c r="P390" s="42"/>
      <c r="Q390" s="42"/>
      <c r="R390" s="42"/>
      <c r="S390" s="42"/>
      <c r="T390" s="42"/>
      <c r="U390" s="42"/>
      <c r="V390" s="42"/>
      <c r="W390" s="42"/>
      <c r="X390" s="42"/>
      <c r="Y390" s="42"/>
      <c r="Z390" s="42"/>
      <c r="AA390" s="42"/>
      <c r="AB390" s="42"/>
      <c r="AC390" s="42"/>
    </row>
    <row r="391" spans="1:29" x14ac:dyDescent="0.25">
      <c r="A391" s="41"/>
      <c r="B391" s="42"/>
      <c r="C391" s="41"/>
      <c r="D391" s="42"/>
      <c r="E391" s="42"/>
      <c r="F391" s="35"/>
      <c r="G391" s="42"/>
      <c r="H391" s="41"/>
      <c r="I391" s="91"/>
      <c r="J391" s="91"/>
      <c r="K391" s="91"/>
      <c r="L391" s="41"/>
      <c r="M391" s="41"/>
      <c r="N391" s="42"/>
      <c r="O391" s="42"/>
      <c r="P391" s="42"/>
      <c r="Q391" s="42"/>
      <c r="R391" s="42"/>
      <c r="S391" s="42"/>
      <c r="T391" s="42"/>
      <c r="U391" s="42"/>
      <c r="V391" s="42"/>
      <c r="W391" s="42"/>
      <c r="X391" s="42"/>
      <c r="Y391" s="42"/>
      <c r="Z391" s="42"/>
      <c r="AA391" s="42"/>
      <c r="AB391" s="42"/>
      <c r="AC391" s="42"/>
    </row>
    <row r="392" spans="1:29" x14ac:dyDescent="0.25">
      <c r="A392" s="41"/>
      <c r="B392" s="42"/>
      <c r="C392" s="41"/>
      <c r="D392" s="42"/>
      <c r="E392" s="42"/>
      <c r="F392" s="35"/>
      <c r="G392" s="42"/>
      <c r="H392" s="41"/>
      <c r="I392" s="91"/>
      <c r="J392" s="91"/>
      <c r="K392" s="91"/>
      <c r="L392" s="41"/>
      <c r="M392" s="41"/>
      <c r="N392" s="42"/>
      <c r="O392" s="42"/>
      <c r="P392" s="42"/>
      <c r="Q392" s="42"/>
      <c r="R392" s="42"/>
      <c r="S392" s="42"/>
      <c r="T392" s="42"/>
      <c r="U392" s="42"/>
      <c r="V392" s="42"/>
      <c r="W392" s="42"/>
      <c r="X392" s="42"/>
      <c r="Y392" s="42"/>
      <c r="Z392" s="42"/>
      <c r="AA392" s="42"/>
      <c r="AB392" s="42"/>
      <c r="AC392" s="42"/>
    </row>
    <row r="393" spans="1:29" x14ac:dyDescent="0.25">
      <c r="A393" s="41"/>
      <c r="B393" s="42"/>
      <c r="C393" s="41"/>
      <c r="D393" s="42"/>
      <c r="E393" s="42"/>
      <c r="F393" s="35"/>
      <c r="G393" s="42"/>
      <c r="H393" s="41"/>
      <c r="I393" s="91"/>
      <c r="J393" s="91"/>
      <c r="K393" s="91"/>
      <c r="L393" s="41"/>
      <c r="M393" s="41"/>
      <c r="N393" s="42"/>
      <c r="O393" s="42"/>
      <c r="P393" s="42"/>
      <c r="Q393" s="42"/>
      <c r="R393" s="42"/>
      <c r="S393" s="42"/>
      <c r="T393" s="42"/>
      <c r="U393" s="42"/>
      <c r="V393" s="42"/>
      <c r="W393" s="42"/>
      <c r="X393" s="42"/>
      <c r="Y393" s="42"/>
      <c r="Z393" s="42"/>
      <c r="AA393" s="42"/>
      <c r="AB393" s="42"/>
      <c r="AC393" s="42"/>
    </row>
    <row r="394" spans="1:29" x14ac:dyDescent="0.25">
      <c r="A394" s="41"/>
      <c r="B394" s="42"/>
      <c r="C394" s="41"/>
      <c r="D394" s="42"/>
      <c r="E394" s="42"/>
      <c r="F394" s="35"/>
      <c r="G394" s="42"/>
      <c r="H394" s="41"/>
      <c r="I394" s="91"/>
      <c r="J394" s="91"/>
      <c r="K394" s="91"/>
      <c r="L394" s="41"/>
      <c r="M394" s="41"/>
      <c r="N394" s="42"/>
      <c r="O394" s="42"/>
      <c r="P394" s="42"/>
      <c r="Q394" s="42"/>
      <c r="R394" s="42"/>
      <c r="S394" s="42"/>
      <c r="T394" s="42"/>
      <c r="U394" s="42"/>
      <c r="V394" s="42"/>
      <c r="W394" s="42"/>
      <c r="X394" s="42"/>
      <c r="Y394" s="42"/>
      <c r="Z394" s="42"/>
      <c r="AA394" s="42"/>
      <c r="AB394" s="42"/>
      <c r="AC394" s="42"/>
    </row>
    <row r="395" spans="1:29" x14ac:dyDescent="0.25">
      <c r="A395" s="41"/>
      <c r="B395" s="42"/>
      <c r="C395" s="41"/>
      <c r="D395" s="42"/>
      <c r="E395" s="42"/>
      <c r="F395" s="35"/>
      <c r="G395" s="42"/>
      <c r="H395" s="41"/>
      <c r="I395" s="91"/>
      <c r="J395" s="91"/>
      <c r="K395" s="91"/>
      <c r="L395" s="41"/>
      <c r="M395" s="41"/>
      <c r="N395" s="42"/>
      <c r="O395" s="42"/>
      <c r="P395" s="42"/>
      <c r="Q395" s="42"/>
      <c r="R395" s="42"/>
      <c r="S395" s="42"/>
      <c r="T395" s="42"/>
      <c r="U395" s="42"/>
      <c r="V395" s="42"/>
      <c r="W395" s="42"/>
      <c r="X395" s="42"/>
      <c r="Y395" s="42"/>
      <c r="Z395" s="42"/>
      <c r="AA395" s="42"/>
      <c r="AB395" s="42"/>
      <c r="AC395" s="42"/>
    </row>
    <row r="396" spans="1:29" x14ac:dyDescent="0.25">
      <c r="A396" s="41"/>
      <c r="B396" s="42"/>
      <c r="C396" s="41"/>
      <c r="D396" s="42"/>
      <c r="E396" s="42"/>
      <c r="F396" s="35"/>
      <c r="G396" s="42"/>
      <c r="H396" s="41"/>
      <c r="I396" s="91"/>
      <c r="J396" s="91"/>
      <c r="K396" s="91"/>
      <c r="L396" s="41"/>
      <c r="M396" s="41"/>
      <c r="N396" s="42"/>
      <c r="O396" s="42"/>
      <c r="P396" s="42"/>
      <c r="Q396" s="42"/>
      <c r="R396" s="42"/>
      <c r="S396" s="42"/>
      <c r="T396" s="42"/>
      <c r="U396" s="42"/>
      <c r="V396" s="42"/>
      <c r="W396" s="42"/>
      <c r="X396" s="42"/>
      <c r="Y396" s="42"/>
      <c r="Z396" s="42"/>
      <c r="AA396" s="42"/>
      <c r="AB396" s="42"/>
      <c r="AC396" s="42"/>
    </row>
    <row r="397" spans="1:29" x14ac:dyDescent="0.25">
      <c r="A397" s="41"/>
      <c r="B397" s="42"/>
      <c r="C397" s="41"/>
      <c r="D397" s="42"/>
      <c r="E397" s="42"/>
      <c r="F397" s="35"/>
      <c r="G397" s="42"/>
      <c r="H397" s="41"/>
      <c r="I397" s="91"/>
      <c r="J397" s="91"/>
      <c r="K397" s="91"/>
      <c r="L397" s="41"/>
      <c r="M397" s="41"/>
      <c r="N397" s="42"/>
      <c r="O397" s="42"/>
      <c r="P397" s="42"/>
      <c r="Q397" s="42"/>
      <c r="R397" s="42"/>
      <c r="S397" s="42"/>
      <c r="T397" s="42"/>
      <c r="U397" s="42"/>
      <c r="V397" s="42"/>
      <c r="W397" s="42"/>
      <c r="X397" s="42"/>
      <c r="Y397" s="42"/>
      <c r="Z397" s="42"/>
      <c r="AA397" s="42"/>
      <c r="AB397" s="42"/>
      <c r="AC397" s="42"/>
    </row>
    <row r="398" spans="1:29" x14ac:dyDescent="0.25">
      <c r="A398" s="41"/>
      <c r="B398" s="42"/>
      <c r="C398" s="41"/>
      <c r="D398" s="42"/>
      <c r="E398" s="42"/>
      <c r="F398" s="35"/>
      <c r="G398" s="42"/>
      <c r="H398" s="41"/>
      <c r="I398" s="91"/>
      <c r="J398" s="91"/>
      <c r="K398" s="91"/>
      <c r="L398" s="41"/>
      <c r="M398" s="41"/>
      <c r="N398" s="42"/>
      <c r="O398" s="42"/>
      <c r="P398" s="42"/>
      <c r="Q398" s="42"/>
      <c r="R398" s="42"/>
      <c r="S398" s="42"/>
      <c r="T398" s="42"/>
      <c r="U398" s="42"/>
      <c r="V398" s="42"/>
      <c r="W398" s="42"/>
      <c r="X398" s="42"/>
      <c r="Y398" s="42"/>
      <c r="Z398" s="42"/>
      <c r="AA398" s="42"/>
      <c r="AB398" s="42"/>
      <c r="AC398" s="42"/>
    </row>
    <row r="399" spans="1:29" x14ac:dyDescent="0.25">
      <c r="A399" s="41"/>
      <c r="B399" s="42"/>
      <c r="C399" s="41"/>
      <c r="D399" s="42"/>
      <c r="E399" s="42"/>
      <c r="F399" s="35"/>
      <c r="G399" s="42"/>
      <c r="H399" s="41"/>
      <c r="I399" s="91"/>
      <c r="J399" s="91"/>
      <c r="K399" s="91"/>
      <c r="L399" s="41"/>
      <c r="M399" s="41"/>
      <c r="N399" s="42"/>
      <c r="O399" s="42"/>
      <c r="P399" s="42"/>
      <c r="Q399" s="42"/>
      <c r="R399" s="42"/>
      <c r="S399" s="42"/>
      <c r="T399" s="42"/>
      <c r="U399" s="42"/>
      <c r="V399" s="42"/>
      <c r="W399" s="42"/>
      <c r="X399" s="42"/>
      <c r="Y399" s="42"/>
      <c r="Z399" s="42"/>
      <c r="AA399" s="42"/>
      <c r="AB399" s="42"/>
      <c r="AC399" s="42"/>
    </row>
    <row r="400" spans="1:29" x14ac:dyDescent="0.25">
      <c r="A400" s="41"/>
      <c r="B400" s="42"/>
      <c r="C400" s="41"/>
      <c r="D400" s="42"/>
      <c r="E400" s="42"/>
      <c r="F400" s="35"/>
      <c r="G400" s="42"/>
      <c r="H400" s="41"/>
      <c r="I400" s="91"/>
      <c r="J400" s="91"/>
      <c r="K400" s="91"/>
      <c r="L400" s="41"/>
      <c r="M400" s="41"/>
      <c r="N400" s="42"/>
      <c r="O400" s="42"/>
      <c r="P400" s="42"/>
      <c r="Q400" s="42"/>
      <c r="R400" s="42"/>
      <c r="S400" s="42"/>
      <c r="T400" s="42"/>
      <c r="U400" s="42"/>
      <c r="V400" s="42"/>
      <c r="W400" s="42"/>
      <c r="X400" s="42"/>
      <c r="Y400" s="42"/>
      <c r="Z400" s="42"/>
      <c r="AA400" s="42"/>
      <c r="AB400" s="42"/>
      <c r="AC400" s="42"/>
    </row>
    <row r="401" spans="1:29" x14ac:dyDescent="0.25">
      <c r="A401" s="41"/>
      <c r="B401" s="42"/>
      <c r="C401" s="41"/>
      <c r="D401" s="42"/>
      <c r="E401" s="42"/>
      <c r="F401" s="35"/>
      <c r="G401" s="42"/>
      <c r="H401" s="41"/>
      <c r="I401" s="91"/>
      <c r="J401" s="91"/>
      <c r="K401" s="91"/>
      <c r="L401" s="41"/>
      <c r="M401" s="41"/>
      <c r="N401" s="42"/>
      <c r="O401" s="42"/>
      <c r="P401" s="42"/>
      <c r="Q401" s="42"/>
      <c r="R401" s="42"/>
      <c r="S401" s="42"/>
      <c r="T401" s="42"/>
      <c r="U401" s="42"/>
      <c r="V401" s="42"/>
      <c r="W401" s="42"/>
      <c r="X401" s="42"/>
      <c r="Y401" s="42"/>
      <c r="Z401" s="42"/>
      <c r="AA401" s="42"/>
      <c r="AB401" s="42"/>
      <c r="AC401" s="42"/>
    </row>
    <row r="402" spans="1:29" x14ac:dyDescent="0.25">
      <c r="A402" s="41"/>
      <c r="B402" s="42"/>
      <c r="C402" s="41"/>
      <c r="D402" s="42"/>
      <c r="E402" s="42"/>
      <c r="F402" s="35"/>
      <c r="G402" s="42"/>
      <c r="H402" s="41"/>
      <c r="I402" s="91"/>
      <c r="J402" s="91"/>
      <c r="K402" s="91"/>
      <c r="L402" s="41"/>
      <c r="M402" s="41"/>
      <c r="N402" s="42"/>
      <c r="O402" s="42"/>
      <c r="P402" s="42"/>
      <c r="Q402" s="42"/>
      <c r="R402" s="42"/>
      <c r="S402" s="42"/>
      <c r="T402" s="42"/>
      <c r="U402" s="42"/>
      <c r="V402" s="42"/>
      <c r="W402" s="42"/>
      <c r="X402" s="42"/>
      <c r="Y402" s="42"/>
      <c r="Z402" s="42"/>
      <c r="AA402" s="42"/>
      <c r="AB402" s="42"/>
      <c r="AC402" s="42"/>
    </row>
    <row r="403" spans="1:29" x14ac:dyDescent="0.25">
      <c r="A403" s="41"/>
      <c r="B403" s="42"/>
      <c r="C403" s="41"/>
      <c r="D403" s="42"/>
      <c r="E403" s="42"/>
      <c r="F403" s="35"/>
      <c r="G403" s="42"/>
      <c r="H403" s="41"/>
      <c r="I403" s="91"/>
      <c r="J403" s="91"/>
      <c r="K403" s="91"/>
      <c r="L403" s="41"/>
      <c r="M403" s="41"/>
      <c r="N403" s="42"/>
      <c r="O403" s="42"/>
      <c r="P403" s="42"/>
      <c r="Q403" s="42"/>
      <c r="R403" s="42"/>
      <c r="S403" s="42"/>
      <c r="T403" s="42"/>
      <c r="U403" s="42"/>
      <c r="V403" s="42"/>
      <c r="W403" s="42"/>
      <c r="X403" s="42"/>
      <c r="Y403" s="42"/>
      <c r="Z403" s="42"/>
      <c r="AA403" s="42"/>
      <c r="AB403" s="42"/>
      <c r="AC403" s="42"/>
    </row>
    <row r="404" spans="1:29" x14ac:dyDescent="0.25">
      <c r="A404" s="41"/>
      <c r="B404" s="42"/>
      <c r="C404" s="41"/>
      <c r="D404" s="42"/>
      <c r="E404" s="42"/>
      <c r="F404" s="35"/>
      <c r="G404" s="42"/>
      <c r="H404" s="41"/>
      <c r="I404" s="91"/>
      <c r="J404" s="91"/>
      <c r="K404" s="91"/>
      <c r="L404" s="41"/>
      <c r="M404" s="41"/>
      <c r="N404" s="42"/>
      <c r="O404" s="42"/>
      <c r="P404" s="42"/>
      <c r="Q404" s="42"/>
      <c r="R404" s="42"/>
      <c r="S404" s="42"/>
      <c r="T404" s="42"/>
      <c r="U404" s="42"/>
      <c r="V404" s="42"/>
      <c r="W404" s="42"/>
      <c r="X404" s="42"/>
      <c r="Y404" s="42"/>
      <c r="Z404" s="42"/>
      <c r="AA404" s="42"/>
      <c r="AB404" s="42"/>
      <c r="AC404" s="42"/>
    </row>
    <row r="405" spans="1:29" x14ac:dyDescent="0.25">
      <c r="A405" s="41"/>
      <c r="B405" s="42"/>
      <c r="C405" s="41"/>
      <c r="D405" s="42"/>
      <c r="E405" s="42"/>
      <c r="F405" s="35"/>
      <c r="G405" s="42"/>
      <c r="H405" s="41"/>
      <c r="I405" s="91"/>
      <c r="J405" s="91"/>
      <c r="K405" s="91"/>
      <c r="L405" s="41"/>
      <c r="M405" s="41"/>
      <c r="N405" s="42"/>
      <c r="O405" s="42"/>
      <c r="P405" s="42"/>
      <c r="Q405" s="42"/>
      <c r="R405" s="42"/>
      <c r="S405" s="42"/>
      <c r="T405" s="42"/>
      <c r="U405" s="42"/>
      <c r="V405" s="42"/>
      <c r="W405" s="42"/>
      <c r="X405" s="42"/>
      <c r="Y405" s="42"/>
      <c r="Z405" s="42"/>
      <c r="AA405" s="42"/>
      <c r="AB405" s="42"/>
      <c r="AC405" s="42"/>
    </row>
    <row r="406" spans="1:29" x14ac:dyDescent="0.25">
      <c r="A406" s="41"/>
      <c r="B406" s="42"/>
      <c r="C406" s="41"/>
      <c r="D406" s="42"/>
      <c r="E406" s="42"/>
      <c r="F406" s="35"/>
      <c r="G406" s="42"/>
      <c r="H406" s="41"/>
      <c r="I406" s="91"/>
      <c r="J406" s="91"/>
      <c r="K406" s="91"/>
      <c r="L406" s="41"/>
      <c r="M406" s="41"/>
      <c r="N406" s="42"/>
      <c r="O406" s="42"/>
      <c r="P406" s="42"/>
      <c r="Q406" s="42"/>
      <c r="R406" s="42"/>
      <c r="S406" s="42"/>
      <c r="T406" s="42"/>
      <c r="U406" s="42"/>
      <c r="V406" s="42"/>
      <c r="W406" s="42"/>
      <c r="X406" s="42"/>
      <c r="Y406" s="42"/>
      <c r="Z406" s="42"/>
      <c r="AA406" s="42"/>
      <c r="AB406" s="42"/>
      <c r="AC406" s="42"/>
    </row>
    <row r="407" spans="1:29" x14ac:dyDescent="0.25">
      <c r="A407" s="41"/>
      <c r="B407" s="42"/>
      <c r="C407" s="41"/>
      <c r="D407" s="42"/>
      <c r="E407" s="42"/>
      <c r="F407" s="35"/>
      <c r="G407" s="42"/>
      <c r="H407" s="41"/>
      <c r="I407" s="91"/>
      <c r="J407" s="91"/>
      <c r="K407" s="91"/>
      <c r="L407" s="41"/>
      <c r="M407" s="41"/>
      <c r="N407" s="42"/>
      <c r="O407" s="42"/>
      <c r="P407" s="42"/>
      <c r="Q407" s="42"/>
      <c r="R407" s="42"/>
      <c r="S407" s="42"/>
      <c r="T407" s="42"/>
      <c r="U407" s="42"/>
      <c r="V407" s="42"/>
      <c r="W407" s="42"/>
      <c r="X407" s="42"/>
      <c r="Y407" s="42"/>
      <c r="Z407" s="42"/>
      <c r="AA407" s="42"/>
      <c r="AB407" s="42"/>
      <c r="AC407" s="42"/>
    </row>
    <row r="408" spans="1:29" x14ac:dyDescent="0.25">
      <c r="A408" s="41"/>
      <c r="B408" s="42"/>
      <c r="C408" s="41"/>
      <c r="D408" s="42"/>
      <c r="E408" s="42"/>
      <c r="F408" s="35"/>
      <c r="G408" s="42"/>
      <c r="H408" s="41"/>
      <c r="I408" s="91"/>
      <c r="J408" s="91"/>
      <c r="K408" s="91"/>
      <c r="L408" s="41"/>
      <c r="M408" s="41"/>
      <c r="N408" s="42"/>
      <c r="O408" s="42"/>
      <c r="P408" s="42"/>
      <c r="Q408" s="42"/>
      <c r="R408" s="42"/>
      <c r="S408" s="42"/>
      <c r="T408" s="42"/>
      <c r="U408" s="42"/>
      <c r="V408" s="42"/>
      <c r="W408" s="42"/>
      <c r="X408" s="42"/>
      <c r="Y408" s="42"/>
      <c r="Z408" s="42"/>
      <c r="AA408" s="42"/>
      <c r="AB408" s="42"/>
      <c r="AC408" s="42"/>
    </row>
    <row r="409" spans="1:29" x14ac:dyDescent="0.25">
      <c r="A409" s="41"/>
      <c r="B409" s="42"/>
      <c r="C409" s="41"/>
      <c r="D409" s="42"/>
      <c r="E409" s="42"/>
      <c r="F409" s="35"/>
      <c r="G409" s="42"/>
      <c r="H409" s="41"/>
      <c r="I409" s="91"/>
      <c r="J409" s="91"/>
      <c r="K409" s="91"/>
      <c r="L409" s="41"/>
      <c r="M409" s="41"/>
      <c r="N409" s="42"/>
      <c r="O409" s="42"/>
      <c r="P409" s="42"/>
      <c r="Q409" s="42"/>
      <c r="R409" s="42"/>
      <c r="S409" s="42"/>
      <c r="T409" s="42"/>
      <c r="U409" s="42"/>
      <c r="V409" s="42"/>
      <c r="W409" s="42"/>
      <c r="X409" s="42"/>
      <c r="Y409" s="42"/>
      <c r="Z409" s="42"/>
      <c r="AA409" s="42"/>
      <c r="AB409" s="42"/>
      <c r="AC409" s="42"/>
    </row>
    <row r="410" spans="1:29" x14ac:dyDescent="0.25">
      <c r="A410" s="41"/>
      <c r="B410" s="42"/>
      <c r="C410" s="41"/>
      <c r="D410" s="42"/>
      <c r="E410" s="42"/>
      <c r="F410" s="35"/>
      <c r="G410" s="42"/>
      <c r="H410" s="41"/>
      <c r="I410" s="91"/>
      <c r="J410" s="91"/>
      <c r="K410" s="91"/>
      <c r="L410" s="41"/>
      <c r="M410" s="41"/>
      <c r="N410" s="42"/>
      <c r="O410" s="42"/>
      <c r="P410" s="42"/>
      <c r="Q410" s="42"/>
      <c r="R410" s="42"/>
      <c r="S410" s="42"/>
      <c r="T410" s="42"/>
      <c r="U410" s="42"/>
      <c r="V410" s="42"/>
      <c r="W410" s="42"/>
      <c r="X410" s="42"/>
      <c r="Y410" s="42"/>
      <c r="Z410" s="42"/>
      <c r="AA410" s="42"/>
      <c r="AB410" s="42"/>
      <c r="AC410" s="42"/>
    </row>
    <row r="411" spans="1:29" x14ac:dyDescent="0.25">
      <c r="A411" s="41"/>
      <c r="B411" s="42"/>
      <c r="C411" s="41"/>
      <c r="D411" s="42"/>
      <c r="E411" s="42"/>
      <c r="F411" s="35"/>
      <c r="G411" s="42"/>
      <c r="H411" s="41"/>
      <c r="I411" s="91"/>
      <c r="J411" s="91"/>
      <c r="K411" s="91"/>
      <c r="L411" s="41"/>
      <c r="M411" s="41"/>
      <c r="N411" s="42"/>
      <c r="O411" s="42"/>
      <c r="P411" s="42"/>
      <c r="Q411" s="42"/>
      <c r="R411" s="42"/>
      <c r="S411" s="42"/>
      <c r="T411" s="42"/>
      <c r="U411" s="42"/>
      <c r="V411" s="42"/>
      <c r="W411" s="42"/>
      <c r="X411" s="42"/>
      <c r="Y411" s="42"/>
      <c r="Z411" s="42"/>
      <c r="AA411" s="42"/>
      <c r="AB411" s="42"/>
      <c r="AC411" s="42"/>
    </row>
    <row r="412" spans="1:29" x14ac:dyDescent="0.25">
      <c r="A412" s="41"/>
      <c r="B412" s="42"/>
      <c r="C412" s="41"/>
      <c r="D412" s="42"/>
      <c r="E412" s="42"/>
      <c r="F412" s="35"/>
      <c r="G412" s="42"/>
      <c r="H412" s="41"/>
      <c r="I412" s="91"/>
      <c r="J412" s="91"/>
      <c r="K412" s="91"/>
      <c r="L412" s="41"/>
      <c r="M412" s="41"/>
      <c r="N412" s="42"/>
      <c r="O412" s="42"/>
      <c r="P412" s="42"/>
      <c r="Q412" s="42"/>
      <c r="R412" s="42"/>
      <c r="S412" s="42"/>
      <c r="T412" s="42"/>
      <c r="U412" s="42"/>
      <c r="V412" s="42"/>
      <c r="W412" s="42"/>
      <c r="X412" s="42"/>
      <c r="Y412" s="42"/>
      <c r="Z412" s="42"/>
      <c r="AA412" s="42"/>
      <c r="AB412" s="42"/>
      <c r="AC412" s="42"/>
    </row>
    <row r="413" spans="1:29" x14ac:dyDescent="0.25">
      <c r="A413" s="41"/>
      <c r="B413" s="42"/>
      <c r="C413" s="41"/>
      <c r="D413" s="42"/>
      <c r="E413" s="42"/>
      <c r="F413" s="35"/>
      <c r="G413" s="42"/>
      <c r="H413" s="41"/>
      <c r="I413" s="91"/>
      <c r="J413" s="91"/>
      <c r="K413" s="91"/>
      <c r="L413" s="41"/>
      <c r="M413" s="41"/>
      <c r="N413" s="42"/>
      <c r="O413" s="42"/>
      <c r="P413" s="42"/>
      <c r="Q413" s="42"/>
      <c r="R413" s="42"/>
      <c r="S413" s="42"/>
      <c r="T413" s="42"/>
      <c r="U413" s="42"/>
      <c r="V413" s="42"/>
      <c r="W413" s="42"/>
      <c r="X413" s="42"/>
      <c r="Y413" s="42"/>
      <c r="Z413" s="42"/>
      <c r="AA413" s="42"/>
      <c r="AB413" s="42"/>
      <c r="AC413" s="42"/>
    </row>
    <row r="414" spans="1:29" x14ac:dyDescent="0.25">
      <c r="A414" s="41"/>
      <c r="B414" s="42"/>
      <c r="C414" s="41"/>
      <c r="D414" s="42"/>
      <c r="E414" s="42"/>
      <c r="F414" s="35"/>
      <c r="G414" s="42"/>
      <c r="H414" s="41"/>
      <c r="I414" s="91"/>
      <c r="J414" s="91"/>
      <c r="K414" s="91"/>
      <c r="L414" s="41"/>
      <c r="M414" s="41"/>
      <c r="N414" s="42"/>
      <c r="O414" s="42"/>
      <c r="P414" s="42"/>
      <c r="Q414" s="42"/>
      <c r="R414" s="42"/>
      <c r="S414" s="42"/>
      <c r="T414" s="42"/>
      <c r="U414" s="42"/>
      <c r="V414" s="42"/>
      <c r="W414" s="42"/>
      <c r="X414" s="42"/>
      <c r="Y414" s="42"/>
      <c r="Z414" s="42"/>
      <c r="AA414" s="42"/>
      <c r="AB414" s="42"/>
      <c r="AC414" s="42"/>
    </row>
    <row r="415" spans="1:29" x14ac:dyDescent="0.25">
      <c r="A415" s="41"/>
      <c r="B415" s="42"/>
      <c r="C415" s="41"/>
      <c r="D415" s="42"/>
      <c r="E415" s="42"/>
      <c r="F415" s="35"/>
      <c r="G415" s="42"/>
      <c r="H415" s="41"/>
      <c r="I415" s="91"/>
      <c r="J415" s="91"/>
      <c r="K415" s="91"/>
      <c r="L415" s="41"/>
      <c r="M415" s="41"/>
      <c r="N415" s="42"/>
      <c r="O415" s="42"/>
      <c r="P415" s="42"/>
      <c r="Q415" s="42"/>
      <c r="R415" s="42"/>
      <c r="S415" s="42"/>
      <c r="T415" s="42"/>
      <c r="U415" s="42"/>
      <c r="V415" s="42"/>
      <c r="W415" s="42"/>
      <c r="X415" s="42"/>
      <c r="Y415" s="42"/>
      <c r="Z415" s="42"/>
      <c r="AA415" s="42"/>
      <c r="AB415" s="42"/>
      <c r="AC415" s="42"/>
    </row>
    <row r="416" spans="1:29" x14ac:dyDescent="0.25">
      <c r="A416" s="41"/>
      <c r="B416" s="42"/>
      <c r="C416" s="41"/>
      <c r="D416" s="42"/>
      <c r="E416" s="42"/>
      <c r="F416" s="35"/>
      <c r="G416" s="42"/>
      <c r="H416" s="41"/>
      <c r="I416" s="91"/>
      <c r="J416" s="91"/>
      <c r="K416" s="91"/>
      <c r="L416" s="41"/>
      <c r="M416" s="41"/>
      <c r="N416" s="42"/>
      <c r="O416" s="42"/>
      <c r="P416" s="42"/>
      <c r="Q416" s="42"/>
      <c r="R416" s="42"/>
      <c r="S416" s="42"/>
      <c r="T416" s="42"/>
      <c r="U416" s="42"/>
      <c r="V416" s="42"/>
      <c r="W416" s="42"/>
      <c r="X416" s="42"/>
      <c r="Y416" s="42"/>
      <c r="Z416" s="42"/>
      <c r="AA416" s="42"/>
      <c r="AB416" s="42"/>
      <c r="AC416" s="42"/>
    </row>
    <row r="417" spans="1:29" x14ac:dyDescent="0.25">
      <c r="A417" s="41"/>
      <c r="B417" s="42"/>
      <c r="C417" s="41"/>
      <c r="D417" s="42"/>
      <c r="E417" s="42"/>
      <c r="F417" s="35"/>
      <c r="G417" s="42"/>
      <c r="H417" s="41"/>
      <c r="I417" s="91"/>
      <c r="J417" s="91"/>
      <c r="K417" s="91"/>
      <c r="L417" s="41"/>
      <c r="M417" s="41"/>
      <c r="N417" s="42"/>
      <c r="O417" s="42"/>
      <c r="P417" s="42"/>
      <c r="Q417" s="42"/>
      <c r="R417" s="42"/>
      <c r="S417" s="42"/>
      <c r="T417" s="42"/>
      <c r="U417" s="42"/>
      <c r="V417" s="42"/>
      <c r="W417" s="42"/>
      <c r="X417" s="42"/>
      <c r="Y417" s="42"/>
      <c r="Z417" s="42"/>
      <c r="AA417" s="42"/>
      <c r="AB417" s="42"/>
      <c r="AC417" s="42"/>
    </row>
    <row r="418" spans="1:29" x14ac:dyDescent="0.25">
      <c r="A418" s="41"/>
      <c r="B418" s="42"/>
      <c r="C418" s="41"/>
      <c r="D418" s="42"/>
      <c r="E418" s="42"/>
      <c r="F418" s="35"/>
      <c r="G418" s="42"/>
      <c r="H418" s="41"/>
      <c r="I418" s="91"/>
      <c r="J418" s="91"/>
      <c r="K418" s="91"/>
      <c r="L418" s="41"/>
      <c r="M418" s="41"/>
      <c r="N418" s="42"/>
      <c r="O418" s="42"/>
      <c r="P418" s="42"/>
      <c r="Q418" s="42"/>
      <c r="R418" s="42"/>
      <c r="S418" s="42"/>
      <c r="T418" s="42"/>
      <c r="U418" s="42"/>
      <c r="V418" s="42"/>
      <c r="W418" s="42"/>
      <c r="X418" s="42"/>
      <c r="Y418" s="42"/>
      <c r="Z418" s="42"/>
      <c r="AA418" s="42"/>
      <c r="AB418" s="42"/>
      <c r="AC418" s="42"/>
    </row>
    <row r="419" spans="1:29" x14ac:dyDescent="0.25">
      <c r="A419" s="41"/>
      <c r="B419" s="42"/>
      <c r="C419" s="41"/>
      <c r="D419" s="42"/>
      <c r="E419" s="42"/>
      <c r="F419" s="35"/>
      <c r="G419" s="42"/>
      <c r="H419" s="41"/>
      <c r="I419" s="91"/>
      <c r="J419" s="91"/>
      <c r="K419" s="91"/>
      <c r="L419" s="41"/>
      <c r="M419" s="41"/>
      <c r="N419" s="42"/>
      <c r="O419" s="42"/>
      <c r="P419" s="42"/>
      <c r="Q419" s="42"/>
      <c r="R419" s="42"/>
      <c r="S419" s="42"/>
      <c r="T419" s="42"/>
      <c r="U419" s="42"/>
      <c r="V419" s="42"/>
      <c r="W419" s="42"/>
      <c r="X419" s="42"/>
      <c r="Y419" s="42"/>
      <c r="Z419" s="42"/>
      <c r="AA419" s="42"/>
      <c r="AB419" s="42"/>
      <c r="AC419" s="42"/>
    </row>
    <row r="420" spans="1:29" x14ac:dyDescent="0.25">
      <c r="A420" s="41"/>
      <c r="B420" s="42"/>
      <c r="C420" s="41"/>
      <c r="D420" s="42"/>
      <c r="E420" s="42"/>
      <c r="F420" s="35"/>
      <c r="G420" s="42"/>
      <c r="H420" s="41"/>
      <c r="I420" s="91"/>
      <c r="J420" s="91"/>
      <c r="K420" s="91"/>
      <c r="L420" s="41"/>
      <c r="M420" s="41"/>
      <c r="N420" s="42"/>
      <c r="O420" s="42"/>
      <c r="P420" s="42"/>
      <c r="Q420" s="42"/>
      <c r="R420" s="42"/>
      <c r="S420" s="42"/>
      <c r="T420" s="42"/>
      <c r="U420" s="42"/>
      <c r="V420" s="42"/>
      <c r="W420" s="42"/>
      <c r="X420" s="42"/>
      <c r="Y420" s="42"/>
      <c r="Z420" s="42"/>
      <c r="AA420" s="42"/>
      <c r="AB420" s="42"/>
      <c r="AC420" s="42"/>
    </row>
    <row r="421" spans="1:29" x14ac:dyDescent="0.25">
      <c r="A421" s="41"/>
      <c r="B421" s="42"/>
      <c r="C421" s="41"/>
      <c r="D421" s="42"/>
      <c r="E421" s="42"/>
      <c r="F421" s="35"/>
      <c r="G421" s="42"/>
      <c r="H421" s="41"/>
      <c r="I421" s="91"/>
      <c r="J421" s="91"/>
      <c r="K421" s="91"/>
      <c r="L421" s="41"/>
      <c r="M421" s="41"/>
      <c r="N421" s="42"/>
      <c r="O421" s="42"/>
      <c r="P421" s="42"/>
      <c r="Q421" s="42"/>
      <c r="R421" s="42"/>
      <c r="S421" s="42"/>
      <c r="T421" s="42"/>
      <c r="U421" s="42"/>
      <c r="V421" s="42"/>
      <c r="W421" s="42"/>
      <c r="X421" s="42"/>
      <c r="Y421" s="42"/>
      <c r="Z421" s="42"/>
      <c r="AA421" s="42"/>
      <c r="AB421" s="42"/>
      <c r="AC421" s="42"/>
    </row>
    <row r="422" spans="1:29" x14ac:dyDescent="0.25">
      <c r="A422" s="41"/>
      <c r="B422" s="42"/>
      <c r="C422" s="41"/>
      <c r="D422" s="42"/>
      <c r="E422" s="42"/>
      <c r="F422" s="35"/>
      <c r="G422" s="42"/>
      <c r="H422" s="41"/>
      <c r="I422" s="91"/>
      <c r="J422" s="91"/>
      <c r="K422" s="91"/>
      <c r="L422" s="41"/>
      <c r="M422" s="41"/>
      <c r="N422" s="42"/>
      <c r="O422" s="42"/>
      <c r="P422" s="42"/>
      <c r="Q422" s="42"/>
      <c r="R422" s="42"/>
      <c r="S422" s="42"/>
      <c r="T422" s="42"/>
      <c r="U422" s="42"/>
      <c r="V422" s="42"/>
      <c r="W422" s="42"/>
      <c r="X422" s="42"/>
      <c r="Y422" s="42"/>
      <c r="Z422" s="42"/>
      <c r="AA422" s="42"/>
      <c r="AB422" s="42"/>
      <c r="AC422" s="42"/>
    </row>
    <row r="423" spans="1:29" x14ac:dyDescent="0.25">
      <c r="A423" s="41"/>
      <c r="B423" s="42"/>
      <c r="C423" s="41"/>
      <c r="D423" s="42"/>
      <c r="E423" s="42"/>
      <c r="F423" s="35"/>
      <c r="G423" s="42"/>
      <c r="H423" s="41"/>
      <c r="I423" s="91"/>
      <c r="J423" s="91"/>
      <c r="K423" s="91"/>
      <c r="L423" s="41"/>
      <c r="M423" s="41"/>
      <c r="N423" s="42"/>
      <c r="O423" s="42"/>
      <c r="P423" s="42"/>
      <c r="Q423" s="42"/>
      <c r="R423" s="42"/>
      <c r="S423" s="42"/>
      <c r="T423" s="42"/>
      <c r="U423" s="42"/>
      <c r="V423" s="42"/>
      <c r="W423" s="42"/>
      <c r="X423" s="42"/>
      <c r="Y423" s="42"/>
      <c r="Z423" s="42"/>
      <c r="AA423" s="42"/>
      <c r="AB423" s="42"/>
      <c r="AC423" s="42"/>
    </row>
    <row r="424" spans="1:29" x14ac:dyDescent="0.25">
      <c r="A424" s="41"/>
      <c r="B424" s="42"/>
      <c r="C424" s="41"/>
      <c r="D424" s="42"/>
      <c r="E424" s="42"/>
      <c r="F424" s="35"/>
      <c r="G424" s="42"/>
      <c r="H424" s="41"/>
      <c r="I424" s="91"/>
      <c r="J424" s="91"/>
      <c r="K424" s="91"/>
      <c r="L424" s="41"/>
      <c r="M424" s="41"/>
      <c r="N424" s="42"/>
      <c r="O424" s="42"/>
      <c r="P424" s="42"/>
      <c r="Q424" s="42"/>
      <c r="R424" s="42"/>
      <c r="S424" s="42"/>
      <c r="T424" s="42"/>
      <c r="U424" s="42"/>
      <c r="V424" s="42"/>
      <c r="W424" s="42"/>
      <c r="X424" s="42"/>
      <c r="Y424" s="42"/>
      <c r="Z424" s="42"/>
      <c r="AA424" s="42"/>
      <c r="AB424" s="42"/>
      <c r="AC424" s="42"/>
    </row>
    <row r="425" spans="1:29" x14ac:dyDescent="0.25">
      <c r="A425" s="41"/>
      <c r="B425" s="42"/>
      <c r="C425" s="41"/>
      <c r="D425" s="42"/>
      <c r="E425" s="42"/>
      <c r="F425" s="35"/>
      <c r="G425" s="42"/>
      <c r="H425" s="41"/>
      <c r="I425" s="91"/>
      <c r="J425" s="91"/>
      <c r="K425" s="91"/>
      <c r="L425" s="41"/>
      <c r="M425" s="41"/>
      <c r="N425" s="42"/>
      <c r="O425" s="42"/>
      <c r="P425" s="42"/>
      <c r="Q425" s="42"/>
      <c r="R425" s="42"/>
      <c r="S425" s="42"/>
      <c r="T425" s="42"/>
      <c r="U425" s="42"/>
      <c r="V425" s="42"/>
      <c r="W425" s="42"/>
      <c r="X425" s="42"/>
      <c r="Y425" s="42"/>
      <c r="Z425" s="42"/>
      <c r="AA425" s="42"/>
      <c r="AB425" s="42"/>
      <c r="AC425" s="42"/>
    </row>
    <row r="426" spans="1:29" x14ac:dyDescent="0.25">
      <c r="A426" s="41"/>
      <c r="B426" s="42"/>
      <c r="C426" s="41"/>
      <c r="D426" s="42"/>
      <c r="E426" s="42"/>
      <c r="F426" s="35"/>
      <c r="G426" s="42"/>
      <c r="H426" s="41"/>
      <c r="I426" s="91"/>
      <c r="J426" s="91"/>
      <c r="K426" s="91"/>
      <c r="L426" s="41"/>
      <c r="M426" s="41"/>
      <c r="N426" s="42"/>
      <c r="O426" s="42"/>
      <c r="P426" s="42"/>
      <c r="Q426" s="42"/>
      <c r="R426" s="42"/>
      <c r="S426" s="42"/>
      <c r="T426" s="42"/>
      <c r="U426" s="42"/>
      <c r="V426" s="42"/>
      <c r="W426" s="42"/>
      <c r="X426" s="42"/>
      <c r="Y426" s="42"/>
      <c r="Z426" s="42"/>
      <c r="AA426" s="42"/>
      <c r="AB426" s="42"/>
      <c r="AC426" s="42"/>
    </row>
    <row r="427" spans="1:29" x14ac:dyDescent="0.25">
      <c r="A427" s="41"/>
      <c r="B427" s="42"/>
      <c r="C427" s="41"/>
      <c r="D427" s="42"/>
      <c r="E427" s="42"/>
      <c r="F427" s="35"/>
      <c r="G427" s="42"/>
      <c r="H427" s="41"/>
      <c r="I427" s="91"/>
      <c r="J427" s="91"/>
      <c r="K427" s="91"/>
      <c r="L427" s="41"/>
      <c r="M427" s="41"/>
      <c r="N427" s="42"/>
      <c r="O427" s="42"/>
      <c r="P427" s="42"/>
      <c r="Q427" s="42"/>
      <c r="R427" s="42"/>
      <c r="S427" s="42"/>
      <c r="T427" s="42"/>
      <c r="U427" s="42"/>
      <c r="V427" s="42"/>
      <c r="W427" s="42"/>
      <c r="X427" s="42"/>
      <c r="Y427" s="42"/>
      <c r="Z427" s="42"/>
      <c r="AA427" s="42"/>
      <c r="AB427" s="42"/>
      <c r="AC427" s="42"/>
    </row>
    <row r="428" spans="1:29" x14ac:dyDescent="0.25">
      <c r="A428" s="41"/>
      <c r="B428" s="42"/>
      <c r="C428" s="41"/>
      <c r="D428" s="42"/>
      <c r="E428" s="42"/>
      <c r="F428" s="35"/>
      <c r="G428" s="42"/>
      <c r="H428" s="41"/>
      <c r="I428" s="91"/>
      <c r="J428" s="91"/>
      <c r="K428" s="91"/>
      <c r="L428" s="41"/>
      <c r="M428" s="41"/>
      <c r="N428" s="42"/>
      <c r="O428" s="42"/>
      <c r="P428" s="42"/>
      <c r="Q428" s="42"/>
      <c r="R428" s="42"/>
      <c r="S428" s="42"/>
      <c r="T428" s="42"/>
      <c r="U428" s="42"/>
      <c r="V428" s="42"/>
      <c r="W428" s="42"/>
      <c r="X428" s="42"/>
      <c r="Y428" s="42"/>
      <c r="Z428" s="42"/>
      <c r="AA428" s="42"/>
      <c r="AB428" s="42"/>
      <c r="AC428" s="42"/>
    </row>
    <row r="429" spans="1:29" x14ac:dyDescent="0.25">
      <c r="A429" s="41"/>
      <c r="B429" s="42"/>
      <c r="C429" s="41"/>
      <c r="D429" s="42"/>
      <c r="E429" s="42"/>
      <c r="F429" s="35"/>
      <c r="G429" s="42"/>
      <c r="H429" s="41"/>
      <c r="I429" s="91"/>
      <c r="J429" s="91"/>
      <c r="K429" s="91"/>
      <c r="L429" s="41"/>
      <c r="M429" s="41"/>
      <c r="N429" s="42"/>
      <c r="O429" s="42"/>
      <c r="P429" s="42"/>
      <c r="Q429" s="42"/>
      <c r="R429" s="42"/>
      <c r="S429" s="42"/>
      <c r="T429" s="42"/>
      <c r="U429" s="42"/>
      <c r="V429" s="42"/>
      <c r="W429" s="42"/>
      <c r="X429" s="42"/>
      <c r="Y429" s="42"/>
      <c r="Z429" s="42"/>
      <c r="AA429" s="42"/>
      <c r="AB429" s="42"/>
      <c r="AC429" s="42"/>
    </row>
    <row r="430" spans="1:29" x14ac:dyDescent="0.25">
      <c r="A430" s="41"/>
      <c r="B430" s="42"/>
      <c r="C430" s="41"/>
      <c r="D430" s="42"/>
      <c r="E430" s="42"/>
      <c r="F430" s="35"/>
      <c r="G430" s="42"/>
      <c r="H430" s="41"/>
      <c r="I430" s="91"/>
      <c r="J430" s="91"/>
      <c r="K430" s="91"/>
      <c r="L430" s="41"/>
      <c r="M430" s="41"/>
      <c r="N430" s="42"/>
      <c r="O430" s="42"/>
      <c r="P430" s="42"/>
      <c r="Q430" s="42"/>
      <c r="R430" s="42"/>
      <c r="S430" s="42"/>
      <c r="T430" s="42"/>
      <c r="U430" s="42"/>
      <c r="V430" s="42"/>
      <c r="W430" s="42"/>
      <c r="X430" s="42"/>
      <c r="Y430" s="42"/>
      <c r="Z430" s="42"/>
      <c r="AA430" s="42"/>
      <c r="AB430" s="42"/>
      <c r="AC430" s="42"/>
    </row>
    <row r="431" spans="1:29" x14ac:dyDescent="0.25">
      <c r="A431" s="41"/>
      <c r="B431" s="42"/>
      <c r="C431" s="41"/>
      <c r="D431" s="42"/>
      <c r="E431" s="42"/>
      <c r="F431" s="35"/>
      <c r="G431" s="42"/>
      <c r="H431" s="41"/>
      <c r="I431" s="91"/>
      <c r="J431" s="91"/>
      <c r="K431" s="91"/>
      <c r="L431" s="41"/>
      <c r="M431" s="41"/>
      <c r="N431" s="42"/>
      <c r="O431" s="42"/>
      <c r="P431" s="42"/>
      <c r="Q431" s="42"/>
      <c r="R431" s="42"/>
      <c r="S431" s="42"/>
      <c r="T431" s="42"/>
      <c r="U431" s="42"/>
      <c r="V431" s="42"/>
      <c r="W431" s="42"/>
      <c r="X431" s="42"/>
      <c r="Y431" s="42"/>
      <c r="Z431" s="42"/>
      <c r="AA431" s="42"/>
      <c r="AB431" s="42"/>
      <c r="AC431" s="42"/>
    </row>
    <row r="432" spans="1:29" x14ac:dyDescent="0.25">
      <c r="A432" s="41"/>
      <c r="B432" s="42"/>
      <c r="C432" s="41"/>
      <c r="D432" s="42"/>
      <c r="E432" s="42"/>
      <c r="F432" s="35"/>
      <c r="G432" s="42"/>
      <c r="H432" s="41"/>
      <c r="I432" s="91"/>
      <c r="J432" s="91"/>
      <c r="K432" s="91"/>
      <c r="L432" s="41"/>
      <c r="M432" s="41"/>
      <c r="N432" s="42"/>
      <c r="O432" s="42"/>
      <c r="P432" s="42"/>
      <c r="Q432" s="42"/>
      <c r="R432" s="42"/>
      <c r="S432" s="42"/>
      <c r="T432" s="42"/>
      <c r="U432" s="42"/>
      <c r="V432" s="42"/>
      <c r="W432" s="42"/>
      <c r="X432" s="42"/>
      <c r="Y432" s="42"/>
      <c r="Z432" s="42"/>
      <c r="AA432" s="42"/>
      <c r="AB432" s="42"/>
      <c r="AC432" s="42"/>
    </row>
    <row r="433" spans="1:29" x14ac:dyDescent="0.25">
      <c r="A433" s="41"/>
      <c r="B433" s="42"/>
      <c r="C433" s="41"/>
      <c r="D433" s="42"/>
      <c r="E433" s="42"/>
      <c r="F433" s="35"/>
      <c r="G433" s="42"/>
      <c r="H433" s="41"/>
      <c r="I433" s="91"/>
      <c r="J433" s="91"/>
      <c r="K433" s="91"/>
      <c r="L433" s="41"/>
      <c r="M433" s="41"/>
      <c r="N433" s="42"/>
      <c r="O433" s="42"/>
      <c r="P433" s="42"/>
      <c r="Q433" s="42"/>
      <c r="R433" s="42"/>
      <c r="S433" s="42"/>
      <c r="T433" s="42"/>
      <c r="U433" s="42"/>
      <c r="V433" s="42"/>
      <c r="W433" s="42"/>
      <c r="X433" s="42"/>
      <c r="Y433" s="42"/>
      <c r="Z433" s="42"/>
      <c r="AA433" s="42"/>
      <c r="AB433" s="42"/>
      <c r="AC433" s="42"/>
    </row>
    <row r="434" spans="1:29" x14ac:dyDescent="0.25">
      <c r="A434" s="41"/>
      <c r="B434" s="42"/>
      <c r="C434" s="41"/>
      <c r="D434" s="42"/>
      <c r="E434" s="42"/>
      <c r="F434" s="35"/>
      <c r="G434" s="42"/>
      <c r="H434" s="41"/>
      <c r="I434" s="91"/>
      <c r="J434" s="91"/>
      <c r="K434" s="91"/>
      <c r="L434" s="41"/>
      <c r="M434" s="41"/>
      <c r="N434" s="42"/>
      <c r="O434" s="42"/>
      <c r="P434" s="42"/>
      <c r="Q434" s="42"/>
      <c r="R434" s="42"/>
      <c r="S434" s="42"/>
      <c r="T434" s="42"/>
      <c r="U434" s="42"/>
      <c r="V434" s="42"/>
      <c r="W434" s="42"/>
      <c r="X434" s="42"/>
      <c r="Y434" s="42"/>
      <c r="Z434" s="42"/>
      <c r="AA434" s="42"/>
      <c r="AB434" s="42"/>
      <c r="AC434" s="42"/>
    </row>
    <row r="435" spans="1:29" x14ac:dyDescent="0.25">
      <c r="A435" s="41"/>
      <c r="B435" s="42"/>
      <c r="C435" s="41"/>
      <c r="D435" s="42"/>
      <c r="E435" s="42"/>
      <c r="F435" s="35"/>
      <c r="G435" s="42"/>
      <c r="H435" s="41"/>
      <c r="I435" s="91"/>
      <c r="J435" s="91"/>
      <c r="K435" s="91"/>
      <c r="L435" s="41"/>
      <c r="M435" s="41"/>
      <c r="N435" s="42"/>
      <c r="O435" s="42"/>
      <c r="P435" s="42"/>
      <c r="Q435" s="42"/>
      <c r="R435" s="42"/>
      <c r="S435" s="42"/>
      <c r="T435" s="42"/>
      <c r="U435" s="42"/>
      <c r="V435" s="42"/>
      <c r="W435" s="42"/>
      <c r="X435" s="42"/>
      <c r="Y435" s="42"/>
      <c r="Z435" s="42"/>
      <c r="AA435" s="42"/>
      <c r="AB435" s="42"/>
      <c r="AC435" s="42"/>
    </row>
    <row r="436" spans="1:29" x14ac:dyDescent="0.25">
      <c r="A436" s="41"/>
      <c r="B436" s="42"/>
      <c r="C436" s="41"/>
      <c r="D436" s="42"/>
      <c r="E436" s="42"/>
      <c r="F436" s="35"/>
      <c r="G436" s="42"/>
      <c r="H436" s="41"/>
      <c r="I436" s="91"/>
      <c r="J436" s="91"/>
      <c r="K436" s="91"/>
      <c r="L436" s="41"/>
      <c r="M436" s="41"/>
      <c r="N436" s="42"/>
      <c r="O436" s="42"/>
      <c r="P436" s="42"/>
      <c r="Q436" s="42"/>
      <c r="R436" s="42"/>
      <c r="S436" s="42"/>
      <c r="T436" s="42"/>
      <c r="U436" s="42"/>
      <c r="V436" s="42"/>
      <c r="W436" s="42"/>
      <c r="X436" s="42"/>
      <c r="Y436" s="42"/>
      <c r="Z436" s="42"/>
      <c r="AA436" s="42"/>
      <c r="AB436" s="42"/>
      <c r="AC436" s="42"/>
    </row>
    <row r="437" spans="1:29" x14ac:dyDescent="0.25">
      <c r="A437" s="41"/>
      <c r="B437" s="42"/>
      <c r="C437" s="41"/>
      <c r="D437" s="42"/>
      <c r="E437" s="42"/>
      <c r="F437" s="35"/>
      <c r="G437" s="42"/>
      <c r="H437" s="41"/>
      <c r="I437" s="91"/>
      <c r="J437" s="91"/>
      <c r="K437" s="91"/>
      <c r="L437" s="41"/>
      <c r="M437" s="41"/>
      <c r="N437" s="42"/>
      <c r="O437" s="42"/>
      <c r="P437" s="42"/>
      <c r="Q437" s="42"/>
      <c r="R437" s="42"/>
      <c r="S437" s="42"/>
      <c r="T437" s="42"/>
      <c r="U437" s="42"/>
      <c r="V437" s="42"/>
      <c r="W437" s="42"/>
      <c r="X437" s="42"/>
      <c r="Y437" s="42"/>
      <c r="Z437" s="42"/>
      <c r="AA437" s="42"/>
      <c r="AB437" s="42"/>
      <c r="AC437" s="42"/>
    </row>
    <row r="438" spans="1:29" x14ac:dyDescent="0.25">
      <c r="A438" s="41"/>
      <c r="B438" s="42"/>
      <c r="C438" s="41"/>
      <c r="D438" s="42"/>
      <c r="E438" s="42"/>
      <c r="F438" s="35"/>
      <c r="G438" s="42"/>
      <c r="H438" s="41"/>
      <c r="I438" s="91"/>
      <c r="J438" s="91"/>
      <c r="K438" s="91"/>
      <c r="L438" s="41"/>
      <c r="M438" s="41"/>
      <c r="N438" s="42"/>
      <c r="O438" s="42"/>
      <c r="P438" s="42"/>
      <c r="Q438" s="42"/>
      <c r="R438" s="42"/>
      <c r="S438" s="42"/>
      <c r="T438" s="42"/>
      <c r="U438" s="42"/>
      <c r="V438" s="42"/>
      <c r="W438" s="42"/>
      <c r="X438" s="42"/>
      <c r="Y438" s="42"/>
      <c r="Z438" s="42"/>
      <c r="AA438" s="42"/>
      <c r="AB438" s="42"/>
      <c r="AC438" s="42"/>
    </row>
    <row r="439" spans="1:29" x14ac:dyDescent="0.25">
      <c r="A439" s="41"/>
      <c r="B439" s="42"/>
      <c r="C439" s="41"/>
      <c r="D439" s="42"/>
      <c r="E439" s="42"/>
      <c r="F439" s="35"/>
      <c r="G439" s="42"/>
      <c r="H439" s="41"/>
      <c r="I439" s="91"/>
      <c r="J439" s="91"/>
      <c r="K439" s="91"/>
      <c r="L439" s="41"/>
      <c r="M439" s="41"/>
      <c r="N439" s="42"/>
      <c r="O439" s="42"/>
      <c r="P439" s="42"/>
      <c r="Q439" s="42"/>
      <c r="R439" s="42"/>
      <c r="S439" s="42"/>
      <c r="T439" s="42"/>
      <c r="U439" s="42"/>
      <c r="V439" s="42"/>
      <c r="W439" s="42"/>
      <c r="X439" s="42"/>
      <c r="Y439" s="42"/>
      <c r="Z439" s="42"/>
      <c r="AA439" s="42"/>
      <c r="AB439" s="42"/>
      <c r="AC439" s="42"/>
    </row>
    <row r="440" spans="1:29" x14ac:dyDescent="0.25">
      <c r="A440" s="41"/>
      <c r="B440" s="42"/>
      <c r="C440" s="41"/>
      <c r="D440" s="42"/>
      <c r="E440" s="42"/>
      <c r="F440" s="35"/>
      <c r="G440" s="42"/>
      <c r="H440" s="41"/>
      <c r="I440" s="91"/>
      <c r="J440" s="91"/>
      <c r="K440" s="91"/>
      <c r="L440" s="41"/>
      <c r="M440" s="41"/>
      <c r="N440" s="42"/>
      <c r="O440" s="42"/>
      <c r="P440" s="42"/>
      <c r="Q440" s="42"/>
      <c r="R440" s="42"/>
      <c r="S440" s="42"/>
      <c r="T440" s="42"/>
      <c r="U440" s="42"/>
      <c r="V440" s="42"/>
      <c r="W440" s="42"/>
      <c r="X440" s="42"/>
      <c r="Y440" s="42"/>
      <c r="Z440" s="42"/>
      <c r="AA440" s="42"/>
      <c r="AB440" s="42"/>
      <c r="AC440" s="42"/>
    </row>
    <row r="441" spans="1:29" x14ac:dyDescent="0.25">
      <c r="A441" s="41"/>
      <c r="B441" s="42"/>
      <c r="C441" s="41"/>
      <c r="D441" s="42"/>
      <c r="E441" s="42"/>
      <c r="F441" s="35"/>
      <c r="G441" s="42"/>
      <c r="H441" s="41"/>
      <c r="I441" s="91"/>
      <c r="J441" s="91"/>
      <c r="K441" s="91"/>
      <c r="L441" s="41"/>
      <c r="M441" s="41"/>
      <c r="N441" s="42"/>
      <c r="O441" s="42"/>
      <c r="P441" s="42"/>
      <c r="Q441" s="42"/>
      <c r="R441" s="42"/>
      <c r="S441" s="42"/>
      <c r="T441" s="42"/>
      <c r="U441" s="42"/>
      <c r="V441" s="42"/>
      <c r="W441" s="42"/>
      <c r="X441" s="42"/>
      <c r="Y441" s="42"/>
      <c r="Z441" s="42"/>
      <c r="AA441" s="42"/>
      <c r="AB441" s="42"/>
      <c r="AC441" s="42"/>
    </row>
    <row r="442" spans="1:29" x14ac:dyDescent="0.25">
      <c r="A442" s="41"/>
      <c r="B442" s="42"/>
      <c r="C442" s="41"/>
      <c r="D442" s="42"/>
      <c r="E442" s="42"/>
      <c r="F442" s="35"/>
      <c r="G442" s="42"/>
      <c r="H442" s="41"/>
      <c r="I442" s="91"/>
      <c r="J442" s="91"/>
      <c r="K442" s="91"/>
      <c r="L442" s="41"/>
      <c r="M442" s="41"/>
      <c r="N442" s="42"/>
      <c r="O442" s="42"/>
      <c r="P442" s="42"/>
      <c r="Q442" s="42"/>
      <c r="R442" s="42"/>
      <c r="S442" s="42"/>
      <c r="T442" s="42"/>
      <c r="U442" s="42"/>
      <c r="V442" s="42"/>
      <c r="W442" s="42"/>
      <c r="X442" s="42"/>
      <c r="Y442" s="42"/>
      <c r="Z442" s="42"/>
      <c r="AA442" s="42"/>
      <c r="AB442" s="42"/>
      <c r="AC442" s="42"/>
    </row>
    <row r="443" spans="1:29" x14ac:dyDescent="0.25">
      <c r="A443" s="41"/>
      <c r="B443" s="42"/>
      <c r="C443" s="41"/>
      <c r="D443" s="42"/>
      <c r="E443" s="42"/>
      <c r="F443" s="35"/>
      <c r="G443" s="42"/>
      <c r="H443" s="41"/>
      <c r="I443" s="91"/>
      <c r="J443" s="91"/>
      <c r="K443" s="91"/>
      <c r="L443" s="41"/>
      <c r="M443" s="41"/>
      <c r="N443" s="42"/>
      <c r="O443" s="42"/>
      <c r="P443" s="42"/>
      <c r="Q443" s="42"/>
      <c r="R443" s="42"/>
      <c r="S443" s="42"/>
      <c r="T443" s="42"/>
      <c r="U443" s="42"/>
      <c r="V443" s="42"/>
      <c r="W443" s="42"/>
      <c r="X443" s="42"/>
      <c r="Y443" s="42"/>
      <c r="Z443" s="42"/>
      <c r="AA443" s="42"/>
      <c r="AB443" s="42"/>
      <c r="AC443" s="42"/>
    </row>
    <row r="444" spans="1:29" x14ac:dyDescent="0.25">
      <c r="A444" s="41"/>
      <c r="B444" s="42"/>
      <c r="C444" s="41"/>
      <c r="D444" s="42"/>
      <c r="E444" s="42"/>
      <c r="F444" s="35"/>
      <c r="G444" s="42"/>
      <c r="H444" s="41"/>
      <c r="I444" s="91"/>
      <c r="J444" s="91"/>
      <c r="K444" s="91"/>
      <c r="L444" s="41"/>
      <c r="M444" s="41"/>
      <c r="N444" s="42"/>
      <c r="O444" s="42"/>
      <c r="P444" s="42"/>
      <c r="Q444" s="42"/>
      <c r="R444" s="42"/>
      <c r="S444" s="42"/>
      <c r="T444" s="42"/>
      <c r="U444" s="42"/>
      <c r="V444" s="42"/>
      <c r="W444" s="42"/>
      <c r="X444" s="42"/>
      <c r="Y444" s="42"/>
      <c r="Z444" s="42"/>
      <c r="AA444" s="42"/>
      <c r="AB444" s="42"/>
      <c r="AC444" s="42"/>
    </row>
    <row r="445" spans="1:29" x14ac:dyDescent="0.25">
      <c r="A445" s="41"/>
      <c r="B445" s="42"/>
      <c r="C445" s="41"/>
      <c r="D445" s="42"/>
      <c r="E445" s="42"/>
      <c r="F445" s="35"/>
      <c r="G445" s="42"/>
      <c r="H445" s="41"/>
      <c r="I445" s="91"/>
      <c r="J445" s="91"/>
      <c r="K445" s="91"/>
      <c r="L445" s="41"/>
      <c r="M445" s="41"/>
      <c r="N445" s="42"/>
      <c r="O445" s="42"/>
      <c r="P445" s="42"/>
      <c r="Q445" s="42"/>
      <c r="R445" s="42"/>
      <c r="S445" s="42"/>
      <c r="T445" s="42"/>
      <c r="U445" s="42"/>
      <c r="V445" s="42"/>
      <c r="W445" s="42"/>
      <c r="X445" s="42"/>
      <c r="Y445" s="42"/>
      <c r="Z445" s="42"/>
      <c r="AA445" s="42"/>
      <c r="AB445" s="42"/>
      <c r="AC445" s="42"/>
    </row>
    <row r="446" spans="1:29" x14ac:dyDescent="0.25">
      <c r="A446" s="41"/>
      <c r="B446" s="42"/>
      <c r="C446" s="41"/>
      <c r="D446" s="42"/>
      <c r="E446" s="42"/>
      <c r="F446" s="35"/>
      <c r="G446" s="42"/>
      <c r="H446" s="41"/>
      <c r="I446" s="91"/>
      <c r="J446" s="91"/>
      <c r="K446" s="91"/>
      <c r="L446" s="41"/>
      <c r="M446" s="41"/>
      <c r="N446" s="42"/>
      <c r="O446" s="42"/>
      <c r="P446" s="42"/>
      <c r="Q446" s="42"/>
      <c r="R446" s="42"/>
      <c r="S446" s="42"/>
      <c r="T446" s="42"/>
      <c r="U446" s="42"/>
      <c r="V446" s="42"/>
      <c r="W446" s="42"/>
      <c r="X446" s="42"/>
      <c r="Y446" s="42"/>
      <c r="Z446" s="42"/>
      <c r="AA446" s="42"/>
      <c r="AB446" s="42"/>
      <c r="AC446" s="42"/>
    </row>
    <row r="447" spans="1:29" x14ac:dyDescent="0.25">
      <c r="A447" s="41"/>
      <c r="B447" s="42"/>
      <c r="C447" s="41"/>
      <c r="D447" s="42"/>
      <c r="E447" s="42"/>
      <c r="F447" s="35"/>
      <c r="G447" s="42"/>
      <c r="H447" s="41"/>
      <c r="I447" s="91"/>
      <c r="J447" s="91"/>
      <c r="K447" s="91"/>
      <c r="L447" s="41"/>
      <c r="M447" s="41"/>
      <c r="N447" s="42"/>
      <c r="O447" s="42"/>
      <c r="P447" s="42"/>
      <c r="Q447" s="42"/>
      <c r="R447" s="42"/>
      <c r="S447" s="42"/>
      <c r="T447" s="42"/>
      <c r="U447" s="42"/>
      <c r="V447" s="42"/>
      <c r="W447" s="42"/>
      <c r="X447" s="42"/>
      <c r="Y447" s="42"/>
      <c r="Z447" s="42"/>
      <c r="AA447" s="42"/>
      <c r="AB447" s="42"/>
      <c r="AC447" s="42"/>
    </row>
    <row r="448" spans="1:29" x14ac:dyDescent="0.25">
      <c r="A448" s="41"/>
      <c r="B448" s="42"/>
      <c r="C448" s="41"/>
      <c r="D448" s="42"/>
      <c r="E448" s="42"/>
      <c r="F448" s="35"/>
      <c r="G448" s="42"/>
      <c r="H448" s="41"/>
      <c r="I448" s="91"/>
      <c r="J448" s="91"/>
      <c r="K448" s="91"/>
      <c r="L448" s="41"/>
      <c r="M448" s="41"/>
      <c r="N448" s="42"/>
      <c r="O448" s="42"/>
      <c r="P448" s="42"/>
      <c r="Q448" s="42"/>
      <c r="R448" s="42"/>
      <c r="S448" s="42"/>
      <c r="T448" s="42"/>
      <c r="U448" s="42"/>
      <c r="V448" s="42"/>
      <c r="W448" s="42"/>
      <c r="X448" s="42"/>
      <c r="Y448" s="42"/>
      <c r="Z448" s="42"/>
      <c r="AA448" s="42"/>
      <c r="AB448" s="42"/>
      <c r="AC448" s="42"/>
    </row>
    <row r="449" spans="1:29" x14ac:dyDescent="0.25">
      <c r="A449" s="41"/>
      <c r="B449" s="42"/>
      <c r="C449" s="41"/>
      <c r="D449" s="42"/>
      <c r="E449" s="42"/>
      <c r="F449" s="35"/>
      <c r="G449" s="42"/>
      <c r="H449" s="41"/>
      <c r="I449" s="91"/>
      <c r="J449" s="91"/>
      <c r="K449" s="91"/>
      <c r="L449" s="41"/>
      <c r="M449" s="41"/>
      <c r="N449" s="42"/>
      <c r="O449" s="42"/>
      <c r="P449" s="42"/>
      <c r="Q449" s="42"/>
      <c r="R449" s="42"/>
      <c r="S449" s="42"/>
      <c r="T449" s="42"/>
      <c r="U449" s="42"/>
      <c r="V449" s="42"/>
      <c r="W449" s="42"/>
      <c r="X449" s="42"/>
      <c r="Y449" s="42"/>
      <c r="Z449" s="42"/>
      <c r="AA449" s="42"/>
      <c r="AB449" s="42"/>
      <c r="AC449" s="42"/>
    </row>
    <row r="450" spans="1:29" x14ac:dyDescent="0.25">
      <c r="A450" s="41"/>
      <c r="B450" s="42"/>
      <c r="C450" s="41"/>
      <c r="D450" s="42"/>
      <c r="E450" s="42"/>
      <c r="F450" s="35"/>
      <c r="G450" s="42"/>
      <c r="H450" s="41"/>
      <c r="I450" s="91"/>
      <c r="J450" s="91"/>
      <c r="K450" s="91"/>
      <c r="L450" s="41"/>
      <c r="M450" s="41"/>
      <c r="N450" s="42"/>
      <c r="O450" s="42"/>
      <c r="P450" s="42"/>
      <c r="Q450" s="42"/>
      <c r="R450" s="42"/>
      <c r="S450" s="42"/>
      <c r="T450" s="42"/>
      <c r="U450" s="42"/>
      <c r="V450" s="42"/>
      <c r="W450" s="42"/>
      <c r="X450" s="42"/>
      <c r="Y450" s="42"/>
      <c r="Z450" s="42"/>
      <c r="AA450" s="42"/>
      <c r="AB450" s="42"/>
      <c r="AC450" s="42"/>
    </row>
    <row r="451" spans="1:29" x14ac:dyDescent="0.25">
      <c r="A451" s="41"/>
      <c r="B451" s="42"/>
      <c r="C451" s="41"/>
      <c r="D451" s="42"/>
      <c r="E451" s="42"/>
      <c r="F451" s="35"/>
      <c r="G451" s="42"/>
      <c r="H451" s="41"/>
      <c r="I451" s="91"/>
      <c r="J451" s="91"/>
      <c r="K451" s="91"/>
      <c r="L451" s="41"/>
      <c r="M451" s="41"/>
      <c r="N451" s="42"/>
      <c r="O451" s="42"/>
      <c r="P451" s="42"/>
      <c r="Q451" s="42"/>
      <c r="R451" s="42"/>
      <c r="S451" s="42"/>
      <c r="T451" s="42"/>
      <c r="U451" s="42"/>
      <c r="V451" s="42"/>
      <c r="W451" s="42"/>
      <c r="X451" s="42"/>
      <c r="Y451" s="42"/>
      <c r="Z451" s="42"/>
      <c r="AA451" s="42"/>
      <c r="AB451" s="42"/>
      <c r="AC451" s="42"/>
    </row>
    <row r="452" spans="1:29" x14ac:dyDescent="0.25">
      <c r="A452" s="41"/>
      <c r="B452" s="42"/>
      <c r="C452" s="41"/>
      <c r="D452" s="42"/>
      <c r="E452" s="42"/>
      <c r="F452" s="35"/>
      <c r="G452" s="42"/>
      <c r="H452" s="41"/>
      <c r="I452" s="91"/>
      <c r="J452" s="91"/>
      <c r="K452" s="91"/>
      <c r="L452" s="41"/>
      <c r="M452" s="41"/>
      <c r="N452" s="42"/>
      <c r="O452" s="42"/>
      <c r="P452" s="42"/>
      <c r="Q452" s="42"/>
      <c r="R452" s="42"/>
      <c r="S452" s="42"/>
      <c r="T452" s="42"/>
      <c r="U452" s="42"/>
      <c r="V452" s="42"/>
      <c r="W452" s="42"/>
      <c r="X452" s="42"/>
      <c r="Y452" s="42"/>
      <c r="Z452" s="42"/>
      <c r="AA452" s="42"/>
      <c r="AB452" s="42"/>
      <c r="AC452" s="42"/>
    </row>
    <row r="453" spans="1:29" x14ac:dyDescent="0.25">
      <c r="A453" s="41"/>
      <c r="B453" s="42"/>
      <c r="C453" s="41"/>
      <c r="D453" s="42"/>
      <c r="E453" s="42"/>
      <c r="F453" s="35"/>
      <c r="G453" s="42"/>
      <c r="H453" s="41"/>
      <c r="I453" s="91"/>
      <c r="J453" s="91"/>
      <c r="K453" s="91"/>
      <c r="L453" s="41"/>
      <c r="M453" s="41"/>
      <c r="N453" s="42"/>
      <c r="O453" s="42"/>
      <c r="P453" s="42"/>
      <c r="Q453" s="42"/>
      <c r="R453" s="42"/>
      <c r="S453" s="42"/>
      <c r="T453" s="42"/>
      <c r="U453" s="42"/>
      <c r="V453" s="42"/>
      <c r="W453" s="42"/>
      <c r="X453" s="42"/>
      <c r="Y453" s="42"/>
      <c r="Z453" s="42"/>
      <c r="AA453" s="42"/>
      <c r="AB453" s="42"/>
      <c r="AC453" s="42"/>
    </row>
    <row r="454" spans="1:29" x14ac:dyDescent="0.25">
      <c r="A454" s="41"/>
      <c r="B454" s="42"/>
      <c r="C454" s="41"/>
      <c r="D454" s="42"/>
      <c r="E454" s="42"/>
      <c r="F454" s="35"/>
      <c r="G454" s="42"/>
      <c r="H454" s="41"/>
      <c r="I454" s="91"/>
      <c r="J454" s="91"/>
      <c r="K454" s="91"/>
      <c r="L454" s="41"/>
      <c r="M454" s="41"/>
      <c r="N454" s="42"/>
      <c r="O454" s="42"/>
      <c r="P454" s="42"/>
      <c r="Q454" s="42"/>
      <c r="R454" s="42"/>
      <c r="S454" s="42"/>
      <c r="T454" s="42"/>
      <c r="U454" s="42"/>
      <c r="V454" s="42"/>
      <c r="W454" s="42"/>
      <c r="X454" s="42"/>
      <c r="Y454" s="42"/>
      <c r="Z454" s="42"/>
      <c r="AA454" s="42"/>
      <c r="AB454" s="42"/>
      <c r="AC454" s="42"/>
    </row>
    <row r="455" spans="1:29" x14ac:dyDescent="0.25">
      <c r="A455" s="41"/>
      <c r="B455" s="42"/>
      <c r="C455" s="41"/>
      <c r="D455" s="42"/>
      <c r="E455" s="42"/>
      <c r="F455" s="35"/>
      <c r="G455" s="42"/>
      <c r="H455" s="41"/>
      <c r="I455" s="91"/>
      <c r="J455" s="91"/>
      <c r="K455" s="91"/>
      <c r="L455" s="41"/>
      <c r="M455" s="41"/>
      <c r="N455" s="42"/>
      <c r="O455" s="42"/>
      <c r="P455" s="42"/>
      <c r="Q455" s="42"/>
      <c r="R455" s="42"/>
      <c r="S455" s="42"/>
      <c r="T455" s="42"/>
      <c r="U455" s="42"/>
      <c r="V455" s="42"/>
      <c r="W455" s="42"/>
      <c r="X455" s="42"/>
      <c r="Y455" s="42"/>
      <c r="Z455" s="42"/>
      <c r="AA455" s="42"/>
      <c r="AB455" s="42"/>
      <c r="AC455" s="42"/>
    </row>
    <row r="456" spans="1:29" x14ac:dyDescent="0.25">
      <c r="A456" s="41"/>
      <c r="B456" s="42"/>
      <c r="C456" s="41"/>
      <c r="D456" s="42"/>
      <c r="E456" s="42"/>
      <c r="F456" s="35"/>
      <c r="G456" s="42"/>
      <c r="H456" s="41"/>
      <c r="I456" s="91"/>
      <c r="J456" s="91"/>
      <c r="K456" s="91"/>
      <c r="L456" s="41"/>
      <c r="M456" s="41"/>
      <c r="N456" s="42"/>
      <c r="O456" s="42"/>
      <c r="P456" s="42"/>
      <c r="Q456" s="42"/>
      <c r="R456" s="42"/>
      <c r="S456" s="42"/>
      <c r="T456" s="42"/>
      <c r="U456" s="42"/>
      <c r="V456" s="42"/>
      <c r="W456" s="42"/>
      <c r="X456" s="42"/>
      <c r="Y456" s="42"/>
      <c r="Z456" s="42"/>
      <c r="AA456" s="42"/>
      <c r="AB456" s="42"/>
      <c r="AC456" s="42"/>
    </row>
    <row r="457" spans="1:29" x14ac:dyDescent="0.25">
      <c r="A457" s="41"/>
      <c r="B457" s="42"/>
      <c r="C457" s="41"/>
      <c r="D457" s="42"/>
      <c r="E457" s="42"/>
      <c r="F457" s="35"/>
      <c r="G457" s="42"/>
      <c r="H457" s="41"/>
      <c r="I457" s="91"/>
      <c r="J457" s="91"/>
      <c r="K457" s="91"/>
      <c r="L457" s="41"/>
      <c r="M457" s="41"/>
      <c r="N457" s="42"/>
      <c r="O457" s="42"/>
      <c r="P457" s="42"/>
      <c r="Q457" s="42"/>
      <c r="R457" s="42"/>
      <c r="S457" s="42"/>
      <c r="T457" s="42"/>
      <c r="U457" s="42"/>
      <c r="V457" s="42"/>
      <c r="W457" s="42"/>
      <c r="X457" s="42"/>
      <c r="Y457" s="42"/>
      <c r="Z457" s="42"/>
      <c r="AA457" s="42"/>
      <c r="AB457" s="42"/>
      <c r="AC457" s="42"/>
    </row>
    <row r="458" spans="1:29" x14ac:dyDescent="0.25">
      <c r="A458" s="41"/>
      <c r="B458" s="42"/>
      <c r="C458" s="41"/>
      <c r="D458" s="42"/>
      <c r="E458" s="42"/>
      <c r="F458" s="35"/>
      <c r="G458" s="42"/>
      <c r="H458" s="41"/>
      <c r="I458" s="91"/>
      <c r="J458" s="91"/>
      <c r="K458" s="91"/>
      <c r="L458" s="41"/>
      <c r="M458" s="41"/>
      <c r="N458" s="42"/>
      <c r="O458" s="42"/>
      <c r="P458" s="42"/>
      <c r="Q458" s="42"/>
      <c r="R458" s="42"/>
      <c r="S458" s="42"/>
      <c r="T458" s="42"/>
      <c r="U458" s="42"/>
      <c r="V458" s="42"/>
      <c r="W458" s="42"/>
      <c r="X458" s="42"/>
      <c r="Y458" s="42"/>
      <c r="Z458" s="42"/>
      <c r="AA458" s="42"/>
      <c r="AB458" s="42"/>
      <c r="AC458" s="42"/>
    </row>
    <row r="459" spans="1:29" x14ac:dyDescent="0.25">
      <c r="A459" s="41"/>
      <c r="B459" s="42"/>
      <c r="C459" s="41"/>
      <c r="D459" s="42"/>
      <c r="E459" s="42"/>
      <c r="F459" s="35"/>
      <c r="G459" s="42"/>
      <c r="H459" s="41"/>
      <c r="I459" s="91"/>
      <c r="J459" s="91"/>
      <c r="K459" s="91"/>
      <c r="L459" s="41"/>
      <c r="M459" s="41"/>
      <c r="N459" s="42"/>
      <c r="O459" s="42"/>
      <c r="P459" s="42"/>
      <c r="Q459" s="42"/>
      <c r="R459" s="42"/>
      <c r="S459" s="42"/>
      <c r="T459" s="42"/>
      <c r="U459" s="42"/>
      <c r="V459" s="42"/>
      <c r="W459" s="42"/>
      <c r="X459" s="42"/>
      <c r="Y459" s="42"/>
      <c r="Z459" s="42"/>
      <c r="AA459" s="42"/>
      <c r="AB459" s="42"/>
      <c r="AC459" s="42"/>
    </row>
    <row r="460" spans="1:29" x14ac:dyDescent="0.25">
      <c r="A460" s="41"/>
      <c r="B460" s="42"/>
      <c r="C460" s="41"/>
      <c r="D460" s="42"/>
      <c r="E460" s="42"/>
      <c r="F460" s="35"/>
      <c r="G460" s="42"/>
      <c r="H460" s="41"/>
      <c r="I460" s="91"/>
      <c r="J460" s="91"/>
      <c r="K460" s="91"/>
      <c r="L460" s="41"/>
      <c r="M460" s="41"/>
      <c r="N460" s="42"/>
      <c r="O460" s="42"/>
      <c r="P460" s="42"/>
      <c r="Q460" s="42"/>
      <c r="R460" s="42"/>
      <c r="S460" s="42"/>
      <c r="T460" s="42"/>
      <c r="U460" s="42"/>
      <c r="V460" s="42"/>
      <c r="W460" s="42"/>
      <c r="X460" s="42"/>
      <c r="Y460" s="42"/>
      <c r="Z460" s="42"/>
      <c r="AA460" s="42"/>
      <c r="AB460" s="42"/>
      <c r="AC460" s="42"/>
    </row>
    <row r="461" spans="1:29" x14ac:dyDescent="0.25">
      <c r="A461" s="41"/>
      <c r="B461" s="42"/>
      <c r="C461" s="41"/>
      <c r="D461" s="42"/>
      <c r="E461" s="42"/>
      <c r="F461" s="35"/>
      <c r="G461" s="42"/>
      <c r="H461" s="41"/>
      <c r="I461" s="91"/>
      <c r="J461" s="91"/>
      <c r="K461" s="91"/>
      <c r="L461" s="41"/>
      <c r="M461" s="41"/>
      <c r="N461" s="42"/>
      <c r="O461" s="42"/>
      <c r="P461" s="42"/>
      <c r="Q461" s="42"/>
      <c r="R461" s="42"/>
      <c r="S461" s="42"/>
      <c r="T461" s="42"/>
      <c r="U461" s="42"/>
      <c r="V461" s="42"/>
      <c r="W461" s="42"/>
      <c r="X461" s="42"/>
      <c r="Y461" s="42"/>
      <c r="Z461" s="42"/>
      <c r="AA461" s="42"/>
      <c r="AB461" s="42"/>
      <c r="AC461" s="42"/>
    </row>
    <row r="462" spans="1:29" x14ac:dyDescent="0.25">
      <c r="A462" s="41"/>
      <c r="B462" s="42"/>
      <c r="C462" s="41"/>
      <c r="D462" s="42"/>
      <c r="E462" s="42"/>
      <c r="F462" s="35"/>
      <c r="G462" s="42"/>
      <c r="H462" s="41"/>
      <c r="I462" s="91"/>
      <c r="J462" s="91"/>
      <c r="K462" s="91"/>
      <c r="L462" s="41"/>
      <c r="M462" s="41"/>
      <c r="N462" s="42"/>
      <c r="O462" s="42"/>
      <c r="P462" s="42"/>
      <c r="Q462" s="42"/>
      <c r="R462" s="42"/>
      <c r="S462" s="42"/>
      <c r="T462" s="42"/>
      <c r="U462" s="42"/>
      <c r="V462" s="42"/>
      <c r="W462" s="42"/>
      <c r="X462" s="42"/>
      <c r="Y462" s="42"/>
      <c r="Z462" s="42"/>
      <c r="AA462" s="42"/>
      <c r="AB462" s="42"/>
      <c r="AC462" s="42"/>
    </row>
    <row r="463" spans="1:29" x14ac:dyDescent="0.25">
      <c r="A463" s="41"/>
      <c r="B463" s="42"/>
      <c r="C463" s="41"/>
      <c r="D463" s="42"/>
      <c r="E463" s="42"/>
      <c r="F463" s="35"/>
      <c r="G463" s="42"/>
      <c r="H463" s="41"/>
      <c r="I463" s="91"/>
      <c r="J463" s="91"/>
      <c r="K463" s="91"/>
      <c r="L463" s="41"/>
      <c r="M463" s="41"/>
      <c r="N463" s="42"/>
      <c r="O463" s="42"/>
      <c r="P463" s="42"/>
      <c r="Q463" s="42"/>
      <c r="R463" s="42"/>
      <c r="S463" s="42"/>
      <c r="T463" s="42"/>
      <c r="U463" s="42"/>
      <c r="V463" s="42"/>
      <c r="W463" s="42"/>
      <c r="X463" s="42"/>
      <c r="Y463" s="42"/>
      <c r="Z463" s="42"/>
      <c r="AA463" s="42"/>
      <c r="AB463" s="42"/>
      <c r="AC463" s="42"/>
    </row>
    <row r="464" spans="1:29" x14ac:dyDescent="0.25">
      <c r="A464" s="41"/>
      <c r="B464" s="42"/>
      <c r="C464" s="41"/>
      <c r="D464" s="42"/>
      <c r="E464" s="42"/>
      <c r="F464" s="35"/>
      <c r="G464" s="42"/>
      <c r="H464" s="41"/>
      <c r="I464" s="91"/>
      <c r="J464" s="91"/>
      <c r="K464" s="91"/>
      <c r="L464" s="41"/>
      <c r="M464" s="41"/>
      <c r="N464" s="42"/>
      <c r="O464" s="42"/>
      <c r="P464" s="42"/>
      <c r="Q464" s="42"/>
      <c r="R464" s="42"/>
      <c r="S464" s="42"/>
      <c r="T464" s="42"/>
      <c r="U464" s="42"/>
      <c r="V464" s="42"/>
      <c r="W464" s="42"/>
      <c r="X464" s="42"/>
      <c r="Y464" s="42"/>
      <c r="Z464" s="42"/>
      <c r="AA464" s="42"/>
      <c r="AB464" s="42"/>
      <c r="AC464" s="42"/>
    </row>
    <row r="465" spans="1:29" x14ac:dyDescent="0.25">
      <c r="A465" s="41"/>
      <c r="B465" s="42"/>
      <c r="C465" s="41"/>
      <c r="D465" s="42"/>
      <c r="E465" s="42"/>
      <c r="F465" s="35"/>
      <c r="G465" s="42"/>
      <c r="H465" s="41"/>
      <c r="I465" s="91"/>
      <c r="J465" s="91"/>
      <c r="K465" s="91"/>
      <c r="L465" s="41"/>
      <c r="M465" s="41"/>
      <c r="N465" s="42"/>
      <c r="O465" s="42"/>
      <c r="P465" s="42"/>
      <c r="Q465" s="42"/>
      <c r="R465" s="42"/>
      <c r="S465" s="42"/>
      <c r="T465" s="42"/>
      <c r="U465" s="42"/>
      <c r="V465" s="42"/>
      <c r="W465" s="42"/>
      <c r="X465" s="42"/>
      <c r="Y465" s="42"/>
      <c r="Z465" s="42"/>
      <c r="AA465" s="42"/>
      <c r="AB465" s="42"/>
      <c r="AC465" s="42"/>
    </row>
    <row r="466" spans="1:29" x14ac:dyDescent="0.25">
      <c r="A466" s="41"/>
      <c r="B466" s="42"/>
      <c r="C466" s="41"/>
      <c r="D466" s="42"/>
      <c r="E466" s="42"/>
      <c r="F466" s="35"/>
      <c r="G466" s="42"/>
      <c r="H466" s="41"/>
      <c r="I466" s="91"/>
      <c r="J466" s="91"/>
      <c r="K466" s="91"/>
      <c r="L466" s="41"/>
      <c r="M466" s="41"/>
      <c r="N466" s="42"/>
      <c r="O466" s="42"/>
      <c r="P466" s="42"/>
      <c r="Q466" s="42"/>
      <c r="R466" s="42"/>
      <c r="S466" s="42"/>
      <c r="T466" s="42"/>
      <c r="U466" s="42"/>
      <c r="V466" s="42"/>
      <c r="W466" s="42"/>
      <c r="X466" s="42"/>
      <c r="Y466" s="42"/>
      <c r="Z466" s="42"/>
      <c r="AA466" s="42"/>
      <c r="AB466" s="42"/>
      <c r="AC466" s="42"/>
    </row>
    <row r="467" spans="1:29" x14ac:dyDescent="0.25">
      <c r="A467" s="41"/>
      <c r="B467" s="42"/>
      <c r="C467" s="41"/>
      <c r="D467" s="42"/>
      <c r="E467" s="42"/>
      <c r="F467" s="35"/>
      <c r="G467" s="42"/>
      <c r="H467" s="41"/>
      <c r="I467" s="91"/>
      <c r="J467" s="91"/>
      <c r="K467" s="91"/>
      <c r="L467" s="41"/>
      <c r="M467" s="41"/>
      <c r="N467" s="42"/>
      <c r="O467" s="42"/>
      <c r="P467" s="42"/>
      <c r="Q467" s="42"/>
      <c r="R467" s="42"/>
      <c r="S467" s="42"/>
      <c r="T467" s="42"/>
      <c r="U467" s="42"/>
      <c r="V467" s="42"/>
      <c r="W467" s="42"/>
      <c r="X467" s="42"/>
      <c r="Y467" s="42"/>
      <c r="Z467" s="42"/>
      <c r="AA467" s="42"/>
      <c r="AB467" s="42"/>
      <c r="AC467" s="42"/>
    </row>
    <row r="468" spans="1:29" x14ac:dyDescent="0.25">
      <c r="A468" s="41"/>
      <c r="B468" s="42"/>
      <c r="C468" s="41"/>
      <c r="D468" s="42"/>
      <c r="E468" s="42"/>
      <c r="F468" s="35"/>
      <c r="G468" s="42"/>
      <c r="H468" s="41"/>
      <c r="I468" s="91"/>
      <c r="J468" s="91"/>
      <c r="K468" s="91"/>
      <c r="L468" s="41"/>
      <c r="M468" s="41"/>
      <c r="N468" s="42"/>
      <c r="O468" s="42"/>
      <c r="P468" s="42"/>
      <c r="Q468" s="42"/>
      <c r="R468" s="42"/>
      <c r="S468" s="42"/>
      <c r="T468" s="42"/>
      <c r="U468" s="42"/>
      <c r="V468" s="42"/>
      <c r="W468" s="42"/>
      <c r="X468" s="42"/>
      <c r="Y468" s="42"/>
      <c r="Z468" s="42"/>
      <c r="AA468" s="42"/>
      <c r="AB468" s="42"/>
      <c r="AC468" s="42"/>
    </row>
    <row r="469" spans="1:29" x14ac:dyDescent="0.25">
      <c r="A469" s="41"/>
      <c r="B469" s="42"/>
      <c r="C469" s="41"/>
      <c r="D469" s="42"/>
      <c r="E469" s="42"/>
      <c r="F469" s="35"/>
      <c r="G469" s="42"/>
      <c r="H469" s="41"/>
      <c r="I469" s="91"/>
      <c r="J469" s="91"/>
      <c r="K469" s="91"/>
      <c r="L469" s="41"/>
      <c r="M469" s="41"/>
      <c r="N469" s="42"/>
      <c r="O469" s="42"/>
      <c r="P469" s="42"/>
      <c r="Q469" s="42"/>
      <c r="R469" s="42"/>
      <c r="S469" s="42"/>
      <c r="T469" s="42"/>
      <c r="U469" s="42"/>
      <c r="V469" s="42"/>
      <c r="W469" s="42"/>
      <c r="X469" s="42"/>
      <c r="Y469" s="42"/>
      <c r="Z469" s="42"/>
      <c r="AA469" s="42"/>
      <c r="AB469" s="42"/>
      <c r="AC469" s="42"/>
    </row>
    <row r="470" spans="1:29" x14ac:dyDescent="0.25">
      <c r="A470" s="41"/>
      <c r="B470" s="42"/>
      <c r="C470" s="41"/>
      <c r="D470" s="42"/>
      <c r="E470" s="42"/>
      <c r="F470" s="35"/>
      <c r="G470" s="42"/>
      <c r="H470" s="41"/>
      <c r="I470" s="91"/>
      <c r="J470" s="91"/>
      <c r="K470" s="91"/>
      <c r="L470" s="41"/>
      <c r="M470" s="41"/>
      <c r="N470" s="42"/>
      <c r="O470" s="42"/>
      <c r="P470" s="42"/>
      <c r="Q470" s="42"/>
      <c r="R470" s="42"/>
      <c r="S470" s="42"/>
      <c r="T470" s="42"/>
      <c r="U470" s="42"/>
      <c r="V470" s="42"/>
      <c r="W470" s="42"/>
      <c r="X470" s="42"/>
      <c r="Y470" s="42"/>
      <c r="Z470" s="42"/>
      <c r="AA470" s="42"/>
      <c r="AB470" s="42"/>
      <c r="AC470" s="42"/>
    </row>
    <row r="471" spans="1:29" x14ac:dyDescent="0.25">
      <c r="A471" s="41"/>
      <c r="B471" s="42"/>
      <c r="C471" s="41"/>
      <c r="D471" s="42"/>
      <c r="E471" s="42"/>
      <c r="F471" s="35"/>
      <c r="G471" s="42"/>
      <c r="H471" s="41"/>
      <c r="I471" s="91"/>
      <c r="J471" s="91"/>
      <c r="K471" s="91"/>
      <c r="L471" s="41"/>
      <c r="M471" s="41"/>
      <c r="N471" s="42"/>
      <c r="O471" s="42"/>
      <c r="P471" s="42"/>
      <c r="Q471" s="42"/>
      <c r="R471" s="42"/>
      <c r="S471" s="42"/>
      <c r="T471" s="42"/>
      <c r="U471" s="42"/>
      <c r="V471" s="42"/>
      <c r="W471" s="42"/>
      <c r="X471" s="42"/>
      <c r="Y471" s="42"/>
      <c r="Z471" s="42"/>
      <c r="AA471" s="42"/>
      <c r="AB471" s="42"/>
      <c r="AC471" s="42"/>
    </row>
    <row r="472" spans="1:29" x14ac:dyDescent="0.25">
      <c r="A472" s="41"/>
      <c r="B472" s="42"/>
      <c r="C472" s="41"/>
      <c r="D472" s="42"/>
      <c r="E472" s="42"/>
      <c r="F472" s="35"/>
      <c r="G472" s="42"/>
      <c r="H472" s="41"/>
      <c r="I472" s="91"/>
      <c r="J472" s="91"/>
      <c r="K472" s="91"/>
      <c r="L472" s="41"/>
      <c r="M472" s="41"/>
      <c r="N472" s="42"/>
      <c r="O472" s="42"/>
      <c r="P472" s="42"/>
      <c r="Q472" s="42"/>
      <c r="R472" s="42"/>
      <c r="S472" s="42"/>
      <c r="T472" s="42"/>
      <c r="U472" s="42"/>
      <c r="V472" s="42"/>
      <c r="W472" s="42"/>
      <c r="X472" s="42"/>
      <c r="Y472" s="42"/>
      <c r="Z472" s="42"/>
      <c r="AA472" s="42"/>
      <c r="AB472" s="42"/>
      <c r="AC472" s="42"/>
    </row>
    <row r="473" spans="1:29" x14ac:dyDescent="0.25">
      <c r="A473" s="41"/>
      <c r="B473" s="42"/>
      <c r="C473" s="41"/>
      <c r="D473" s="42"/>
      <c r="E473" s="42"/>
      <c r="F473" s="35"/>
      <c r="G473" s="42"/>
      <c r="H473" s="41"/>
      <c r="I473" s="91"/>
      <c r="J473" s="91"/>
      <c r="K473" s="91"/>
      <c r="L473" s="41"/>
      <c r="M473" s="41"/>
      <c r="N473" s="42"/>
      <c r="O473" s="42"/>
      <c r="P473" s="42"/>
      <c r="Q473" s="42"/>
      <c r="R473" s="42"/>
      <c r="S473" s="42"/>
      <c r="T473" s="42"/>
      <c r="U473" s="42"/>
      <c r="V473" s="42"/>
      <c r="W473" s="42"/>
      <c r="X473" s="42"/>
      <c r="Y473" s="42"/>
      <c r="Z473" s="42"/>
      <c r="AA473" s="42"/>
      <c r="AB473" s="42"/>
      <c r="AC473" s="42"/>
    </row>
    <row r="474" spans="1:29" x14ac:dyDescent="0.25">
      <c r="A474" s="41"/>
      <c r="B474" s="42"/>
      <c r="C474" s="41"/>
      <c r="D474" s="42"/>
      <c r="E474" s="42"/>
      <c r="F474" s="35"/>
      <c r="G474" s="42"/>
      <c r="H474" s="41"/>
      <c r="I474" s="91"/>
      <c r="J474" s="91"/>
      <c r="K474" s="91"/>
      <c r="L474" s="41"/>
      <c r="M474" s="41"/>
      <c r="N474" s="42"/>
      <c r="O474" s="42"/>
      <c r="P474" s="42"/>
      <c r="Q474" s="42"/>
      <c r="R474" s="42"/>
      <c r="S474" s="42"/>
      <c r="T474" s="42"/>
      <c r="U474" s="42"/>
      <c r="V474" s="42"/>
      <c r="W474" s="42"/>
      <c r="X474" s="42"/>
      <c r="Y474" s="42"/>
      <c r="Z474" s="42"/>
      <c r="AA474" s="42"/>
      <c r="AB474" s="42"/>
      <c r="AC474" s="42"/>
    </row>
    <row r="475" spans="1:29" x14ac:dyDescent="0.25">
      <c r="A475" s="41"/>
      <c r="B475" s="42"/>
      <c r="C475" s="41"/>
      <c r="D475" s="42"/>
      <c r="E475" s="42"/>
      <c r="F475" s="35"/>
      <c r="G475" s="42"/>
      <c r="H475" s="41"/>
      <c r="I475" s="91"/>
      <c r="J475" s="91"/>
      <c r="K475" s="91"/>
      <c r="L475" s="41"/>
      <c r="M475" s="41"/>
      <c r="N475" s="42"/>
      <c r="O475" s="42"/>
      <c r="P475" s="42"/>
      <c r="Q475" s="42"/>
      <c r="R475" s="42"/>
      <c r="S475" s="42"/>
      <c r="T475" s="42"/>
      <c r="U475" s="42"/>
      <c r="V475" s="42"/>
      <c r="W475" s="42"/>
      <c r="X475" s="42"/>
      <c r="Y475" s="42"/>
      <c r="Z475" s="42"/>
      <c r="AA475" s="42"/>
      <c r="AB475" s="42"/>
      <c r="AC475" s="42"/>
    </row>
    <row r="476" spans="1:29" x14ac:dyDescent="0.25">
      <c r="A476" s="41"/>
      <c r="B476" s="42"/>
      <c r="C476" s="41"/>
      <c r="D476" s="42"/>
      <c r="E476" s="42"/>
      <c r="F476" s="35"/>
      <c r="G476" s="42"/>
      <c r="H476" s="41"/>
      <c r="I476" s="91"/>
      <c r="J476" s="91"/>
      <c r="K476" s="91"/>
      <c r="L476" s="41"/>
      <c r="M476" s="41"/>
      <c r="N476" s="42"/>
      <c r="O476" s="42"/>
      <c r="P476" s="42"/>
      <c r="Q476" s="42"/>
      <c r="R476" s="42"/>
      <c r="S476" s="42"/>
      <c r="T476" s="42"/>
      <c r="U476" s="42"/>
      <c r="V476" s="42"/>
      <c r="W476" s="42"/>
      <c r="X476" s="42"/>
      <c r="Y476" s="42"/>
      <c r="Z476" s="42"/>
      <c r="AA476" s="42"/>
      <c r="AB476" s="42"/>
      <c r="AC476" s="42"/>
    </row>
    <row r="477" spans="1:29" x14ac:dyDescent="0.25">
      <c r="A477" s="41"/>
      <c r="B477" s="42"/>
      <c r="C477" s="41"/>
      <c r="D477" s="42"/>
      <c r="E477" s="42"/>
      <c r="F477" s="35"/>
      <c r="G477" s="42"/>
      <c r="H477" s="41"/>
      <c r="I477" s="91"/>
      <c r="J477" s="91"/>
      <c r="K477" s="91"/>
      <c r="L477" s="41"/>
      <c r="M477" s="41"/>
      <c r="N477" s="42"/>
      <c r="O477" s="42"/>
      <c r="P477" s="42"/>
      <c r="Q477" s="42"/>
      <c r="R477" s="42"/>
      <c r="S477" s="42"/>
      <c r="T477" s="42"/>
      <c r="U477" s="42"/>
      <c r="V477" s="42"/>
      <c r="W477" s="42"/>
      <c r="X477" s="42"/>
      <c r="Y477" s="42"/>
      <c r="Z477" s="42"/>
      <c r="AA477" s="42"/>
      <c r="AB477" s="42"/>
      <c r="AC477" s="42"/>
    </row>
    <row r="478" spans="1:29" x14ac:dyDescent="0.25">
      <c r="A478" s="41"/>
      <c r="B478" s="42"/>
      <c r="C478" s="41"/>
      <c r="D478" s="42"/>
      <c r="E478" s="42"/>
      <c r="F478" s="35"/>
      <c r="G478" s="42"/>
      <c r="H478" s="41"/>
      <c r="I478" s="91"/>
      <c r="J478" s="91"/>
      <c r="K478" s="91"/>
      <c r="L478" s="41"/>
      <c r="M478" s="41"/>
      <c r="N478" s="42"/>
      <c r="O478" s="42"/>
      <c r="P478" s="42"/>
      <c r="Q478" s="42"/>
      <c r="R478" s="42"/>
      <c r="S478" s="42"/>
      <c r="T478" s="42"/>
      <c r="U478" s="42"/>
      <c r="V478" s="42"/>
      <c r="W478" s="42"/>
      <c r="X478" s="42"/>
      <c r="Y478" s="42"/>
      <c r="Z478" s="42"/>
      <c r="AA478" s="42"/>
      <c r="AB478" s="42"/>
      <c r="AC478" s="42"/>
    </row>
    <row r="479" spans="1:29" x14ac:dyDescent="0.25">
      <c r="A479" s="41"/>
      <c r="B479" s="42"/>
      <c r="C479" s="41"/>
      <c r="D479" s="42"/>
      <c r="E479" s="42"/>
      <c r="F479" s="35"/>
      <c r="G479" s="42"/>
      <c r="H479" s="41"/>
      <c r="I479" s="91"/>
      <c r="J479" s="91"/>
      <c r="K479" s="91"/>
      <c r="L479" s="41"/>
      <c r="M479" s="41"/>
      <c r="N479" s="42"/>
      <c r="O479" s="42"/>
      <c r="P479" s="42"/>
      <c r="Q479" s="42"/>
      <c r="R479" s="42"/>
      <c r="S479" s="42"/>
      <c r="T479" s="42"/>
      <c r="U479" s="42"/>
      <c r="V479" s="42"/>
      <c r="W479" s="42"/>
      <c r="X479" s="42"/>
      <c r="Y479" s="42"/>
      <c r="Z479" s="42"/>
      <c r="AA479" s="42"/>
      <c r="AB479" s="42"/>
      <c r="AC479" s="42"/>
    </row>
    <row r="480" spans="1:29" x14ac:dyDescent="0.25">
      <c r="A480" s="41"/>
      <c r="B480" s="42"/>
      <c r="C480" s="41"/>
      <c r="D480" s="42"/>
      <c r="E480" s="42"/>
      <c r="F480" s="35"/>
      <c r="G480" s="42"/>
      <c r="H480" s="41"/>
      <c r="I480" s="91"/>
      <c r="J480" s="91"/>
      <c r="K480" s="91"/>
      <c r="L480" s="41"/>
      <c r="M480" s="41"/>
      <c r="N480" s="42"/>
      <c r="O480" s="42"/>
      <c r="P480" s="42"/>
      <c r="Q480" s="42"/>
      <c r="R480" s="42"/>
      <c r="S480" s="42"/>
      <c r="T480" s="42"/>
      <c r="U480" s="42"/>
      <c r="V480" s="42"/>
      <c r="W480" s="42"/>
      <c r="X480" s="42"/>
      <c r="Y480" s="42"/>
      <c r="Z480" s="42"/>
      <c r="AA480" s="42"/>
      <c r="AB480" s="42"/>
      <c r="AC480" s="42"/>
    </row>
    <row r="481" spans="1:29" x14ac:dyDescent="0.25">
      <c r="A481" s="41"/>
      <c r="B481" s="42"/>
      <c r="C481" s="41"/>
      <c r="D481" s="42"/>
      <c r="E481" s="42"/>
      <c r="F481" s="35"/>
      <c r="G481" s="42"/>
      <c r="H481" s="41"/>
      <c r="I481" s="91"/>
      <c r="J481" s="91"/>
      <c r="K481" s="91"/>
      <c r="L481" s="41"/>
      <c r="M481" s="41"/>
      <c r="N481" s="42"/>
      <c r="O481" s="42"/>
      <c r="P481" s="42"/>
      <c r="Q481" s="42"/>
      <c r="R481" s="42"/>
      <c r="S481" s="42"/>
      <c r="T481" s="42"/>
      <c r="U481" s="42"/>
      <c r="V481" s="42"/>
      <c r="W481" s="42"/>
      <c r="X481" s="42"/>
      <c r="Y481" s="42"/>
      <c r="Z481" s="42"/>
      <c r="AA481" s="42"/>
      <c r="AB481" s="42"/>
      <c r="AC481" s="42"/>
    </row>
    <row r="482" spans="1:29" x14ac:dyDescent="0.25">
      <c r="A482" s="41"/>
      <c r="B482" s="42"/>
      <c r="C482" s="41"/>
      <c r="D482" s="42"/>
      <c r="E482" s="42"/>
      <c r="F482" s="35"/>
      <c r="G482" s="42"/>
      <c r="H482" s="41"/>
      <c r="I482" s="91"/>
      <c r="J482" s="91"/>
      <c r="K482" s="91"/>
      <c r="L482" s="41"/>
      <c r="M482" s="41"/>
      <c r="N482" s="42"/>
      <c r="O482" s="42"/>
      <c r="P482" s="42"/>
      <c r="Q482" s="42"/>
      <c r="R482" s="42"/>
      <c r="S482" s="42"/>
      <c r="T482" s="42"/>
      <c r="U482" s="42"/>
      <c r="V482" s="42"/>
      <c r="W482" s="42"/>
      <c r="X482" s="42"/>
      <c r="Y482" s="42"/>
      <c r="Z482" s="42"/>
      <c r="AA482" s="42"/>
      <c r="AB482" s="42"/>
      <c r="AC482" s="42"/>
    </row>
    <row r="483" spans="1:29" x14ac:dyDescent="0.25">
      <c r="A483" s="41"/>
      <c r="B483" s="42"/>
      <c r="C483" s="41"/>
      <c r="D483" s="42"/>
      <c r="E483" s="42"/>
      <c r="F483" s="35"/>
      <c r="G483" s="42"/>
      <c r="H483" s="41"/>
      <c r="I483" s="91"/>
      <c r="J483" s="91"/>
      <c r="K483" s="91"/>
      <c r="L483" s="41"/>
      <c r="M483" s="41"/>
      <c r="N483" s="42"/>
      <c r="O483" s="42"/>
      <c r="P483" s="42"/>
      <c r="Q483" s="42"/>
      <c r="R483" s="42"/>
      <c r="S483" s="42"/>
      <c r="T483" s="42"/>
      <c r="U483" s="42"/>
      <c r="V483" s="42"/>
      <c r="W483" s="42"/>
      <c r="X483" s="42"/>
      <c r="Y483" s="42"/>
      <c r="Z483" s="42"/>
      <c r="AA483" s="42"/>
      <c r="AB483" s="42"/>
      <c r="AC483" s="42"/>
    </row>
    <row r="484" spans="1:29" x14ac:dyDescent="0.25">
      <c r="A484" s="41"/>
      <c r="B484" s="42"/>
      <c r="C484" s="41"/>
      <c r="D484" s="42"/>
      <c r="E484" s="42"/>
      <c r="F484" s="35"/>
      <c r="G484" s="42"/>
      <c r="H484" s="41"/>
      <c r="I484" s="91"/>
      <c r="J484" s="91"/>
      <c r="K484" s="91"/>
      <c r="L484" s="41"/>
      <c r="M484" s="41"/>
      <c r="N484" s="42"/>
      <c r="O484" s="42"/>
      <c r="P484" s="42"/>
      <c r="Q484" s="42"/>
      <c r="R484" s="42"/>
      <c r="S484" s="42"/>
      <c r="T484" s="42"/>
      <c r="U484" s="42"/>
      <c r="V484" s="42"/>
      <c r="W484" s="42"/>
      <c r="X484" s="42"/>
      <c r="Y484" s="42"/>
      <c r="Z484" s="42"/>
      <c r="AA484" s="42"/>
      <c r="AB484" s="42"/>
      <c r="AC484" s="42"/>
    </row>
    <row r="485" spans="1:29" x14ac:dyDescent="0.25">
      <c r="A485" s="41"/>
      <c r="B485" s="42"/>
      <c r="C485" s="41"/>
      <c r="D485" s="42"/>
      <c r="E485" s="42"/>
      <c r="F485" s="35"/>
      <c r="G485" s="42"/>
      <c r="H485" s="41"/>
      <c r="I485" s="91"/>
      <c r="J485" s="91"/>
      <c r="K485" s="91"/>
      <c r="L485" s="41"/>
      <c r="M485" s="41"/>
      <c r="N485" s="42"/>
      <c r="O485" s="42"/>
      <c r="P485" s="42"/>
      <c r="Q485" s="42"/>
      <c r="R485" s="42"/>
      <c r="S485" s="42"/>
      <c r="T485" s="42"/>
      <c r="U485" s="42"/>
      <c r="V485" s="42"/>
      <c r="W485" s="42"/>
      <c r="X485" s="42"/>
      <c r="Y485" s="42"/>
      <c r="Z485" s="42"/>
      <c r="AA485" s="42"/>
      <c r="AB485" s="42"/>
      <c r="AC485" s="42"/>
    </row>
    <row r="486" spans="1:29" x14ac:dyDescent="0.25">
      <c r="A486" s="41"/>
      <c r="B486" s="42"/>
      <c r="C486" s="41"/>
      <c r="D486" s="42"/>
      <c r="E486" s="42"/>
      <c r="F486" s="35"/>
      <c r="G486" s="42"/>
      <c r="H486" s="41"/>
      <c r="I486" s="91"/>
      <c r="J486" s="91"/>
      <c r="K486" s="91"/>
      <c r="L486" s="41"/>
      <c r="M486" s="41"/>
      <c r="N486" s="42"/>
      <c r="O486" s="42"/>
      <c r="P486" s="42"/>
      <c r="Q486" s="42"/>
      <c r="R486" s="42"/>
      <c r="S486" s="42"/>
      <c r="T486" s="42"/>
      <c r="U486" s="42"/>
      <c r="V486" s="42"/>
      <c r="W486" s="42"/>
      <c r="X486" s="42"/>
      <c r="Y486" s="42"/>
      <c r="Z486" s="42"/>
      <c r="AA486" s="42"/>
      <c r="AB486" s="42"/>
      <c r="AC486" s="42"/>
    </row>
    <row r="487" spans="1:29" x14ac:dyDescent="0.25">
      <c r="A487" s="41"/>
      <c r="B487" s="42"/>
      <c r="C487" s="41"/>
      <c r="D487" s="42"/>
      <c r="E487" s="42"/>
      <c r="F487" s="35"/>
      <c r="G487" s="42"/>
      <c r="H487" s="41"/>
      <c r="I487" s="91"/>
      <c r="J487" s="91"/>
      <c r="K487" s="91"/>
      <c r="L487" s="41"/>
      <c r="M487" s="41"/>
      <c r="N487" s="42"/>
      <c r="O487" s="42"/>
      <c r="P487" s="42"/>
      <c r="Q487" s="42"/>
      <c r="R487" s="42"/>
      <c r="S487" s="42"/>
      <c r="T487" s="42"/>
      <c r="U487" s="42"/>
      <c r="V487" s="42"/>
      <c r="W487" s="42"/>
      <c r="X487" s="42"/>
      <c r="Y487" s="42"/>
      <c r="Z487" s="42"/>
      <c r="AA487" s="42"/>
      <c r="AB487" s="42"/>
      <c r="AC487" s="42"/>
    </row>
    <row r="488" spans="1:29" x14ac:dyDescent="0.25">
      <c r="A488" s="41"/>
      <c r="B488" s="42"/>
      <c r="C488" s="41"/>
      <c r="D488" s="42"/>
      <c r="E488" s="42"/>
      <c r="F488" s="35"/>
      <c r="G488" s="42"/>
      <c r="H488" s="41"/>
      <c r="I488" s="91"/>
      <c r="J488" s="91"/>
      <c r="K488" s="91"/>
      <c r="L488" s="41"/>
      <c r="M488" s="41"/>
      <c r="N488" s="42"/>
      <c r="O488" s="42"/>
      <c r="P488" s="42"/>
      <c r="Q488" s="42"/>
      <c r="R488" s="42"/>
      <c r="S488" s="42"/>
      <c r="T488" s="42"/>
      <c r="U488" s="42"/>
      <c r="V488" s="42"/>
      <c r="W488" s="42"/>
      <c r="X488" s="42"/>
      <c r="Y488" s="42"/>
      <c r="Z488" s="42"/>
      <c r="AA488" s="42"/>
      <c r="AB488" s="42"/>
      <c r="AC488" s="42"/>
    </row>
    <row r="489" spans="1:29" x14ac:dyDescent="0.25">
      <c r="A489" s="41"/>
      <c r="B489" s="42"/>
      <c r="C489" s="41"/>
      <c r="D489" s="42"/>
      <c r="E489" s="42"/>
      <c r="F489" s="35"/>
      <c r="G489" s="42"/>
      <c r="H489" s="41"/>
      <c r="I489" s="91"/>
      <c r="J489" s="91"/>
      <c r="K489" s="91"/>
      <c r="L489" s="41"/>
      <c r="M489" s="41"/>
      <c r="N489" s="42"/>
      <c r="O489" s="42"/>
      <c r="P489" s="42"/>
      <c r="Q489" s="42"/>
      <c r="R489" s="42"/>
      <c r="S489" s="42"/>
      <c r="T489" s="42"/>
      <c r="U489" s="42"/>
      <c r="V489" s="42"/>
      <c r="W489" s="42"/>
      <c r="X489" s="42"/>
      <c r="Y489" s="42"/>
      <c r="Z489" s="42"/>
      <c r="AA489" s="42"/>
      <c r="AB489" s="42"/>
      <c r="AC489" s="42"/>
    </row>
    <row r="490" spans="1:29" x14ac:dyDescent="0.25">
      <c r="A490" s="41"/>
      <c r="B490" s="42"/>
      <c r="C490" s="41"/>
      <c r="D490" s="42"/>
      <c r="E490" s="42"/>
      <c r="F490" s="35"/>
      <c r="G490" s="42"/>
      <c r="H490" s="41"/>
      <c r="I490" s="91"/>
      <c r="J490" s="91"/>
      <c r="K490" s="91"/>
      <c r="L490" s="41"/>
      <c r="M490" s="41"/>
      <c r="N490" s="42"/>
      <c r="O490" s="42"/>
      <c r="P490" s="42"/>
      <c r="Q490" s="42"/>
      <c r="R490" s="42"/>
      <c r="S490" s="42"/>
      <c r="T490" s="42"/>
      <c r="U490" s="42"/>
      <c r="V490" s="42"/>
      <c r="W490" s="42"/>
      <c r="X490" s="42"/>
      <c r="Y490" s="42"/>
      <c r="Z490" s="42"/>
      <c r="AA490" s="42"/>
      <c r="AB490" s="42"/>
      <c r="AC490" s="42"/>
    </row>
    <row r="491" spans="1:29" x14ac:dyDescent="0.25">
      <c r="A491" s="41"/>
      <c r="B491" s="42"/>
      <c r="C491" s="41"/>
      <c r="D491" s="42"/>
      <c r="E491" s="42"/>
      <c r="F491" s="35"/>
      <c r="G491" s="42"/>
      <c r="H491" s="41"/>
      <c r="I491" s="91"/>
      <c r="J491" s="91"/>
      <c r="K491" s="91"/>
      <c r="L491" s="41"/>
      <c r="M491" s="41"/>
      <c r="N491" s="42"/>
      <c r="O491" s="42"/>
      <c r="P491" s="42"/>
      <c r="Q491" s="42"/>
      <c r="R491" s="42"/>
      <c r="S491" s="42"/>
      <c r="T491" s="42"/>
      <c r="U491" s="42"/>
      <c r="V491" s="42"/>
      <c r="W491" s="42"/>
      <c r="X491" s="42"/>
      <c r="Y491" s="42"/>
      <c r="Z491" s="42"/>
      <c r="AA491" s="42"/>
      <c r="AB491" s="42"/>
      <c r="AC491" s="42"/>
    </row>
    <row r="492" spans="1:29" x14ac:dyDescent="0.25">
      <c r="A492" s="41"/>
      <c r="B492" s="42"/>
      <c r="C492" s="41"/>
      <c r="D492" s="42"/>
      <c r="E492" s="42"/>
      <c r="F492" s="35"/>
      <c r="G492" s="42"/>
      <c r="H492" s="41"/>
      <c r="I492" s="91"/>
      <c r="J492" s="91"/>
      <c r="K492" s="91"/>
      <c r="L492" s="41"/>
      <c r="M492" s="41"/>
      <c r="N492" s="42"/>
      <c r="O492" s="42"/>
      <c r="P492" s="42"/>
      <c r="Q492" s="42"/>
      <c r="R492" s="42"/>
      <c r="S492" s="42"/>
      <c r="T492" s="42"/>
      <c r="U492" s="42"/>
      <c r="V492" s="42"/>
      <c r="W492" s="42"/>
      <c r="X492" s="42"/>
      <c r="Y492" s="42"/>
      <c r="Z492" s="42"/>
      <c r="AA492" s="42"/>
      <c r="AB492" s="42"/>
      <c r="AC492" s="42"/>
    </row>
    <row r="493" spans="1:29" x14ac:dyDescent="0.25">
      <c r="A493" s="41"/>
      <c r="B493" s="42"/>
      <c r="C493" s="41"/>
      <c r="D493" s="42"/>
      <c r="E493" s="42"/>
      <c r="F493" s="35"/>
      <c r="G493" s="42"/>
      <c r="H493" s="41"/>
      <c r="I493" s="91"/>
      <c r="J493" s="91"/>
      <c r="K493" s="91"/>
      <c r="L493" s="41"/>
      <c r="M493" s="41"/>
      <c r="N493" s="42"/>
      <c r="O493" s="42"/>
      <c r="P493" s="42"/>
      <c r="Q493" s="42"/>
      <c r="R493" s="42"/>
      <c r="S493" s="42"/>
      <c r="T493" s="42"/>
      <c r="U493" s="42"/>
      <c r="V493" s="42"/>
      <c r="W493" s="42"/>
      <c r="X493" s="42"/>
      <c r="Y493" s="42"/>
      <c r="Z493" s="42"/>
      <c r="AA493" s="42"/>
      <c r="AB493" s="42"/>
      <c r="AC493" s="42"/>
    </row>
    <row r="494" spans="1:29" x14ac:dyDescent="0.25">
      <c r="A494" s="41"/>
      <c r="B494" s="42"/>
      <c r="C494" s="41"/>
      <c r="D494" s="42"/>
      <c r="E494" s="42"/>
      <c r="F494" s="35"/>
      <c r="G494" s="42"/>
      <c r="H494" s="41"/>
      <c r="I494" s="91"/>
      <c r="J494" s="91"/>
      <c r="K494" s="91"/>
      <c r="L494" s="41"/>
      <c r="M494" s="41"/>
      <c r="N494" s="42"/>
      <c r="O494" s="42"/>
      <c r="P494" s="42"/>
      <c r="Q494" s="42"/>
      <c r="R494" s="42"/>
      <c r="S494" s="42"/>
      <c r="T494" s="42"/>
      <c r="U494" s="42"/>
      <c r="V494" s="42"/>
      <c r="W494" s="42"/>
      <c r="X494" s="42"/>
      <c r="Y494" s="42"/>
      <c r="Z494" s="42"/>
      <c r="AA494" s="42"/>
      <c r="AB494" s="42"/>
      <c r="AC494" s="42"/>
    </row>
    <row r="495" spans="1:29" x14ac:dyDescent="0.25">
      <c r="A495" s="41"/>
      <c r="B495" s="42"/>
      <c r="C495" s="41"/>
      <c r="D495" s="42"/>
      <c r="E495" s="42"/>
      <c r="F495" s="35"/>
      <c r="G495" s="42"/>
      <c r="H495" s="41"/>
      <c r="I495" s="91"/>
      <c r="J495" s="91"/>
      <c r="K495" s="91"/>
      <c r="L495" s="41"/>
      <c r="M495" s="41"/>
      <c r="N495" s="42"/>
      <c r="O495" s="42"/>
      <c r="P495" s="42"/>
      <c r="Q495" s="42"/>
      <c r="R495" s="42"/>
      <c r="S495" s="42"/>
      <c r="T495" s="42"/>
      <c r="U495" s="42"/>
      <c r="V495" s="42"/>
      <c r="W495" s="42"/>
      <c r="X495" s="42"/>
      <c r="Y495" s="42"/>
      <c r="Z495" s="42"/>
      <c r="AA495" s="42"/>
      <c r="AB495" s="42"/>
      <c r="AC495" s="42"/>
    </row>
    <row r="496" spans="1:29" x14ac:dyDescent="0.25">
      <c r="A496" s="41"/>
      <c r="B496" s="42"/>
      <c r="C496" s="41"/>
      <c r="D496" s="42"/>
      <c r="E496" s="42"/>
      <c r="F496" s="35"/>
      <c r="G496" s="42"/>
      <c r="H496" s="41"/>
      <c r="I496" s="91"/>
      <c r="J496" s="91"/>
      <c r="K496" s="91"/>
      <c r="L496" s="41"/>
      <c r="M496" s="41"/>
      <c r="N496" s="42"/>
      <c r="O496" s="42"/>
      <c r="P496" s="42"/>
      <c r="Q496" s="42"/>
      <c r="R496" s="42"/>
      <c r="S496" s="42"/>
      <c r="T496" s="42"/>
      <c r="U496" s="42"/>
      <c r="V496" s="42"/>
      <c r="W496" s="42"/>
      <c r="X496" s="42"/>
      <c r="Y496" s="42"/>
      <c r="Z496" s="42"/>
      <c r="AA496" s="42"/>
      <c r="AB496" s="42"/>
      <c r="AC496" s="42"/>
    </row>
    <row r="497" spans="1:29" x14ac:dyDescent="0.25">
      <c r="A497" s="41"/>
      <c r="B497" s="42"/>
      <c r="C497" s="41"/>
      <c r="D497" s="42"/>
      <c r="E497" s="42"/>
      <c r="F497" s="35"/>
      <c r="G497" s="42"/>
      <c r="H497" s="41"/>
      <c r="I497" s="91"/>
      <c r="J497" s="91"/>
      <c r="K497" s="91"/>
      <c r="L497" s="41"/>
      <c r="M497" s="41"/>
      <c r="N497" s="42"/>
      <c r="O497" s="42"/>
      <c r="P497" s="42"/>
      <c r="Q497" s="42"/>
      <c r="R497" s="42"/>
      <c r="S497" s="42"/>
      <c r="T497" s="42"/>
      <c r="U497" s="42"/>
      <c r="V497" s="42"/>
      <c r="W497" s="42"/>
      <c r="X497" s="42"/>
      <c r="Y497" s="42"/>
      <c r="Z497" s="42"/>
      <c r="AA497" s="42"/>
      <c r="AB497" s="42"/>
      <c r="AC497" s="42"/>
    </row>
    <row r="498" spans="1:29" x14ac:dyDescent="0.25">
      <c r="A498" s="41"/>
      <c r="B498" s="42"/>
      <c r="C498" s="41"/>
      <c r="D498" s="42"/>
      <c r="E498" s="42"/>
      <c r="F498" s="35"/>
      <c r="G498" s="42"/>
      <c r="H498" s="41"/>
      <c r="I498" s="91"/>
      <c r="J498" s="91"/>
      <c r="K498" s="91"/>
      <c r="L498" s="41"/>
      <c r="M498" s="41"/>
      <c r="N498" s="42"/>
      <c r="O498" s="42"/>
      <c r="P498" s="42"/>
      <c r="Q498" s="42"/>
      <c r="R498" s="42"/>
      <c r="S498" s="42"/>
      <c r="T498" s="42"/>
      <c r="U498" s="42"/>
      <c r="V498" s="42"/>
      <c r="W498" s="42"/>
      <c r="X498" s="42"/>
      <c r="Y498" s="42"/>
      <c r="Z498" s="42"/>
      <c r="AA498" s="42"/>
      <c r="AB498" s="42"/>
      <c r="AC498" s="42"/>
    </row>
    <row r="499" spans="1:29" x14ac:dyDescent="0.25">
      <c r="A499" s="41"/>
      <c r="B499" s="42"/>
      <c r="C499" s="41"/>
      <c r="D499" s="42"/>
      <c r="E499" s="42"/>
      <c r="F499" s="35"/>
      <c r="G499" s="42"/>
      <c r="H499" s="41"/>
      <c r="I499" s="91"/>
      <c r="J499" s="91"/>
      <c r="K499" s="91"/>
      <c r="L499" s="41"/>
      <c r="M499" s="41"/>
      <c r="N499" s="42"/>
      <c r="O499" s="42"/>
      <c r="P499" s="42"/>
      <c r="Q499" s="42"/>
      <c r="R499" s="42"/>
      <c r="S499" s="42"/>
      <c r="T499" s="42"/>
      <c r="U499" s="42"/>
      <c r="V499" s="42"/>
      <c r="W499" s="42"/>
      <c r="X499" s="42"/>
      <c r="Y499" s="42"/>
      <c r="Z499" s="42"/>
      <c r="AA499" s="42"/>
      <c r="AB499" s="42"/>
      <c r="AC499" s="42"/>
    </row>
    <row r="500" spans="1:29" x14ac:dyDescent="0.25">
      <c r="A500" s="41"/>
      <c r="B500" s="42"/>
      <c r="C500" s="41"/>
      <c r="D500" s="42"/>
      <c r="E500" s="42"/>
      <c r="F500" s="35"/>
      <c r="G500" s="42"/>
      <c r="H500" s="41"/>
      <c r="I500" s="91"/>
      <c r="J500" s="91"/>
      <c r="K500" s="91"/>
      <c r="L500" s="41"/>
      <c r="M500" s="41"/>
      <c r="N500" s="42"/>
      <c r="O500" s="42"/>
      <c r="P500" s="42"/>
      <c r="Q500" s="42"/>
      <c r="R500" s="42"/>
      <c r="S500" s="42"/>
      <c r="T500" s="42"/>
      <c r="U500" s="42"/>
      <c r="V500" s="42"/>
      <c r="W500" s="42"/>
      <c r="X500" s="42"/>
      <c r="Y500" s="42"/>
      <c r="Z500" s="42"/>
      <c r="AA500" s="42"/>
      <c r="AB500" s="42"/>
      <c r="AC500" s="42"/>
    </row>
    <row r="501" spans="1:29" x14ac:dyDescent="0.25">
      <c r="A501" s="41"/>
      <c r="B501" s="42"/>
      <c r="C501" s="41"/>
      <c r="D501" s="42"/>
      <c r="E501" s="42"/>
      <c r="F501" s="35"/>
      <c r="G501" s="42"/>
      <c r="H501" s="41"/>
      <c r="I501" s="91"/>
      <c r="J501" s="91"/>
      <c r="K501" s="91"/>
      <c r="L501" s="41"/>
      <c r="M501" s="41"/>
      <c r="N501" s="42"/>
      <c r="O501" s="42"/>
      <c r="P501" s="42"/>
      <c r="Q501" s="42"/>
      <c r="R501" s="42"/>
      <c r="S501" s="42"/>
      <c r="T501" s="42"/>
      <c r="U501" s="42"/>
      <c r="V501" s="42"/>
      <c r="W501" s="42"/>
      <c r="X501" s="42"/>
      <c r="Y501" s="42"/>
      <c r="Z501" s="42"/>
      <c r="AA501" s="42"/>
      <c r="AB501" s="42"/>
      <c r="AC501" s="42"/>
    </row>
    <row r="502" spans="1:29" x14ac:dyDescent="0.25">
      <c r="A502" s="41"/>
      <c r="B502" s="42"/>
      <c r="C502" s="41"/>
      <c r="D502" s="42"/>
      <c r="E502" s="42"/>
      <c r="F502" s="35"/>
      <c r="G502" s="42"/>
      <c r="H502" s="41"/>
      <c r="I502" s="91"/>
      <c r="J502" s="91"/>
      <c r="K502" s="91"/>
      <c r="L502" s="41"/>
      <c r="M502" s="41"/>
      <c r="N502" s="42"/>
      <c r="O502" s="42"/>
      <c r="P502" s="42"/>
      <c r="Q502" s="42"/>
      <c r="R502" s="42"/>
      <c r="S502" s="42"/>
      <c r="T502" s="42"/>
      <c r="U502" s="42"/>
      <c r="V502" s="42"/>
      <c r="W502" s="42"/>
      <c r="X502" s="42"/>
      <c r="Y502" s="42"/>
      <c r="Z502" s="42"/>
      <c r="AA502" s="42"/>
      <c r="AB502" s="42"/>
      <c r="AC502" s="42"/>
    </row>
    <row r="503" spans="1:29" x14ac:dyDescent="0.25">
      <c r="A503" s="41"/>
      <c r="B503" s="42"/>
      <c r="C503" s="41"/>
      <c r="D503" s="42"/>
      <c r="E503" s="42"/>
      <c r="F503" s="35"/>
      <c r="G503" s="42"/>
      <c r="H503" s="41"/>
      <c r="I503" s="91"/>
      <c r="J503" s="91"/>
      <c r="K503" s="91"/>
      <c r="L503" s="41"/>
      <c r="M503" s="41"/>
      <c r="N503" s="42"/>
      <c r="O503" s="42"/>
      <c r="P503" s="42"/>
      <c r="Q503" s="42"/>
      <c r="R503" s="42"/>
      <c r="S503" s="42"/>
      <c r="T503" s="42"/>
      <c r="U503" s="42"/>
      <c r="V503" s="42"/>
      <c r="W503" s="42"/>
      <c r="X503" s="42"/>
      <c r="Y503" s="42"/>
      <c r="Z503" s="42"/>
      <c r="AA503" s="42"/>
      <c r="AB503" s="42"/>
      <c r="AC503" s="42"/>
    </row>
    <row r="504" spans="1:29" x14ac:dyDescent="0.25">
      <c r="A504" s="41"/>
      <c r="B504" s="42"/>
      <c r="C504" s="41"/>
      <c r="D504" s="42"/>
      <c r="E504" s="42"/>
      <c r="F504" s="35"/>
      <c r="G504" s="42"/>
      <c r="H504" s="41"/>
      <c r="I504" s="91"/>
      <c r="J504" s="91"/>
      <c r="K504" s="91"/>
      <c r="L504" s="41"/>
      <c r="M504" s="41"/>
      <c r="N504" s="42"/>
      <c r="O504" s="42"/>
      <c r="P504" s="42"/>
      <c r="Q504" s="42"/>
      <c r="R504" s="42"/>
      <c r="S504" s="42"/>
      <c r="T504" s="42"/>
      <c r="U504" s="42"/>
      <c r="V504" s="42"/>
      <c r="W504" s="42"/>
      <c r="X504" s="42"/>
      <c r="Y504" s="42"/>
      <c r="Z504" s="42"/>
      <c r="AA504" s="42"/>
      <c r="AB504" s="42"/>
      <c r="AC504" s="42"/>
    </row>
    <row r="505" spans="1:29" x14ac:dyDescent="0.25">
      <c r="A505" s="41"/>
      <c r="B505" s="42"/>
      <c r="C505" s="41"/>
      <c r="D505" s="42"/>
      <c r="E505" s="42"/>
      <c r="F505" s="35"/>
      <c r="G505" s="42"/>
      <c r="H505" s="41"/>
      <c r="I505" s="91"/>
      <c r="J505" s="91"/>
      <c r="K505" s="91"/>
      <c r="L505" s="41"/>
      <c r="M505" s="41"/>
      <c r="N505" s="42"/>
      <c r="O505" s="42"/>
      <c r="P505" s="42"/>
      <c r="Q505" s="42"/>
      <c r="R505" s="42"/>
      <c r="S505" s="42"/>
      <c r="T505" s="42"/>
      <c r="U505" s="42"/>
      <c r="V505" s="42"/>
      <c r="W505" s="42"/>
      <c r="X505" s="42"/>
      <c r="Y505" s="42"/>
      <c r="Z505" s="42"/>
      <c r="AA505" s="42"/>
      <c r="AB505" s="42"/>
      <c r="AC505" s="42"/>
    </row>
    <row r="506" spans="1:29" x14ac:dyDescent="0.25">
      <c r="A506" s="41"/>
      <c r="B506" s="42"/>
      <c r="C506" s="41"/>
      <c r="D506" s="42"/>
      <c r="E506" s="42"/>
      <c r="F506" s="35"/>
      <c r="G506" s="42"/>
      <c r="H506" s="41"/>
      <c r="I506" s="91"/>
      <c r="J506" s="91"/>
      <c r="K506" s="91"/>
      <c r="L506" s="41"/>
      <c r="M506" s="41"/>
      <c r="N506" s="42"/>
      <c r="O506" s="42"/>
      <c r="P506" s="42"/>
      <c r="Q506" s="42"/>
      <c r="R506" s="42"/>
      <c r="S506" s="42"/>
      <c r="T506" s="42"/>
      <c r="U506" s="42"/>
      <c r="V506" s="42"/>
      <c r="W506" s="42"/>
      <c r="X506" s="42"/>
      <c r="Y506" s="42"/>
      <c r="Z506" s="42"/>
      <c r="AA506" s="42"/>
      <c r="AB506" s="42"/>
      <c r="AC506" s="42"/>
    </row>
    <row r="507" spans="1:29" x14ac:dyDescent="0.25">
      <c r="A507" s="41"/>
      <c r="B507" s="42"/>
      <c r="C507" s="41"/>
      <c r="D507" s="42"/>
      <c r="E507" s="42"/>
      <c r="F507" s="35"/>
      <c r="G507" s="42"/>
      <c r="H507" s="41"/>
      <c r="I507" s="91"/>
      <c r="J507" s="91"/>
      <c r="K507" s="91"/>
      <c r="L507" s="41"/>
      <c r="M507" s="41"/>
      <c r="N507" s="42"/>
      <c r="O507" s="42"/>
      <c r="P507" s="42"/>
      <c r="Q507" s="42"/>
      <c r="R507" s="42"/>
      <c r="S507" s="42"/>
      <c r="T507" s="42"/>
      <c r="U507" s="42"/>
      <c r="V507" s="42"/>
      <c r="W507" s="42"/>
      <c r="X507" s="42"/>
      <c r="Y507" s="42"/>
      <c r="Z507" s="42"/>
      <c r="AA507" s="42"/>
      <c r="AB507" s="42"/>
      <c r="AC507" s="42"/>
    </row>
    <row r="508" spans="1:29" x14ac:dyDescent="0.25">
      <c r="A508" s="41"/>
      <c r="B508" s="42"/>
      <c r="C508" s="41"/>
      <c r="D508" s="42"/>
      <c r="E508" s="42"/>
      <c r="F508" s="35"/>
      <c r="G508" s="42"/>
      <c r="H508" s="41"/>
      <c r="I508" s="91"/>
      <c r="J508" s="91"/>
      <c r="K508" s="91"/>
      <c r="L508" s="41"/>
      <c r="M508" s="41"/>
      <c r="N508" s="42"/>
      <c r="O508" s="42"/>
      <c r="P508" s="42"/>
      <c r="Q508" s="42"/>
      <c r="R508" s="42"/>
      <c r="S508" s="42"/>
      <c r="T508" s="42"/>
      <c r="U508" s="42"/>
      <c r="V508" s="42"/>
      <c r="W508" s="42"/>
      <c r="X508" s="42"/>
      <c r="Y508" s="42"/>
      <c r="Z508" s="42"/>
      <c r="AA508" s="42"/>
      <c r="AB508" s="42"/>
      <c r="AC508" s="42"/>
    </row>
    <row r="509" spans="1:29" x14ac:dyDescent="0.25">
      <c r="A509" s="41"/>
      <c r="B509" s="42"/>
      <c r="C509" s="41"/>
      <c r="D509" s="42"/>
      <c r="E509" s="42"/>
      <c r="F509" s="35"/>
      <c r="G509" s="42"/>
      <c r="H509" s="41"/>
      <c r="I509" s="91"/>
      <c r="J509" s="91"/>
      <c r="K509" s="91"/>
      <c r="L509" s="41"/>
      <c r="M509" s="41"/>
      <c r="N509" s="42"/>
      <c r="O509" s="42"/>
      <c r="P509" s="42"/>
      <c r="Q509" s="42"/>
      <c r="R509" s="42"/>
      <c r="S509" s="42"/>
      <c r="T509" s="42"/>
      <c r="U509" s="42"/>
      <c r="V509" s="42"/>
      <c r="W509" s="42"/>
      <c r="X509" s="42"/>
      <c r="Y509" s="42"/>
      <c r="Z509" s="42"/>
      <c r="AA509" s="42"/>
      <c r="AB509" s="42"/>
      <c r="AC509" s="42"/>
    </row>
    <row r="510" spans="1:29" x14ac:dyDescent="0.25">
      <c r="A510" s="41"/>
      <c r="B510" s="42"/>
      <c r="C510" s="41"/>
      <c r="D510" s="42"/>
      <c r="E510" s="42"/>
      <c r="F510" s="35"/>
      <c r="G510" s="42"/>
      <c r="H510" s="41"/>
      <c r="I510" s="91"/>
      <c r="J510" s="91"/>
      <c r="K510" s="91"/>
      <c r="L510" s="41"/>
      <c r="M510" s="41"/>
      <c r="N510" s="42"/>
      <c r="O510" s="42"/>
      <c r="P510" s="42"/>
      <c r="Q510" s="42"/>
      <c r="R510" s="42"/>
      <c r="S510" s="42"/>
      <c r="T510" s="42"/>
      <c r="U510" s="42"/>
      <c r="V510" s="42"/>
      <c r="W510" s="42"/>
      <c r="X510" s="42"/>
      <c r="Y510" s="42"/>
      <c r="Z510" s="42"/>
      <c r="AA510" s="42"/>
      <c r="AB510" s="42"/>
      <c r="AC510" s="42"/>
    </row>
    <row r="511" spans="1:29" x14ac:dyDescent="0.25">
      <c r="A511" s="41"/>
      <c r="B511" s="42"/>
      <c r="C511" s="41"/>
      <c r="D511" s="42"/>
      <c r="E511" s="42"/>
      <c r="F511" s="35"/>
      <c r="G511" s="42"/>
      <c r="H511" s="41"/>
      <c r="I511" s="91"/>
      <c r="J511" s="91"/>
      <c r="K511" s="91"/>
      <c r="L511" s="41"/>
      <c r="M511" s="41"/>
      <c r="N511" s="42"/>
      <c r="O511" s="42"/>
      <c r="P511" s="42"/>
      <c r="Q511" s="42"/>
      <c r="R511" s="42"/>
      <c r="S511" s="42"/>
      <c r="T511" s="42"/>
      <c r="U511" s="42"/>
      <c r="V511" s="42"/>
      <c r="W511" s="42"/>
      <c r="X511" s="42"/>
      <c r="Y511" s="42"/>
      <c r="Z511" s="42"/>
      <c r="AA511" s="42"/>
      <c r="AB511" s="42"/>
      <c r="AC511" s="42"/>
    </row>
    <row r="512" spans="1:29" x14ac:dyDescent="0.25">
      <c r="A512" s="41"/>
      <c r="B512" s="42"/>
      <c r="C512" s="41"/>
      <c r="D512" s="42"/>
      <c r="E512" s="42"/>
      <c r="F512" s="35"/>
      <c r="G512" s="42"/>
      <c r="H512" s="41"/>
      <c r="I512" s="91"/>
      <c r="J512" s="91"/>
      <c r="K512" s="91"/>
      <c r="L512" s="41"/>
      <c r="M512" s="41"/>
      <c r="N512" s="42"/>
      <c r="O512" s="42"/>
      <c r="P512" s="42"/>
      <c r="Q512" s="42"/>
      <c r="R512" s="42"/>
      <c r="S512" s="42"/>
      <c r="T512" s="42"/>
      <c r="U512" s="42"/>
      <c r="V512" s="42"/>
      <c r="W512" s="42"/>
      <c r="X512" s="42"/>
      <c r="Y512" s="42"/>
      <c r="Z512" s="42"/>
      <c r="AA512" s="42"/>
      <c r="AB512" s="42"/>
      <c r="AC512" s="42"/>
    </row>
    <row r="513" spans="1:29" x14ac:dyDescent="0.25">
      <c r="A513" s="41"/>
      <c r="B513" s="42"/>
      <c r="C513" s="41"/>
      <c r="D513" s="42"/>
      <c r="E513" s="42"/>
      <c r="F513" s="35"/>
      <c r="G513" s="42"/>
      <c r="H513" s="41"/>
      <c r="I513" s="91"/>
      <c r="J513" s="91"/>
      <c r="K513" s="91"/>
      <c r="L513" s="41"/>
      <c r="M513" s="41"/>
      <c r="N513" s="42"/>
      <c r="O513" s="42"/>
      <c r="P513" s="42"/>
      <c r="Q513" s="42"/>
      <c r="R513" s="42"/>
      <c r="S513" s="42"/>
      <c r="T513" s="42"/>
      <c r="U513" s="42"/>
      <c r="V513" s="42"/>
      <c r="W513" s="42"/>
      <c r="X513" s="42"/>
      <c r="Y513" s="42"/>
      <c r="Z513" s="42"/>
      <c r="AA513" s="42"/>
      <c r="AB513" s="42"/>
      <c r="AC513" s="42"/>
    </row>
    <row r="514" spans="1:29" x14ac:dyDescent="0.25">
      <c r="A514" s="41"/>
      <c r="B514" s="42"/>
      <c r="C514" s="41"/>
      <c r="D514" s="42"/>
      <c r="E514" s="42"/>
      <c r="F514" s="35"/>
      <c r="G514" s="42"/>
      <c r="H514" s="41"/>
      <c r="I514" s="91"/>
      <c r="J514" s="91"/>
      <c r="K514" s="91"/>
      <c r="L514" s="41"/>
      <c r="M514" s="41"/>
      <c r="N514" s="42"/>
      <c r="O514" s="42"/>
      <c r="P514" s="42"/>
      <c r="Q514" s="42"/>
      <c r="R514" s="42"/>
      <c r="S514" s="42"/>
      <c r="T514" s="42"/>
      <c r="U514" s="42"/>
      <c r="V514" s="42"/>
      <c r="W514" s="42"/>
      <c r="X514" s="42"/>
      <c r="Y514" s="42"/>
      <c r="Z514" s="42"/>
      <c r="AA514" s="42"/>
      <c r="AB514" s="42"/>
      <c r="AC514" s="42"/>
    </row>
    <row r="515" spans="1:29" x14ac:dyDescent="0.25">
      <c r="A515" s="41"/>
      <c r="B515" s="42"/>
      <c r="C515" s="41"/>
      <c r="D515" s="42"/>
      <c r="E515" s="42"/>
      <c r="F515" s="35"/>
      <c r="G515" s="42"/>
      <c r="H515" s="41"/>
      <c r="I515" s="91"/>
      <c r="J515" s="91"/>
      <c r="K515" s="91"/>
      <c r="L515" s="41"/>
      <c r="M515" s="41"/>
      <c r="N515" s="42"/>
      <c r="O515" s="42"/>
      <c r="P515" s="42"/>
      <c r="Q515" s="42"/>
      <c r="R515" s="42"/>
      <c r="S515" s="42"/>
      <c r="T515" s="42"/>
      <c r="U515" s="42"/>
      <c r="V515" s="42"/>
      <c r="W515" s="42"/>
      <c r="X515" s="42"/>
      <c r="Y515" s="42"/>
      <c r="Z515" s="42"/>
      <c r="AA515" s="42"/>
      <c r="AB515" s="42"/>
      <c r="AC515" s="42"/>
    </row>
    <row r="516" spans="1:29" x14ac:dyDescent="0.25">
      <c r="A516" s="41"/>
      <c r="B516" s="42"/>
      <c r="C516" s="41"/>
      <c r="D516" s="42"/>
      <c r="E516" s="42"/>
      <c r="F516" s="35"/>
      <c r="G516" s="42"/>
      <c r="H516" s="41"/>
      <c r="I516" s="91"/>
      <c r="J516" s="91"/>
      <c r="K516" s="91"/>
      <c r="L516" s="41"/>
      <c r="M516" s="41"/>
      <c r="N516" s="42"/>
      <c r="O516" s="42"/>
      <c r="P516" s="42"/>
      <c r="Q516" s="42"/>
      <c r="R516" s="42"/>
      <c r="S516" s="42"/>
      <c r="T516" s="42"/>
      <c r="U516" s="42"/>
      <c r="V516" s="42"/>
      <c r="W516" s="42"/>
      <c r="X516" s="42"/>
      <c r="Y516" s="42"/>
      <c r="Z516" s="42"/>
      <c r="AA516" s="42"/>
      <c r="AB516" s="42"/>
      <c r="AC516" s="42"/>
    </row>
    <row r="517" spans="1:29" x14ac:dyDescent="0.25">
      <c r="A517" s="41"/>
      <c r="B517" s="42"/>
      <c r="C517" s="41"/>
      <c r="D517" s="42"/>
      <c r="E517" s="42"/>
      <c r="F517" s="35"/>
      <c r="G517" s="42"/>
      <c r="H517" s="41"/>
      <c r="I517" s="91"/>
      <c r="J517" s="91"/>
      <c r="K517" s="91"/>
      <c r="L517" s="41"/>
      <c r="M517" s="41"/>
      <c r="N517" s="42"/>
      <c r="O517" s="42"/>
      <c r="P517" s="42"/>
      <c r="Q517" s="42"/>
      <c r="R517" s="42"/>
      <c r="S517" s="42"/>
      <c r="T517" s="42"/>
      <c r="U517" s="42"/>
      <c r="V517" s="42"/>
      <c r="W517" s="42"/>
      <c r="X517" s="42"/>
      <c r="Y517" s="42"/>
      <c r="Z517" s="42"/>
      <c r="AA517" s="42"/>
      <c r="AB517" s="42"/>
      <c r="AC517" s="42"/>
    </row>
    <row r="518" spans="1:29" x14ac:dyDescent="0.25">
      <c r="A518" s="41"/>
      <c r="B518" s="42"/>
      <c r="C518" s="41"/>
      <c r="D518" s="42"/>
      <c r="E518" s="42"/>
      <c r="F518" s="35"/>
      <c r="G518" s="42"/>
      <c r="H518" s="41"/>
      <c r="I518" s="91"/>
      <c r="J518" s="91"/>
      <c r="K518" s="91"/>
      <c r="L518" s="41"/>
      <c r="M518" s="41"/>
      <c r="N518" s="42"/>
      <c r="O518" s="42"/>
      <c r="P518" s="42"/>
      <c r="Q518" s="42"/>
      <c r="R518" s="42"/>
      <c r="S518" s="42"/>
      <c r="T518" s="42"/>
      <c r="U518" s="42"/>
      <c r="V518" s="42"/>
      <c r="W518" s="42"/>
      <c r="X518" s="42"/>
      <c r="Y518" s="42"/>
      <c r="Z518" s="42"/>
      <c r="AA518" s="42"/>
      <c r="AB518" s="42"/>
      <c r="AC518" s="42"/>
    </row>
    <row r="519" spans="1:29" x14ac:dyDescent="0.25">
      <c r="A519" s="41"/>
      <c r="B519" s="42"/>
      <c r="C519" s="41"/>
      <c r="D519" s="42"/>
      <c r="E519" s="42"/>
      <c r="F519" s="35"/>
      <c r="G519" s="42"/>
      <c r="H519" s="41"/>
      <c r="I519" s="91"/>
      <c r="J519" s="91"/>
      <c r="K519" s="91"/>
      <c r="L519" s="41"/>
      <c r="M519" s="41"/>
      <c r="N519" s="42"/>
      <c r="O519" s="42"/>
      <c r="P519" s="42"/>
      <c r="Q519" s="42"/>
      <c r="R519" s="42"/>
      <c r="S519" s="42"/>
      <c r="T519" s="42"/>
      <c r="U519" s="42"/>
      <c r="V519" s="42"/>
      <c r="W519" s="42"/>
      <c r="X519" s="42"/>
      <c r="Y519" s="42"/>
      <c r="Z519" s="42"/>
      <c r="AA519" s="42"/>
      <c r="AB519" s="42"/>
      <c r="AC519" s="42"/>
    </row>
    <row r="520" spans="1:29" x14ac:dyDescent="0.25">
      <c r="A520" s="41"/>
      <c r="B520" s="42"/>
      <c r="C520" s="41"/>
      <c r="D520" s="42"/>
      <c r="E520" s="42"/>
      <c r="F520" s="35"/>
      <c r="G520" s="42"/>
      <c r="H520" s="41"/>
      <c r="I520" s="91"/>
      <c r="J520" s="91"/>
      <c r="K520" s="91"/>
      <c r="L520" s="41"/>
      <c r="M520" s="41"/>
      <c r="N520" s="42"/>
      <c r="O520" s="42"/>
      <c r="P520" s="42"/>
      <c r="Q520" s="42"/>
      <c r="R520" s="42"/>
      <c r="S520" s="42"/>
      <c r="T520" s="42"/>
      <c r="U520" s="42"/>
      <c r="V520" s="42"/>
      <c r="W520" s="42"/>
      <c r="X520" s="42"/>
      <c r="Y520" s="42"/>
      <c r="Z520" s="42"/>
      <c r="AA520" s="42"/>
      <c r="AB520" s="42"/>
      <c r="AC520" s="42"/>
    </row>
    <row r="521" spans="1:29" x14ac:dyDescent="0.25">
      <c r="A521" s="41"/>
      <c r="B521" s="42"/>
      <c r="C521" s="41"/>
      <c r="D521" s="42"/>
      <c r="E521" s="42"/>
      <c r="F521" s="35"/>
      <c r="G521" s="42"/>
      <c r="H521" s="41"/>
      <c r="I521" s="91"/>
      <c r="J521" s="91"/>
      <c r="K521" s="91"/>
      <c r="L521" s="41"/>
      <c r="M521" s="41"/>
      <c r="N521" s="42"/>
      <c r="O521" s="42"/>
      <c r="P521" s="42"/>
      <c r="Q521" s="42"/>
      <c r="R521" s="42"/>
      <c r="S521" s="42"/>
      <c r="T521" s="42"/>
      <c r="U521" s="42"/>
      <c r="V521" s="42"/>
      <c r="W521" s="42"/>
      <c r="X521" s="42"/>
      <c r="Y521" s="42"/>
      <c r="Z521" s="42"/>
      <c r="AA521" s="42"/>
      <c r="AB521" s="42"/>
      <c r="AC521" s="42"/>
    </row>
    <row r="522" spans="1:29" x14ac:dyDescent="0.25">
      <c r="A522" s="41"/>
      <c r="B522" s="42"/>
      <c r="C522" s="41"/>
      <c r="D522" s="42"/>
      <c r="E522" s="42"/>
      <c r="F522" s="35"/>
      <c r="G522" s="42"/>
      <c r="H522" s="41"/>
      <c r="I522" s="91"/>
      <c r="J522" s="91"/>
      <c r="K522" s="91"/>
      <c r="L522" s="41"/>
      <c r="M522" s="41"/>
      <c r="N522" s="42"/>
      <c r="O522" s="42"/>
      <c r="P522" s="42"/>
      <c r="Q522" s="42"/>
      <c r="R522" s="42"/>
      <c r="S522" s="42"/>
      <c r="T522" s="42"/>
      <c r="U522" s="42"/>
      <c r="V522" s="42"/>
      <c r="W522" s="42"/>
      <c r="X522" s="42"/>
      <c r="Y522" s="42"/>
      <c r="Z522" s="42"/>
      <c r="AA522" s="42"/>
      <c r="AB522" s="42"/>
      <c r="AC522" s="42"/>
    </row>
    <row r="523" spans="1:29" x14ac:dyDescent="0.25">
      <c r="A523" s="41"/>
      <c r="B523" s="42"/>
      <c r="C523" s="41"/>
      <c r="D523" s="42"/>
      <c r="E523" s="42"/>
      <c r="F523" s="35"/>
      <c r="G523" s="42"/>
      <c r="H523" s="41"/>
      <c r="I523" s="91"/>
      <c r="J523" s="91"/>
      <c r="K523" s="91"/>
      <c r="L523" s="41"/>
      <c r="M523" s="41"/>
      <c r="N523" s="42"/>
      <c r="O523" s="42"/>
      <c r="P523" s="42"/>
      <c r="Q523" s="42"/>
      <c r="R523" s="42"/>
      <c r="S523" s="42"/>
      <c r="T523" s="42"/>
      <c r="U523" s="42"/>
      <c r="V523" s="42"/>
      <c r="W523" s="42"/>
      <c r="X523" s="42"/>
      <c r="Y523" s="42"/>
      <c r="Z523" s="42"/>
      <c r="AA523" s="42"/>
      <c r="AB523" s="42"/>
      <c r="AC523" s="42"/>
    </row>
    <row r="524" spans="1:29" x14ac:dyDescent="0.25">
      <c r="A524" s="41"/>
      <c r="B524" s="42"/>
      <c r="C524" s="41"/>
      <c r="D524" s="42"/>
      <c r="E524" s="42"/>
      <c r="F524" s="35"/>
      <c r="G524" s="42"/>
      <c r="H524" s="41"/>
      <c r="I524" s="91"/>
      <c r="J524" s="91"/>
      <c r="K524" s="91"/>
      <c r="L524" s="41"/>
      <c r="M524" s="41"/>
      <c r="N524" s="42"/>
      <c r="O524" s="42"/>
      <c r="P524" s="42"/>
      <c r="Q524" s="42"/>
      <c r="R524" s="42"/>
      <c r="S524" s="42"/>
      <c r="T524" s="42"/>
      <c r="U524" s="42"/>
      <c r="V524" s="42"/>
      <c r="W524" s="42"/>
      <c r="X524" s="42"/>
      <c r="Y524" s="42"/>
      <c r="Z524" s="42"/>
      <c r="AA524" s="42"/>
      <c r="AB524" s="42"/>
      <c r="AC524" s="42"/>
    </row>
    <row r="525" spans="1:29" x14ac:dyDescent="0.25">
      <c r="A525" s="41"/>
      <c r="B525" s="42"/>
      <c r="C525" s="41"/>
      <c r="D525" s="42"/>
      <c r="E525" s="42"/>
      <c r="F525" s="35"/>
      <c r="G525" s="42"/>
      <c r="H525" s="41"/>
      <c r="I525" s="91"/>
      <c r="J525" s="91"/>
      <c r="K525" s="91"/>
      <c r="L525" s="41"/>
      <c r="M525" s="41"/>
      <c r="N525" s="42"/>
      <c r="O525" s="42"/>
      <c r="P525" s="42"/>
      <c r="Q525" s="42"/>
      <c r="R525" s="42"/>
      <c r="S525" s="42"/>
      <c r="T525" s="42"/>
      <c r="U525" s="42"/>
      <c r="V525" s="42"/>
      <c r="W525" s="42"/>
      <c r="X525" s="42"/>
      <c r="Y525" s="42"/>
      <c r="Z525" s="42"/>
      <c r="AA525" s="42"/>
      <c r="AB525" s="42"/>
      <c r="AC525" s="42"/>
    </row>
    <row r="526" spans="1:29" x14ac:dyDescent="0.25">
      <c r="A526" s="41"/>
      <c r="B526" s="42"/>
      <c r="C526" s="41"/>
      <c r="D526" s="42"/>
      <c r="E526" s="42"/>
      <c r="F526" s="35"/>
      <c r="G526" s="42"/>
      <c r="H526" s="41"/>
      <c r="I526" s="91"/>
      <c r="J526" s="91"/>
      <c r="K526" s="91"/>
      <c r="L526" s="41"/>
      <c r="M526" s="41"/>
      <c r="N526" s="42"/>
      <c r="O526" s="42"/>
      <c r="P526" s="42"/>
      <c r="Q526" s="42"/>
      <c r="R526" s="42"/>
      <c r="S526" s="42"/>
      <c r="T526" s="42"/>
      <c r="U526" s="42"/>
      <c r="V526" s="42"/>
      <c r="W526" s="42"/>
      <c r="X526" s="42"/>
      <c r="Y526" s="42"/>
      <c r="Z526" s="42"/>
      <c r="AA526" s="42"/>
      <c r="AB526" s="42"/>
      <c r="AC526" s="42"/>
    </row>
    <row r="527" spans="1:29" x14ac:dyDescent="0.25">
      <c r="A527" s="41"/>
      <c r="B527" s="42"/>
      <c r="C527" s="41"/>
      <c r="D527" s="42"/>
      <c r="E527" s="42"/>
      <c r="F527" s="35"/>
      <c r="G527" s="42"/>
      <c r="H527" s="41"/>
      <c r="I527" s="91"/>
      <c r="J527" s="91"/>
      <c r="K527" s="91"/>
      <c r="L527" s="41"/>
      <c r="M527" s="41"/>
      <c r="N527" s="42"/>
      <c r="O527" s="42"/>
      <c r="P527" s="42"/>
      <c r="Q527" s="42"/>
      <c r="R527" s="42"/>
      <c r="S527" s="42"/>
      <c r="T527" s="42"/>
      <c r="U527" s="42"/>
      <c r="V527" s="42"/>
      <c r="W527" s="42"/>
      <c r="X527" s="42"/>
      <c r="Y527" s="42"/>
      <c r="Z527" s="42"/>
      <c r="AA527" s="42"/>
      <c r="AB527" s="42"/>
      <c r="AC527" s="42"/>
    </row>
    <row r="528" spans="1:29" x14ac:dyDescent="0.25">
      <c r="A528" s="41"/>
      <c r="B528" s="42"/>
      <c r="C528" s="41"/>
      <c r="D528" s="42"/>
      <c r="E528" s="42"/>
      <c r="F528" s="35"/>
      <c r="G528" s="42"/>
      <c r="H528" s="41"/>
      <c r="I528" s="91"/>
      <c r="J528" s="91"/>
      <c r="K528" s="91"/>
      <c r="L528" s="41"/>
      <c r="M528" s="41"/>
      <c r="N528" s="42"/>
      <c r="O528" s="42"/>
      <c r="P528" s="42"/>
      <c r="Q528" s="42"/>
      <c r="R528" s="42"/>
      <c r="S528" s="42"/>
      <c r="T528" s="42"/>
      <c r="U528" s="42"/>
      <c r="V528" s="42"/>
      <c r="W528" s="42"/>
      <c r="X528" s="42"/>
      <c r="Y528" s="42"/>
      <c r="Z528" s="42"/>
      <c r="AA528" s="42"/>
      <c r="AB528" s="42"/>
      <c r="AC528" s="42"/>
    </row>
    <row r="529" spans="1:29" x14ac:dyDescent="0.25">
      <c r="A529" s="41"/>
      <c r="B529" s="42"/>
      <c r="C529" s="41"/>
      <c r="D529" s="42"/>
      <c r="E529" s="42"/>
      <c r="F529" s="35"/>
      <c r="G529" s="42"/>
      <c r="H529" s="41"/>
      <c r="I529" s="91"/>
      <c r="J529" s="91"/>
      <c r="K529" s="91"/>
      <c r="L529" s="41"/>
      <c r="M529" s="41"/>
      <c r="N529" s="42"/>
      <c r="O529" s="42"/>
      <c r="P529" s="42"/>
      <c r="Q529" s="42"/>
      <c r="R529" s="42"/>
      <c r="S529" s="42"/>
      <c r="T529" s="42"/>
      <c r="U529" s="42"/>
      <c r="V529" s="42"/>
      <c r="W529" s="42"/>
      <c r="X529" s="42"/>
      <c r="Y529" s="42"/>
      <c r="Z529" s="42"/>
      <c r="AA529" s="42"/>
      <c r="AB529" s="42"/>
      <c r="AC529" s="42"/>
    </row>
    <row r="530" spans="1:29" x14ac:dyDescent="0.25">
      <c r="A530" s="41"/>
      <c r="B530" s="42"/>
      <c r="C530" s="41"/>
      <c r="D530" s="42"/>
      <c r="E530" s="42"/>
      <c r="F530" s="35"/>
      <c r="G530" s="42"/>
      <c r="H530" s="41"/>
      <c r="I530" s="91"/>
      <c r="J530" s="91"/>
      <c r="K530" s="91"/>
      <c r="L530" s="41"/>
      <c r="M530" s="41"/>
      <c r="N530" s="42"/>
      <c r="O530" s="42"/>
      <c r="P530" s="42"/>
      <c r="Q530" s="42"/>
      <c r="R530" s="42"/>
      <c r="S530" s="42"/>
      <c r="T530" s="42"/>
      <c r="U530" s="42"/>
      <c r="V530" s="42"/>
      <c r="W530" s="42"/>
      <c r="X530" s="42"/>
      <c r="Y530" s="42"/>
      <c r="Z530" s="42"/>
      <c r="AA530" s="42"/>
      <c r="AB530" s="42"/>
      <c r="AC530" s="42"/>
    </row>
    <row r="531" spans="1:29" x14ac:dyDescent="0.25">
      <c r="A531" s="41"/>
      <c r="B531" s="42"/>
      <c r="C531" s="41"/>
      <c r="D531" s="42"/>
      <c r="E531" s="42"/>
      <c r="F531" s="35"/>
      <c r="G531" s="42"/>
      <c r="H531" s="41"/>
      <c r="I531" s="91"/>
      <c r="J531" s="91"/>
      <c r="K531" s="91"/>
      <c r="L531" s="41"/>
      <c r="M531" s="41"/>
      <c r="N531" s="42"/>
      <c r="O531" s="42"/>
      <c r="P531" s="42"/>
      <c r="Q531" s="42"/>
      <c r="R531" s="42"/>
      <c r="S531" s="42"/>
      <c r="T531" s="42"/>
      <c r="U531" s="42"/>
      <c r="V531" s="42"/>
      <c r="W531" s="42"/>
      <c r="X531" s="42"/>
      <c r="Y531" s="42"/>
      <c r="Z531" s="42"/>
      <c r="AA531" s="42"/>
      <c r="AB531" s="42"/>
      <c r="AC531" s="42"/>
    </row>
    <row r="532" spans="1:29" x14ac:dyDescent="0.25">
      <c r="A532" s="41"/>
      <c r="B532" s="42"/>
      <c r="C532" s="41"/>
      <c r="D532" s="42"/>
      <c r="E532" s="42"/>
      <c r="F532" s="35"/>
      <c r="G532" s="42"/>
      <c r="H532" s="41"/>
      <c r="I532" s="91"/>
      <c r="J532" s="91"/>
      <c r="K532" s="91"/>
      <c r="L532" s="41"/>
      <c r="M532" s="41"/>
      <c r="N532" s="42"/>
      <c r="O532" s="42"/>
      <c r="P532" s="42"/>
      <c r="Q532" s="42"/>
      <c r="R532" s="42"/>
      <c r="S532" s="42"/>
      <c r="T532" s="42"/>
      <c r="U532" s="42"/>
      <c r="V532" s="42"/>
      <c r="W532" s="42"/>
      <c r="X532" s="42"/>
      <c r="Y532" s="42"/>
      <c r="Z532" s="42"/>
      <c r="AA532" s="42"/>
      <c r="AB532" s="42"/>
      <c r="AC532" s="42"/>
    </row>
    <row r="533" spans="1:29" x14ac:dyDescent="0.25">
      <c r="A533" s="41"/>
      <c r="B533" s="42"/>
      <c r="C533" s="41"/>
      <c r="D533" s="42"/>
      <c r="E533" s="42"/>
      <c r="F533" s="35"/>
      <c r="G533" s="42"/>
      <c r="H533" s="41"/>
      <c r="I533" s="91"/>
      <c r="J533" s="91"/>
      <c r="K533" s="91"/>
      <c r="L533" s="41"/>
      <c r="M533" s="41"/>
      <c r="N533" s="42"/>
      <c r="O533" s="42"/>
      <c r="P533" s="42"/>
      <c r="Q533" s="42"/>
      <c r="R533" s="42"/>
      <c r="S533" s="42"/>
      <c r="T533" s="42"/>
      <c r="U533" s="42"/>
      <c r="V533" s="42"/>
      <c r="W533" s="42"/>
      <c r="X533" s="42"/>
      <c r="Y533" s="42"/>
      <c r="Z533" s="42"/>
      <c r="AA533" s="42"/>
      <c r="AB533" s="42"/>
      <c r="AC533" s="42"/>
    </row>
    <row r="534" spans="1:29" x14ac:dyDescent="0.25">
      <c r="A534" s="41"/>
      <c r="B534" s="42"/>
      <c r="C534" s="41"/>
      <c r="D534" s="42"/>
      <c r="E534" s="42"/>
      <c r="F534" s="35"/>
      <c r="G534" s="42"/>
      <c r="H534" s="41"/>
      <c r="I534" s="91"/>
      <c r="J534" s="91"/>
      <c r="K534" s="91"/>
      <c r="L534" s="41"/>
      <c r="M534" s="41"/>
      <c r="N534" s="42"/>
      <c r="O534" s="42"/>
      <c r="P534" s="42"/>
      <c r="Q534" s="42"/>
      <c r="R534" s="42"/>
      <c r="S534" s="42"/>
      <c r="T534" s="42"/>
      <c r="U534" s="42"/>
      <c r="V534" s="42"/>
      <c r="W534" s="42"/>
      <c r="X534" s="42"/>
      <c r="Y534" s="42"/>
      <c r="Z534" s="42"/>
      <c r="AA534" s="42"/>
      <c r="AB534" s="42"/>
      <c r="AC534" s="42"/>
    </row>
    <row r="535" spans="1:29" x14ac:dyDescent="0.25">
      <c r="A535" s="41"/>
      <c r="B535" s="42"/>
      <c r="C535" s="41"/>
      <c r="D535" s="42"/>
      <c r="E535" s="42"/>
      <c r="F535" s="35"/>
      <c r="G535" s="42"/>
      <c r="H535" s="41"/>
      <c r="I535" s="91"/>
      <c r="J535" s="91"/>
      <c r="K535" s="91"/>
      <c r="L535" s="41"/>
      <c r="M535" s="41"/>
      <c r="N535" s="42"/>
      <c r="O535" s="42"/>
      <c r="P535" s="42"/>
      <c r="Q535" s="42"/>
      <c r="R535" s="42"/>
      <c r="S535" s="42"/>
      <c r="T535" s="42"/>
      <c r="U535" s="42"/>
      <c r="V535" s="42"/>
      <c r="W535" s="42"/>
      <c r="X535" s="42"/>
      <c r="Y535" s="42"/>
      <c r="Z535" s="42"/>
      <c r="AA535" s="42"/>
      <c r="AB535" s="42"/>
      <c r="AC535" s="42"/>
    </row>
    <row r="536" spans="1:29" x14ac:dyDescent="0.25">
      <c r="A536" s="41"/>
      <c r="B536" s="42"/>
      <c r="C536" s="41"/>
      <c r="D536" s="42"/>
      <c r="E536" s="42"/>
      <c r="F536" s="35"/>
      <c r="G536" s="42"/>
      <c r="H536" s="41"/>
      <c r="I536" s="91"/>
      <c r="J536" s="91"/>
      <c r="K536" s="91"/>
      <c r="L536" s="41"/>
      <c r="M536" s="41"/>
      <c r="N536" s="42"/>
      <c r="O536" s="42"/>
      <c r="P536" s="42"/>
      <c r="Q536" s="42"/>
      <c r="R536" s="42"/>
      <c r="S536" s="42"/>
      <c r="T536" s="42"/>
      <c r="U536" s="42"/>
      <c r="V536" s="42"/>
      <c r="W536" s="42"/>
      <c r="X536" s="42"/>
      <c r="Y536" s="42"/>
      <c r="Z536" s="42"/>
      <c r="AA536" s="42"/>
      <c r="AB536" s="42"/>
      <c r="AC536" s="42"/>
    </row>
    <row r="537" spans="1:29" x14ac:dyDescent="0.25">
      <c r="A537" s="41"/>
      <c r="B537" s="42"/>
      <c r="C537" s="41"/>
      <c r="D537" s="42"/>
      <c r="E537" s="42"/>
      <c r="F537" s="35"/>
      <c r="G537" s="42"/>
      <c r="H537" s="41"/>
      <c r="I537" s="91"/>
      <c r="J537" s="91"/>
      <c r="K537" s="91"/>
      <c r="L537" s="41"/>
      <c r="M537" s="41"/>
      <c r="N537" s="42"/>
      <c r="O537" s="42"/>
      <c r="P537" s="42"/>
      <c r="Q537" s="42"/>
      <c r="R537" s="42"/>
      <c r="S537" s="42"/>
      <c r="T537" s="42"/>
      <c r="U537" s="42"/>
      <c r="V537" s="42"/>
      <c r="W537" s="42"/>
      <c r="X537" s="42"/>
      <c r="Y537" s="42"/>
      <c r="Z537" s="42"/>
      <c r="AA537" s="42"/>
      <c r="AB537" s="42"/>
      <c r="AC537" s="42"/>
    </row>
    <row r="538" spans="1:29" x14ac:dyDescent="0.25">
      <c r="A538" s="41"/>
      <c r="B538" s="42"/>
      <c r="C538" s="41"/>
      <c r="D538" s="42"/>
      <c r="E538" s="42"/>
      <c r="F538" s="35"/>
      <c r="G538" s="42"/>
      <c r="H538" s="41"/>
      <c r="I538" s="91"/>
      <c r="J538" s="91"/>
      <c r="K538" s="91"/>
      <c r="L538" s="41"/>
      <c r="M538" s="41"/>
      <c r="N538" s="42"/>
      <c r="O538" s="42"/>
      <c r="P538" s="42"/>
      <c r="Q538" s="42"/>
      <c r="R538" s="42"/>
      <c r="S538" s="42"/>
      <c r="T538" s="42"/>
      <c r="U538" s="42"/>
      <c r="V538" s="42"/>
      <c r="W538" s="42"/>
      <c r="X538" s="42"/>
      <c r="Y538" s="42"/>
      <c r="Z538" s="42"/>
      <c r="AA538" s="42"/>
      <c r="AB538" s="42"/>
      <c r="AC538" s="42"/>
    </row>
    <row r="539" spans="1:29" x14ac:dyDescent="0.25">
      <c r="A539" s="41"/>
      <c r="B539" s="42"/>
      <c r="C539" s="41"/>
      <c r="D539" s="42"/>
      <c r="E539" s="42"/>
      <c r="F539" s="35"/>
      <c r="G539" s="42"/>
      <c r="H539" s="41"/>
      <c r="I539" s="91"/>
      <c r="J539" s="91"/>
      <c r="K539" s="91"/>
      <c r="L539" s="41"/>
      <c r="M539" s="41"/>
      <c r="N539" s="42"/>
      <c r="O539" s="42"/>
      <c r="P539" s="42"/>
      <c r="Q539" s="42"/>
      <c r="R539" s="42"/>
      <c r="S539" s="42"/>
      <c r="T539" s="42"/>
      <c r="U539" s="42"/>
      <c r="V539" s="42"/>
      <c r="W539" s="42"/>
      <c r="X539" s="42"/>
      <c r="Y539" s="42"/>
      <c r="Z539" s="42"/>
      <c r="AA539" s="42"/>
      <c r="AB539" s="42"/>
      <c r="AC539" s="42"/>
    </row>
    <row r="540" spans="1:29" x14ac:dyDescent="0.25">
      <c r="A540" s="41"/>
      <c r="B540" s="42"/>
      <c r="C540" s="41"/>
      <c r="D540" s="42"/>
      <c r="E540" s="42"/>
      <c r="F540" s="35"/>
      <c r="G540" s="42"/>
      <c r="H540" s="41"/>
      <c r="I540" s="91"/>
      <c r="J540" s="91"/>
      <c r="K540" s="91"/>
      <c r="L540" s="41"/>
      <c r="M540" s="41"/>
      <c r="N540" s="42"/>
      <c r="O540" s="42"/>
      <c r="P540" s="42"/>
      <c r="Q540" s="42"/>
      <c r="R540" s="42"/>
      <c r="S540" s="42"/>
      <c r="T540" s="42"/>
      <c r="U540" s="42"/>
      <c r="V540" s="42"/>
      <c r="W540" s="42"/>
      <c r="X540" s="42"/>
      <c r="Y540" s="42"/>
      <c r="Z540" s="42"/>
      <c r="AA540" s="42"/>
      <c r="AB540" s="42"/>
      <c r="AC540" s="42"/>
    </row>
    <row r="541" spans="1:29" x14ac:dyDescent="0.25">
      <c r="A541" s="41"/>
      <c r="B541" s="42"/>
      <c r="C541" s="41"/>
      <c r="D541" s="42"/>
      <c r="E541" s="42"/>
      <c r="F541" s="35"/>
      <c r="G541" s="42"/>
      <c r="H541" s="41"/>
      <c r="I541" s="91"/>
      <c r="J541" s="91"/>
      <c r="K541" s="91"/>
      <c r="L541" s="41"/>
      <c r="M541" s="41"/>
      <c r="N541" s="42"/>
      <c r="O541" s="42"/>
      <c r="P541" s="42"/>
      <c r="Q541" s="42"/>
      <c r="R541" s="42"/>
      <c r="S541" s="42"/>
      <c r="T541" s="42"/>
      <c r="U541" s="42"/>
      <c r="V541" s="42"/>
      <c r="W541" s="42"/>
      <c r="X541" s="42"/>
      <c r="Y541" s="42"/>
      <c r="Z541" s="42"/>
      <c r="AA541" s="42"/>
      <c r="AB541" s="42"/>
      <c r="AC541" s="42"/>
    </row>
    <row r="542" spans="1:29" x14ac:dyDescent="0.25">
      <c r="A542" s="41"/>
      <c r="B542" s="42"/>
      <c r="C542" s="41"/>
      <c r="D542" s="42"/>
      <c r="E542" s="42"/>
      <c r="F542" s="35"/>
      <c r="G542" s="42"/>
      <c r="H542" s="41"/>
      <c r="I542" s="91"/>
      <c r="J542" s="91"/>
      <c r="K542" s="91"/>
      <c r="L542" s="41"/>
      <c r="M542" s="41"/>
      <c r="N542" s="42"/>
      <c r="O542" s="42"/>
      <c r="P542" s="42"/>
      <c r="Q542" s="42"/>
      <c r="R542" s="42"/>
      <c r="S542" s="42"/>
      <c r="T542" s="42"/>
      <c r="U542" s="42"/>
      <c r="V542" s="42"/>
      <c r="W542" s="42"/>
      <c r="X542" s="42"/>
      <c r="Y542" s="42"/>
      <c r="Z542" s="42"/>
      <c r="AA542" s="42"/>
      <c r="AB542" s="42"/>
      <c r="AC542" s="42"/>
    </row>
    <row r="543" spans="1:29" x14ac:dyDescent="0.25">
      <c r="A543" s="41"/>
      <c r="B543" s="42"/>
      <c r="C543" s="41"/>
      <c r="D543" s="42"/>
      <c r="E543" s="42"/>
      <c r="F543" s="35"/>
      <c r="G543" s="42"/>
      <c r="H543" s="41"/>
      <c r="I543" s="91"/>
      <c r="J543" s="91"/>
      <c r="K543" s="91"/>
      <c r="L543" s="41"/>
      <c r="M543" s="41"/>
      <c r="N543" s="42"/>
      <c r="O543" s="42"/>
      <c r="P543" s="42"/>
      <c r="Q543" s="42"/>
      <c r="R543" s="42"/>
      <c r="S543" s="42"/>
      <c r="T543" s="42"/>
      <c r="U543" s="42"/>
      <c r="V543" s="42"/>
      <c r="W543" s="42"/>
      <c r="X543" s="42"/>
      <c r="Y543" s="42"/>
      <c r="Z543" s="42"/>
      <c r="AA543" s="42"/>
      <c r="AB543" s="42"/>
      <c r="AC543" s="42"/>
    </row>
    <row r="544" spans="1:29" x14ac:dyDescent="0.25">
      <c r="A544" s="41"/>
      <c r="B544" s="42"/>
      <c r="C544" s="41"/>
      <c r="D544" s="42"/>
      <c r="E544" s="42"/>
      <c r="F544" s="35"/>
      <c r="G544" s="42"/>
      <c r="H544" s="41"/>
      <c r="I544" s="91"/>
      <c r="J544" s="91"/>
      <c r="K544" s="91"/>
      <c r="L544" s="41"/>
      <c r="M544" s="41"/>
      <c r="N544" s="42"/>
      <c r="O544" s="42"/>
      <c r="P544" s="42"/>
      <c r="Q544" s="42"/>
      <c r="R544" s="42"/>
      <c r="S544" s="42"/>
      <c r="T544" s="42"/>
      <c r="U544" s="42"/>
      <c r="V544" s="42"/>
      <c r="W544" s="42"/>
      <c r="X544" s="42"/>
      <c r="Y544" s="42"/>
      <c r="Z544" s="42"/>
      <c r="AA544" s="42"/>
      <c r="AB544" s="42"/>
      <c r="AC544" s="42"/>
    </row>
    <row r="545" spans="1:29" x14ac:dyDescent="0.25">
      <c r="A545" s="41"/>
      <c r="B545" s="42"/>
      <c r="C545" s="41"/>
      <c r="D545" s="42"/>
      <c r="E545" s="42"/>
      <c r="F545" s="35"/>
      <c r="G545" s="42"/>
      <c r="H545" s="41"/>
      <c r="I545" s="91"/>
      <c r="J545" s="91"/>
      <c r="K545" s="91"/>
      <c r="L545" s="41"/>
      <c r="M545" s="41"/>
      <c r="N545" s="42"/>
      <c r="O545" s="42"/>
      <c r="P545" s="42"/>
      <c r="Q545" s="42"/>
      <c r="R545" s="42"/>
      <c r="S545" s="42"/>
      <c r="T545" s="42"/>
      <c r="U545" s="42"/>
      <c r="V545" s="42"/>
      <c r="W545" s="42"/>
      <c r="X545" s="42"/>
      <c r="Y545" s="42"/>
      <c r="Z545" s="42"/>
      <c r="AA545" s="42"/>
      <c r="AB545" s="42"/>
      <c r="AC545" s="42"/>
    </row>
    <row r="546" spans="1:29" x14ac:dyDescent="0.25">
      <c r="A546" s="41"/>
      <c r="B546" s="42"/>
      <c r="C546" s="41"/>
      <c r="D546" s="42"/>
      <c r="E546" s="42"/>
      <c r="F546" s="35"/>
      <c r="G546" s="42"/>
      <c r="H546" s="41"/>
      <c r="I546" s="91"/>
      <c r="J546" s="91"/>
      <c r="K546" s="91"/>
      <c r="L546" s="41"/>
      <c r="M546" s="41"/>
      <c r="N546" s="42"/>
      <c r="O546" s="42"/>
      <c r="P546" s="42"/>
      <c r="Q546" s="42"/>
      <c r="R546" s="42"/>
      <c r="S546" s="42"/>
      <c r="T546" s="42"/>
      <c r="U546" s="42"/>
      <c r="V546" s="42"/>
      <c r="W546" s="42"/>
      <c r="X546" s="42"/>
      <c r="Y546" s="42"/>
      <c r="Z546" s="42"/>
      <c r="AA546" s="42"/>
      <c r="AB546" s="42"/>
      <c r="AC546" s="42"/>
    </row>
    <row r="547" spans="1:29" x14ac:dyDescent="0.25">
      <c r="A547" s="41"/>
      <c r="B547" s="42"/>
      <c r="C547" s="41"/>
      <c r="D547" s="42"/>
      <c r="E547" s="42"/>
      <c r="F547" s="35"/>
      <c r="G547" s="42"/>
      <c r="H547" s="41"/>
      <c r="I547" s="91"/>
      <c r="J547" s="91"/>
      <c r="K547" s="91"/>
      <c r="L547" s="41"/>
      <c r="M547" s="41"/>
      <c r="N547" s="42"/>
      <c r="O547" s="42"/>
      <c r="P547" s="42"/>
      <c r="Q547" s="42"/>
      <c r="R547" s="42"/>
      <c r="S547" s="42"/>
      <c r="T547" s="42"/>
      <c r="U547" s="42"/>
      <c r="V547" s="42"/>
      <c r="W547" s="42"/>
      <c r="X547" s="42"/>
      <c r="Y547" s="42"/>
      <c r="Z547" s="42"/>
      <c r="AA547" s="42"/>
      <c r="AB547" s="42"/>
      <c r="AC547" s="42"/>
    </row>
    <row r="548" spans="1:29" x14ac:dyDescent="0.25">
      <c r="A548" s="41"/>
      <c r="B548" s="42"/>
      <c r="C548" s="41"/>
      <c r="D548" s="42"/>
      <c r="E548" s="42"/>
      <c r="F548" s="35"/>
      <c r="G548" s="42"/>
      <c r="H548" s="41"/>
      <c r="I548" s="91"/>
      <c r="J548" s="91"/>
      <c r="K548" s="91"/>
      <c r="L548" s="41"/>
      <c r="M548" s="41"/>
      <c r="N548" s="42"/>
      <c r="O548" s="42"/>
      <c r="P548" s="42"/>
      <c r="Q548" s="42"/>
      <c r="R548" s="42"/>
      <c r="S548" s="42"/>
      <c r="T548" s="42"/>
      <c r="U548" s="42"/>
      <c r="V548" s="42"/>
      <c r="W548" s="42"/>
      <c r="X548" s="42"/>
      <c r="Y548" s="42"/>
      <c r="Z548" s="42"/>
      <c r="AA548" s="42"/>
      <c r="AB548" s="42"/>
      <c r="AC548" s="42"/>
    </row>
    <row r="549" spans="1:29" x14ac:dyDescent="0.25">
      <c r="A549" s="41"/>
      <c r="B549" s="42"/>
      <c r="C549" s="41"/>
      <c r="D549" s="42"/>
      <c r="E549" s="42"/>
      <c r="F549" s="35"/>
      <c r="G549" s="42"/>
      <c r="H549" s="41"/>
      <c r="I549" s="91"/>
      <c r="J549" s="91"/>
      <c r="K549" s="91"/>
      <c r="L549" s="41"/>
      <c r="M549" s="41"/>
      <c r="N549" s="42"/>
      <c r="O549" s="42"/>
      <c r="P549" s="42"/>
      <c r="Q549" s="42"/>
      <c r="R549" s="42"/>
      <c r="S549" s="42"/>
      <c r="T549" s="42"/>
      <c r="U549" s="42"/>
      <c r="V549" s="42"/>
      <c r="W549" s="42"/>
      <c r="X549" s="42"/>
      <c r="Y549" s="42"/>
      <c r="Z549" s="42"/>
      <c r="AA549" s="42"/>
      <c r="AB549" s="42"/>
      <c r="AC549" s="42"/>
    </row>
    <row r="550" spans="1:29" x14ac:dyDescent="0.25">
      <c r="A550" s="41"/>
      <c r="B550" s="42"/>
      <c r="C550" s="41"/>
      <c r="D550" s="42"/>
      <c r="E550" s="42"/>
      <c r="F550" s="35"/>
      <c r="G550" s="42"/>
      <c r="H550" s="41"/>
      <c r="I550" s="91"/>
      <c r="J550" s="91"/>
      <c r="K550" s="91"/>
      <c r="L550" s="41"/>
      <c r="M550" s="41"/>
      <c r="N550" s="42"/>
      <c r="O550" s="42"/>
      <c r="P550" s="42"/>
      <c r="Q550" s="42"/>
      <c r="R550" s="42"/>
      <c r="S550" s="42"/>
      <c r="T550" s="42"/>
      <c r="U550" s="42"/>
      <c r="V550" s="42"/>
      <c r="W550" s="42"/>
      <c r="X550" s="42"/>
      <c r="Y550" s="42"/>
      <c r="Z550" s="42"/>
      <c r="AA550" s="42"/>
      <c r="AB550" s="42"/>
      <c r="AC550" s="42"/>
    </row>
    <row r="551" spans="1:29" x14ac:dyDescent="0.25">
      <c r="A551" s="41"/>
      <c r="B551" s="42"/>
      <c r="C551" s="41"/>
      <c r="D551" s="42"/>
      <c r="E551" s="42"/>
      <c r="F551" s="35"/>
      <c r="G551" s="42"/>
      <c r="H551" s="41"/>
      <c r="I551" s="91"/>
      <c r="J551" s="91"/>
      <c r="K551" s="91"/>
      <c r="L551" s="41"/>
      <c r="M551" s="41"/>
      <c r="N551" s="42"/>
      <c r="O551" s="42"/>
      <c r="P551" s="42"/>
      <c r="Q551" s="42"/>
      <c r="R551" s="42"/>
      <c r="S551" s="42"/>
      <c r="T551" s="42"/>
      <c r="U551" s="42"/>
      <c r="V551" s="42"/>
      <c r="W551" s="42"/>
      <c r="X551" s="42"/>
      <c r="Y551" s="42"/>
      <c r="Z551" s="42"/>
      <c r="AA551" s="42"/>
      <c r="AB551" s="42"/>
      <c r="AC551" s="42"/>
    </row>
    <row r="552" spans="1:29" x14ac:dyDescent="0.25">
      <c r="A552" s="41"/>
      <c r="B552" s="42"/>
      <c r="C552" s="41"/>
      <c r="D552" s="42"/>
      <c r="E552" s="42"/>
      <c r="F552" s="35"/>
      <c r="G552" s="42"/>
      <c r="H552" s="41"/>
      <c r="I552" s="91"/>
      <c r="J552" s="91"/>
      <c r="K552" s="91"/>
      <c r="L552" s="41"/>
      <c r="M552" s="41"/>
      <c r="N552" s="42"/>
      <c r="O552" s="42"/>
      <c r="P552" s="42"/>
      <c r="Q552" s="42"/>
      <c r="R552" s="42"/>
      <c r="S552" s="42"/>
      <c r="T552" s="42"/>
      <c r="U552" s="42"/>
      <c r="V552" s="42"/>
      <c r="W552" s="42"/>
      <c r="X552" s="42"/>
      <c r="Y552" s="42"/>
      <c r="Z552" s="42"/>
      <c r="AA552" s="42"/>
      <c r="AB552" s="42"/>
      <c r="AC552" s="42"/>
    </row>
    <row r="553" spans="1:29" x14ac:dyDescent="0.25">
      <c r="A553" s="41"/>
      <c r="B553" s="42"/>
      <c r="C553" s="41"/>
      <c r="D553" s="42"/>
      <c r="E553" s="42"/>
      <c r="F553" s="35"/>
      <c r="G553" s="42"/>
      <c r="H553" s="41"/>
      <c r="I553" s="91"/>
      <c r="J553" s="91"/>
      <c r="K553" s="91"/>
      <c r="L553" s="41"/>
      <c r="M553" s="41"/>
      <c r="N553" s="42"/>
      <c r="O553" s="42"/>
      <c r="P553" s="42"/>
      <c r="Q553" s="42"/>
      <c r="R553" s="42"/>
      <c r="S553" s="42"/>
      <c r="T553" s="42"/>
      <c r="U553" s="42"/>
      <c r="V553" s="42"/>
      <c r="W553" s="42"/>
      <c r="X553" s="42"/>
      <c r="Y553" s="42"/>
      <c r="Z553" s="42"/>
      <c r="AA553" s="42"/>
      <c r="AB553" s="42"/>
      <c r="AC553" s="42"/>
    </row>
    <row r="554" spans="1:29" x14ac:dyDescent="0.25">
      <c r="A554" s="41"/>
      <c r="B554" s="42"/>
      <c r="C554" s="41"/>
      <c r="D554" s="42"/>
      <c r="E554" s="42"/>
      <c r="F554" s="35"/>
      <c r="G554" s="42"/>
      <c r="H554" s="41"/>
      <c r="I554" s="91"/>
      <c r="J554" s="91"/>
      <c r="K554" s="91"/>
      <c r="L554" s="41"/>
      <c r="M554" s="41"/>
      <c r="N554" s="42"/>
      <c r="O554" s="42"/>
      <c r="P554" s="42"/>
      <c r="Q554" s="42"/>
      <c r="R554" s="42"/>
      <c r="S554" s="42"/>
      <c r="T554" s="42"/>
      <c r="U554" s="42"/>
      <c r="V554" s="42"/>
      <c r="W554" s="42"/>
      <c r="X554" s="42"/>
      <c r="Y554" s="42"/>
      <c r="Z554" s="42"/>
      <c r="AA554" s="42"/>
      <c r="AB554" s="42"/>
      <c r="AC554" s="42"/>
    </row>
    <row r="555" spans="1:29" x14ac:dyDescent="0.25">
      <c r="A555" s="41"/>
      <c r="B555" s="42"/>
      <c r="C555" s="41"/>
      <c r="D555" s="42"/>
      <c r="E555" s="42"/>
      <c r="F555" s="35"/>
      <c r="G555" s="42"/>
      <c r="H555" s="41"/>
      <c r="I555" s="91"/>
      <c r="J555" s="91"/>
      <c r="K555" s="91"/>
      <c r="L555" s="41"/>
      <c r="M555" s="41"/>
      <c r="N555" s="42"/>
      <c r="O555" s="42"/>
      <c r="P555" s="42"/>
      <c r="Q555" s="42"/>
      <c r="R555" s="42"/>
      <c r="S555" s="42"/>
      <c r="T555" s="42"/>
      <c r="U555" s="42"/>
      <c r="V555" s="42"/>
      <c r="W555" s="42"/>
      <c r="X555" s="42"/>
      <c r="Y555" s="42"/>
      <c r="Z555" s="42"/>
      <c r="AA555" s="42"/>
      <c r="AB555" s="42"/>
      <c r="AC555" s="42"/>
    </row>
    <row r="556" spans="1:29" x14ac:dyDescent="0.25">
      <c r="A556" s="41"/>
      <c r="B556" s="42"/>
      <c r="C556" s="41"/>
      <c r="D556" s="42"/>
      <c r="E556" s="42"/>
      <c r="F556" s="35"/>
      <c r="G556" s="42"/>
      <c r="H556" s="41"/>
      <c r="I556" s="91"/>
      <c r="J556" s="91"/>
      <c r="K556" s="91"/>
      <c r="L556" s="41"/>
      <c r="M556" s="41"/>
      <c r="N556" s="42"/>
      <c r="O556" s="42"/>
      <c r="P556" s="42"/>
      <c r="Q556" s="42"/>
      <c r="R556" s="42"/>
      <c r="S556" s="42"/>
      <c r="T556" s="42"/>
      <c r="U556" s="42"/>
      <c r="V556" s="42"/>
      <c r="W556" s="42"/>
      <c r="X556" s="42"/>
      <c r="Y556" s="42"/>
      <c r="Z556" s="42"/>
      <c r="AA556" s="42"/>
      <c r="AB556" s="42"/>
      <c r="AC556" s="42"/>
    </row>
    <row r="557" spans="1:29" x14ac:dyDescent="0.25">
      <c r="A557" s="41"/>
      <c r="B557" s="42"/>
      <c r="C557" s="41"/>
      <c r="D557" s="42"/>
      <c r="E557" s="42"/>
      <c r="F557" s="35"/>
      <c r="G557" s="42"/>
      <c r="H557" s="41"/>
      <c r="I557" s="91"/>
      <c r="J557" s="91"/>
      <c r="K557" s="91"/>
      <c r="L557" s="41"/>
      <c r="M557" s="41"/>
      <c r="N557" s="42"/>
      <c r="O557" s="42"/>
      <c r="P557" s="42"/>
      <c r="Q557" s="42"/>
      <c r="R557" s="42"/>
      <c r="S557" s="42"/>
      <c r="T557" s="42"/>
      <c r="U557" s="42"/>
      <c r="V557" s="42"/>
      <c r="W557" s="42"/>
      <c r="X557" s="42"/>
      <c r="Y557" s="42"/>
      <c r="Z557" s="42"/>
      <c r="AA557" s="42"/>
      <c r="AB557" s="42"/>
      <c r="AC557" s="42"/>
    </row>
    <row r="558" spans="1:29" x14ac:dyDescent="0.25">
      <c r="A558" s="41"/>
      <c r="B558" s="42"/>
      <c r="C558" s="41"/>
      <c r="D558" s="42"/>
      <c r="E558" s="42"/>
      <c r="F558" s="35"/>
      <c r="G558" s="42"/>
      <c r="H558" s="41"/>
      <c r="I558" s="91"/>
      <c r="J558" s="91"/>
      <c r="K558" s="91"/>
      <c r="L558" s="41"/>
      <c r="M558" s="41"/>
      <c r="N558" s="42"/>
      <c r="O558" s="42"/>
      <c r="P558" s="42"/>
      <c r="Q558" s="42"/>
      <c r="R558" s="42"/>
      <c r="S558" s="42"/>
      <c r="T558" s="42"/>
      <c r="U558" s="42"/>
      <c r="V558" s="42"/>
      <c r="W558" s="42"/>
      <c r="X558" s="42"/>
      <c r="Y558" s="42"/>
      <c r="Z558" s="42"/>
      <c r="AA558" s="42"/>
      <c r="AB558" s="42"/>
      <c r="AC558" s="42"/>
    </row>
    <row r="559" spans="1:29" x14ac:dyDescent="0.25">
      <c r="A559" s="41"/>
      <c r="B559" s="42"/>
      <c r="C559" s="41"/>
      <c r="D559" s="42"/>
      <c r="E559" s="42"/>
      <c r="F559" s="35"/>
      <c r="G559" s="42"/>
      <c r="H559" s="41"/>
      <c r="I559" s="91"/>
      <c r="J559" s="91"/>
      <c r="K559" s="91"/>
      <c r="L559" s="41"/>
      <c r="M559" s="41"/>
      <c r="N559" s="42"/>
      <c r="O559" s="42"/>
      <c r="P559" s="42"/>
      <c r="Q559" s="42"/>
      <c r="R559" s="42"/>
      <c r="S559" s="42"/>
      <c r="T559" s="42"/>
      <c r="U559" s="42"/>
      <c r="V559" s="42"/>
      <c r="W559" s="42"/>
      <c r="X559" s="42"/>
      <c r="Y559" s="42"/>
      <c r="Z559" s="42"/>
      <c r="AA559" s="42"/>
      <c r="AB559" s="42"/>
      <c r="AC559" s="42"/>
    </row>
    <row r="560" spans="1:29" x14ac:dyDescent="0.25">
      <c r="A560" s="41"/>
      <c r="B560" s="42"/>
      <c r="C560" s="41"/>
      <c r="D560" s="42"/>
      <c r="E560" s="42"/>
      <c r="F560" s="35"/>
      <c r="G560" s="42"/>
      <c r="H560" s="41"/>
      <c r="I560" s="91"/>
      <c r="J560" s="91"/>
      <c r="K560" s="91"/>
      <c r="L560" s="41"/>
      <c r="M560" s="41"/>
      <c r="N560" s="42"/>
      <c r="O560" s="42"/>
      <c r="P560" s="42"/>
      <c r="Q560" s="42"/>
      <c r="R560" s="42"/>
      <c r="S560" s="42"/>
      <c r="T560" s="42"/>
      <c r="U560" s="42"/>
      <c r="V560" s="42"/>
      <c r="W560" s="42"/>
      <c r="X560" s="42"/>
      <c r="Y560" s="42"/>
      <c r="Z560" s="42"/>
      <c r="AA560" s="42"/>
      <c r="AB560" s="42"/>
      <c r="AC560" s="42"/>
    </row>
    <row r="561" spans="1:29" x14ac:dyDescent="0.25">
      <c r="A561" s="41"/>
      <c r="B561" s="42"/>
      <c r="C561" s="41"/>
      <c r="D561" s="42"/>
      <c r="E561" s="42"/>
      <c r="F561" s="35"/>
      <c r="G561" s="42"/>
      <c r="H561" s="41"/>
      <c r="I561" s="91"/>
      <c r="J561" s="91"/>
      <c r="K561" s="91"/>
      <c r="L561" s="41"/>
      <c r="M561" s="41"/>
      <c r="N561" s="42"/>
      <c r="O561" s="42"/>
      <c r="P561" s="42"/>
      <c r="Q561" s="42"/>
      <c r="R561" s="42"/>
      <c r="S561" s="42"/>
      <c r="T561" s="42"/>
      <c r="U561" s="42"/>
      <c r="V561" s="42"/>
      <c r="W561" s="42"/>
      <c r="X561" s="42"/>
      <c r="Y561" s="42"/>
      <c r="Z561" s="42"/>
      <c r="AA561" s="42"/>
      <c r="AB561" s="42"/>
      <c r="AC561" s="42"/>
    </row>
    <row r="562" spans="1:29" x14ac:dyDescent="0.25">
      <c r="A562" s="41"/>
      <c r="B562" s="42"/>
      <c r="C562" s="41"/>
      <c r="D562" s="42"/>
      <c r="E562" s="42"/>
      <c r="F562" s="35"/>
      <c r="G562" s="42"/>
      <c r="H562" s="41"/>
      <c r="I562" s="91"/>
      <c r="J562" s="91"/>
      <c r="K562" s="91"/>
      <c r="L562" s="41"/>
      <c r="M562" s="41"/>
      <c r="N562" s="42"/>
      <c r="O562" s="42"/>
      <c r="P562" s="42"/>
      <c r="Q562" s="42"/>
      <c r="R562" s="42"/>
      <c r="S562" s="42"/>
      <c r="T562" s="42"/>
      <c r="U562" s="42"/>
      <c r="V562" s="42"/>
      <c r="W562" s="42"/>
      <c r="X562" s="42"/>
      <c r="Y562" s="42"/>
      <c r="Z562" s="42"/>
      <c r="AA562" s="42"/>
      <c r="AB562" s="42"/>
      <c r="AC562" s="42"/>
    </row>
    <row r="563" spans="1:29" x14ac:dyDescent="0.25">
      <c r="A563" s="41"/>
      <c r="B563" s="42"/>
      <c r="C563" s="41"/>
      <c r="D563" s="42"/>
      <c r="E563" s="42"/>
      <c r="F563" s="35"/>
      <c r="G563" s="42"/>
      <c r="H563" s="41"/>
      <c r="I563" s="91"/>
      <c r="J563" s="91"/>
      <c r="K563" s="91"/>
      <c r="L563" s="41"/>
      <c r="M563" s="41"/>
      <c r="N563" s="42"/>
      <c r="O563" s="42"/>
      <c r="P563" s="42"/>
      <c r="Q563" s="42"/>
      <c r="R563" s="42"/>
      <c r="S563" s="42"/>
      <c r="T563" s="42"/>
      <c r="U563" s="42"/>
      <c r="V563" s="42"/>
      <c r="W563" s="42"/>
      <c r="X563" s="42"/>
      <c r="Y563" s="42"/>
      <c r="Z563" s="42"/>
      <c r="AA563" s="42"/>
      <c r="AB563" s="42"/>
      <c r="AC563" s="42"/>
    </row>
    <row r="564" spans="1:29" x14ac:dyDescent="0.25">
      <c r="A564" s="41"/>
      <c r="B564" s="42"/>
      <c r="C564" s="41"/>
      <c r="D564" s="42"/>
      <c r="E564" s="42"/>
      <c r="F564" s="35"/>
      <c r="G564" s="42"/>
      <c r="H564" s="41"/>
      <c r="I564" s="91"/>
      <c r="J564" s="91"/>
      <c r="K564" s="91"/>
      <c r="L564" s="41"/>
      <c r="M564" s="41"/>
      <c r="N564" s="42"/>
      <c r="O564" s="42"/>
      <c r="P564" s="42"/>
      <c r="Q564" s="42"/>
      <c r="R564" s="42"/>
      <c r="S564" s="42"/>
      <c r="T564" s="42"/>
      <c r="U564" s="42"/>
      <c r="V564" s="42"/>
      <c r="W564" s="42"/>
      <c r="X564" s="42"/>
      <c r="Y564" s="42"/>
      <c r="Z564" s="42"/>
      <c r="AA564" s="42"/>
      <c r="AB564" s="42"/>
      <c r="AC564" s="42"/>
    </row>
    <row r="565" spans="1:29" x14ac:dyDescent="0.25">
      <c r="A565" s="41"/>
      <c r="B565" s="42"/>
      <c r="C565" s="41"/>
      <c r="D565" s="42"/>
      <c r="E565" s="42"/>
      <c r="F565" s="35"/>
      <c r="G565" s="42"/>
      <c r="H565" s="41"/>
      <c r="I565" s="91"/>
      <c r="J565" s="91"/>
      <c r="K565" s="91"/>
      <c r="L565" s="41"/>
      <c r="M565" s="41"/>
      <c r="N565" s="42"/>
      <c r="O565" s="42"/>
      <c r="P565" s="42"/>
      <c r="Q565" s="42"/>
      <c r="R565" s="42"/>
      <c r="S565" s="42"/>
      <c r="T565" s="42"/>
      <c r="U565" s="42"/>
      <c r="V565" s="42"/>
      <c r="W565" s="42"/>
      <c r="X565" s="42"/>
      <c r="Y565" s="42"/>
      <c r="Z565" s="42"/>
      <c r="AA565" s="42"/>
      <c r="AB565" s="42"/>
      <c r="AC565" s="42"/>
    </row>
    <row r="566" spans="1:29" x14ac:dyDescent="0.25">
      <c r="A566" s="41"/>
      <c r="B566" s="42"/>
      <c r="C566" s="41"/>
      <c r="D566" s="42"/>
      <c r="E566" s="42"/>
      <c r="F566" s="35"/>
      <c r="G566" s="42"/>
      <c r="H566" s="41"/>
      <c r="I566" s="91"/>
      <c r="J566" s="91"/>
      <c r="K566" s="91"/>
      <c r="L566" s="41"/>
      <c r="M566" s="41"/>
      <c r="N566" s="42"/>
      <c r="O566" s="42"/>
      <c r="P566" s="42"/>
      <c r="Q566" s="42"/>
      <c r="R566" s="42"/>
      <c r="S566" s="42"/>
      <c r="T566" s="42"/>
      <c r="U566" s="42"/>
      <c r="V566" s="42"/>
      <c r="W566" s="42"/>
      <c r="X566" s="42"/>
      <c r="Y566" s="42"/>
      <c r="Z566" s="42"/>
      <c r="AA566" s="42"/>
      <c r="AB566" s="42"/>
      <c r="AC566" s="42"/>
    </row>
    <row r="567" spans="1:29" x14ac:dyDescent="0.25">
      <c r="A567" s="41"/>
      <c r="B567" s="42"/>
      <c r="C567" s="41"/>
      <c r="D567" s="42"/>
      <c r="E567" s="42"/>
      <c r="F567" s="35"/>
      <c r="G567" s="42"/>
      <c r="H567" s="41"/>
      <c r="I567" s="91"/>
      <c r="J567" s="91"/>
      <c r="K567" s="91"/>
      <c r="L567" s="41"/>
      <c r="M567" s="41"/>
      <c r="N567" s="42"/>
      <c r="O567" s="42"/>
      <c r="P567" s="42"/>
      <c r="Q567" s="42"/>
      <c r="R567" s="42"/>
      <c r="S567" s="42"/>
      <c r="T567" s="42"/>
      <c r="U567" s="42"/>
      <c r="V567" s="42"/>
      <c r="W567" s="42"/>
      <c r="X567" s="42"/>
      <c r="Y567" s="42"/>
      <c r="Z567" s="42"/>
      <c r="AA567" s="42"/>
      <c r="AB567" s="42"/>
      <c r="AC567" s="42"/>
    </row>
    <row r="568" spans="1:29" x14ac:dyDescent="0.25">
      <c r="A568" s="41"/>
      <c r="B568" s="42"/>
      <c r="C568" s="41"/>
      <c r="D568" s="42"/>
      <c r="E568" s="42"/>
      <c r="F568" s="35"/>
      <c r="G568" s="42"/>
      <c r="H568" s="41"/>
      <c r="I568" s="91"/>
      <c r="J568" s="91"/>
      <c r="K568" s="91"/>
      <c r="L568" s="41"/>
      <c r="M568" s="41"/>
      <c r="N568" s="42"/>
      <c r="O568" s="42"/>
      <c r="P568" s="42"/>
      <c r="Q568" s="42"/>
      <c r="R568" s="42"/>
      <c r="S568" s="42"/>
      <c r="T568" s="42"/>
      <c r="U568" s="42"/>
      <c r="V568" s="42"/>
      <c r="W568" s="42"/>
      <c r="X568" s="42"/>
      <c r="Y568" s="42"/>
      <c r="Z568" s="42"/>
      <c r="AA568" s="42"/>
      <c r="AB568" s="42"/>
      <c r="AC568" s="42"/>
    </row>
    <row r="569" spans="1:29" x14ac:dyDescent="0.25">
      <c r="A569" s="41"/>
      <c r="B569" s="42"/>
      <c r="C569" s="41"/>
      <c r="D569" s="42"/>
      <c r="E569" s="42"/>
      <c r="F569" s="35"/>
      <c r="G569" s="42"/>
      <c r="H569" s="41"/>
      <c r="I569" s="91"/>
      <c r="J569" s="91"/>
      <c r="K569" s="91"/>
      <c r="L569" s="41"/>
      <c r="M569" s="41"/>
      <c r="N569" s="42"/>
      <c r="O569" s="42"/>
      <c r="P569" s="42"/>
      <c r="Q569" s="42"/>
      <c r="R569" s="42"/>
      <c r="S569" s="42"/>
      <c r="T569" s="42"/>
      <c r="U569" s="42"/>
      <c r="V569" s="42"/>
      <c r="W569" s="42"/>
      <c r="X569" s="42"/>
      <c r="Y569" s="42"/>
      <c r="Z569" s="42"/>
      <c r="AA569" s="42"/>
      <c r="AB569" s="42"/>
      <c r="AC569" s="42"/>
    </row>
    <row r="570" spans="1:29" x14ac:dyDescent="0.25">
      <c r="A570" s="41"/>
      <c r="B570" s="42"/>
      <c r="C570" s="41"/>
      <c r="D570" s="42"/>
      <c r="E570" s="42"/>
      <c r="F570" s="35"/>
      <c r="G570" s="42"/>
      <c r="H570" s="41"/>
      <c r="I570" s="91"/>
      <c r="J570" s="91"/>
      <c r="K570" s="91"/>
      <c r="L570" s="41"/>
      <c r="M570" s="41"/>
      <c r="N570" s="42"/>
      <c r="O570" s="42"/>
      <c r="P570" s="42"/>
      <c r="Q570" s="42"/>
      <c r="R570" s="42"/>
      <c r="S570" s="42"/>
      <c r="T570" s="42"/>
      <c r="U570" s="42"/>
      <c r="V570" s="42"/>
      <c r="W570" s="42"/>
      <c r="X570" s="42"/>
      <c r="Y570" s="42"/>
      <c r="Z570" s="42"/>
      <c r="AA570" s="42"/>
      <c r="AB570" s="42"/>
      <c r="AC570" s="42"/>
    </row>
    <row r="571" spans="1:29" x14ac:dyDescent="0.25">
      <c r="A571" s="41"/>
      <c r="B571" s="42"/>
      <c r="C571" s="41"/>
      <c r="D571" s="42"/>
      <c r="E571" s="42"/>
      <c r="F571" s="35"/>
      <c r="G571" s="42"/>
      <c r="H571" s="41"/>
      <c r="I571" s="91"/>
      <c r="J571" s="91"/>
      <c r="K571" s="91"/>
      <c r="L571" s="41"/>
      <c r="M571" s="41"/>
      <c r="N571" s="42"/>
      <c r="O571" s="42"/>
      <c r="P571" s="42"/>
      <c r="Q571" s="42"/>
      <c r="R571" s="42"/>
      <c r="S571" s="42"/>
      <c r="T571" s="42"/>
      <c r="U571" s="42"/>
      <c r="V571" s="42"/>
      <c r="W571" s="42"/>
      <c r="X571" s="42"/>
      <c r="Y571" s="42"/>
      <c r="Z571" s="42"/>
      <c r="AA571" s="42"/>
      <c r="AB571" s="42"/>
      <c r="AC571" s="42"/>
    </row>
    <row r="572" spans="1:29" x14ac:dyDescent="0.25">
      <c r="A572" s="41"/>
      <c r="B572" s="42"/>
      <c r="C572" s="41"/>
      <c r="D572" s="42"/>
      <c r="E572" s="42"/>
      <c r="F572" s="35"/>
      <c r="G572" s="42"/>
      <c r="H572" s="41"/>
      <c r="I572" s="91"/>
      <c r="J572" s="91"/>
      <c r="K572" s="91"/>
      <c r="L572" s="41"/>
      <c r="M572" s="41"/>
      <c r="N572" s="42"/>
      <c r="O572" s="42"/>
      <c r="P572" s="42"/>
      <c r="Q572" s="42"/>
      <c r="R572" s="42"/>
      <c r="S572" s="42"/>
      <c r="T572" s="42"/>
      <c r="U572" s="42"/>
      <c r="V572" s="42"/>
      <c r="W572" s="42"/>
      <c r="X572" s="42"/>
      <c r="Y572" s="42"/>
      <c r="Z572" s="42"/>
      <c r="AA572" s="42"/>
      <c r="AB572" s="42"/>
      <c r="AC572" s="42"/>
    </row>
    <row r="573" spans="1:29" x14ac:dyDescent="0.25">
      <c r="A573" s="41"/>
      <c r="B573" s="42"/>
      <c r="C573" s="41"/>
      <c r="D573" s="42"/>
      <c r="E573" s="42"/>
      <c r="F573" s="35"/>
      <c r="G573" s="42"/>
      <c r="H573" s="41"/>
      <c r="I573" s="91"/>
      <c r="J573" s="91"/>
      <c r="K573" s="91"/>
      <c r="L573" s="41"/>
      <c r="M573" s="41"/>
      <c r="N573" s="42"/>
      <c r="O573" s="42"/>
      <c r="P573" s="42"/>
      <c r="Q573" s="42"/>
      <c r="R573" s="42"/>
      <c r="S573" s="42"/>
      <c r="T573" s="42"/>
      <c r="U573" s="42"/>
      <c r="V573" s="42"/>
      <c r="W573" s="42"/>
      <c r="X573" s="42"/>
      <c r="Y573" s="42"/>
      <c r="Z573" s="42"/>
      <c r="AA573" s="42"/>
      <c r="AB573" s="42"/>
      <c r="AC573" s="42"/>
    </row>
    <row r="574" spans="1:29" x14ac:dyDescent="0.25">
      <c r="A574" s="41"/>
      <c r="B574" s="42"/>
      <c r="C574" s="41"/>
      <c r="D574" s="42"/>
      <c r="E574" s="42"/>
      <c r="F574" s="35"/>
      <c r="G574" s="42"/>
      <c r="H574" s="41"/>
      <c r="I574" s="91"/>
      <c r="J574" s="91"/>
      <c r="K574" s="91"/>
      <c r="L574" s="41"/>
      <c r="M574" s="41"/>
      <c r="N574" s="42"/>
      <c r="O574" s="42"/>
      <c r="P574" s="42"/>
      <c r="Q574" s="42"/>
      <c r="R574" s="42"/>
      <c r="S574" s="42"/>
      <c r="T574" s="42"/>
      <c r="U574" s="42"/>
      <c r="V574" s="42"/>
      <c r="W574" s="42"/>
      <c r="X574" s="42"/>
      <c r="Y574" s="42"/>
      <c r="Z574" s="42"/>
      <c r="AA574" s="42"/>
      <c r="AB574" s="42"/>
      <c r="AC574" s="42"/>
    </row>
    <row r="575" spans="1:29" x14ac:dyDescent="0.25">
      <c r="A575" s="41"/>
      <c r="B575" s="42"/>
      <c r="C575" s="41"/>
      <c r="D575" s="42"/>
      <c r="E575" s="42"/>
      <c r="F575" s="35"/>
      <c r="G575" s="42"/>
      <c r="H575" s="41"/>
      <c r="I575" s="91"/>
      <c r="J575" s="91"/>
      <c r="K575" s="91"/>
      <c r="L575" s="41"/>
      <c r="M575" s="41"/>
      <c r="N575" s="42"/>
      <c r="O575" s="42"/>
      <c r="P575" s="42"/>
      <c r="Q575" s="42"/>
      <c r="R575" s="42"/>
      <c r="S575" s="42"/>
      <c r="T575" s="42"/>
      <c r="U575" s="42"/>
      <c r="V575" s="42"/>
      <c r="W575" s="42"/>
      <c r="X575" s="42"/>
      <c r="Y575" s="42"/>
      <c r="Z575" s="42"/>
      <c r="AA575" s="42"/>
      <c r="AB575" s="42"/>
      <c r="AC575" s="42"/>
    </row>
    <row r="576" spans="1:29" x14ac:dyDescent="0.25">
      <c r="A576" s="41"/>
      <c r="B576" s="42"/>
      <c r="C576" s="41"/>
      <c r="D576" s="42"/>
      <c r="E576" s="42"/>
      <c r="F576" s="35"/>
      <c r="G576" s="42"/>
      <c r="H576" s="41"/>
      <c r="I576" s="91"/>
      <c r="J576" s="91"/>
      <c r="K576" s="91"/>
      <c r="L576" s="41"/>
      <c r="M576" s="41"/>
      <c r="N576" s="42"/>
      <c r="O576" s="42"/>
      <c r="P576" s="42"/>
      <c r="Q576" s="42"/>
      <c r="R576" s="42"/>
      <c r="S576" s="42"/>
      <c r="T576" s="42"/>
      <c r="U576" s="42"/>
      <c r="V576" s="42"/>
      <c r="W576" s="42"/>
      <c r="X576" s="42"/>
      <c r="Y576" s="42"/>
      <c r="Z576" s="42"/>
      <c r="AA576" s="42"/>
      <c r="AB576" s="42"/>
      <c r="AC576" s="42"/>
    </row>
    <row r="577" spans="1:29" x14ac:dyDescent="0.25">
      <c r="A577" s="41"/>
      <c r="B577" s="42"/>
      <c r="C577" s="41"/>
      <c r="D577" s="42"/>
      <c r="E577" s="42"/>
      <c r="F577" s="35"/>
      <c r="G577" s="42"/>
      <c r="H577" s="41"/>
      <c r="I577" s="91"/>
      <c r="J577" s="91"/>
      <c r="K577" s="91"/>
      <c r="L577" s="41"/>
      <c r="M577" s="41"/>
      <c r="N577" s="42"/>
      <c r="O577" s="42"/>
      <c r="P577" s="42"/>
      <c r="Q577" s="42"/>
      <c r="R577" s="42"/>
      <c r="S577" s="42"/>
      <c r="T577" s="42"/>
      <c r="U577" s="42"/>
      <c r="V577" s="42"/>
      <c r="W577" s="42"/>
      <c r="X577" s="42"/>
      <c r="Y577" s="42"/>
      <c r="Z577" s="42"/>
      <c r="AA577" s="42"/>
      <c r="AB577" s="42"/>
      <c r="AC577" s="42"/>
    </row>
    <row r="578" spans="1:29" x14ac:dyDescent="0.25">
      <c r="A578" s="41"/>
      <c r="B578" s="42"/>
      <c r="C578" s="41"/>
      <c r="D578" s="42"/>
      <c r="E578" s="42"/>
      <c r="F578" s="35"/>
      <c r="G578" s="42"/>
      <c r="H578" s="41"/>
      <c r="I578" s="91"/>
      <c r="J578" s="91"/>
      <c r="K578" s="91"/>
      <c r="L578" s="41"/>
      <c r="M578" s="41"/>
      <c r="N578" s="42"/>
      <c r="O578" s="42"/>
      <c r="P578" s="42"/>
      <c r="Q578" s="42"/>
      <c r="R578" s="42"/>
      <c r="S578" s="42"/>
      <c r="T578" s="42"/>
      <c r="U578" s="42"/>
      <c r="V578" s="42"/>
      <c r="W578" s="42"/>
      <c r="X578" s="42"/>
      <c r="Y578" s="42"/>
      <c r="Z578" s="42"/>
      <c r="AA578" s="42"/>
      <c r="AB578" s="42"/>
      <c r="AC578" s="42"/>
    </row>
    <row r="579" spans="1:29" x14ac:dyDescent="0.25">
      <c r="A579" s="41"/>
      <c r="B579" s="42"/>
      <c r="C579" s="41"/>
      <c r="D579" s="42"/>
      <c r="E579" s="42"/>
      <c r="F579" s="35"/>
      <c r="G579" s="42"/>
      <c r="H579" s="41"/>
      <c r="I579" s="91"/>
      <c r="J579" s="91"/>
      <c r="K579" s="91"/>
      <c r="L579" s="41"/>
      <c r="M579" s="41"/>
      <c r="N579" s="42"/>
      <c r="O579" s="42"/>
      <c r="P579" s="42"/>
      <c r="Q579" s="42"/>
      <c r="R579" s="42"/>
      <c r="S579" s="42"/>
      <c r="T579" s="42"/>
      <c r="U579" s="42"/>
      <c r="V579" s="42"/>
      <c r="W579" s="42"/>
      <c r="X579" s="42"/>
      <c r="Y579" s="42"/>
      <c r="Z579" s="42"/>
      <c r="AA579" s="42"/>
      <c r="AB579" s="42"/>
      <c r="AC579" s="42"/>
    </row>
    <row r="580" spans="1:29" x14ac:dyDescent="0.25">
      <c r="A580" s="41"/>
      <c r="B580" s="42"/>
      <c r="C580" s="41"/>
      <c r="D580" s="42"/>
      <c r="E580" s="42"/>
      <c r="F580" s="35"/>
      <c r="G580" s="42"/>
      <c r="H580" s="41"/>
      <c r="I580" s="91"/>
      <c r="J580" s="91"/>
      <c r="K580" s="91"/>
      <c r="L580" s="41"/>
      <c r="M580" s="41"/>
      <c r="N580" s="42"/>
      <c r="O580" s="42"/>
      <c r="P580" s="42"/>
      <c r="Q580" s="42"/>
      <c r="R580" s="42"/>
      <c r="S580" s="42"/>
      <c r="T580" s="42"/>
      <c r="U580" s="42"/>
      <c r="V580" s="42"/>
      <c r="W580" s="42"/>
      <c r="X580" s="42"/>
      <c r="Y580" s="42"/>
      <c r="Z580" s="42"/>
      <c r="AA580" s="42"/>
      <c r="AB580" s="42"/>
      <c r="AC580" s="42"/>
    </row>
    <row r="581" spans="1:29" x14ac:dyDescent="0.25">
      <c r="A581" s="41"/>
      <c r="B581" s="42"/>
      <c r="C581" s="41"/>
      <c r="D581" s="42"/>
      <c r="E581" s="42"/>
      <c r="F581" s="35"/>
      <c r="G581" s="42"/>
      <c r="H581" s="41"/>
      <c r="I581" s="91"/>
      <c r="J581" s="91"/>
      <c r="K581" s="91"/>
      <c r="L581" s="41"/>
      <c r="M581" s="41"/>
      <c r="N581" s="42"/>
      <c r="O581" s="42"/>
      <c r="P581" s="42"/>
      <c r="Q581" s="42"/>
      <c r="R581" s="42"/>
      <c r="S581" s="42"/>
      <c r="T581" s="42"/>
      <c r="U581" s="42"/>
      <c r="V581" s="42"/>
      <c r="W581" s="42"/>
      <c r="X581" s="42"/>
      <c r="Y581" s="42"/>
      <c r="Z581" s="42"/>
      <c r="AA581" s="42"/>
      <c r="AB581" s="42"/>
      <c r="AC581" s="42"/>
    </row>
    <row r="582" spans="1:29" x14ac:dyDescent="0.25">
      <c r="A582" s="41"/>
      <c r="B582" s="42"/>
      <c r="C582" s="41"/>
      <c r="D582" s="42"/>
      <c r="E582" s="42"/>
      <c r="F582" s="35"/>
      <c r="G582" s="42"/>
      <c r="H582" s="41"/>
      <c r="I582" s="91"/>
      <c r="J582" s="91"/>
      <c r="K582" s="91"/>
      <c r="L582" s="41"/>
      <c r="M582" s="41"/>
      <c r="N582" s="42"/>
      <c r="O582" s="42"/>
      <c r="P582" s="42"/>
      <c r="Q582" s="42"/>
      <c r="R582" s="42"/>
      <c r="S582" s="42"/>
      <c r="T582" s="42"/>
      <c r="U582" s="42"/>
      <c r="V582" s="42"/>
      <c r="W582" s="42"/>
      <c r="X582" s="42"/>
      <c r="Y582" s="42"/>
      <c r="Z582" s="42"/>
      <c r="AA582" s="42"/>
      <c r="AB582" s="42"/>
      <c r="AC582" s="42"/>
    </row>
    <row r="583" spans="1:29" x14ac:dyDescent="0.25">
      <c r="A583" s="41"/>
      <c r="B583" s="42"/>
      <c r="C583" s="41"/>
      <c r="D583" s="42"/>
      <c r="E583" s="42"/>
      <c r="F583" s="35"/>
      <c r="G583" s="42"/>
      <c r="H583" s="41"/>
      <c r="I583" s="91"/>
      <c r="J583" s="91"/>
      <c r="K583" s="91"/>
      <c r="L583" s="41"/>
      <c r="M583" s="41"/>
      <c r="N583" s="42"/>
      <c r="O583" s="42"/>
      <c r="P583" s="42"/>
      <c r="Q583" s="42"/>
      <c r="R583" s="42"/>
      <c r="S583" s="42"/>
      <c r="T583" s="42"/>
      <c r="U583" s="42"/>
      <c r="V583" s="42"/>
      <c r="W583" s="42"/>
      <c r="X583" s="42"/>
      <c r="Y583" s="42"/>
      <c r="Z583" s="42"/>
      <c r="AA583" s="42"/>
      <c r="AB583" s="42"/>
      <c r="AC583" s="42"/>
    </row>
    <row r="584" spans="1:29" x14ac:dyDescent="0.25">
      <c r="A584" s="41"/>
      <c r="B584" s="42"/>
      <c r="C584" s="41"/>
      <c r="D584" s="42"/>
      <c r="E584" s="42"/>
      <c r="F584" s="35"/>
      <c r="G584" s="42"/>
      <c r="H584" s="41"/>
      <c r="I584" s="91"/>
      <c r="J584" s="91"/>
      <c r="K584" s="91"/>
      <c r="L584" s="41"/>
      <c r="M584" s="41"/>
      <c r="N584" s="42"/>
      <c r="O584" s="42"/>
      <c r="P584" s="42"/>
      <c r="Q584" s="42"/>
      <c r="R584" s="42"/>
      <c r="S584" s="42"/>
      <c r="T584" s="42"/>
      <c r="U584" s="42"/>
      <c r="V584" s="42"/>
      <c r="W584" s="42"/>
      <c r="X584" s="42"/>
      <c r="Y584" s="42"/>
      <c r="Z584" s="42"/>
      <c r="AA584" s="42"/>
      <c r="AB584" s="42"/>
      <c r="AC584" s="42"/>
    </row>
    <row r="585" spans="1:29" x14ac:dyDescent="0.25">
      <c r="A585" s="41"/>
      <c r="B585" s="42"/>
      <c r="C585" s="41"/>
      <c r="D585" s="42"/>
      <c r="E585" s="42"/>
      <c r="F585" s="35"/>
      <c r="G585" s="42"/>
      <c r="H585" s="41"/>
      <c r="I585" s="91"/>
      <c r="J585" s="91"/>
      <c r="K585" s="91"/>
      <c r="L585" s="41"/>
      <c r="M585" s="41"/>
      <c r="N585" s="42"/>
      <c r="O585" s="42"/>
      <c r="P585" s="42"/>
      <c r="Q585" s="42"/>
      <c r="R585" s="42"/>
      <c r="S585" s="42"/>
      <c r="T585" s="42"/>
      <c r="U585" s="42"/>
      <c r="V585" s="42"/>
      <c r="W585" s="42"/>
      <c r="X585" s="42"/>
      <c r="Y585" s="42"/>
      <c r="Z585" s="42"/>
      <c r="AA585" s="42"/>
      <c r="AB585" s="42"/>
      <c r="AC585" s="42"/>
    </row>
    <row r="586" spans="1:29" x14ac:dyDescent="0.25">
      <c r="A586" s="41"/>
      <c r="B586" s="42"/>
      <c r="C586" s="41"/>
      <c r="D586" s="42"/>
      <c r="E586" s="42"/>
      <c r="F586" s="35"/>
      <c r="G586" s="42"/>
      <c r="H586" s="41"/>
      <c r="I586" s="91"/>
      <c r="J586" s="91"/>
      <c r="K586" s="91"/>
      <c r="L586" s="41"/>
      <c r="M586" s="41"/>
      <c r="N586" s="42"/>
      <c r="O586" s="42"/>
      <c r="P586" s="42"/>
      <c r="Q586" s="42"/>
      <c r="R586" s="42"/>
      <c r="S586" s="42"/>
      <c r="T586" s="42"/>
      <c r="U586" s="42"/>
      <c r="V586" s="42"/>
      <c r="W586" s="42"/>
      <c r="X586" s="42"/>
      <c r="Y586" s="42"/>
      <c r="Z586" s="42"/>
      <c r="AA586" s="42"/>
      <c r="AB586" s="42"/>
      <c r="AC586" s="42"/>
    </row>
    <row r="587" spans="1:29" x14ac:dyDescent="0.25">
      <c r="A587" s="41"/>
      <c r="B587" s="42"/>
      <c r="C587" s="41"/>
      <c r="D587" s="42"/>
      <c r="E587" s="42"/>
      <c r="F587" s="35"/>
      <c r="G587" s="42"/>
      <c r="H587" s="41"/>
      <c r="I587" s="91"/>
      <c r="J587" s="91"/>
      <c r="K587" s="91"/>
      <c r="L587" s="41"/>
      <c r="M587" s="41"/>
      <c r="N587" s="42"/>
      <c r="O587" s="42"/>
      <c r="P587" s="42"/>
      <c r="Q587" s="42"/>
      <c r="R587" s="42"/>
      <c r="S587" s="42"/>
      <c r="T587" s="42"/>
      <c r="U587" s="42"/>
      <c r="V587" s="42"/>
      <c r="W587" s="42"/>
      <c r="X587" s="42"/>
      <c r="Y587" s="42"/>
      <c r="Z587" s="42"/>
      <c r="AA587" s="42"/>
      <c r="AB587" s="42"/>
      <c r="AC587" s="42"/>
    </row>
    <row r="588" spans="1:29" x14ac:dyDescent="0.25">
      <c r="A588" s="41"/>
      <c r="B588" s="42"/>
      <c r="C588" s="41"/>
      <c r="D588" s="42"/>
      <c r="E588" s="42"/>
      <c r="F588" s="35"/>
      <c r="G588" s="42"/>
      <c r="H588" s="41"/>
      <c r="I588" s="91"/>
      <c r="J588" s="91"/>
      <c r="K588" s="91"/>
      <c r="L588" s="41"/>
      <c r="M588" s="41"/>
      <c r="N588" s="42"/>
      <c r="O588" s="42"/>
      <c r="P588" s="42"/>
      <c r="Q588" s="42"/>
      <c r="R588" s="42"/>
      <c r="S588" s="42"/>
      <c r="T588" s="42"/>
      <c r="U588" s="42"/>
      <c r="V588" s="42"/>
      <c r="W588" s="42"/>
      <c r="X588" s="42"/>
      <c r="Y588" s="42"/>
      <c r="Z588" s="42"/>
      <c r="AA588" s="42"/>
      <c r="AB588" s="42"/>
      <c r="AC588" s="42"/>
    </row>
    <row r="589" spans="1:29" x14ac:dyDescent="0.25">
      <c r="A589" s="41"/>
      <c r="B589" s="42"/>
      <c r="C589" s="41"/>
      <c r="D589" s="42"/>
      <c r="E589" s="42"/>
      <c r="F589" s="35"/>
      <c r="G589" s="42"/>
      <c r="H589" s="41"/>
      <c r="I589" s="91"/>
      <c r="J589" s="91"/>
      <c r="K589" s="91"/>
      <c r="L589" s="41"/>
      <c r="M589" s="41"/>
      <c r="N589" s="42"/>
      <c r="O589" s="42"/>
      <c r="P589" s="42"/>
      <c r="Q589" s="42"/>
      <c r="R589" s="42"/>
      <c r="S589" s="42"/>
      <c r="T589" s="42"/>
      <c r="U589" s="42"/>
      <c r="V589" s="42"/>
      <c r="W589" s="42"/>
      <c r="X589" s="42"/>
      <c r="Y589" s="42"/>
      <c r="Z589" s="42"/>
      <c r="AA589" s="42"/>
      <c r="AB589" s="42"/>
      <c r="AC589" s="42"/>
    </row>
    <row r="590" spans="1:29" x14ac:dyDescent="0.25">
      <c r="A590" s="41"/>
      <c r="B590" s="42"/>
      <c r="C590" s="41"/>
      <c r="D590" s="42"/>
      <c r="E590" s="42"/>
      <c r="F590" s="35"/>
      <c r="G590" s="42"/>
      <c r="H590" s="41"/>
      <c r="I590" s="91"/>
      <c r="J590" s="91"/>
      <c r="K590" s="91"/>
      <c r="L590" s="41"/>
      <c r="M590" s="41"/>
      <c r="N590" s="42"/>
      <c r="O590" s="42"/>
      <c r="P590" s="42"/>
      <c r="Q590" s="42"/>
      <c r="R590" s="42"/>
      <c r="S590" s="42"/>
      <c r="T590" s="42"/>
      <c r="U590" s="42"/>
      <c r="V590" s="42"/>
      <c r="W590" s="42"/>
      <c r="X590" s="42"/>
      <c r="Y590" s="42"/>
      <c r="Z590" s="42"/>
      <c r="AA590" s="42"/>
      <c r="AB590" s="42"/>
      <c r="AC590" s="42"/>
    </row>
    <row r="591" spans="1:29" x14ac:dyDescent="0.25">
      <c r="A591" s="41"/>
      <c r="B591" s="42"/>
      <c r="C591" s="41"/>
      <c r="D591" s="42"/>
      <c r="E591" s="42"/>
      <c r="F591" s="35"/>
      <c r="G591" s="42"/>
      <c r="H591" s="41"/>
      <c r="I591" s="91"/>
      <c r="J591" s="91"/>
      <c r="K591" s="91"/>
      <c r="L591" s="41"/>
      <c r="M591" s="41"/>
      <c r="N591" s="42"/>
      <c r="O591" s="42"/>
      <c r="P591" s="42"/>
      <c r="Q591" s="42"/>
      <c r="R591" s="42"/>
      <c r="S591" s="42"/>
      <c r="T591" s="42"/>
      <c r="U591" s="42"/>
      <c r="V591" s="42"/>
      <c r="W591" s="42"/>
      <c r="X591" s="42"/>
      <c r="Y591" s="42"/>
      <c r="Z591" s="42"/>
      <c r="AA591" s="42"/>
      <c r="AB591" s="42"/>
      <c r="AC591" s="42"/>
    </row>
    <row r="592" spans="1:29" x14ac:dyDescent="0.25">
      <c r="A592" s="41"/>
      <c r="B592" s="42"/>
      <c r="C592" s="41"/>
      <c r="D592" s="42"/>
      <c r="E592" s="42"/>
      <c r="F592" s="35"/>
      <c r="G592" s="42"/>
      <c r="H592" s="41"/>
      <c r="I592" s="91"/>
      <c r="J592" s="91"/>
      <c r="K592" s="91"/>
      <c r="L592" s="41"/>
      <c r="M592" s="41"/>
      <c r="N592" s="42"/>
      <c r="O592" s="42"/>
      <c r="P592" s="42"/>
      <c r="Q592" s="42"/>
      <c r="R592" s="42"/>
      <c r="S592" s="42"/>
      <c r="T592" s="42"/>
      <c r="U592" s="42"/>
      <c r="V592" s="42"/>
      <c r="W592" s="42"/>
      <c r="X592" s="42"/>
      <c r="Y592" s="42"/>
      <c r="Z592" s="42"/>
      <c r="AA592" s="42"/>
      <c r="AB592" s="42"/>
      <c r="AC592" s="42"/>
    </row>
    <row r="593" spans="1:29" x14ac:dyDescent="0.25">
      <c r="A593" s="41"/>
      <c r="B593" s="42"/>
      <c r="C593" s="41"/>
      <c r="D593" s="42"/>
      <c r="E593" s="42"/>
      <c r="F593" s="35"/>
      <c r="G593" s="42"/>
      <c r="H593" s="41"/>
      <c r="I593" s="91"/>
      <c r="J593" s="91"/>
      <c r="K593" s="91"/>
      <c r="L593" s="41"/>
      <c r="M593" s="41"/>
      <c r="N593" s="42"/>
      <c r="O593" s="42"/>
      <c r="P593" s="42"/>
      <c r="Q593" s="42"/>
      <c r="R593" s="42"/>
      <c r="S593" s="42"/>
      <c r="T593" s="42"/>
      <c r="U593" s="42"/>
      <c r="V593" s="42"/>
      <c r="W593" s="42"/>
      <c r="X593" s="42"/>
      <c r="Y593" s="42"/>
      <c r="Z593" s="42"/>
      <c r="AA593" s="42"/>
      <c r="AB593" s="42"/>
      <c r="AC593" s="42"/>
    </row>
    <row r="594" spans="1:29" x14ac:dyDescent="0.25">
      <c r="A594" s="41"/>
      <c r="B594" s="42"/>
      <c r="C594" s="41"/>
      <c r="D594" s="42"/>
      <c r="E594" s="42"/>
      <c r="F594" s="35"/>
      <c r="G594" s="42"/>
      <c r="H594" s="41"/>
      <c r="I594" s="91"/>
      <c r="J594" s="91"/>
      <c r="K594" s="91"/>
      <c r="L594" s="41"/>
      <c r="M594" s="41"/>
      <c r="N594" s="42"/>
      <c r="O594" s="42"/>
      <c r="P594" s="42"/>
      <c r="Q594" s="42"/>
      <c r="R594" s="42"/>
      <c r="S594" s="42"/>
      <c r="T594" s="42"/>
      <c r="U594" s="42"/>
      <c r="V594" s="42"/>
      <c r="W594" s="42"/>
      <c r="X594" s="42"/>
      <c r="Y594" s="42"/>
      <c r="Z594" s="42"/>
      <c r="AA594" s="42"/>
      <c r="AB594" s="42"/>
      <c r="AC594" s="42"/>
    </row>
    <row r="595" spans="1:29" x14ac:dyDescent="0.25">
      <c r="A595" s="41"/>
      <c r="B595" s="42"/>
      <c r="C595" s="41"/>
      <c r="D595" s="42"/>
      <c r="E595" s="42"/>
      <c r="F595" s="35"/>
      <c r="G595" s="42"/>
      <c r="H595" s="41"/>
      <c r="I595" s="91"/>
      <c r="J595" s="91"/>
      <c r="K595" s="91"/>
      <c r="L595" s="41"/>
      <c r="M595" s="41"/>
      <c r="N595" s="42"/>
      <c r="O595" s="42"/>
      <c r="P595" s="42"/>
      <c r="Q595" s="42"/>
      <c r="R595" s="42"/>
      <c r="S595" s="42"/>
      <c r="T595" s="42"/>
      <c r="U595" s="42"/>
      <c r="V595" s="42"/>
      <c r="W595" s="42"/>
      <c r="X595" s="42"/>
      <c r="Y595" s="42"/>
      <c r="Z595" s="42"/>
      <c r="AA595" s="42"/>
      <c r="AB595" s="42"/>
      <c r="AC595" s="42"/>
    </row>
    <row r="596" spans="1:29" x14ac:dyDescent="0.25">
      <c r="A596" s="41"/>
      <c r="B596" s="42"/>
      <c r="C596" s="41"/>
      <c r="D596" s="42"/>
      <c r="E596" s="42"/>
      <c r="F596" s="35"/>
      <c r="G596" s="42"/>
      <c r="H596" s="41"/>
      <c r="I596" s="91"/>
      <c r="J596" s="91"/>
      <c r="K596" s="91"/>
      <c r="L596" s="41"/>
      <c r="M596" s="41"/>
      <c r="N596" s="42"/>
      <c r="O596" s="42"/>
      <c r="P596" s="42"/>
      <c r="Q596" s="42"/>
      <c r="R596" s="42"/>
      <c r="S596" s="42"/>
      <c r="T596" s="42"/>
      <c r="U596" s="42"/>
      <c r="V596" s="42"/>
      <c r="W596" s="42"/>
      <c r="X596" s="42"/>
      <c r="Y596" s="42"/>
      <c r="Z596" s="42"/>
      <c r="AA596" s="42"/>
      <c r="AB596" s="42"/>
      <c r="AC596" s="42"/>
    </row>
    <row r="597" spans="1:29" x14ac:dyDescent="0.25">
      <c r="A597" s="41"/>
      <c r="B597" s="42"/>
      <c r="C597" s="41"/>
      <c r="D597" s="42"/>
      <c r="E597" s="42"/>
      <c r="F597" s="35"/>
      <c r="G597" s="42"/>
      <c r="H597" s="41"/>
      <c r="I597" s="91"/>
      <c r="J597" s="91"/>
      <c r="K597" s="91"/>
      <c r="L597" s="41"/>
      <c r="M597" s="41"/>
      <c r="N597" s="42"/>
      <c r="O597" s="42"/>
      <c r="P597" s="42"/>
      <c r="Q597" s="42"/>
      <c r="R597" s="42"/>
      <c r="S597" s="42"/>
      <c r="T597" s="42"/>
      <c r="U597" s="42"/>
      <c r="V597" s="42"/>
      <c r="W597" s="42"/>
      <c r="X597" s="42"/>
      <c r="Y597" s="42"/>
      <c r="Z597" s="42"/>
      <c r="AA597" s="42"/>
      <c r="AB597" s="42"/>
      <c r="AC597" s="42"/>
    </row>
    <row r="598" spans="1:29" x14ac:dyDescent="0.25">
      <c r="A598" s="41"/>
      <c r="B598" s="42"/>
      <c r="C598" s="41"/>
      <c r="D598" s="42"/>
      <c r="E598" s="42"/>
      <c r="F598" s="35"/>
      <c r="G598" s="42"/>
      <c r="H598" s="41"/>
      <c r="I598" s="91"/>
      <c r="J598" s="91"/>
      <c r="K598" s="91"/>
      <c r="L598" s="41"/>
      <c r="M598" s="41"/>
      <c r="N598" s="42"/>
      <c r="O598" s="42"/>
      <c r="P598" s="42"/>
      <c r="Q598" s="42"/>
      <c r="R598" s="42"/>
      <c r="S598" s="42"/>
      <c r="T598" s="42"/>
      <c r="U598" s="42"/>
      <c r="V598" s="42"/>
      <c r="W598" s="42"/>
      <c r="X598" s="42"/>
      <c r="Y598" s="42"/>
      <c r="Z598" s="42"/>
      <c r="AA598" s="42"/>
      <c r="AB598" s="42"/>
      <c r="AC598" s="42"/>
    </row>
    <row r="599" spans="1:29" x14ac:dyDescent="0.25">
      <c r="A599" s="41"/>
      <c r="B599" s="42"/>
      <c r="C599" s="41"/>
      <c r="D599" s="42"/>
      <c r="E599" s="42"/>
      <c r="F599" s="35"/>
      <c r="G599" s="42"/>
      <c r="H599" s="41"/>
      <c r="I599" s="91"/>
      <c r="J599" s="91"/>
      <c r="K599" s="91"/>
      <c r="L599" s="41"/>
      <c r="M599" s="41"/>
      <c r="N599" s="42"/>
      <c r="O599" s="42"/>
      <c r="P599" s="42"/>
      <c r="Q599" s="42"/>
      <c r="R599" s="42"/>
      <c r="S599" s="42"/>
      <c r="T599" s="42"/>
      <c r="U599" s="42"/>
      <c r="V599" s="42"/>
      <c r="W599" s="42"/>
      <c r="X599" s="42"/>
      <c r="Y599" s="42"/>
      <c r="Z599" s="42"/>
      <c r="AA599" s="42"/>
      <c r="AB599" s="42"/>
      <c r="AC599" s="42"/>
    </row>
    <row r="600" spans="1:29" x14ac:dyDescent="0.25">
      <c r="A600" s="41"/>
      <c r="B600" s="42"/>
      <c r="C600" s="41"/>
      <c r="D600" s="42"/>
      <c r="E600" s="42"/>
      <c r="F600" s="35"/>
      <c r="G600" s="42"/>
      <c r="H600" s="41"/>
      <c r="I600" s="91"/>
      <c r="J600" s="91"/>
      <c r="K600" s="91"/>
      <c r="L600" s="41"/>
      <c r="M600" s="41"/>
      <c r="N600" s="42"/>
      <c r="O600" s="42"/>
      <c r="P600" s="42"/>
      <c r="Q600" s="42"/>
      <c r="R600" s="42"/>
      <c r="S600" s="42"/>
      <c r="T600" s="42"/>
      <c r="U600" s="42"/>
      <c r="V600" s="42"/>
      <c r="W600" s="42"/>
      <c r="X600" s="42"/>
      <c r="Y600" s="42"/>
      <c r="Z600" s="42"/>
      <c r="AA600" s="42"/>
      <c r="AB600" s="42"/>
      <c r="AC600" s="42"/>
    </row>
    <row r="601" spans="1:29" x14ac:dyDescent="0.25">
      <c r="A601" s="41"/>
      <c r="B601" s="42"/>
      <c r="C601" s="41"/>
      <c r="D601" s="42"/>
      <c r="E601" s="42"/>
      <c r="F601" s="35"/>
      <c r="G601" s="42"/>
      <c r="H601" s="41"/>
      <c r="I601" s="91"/>
      <c r="J601" s="91"/>
      <c r="K601" s="91"/>
      <c r="L601" s="41"/>
      <c r="M601" s="41"/>
      <c r="N601" s="42"/>
      <c r="O601" s="42"/>
      <c r="P601" s="42"/>
      <c r="Q601" s="42"/>
      <c r="R601" s="42"/>
      <c r="S601" s="42"/>
      <c r="T601" s="42"/>
      <c r="U601" s="42"/>
      <c r="V601" s="42"/>
      <c r="W601" s="42"/>
      <c r="X601" s="42"/>
      <c r="Y601" s="42"/>
      <c r="Z601" s="42"/>
      <c r="AA601" s="42"/>
      <c r="AB601" s="42"/>
      <c r="AC601" s="42"/>
    </row>
    <row r="602" spans="1:29" x14ac:dyDescent="0.25">
      <c r="A602" s="41"/>
      <c r="B602" s="42"/>
      <c r="C602" s="41"/>
      <c r="D602" s="42"/>
      <c r="E602" s="42"/>
      <c r="F602" s="35"/>
      <c r="G602" s="42"/>
      <c r="H602" s="41"/>
      <c r="I602" s="91"/>
      <c r="J602" s="91"/>
      <c r="K602" s="91"/>
      <c r="L602" s="41"/>
      <c r="M602" s="41"/>
      <c r="N602" s="42"/>
      <c r="O602" s="42"/>
      <c r="P602" s="42"/>
      <c r="Q602" s="42"/>
      <c r="R602" s="42"/>
      <c r="S602" s="42"/>
      <c r="T602" s="42"/>
      <c r="U602" s="42"/>
      <c r="V602" s="42"/>
      <c r="W602" s="42"/>
      <c r="X602" s="42"/>
      <c r="Y602" s="42"/>
      <c r="Z602" s="42"/>
      <c r="AA602" s="42"/>
      <c r="AB602" s="42"/>
      <c r="AC602" s="42"/>
    </row>
    <row r="603" spans="1:29" x14ac:dyDescent="0.25">
      <c r="A603" s="41"/>
      <c r="B603" s="42"/>
      <c r="C603" s="41"/>
      <c r="D603" s="42"/>
      <c r="E603" s="42"/>
      <c r="F603" s="35"/>
      <c r="G603" s="42"/>
      <c r="H603" s="41"/>
      <c r="I603" s="91"/>
      <c r="J603" s="91"/>
      <c r="K603" s="91"/>
      <c r="L603" s="41"/>
      <c r="M603" s="41"/>
      <c r="N603" s="42"/>
      <c r="O603" s="42"/>
      <c r="P603" s="42"/>
      <c r="Q603" s="42"/>
      <c r="R603" s="42"/>
      <c r="S603" s="42"/>
      <c r="T603" s="42"/>
      <c r="U603" s="42"/>
      <c r="V603" s="42"/>
      <c r="W603" s="42"/>
      <c r="X603" s="42"/>
      <c r="Y603" s="42"/>
      <c r="Z603" s="42"/>
      <c r="AA603" s="42"/>
      <c r="AB603" s="42"/>
      <c r="AC603" s="42"/>
    </row>
    <row r="604" spans="1:29" x14ac:dyDescent="0.25">
      <c r="A604" s="41"/>
      <c r="B604" s="42"/>
      <c r="C604" s="41"/>
      <c r="D604" s="42"/>
      <c r="E604" s="42"/>
      <c r="F604" s="35"/>
      <c r="G604" s="42"/>
      <c r="H604" s="41"/>
      <c r="I604" s="91"/>
      <c r="J604" s="91"/>
      <c r="K604" s="91"/>
      <c r="L604" s="41"/>
      <c r="M604" s="41"/>
      <c r="N604" s="42"/>
      <c r="O604" s="42"/>
      <c r="P604" s="42"/>
      <c r="Q604" s="42"/>
      <c r="R604" s="42"/>
      <c r="S604" s="42"/>
      <c r="T604" s="42"/>
      <c r="U604" s="42"/>
      <c r="V604" s="42"/>
      <c r="W604" s="42"/>
      <c r="X604" s="42"/>
      <c r="Y604" s="42"/>
      <c r="Z604" s="42"/>
      <c r="AA604" s="42"/>
      <c r="AB604" s="42"/>
      <c r="AC604" s="42"/>
    </row>
    <row r="605" spans="1:29" x14ac:dyDescent="0.25">
      <c r="A605" s="41"/>
      <c r="B605" s="42"/>
      <c r="C605" s="41"/>
      <c r="D605" s="42"/>
      <c r="E605" s="42"/>
      <c r="F605" s="35"/>
      <c r="G605" s="42"/>
      <c r="H605" s="41"/>
      <c r="I605" s="91"/>
      <c r="J605" s="91"/>
      <c r="K605" s="91"/>
      <c r="L605" s="41"/>
      <c r="M605" s="41"/>
      <c r="N605" s="42"/>
      <c r="O605" s="42"/>
      <c r="P605" s="42"/>
      <c r="Q605" s="42"/>
      <c r="R605" s="42"/>
      <c r="S605" s="42"/>
      <c r="T605" s="42"/>
      <c r="U605" s="42"/>
      <c r="V605" s="42"/>
      <c r="W605" s="42"/>
      <c r="X605" s="42"/>
      <c r="Y605" s="42"/>
      <c r="Z605" s="42"/>
      <c r="AA605" s="42"/>
      <c r="AB605" s="42"/>
      <c r="AC605" s="42"/>
    </row>
    <row r="606" spans="1:29" x14ac:dyDescent="0.25">
      <c r="A606" s="41"/>
      <c r="B606" s="42"/>
      <c r="C606" s="41"/>
      <c r="D606" s="42"/>
      <c r="E606" s="42"/>
      <c r="F606" s="35"/>
      <c r="G606" s="42"/>
      <c r="H606" s="41"/>
      <c r="I606" s="91"/>
      <c r="J606" s="91"/>
      <c r="K606" s="91"/>
      <c r="L606" s="41"/>
      <c r="M606" s="41"/>
      <c r="N606" s="42"/>
      <c r="O606" s="42"/>
      <c r="P606" s="42"/>
      <c r="Q606" s="42"/>
      <c r="R606" s="42"/>
      <c r="S606" s="42"/>
      <c r="T606" s="42"/>
      <c r="U606" s="42"/>
      <c r="V606" s="42"/>
      <c r="W606" s="42"/>
      <c r="X606" s="42"/>
      <c r="Y606" s="42"/>
      <c r="Z606" s="42"/>
      <c r="AA606" s="42"/>
      <c r="AB606" s="42"/>
      <c r="AC606" s="42"/>
    </row>
    <row r="607" spans="1:29" x14ac:dyDescent="0.25">
      <c r="A607" s="41"/>
      <c r="B607" s="42"/>
      <c r="C607" s="41"/>
      <c r="D607" s="42"/>
      <c r="E607" s="42"/>
      <c r="F607" s="35"/>
      <c r="G607" s="42"/>
      <c r="H607" s="41"/>
      <c r="I607" s="91"/>
      <c r="J607" s="91"/>
      <c r="K607" s="91"/>
      <c r="L607" s="41"/>
      <c r="M607" s="41"/>
      <c r="N607" s="42"/>
      <c r="O607" s="42"/>
      <c r="P607" s="42"/>
      <c r="Q607" s="42"/>
      <c r="R607" s="42"/>
      <c r="S607" s="42"/>
      <c r="T607" s="42"/>
      <c r="U607" s="42"/>
      <c r="V607" s="42"/>
      <c r="W607" s="42"/>
      <c r="X607" s="42"/>
      <c r="Y607" s="42"/>
      <c r="Z607" s="42"/>
      <c r="AA607" s="42"/>
      <c r="AB607" s="42"/>
      <c r="AC607" s="42"/>
    </row>
    <row r="608" spans="1:29" x14ac:dyDescent="0.25">
      <c r="A608" s="41"/>
      <c r="B608" s="42"/>
      <c r="C608" s="41"/>
      <c r="D608" s="42"/>
      <c r="E608" s="42"/>
      <c r="F608" s="35"/>
      <c r="G608" s="42"/>
      <c r="H608" s="41"/>
      <c r="I608" s="91"/>
      <c r="J608" s="91"/>
      <c r="K608" s="91"/>
      <c r="L608" s="41"/>
      <c r="M608" s="41"/>
      <c r="N608" s="42"/>
      <c r="O608" s="42"/>
      <c r="P608" s="42"/>
      <c r="Q608" s="42"/>
      <c r="R608" s="42"/>
      <c r="S608" s="42"/>
      <c r="T608" s="42"/>
      <c r="U608" s="42"/>
      <c r="V608" s="42"/>
      <c r="W608" s="42"/>
      <c r="X608" s="42"/>
      <c r="Y608" s="42"/>
      <c r="Z608" s="42"/>
      <c r="AA608" s="42"/>
      <c r="AB608" s="42"/>
      <c r="AC608" s="42"/>
    </row>
    <row r="609" spans="1:29" x14ac:dyDescent="0.25">
      <c r="A609" s="41"/>
      <c r="B609" s="42"/>
      <c r="C609" s="41"/>
      <c r="D609" s="42"/>
      <c r="E609" s="42"/>
      <c r="F609" s="35"/>
      <c r="G609" s="42"/>
      <c r="H609" s="41"/>
      <c r="I609" s="91"/>
      <c r="J609" s="91"/>
      <c r="K609" s="91"/>
      <c r="L609" s="41"/>
      <c r="M609" s="41"/>
      <c r="N609" s="42"/>
      <c r="O609" s="42"/>
      <c r="P609" s="42"/>
      <c r="Q609" s="42"/>
      <c r="R609" s="42"/>
      <c r="S609" s="42"/>
      <c r="T609" s="42"/>
      <c r="U609" s="42"/>
      <c r="V609" s="42"/>
      <c r="W609" s="42"/>
      <c r="X609" s="42"/>
      <c r="Y609" s="42"/>
      <c r="Z609" s="42"/>
      <c r="AA609" s="42"/>
      <c r="AB609" s="42"/>
      <c r="AC609" s="42"/>
    </row>
    <row r="610" spans="1:29" x14ac:dyDescent="0.25">
      <c r="A610" s="41"/>
      <c r="B610" s="42"/>
      <c r="C610" s="41"/>
      <c r="D610" s="42"/>
      <c r="E610" s="42"/>
      <c r="F610" s="35"/>
      <c r="G610" s="42"/>
      <c r="H610" s="41"/>
      <c r="I610" s="91"/>
      <c r="J610" s="91"/>
      <c r="K610" s="91"/>
      <c r="L610" s="41"/>
      <c r="M610" s="41"/>
      <c r="N610" s="42"/>
      <c r="O610" s="42"/>
      <c r="P610" s="42"/>
      <c r="Q610" s="42"/>
      <c r="R610" s="42"/>
      <c r="S610" s="42"/>
      <c r="T610" s="42"/>
      <c r="U610" s="42"/>
      <c r="V610" s="42"/>
      <c r="W610" s="42"/>
      <c r="X610" s="42"/>
      <c r="Y610" s="42"/>
      <c r="Z610" s="42"/>
      <c r="AA610" s="42"/>
      <c r="AB610" s="42"/>
      <c r="AC610" s="42"/>
    </row>
    <row r="611" spans="1:29" x14ac:dyDescent="0.25">
      <c r="A611" s="41"/>
      <c r="B611" s="42"/>
      <c r="C611" s="41"/>
      <c r="D611" s="42"/>
      <c r="E611" s="42"/>
      <c r="F611" s="35"/>
      <c r="G611" s="42"/>
      <c r="H611" s="41"/>
      <c r="I611" s="91"/>
      <c r="J611" s="91"/>
      <c r="K611" s="91"/>
      <c r="L611" s="41"/>
      <c r="M611" s="41"/>
      <c r="N611" s="42"/>
      <c r="O611" s="42"/>
      <c r="P611" s="42"/>
      <c r="Q611" s="42"/>
      <c r="R611" s="42"/>
      <c r="S611" s="42"/>
      <c r="T611" s="42"/>
      <c r="U611" s="42"/>
      <c r="V611" s="42"/>
      <c r="W611" s="42"/>
      <c r="X611" s="42"/>
      <c r="Y611" s="42"/>
      <c r="Z611" s="42"/>
      <c r="AA611" s="42"/>
      <c r="AB611" s="42"/>
      <c r="AC611" s="42"/>
    </row>
    <row r="612" spans="1:29" x14ac:dyDescent="0.25">
      <c r="A612" s="41"/>
      <c r="B612" s="42"/>
      <c r="C612" s="41"/>
      <c r="D612" s="42"/>
      <c r="E612" s="42"/>
      <c r="F612" s="35"/>
      <c r="G612" s="42"/>
      <c r="H612" s="41"/>
      <c r="I612" s="91"/>
      <c r="J612" s="91"/>
      <c r="K612" s="91"/>
      <c r="L612" s="41"/>
      <c r="M612" s="41"/>
      <c r="N612" s="42"/>
      <c r="O612" s="42"/>
      <c r="P612" s="42"/>
      <c r="Q612" s="42"/>
      <c r="R612" s="42"/>
      <c r="S612" s="42"/>
      <c r="T612" s="42"/>
      <c r="U612" s="42"/>
      <c r="V612" s="42"/>
      <c r="W612" s="42"/>
      <c r="X612" s="42"/>
      <c r="Y612" s="42"/>
      <c r="Z612" s="42"/>
      <c r="AA612" s="42"/>
      <c r="AB612" s="42"/>
      <c r="AC612" s="42"/>
    </row>
    <row r="613" spans="1:29" x14ac:dyDescent="0.25">
      <c r="A613" s="41"/>
      <c r="B613" s="42"/>
      <c r="C613" s="41"/>
      <c r="D613" s="42"/>
      <c r="E613" s="42"/>
      <c r="F613" s="35"/>
      <c r="G613" s="42"/>
      <c r="H613" s="41"/>
      <c r="I613" s="91"/>
      <c r="J613" s="91"/>
      <c r="K613" s="91"/>
      <c r="L613" s="41"/>
      <c r="M613" s="41"/>
      <c r="N613" s="42"/>
      <c r="O613" s="42"/>
      <c r="P613" s="42"/>
      <c r="Q613" s="42"/>
      <c r="R613" s="42"/>
      <c r="S613" s="42"/>
      <c r="T613" s="42"/>
      <c r="U613" s="42"/>
      <c r="V613" s="42"/>
      <c r="W613" s="42"/>
      <c r="X613" s="42"/>
      <c r="Y613" s="42"/>
      <c r="Z613" s="42"/>
      <c r="AA613" s="42"/>
      <c r="AB613" s="42"/>
      <c r="AC613" s="42"/>
    </row>
    <row r="614" spans="1:29" x14ac:dyDescent="0.25">
      <c r="A614" s="41"/>
      <c r="B614" s="42"/>
      <c r="C614" s="41"/>
      <c r="D614" s="42"/>
      <c r="E614" s="42"/>
      <c r="F614" s="35"/>
      <c r="G614" s="42"/>
      <c r="H614" s="41"/>
      <c r="I614" s="91"/>
      <c r="J614" s="91"/>
      <c r="K614" s="91"/>
      <c r="L614" s="41"/>
      <c r="M614" s="41"/>
      <c r="N614" s="42"/>
      <c r="O614" s="42"/>
      <c r="P614" s="42"/>
      <c r="Q614" s="42"/>
      <c r="R614" s="42"/>
      <c r="S614" s="42"/>
      <c r="T614" s="42"/>
      <c r="U614" s="42"/>
      <c r="V614" s="42"/>
      <c r="W614" s="42"/>
      <c r="X614" s="42"/>
      <c r="Y614" s="42"/>
      <c r="Z614" s="42"/>
      <c r="AA614" s="42"/>
      <c r="AB614" s="42"/>
      <c r="AC614" s="42"/>
    </row>
    <row r="615" spans="1:29" x14ac:dyDescent="0.25">
      <c r="A615" s="41"/>
      <c r="B615" s="42"/>
      <c r="C615" s="41"/>
      <c r="D615" s="42"/>
      <c r="E615" s="42"/>
      <c r="F615" s="35"/>
      <c r="G615" s="42"/>
      <c r="H615" s="41"/>
      <c r="I615" s="91"/>
      <c r="J615" s="91"/>
      <c r="K615" s="91"/>
      <c r="L615" s="41"/>
      <c r="M615" s="41"/>
      <c r="N615" s="42"/>
      <c r="O615" s="42"/>
      <c r="P615" s="42"/>
      <c r="Q615" s="42"/>
      <c r="R615" s="42"/>
      <c r="S615" s="42"/>
      <c r="T615" s="42"/>
      <c r="U615" s="42"/>
      <c r="V615" s="42"/>
      <c r="W615" s="42"/>
      <c r="X615" s="42"/>
      <c r="Y615" s="42"/>
      <c r="Z615" s="42"/>
      <c r="AA615" s="42"/>
      <c r="AB615" s="42"/>
      <c r="AC615" s="42"/>
    </row>
    <row r="616" spans="1:29" x14ac:dyDescent="0.25">
      <c r="A616" s="41"/>
      <c r="B616" s="42"/>
      <c r="C616" s="41"/>
      <c r="D616" s="42"/>
      <c r="E616" s="42"/>
      <c r="F616" s="35"/>
      <c r="G616" s="42"/>
      <c r="H616" s="41"/>
      <c r="I616" s="91"/>
      <c r="J616" s="91"/>
      <c r="K616" s="91"/>
      <c r="L616" s="41"/>
      <c r="M616" s="41"/>
      <c r="N616" s="42"/>
      <c r="O616" s="42"/>
      <c r="P616" s="42"/>
      <c r="Q616" s="42"/>
      <c r="R616" s="42"/>
      <c r="S616" s="42"/>
      <c r="T616" s="42"/>
      <c r="U616" s="42"/>
      <c r="V616" s="42"/>
      <c r="W616" s="42"/>
      <c r="X616" s="42"/>
      <c r="Y616" s="42"/>
      <c r="Z616" s="42"/>
      <c r="AA616" s="42"/>
      <c r="AB616" s="42"/>
      <c r="AC616" s="42"/>
    </row>
    <row r="617" spans="1:29" x14ac:dyDescent="0.25">
      <c r="A617" s="41"/>
      <c r="B617" s="42"/>
      <c r="C617" s="41"/>
      <c r="D617" s="42"/>
      <c r="E617" s="42"/>
      <c r="F617" s="35"/>
      <c r="G617" s="42"/>
      <c r="H617" s="41"/>
      <c r="I617" s="91"/>
      <c r="J617" s="91"/>
      <c r="K617" s="91"/>
      <c r="L617" s="41"/>
      <c r="M617" s="41"/>
      <c r="N617" s="42"/>
      <c r="O617" s="42"/>
      <c r="P617" s="42"/>
      <c r="Q617" s="42"/>
      <c r="R617" s="42"/>
      <c r="S617" s="42"/>
      <c r="T617" s="42"/>
      <c r="U617" s="42"/>
      <c r="V617" s="42"/>
      <c r="W617" s="42"/>
      <c r="X617" s="42"/>
      <c r="Y617" s="42"/>
      <c r="Z617" s="42"/>
      <c r="AA617" s="42"/>
      <c r="AB617" s="42"/>
      <c r="AC617" s="42"/>
    </row>
    <row r="618" spans="1:29" x14ac:dyDescent="0.25">
      <c r="A618" s="41"/>
      <c r="B618" s="42"/>
      <c r="C618" s="41"/>
      <c r="D618" s="42"/>
      <c r="E618" s="42"/>
      <c r="F618" s="35"/>
      <c r="G618" s="42"/>
      <c r="H618" s="41"/>
      <c r="I618" s="91"/>
      <c r="J618" s="91"/>
      <c r="K618" s="91"/>
      <c r="L618" s="41"/>
      <c r="M618" s="41"/>
      <c r="N618" s="42"/>
      <c r="O618" s="42"/>
      <c r="P618" s="42"/>
      <c r="Q618" s="42"/>
      <c r="R618" s="42"/>
      <c r="S618" s="42"/>
      <c r="T618" s="42"/>
      <c r="U618" s="42"/>
      <c r="V618" s="42"/>
      <c r="W618" s="42"/>
      <c r="X618" s="42"/>
      <c r="Y618" s="42"/>
      <c r="Z618" s="42"/>
      <c r="AA618" s="42"/>
      <c r="AB618" s="42"/>
      <c r="AC618" s="42"/>
    </row>
    <row r="619" spans="1:29" x14ac:dyDescent="0.25">
      <c r="A619" s="41"/>
      <c r="B619" s="42"/>
      <c r="C619" s="41"/>
      <c r="D619" s="42"/>
      <c r="E619" s="42"/>
      <c r="F619" s="35"/>
      <c r="G619" s="42"/>
      <c r="H619" s="41"/>
      <c r="I619" s="91"/>
      <c r="J619" s="91"/>
      <c r="K619" s="91"/>
      <c r="L619" s="41"/>
      <c r="M619" s="41"/>
      <c r="N619" s="42"/>
      <c r="O619" s="42"/>
      <c r="P619" s="42"/>
      <c r="Q619" s="42"/>
      <c r="R619" s="42"/>
      <c r="S619" s="42"/>
      <c r="T619" s="42"/>
      <c r="U619" s="42"/>
      <c r="V619" s="42"/>
      <c r="W619" s="42"/>
      <c r="X619" s="42"/>
      <c r="Y619" s="42"/>
      <c r="Z619" s="42"/>
      <c r="AA619" s="42"/>
      <c r="AB619" s="42"/>
      <c r="AC619" s="42"/>
    </row>
    <row r="620" spans="1:29" x14ac:dyDescent="0.25">
      <c r="A620" s="41"/>
      <c r="B620" s="42"/>
      <c r="C620" s="41"/>
      <c r="D620" s="42"/>
      <c r="E620" s="42"/>
      <c r="F620" s="35"/>
      <c r="G620" s="42"/>
      <c r="H620" s="41"/>
      <c r="I620" s="91"/>
      <c r="J620" s="91"/>
      <c r="K620" s="91"/>
      <c r="L620" s="41"/>
      <c r="M620" s="41"/>
      <c r="N620" s="42"/>
      <c r="O620" s="42"/>
      <c r="P620" s="42"/>
      <c r="Q620" s="42"/>
      <c r="R620" s="42"/>
      <c r="S620" s="42"/>
      <c r="T620" s="42"/>
      <c r="U620" s="42"/>
      <c r="V620" s="42"/>
      <c r="W620" s="42"/>
      <c r="X620" s="42"/>
      <c r="Y620" s="42"/>
      <c r="Z620" s="42"/>
      <c r="AA620" s="42"/>
      <c r="AB620" s="42"/>
      <c r="AC620" s="42"/>
    </row>
    <row r="621" spans="1:29" x14ac:dyDescent="0.25">
      <c r="A621" s="41"/>
      <c r="B621" s="42"/>
      <c r="C621" s="41"/>
      <c r="D621" s="42"/>
      <c r="E621" s="42"/>
      <c r="F621" s="35"/>
      <c r="G621" s="42"/>
      <c r="H621" s="41"/>
      <c r="I621" s="91"/>
      <c r="J621" s="91"/>
      <c r="K621" s="91"/>
      <c r="L621" s="41"/>
      <c r="M621" s="41"/>
      <c r="N621" s="42"/>
      <c r="O621" s="42"/>
      <c r="P621" s="42"/>
      <c r="Q621" s="42"/>
      <c r="R621" s="42"/>
      <c r="S621" s="42"/>
      <c r="T621" s="42"/>
      <c r="U621" s="42"/>
      <c r="V621" s="42"/>
      <c r="W621" s="42"/>
      <c r="X621" s="42"/>
      <c r="Y621" s="42"/>
      <c r="Z621" s="42"/>
      <c r="AA621" s="42"/>
      <c r="AB621" s="42"/>
      <c r="AC621" s="42"/>
    </row>
    <row r="622" spans="1:29" x14ac:dyDescent="0.25">
      <c r="A622" s="41"/>
      <c r="B622" s="42"/>
      <c r="C622" s="41"/>
      <c r="D622" s="42"/>
      <c r="E622" s="42"/>
      <c r="F622" s="35"/>
      <c r="G622" s="42"/>
      <c r="H622" s="41"/>
      <c r="I622" s="91"/>
      <c r="J622" s="91"/>
      <c r="K622" s="91"/>
      <c r="L622" s="41"/>
      <c r="M622" s="41"/>
      <c r="N622" s="42"/>
      <c r="O622" s="42"/>
      <c r="P622" s="42"/>
      <c r="Q622" s="42"/>
      <c r="R622" s="42"/>
      <c r="S622" s="42"/>
      <c r="T622" s="42"/>
      <c r="U622" s="42"/>
      <c r="V622" s="42"/>
      <c r="W622" s="42"/>
      <c r="X622" s="42"/>
      <c r="Y622" s="42"/>
      <c r="Z622" s="42"/>
      <c r="AA622" s="42"/>
      <c r="AB622" s="42"/>
      <c r="AC622" s="42"/>
    </row>
    <row r="623" spans="1:29" x14ac:dyDescent="0.25">
      <c r="A623" s="41"/>
      <c r="B623" s="42"/>
      <c r="C623" s="41"/>
      <c r="D623" s="42"/>
      <c r="E623" s="42"/>
      <c r="F623" s="35"/>
      <c r="G623" s="42"/>
      <c r="H623" s="41"/>
      <c r="I623" s="91"/>
      <c r="J623" s="91"/>
      <c r="K623" s="91"/>
      <c r="L623" s="41"/>
      <c r="M623" s="41"/>
      <c r="N623" s="42"/>
      <c r="O623" s="42"/>
      <c r="P623" s="42"/>
      <c r="Q623" s="42"/>
      <c r="R623" s="42"/>
      <c r="S623" s="42"/>
      <c r="T623" s="42"/>
      <c r="U623" s="42"/>
      <c r="V623" s="42"/>
      <c r="W623" s="42"/>
      <c r="X623" s="42"/>
      <c r="Y623" s="42"/>
      <c r="Z623" s="42"/>
      <c r="AA623" s="42"/>
      <c r="AB623" s="42"/>
      <c r="AC623" s="42"/>
    </row>
    <row r="624" spans="1:29" x14ac:dyDescent="0.25">
      <c r="A624" s="41"/>
      <c r="B624" s="42"/>
      <c r="C624" s="41"/>
      <c r="D624" s="42"/>
      <c r="E624" s="42"/>
      <c r="F624" s="35"/>
      <c r="G624" s="42"/>
      <c r="H624" s="41"/>
      <c r="I624" s="91"/>
      <c r="J624" s="91"/>
      <c r="K624" s="91"/>
      <c r="L624" s="41"/>
      <c r="M624" s="41"/>
      <c r="N624" s="42"/>
      <c r="O624" s="42"/>
      <c r="P624" s="42"/>
      <c r="Q624" s="42"/>
      <c r="R624" s="42"/>
      <c r="S624" s="42"/>
      <c r="T624" s="42"/>
      <c r="U624" s="42"/>
      <c r="V624" s="42"/>
      <c r="W624" s="42"/>
      <c r="X624" s="42"/>
      <c r="Y624" s="42"/>
      <c r="Z624" s="42"/>
      <c r="AA624" s="42"/>
      <c r="AB624" s="42"/>
      <c r="AC624" s="42"/>
    </row>
    <row r="625" spans="1:29" x14ac:dyDescent="0.25">
      <c r="A625" s="41"/>
      <c r="B625" s="42"/>
      <c r="C625" s="41"/>
      <c r="D625" s="42"/>
      <c r="E625" s="42"/>
      <c r="F625" s="35"/>
      <c r="G625" s="42"/>
      <c r="H625" s="41"/>
      <c r="I625" s="91"/>
      <c r="J625" s="91"/>
      <c r="K625" s="91"/>
      <c r="L625" s="41"/>
      <c r="M625" s="41"/>
      <c r="N625" s="42"/>
      <c r="O625" s="42"/>
      <c r="P625" s="42"/>
      <c r="Q625" s="42"/>
      <c r="R625" s="42"/>
      <c r="S625" s="42"/>
      <c r="T625" s="42"/>
      <c r="U625" s="42"/>
      <c r="V625" s="42"/>
      <c r="W625" s="42"/>
      <c r="X625" s="42"/>
      <c r="Y625" s="42"/>
      <c r="Z625" s="42"/>
      <c r="AA625" s="42"/>
      <c r="AB625" s="42"/>
      <c r="AC625" s="42"/>
    </row>
    <row r="626" spans="1:29" x14ac:dyDescent="0.25">
      <c r="A626" s="41"/>
      <c r="B626" s="42"/>
      <c r="C626" s="41"/>
      <c r="D626" s="42"/>
      <c r="E626" s="42"/>
      <c r="F626" s="35"/>
      <c r="G626" s="42"/>
      <c r="H626" s="41"/>
      <c r="I626" s="91"/>
      <c r="J626" s="91"/>
      <c r="K626" s="91"/>
      <c r="L626" s="41"/>
      <c r="M626" s="41"/>
      <c r="N626" s="42"/>
      <c r="O626" s="42"/>
      <c r="P626" s="42"/>
      <c r="Q626" s="42"/>
      <c r="R626" s="42"/>
      <c r="S626" s="42"/>
      <c r="T626" s="42"/>
      <c r="U626" s="42"/>
      <c r="V626" s="42"/>
      <c r="W626" s="42"/>
      <c r="X626" s="42"/>
      <c r="Y626" s="42"/>
      <c r="Z626" s="42"/>
      <c r="AA626" s="42"/>
      <c r="AB626" s="42"/>
      <c r="AC626" s="42"/>
    </row>
    <row r="627" spans="1:29" x14ac:dyDescent="0.25">
      <c r="A627" s="41"/>
      <c r="B627" s="42"/>
      <c r="C627" s="41"/>
      <c r="D627" s="42"/>
      <c r="E627" s="42"/>
      <c r="F627" s="35"/>
      <c r="G627" s="42"/>
      <c r="H627" s="41"/>
      <c r="I627" s="91"/>
      <c r="J627" s="91"/>
      <c r="K627" s="91"/>
      <c r="L627" s="41"/>
      <c r="M627" s="41"/>
      <c r="N627" s="42"/>
      <c r="O627" s="42"/>
      <c r="P627" s="42"/>
      <c r="Q627" s="42"/>
      <c r="R627" s="42"/>
      <c r="S627" s="42"/>
      <c r="T627" s="42"/>
      <c r="U627" s="42"/>
      <c r="V627" s="42"/>
      <c r="W627" s="42"/>
      <c r="X627" s="42"/>
      <c r="Y627" s="42"/>
      <c r="Z627" s="42"/>
      <c r="AA627" s="42"/>
      <c r="AB627" s="42"/>
      <c r="AC627" s="42"/>
    </row>
    <row r="628" spans="1:29" x14ac:dyDescent="0.25">
      <c r="A628" s="41"/>
      <c r="B628" s="42"/>
      <c r="C628" s="41"/>
      <c r="D628" s="42"/>
      <c r="E628" s="42"/>
      <c r="F628" s="35"/>
      <c r="G628" s="42"/>
      <c r="H628" s="41"/>
      <c r="I628" s="91"/>
      <c r="J628" s="91"/>
      <c r="K628" s="91"/>
      <c r="L628" s="41"/>
      <c r="M628" s="41"/>
      <c r="N628" s="42"/>
      <c r="O628" s="42"/>
      <c r="P628" s="42"/>
      <c r="Q628" s="42"/>
      <c r="R628" s="42"/>
      <c r="S628" s="42"/>
      <c r="T628" s="42"/>
      <c r="U628" s="42"/>
      <c r="V628" s="42"/>
      <c r="W628" s="42"/>
      <c r="X628" s="42"/>
      <c r="Y628" s="42"/>
      <c r="Z628" s="42"/>
      <c r="AA628" s="42"/>
      <c r="AB628" s="42"/>
      <c r="AC628" s="42"/>
    </row>
    <row r="629" spans="1:29" x14ac:dyDescent="0.25">
      <c r="A629" s="41"/>
      <c r="B629" s="42"/>
      <c r="C629" s="41"/>
      <c r="D629" s="42"/>
      <c r="E629" s="42"/>
      <c r="F629" s="35"/>
      <c r="G629" s="42"/>
      <c r="H629" s="41"/>
      <c r="I629" s="91"/>
      <c r="J629" s="91"/>
      <c r="K629" s="91"/>
      <c r="L629" s="41"/>
      <c r="M629" s="41"/>
      <c r="N629" s="42"/>
      <c r="O629" s="42"/>
      <c r="P629" s="42"/>
      <c r="Q629" s="42"/>
      <c r="R629" s="42"/>
      <c r="S629" s="42"/>
      <c r="T629" s="42"/>
      <c r="U629" s="42"/>
      <c r="V629" s="42"/>
      <c r="W629" s="42"/>
      <c r="X629" s="42"/>
      <c r="Y629" s="42"/>
      <c r="Z629" s="42"/>
      <c r="AA629" s="42"/>
      <c r="AB629" s="42"/>
      <c r="AC629" s="42"/>
    </row>
    <row r="630" spans="1:29" x14ac:dyDescent="0.25">
      <c r="A630" s="41"/>
      <c r="B630" s="42"/>
      <c r="C630" s="41"/>
      <c r="D630" s="42"/>
      <c r="E630" s="42"/>
      <c r="F630" s="35"/>
      <c r="G630" s="42"/>
      <c r="H630" s="41"/>
      <c r="I630" s="91"/>
      <c r="J630" s="91"/>
      <c r="K630" s="91"/>
      <c r="L630" s="41"/>
      <c r="M630" s="41"/>
      <c r="N630" s="42"/>
      <c r="O630" s="42"/>
      <c r="P630" s="42"/>
      <c r="Q630" s="42"/>
      <c r="R630" s="42"/>
      <c r="S630" s="42"/>
      <c r="T630" s="42"/>
      <c r="U630" s="42"/>
      <c r="V630" s="42"/>
      <c r="W630" s="42"/>
      <c r="X630" s="42"/>
      <c r="Y630" s="42"/>
      <c r="Z630" s="42"/>
      <c r="AA630" s="42"/>
      <c r="AB630" s="42"/>
      <c r="AC630" s="42"/>
    </row>
    <row r="631" spans="1:29" x14ac:dyDescent="0.25">
      <c r="A631" s="41"/>
      <c r="B631" s="42"/>
      <c r="C631" s="41"/>
      <c r="D631" s="42"/>
      <c r="E631" s="42"/>
      <c r="F631" s="35"/>
      <c r="G631" s="42"/>
      <c r="H631" s="41"/>
      <c r="I631" s="91"/>
      <c r="J631" s="91"/>
      <c r="K631" s="91"/>
      <c r="L631" s="41"/>
      <c r="M631" s="41"/>
      <c r="N631" s="42"/>
      <c r="O631" s="42"/>
      <c r="P631" s="42"/>
      <c r="Q631" s="42"/>
      <c r="R631" s="42"/>
      <c r="S631" s="42"/>
      <c r="T631" s="42"/>
      <c r="U631" s="42"/>
      <c r="V631" s="42"/>
      <c r="W631" s="42"/>
      <c r="X631" s="42"/>
      <c r="Y631" s="42"/>
      <c r="Z631" s="42"/>
      <c r="AA631" s="42"/>
      <c r="AB631" s="42"/>
      <c r="AC631" s="42"/>
    </row>
    <row r="632" spans="1:29" x14ac:dyDescent="0.25">
      <c r="A632" s="41"/>
      <c r="B632" s="42"/>
      <c r="C632" s="41"/>
      <c r="D632" s="42"/>
      <c r="E632" s="42"/>
      <c r="F632" s="35"/>
      <c r="G632" s="42"/>
      <c r="H632" s="41"/>
      <c r="I632" s="91"/>
      <c r="J632" s="91"/>
      <c r="K632" s="91"/>
      <c r="L632" s="41"/>
      <c r="M632" s="41"/>
      <c r="N632" s="42"/>
      <c r="O632" s="42"/>
      <c r="P632" s="42"/>
      <c r="Q632" s="42"/>
      <c r="R632" s="42"/>
      <c r="S632" s="42"/>
      <c r="T632" s="42"/>
      <c r="U632" s="42"/>
      <c r="V632" s="42"/>
      <c r="W632" s="42"/>
      <c r="X632" s="42"/>
      <c r="Y632" s="42"/>
      <c r="Z632" s="42"/>
      <c r="AA632" s="42"/>
      <c r="AB632" s="42"/>
      <c r="AC632" s="42"/>
    </row>
    <row r="633" spans="1:29" x14ac:dyDescent="0.25">
      <c r="A633" s="41"/>
      <c r="B633" s="42"/>
      <c r="C633" s="41"/>
      <c r="D633" s="42"/>
      <c r="E633" s="42"/>
      <c r="F633" s="35"/>
      <c r="G633" s="42"/>
      <c r="H633" s="41"/>
      <c r="I633" s="91"/>
      <c r="J633" s="91"/>
      <c r="K633" s="91"/>
      <c r="L633" s="41"/>
      <c r="M633" s="41"/>
      <c r="N633" s="42"/>
      <c r="O633" s="42"/>
      <c r="P633" s="42"/>
      <c r="Q633" s="42"/>
      <c r="R633" s="42"/>
      <c r="S633" s="42"/>
      <c r="T633" s="42"/>
      <c r="U633" s="42"/>
      <c r="V633" s="42"/>
      <c r="W633" s="42"/>
      <c r="X633" s="42"/>
      <c r="Y633" s="42"/>
      <c r="Z633" s="42"/>
      <c r="AA633" s="42"/>
      <c r="AB633" s="42"/>
      <c r="AC633" s="42"/>
    </row>
    <row r="634" spans="1:29" x14ac:dyDescent="0.25">
      <c r="A634" s="41"/>
      <c r="B634" s="42"/>
      <c r="C634" s="41"/>
      <c r="D634" s="42"/>
      <c r="E634" s="42"/>
      <c r="F634" s="35"/>
      <c r="G634" s="42"/>
      <c r="H634" s="41"/>
      <c r="I634" s="91"/>
      <c r="J634" s="91"/>
      <c r="K634" s="91"/>
      <c r="L634" s="41"/>
      <c r="M634" s="41"/>
      <c r="N634" s="42"/>
      <c r="O634" s="42"/>
      <c r="P634" s="42"/>
      <c r="Q634" s="42"/>
      <c r="R634" s="42"/>
      <c r="S634" s="42"/>
      <c r="T634" s="42"/>
      <c r="U634" s="42"/>
      <c r="V634" s="42"/>
      <c r="W634" s="42"/>
      <c r="X634" s="42"/>
      <c r="Y634" s="42"/>
      <c r="Z634" s="42"/>
      <c r="AA634" s="42"/>
      <c r="AB634" s="42"/>
      <c r="AC634" s="42"/>
    </row>
    <row r="635" spans="1:29" x14ac:dyDescent="0.25">
      <c r="A635" s="41"/>
      <c r="B635" s="42"/>
      <c r="C635" s="41"/>
      <c r="D635" s="42"/>
      <c r="E635" s="42"/>
      <c r="F635" s="35"/>
      <c r="G635" s="42"/>
      <c r="H635" s="41"/>
      <c r="I635" s="91"/>
      <c r="J635" s="91"/>
      <c r="K635" s="91"/>
      <c r="L635" s="41"/>
      <c r="M635" s="41"/>
      <c r="N635" s="42"/>
      <c r="O635" s="42"/>
      <c r="P635" s="42"/>
      <c r="Q635" s="42"/>
      <c r="R635" s="42"/>
      <c r="S635" s="42"/>
      <c r="T635" s="42"/>
      <c r="U635" s="42"/>
      <c r="V635" s="42"/>
      <c r="W635" s="42"/>
      <c r="X635" s="42"/>
      <c r="Y635" s="42"/>
      <c r="Z635" s="42"/>
      <c r="AA635" s="42"/>
      <c r="AB635" s="42"/>
      <c r="AC635" s="42"/>
    </row>
    <row r="636" spans="1:29" x14ac:dyDescent="0.25">
      <c r="A636" s="41"/>
      <c r="B636" s="42"/>
      <c r="C636" s="41"/>
      <c r="D636" s="42"/>
      <c r="E636" s="42"/>
      <c r="F636" s="35"/>
      <c r="G636" s="42"/>
      <c r="H636" s="41"/>
      <c r="I636" s="91"/>
      <c r="J636" s="91"/>
      <c r="K636" s="91"/>
      <c r="L636" s="41"/>
      <c r="M636" s="41"/>
      <c r="N636" s="42"/>
      <c r="O636" s="42"/>
      <c r="P636" s="42"/>
      <c r="Q636" s="42"/>
      <c r="R636" s="42"/>
      <c r="S636" s="42"/>
      <c r="T636" s="42"/>
      <c r="U636" s="42"/>
      <c r="V636" s="42"/>
      <c r="W636" s="42"/>
      <c r="X636" s="42"/>
      <c r="Y636" s="42"/>
      <c r="Z636" s="42"/>
      <c r="AA636" s="42"/>
      <c r="AB636" s="42"/>
      <c r="AC636" s="42"/>
    </row>
    <row r="637" spans="1:29" x14ac:dyDescent="0.25">
      <c r="A637" s="41"/>
      <c r="B637" s="42"/>
      <c r="C637" s="41"/>
      <c r="D637" s="42"/>
      <c r="E637" s="42"/>
      <c r="F637" s="35"/>
      <c r="G637" s="42"/>
      <c r="H637" s="41"/>
      <c r="I637" s="91"/>
      <c r="J637" s="91"/>
      <c r="K637" s="91"/>
      <c r="L637" s="41"/>
      <c r="M637" s="41"/>
      <c r="N637" s="42"/>
      <c r="O637" s="42"/>
      <c r="P637" s="42"/>
      <c r="Q637" s="42"/>
      <c r="R637" s="42"/>
      <c r="S637" s="42"/>
      <c r="T637" s="42"/>
      <c r="U637" s="42"/>
      <c r="V637" s="42"/>
      <c r="W637" s="42"/>
      <c r="X637" s="42"/>
      <c r="Y637" s="42"/>
      <c r="Z637" s="42"/>
      <c r="AA637" s="42"/>
      <c r="AB637" s="42"/>
      <c r="AC637" s="42"/>
    </row>
    <row r="638" spans="1:29" x14ac:dyDescent="0.25">
      <c r="A638" s="41"/>
      <c r="B638" s="42"/>
      <c r="C638" s="41"/>
      <c r="D638" s="42"/>
      <c r="E638" s="42"/>
      <c r="F638" s="35"/>
      <c r="G638" s="42"/>
      <c r="H638" s="41"/>
      <c r="I638" s="91"/>
      <c r="J638" s="91"/>
      <c r="K638" s="91"/>
      <c r="L638" s="41"/>
      <c r="M638" s="41"/>
      <c r="N638" s="42"/>
      <c r="O638" s="42"/>
      <c r="P638" s="42"/>
      <c r="Q638" s="42"/>
      <c r="R638" s="42"/>
      <c r="S638" s="42"/>
      <c r="T638" s="42"/>
      <c r="U638" s="42"/>
      <c r="V638" s="42"/>
      <c r="W638" s="42"/>
      <c r="X638" s="42"/>
      <c r="Y638" s="42"/>
      <c r="Z638" s="42"/>
      <c r="AA638" s="42"/>
      <c r="AB638" s="42"/>
      <c r="AC638" s="42"/>
    </row>
    <row r="639" spans="1:29" x14ac:dyDescent="0.25">
      <c r="A639" s="41"/>
      <c r="B639" s="42"/>
      <c r="C639" s="41"/>
      <c r="D639" s="42"/>
      <c r="E639" s="42"/>
      <c r="F639" s="35"/>
      <c r="G639" s="42"/>
      <c r="H639" s="41"/>
      <c r="I639" s="91"/>
      <c r="J639" s="91"/>
      <c r="K639" s="91"/>
      <c r="L639" s="41"/>
      <c r="M639" s="41"/>
      <c r="N639" s="42"/>
      <c r="O639" s="42"/>
      <c r="P639" s="42"/>
      <c r="Q639" s="42"/>
      <c r="R639" s="42"/>
      <c r="S639" s="42"/>
      <c r="T639" s="42"/>
      <c r="U639" s="42"/>
      <c r="V639" s="42"/>
      <c r="W639" s="42"/>
      <c r="X639" s="42"/>
      <c r="Y639" s="42"/>
      <c r="Z639" s="42"/>
      <c r="AA639" s="42"/>
      <c r="AB639" s="42"/>
      <c r="AC639" s="42"/>
    </row>
    <row r="640" spans="1:29" x14ac:dyDescent="0.25">
      <c r="A640" s="41"/>
      <c r="B640" s="42"/>
      <c r="C640" s="41"/>
      <c r="D640" s="42"/>
      <c r="E640" s="42"/>
      <c r="F640" s="35"/>
      <c r="G640" s="42"/>
      <c r="H640" s="41"/>
      <c r="I640" s="91"/>
      <c r="J640" s="91"/>
      <c r="K640" s="91"/>
      <c r="L640" s="41"/>
      <c r="M640" s="41"/>
      <c r="N640" s="42"/>
      <c r="O640" s="42"/>
      <c r="P640" s="42"/>
      <c r="Q640" s="42"/>
      <c r="R640" s="42"/>
      <c r="S640" s="42"/>
      <c r="T640" s="42"/>
      <c r="U640" s="42"/>
      <c r="V640" s="42"/>
      <c r="W640" s="42"/>
      <c r="X640" s="42"/>
      <c r="Y640" s="42"/>
      <c r="Z640" s="42"/>
      <c r="AA640" s="42"/>
      <c r="AB640" s="42"/>
      <c r="AC640" s="42"/>
    </row>
    <row r="641" spans="1:29" x14ac:dyDescent="0.25">
      <c r="A641" s="41"/>
      <c r="B641" s="42"/>
      <c r="C641" s="41"/>
      <c r="D641" s="42"/>
      <c r="E641" s="42"/>
      <c r="F641" s="35"/>
      <c r="G641" s="42"/>
      <c r="H641" s="41"/>
      <c r="I641" s="91"/>
      <c r="J641" s="91"/>
      <c r="K641" s="91"/>
      <c r="L641" s="41"/>
      <c r="M641" s="41"/>
      <c r="N641" s="42"/>
      <c r="O641" s="42"/>
      <c r="P641" s="42"/>
      <c r="Q641" s="42"/>
      <c r="R641" s="42"/>
      <c r="S641" s="42"/>
      <c r="T641" s="42"/>
      <c r="U641" s="42"/>
      <c r="V641" s="42"/>
      <c r="W641" s="42"/>
      <c r="X641" s="42"/>
      <c r="Y641" s="42"/>
      <c r="Z641" s="42"/>
      <c r="AA641" s="42"/>
      <c r="AB641" s="42"/>
      <c r="AC641" s="42"/>
    </row>
    <row r="642" spans="1:29" x14ac:dyDescent="0.25">
      <c r="A642" s="41"/>
      <c r="B642" s="42"/>
      <c r="C642" s="41"/>
      <c r="D642" s="42"/>
      <c r="E642" s="42"/>
      <c r="F642" s="35"/>
      <c r="G642" s="42"/>
      <c r="H642" s="41"/>
      <c r="I642" s="91"/>
      <c r="J642" s="91"/>
      <c r="K642" s="91"/>
      <c r="L642" s="41"/>
      <c r="M642" s="41"/>
      <c r="N642" s="42"/>
      <c r="O642" s="42"/>
      <c r="P642" s="42"/>
      <c r="Q642" s="42"/>
      <c r="R642" s="42"/>
      <c r="S642" s="42"/>
      <c r="T642" s="42"/>
      <c r="U642" s="42"/>
      <c r="V642" s="42"/>
      <c r="W642" s="42"/>
      <c r="X642" s="42"/>
      <c r="Y642" s="42"/>
      <c r="Z642" s="42"/>
      <c r="AA642" s="42"/>
      <c r="AB642" s="42"/>
      <c r="AC642" s="42"/>
    </row>
    <row r="643" spans="1:29" x14ac:dyDescent="0.25">
      <c r="A643" s="41"/>
      <c r="B643" s="42"/>
      <c r="C643" s="41"/>
      <c r="D643" s="42"/>
      <c r="E643" s="42"/>
      <c r="F643" s="35"/>
      <c r="G643" s="42"/>
      <c r="H643" s="41"/>
      <c r="I643" s="91"/>
      <c r="J643" s="91"/>
      <c r="K643" s="91"/>
      <c r="L643" s="41"/>
      <c r="M643" s="41"/>
      <c r="N643" s="42"/>
      <c r="O643" s="42"/>
      <c r="P643" s="42"/>
      <c r="Q643" s="42"/>
      <c r="R643" s="42"/>
      <c r="S643" s="42"/>
      <c r="T643" s="42"/>
      <c r="U643" s="42"/>
      <c r="V643" s="42"/>
      <c r="W643" s="42"/>
      <c r="X643" s="42"/>
      <c r="Y643" s="42"/>
      <c r="Z643" s="42"/>
      <c r="AA643" s="42"/>
      <c r="AB643" s="42"/>
      <c r="AC643" s="42"/>
    </row>
    <row r="644" spans="1:29" x14ac:dyDescent="0.25">
      <c r="A644" s="41"/>
      <c r="B644" s="42"/>
      <c r="C644" s="41"/>
      <c r="D644" s="42"/>
      <c r="E644" s="42"/>
      <c r="F644" s="35"/>
      <c r="G644" s="42"/>
      <c r="H644" s="41"/>
      <c r="I644" s="91"/>
      <c r="J644" s="91"/>
      <c r="K644" s="91"/>
      <c r="L644" s="41"/>
      <c r="M644" s="41"/>
      <c r="N644" s="42"/>
      <c r="O644" s="42"/>
      <c r="P644" s="42"/>
      <c r="Q644" s="42"/>
      <c r="R644" s="42"/>
      <c r="S644" s="42"/>
      <c r="T644" s="42"/>
      <c r="U644" s="42"/>
      <c r="V644" s="42"/>
      <c r="W644" s="42"/>
      <c r="X644" s="42"/>
      <c r="Y644" s="42"/>
      <c r="Z644" s="42"/>
      <c r="AA644" s="42"/>
      <c r="AB644" s="42"/>
      <c r="AC644" s="42"/>
    </row>
    <row r="645" spans="1:29" x14ac:dyDescent="0.25">
      <c r="A645" s="41"/>
      <c r="B645" s="42"/>
      <c r="C645" s="41"/>
      <c r="D645" s="42"/>
      <c r="E645" s="42"/>
      <c r="F645" s="35"/>
      <c r="G645" s="42"/>
      <c r="H645" s="41"/>
      <c r="I645" s="91"/>
      <c r="J645" s="91"/>
      <c r="K645" s="91"/>
      <c r="L645" s="41"/>
      <c r="M645" s="41"/>
      <c r="N645" s="42"/>
      <c r="O645" s="42"/>
      <c r="P645" s="42"/>
      <c r="Q645" s="42"/>
      <c r="R645" s="42"/>
      <c r="S645" s="42"/>
      <c r="T645" s="42"/>
      <c r="U645" s="42"/>
      <c r="V645" s="42"/>
      <c r="W645" s="42"/>
      <c r="X645" s="42"/>
      <c r="Y645" s="42"/>
      <c r="Z645" s="42"/>
      <c r="AA645" s="42"/>
      <c r="AB645" s="42"/>
      <c r="AC645" s="42"/>
    </row>
    <row r="646" spans="1:29" x14ac:dyDescent="0.25">
      <c r="A646" s="41"/>
      <c r="B646" s="42"/>
      <c r="C646" s="41"/>
      <c r="D646" s="42"/>
      <c r="E646" s="42"/>
      <c r="F646" s="35"/>
      <c r="G646" s="42"/>
      <c r="H646" s="41"/>
      <c r="I646" s="91"/>
      <c r="J646" s="91"/>
      <c r="K646" s="91"/>
      <c r="L646" s="41"/>
      <c r="M646" s="41"/>
      <c r="N646" s="42"/>
      <c r="O646" s="42"/>
      <c r="P646" s="42"/>
      <c r="Q646" s="42"/>
      <c r="R646" s="42"/>
      <c r="S646" s="42"/>
      <c r="T646" s="42"/>
      <c r="U646" s="42"/>
      <c r="V646" s="42"/>
      <c r="W646" s="42"/>
      <c r="X646" s="42"/>
      <c r="Y646" s="42"/>
      <c r="Z646" s="42"/>
      <c r="AA646" s="42"/>
      <c r="AB646" s="42"/>
      <c r="AC646" s="42"/>
    </row>
    <row r="647" spans="1:29" x14ac:dyDescent="0.25">
      <c r="A647" s="41"/>
      <c r="B647" s="42"/>
      <c r="C647" s="41"/>
      <c r="D647" s="42"/>
      <c r="E647" s="42"/>
      <c r="F647" s="35"/>
      <c r="G647" s="42"/>
      <c r="H647" s="41"/>
      <c r="I647" s="91"/>
      <c r="J647" s="91"/>
      <c r="K647" s="91"/>
      <c r="L647" s="41"/>
      <c r="M647" s="41"/>
      <c r="N647" s="42"/>
      <c r="O647" s="42"/>
      <c r="P647" s="42"/>
      <c r="Q647" s="42"/>
      <c r="R647" s="42"/>
      <c r="S647" s="42"/>
      <c r="T647" s="42"/>
      <c r="U647" s="42"/>
      <c r="V647" s="42"/>
      <c r="W647" s="42"/>
      <c r="X647" s="42"/>
      <c r="Y647" s="42"/>
      <c r="Z647" s="42"/>
      <c r="AA647" s="42"/>
      <c r="AB647" s="42"/>
      <c r="AC647" s="42"/>
    </row>
    <row r="648" spans="1:29" x14ac:dyDescent="0.25">
      <c r="A648" s="41"/>
      <c r="B648" s="42"/>
      <c r="C648" s="41"/>
      <c r="D648" s="42"/>
      <c r="E648" s="42"/>
      <c r="F648" s="35"/>
      <c r="G648" s="42"/>
      <c r="H648" s="41"/>
      <c r="I648" s="91"/>
      <c r="J648" s="91"/>
      <c r="K648" s="91"/>
      <c r="L648" s="41"/>
      <c r="M648" s="41"/>
      <c r="N648" s="42"/>
      <c r="O648" s="42"/>
      <c r="P648" s="42"/>
      <c r="Q648" s="42"/>
      <c r="R648" s="42"/>
      <c r="S648" s="42"/>
      <c r="T648" s="42"/>
      <c r="U648" s="42"/>
      <c r="V648" s="42"/>
      <c r="W648" s="42"/>
      <c r="X648" s="42"/>
      <c r="Y648" s="42"/>
      <c r="Z648" s="42"/>
      <c r="AA648" s="42"/>
      <c r="AB648" s="42"/>
      <c r="AC648" s="42"/>
    </row>
    <row r="649" spans="1:29" x14ac:dyDescent="0.25">
      <c r="A649" s="41"/>
      <c r="B649" s="42"/>
      <c r="C649" s="41"/>
      <c r="D649" s="42"/>
      <c r="E649" s="42"/>
      <c r="F649" s="35"/>
      <c r="G649" s="42"/>
      <c r="H649" s="41"/>
      <c r="I649" s="91"/>
      <c r="J649" s="91"/>
      <c r="K649" s="91"/>
      <c r="L649" s="41"/>
      <c r="M649" s="41"/>
      <c r="N649" s="42"/>
      <c r="O649" s="42"/>
      <c r="P649" s="42"/>
      <c r="Q649" s="42"/>
      <c r="R649" s="42"/>
      <c r="S649" s="42"/>
      <c r="T649" s="42"/>
      <c r="U649" s="42"/>
      <c r="V649" s="42"/>
      <c r="W649" s="42"/>
      <c r="X649" s="42"/>
      <c r="Y649" s="42"/>
      <c r="Z649" s="42"/>
      <c r="AA649" s="42"/>
      <c r="AB649" s="42"/>
      <c r="AC649" s="42"/>
    </row>
    <row r="650" spans="1:29" x14ac:dyDescent="0.25">
      <c r="A650" s="41"/>
      <c r="B650" s="42"/>
      <c r="C650" s="41"/>
      <c r="D650" s="42"/>
      <c r="E650" s="42"/>
      <c r="F650" s="35"/>
      <c r="G650" s="42"/>
      <c r="H650" s="41"/>
      <c r="I650" s="91"/>
      <c r="J650" s="91"/>
      <c r="K650" s="91"/>
      <c r="L650" s="41"/>
      <c r="M650" s="41"/>
      <c r="N650" s="42"/>
      <c r="O650" s="42"/>
      <c r="P650" s="42"/>
      <c r="Q650" s="42"/>
      <c r="R650" s="42"/>
      <c r="S650" s="42"/>
      <c r="T650" s="42"/>
      <c r="U650" s="42"/>
      <c r="V650" s="42"/>
      <c r="W650" s="42"/>
      <c r="X650" s="42"/>
      <c r="Y650" s="42"/>
      <c r="Z650" s="42"/>
      <c r="AA650" s="42"/>
      <c r="AB650" s="42"/>
      <c r="AC650" s="42"/>
    </row>
    <row r="651" spans="1:29" x14ac:dyDescent="0.25">
      <c r="A651" s="41"/>
      <c r="B651" s="42"/>
      <c r="C651" s="41"/>
      <c r="D651" s="42"/>
      <c r="E651" s="42"/>
      <c r="F651" s="35"/>
      <c r="G651" s="42"/>
      <c r="H651" s="41"/>
      <c r="I651" s="91"/>
      <c r="J651" s="91"/>
      <c r="K651" s="91"/>
      <c r="L651" s="41"/>
      <c r="M651" s="41"/>
      <c r="N651" s="42"/>
      <c r="O651" s="42"/>
      <c r="P651" s="42"/>
      <c r="Q651" s="42"/>
      <c r="R651" s="42"/>
      <c r="S651" s="42"/>
      <c r="T651" s="42"/>
      <c r="U651" s="42"/>
      <c r="V651" s="42"/>
      <c r="W651" s="42"/>
      <c r="X651" s="42"/>
      <c r="Y651" s="42"/>
      <c r="Z651" s="42"/>
      <c r="AA651" s="42"/>
      <c r="AB651" s="42"/>
      <c r="AC651" s="42"/>
    </row>
    <row r="652" spans="1:29" x14ac:dyDescent="0.25">
      <c r="A652" s="41"/>
      <c r="B652" s="42"/>
      <c r="C652" s="41"/>
      <c r="D652" s="42"/>
      <c r="E652" s="42"/>
      <c r="F652" s="35"/>
      <c r="G652" s="42"/>
      <c r="H652" s="41"/>
      <c r="I652" s="91"/>
      <c r="J652" s="91"/>
      <c r="K652" s="91"/>
      <c r="L652" s="41"/>
      <c r="M652" s="41"/>
      <c r="N652" s="42"/>
      <c r="O652" s="42"/>
      <c r="P652" s="42"/>
      <c r="Q652" s="42"/>
      <c r="R652" s="42"/>
      <c r="S652" s="42"/>
      <c r="T652" s="42"/>
      <c r="U652" s="42"/>
      <c r="V652" s="42"/>
      <c r="W652" s="42"/>
      <c r="X652" s="42"/>
      <c r="Y652" s="42"/>
      <c r="Z652" s="42"/>
      <c r="AA652" s="42"/>
      <c r="AB652" s="42"/>
      <c r="AC652" s="42"/>
    </row>
    <row r="653" spans="1:29" x14ac:dyDescent="0.25">
      <c r="A653" s="41"/>
      <c r="B653" s="42"/>
      <c r="C653" s="41"/>
      <c r="D653" s="42"/>
      <c r="E653" s="42"/>
      <c r="F653" s="35"/>
      <c r="G653" s="42"/>
      <c r="H653" s="41"/>
      <c r="I653" s="91"/>
      <c r="J653" s="91"/>
      <c r="K653" s="91"/>
      <c r="L653" s="41"/>
      <c r="M653" s="41"/>
      <c r="N653" s="42"/>
      <c r="O653" s="42"/>
      <c r="P653" s="42"/>
      <c r="Q653" s="42"/>
      <c r="R653" s="42"/>
      <c r="S653" s="42"/>
      <c r="T653" s="42"/>
      <c r="U653" s="42"/>
      <c r="V653" s="42"/>
      <c r="W653" s="42"/>
      <c r="X653" s="42"/>
      <c r="Y653" s="42"/>
      <c r="Z653" s="42"/>
      <c r="AA653" s="42"/>
      <c r="AB653" s="42"/>
      <c r="AC653" s="42"/>
    </row>
    <row r="654" spans="1:29" x14ac:dyDescent="0.25">
      <c r="A654" s="41"/>
      <c r="B654" s="42"/>
      <c r="C654" s="41"/>
      <c r="D654" s="42"/>
      <c r="E654" s="42"/>
      <c r="F654" s="35"/>
      <c r="G654" s="42"/>
      <c r="H654" s="41"/>
      <c r="I654" s="91"/>
      <c r="J654" s="91"/>
      <c r="K654" s="91"/>
      <c r="L654" s="41"/>
      <c r="M654" s="41"/>
      <c r="N654" s="42"/>
      <c r="O654" s="42"/>
      <c r="P654" s="42"/>
      <c r="Q654" s="42"/>
      <c r="R654" s="42"/>
      <c r="S654" s="42"/>
      <c r="T654" s="42"/>
      <c r="U654" s="42"/>
      <c r="V654" s="42"/>
      <c r="W654" s="42"/>
      <c r="X654" s="42"/>
      <c r="Y654" s="42"/>
      <c r="Z654" s="42"/>
      <c r="AA654" s="42"/>
      <c r="AB654" s="42"/>
      <c r="AC654" s="42"/>
    </row>
    <row r="655" spans="1:29" x14ac:dyDescent="0.25">
      <c r="A655" s="41"/>
      <c r="B655" s="42"/>
      <c r="C655" s="41"/>
      <c r="D655" s="42"/>
      <c r="E655" s="42"/>
      <c r="F655" s="35"/>
      <c r="G655" s="42"/>
      <c r="H655" s="41"/>
      <c r="I655" s="91"/>
      <c r="J655" s="91"/>
      <c r="K655" s="91"/>
      <c r="L655" s="41"/>
      <c r="M655" s="41"/>
      <c r="N655" s="42"/>
      <c r="O655" s="42"/>
      <c r="P655" s="42"/>
      <c r="Q655" s="42"/>
      <c r="R655" s="42"/>
      <c r="S655" s="42"/>
      <c r="T655" s="42"/>
      <c r="U655" s="42"/>
      <c r="V655" s="42"/>
      <c r="W655" s="42"/>
      <c r="X655" s="42"/>
      <c r="Y655" s="42"/>
      <c r="Z655" s="42"/>
      <c r="AA655" s="42"/>
      <c r="AB655" s="42"/>
      <c r="AC655" s="42"/>
    </row>
    <row r="656" spans="1:29" x14ac:dyDescent="0.25">
      <c r="A656" s="41"/>
      <c r="B656" s="42"/>
      <c r="C656" s="41"/>
      <c r="D656" s="42"/>
      <c r="E656" s="42"/>
      <c r="F656" s="35"/>
      <c r="G656" s="42"/>
      <c r="H656" s="41"/>
      <c r="I656" s="91"/>
      <c r="J656" s="91"/>
      <c r="K656" s="91"/>
      <c r="L656" s="41"/>
      <c r="M656" s="41"/>
      <c r="N656" s="42"/>
      <c r="O656" s="42"/>
      <c r="P656" s="42"/>
      <c r="Q656" s="42"/>
      <c r="R656" s="42"/>
      <c r="S656" s="42"/>
      <c r="T656" s="42"/>
      <c r="U656" s="42"/>
      <c r="V656" s="42"/>
      <c r="W656" s="42"/>
      <c r="X656" s="42"/>
      <c r="Y656" s="42"/>
      <c r="Z656" s="42"/>
      <c r="AA656" s="42"/>
      <c r="AB656" s="42"/>
      <c r="AC656" s="42"/>
    </row>
    <row r="657" spans="1:29" x14ac:dyDescent="0.25">
      <c r="A657" s="41"/>
      <c r="B657" s="42"/>
      <c r="C657" s="41"/>
      <c r="D657" s="42"/>
      <c r="E657" s="42"/>
      <c r="F657" s="35"/>
      <c r="G657" s="42"/>
      <c r="H657" s="41"/>
      <c r="I657" s="91"/>
      <c r="J657" s="91"/>
      <c r="K657" s="91"/>
      <c r="L657" s="41"/>
      <c r="M657" s="41"/>
      <c r="N657" s="42"/>
      <c r="O657" s="42"/>
      <c r="P657" s="42"/>
      <c r="Q657" s="42"/>
      <c r="R657" s="42"/>
      <c r="S657" s="42"/>
      <c r="T657" s="42"/>
      <c r="U657" s="42"/>
      <c r="V657" s="42"/>
      <c r="W657" s="42"/>
      <c r="X657" s="42"/>
      <c r="Y657" s="42"/>
      <c r="Z657" s="42"/>
      <c r="AA657" s="42"/>
      <c r="AB657" s="42"/>
      <c r="AC657" s="42"/>
    </row>
    <row r="658" spans="1:29" x14ac:dyDescent="0.25">
      <c r="A658" s="41"/>
      <c r="B658" s="42"/>
      <c r="C658" s="41"/>
      <c r="D658" s="42"/>
      <c r="E658" s="42"/>
      <c r="F658" s="35"/>
      <c r="G658" s="42"/>
      <c r="H658" s="41"/>
      <c r="I658" s="91"/>
      <c r="J658" s="91"/>
      <c r="K658" s="91"/>
      <c r="L658" s="41"/>
      <c r="M658" s="41"/>
      <c r="N658" s="42"/>
      <c r="O658" s="42"/>
      <c r="P658" s="42"/>
      <c r="Q658" s="42"/>
      <c r="R658" s="42"/>
      <c r="S658" s="42"/>
      <c r="T658" s="42"/>
      <c r="U658" s="42"/>
      <c r="V658" s="42"/>
      <c r="W658" s="42"/>
      <c r="X658" s="42"/>
      <c r="Y658" s="42"/>
      <c r="Z658" s="42"/>
      <c r="AA658" s="42"/>
      <c r="AB658" s="42"/>
      <c r="AC658" s="42"/>
    </row>
    <row r="659" spans="1:29" x14ac:dyDescent="0.25">
      <c r="A659" s="41"/>
      <c r="B659" s="42"/>
      <c r="C659" s="41"/>
      <c r="D659" s="42"/>
      <c r="E659" s="42"/>
      <c r="F659" s="35"/>
      <c r="G659" s="42"/>
      <c r="H659" s="41"/>
      <c r="I659" s="91"/>
      <c r="J659" s="91"/>
      <c r="K659" s="91"/>
      <c r="L659" s="41"/>
      <c r="M659" s="41"/>
      <c r="N659" s="42"/>
      <c r="O659" s="42"/>
      <c r="P659" s="42"/>
      <c r="Q659" s="42"/>
      <c r="R659" s="42"/>
      <c r="S659" s="42"/>
      <c r="T659" s="42"/>
      <c r="U659" s="42"/>
      <c r="V659" s="42"/>
      <c r="W659" s="42"/>
      <c r="X659" s="42"/>
      <c r="Y659" s="42"/>
      <c r="Z659" s="42"/>
      <c r="AA659" s="42"/>
      <c r="AB659" s="42"/>
      <c r="AC659" s="42"/>
    </row>
    <row r="660" spans="1:29" x14ac:dyDescent="0.25">
      <c r="A660" s="41"/>
      <c r="B660" s="42"/>
      <c r="C660" s="41"/>
      <c r="D660" s="42"/>
      <c r="E660" s="42"/>
      <c r="F660" s="35"/>
      <c r="G660" s="42"/>
      <c r="H660" s="41"/>
      <c r="I660" s="91"/>
      <c r="J660" s="91"/>
      <c r="K660" s="91"/>
      <c r="L660" s="41"/>
      <c r="M660" s="41"/>
      <c r="N660" s="42"/>
      <c r="O660" s="42"/>
      <c r="P660" s="42"/>
      <c r="Q660" s="42"/>
      <c r="R660" s="42"/>
      <c r="S660" s="42"/>
      <c r="T660" s="42"/>
      <c r="U660" s="42"/>
      <c r="V660" s="42"/>
      <c r="W660" s="42"/>
      <c r="X660" s="42"/>
      <c r="Y660" s="42"/>
      <c r="Z660" s="42"/>
      <c r="AA660" s="42"/>
      <c r="AB660" s="42"/>
      <c r="AC660" s="42"/>
    </row>
    <row r="661" spans="1:29" x14ac:dyDescent="0.25">
      <c r="A661" s="41"/>
      <c r="B661" s="42"/>
      <c r="C661" s="41"/>
      <c r="D661" s="42"/>
      <c r="E661" s="42"/>
      <c r="F661" s="35"/>
      <c r="G661" s="42"/>
      <c r="H661" s="41"/>
      <c r="I661" s="91"/>
      <c r="J661" s="91"/>
      <c r="K661" s="91"/>
      <c r="L661" s="41"/>
      <c r="M661" s="41"/>
      <c r="N661" s="42"/>
      <c r="O661" s="42"/>
      <c r="P661" s="42"/>
      <c r="Q661" s="42"/>
      <c r="R661" s="42"/>
      <c r="S661" s="42"/>
      <c r="T661" s="42"/>
      <c r="U661" s="42"/>
      <c r="V661" s="42"/>
      <c r="W661" s="42"/>
      <c r="X661" s="42"/>
      <c r="Y661" s="42"/>
      <c r="Z661" s="42"/>
      <c r="AA661" s="42"/>
      <c r="AB661" s="42"/>
      <c r="AC661" s="42"/>
    </row>
    <row r="662" spans="1:29" x14ac:dyDescent="0.25">
      <c r="A662" s="41"/>
      <c r="B662" s="42"/>
      <c r="C662" s="41"/>
      <c r="D662" s="42"/>
      <c r="E662" s="42"/>
      <c r="F662" s="35"/>
      <c r="G662" s="42"/>
      <c r="H662" s="41"/>
      <c r="I662" s="91"/>
      <c r="J662" s="91"/>
      <c r="K662" s="91"/>
      <c r="L662" s="41"/>
      <c r="M662" s="41"/>
      <c r="N662" s="42"/>
      <c r="O662" s="42"/>
      <c r="P662" s="42"/>
      <c r="Q662" s="42"/>
      <c r="R662" s="42"/>
      <c r="S662" s="42"/>
      <c r="T662" s="42"/>
      <c r="U662" s="42"/>
      <c r="V662" s="42"/>
      <c r="W662" s="42"/>
      <c r="X662" s="42"/>
      <c r="Y662" s="42"/>
      <c r="Z662" s="42"/>
      <c r="AA662" s="42"/>
      <c r="AB662" s="42"/>
      <c r="AC662" s="42"/>
    </row>
    <row r="663" spans="1:29" x14ac:dyDescent="0.25">
      <c r="A663" s="41"/>
      <c r="B663" s="42"/>
      <c r="C663" s="41"/>
      <c r="D663" s="42"/>
      <c r="E663" s="42"/>
      <c r="F663" s="35"/>
      <c r="G663" s="42"/>
      <c r="H663" s="41"/>
      <c r="I663" s="91"/>
      <c r="J663" s="91"/>
      <c r="K663" s="91"/>
      <c r="L663" s="41"/>
      <c r="M663" s="41"/>
      <c r="N663" s="42"/>
      <c r="O663" s="42"/>
      <c r="P663" s="42"/>
      <c r="Q663" s="42"/>
      <c r="R663" s="42"/>
      <c r="S663" s="42"/>
      <c r="T663" s="42"/>
      <c r="U663" s="42"/>
      <c r="V663" s="42"/>
      <c r="W663" s="42"/>
      <c r="X663" s="42"/>
      <c r="Y663" s="42"/>
      <c r="Z663" s="42"/>
      <c r="AA663" s="42"/>
      <c r="AB663" s="42"/>
      <c r="AC663" s="42"/>
    </row>
    <row r="664" spans="1:29" x14ac:dyDescent="0.25">
      <c r="A664" s="41"/>
      <c r="B664" s="42"/>
      <c r="C664" s="41"/>
      <c r="D664" s="42"/>
      <c r="E664" s="42"/>
      <c r="F664" s="35"/>
      <c r="G664" s="42"/>
      <c r="H664" s="41"/>
      <c r="I664" s="91"/>
      <c r="J664" s="91"/>
      <c r="K664" s="91"/>
      <c r="L664" s="41"/>
      <c r="M664" s="41"/>
      <c r="N664" s="42"/>
      <c r="O664" s="42"/>
      <c r="P664" s="42"/>
      <c r="Q664" s="42"/>
      <c r="R664" s="42"/>
      <c r="S664" s="42"/>
      <c r="T664" s="42"/>
      <c r="U664" s="42"/>
      <c r="V664" s="42"/>
      <c r="W664" s="42"/>
      <c r="X664" s="42"/>
      <c r="Y664" s="42"/>
      <c r="Z664" s="42"/>
      <c r="AA664" s="42"/>
      <c r="AB664" s="42"/>
      <c r="AC664" s="42"/>
    </row>
    <row r="665" spans="1:29" x14ac:dyDescent="0.25">
      <c r="A665" s="41"/>
      <c r="B665" s="42"/>
      <c r="C665" s="41"/>
      <c r="D665" s="42"/>
      <c r="E665" s="42"/>
      <c r="F665" s="35"/>
      <c r="G665" s="42"/>
      <c r="H665" s="41"/>
      <c r="I665" s="91"/>
      <c r="J665" s="91"/>
      <c r="K665" s="91"/>
      <c r="L665" s="41"/>
      <c r="M665" s="41"/>
      <c r="N665" s="42"/>
      <c r="O665" s="42"/>
      <c r="P665" s="42"/>
      <c r="Q665" s="42"/>
      <c r="R665" s="42"/>
      <c r="S665" s="42"/>
      <c r="T665" s="42"/>
      <c r="U665" s="42"/>
      <c r="V665" s="42"/>
      <c r="W665" s="42"/>
      <c r="X665" s="42"/>
      <c r="Y665" s="42"/>
      <c r="Z665" s="42"/>
      <c r="AA665" s="42"/>
      <c r="AB665" s="42"/>
      <c r="AC665" s="42"/>
    </row>
    <row r="666" spans="1:29" x14ac:dyDescent="0.25">
      <c r="A666" s="41"/>
      <c r="B666" s="42"/>
      <c r="C666" s="41"/>
      <c r="D666" s="42"/>
      <c r="E666" s="42"/>
      <c r="F666" s="35"/>
      <c r="G666" s="42"/>
      <c r="H666" s="41"/>
      <c r="I666" s="91"/>
      <c r="J666" s="91"/>
      <c r="K666" s="91"/>
      <c r="L666" s="41"/>
      <c r="M666" s="41"/>
      <c r="N666" s="42"/>
      <c r="O666" s="42"/>
      <c r="P666" s="42"/>
      <c r="Q666" s="42"/>
      <c r="R666" s="42"/>
      <c r="S666" s="42"/>
      <c r="T666" s="42"/>
      <c r="U666" s="42"/>
      <c r="V666" s="42"/>
      <c r="W666" s="42"/>
      <c r="X666" s="42"/>
      <c r="Y666" s="42"/>
      <c r="Z666" s="42"/>
      <c r="AA666" s="42"/>
      <c r="AB666" s="42"/>
      <c r="AC666" s="42"/>
    </row>
    <row r="667" spans="1:29" x14ac:dyDescent="0.25">
      <c r="A667" s="41"/>
      <c r="B667" s="42"/>
      <c r="C667" s="41"/>
      <c r="D667" s="42"/>
      <c r="E667" s="42"/>
      <c r="F667" s="35"/>
      <c r="G667" s="42"/>
      <c r="H667" s="41"/>
      <c r="I667" s="91"/>
      <c r="J667" s="91"/>
      <c r="K667" s="91"/>
      <c r="L667" s="41"/>
      <c r="M667" s="41"/>
      <c r="N667" s="42"/>
      <c r="O667" s="42"/>
      <c r="P667" s="42"/>
      <c r="Q667" s="42"/>
      <c r="R667" s="42"/>
      <c r="S667" s="42"/>
      <c r="T667" s="42"/>
      <c r="U667" s="42"/>
      <c r="V667" s="42"/>
      <c r="W667" s="42"/>
      <c r="X667" s="42"/>
      <c r="Y667" s="42"/>
      <c r="Z667" s="42"/>
      <c r="AA667" s="42"/>
      <c r="AB667" s="42"/>
      <c r="AC667" s="42"/>
    </row>
    <row r="668" spans="1:29" x14ac:dyDescent="0.25">
      <c r="A668" s="41"/>
      <c r="B668" s="42"/>
      <c r="C668" s="41"/>
      <c r="D668" s="42"/>
      <c r="E668" s="42"/>
      <c r="F668" s="35"/>
      <c r="G668" s="42"/>
      <c r="H668" s="41"/>
      <c r="I668" s="91"/>
      <c r="J668" s="91"/>
      <c r="K668" s="91"/>
      <c r="L668" s="41"/>
      <c r="M668" s="41"/>
      <c r="N668" s="42"/>
      <c r="O668" s="42"/>
      <c r="P668" s="42"/>
      <c r="Q668" s="42"/>
      <c r="R668" s="42"/>
      <c r="S668" s="42"/>
      <c r="T668" s="42"/>
      <c r="U668" s="42"/>
      <c r="V668" s="42"/>
      <c r="W668" s="42"/>
      <c r="X668" s="42"/>
      <c r="Y668" s="42"/>
      <c r="Z668" s="42"/>
      <c r="AA668" s="42"/>
      <c r="AB668" s="42"/>
      <c r="AC668" s="42"/>
    </row>
    <row r="669" spans="1:29" x14ac:dyDescent="0.25">
      <c r="A669" s="41"/>
      <c r="B669" s="42"/>
      <c r="C669" s="41"/>
      <c r="D669" s="42"/>
      <c r="E669" s="42"/>
      <c r="F669" s="35"/>
      <c r="G669" s="42"/>
      <c r="H669" s="41"/>
      <c r="I669" s="91"/>
      <c r="J669" s="91"/>
      <c r="K669" s="91"/>
      <c r="L669" s="41"/>
      <c r="M669" s="41"/>
      <c r="N669" s="42"/>
      <c r="O669" s="42"/>
      <c r="P669" s="42"/>
      <c r="Q669" s="42"/>
      <c r="R669" s="42"/>
      <c r="S669" s="42"/>
      <c r="T669" s="42"/>
      <c r="U669" s="42"/>
      <c r="V669" s="42"/>
      <c r="W669" s="42"/>
      <c r="X669" s="42"/>
      <c r="Y669" s="42"/>
      <c r="Z669" s="42"/>
      <c r="AA669" s="42"/>
      <c r="AB669" s="42"/>
      <c r="AC669" s="42"/>
    </row>
    <row r="670" spans="1:29" x14ac:dyDescent="0.25">
      <c r="A670" s="41"/>
      <c r="B670" s="42"/>
      <c r="C670" s="41"/>
      <c r="D670" s="42"/>
      <c r="E670" s="42"/>
      <c r="F670" s="35"/>
      <c r="G670" s="42"/>
      <c r="H670" s="41"/>
      <c r="I670" s="91"/>
      <c r="J670" s="91"/>
      <c r="K670" s="91"/>
      <c r="L670" s="41"/>
      <c r="M670" s="41"/>
      <c r="N670" s="42"/>
      <c r="O670" s="42"/>
      <c r="P670" s="42"/>
      <c r="Q670" s="42"/>
      <c r="R670" s="42"/>
      <c r="S670" s="42"/>
      <c r="T670" s="42"/>
      <c r="U670" s="42"/>
      <c r="V670" s="42"/>
      <c r="W670" s="42"/>
      <c r="X670" s="42"/>
      <c r="Y670" s="42"/>
      <c r="Z670" s="42"/>
      <c r="AA670" s="42"/>
      <c r="AB670" s="42"/>
      <c r="AC670" s="42"/>
    </row>
    <row r="671" spans="1:29" x14ac:dyDescent="0.25">
      <c r="A671" s="41"/>
      <c r="B671" s="42"/>
      <c r="C671" s="41"/>
      <c r="D671" s="42"/>
      <c r="E671" s="42"/>
      <c r="F671" s="35"/>
      <c r="G671" s="42"/>
      <c r="H671" s="41"/>
      <c r="I671" s="91"/>
      <c r="J671" s="91"/>
      <c r="K671" s="91"/>
      <c r="L671" s="41"/>
      <c r="M671" s="41"/>
      <c r="N671" s="42"/>
      <c r="O671" s="42"/>
      <c r="P671" s="42"/>
      <c r="Q671" s="42"/>
      <c r="R671" s="42"/>
      <c r="S671" s="42"/>
      <c r="T671" s="42"/>
      <c r="U671" s="42"/>
      <c r="V671" s="42"/>
      <c r="W671" s="42"/>
      <c r="X671" s="42"/>
      <c r="Y671" s="42"/>
      <c r="Z671" s="42"/>
      <c r="AA671" s="42"/>
      <c r="AB671" s="42"/>
      <c r="AC671" s="42"/>
    </row>
    <row r="672" spans="1:29" x14ac:dyDescent="0.25">
      <c r="A672" s="41"/>
      <c r="B672" s="42"/>
      <c r="C672" s="41"/>
      <c r="D672" s="42"/>
      <c r="E672" s="42"/>
      <c r="F672" s="35"/>
      <c r="G672" s="42"/>
      <c r="H672" s="41"/>
      <c r="I672" s="91"/>
      <c r="J672" s="91"/>
      <c r="K672" s="91"/>
      <c r="L672" s="41"/>
      <c r="M672" s="41"/>
      <c r="N672" s="42"/>
      <c r="O672" s="42"/>
      <c r="P672" s="42"/>
      <c r="Q672" s="42"/>
      <c r="R672" s="42"/>
      <c r="S672" s="42"/>
      <c r="T672" s="42"/>
      <c r="U672" s="42"/>
      <c r="V672" s="42"/>
      <c r="W672" s="42"/>
      <c r="X672" s="42"/>
      <c r="Y672" s="42"/>
      <c r="Z672" s="42"/>
      <c r="AA672" s="42"/>
      <c r="AB672" s="42"/>
      <c r="AC672" s="42"/>
    </row>
    <row r="673" spans="1:29" x14ac:dyDescent="0.25">
      <c r="A673" s="41"/>
      <c r="B673" s="42"/>
      <c r="C673" s="41"/>
      <c r="D673" s="42"/>
      <c r="E673" s="42"/>
      <c r="F673" s="35"/>
      <c r="G673" s="42"/>
      <c r="H673" s="41"/>
      <c r="I673" s="91"/>
      <c r="J673" s="91"/>
      <c r="K673" s="91"/>
      <c r="L673" s="41"/>
      <c r="M673" s="41"/>
      <c r="N673" s="42"/>
      <c r="O673" s="42"/>
      <c r="P673" s="42"/>
      <c r="Q673" s="42"/>
      <c r="R673" s="42"/>
      <c r="S673" s="42"/>
      <c r="T673" s="42"/>
      <c r="U673" s="42"/>
      <c r="V673" s="42"/>
      <c r="W673" s="42"/>
      <c r="X673" s="42"/>
      <c r="Y673" s="42"/>
      <c r="Z673" s="42"/>
      <c r="AA673" s="42"/>
      <c r="AB673" s="42"/>
      <c r="AC673" s="42"/>
    </row>
    <row r="674" spans="1:29" x14ac:dyDescent="0.25">
      <c r="A674" s="41"/>
      <c r="B674" s="42"/>
      <c r="C674" s="41"/>
      <c r="D674" s="42"/>
      <c r="E674" s="42"/>
      <c r="F674" s="35"/>
      <c r="G674" s="42"/>
      <c r="H674" s="41"/>
      <c r="I674" s="91"/>
      <c r="J674" s="91"/>
      <c r="K674" s="91"/>
      <c r="L674" s="41"/>
      <c r="M674" s="41"/>
      <c r="N674" s="42"/>
      <c r="O674" s="42"/>
      <c r="P674" s="42"/>
      <c r="Q674" s="42"/>
      <c r="R674" s="42"/>
      <c r="S674" s="42"/>
      <c r="T674" s="42"/>
      <c r="U674" s="42"/>
      <c r="V674" s="42"/>
      <c r="W674" s="42"/>
      <c r="X674" s="42"/>
      <c r="Y674" s="42"/>
      <c r="Z674" s="42"/>
      <c r="AA674" s="42"/>
      <c r="AB674" s="42"/>
      <c r="AC674" s="42"/>
    </row>
    <row r="675" spans="1:29" x14ac:dyDescent="0.25">
      <c r="A675" s="41"/>
      <c r="B675" s="42"/>
      <c r="C675" s="41"/>
      <c r="D675" s="42"/>
      <c r="E675" s="42"/>
      <c r="F675" s="35"/>
      <c r="G675" s="42"/>
      <c r="H675" s="41"/>
      <c r="I675" s="91"/>
      <c r="J675" s="91"/>
      <c r="K675" s="91"/>
      <c r="L675" s="41"/>
      <c r="M675" s="41"/>
      <c r="N675" s="42"/>
      <c r="O675" s="42"/>
      <c r="P675" s="42"/>
      <c r="Q675" s="42"/>
      <c r="R675" s="42"/>
      <c r="S675" s="42"/>
      <c r="T675" s="42"/>
      <c r="U675" s="42"/>
      <c r="V675" s="42"/>
      <c r="W675" s="42"/>
      <c r="X675" s="42"/>
      <c r="Y675" s="42"/>
      <c r="Z675" s="42"/>
      <c r="AA675" s="42"/>
      <c r="AB675" s="42"/>
      <c r="AC675" s="42"/>
    </row>
    <row r="676" spans="1:29" x14ac:dyDescent="0.25">
      <c r="A676" s="41"/>
      <c r="B676" s="42"/>
      <c r="C676" s="41"/>
      <c r="D676" s="42"/>
      <c r="E676" s="42"/>
      <c r="F676" s="35"/>
      <c r="G676" s="42"/>
      <c r="H676" s="41"/>
      <c r="I676" s="91"/>
      <c r="J676" s="91"/>
      <c r="K676" s="91"/>
      <c r="L676" s="41"/>
      <c r="M676" s="41"/>
      <c r="N676" s="42"/>
      <c r="O676" s="42"/>
      <c r="P676" s="42"/>
      <c r="Q676" s="42"/>
      <c r="R676" s="42"/>
      <c r="S676" s="42"/>
      <c r="T676" s="42"/>
      <c r="U676" s="42"/>
      <c r="V676" s="42"/>
      <c r="W676" s="42"/>
      <c r="X676" s="42"/>
      <c r="Y676" s="42"/>
      <c r="Z676" s="42"/>
      <c r="AA676" s="42"/>
      <c r="AB676" s="42"/>
      <c r="AC676" s="42"/>
    </row>
    <row r="677" spans="1:29" x14ac:dyDescent="0.25">
      <c r="A677" s="41"/>
      <c r="B677" s="42"/>
      <c r="C677" s="41"/>
      <c r="D677" s="42"/>
      <c r="E677" s="42"/>
      <c r="F677" s="35"/>
      <c r="G677" s="42"/>
      <c r="H677" s="41"/>
      <c r="I677" s="91"/>
      <c r="J677" s="91"/>
      <c r="K677" s="91"/>
      <c r="L677" s="41"/>
      <c r="M677" s="41"/>
      <c r="N677" s="42"/>
      <c r="O677" s="42"/>
      <c r="P677" s="42"/>
      <c r="Q677" s="42"/>
      <c r="R677" s="42"/>
      <c r="S677" s="42"/>
      <c r="T677" s="42"/>
      <c r="U677" s="42"/>
      <c r="V677" s="42"/>
      <c r="W677" s="42"/>
      <c r="X677" s="42"/>
      <c r="Y677" s="42"/>
      <c r="Z677" s="42"/>
      <c r="AA677" s="42"/>
      <c r="AB677" s="42"/>
      <c r="AC677" s="42"/>
    </row>
    <row r="678" spans="1:29" x14ac:dyDescent="0.25">
      <c r="A678" s="41"/>
      <c r="B678" s="42"/>
      <c r="C678" s="41"/>
      <c r="D678" s="42"/>
      <c r="E678" s="42"/>
      <c r="F678" s="35"/>
      <c r="G678" s="42"/>
      <c r="H678" s="41"/>
      <c r="I678" s="91"/>
      <c r="J678" s="91"/>
      <c r="K678" s="91"/>
      <c r="L678" s="41"/>
      <c r="M678" s="41"/>
      <c r="N678" s="42"/>
      <c r="O678" s="42"/>
      <c r="P678" s="42"/>
      <c r="Q678" s="42"/>
      <c r="R678" s="42"/>
      <c r="S678" s="42"/>
      <c r="T678" s="42"/>
      <c r="U678" s="42"/>
      <c r="V678" s="42"/>
      <c r="W678" s="42"/>
      <c r="X678" s="42"/>
      <c r="Y678" s="42"/>
      <c r="Z678" s="42"/>
      <c r="AA678" s="42"/>
      <c r="AB678" s="42"/>
      <c r="AC678" s="42"/>
    </row>
    <row r="679" spans="1:29" x14ac:dyDescent="0.25">
      <c r="A679" s="41"/>
      <c r="B679" s="42"/>
      <c r="C679" s="41"/>
      <c r="D679" s="42"/>
      <c r="E679" s="42"/>
      <c r="F679" s="35"/>
      <c r="G679" s="42"/>
      <c r="H679" s="41"/>
      <c r="I679" s="91"/>
      <c r="J679" s="91"/>
      <c r="K679" s="91"/>
      <c r="L679" s="41"/>
      <c r="M679" s="41"/>
      <c r="N679" s="42"/>
      <c r="O679" s="42"/>
      <c r="P679" s="42"/>
      <c r="Q679" s="42"/>
      <c r="R679" s="42"/>
      <c r="S679" s="42"/>
      <c r="T679" s="42"/>
      <c r="U679" s="42"/>
      <c r="V679" s="42"/>
      <c r="W679" s="42"/>
      <c r="X679" s="42"/>
      <c r="Y679" s="42"/>
      <c r="Z679" s="42"/>
      <c r="AA679" s="42"/>
      <c r="AB679" s="42"/>
      <c r="AC679" s="42"/>
    </row>
    <row r="680" spans="1:29" x14ac:dyDescent="0.25">
      <c r="A680" s="41"/>
      <c r="B680" s="42"/>
      <c r="C680" s="41"/>
      <c r="D680" s="42"/>
      <c r="E680" s="42"/>
      <c r="F680" s="35"/>
      <c r="G680" s="42"/>
      <c r="H680" s="41"/>
      <c r="I680" s="91"/>
      <c r="J680" s="91"/>
      <c r="K680" s="91"/>
      <c r="L680" s="41"/>
      <c r="M680" s="41"/>
      <c r="N680" s="42"/>
      <c r="O680" s="42"/>
      <c r="P680" s="42"/>
      <c r="Q680" s="42"/>
      <c r="R680" s="42"/>
      <c r="S680" s="42"/>
      <c r="T680" s="42"/>
      <c r="U680" s="42"/>
      <c r="V680" s="42"/>
      <c r="W680" s="42"/>
      <c r="X680" s="42"/>
      <c r="Y680" s="42"/>
      <c r="Z680" s="42"/>
      <c r="AA680" s="42"/>
      <c r="AB680" s="42"/>
      <c r="AC680" s="42"/>
    </row>
    <row r="681" spans="1:29" x14ac:dyDescent="0.25">
      <c r="A681" s="41"/>
      <c r="B681" s="42"/>
      <c r="C681" s="41"/>
      <c r="D681" s="42"/>
      <c r="E681" s="42"/>
      <c r="F681" s="35"/>
      <c r="G681" s="42"/>
      <c r="H681" s="41"/>
      <c r="I681" s="91"/>
      <c r="J681" s="91"/>
      <c r="K681" s="91"/>
      <c r="L681" s="41"/>
      <c r="M681" s="41"/>
      <c r="N681" s="42"/>
      <c r="O681" s="42"/>
      <c r="P681" s="42"/>
      <c r="Q681" s="42"/>
      <c r="R681" s="42"/>
      <c r="S681" s="42"/>
      <c r="T681" s="42"/>
      <c r="U681" s="42"/>
      <c r="V681" s="42"/>
      <c r="W681" s="42"/>
      <c r="X681" s="42"/>
      <c r="Y681" s="42"/>
      <c r="Z681" s="42"/>
      <c r="AA681" s="42"/>
      <c r="AB681" s="42"/>
      <c r="AC681" s="42"/>
    </row>
    <row r="682" spans="1:29" x14ac:dyDescent="0.25">
      <c r="A682" s="41"/>
      <c r="B682" s="42"/>
      <c r="C682" s="41"/>
      <c r="D682" s="42"/>
      <c r="E682" s="42"/>
      <c r="F682" s="35"/>
      <c r="G682" s="42"/>
      <c r="H682" s="41"/>
      <c r="I682" s="91"/>
      <c r="J682" s="91"/>
      <c r="K682" s="91"/>
      <c r="L682" s="41"/>
      <c r="M682" s="41"/>
      <c r="N682" s="42"/>
      <c r="O682" s="42"/>
      <c r="P682" s="42"/>
      <c r="Q682" s="42"/>
      <c r="R682" s="42"/>
      <c r="S682" s="42"/>
      <c r="T682" s="42"/>
      <c r="U682" s="42"/>
      <c r="V682" s="42"/>
      <c r="W682" s="42"/>
      <c r="X682" s="42"/>
      <c r="Y682" s="42"/>
      <c r="Z682" s="42"/>
      <c r="AA682" s="42"/>
      <c r="AB682" s="42"/>
      <c r="AC682" s="42"/>
    </row>
    <row r="683" spans="1:29" x14ac:dyDescent="0.25">
      <c r="A683" s="41"/>
      <c r="B683" s="42"/>
      <c r="C683" s="41"/>
      <c r="D683" s="42"/>
      <c r="E683" s="42"/>
      <c r="F683" s="35"/>
      <c r="G683" s="42"/>
      <c r="H683" s="41"/>
      <c r="I683" s="91"/>
      <c r="J683" s="91"/>
      <c r="K683" s="91"/>
      <c r="L683" s="41"/>
      <c r="M683" s="41"/>
      <c r="N683" s="42"/>
      <c r="O683" s="42"/>
      <c r="P683" s="42"/>
      <c r="Q683" s="42"/>
      <c r="R683" s="42"/>
      <c r="S683" s="42"/>
      <c r="T683" s="42"/>
      <c r="U683" s="42"/>
      <c r="V683" s="42"/>
      <c r="W683" s="42"/>
      <c r="X683" s="42"/>
      <c r="Y683" s="42"/>
      <c r="Z683" s="42"/>
      <c r="AA683" s="42"/>
      <c r="AB683" s="42"/>
      <c r="AC683" s="42"/>
    </row>
    <row r="684" spans="1:29" x14ac:dyDescent="0.25">
      <c r="A684" s="41"/>
      <c r="B684" s="42"/>
      <c r="C684" s="41"/>
      <c r="D684" s="42"/>
      <c r="E684" s="42"/>
      <c r="F684" s="35"/>
      <c r="G684" s="42"/>
      <c r="H684" s="41"/>
      <c r="I684" s="91"/>
      <c r="J684" s="91"/>
      <c r="K684" s="91"/>
      <c r="L684" s="41"/>
      <c r="M684" s="41"/>
      <c r="N684" s="42"/>
      <c r="O684" s="42"/>
      <c r="P684" s="42"/>
      <c r="Q684" s="42"/>
      <c r="R684" s="42"/>
      <c r="S684" s="42"/>
      <c r="T684" s="42"/>
      <c r="U684" s="42"/>
      <c r="V684" s="42"/>
      <c r="W684" s="42"/>
      <c r="X684" s="42"/>
      <c r="Y684" s="42"/>
      <c r="Z684" s="42"/>
      <c r="AA684" s="42"/>
      <c r="AB684" s="42"/>
      <c r="AC684" s="42"/>
    </row>
    <row r="685" spans="1:29" x14ac:dyDescent="0.25">
      <c r="A685" s="41"/>
      <c r="B685" s="42"/>
      <c r="C685" s="41"/>
      <c r="D685" s="42"/>
      <c r="E685" s="42"/>
      <c r="F685" s="35"/>
      <c r="G685" s="42"/>
      <c r="H685" s="41"/>
      <c r="I685" s="91"/>
      <c r="J685" s="91"/>
      <c r="K685" s="91"/>
      <c r="L685" s="41"/>
      <c r="M685" s="41"/>
      <c r="N685" s="42"/>
      <c r="O685" s="42"/>
      <c r="P685" s="42"/>
      <c r="Q685" s="42"/>
      <c r="R685" s="42"/>
      <c r="S685" s="42"/>
      <c r="T685" s="42"/>
      <c r="U685" s="42"/>
      <c r="V685" s="42"/>
      <c r="W685" s="42"/>
      <c r="X685" s="42"/>
      <c r="Y685" s="42"/>
      <c r="Z685" s="42"/>
      <c r="AA685" s="42"/>
      <c r="AB685" s="42"/>
      <c r="AC685" s="42"/>
    </row>
    <row r="686" spans="1:29" x14ac:dyDescent="0.25">
      <c r="A686" s="41"/>
      <c r="B686" s="42"/>
      <c r="C686" s="41"/>
      <c r="D686" s="42"/>
      <c r="E686" s="42"/>
      <c r="F686" s="35"/>
      <c r="G686" s="42"/>
      <c r="H686" s="41"/>
      <c r="I686" s="91"/>
      <c r="J686" s="91"/>
      <c r="K686" s="91"/>
      <c r="L686" s="41"/>
      <c r="M686" s="41"/>
      <c r="N686" s="42"/>
      <c r="O686" s="42"/>
      <c r="P686" s="42"/>
      <c r="Q686" s="42"/>
      <c r="R686" s="42"/>
      <c r="S686" s="42"/>
      <c r="T686" s="42"/>
      <c r="U686" s="42"/>
      <c r="V686" s="42"/>
      <c r="W686" s="42"/>
      <c r="X686" s="42"/>
      <c r="Y686" s="42"/>
      <c r="Z686" s="42"/>
      <c r="AA686" s="42"/>
      <c r="AB686" s="42"/>
      <c r="AC686" s="42"/>
    </row>
    <row r="687" spans="1:29" x14ac:dyDescent="0.25">
      <c r="A687" s="41"/>
      <c r="B687" s="42"/>
      <c r="C687" s="41"/>
      <c r="D687" s="42"/>
      <c r="E687" s="42"/>
      <c r="F687" s="35"/>
      <c r="G687" s="42"/>
      <c r="H687" s="41"/>
      <c r="I687" s="91"/>
      <c r="J687" s="91"/>
      <c r="K687" s="91"/>
      <c r="L687" s="41"/>
      <c r="M687" s="41"/>
      <c r="N687" s="42"/>
      <c r="O687" s="42"/>
      <c r="P687" s="42"/>
      <c r="Q687" s="42"/>
      <c r="R687" s="42"/>
      <c r="S687" s="42"/>
      <c r="T687" s="42"/>
      <c r="U687" s="42"/>
      <c r="V687" s="42"/>
      <c r="W687" s="42"/>
      <c r="X687" s="42"/>
      <c r="Y687" s="42"/>
      <c r="Z687" s="42"/>
      <c r="AA687" s="42"/>
      <c r="AB687" s="42"/>
      <c r="AC687" s="42"/>
    </row>
    <row r="688" spans="1:29" x14ac:dyDescent="0.25">
      <c r="A688" s="41"/>
      <c r="B688" s="42"/>
      <c r="C688" s="41"/>
      <c r="D688" s="42"/>
      <c r="E688" s="42"/>
      <c r="F688" s="35"/>
      <c r="G688" s="42"/>
      <c r="H688" s="41"/>
      <c r="I688" s="91"/>
      <c r="J688" s="91"/>
      <c r="K688" s="91"/>
      <c r="L688" s="41"/>
      <c r="M688" s="41"/>
      <c r="N688" s="42"/>
      <c r="O688" s="42"/>
      <c r="P688" s="42"/>
      <c r="Q688" s="42"/>
      <c r="R688" s="42"/>
      <c r="S688" s="42"/>
      <c r="T688" s="42"/>
      <c r="U688" s="42"/>
      <c r="V688" s="42"/>
      <c r="W688" s="42"/>
      <c r="X688" s="42"/>
      <c r="Y688" s="42"/>
      <c r="Z688" s="42"/>
      <c r="AA688" s="42"/>
      <c r="AB688" s="42"/>
      <c r="AC688" s="42"/>
    </row>
    <row r="689" spans="1:29" x14ac:dyDescent="0.25">
      <c r="A689" s="41"/>
      <c r="B689" s="42"/>
      <c r="C689" s="41"/>
      <c r="D689" s="42"/>
      <c r="E689" s="42"/>
      <c r="F689" s="35"/>
      <c r="G689" s="42"/>
      <c r="H689" s="41"/>
      <c r="I689" s="91"/>
      <c r="J689" s="91"/>
      <c r="K689" s="91"/>
      <c r="L689" s="41"/>
      <c r="M689" s="41"/>
      <c r="N689" s="42"/>
      <c r="O689" s="42"/>
      <c r="P689" s="42"/>
      <c r="Q689" s="42"/>
      <c r="R689" s="42"/>
      <c r="S689" s="42"/>
      <c r="T689" s="42"/>
      <c r="U689" s="42"/>
      <c r="V689" s="42"/>
      <c r="W689" s="42"/>
      <c r="X689" s="42"/>
      <c r="Y689" s="42"/>
      <c r="Z689" s="42"/>
      <c r="AA689" s="42"/>
      <c r="AB689" s="42"/>
      <c r="AC689" s="42"/>
    </row>
    <row r="690" spans="1:29" x14ac:dyDescent="0.25">
      <c r="A690" s="41"/>
      <c r="B690" s="42"/>
      <c r="C690" s="41"/>
      <c r="D690" s="42"/>
      <c r="E690" s="42"/>
      <c r="F690" s="35"/>
      <c r="G690" s="42"/>
      <c r="H690" s="41"/>
      <c r="I690" s="91"/>
      <c r="J690" s="91"/>
      <c r="K690" s="91"/>
      <c r="L690" s="41"/>
      <c r="M690" s="41"/>
      <c r="N690" s="42"/>
      <c r="O690" s="42"/>
      <c r="P690" s="42"/>
      <c r="Q690" s="42"/>
      <c r="R690" s="42"/>
      <c r="S690" s="42"/>
      <c r="T690" s="42"/>
      <c r="U690" s="42"/>
      <c r="V690" s="42"/>
      <c r="W690" s="42"/>
      <c r="X690" s="42"/>
      <c r="Y690" s="42"/>
      <c r="Z690" s="42"/>
      <c r="AA690" s="42"/>
      <c r="AB690" s="42"/>
      <c r="AC690" s="42"/>
    </row>
    <row r="691" spans="1:29" x14ac:dyDescent="0.25">
      <c r="A691" s="41"/>
      <c r="B691" s="42"/>
      <c r="C691" s="41"/>
      <c r="D691" s="42"/>
      <c r="E691" s="42"/>
      <c r="F691" s="35"/>
      <c r="G691" s="42"/>
      <c r="H691" s="41"/>
      <c r="I691" s="91"/>
      <c r="J691" s="91"/>
      <c r="K691" s="91"/>
      <c r="L691" s="41"/>
      <c r="M691" s="41"/>
      <c r="N691" s="42"/>
      <c r="O691" s="42"/>
      <c r="P691" s="42"/>
      <c r="Q691" s="42"/>
      <c r="R691" s="42"/>
      <c r="S691" s="42"/>
      <c r="T691" s="42"/>
      <c r="U691" s="42"/>
      <c r="V691" s="42"/>
      <c r="W691" s="42"/>
      <c r="X691" s="42"/>
      <c r="Y691" s="42"/>
      <c r="Z691" s="42"/>
      <c r="AA691" s="42"/>
      <c r="AB691" s="42"/>
      <c r="AC691" s="42"/>
    </row>
    <row r="692" spans="1:29" x14ac:dyDescent="0.25">
      <c r="A692" s="41"/>
      <c r="B692" s="42"/>
      <c r="C692" s="41"/>
      <c r="D692" s="42"/>
      <c r="E692" s="42"/>
      <c r="F692" s="35"/>
      <c r="G692" s="42"/>
      <c r="H692" s="41"/>
      <c r="I692" s="91"/>
      <c r="J692" s="91"/>
      <c r="K692" s="91"/>
      <c r="L692" s="41"/>
      <c r="M692" s="41"/>
      <c r="N692" s="42"/>
      <c r="O692" s="42"/>
      <c r="P692" s="42"/>
      <c r="Q692" s="42"/>
      <c r="R692" s="42"/>
      <c r="S692" s="42"/>
      <c r="T692" s="42"/>
      <c r="U692" s="42"/>
      <c r="V692" s="42"/>
      <c r="W692" s="42"/>
      <c r="X692" s="42"/>
      <c r="Y692" s="42"/>
      <c r="Z692" s="42"/>
      <c r="AA692" s="42"/>
      <c r="AB692" s="42"/>
      <c r="AC692" s="42"/>
    </row>
    <row r="693" spans="1:29" x14ac:dyDescent="0.25">
      <c r="A693" s="41"/>
      <c r="B693" s="42"/>
      <c r="C693" s="41"/>
      <c r="D693" s="42"/>
      <c r="E693" s="42"/>
      <c r="F693" s="35"/>
      <c r="G693" s="42"/>
      <c r="H693" s="41"/>
      <c r="I693" s="91"/>
      <c r="J693" s="91"/>
      <c r="K693" s="91"/>
      <c r="L693" s="41"/>
      <c r="M693" s="41"/>
      <c r="N693" s="42"/>
      <c r="O693" s="42"/>
      <c r="P693" s="42"/>
      <c r="Q693" s="42"/>
      <c r="R693" s="42"/>
      <c r="S693" s="42"/>
      <c r="T693" s="42"/>
      <c r="U693" s="42"/>
      <c r="V693" s="42"/>
      <c r="W693" s="42"/>
      <c r="X693" s="42"/>
      <c r="Y693" s="42"/>
      <c r="Z693" s="42"/>
      <c r="AA693" s="42"/>
      <c r="AB693" s="42"/>
      <c r="AC693" s="42"/>
    </row>
    <row r="694" spans="1:29" x14ac:dyDescent="0.25">
      <c r="A694" s="41"/>
      <c r="B694" s="42"/>
      <c r="C694" s="41"/>
      <c r="D694" s="42"/>
      <c r="E694" s="42"/>
      <c r="F694" s="35"/>
      <c r="G694" s="42"/>
      <c r="H694" s="41"/>
      <c r="I694" s="91"/>
      <c r="J694" s="91"/>
      <c r="K694" s="91"/>
      <c r="L694" s="41"/>
      <c r="M694" s="41"/>
      <c r="N694" s="42"/>
      <c r="O694" s="42"/>
      <c r="P694" s="42"/>
      <c r="Q694" s="42"/>
      <c r="R694" s="42"/>
      <c r="S694" s="42"/>
      <c r="T694" s="42"/>
      <c r="U694" s="42"/>
      <c r="V694" s="42"/>
      <c r="W694" s="42"/>
      <c r="X694" s="42"/>
      <c r="Y694" s="42"/>
      <c r="Z694" s="42"/>
      <c r="AA694" s="42"/>
      <c r="AB694" s="42"/>
      <c r="AC694" s="42"/>
    </row>
    <row r="695" spans="1:29" x14ac:dyDescent="0.25">
      <c r="A695" s="41"/>
      <c r="B695" s="42"/>
      <c r="C695" s="41"/>
      <c r="D695" s="42"/>
      <c r="E695" s="42"/>
      <c r="F695" s="35"/>
      <c r="G695" s="42"/>
      <c r="H695" s="41"/>
      <c r="I695" s="91"/>
      <c r="J695" s="91"/>
      <c r="K695" s="91"/>
      <c r="L695" s="41"/>
      <c r="M695" s="41"/>
      <c r="N695" s="42"/>
      <c r="O695" s="42"/>
      <c r="P695" s="42"/>
      <c r="Q695" s="42"/>
      <c r="R695" s="42"/>
      <c r="S695" s="42"/>
      <c r="T695" s="42"/>
      <c r="U695" s="42"/>
      <c r="V695" s="42"/>
      <c r="W695" s="42"/>
      <c r="X695" s="42"/>
      <c r="Y695" s="42"/>
      <c r="Z695" s="42"/>
      <c r="AA695" s="42"/>
      <c r="AB695" s="42"/>
      <c r="AC695" s="42"/>
    </row>
    <row r="696" spans="1:29" x14ac:dyDescent="0.25">
      <c r="A696" s="41"/>
      <c r="B696" s="42"/>
      <c r="C696" s="41"/>
      <c r="D696" s="42"/>
      <c r="E696" s="42"/>
      <c r="F696" s="35"/>
      <c r="G696" s="42"/>
      <c r="H696" s="41"/>
      <c r="I696" s="91"/>
      <c r="J696" s="91"/>
      <c r="K696" s="91"/>
      <c r="L696" s="41"/>
      <c r="M696" s="41"/>
      <c r="N696" s="42"/>
      <c r="O696" s="42"/>
      <c r="P696" s="42"/>
      <c r="Q696" s="42"/>
      <c r="R696" s="42"/>
      <c r="S696" s="42"/>
      <c r="T696" s="42"/>
      <c r="U696" s="42"/>
      <c r="V696" s="42"/>
      <c r="W696" s="42"/>
      <c r="X696" s="42"/>
      <c r="Y696" s="42"/>
      <c r="Z696" s="42"/>
      <c r="AA696" s="42"/>
      <c r="AB696" s="42"/>
      <c r="AC696" s="42"/>
    </row>
    <row r="697" spans="1:29" x14ac:dyDescent="0.25">
      <c r="A697" s="41"/>
      <c r="B697" s="42"/>
      <c r="C697" s="41"/>
      <c r="D697" s="42"/>
      <c r="E697" s="42"/>
      <c r="F697" s="35"/>
      <c r="G697" s="42"/>
      <c r="H697" s="41"/>
      <c r="I697" s="91"/>
      <c r="J697" s="91"/>
      <c r="K697" s="91"/>
      <c r="L697" s="41"/>
      <c r="M697" s="41"/>
      <c r="N697" s="42"/>
      <c r="O697" s="42"/>
      <c r="P697" s="42"/>
      <c r="Q697" s="42"/>
      <c r="R697" s="42"/>
      <c r="S697" s="42"/>
      <c r="T697" s="42"/>
      <c r="U697" s="42"/>
      <c r="V697" s="42"/>
      <c r="W697" s="42"/>
      <c r="X697" s="42"/>
      <c r="Y697" s="42"/>
      <c r="Z697" s="42"/>
      <c r="AA697" s="42"/>
      <c r="AB697" s="42"/>
      <c r="AC697" s="42"/>
    </row>
    <row r="698" spans="1:29" x14ac:dyDescent="0.25">
      <c r="A698" s="41"/>
      <c r="B698" s="42"/>
      <c r="C698" s="41"/>
      <c r="D698" s="42"/>
      <c r="E698" s="42"/>
      <c r="F698" s="35"/>
      <c r="G698" s="42"/>
      <c r="H698" s="41"/>
      <c r="I698" s="91"/>
      <c r="J698" s="91"/>
      <c r="K698" s="91"/>
      <c r="L698" s="41"/>
      <c r="M698" s="41"/>
      <c r="N698" s="42"/>
      <c r="O698" s="42"/>
      <c r="P698" s="42"/>
      <c r="Q698" s="42"/>
      <c r="R698" s="42"/>
      <c r="S698" s="42"/>
      <c r="T698" s="42"/>
      <c r="U698" s="42"/>
      <c r="V698" s="42"/>
      <c r="W698" s="42"/>
      <c r="X698" s="42"/>
      <c r="Y698" s="42"/>
      <c r="Z698" s="42"/>
      <c r="AA698" s="42"/>
      <c r="AB698" s="42"/>
      <c r="AC698" s="42"/>
    </row>
    <row r="699" spans="1:29" x14ac:dyDescent="0.25">
      <c r="A699" s="41"/>
      <c r="B699" s="42"/>
      <c r="C699" s="41"/>
      <c r="D699" s="42"/>
      <c r="E699" s="42"/>
      <c r="F699" s="35"/>
      <c r="G699" s="42"/>
      <c r="H699" s="41"/>
      <c r="I699" s="91"/>
      <c r="J699" s="91"/>
      <c r="K699" s="91"/>
      <c r="L699" s="41"/>
      <c r="M699" s="41"/>
      <c r="N699" s="42"/>
      <c r="O699" s="42"/>
      <c r="P699" s="42"/>
      <c r="Q699" s="42"/>
      <c r="R699" s="42"/>
      <c r="S699" s="42"/>
      <c r="T699" s="42"/>
      <c r="U699" s="42"/>
      <c r="V699" s="42"/>
      <c r="W699" s="42"/>
      <c r="X699" s="42"/>
      <c r="Y699" s="42"/>
      <c r="Z699" s="42"/>
      <c r="AA699" s="42"/>
      <c r="AB699" s="42"/>
      <c r="AC699" s="42"/>
    </row>
    <row r="700" spans="1:29" x14ac:dyDescent="0.25">
      <c r="A700" s="41"/>
      <c r="B700" s="42"/>
      <c r="C700" s="41"/>
      <c r="D700" s="42"/>
      <c r="E700" s="42"/>
      <c r="F700" s="35"/>
      <c r="G700" s="42"/>
      <c r="H700" s="41"/>
      <c r="I700" s="91"/>
      <c r="J700" s="91"/>
      <c r="K700" s="91"/>
      <c r="L700" s="41"/>
      <c r="M700" s="41"/>
      <c r="N700" s="42"/>
      <c r="O700" s="42"/>
      <c r="P700" s="42"/>
      <c r="Q700" s="42"/>
      <c r="R700" s="42"/>
      <c r="S700" s="42"/>
      <c r="T700" s="42"/>
      <c r="U700" s="42"/>
      <c r="V700" s="42"/>
      <c r="W700" s="42"/>
      <c r="X700" s="42"/>
      <c r="Y700" s="42"/>
      <c r="Z700" s="42"/>
      <c r="AA700" s="42"/>
      <c r="AB700" s="42"/>
      <c r="AC700" s="42"/>
    </row>
    <row r="701" spans="1:29" x14ac:dyDescent="0.25">
      <c r="A701" s="41"/>
      <c r="B701" s="42"/>
      <c r="C701" s="41"/>
      <c r="D701" s="42"/>
      <c r="E701" s="42"/>
      <c r="F701" s="35"/>
      <c r="G701" s="42"/>
      <c r="H701" s="41"/>
      <c r="I701" s="91"/>
      <c r="J701" s="91"/>
      <c r="K701" s="91"/>
      <c r="L701" s="41"/>
      <c r="M701" s="41"/>
      <c r="N701" s="42"/>
      <c r="O701" s="42"/>
      <c r="P701" s="42"/>
      <c r="Q701" s="42"/>
      <c r="R701" s="42"/>
      <c r="S701" s="42"/>
      <c r="T701" s="42"/>
      <c r="U701" s="42"/>
      <c r="V701" s="42"/>
      <c r="W701" s="42"/>
      <c r="X701" s="42"/>
      <c r="Y701" s="42"/>
      <c r="Z701" s="42"/>
      <c r="AA701" s="42"/>
      <c r="AB701" s="42"/>
      <c r="AC701" s="42"/>
    </row>
    <row r="702" spans="1:29" x14ac:dyDescent="0.25">
      <c r="A702" s="41"/>
      <c r="B702" s="42"/>
      <c r="C702" s="41"/>
      <c r="D702" s="42"/>
      <c r="E702" s="42"/>
      <c r="F702" s="35"/>
      <c r="G702" s="42"/>
      <c r="H702" s="41"/>
      <c r="I702" s="91"/>
      <c r="J702" s="91"/>
      <c r="K702" s="91"/>
      <c r="L702" s="41"/>
      <c r="M702" s="41"/>
      <c r="N702" s="42"/>
      <c r="O702" s="42"/>
      <c r="P702" s="42"/>
      <c r="Q702" s="42"/>
      <c r="R702" s="42"/>
      <c r="S702" s="42"/>
      <c r="T702" s="42"/>
      <c r="U702" s="42"/>
      <c r="V702" s="42"/>
      <c r="W702" s="42"/>
      <c r="X702" s="42"/>
      <c r="Y702" s="42"/>
      <c r="Z702" s="42"/>
      <c r="AA702" s="42"/>
      <c r="AB702" s="42"/>
      <c r="AC702" s="42"/>
    </row>
    <row r="703" spans="1:29" x14ac:dyDescent="0.25">
      <c r="A703" s="41"/>
      <c r="B703" s="42"/>
      <c r="C703" s="41"/>
      <c r="D703" s="42"/>
      <c r="E703" s="42"/>
      <c r="F703" s="35"/>
      <c r="G703" s="42"/>
      <c r="H703" s="41"/>
      <c r="I703" s="91"/>
      <c r="J703" s="91"/>
      <c r="K703" s="91"/>
      <c r="L703" s="41"/>
      <c r="M703" s="41"/>
      <c r="N703" s="42"/>
      <c r="O703" s="42"/>
      <c r="P703" s="42"/>
      <c r="Q703" s="42"/>
      <c r="R703" s="42"/>
      <c r="S703" s="42"/>
      <c r="T703" s="42"/>
      <c r="U703" s="42"/>
      <c r="V703" s="42"/>
      <c r="W703" s="42"/>
      <c r="X703" s="42"/>
      <c r="Y703" s="42"/>
      <c r="Z703" s="42"/>
      <c r="AA703" s="42"/>
      <c r="AB703" s="42"/>
      <c r="AC703" s="42"/>
    </row>
    <row r="704" spans="1:29" x14ac:dyDescent="0.25">
      <c r="A704" s="41"/>
      <c r="B704" s="42"/>
      <c r="C704" s="41"/>
      <c r="D704" s="42"/>
      <c r="E704" s="42"/>
      <c r="F704" s="35"/>
      <c r="G704" s="42"/>
      <c r="H704" s="41"/>
      <c r="I704" s="91"/>
      <c r="J704" s="91"/>
      <c r="K704" s="91"/>
      <c r="L704" s="41"/>
      <c r="M704" s="41"/>
      <c r="N704" s="42"/>
      <c r="O704" s="42"/>
      <c r="P704" s="42"/>
      <c r="Q704" s="42"/>
      <c r="R704" s="42"/>
      <c r="S704" s="42"/>
      <c r="T704" s="42"/>
      <c r="U704" s="42"/>
      <c r="V704" s="42"/>
      <c r="W704" s="42"/>
      <c r="X704" s="42"/>
      <c r="Y704" s="42"/>
      <c r="Z704" s="42"/>
      <c r="AA704" s="42"/>
      <c r="AB704" s="42"/>
      <c r="AC704" s="42"/>
    </row>
    <row r="705" spans="1:29" x14ac:dyDescent="0.25">
      <c r="A705" s="41"/>
      <c r="B705" s="42"/>
      <c r="C705" s="41"/>
      <c r="D705" s="42"/>
      <c r="E705" s="42"/>
      <c r="F705" s="35"/>
      <c r="G705" s="42"/>
      <c r="H705" s="41"/>
      <c r="I705" s="91"/>
      <c r="J705" s="91"/>
      <c r="K705" s="91"/>
      <c r="L705" s="41"/>
      <c r="M705" s="41"/>
      <c r="N705" s="42"/>
      <c r="O705" s="42"/>
      <c r="P705" s="42"/>
      <c r="Q705" s="42"/>
      <c r="R705" s="42"/>
      <c r="S705" s="42"/>
      <c r="T705" s="42"/>
      <c r="U705" s="42"/>
      <c r="V705" s="42"/>
      <c r="W705" s="42"/>
      <c r="X705" s="42"/>
      <c r="Y705" s="42"/>
      <c r="Z705" s="42"/>
      <c r="AA705" s="42"/>
      <c r="AB705" s="42"/>
      <c r="AC705" s="42"/>
    </row>
    <row r="706" spans="1:29" x14ac:dyDescent="0.25">
      <c r="A706" s="41"/>
      <c r="B706" s="42"/>
      <c r="C706" s="41"/>
      <c r="D706" s="42"/>
      <c r="E706" s="42"/>
      <c r="F706" s="35"/>
      <c r="G706" s="42"/>
      <c r="H706" s="41"/>
      <c r="I706" s="91"/>
      <c r="J706" s="91"/>
      <c r="K706" s="91"/>
      <c r="L706" s="41"/>
      <c r="M706" s="41"/>
      <c r="N706" s="42"/>
      <c r="O706" s="42"/>
      <c r="P706" s="42"/>
      <c r="Q706" s="42"/>
      <c r="R706" s="42"/>
      <c r="S706" s="42"/>
      <c r="T706" s="42"/>
      <c r="U706" s="42"/>
      <c r="V706" s="42"/>
      <c r="W706" s="42"/>
      <c r="X706" s="42"/>
      <c r="Y706" s="42"/>
      <c r="Z706" s="42"/>
      <c r="AA706" s="42"/>
      <c r="AB706" s="42"/>
      <c r="AC706" s="42"/>
    </row>
    <row r="707" spans="1:29" x14ac:dyDescent="0.25">
      <c r="A707" s="41"/>
      <c r="B707" s="42"/>
      <c r="C707" s="41"/>
      <c r="D707" s="42"/>
      <c r="E707" s="42"/>
      <c r="F707" s="35"/>
      <c r="G707" s="42"/>
      <c r="H707" s="41"/>
      <c r="I707" s="91"/>
      <c r="J707" s="91"/>
      <c r="K707" s="91"/>
      <c r="L707" s="41"/>
      <c r="M707" s="41"/>
      <c r="N707" s="42"/>
      <c r="O707" s="42"/>
      <c r="P707" s="42"/>
      <c r="Q707" s="42"/>
      <c r="R707" s="42"/>
      <c r="S707" s="42"/>
      <c r="T707" s="42"/>
      <c r="U707" s="42"/>
      <c r="V707" s="42"/>
      <c r="W707" s="42"/>
      <c r="X707" s="42"/>
      <c r="Y707" s="42"/>
      <c r="Z707" s="42"/>
      <c r="AA707" s="42"/>
      <c r="AB707" s="42"/>
      <c r="AC707" s="42"/>
    </row>
    <row r="708" spans="1:29" x14ac:dyDescent="0.25">
      <c r="A708" s="41"/>
      <c r="B708" s="42"/>
      <c r="C708" s="41"/>
      <c r="D708" s="42"/>
      <c r="E708" s="42"/>
      <c r="F708" s="35"/>
      <c r="G708" s="42"/>
      <c r="H708" s="41"/>
      <c r="I708" s="91"/>
      <c r="J708" s="91"/>
      <c r="K708" s="91"/>
      <c r="L708" s="41"/>
      <c r="M708" s="41"/>
      <c r="N708" s="42"/>
      <c r="O708" s="42"/>
      <c r="P708" s="42"/>
      <c r="Q708" s="42"/>
      <c r="R708" s="42"/>
      <c r="S708" s="42"/>
      <c r="T708" s="42"/>
      <c r="U708" s="42"/>
      <c r="V708" s="42"/>
      <c r="W708" s="42"/>
      <c r="X708" s="42"/>
      <c r="Y708" s="42"/>
      <c r="Z708" s="42"/>
      <c r="AA708" s="42"/>
      <c r="AB708" s="42"/>
      <c r="AC708" s="42"/>
    </row>
    <row r="709" spans="1:29" x14ac:dyDescent="0.25">
      <c r="A709" s="41"/>
      <c r="B709" s="42"/>
      <c r="C709" s="41"/>
      <c r="D709" s="42"/>
      <c r="E709" s="42"/>
      <c r="F709" s="35"/>
      <c r="G709" s="42"/>
      <c r="H709" s="41"/>
      <c r="I709" s="91"/>
      <c r="J709" s="91"/>
      <c r="K709" s="91"/>
      <c r="L709" s="41"/>
      <c r="M709" s="41"/>
      <c r="N709" s="42"/>
      <c r="O709" s="42"/>
      <c r="P709" s="42"/>
      <c r="Q709" s="42"/>
      <c r="R709" s="42"/>
      <c r="S709" s="42"/>
      <c r="T709" s="42"/>
      <c r="U709" s="42"/>
      <c r="V709" s="42"/>
      <c r="W709" s="42"/>
      <c r="X709" s="42"/>
      <c r="Y709" s="42"/>
      <c r="Z709" s="42"/>
      <c r="AA709" s="42"/>
      <c r="AB709" s="42"/>
      <c r="AC709" s="42"/>
    </row>
    <row r="710" spans="1:29" x14ac:dyDescent="0.25">
      <c r="A710" s="41"/>
      <c r="B710" s="42"/>
      <c r="C710" s="41"/>
      <c r="D710" s="42"/>
      <c r="E710" s="42"/>
      <c r="F710" s="35"/>
      <c r="G710" s="42"/>
      <c r="H710" s="41"/>
      <c r="I710" s="91"/>
      <c r="J710" s="91"/>
      <c r="K710" s="91"/>
      <c r="L710" s="41"/>
      <c r="M710" s="41"/>
      <c r="N710" s="42"/>
      <c r="O710" s="42"/>
      <c r="P710" s="42"/>
      <c r="Q710" s="42"/>
      <c r="R710" s="42"/>
      <c r="S710" s="42"/>
      <c r="T710" s="42"/>
      <c r="U710" s="42"/>
      <c r="V710" s="42"/>
      <c r="W710" s="42"/>
      <c r="X710" s="42"/>
      <c r="Y710" s="42"/>
      <c r="Z710" s="42"/>
      <c r="AA710" s="42"/>
      <c r="AB710" s="42"/>
      <c r="AC710" s="42"/>
    </row>
    <row r="711" spans="1:29" x14ac:dyDescent="0.25">
      <c r="A711" s="41"/>
      <c r="B711" s="42"/>
      <c r="C711" s="41"/>
      <c r="D711" s="42"/>
      <c r="E711" s="42"/>
      <c r="F711" s="35"/>
      <c r="G711" s="42"/>
      <c r="H711" s="41"/>
      <c r="I711" s="91"/>
      <c r="J711" s="91"/>
      <c r="K711" s="91"/>
      <c r="L711" s="41"/>
      <c r="M711" s="41"/>
      <c r="N711" s="42"/>
      <c r="O711" s="42"/>
      <c r="P711" s="42"/>
      <c r="Q711" s="42"/>
      <c r="R711" s="42"/>
      <c r="S711" s="42"/>
      <c r="T711" s="42"/>
      <c r="U711" s="42"/>
      <c r="V711" s="42"/>
      <c r="W711" s="42"/>
      <c r="X711" s="42"/>
      <c r="Y711" s="42"/>
      <c r="Z711" s="42"/>
      <c r="AA711" s="42"/>
      <c r="AB711" s="42"/>
      <c r="AC711" s="42"/>
    </row>
    <row r="712" spans="1:29" x14ac:dyDescent="0.25">
      <c r="A712" s="41"/>
      <c r="B712" s="42"/>
      <c r="C712" s="41"/>
      <c r="D712" s="42"/>
      <c r="E712" s="42"/>
      <c r="F712" s="35"/>
      <c r="G712" s="42"/>
      <c r="H712" s="41"/>
      <c r="I712" s="91"/>
      <c r="J712" s="91"/>
      <c r="K712" s="91"/>
      <c r="L712" s="41"/>
      <c r="M712" s="41"/>
      <c r="N712" s="42"/>
      <c r="O712" s="42"/>
      <c r="P712" s="42"/>
      <c r="Q712" s="42"/>
      <c r="R712" s="42"/>
      <c r="S712" s="42"/>
      <c r="T712" s="42"/>
      <c r="U712" s="42"/>
      <c r="V712" s="42"/>
      <c r="W712" s="42"/>
      <c r="X712" s="42"/>
      <c r="Y712" s="42"/>
      <c r="Z712" s="42"/>
      <c r="AA712" s="42"/>
      <c r="AB712" s="42"/>
      <c r="AC712" s="42"/>
    </row>
    <row r="713" spans="1:29" x14ac:dyDescent="0.25">
      <c r="A713" s="41"/>
      <c r="B713" s="42"/>
      <c r="C713" s="41"/>
      <c r="D713" s="42"/>
      <c r="E713" s="42"/>
      <c r="F713" s="35"/>
      <c r="G713" s="42"/>
      <c r="H713" s="41"/>
      <c r="I713" s="91"/>
      <c r="J713" s="91"/>
      <c r="K713" s="91"/>
      <c r="L713" s="41"/>
      <c r="M713" s="41"/>
      <c r="N713" s="42"/>
      <c r="O713" s="42"/>
      <c r="P713" s="42"/>
      <c r="Q713" s="42"/>
      <c r="R713" s="42"/>
      <c r="S713" s="42"/>
      <c r="T713" s="42"/>
      <c r="U713" s="42"/>
      <c r="V713" s="42"/>
      <c r="W713" s="42"/>
      <c r="X713" s="42"/>
      <c r="Y713" s="42"/>
      <c r="Z713" s="42"/>
      <c r="AA713" s="42"/>
      <c r="AB713" s="42"/>
      <c r="AC713" s="42"/>
    </row>
    <row r="714" spans="1:29" x14ac:dyDescent="0.25">
      <c r="A714" s="41"/>
      <c r="B714" s="42"/>
      <c r="C714" s="41"/>
      <c r="D714" s="42"/>
      <c r="E714" s="42"/>
      <c r="F714" s="35"/>
      <c r="G714" s="42"/>
      <c r="H714" s="41"/>
      <c r="I714" s="91"/>
      <c r="J714" s="91"/>
      <c r="K714" s="91"/>
      <c r="L714" s="41"/>
      <c r="M714" s="41"/>
      <c r="N714" s="42"/>
      <c r="O714" s="42"/>
      <c r="P714" s="42"/>
      <c r="Q714" s="42"/>
      <c r="R714" s="42"/>
      <c r="S714" s="42"/>
      <c r="T714" s="42"/>
      <c r="U714" s="42"/>
      <c r="V714" s="42"/>
      <c r="W714" s="42"/>
      <c r="X714" s="42"/>
      <c r="Y714" s="42"/>
      <c r="Z714" s="42"/>
      <c r="AA714" s="42"/>
      <c r="AB714" s="42"/>
      <c r="AC714" s="42"/>
    </row>
    <row r="715" spans="1:29" x14ac:dyDescent="0.25">
      <c r="A715" s="41"/>
      <c r="B715" s="42"/>
      <c r="C715" s="41"/>
      <c r="D715" s="42"/>
      <c r="E715" s="42"/>
      <c r="F715" s="35"/>
      <c r="G715" s="42"/>
      <c r="H715" s="41"/>
      <c r="I715" s="91"/>
      <c r="J715" s="91"/>
      <c r="K715" s="91"/>
      <c r="L715" s="41"/>
      <c r="M715" s="41"/>
      <c r="N715" s="42"/>
      <c r="O715" s="42"/>
      <c r="P715" s="42"/>
      <c r="Q715" s="42"/>
      <c r="R715" s="42"/>
      <c r="S715" s="42"/>
      <c r="T715" s="42"/>
      <c r="U715" s="42"/>
      <c r="V715" s="42"/>
      <c r="W715" s="42"/>
      <c r="X715" s="42"/>
      <c r="Y715" s="42"/>
      <c r="Z715" s="42"/>
      <c r="AA715" s="42"/>
      <c r="AB715" s="42"/>
      <c r="AC715" s="42"/>
    </row>
    <row r="716" spans="1:29" x14ac:dyDescent="0.25">
      <c r="A716" s="41"/>
      <c r="B716" s="42"/>
      <c r="C716" s="41"/>
      <c r="D716" s="42"/>
      <c r="E716" s="42"/>
      <c r="F716" s="35"/>
      <c r="G716" s="42"/>
      <c r="H716" s="41"/>
      <c r="I716" s="91"/>
      <c r="J716" s="91"/>
      <c r="K716" s="91"/>
      <c r="L716" s="41"/>
      <c r="M716" s="41"/>
      <c r="N716" s="42"/>
      <c r="O716" s="42"/>
      <c r="P716" s="42"/>
      <c r="Q716" s="42"/>
      <c r="R716" s="42"/>
      <c r="S716" s="42"/>
      <c r="T716" s="42"/>
      <c r="U716" s="42"/>
      <c r="V716" s="42"/>
      <c r="W716" s="42"/>
      <c r="X716" s="42"/>
      <c r="Y716" s="42"/>
      <c r="Z716" s="42"/>
      <c r="AA716" s="42"/>
      <c r="AB716" s="42"/>
      <c r="AC716" s="42"/>
    </row>
    <row r="717" spans="1:29" x14ac:dyDescent="0.25">
      <c r="A717" s="41"/>
      <c r="B717" s="42"/>
      <c r="C717" s="41"/>
      <c r="D717" s="42"/>
      <c r="E717" s="42"/>
      <c r="F717" s="35"/>
      <c r="G717" s="42"/>
      <c r="H717" s="41"/>
      <c r="I717" s="91"/>
      <c r="J717" s="91"/>
      <c r="K717" s="91"/>
      <c r="L717" s="41"/>
      <c r="M717" s="41"/>
      <c r="N717" s="42"/>
      <c r="O717" s="42"/>
      <c r="P717" s="42"/>
      <c r="Q717" s="42"/>
      <c r="R717" s="42"/>
      <c r="S717" s="42"/>
      <c r="T717" s="42"/>
      <c r="U717" s="42"/>
      <c r="V717" s="42"/>
      <c r="W717" s="42"/>
      <c r="X717" s="42"/>
      <c r="Y717" s="42"/>
      <c r="Z717" s="42"/>
      <c r="AA717" s="42"/>
      <c r="AB717" s="42"/>
      <c r="AC717" s="42"/>
    </row>
    <row r="718" spans="1:29" x14ac:dyDescent="0.25">
      <c r="A718" s="41"/>
      <c r="B718" s="42"/>
      <c r="C718" s="41"/>
      <c r="D718" s="42"/>
      <c r="E718" s="42"/>
      <c r="F718" s="35"/>
      <c r="G718" s="42"/>
      <c r="H718" s="41"/>
      <c r="I718" s="91"/>
      <c r="J718" s="91"/>
      <c r="K718" s="91"/>
      <c r="L718" s="41"/>
      <c r="M718" s="41"/>
      <c r="N718" s="42"/>
      <c r="O718" s="42"/>
      <c r="P718" s="42"/>
      <c r="Q718" s="42"/>
      <c r="R718" s="42"/>
      <c r="S718" s="42"/>
      <c r="T718" s="42"/>
      <c r="U718" s="42"/>
      <c r="V718" s="42"/>
      <c r="W718" s="42"/>
      <c r="X718" s="42"/>
      <c r="Y718" s="42"/>
      <c r="Z718" s="42"/>
      <c r="AA718" s="42"/>
      <c r="AB718" s="42"/>
      <c r="AC718" s="42"/>
    </row>
    <row r="719" spans="1:29" x14ac:dyDescent="0.25">
      <c r="A719" s="41"/>
      <c r="B719" s="42"/>
      <c r="C719" s="41"/>
      <c r="D719" s="42"/>
      <c r="E719" s="42"/>
      <c r="F719" s="35"/>
      <c r="G719" s="42"/>
      <c r="H719" s="41"/>
      <c r="I719" s="91"/>
      <c r="J719" s="91"/>
      <c r="K719" s="91"/>
      <c r="L719" s="41"/>
      <c r="M719" s="41"/>
      <c r="N719" s="42"/>
      <c r="O719" s="42"/>
      <c r="P719" s="42"/>
      <c r="Q719" s="42"/>
      <c r="R719" s="42"/>
      <c r="S719" s="42"/>
      <c r="T719" s="42"/>
      <c r="U719" s="42"/>
      <c r="V719" s="42"/>
      <c r="W719" s="42"/>
      <c r="X719" s="42"/>
      <c r="Y719" s="42"/>
      <c r="Z719" s="42"/>
      <c r="AA719" s="42"/>
      <c r="AB719" s="42"/>
      <c r="AC719" s="42"/>
    </row>
    <row r="720" spans="1:29" x14ac:dyDescent="0.25">
      <c r="A720" s="41"/>
      <c r="B720" s="42"/>
      <c r="C720" s="41"/>
      <c r="D720" s="42"/>
      <c r="E720" s="42"/>
      <c r="F720" s="35"/>
      <c r="G720" s="42"/>
      <c r="H720" s="41"/>
      <c r="I720" s="91"/>
      <c r="J720" s="91"/>
      <c r="K720" s="91"/>
      <c r="L720" s="41"/>
      <c r="M720" s="41"/>
      <c r="N720" s="42"/>
      <c r="O720" s="42"/>
      <c r="P720" s="42"/>
      <c r="Q720" s="42"/>
      <c r="R720" s="42"/>
      <c r="S720" s="42"/>
      <c r="T720" s="42"/>
      <c r="U720" s="42"/>
      <c r="V720" s="42"/>
      <c r="W720" s="42"/>
      <c r="X720" s="42"/>
      <c r="Y720" s="42"/>
      <c r="Z720" s="42"/>
      <c r="AA720" s="42"/>
      <c r="AB720" s="42"/>
      <c r="AC720" s="42"/>
    </row>
    <row r="721" spans="1:29" x14ac:dyDescent="0.25">
      <c r="A721" s="41"/>
      <c r="B721" s="42"/>
      <c r="C721" s="41"/>
      <c r="D721" s="42"/>
      <c r="E721" s="42"/>
      <c r="F721" s="35"/>
      <c r="G721" s="42"/>
      <c r="H721" s="41"/>
      <c r="I721" s="91"/>
      <c r="J721" s="91"/>
      <c r="K721" s="91"/>
      <c r="L721" s="41"/>
      <c r="M721" s="41"/>
      <c r="N721" s="42"/>
      <c r="O721" s="42"/>
      <c r="P721" s="42"/>
      <c r="Q721" s="42"/>
      <c r="R721" s="42"/>
      <c r="S721" s="42"/>
      <c r="T721" s="42"/>
      <c r="U721" s="42"/>
      <c r="V721" s="42"/>
      <c r="W721" s="42"/>
      <c r="X721" s="42"/>
      <c r="Y721" s="42"/>
      <c r="Z721" s="42"/>
      <c r="AA721" s="42"/>
      <c r="AB721" s="42"/>
      <c r="AC721" s="42"/>
    </row>
    <row r="722" spans="1:29" x14ac:dyDescent="0.25">
      <c r="A722" s="41"/>
      <c r="B722" s="42"/>
      <c r="C722" s="41"/>
      <c r="D722" s="42"/>
      <c r="E722" s="42"/>
      <c r="F722" s="35"/>
      <c r="G722" s="42"/>
      <c r="H722" s="41"/>
      <c r="I722" s="91"/>
      <c r="J722" s="91"/>
      <c r="K722" s="91"/>
      <c r="L722" s="41"/>
      <c r="M722" s="41"/>
      <c r="N722" s="42"/>
      <c r="O722" s="42"/>
      <c r="P722" s="42"/>
      <c r="Q722" s="42"/>
      <c r="R722" s="42"/>
      <c r="S722" s="42"/>
      <c r="T722" s="42"/>
      <c r="U722" s="42"/>
      <c r="V722" s="42"/>
      <c r="W722" s="42"/>
      <c r="X722" s="42"/>
      <c r="Y722" s="42"/>
      <c r="Z722" s="42"/>
      <c r="AA722" s="42"/>
      <c r="AB722" s="42"/>
      <c r="AC722" s="42"/>
    </row>
    <row r="723" spans="1:29" x14ac:dyDescent="0.25">
      <c r="A723" s="41"/>
      <c r="B723" s="42"/>
      <c r="C723" s="41"/>
      <c r="D723" s="42"/>
      <c r="E723" s="42"/>
      <c r="F723" s="35"/>
      <c r="G723" s="42"/>
      <c r="H723" s="41"/>
      <c r="I723" s="91"/>
      <c r="J723" s="91"/>
      <c r="K723" s="91"/>
      <c r="L723" s="41"/>
      <c r="M723" s="41"/>
      <c r="N723" s="42"/>
      <c r="O723" s="42"/>
      <c r="P723" s="42"/>
      <c r="Q723" s="42"/>
      <c r="R723" s="42"/>
      <c r="S723" s="42"/>
      <c r="T723" s="42"/>
      <c r="U723" s="42"/>
      <c r="V723" s="42"/>
      <c r="W723" s="42"/>
      <c r="X723" s="42"/>
      <c r="Y723" s="42"/>
      <c r="Z723" s="42"/>
      <c r="AA723" s="42"/>
      <c r="AB723" s="42"/>
      <c r="AC723" s="42"/>
    </row>
    <row r="724" spans="1:29" x14ac:dyDescent="0.25">
      <c r="A724" s="41"/>
      <c r="B724" s="42"/>
      <c r="C724" s="41"/>
      <c r="D724" s="42"/>
      <c r="E724" s="42"/>
      <c r="F724" s="35"/>
      <c r="G724" s="42"/>
      <c r="H724" s="41"/>
      <c r="I724" s="91"/>
      <c r="J724" s="91"/>
      <c r="K724" s="91"/>
      <c r="L724" s="41"/>
      <c r="M724" s="41"/>
      <c r="N724" s="42"/>
      <c r="O724" s="42"/>
      <c r="P724" s="42"/>
      <c r="Q724" s="42"/>
      <c r="R724" s="42"/>
      <c r="S724" s="42"/>
      <c r="T724" s="42"/>
      <c r="U724" s="42"/>
      <c r="V724" s="42"/>
      <c r="W724" s="42"/>
      <c r="X724" s="42"/>
      <c r="Y724" s="42"/>
      <c r="Z724" s="42"/>
      <c r="AA724" s="42"/>
      <c r="AB724" s="42"/>
      <c r="AC724" s="42"/>
    </row>
    <row r="725" spans="1:29" x14ac:dyDescent="0.25">
      <c r="A725" s="41"/>
      <c r="B725" s="42"/>
      <c r="C725" s="41"/>
      <c r="D725" s="42"/>
      <c r="E725" s="42"/>
      <c r="F725" s="35"/>
      <c r="G725" s="42"/>
      <c r="H725" s="41"/>
      <c r="I725" s="91"/>
      <c r="J725" s="91"/>
      <c r="K725" s="91"/>
      <c r="L725" s="41"/>
      <c r="M725" s="41"/>
      <c r="N725" s="42"/>
      <c r="O725" s="42"/>
      <c r="P725" s="42"/>
      <c r="Q725" s="42"/>
      <c r="R725" s="42"/>
      <c r="S725" s="42"/>
      <c r="T725" s="42"/>
      <c r="U725" s="42"/>
      <c r="V725" s="42"/>
      <c r="W725" s="42"/>
      <c r="X725" s="42"/>
      <c r="Y725" s="42"/>
      <c r="Z725" s="42"/>
      <c r="AA725" s="42"/>
      <c r="AB725" s="42"/>
      <c r="AC725" s="42"/>
    </row>
    <row r="726" spans="1:29" x14ac:dyDescent="0.25">
      <c r="A726" s="41"/>
      <c r="B726" s="42"/>
      <c r="C726" s="41"/>
      <c r="D726" s="42"/>
      <c r="E726" s="42"/>
      <c r="F726" s="35"/>
      <c r="G726" s="42"/>
      <c r="H726" s="41"/>
      <c r="I726" s="91"/>
      <c r="J726" s="91"/>
      <c r="K726" s="91"/>
      <c r="L726" s="41"/>
      <c r="M726" s="41"/>
      <c r="N726" s="42"/>
      <c r="O726" s="42"/>
      <c r="P726" s="42"/>
      <c r="Q726" s="42"/>
      <c r="R726" s="42"/>
      <c r="S726" s="42"/>
      <c r="T726" s="42"/>
      <c r="U726" s="42"/>
      <c r="V726" s="42"/>
      <c r="W726" s="42"/>
      <c r="X726" s="42"/>
      <c r="Y726" s="42"/>
      <c r="Z726" s="42"/>
      <c r="AA726" s="42"/>
      <c r="AB726" s="42"/>
      <c r="AC726" s="42"/>
    </row>
    <row r="727" spans="1:29" x14ac:dyDescent="0.25">
      <c r="A727" s="41"/>
      <c r="B727" s="42"/>
      <c r="C727" s="41"/>
      <c r="D727" s="42"/>
      <c r="E727" s="42"/>
      <c r="F727" s="35"/>
      <c r="G727" s="42"/>
      <c r="H727" s="41"/>
      <c r="I727" s="91"/>
      <c r="J727" s="91"/>
      <c r="K727" s="91"/>
      <c r="L727" s="41"/>
      <c r="M727" s="41"/>
      <c r="N727" s="42"/>
      <c r="O727" s="42"/>
      <c r="P727" s="42"/>
      <c r="Q727" s="42"/>
      <c r="R727" s="42"/>
      <c r="S727" s="42"/>
      <c r="T727" s="42"/>
      <c r="U727" s="42"/>
      <c r="V727" s="42"/>
      <c r="W727" s="42"/>
      <c r="X727" s="42"/>
      <c r="Y727" s="42"/>
      <c r="Z727" s="42"/>
      <c r="AA727" s="42"/>
      <c r="AB727" s="42"/>
      <c r="AC727" s="42"/>
    </row>
    <row r="728" spans="1:29" x14ac:dyDescent="0.25">
      <c r="A728" s="41"/>
      <c r="B728" s="42"/>
      <c r="C728" s="41"/>
      <c r="D728" s="42"/>
      <c r="E728" s="42"/>
      <c r="F728" s="35"/>
      <c r="G728" s="42"/>
      <c r="H728" s="41"/>
      <c r="I728" s="91"/>
      <c r="J728" s="91"/>
      <c r="K728" s="91"/>
      <c r="L728" s="41"/>
      <c r="M728" s="41"/>
      <c r="N728" s="42"/>
      <c r="O728" s="42"/>
      <c r="P728" s="42"/>
      <c r="Q728" s="42"/>
      <c r="R728" s="42"/>
      <c r="S728" s="42"/>
      <c r="T728" s="42"/>
      <c r="U728" s="42"/>
      <c r="V728" s="42"/>
      <c r="W728" s="42"/>
      <c r="X728" s="42"/>
      <c r="Y728" s="42"/>
      <c r="Z728" s="42"/>
      <c r="AA728" s="42"/>
      <c r="AB728" s="42"/>
      <c r="AC728" s="42"/>
    </row>
    <row r="729" spans="1:29" x14ac:dyDescent="0.25">
      <c r="A729" s="41"/>
      <c r="B729" s="42"/>
      <c r="C729" s="41"/>
      <c r="D729" s="42"/>
      <c r="E729" s="42"/>
      <c r="F729" s="35"/>
      <c r="G729" s="42"/>
      <c r="H729" s="41"/>
      <c r="I729" s="91"/>
      <c r="J729" s="91"/>
      <c r="K729" s="91"/>
      <c r="L729" s="41"/>
      <c r="M729" s="41"/>
      <c r="N729" s="42"/>
      <c r="O729" s="42"/>
      <c r="P729" s="42"/>
      <c r="Q729" s="42"/>
      <c r="R729" s="42"/>
      <c r="S729" s="42"/>
      <c r="T729" s="42"/>
      <c r="U729" s="42"/>
      <c r="V729" s="42"/>
      <c r="W729" s="42"/>
      <c r="X729" s="42"/>
      <c r="Y729" s="42"/>
      <c r="Z729" s="42"/>
      <c r="AA729" s="42"/>
      <c r="AB729" s="42"/>
      <c r="AC729" s="42"/>
    </row>
    <row r="730" spans="1:29" x14ac:dyDescent="0.25">
      <c r="A730" s="41"/>
      <c r="B730" s="42"/>
      <c r="C730" s="41"/>
      <c r="D730" s="42"/>
      <c r="E730" s="42"/>
      <c r="F730" s="35"/>
      <c r="G730" s="42"/>
      <c r="H730" s="41"/>
      <c r="I730" s="91"/>
      <c r="J730" s="91"/>
      <c r="K730" s="91"/>
      <c r="L730" s="41"/>
      <c r="M730" s="41"/>
      <c r="N730" s="42"/>
      <c r="O730" s="42"/>
      <c r="P730" s="42"/>
      <c r="Q730" s="42"/>
      <c r="R730" s="42"/>
      <c r="S730" s="42"/>
      <c r="T730" s="42"/>
      <c r="U730" s="42"/>
      <c r="V730" s="42"/>
      <c r="W730" s="42"/>
      <c r="X730" s="42"/>
      <c r="Y730" s="42"/>
      <c r="Z730" s="42"/>
      <c r="AA730" s="42"/>
      <c r="AB730" s="42"/>
      <c r="AC730" s="42"/>
    </row>
    <row r="731" spans="1:29" x14ac:dyDescent="0.25">
      <c r="A731" s="41"/>
      <c r="B731" s="42"/>
      <c r="C731" s="41"/>
      <c r="D731" s="42"/>
      <c r="E731" s="42"/>
      <c r="F731" s="35"/>
      <c r="G731" s="42"/>
      <c r="H731" s="41"/>
      <c r="I731" s="91"/>
      <c r="J731" s="91"/>
      <c r="K731" s="91"/>
      <c r="L731" s="41"/>
      <c r="M731" s="41"/>
      <c r="N731" s="42"/>
      <c r="O731" s="42"/>
      <c r="P731" s="42"/>
      <c r="Q731" s="42"/>
      <c r="R731" s="42"/>
      <c r="S731" s="42"/>
      <c r="T731" s="42"/>
      <c r="U731" s="42"/>
      <c r="V731" s="42"/>
      <c r="W731" s="42"/>
      <c r="X731" s="42"/>
      <c r="Y731" s="42"/>
      <c r="Z731" s="42"/>
      <c r="AA731" s="42"/>
      <c r="AB731" s="42"/>
      <c r="AC731" s="42"/>
    </row>
    <row r="732" spans="1:29" x14ac:dyDescent="0.25">
      <c r="A732" s="41"/>
      <c r="B732" s="42"/>
      <c r="C732" s="41"/>
      <c r="D732" s="42"/>
      <c r="E732" s="42"/>
      <c r="F732" s="35"/>
      <c r="G732" s="42"/>
      <c r="H732" s="41"/>
      <c r="I732" s="91"/>
      <c r="J732" s="91"/>
      <c r="K732" s="91"/>
      <c r="L732" s="41"/>
      <c r="M732" s="41"/>
      <c r="N732" s="42"/>
      <c r="O732" s="42"/>
      <c r="P732" s="42"/>
      <c r="Q732" s="42"/>
      <c r="R732" s="42"/>
      <c r="S732" s="42"/>
      <c r="T732" s="42"/>
      <c r="U732" s="42"/>
      <c r="V732" s="42"/>
      <c r="W732" s="42"/>
      <c r="X732" s="42"/>
      <c r="Y732" s="42"/>
      <c r="Z732" s="42"/>
      <c r="AA732" s="42"/>
      <c r="AB732" s="42"/>
      <c r="AC732" s="42"/>
    </row>
    <row r="733" spans="1:29" x14ac:dyDescent="0.25">
      <c r="A733" s="41"/>
      <c r="B733" s="42"/>
      <c r="C733" s="41"/>
      <c r="D733" s="42"/>
      <c r="E733" s="42"/>
      <c r="F733" s="35"/>
      <c r="G733" s="42"/>
      <c r="H733" s="41"/>
      <c r="I733" s="91"/>
      <c r="J733" s="91"/>
      <c r="K733" s="91"/>
      <c r="L733" s="41"/>
      <c r="M733" s="41"/>
      <c r="N733" s="42"/>
      <c r="O733" s="42"/>
      <c r="P733" s="42"/>
      <c r="Q733" s="42"/>
      <c r="R733" s="42"/>
      <c r="S733" s="42"/>
      <c r="T733" s="42"/>
      <c r="U733" s="42"/>
      <c r="V733" s="42"/>
      <c r="W733" s="42"/>
      <c r="X733" s="42"/>
      <c r="Y733" s="42"/>
      <c r="Z733" s="42"/>
      <c r="AA733" s="42"/>
      <c r="AB733" s="42"/>
      <c r="AC733" s="42"/>
    </row>
    <row r="734" spans="1:29" x14ac:dyDescent="0.25">
      <c r="A734" s="41"/>
      <c r="B734" s="42"/>
      <c r="C734" s="41"/>
      <c r="D734" s="42"/>
      <c r="E734" s="42"/>
      <c r="F734" s="35"/>
      <c r="G734" s="42"/>
      <c r="H734" s="41"/>
      <c r="I734" s="91"/>
      <c r="J734" s="91"/>
      <c r="K734" s="91"/>
      <c r="L734" s="41"/>
      <c r="M734" s="41"/>
      <c r="N734" s="42"/>
      <c r="O734" s="42"/>
      <c r="P734" s="42"/>
      <c r="Q734" s="42"/>
      <c r="R734" s="42"/>
      <c r="S734" s="42"/>
      <c r="T734" s="42"/>
      <c r="U734" s="42"/>
      <c r="V734" s="42"/>
      <c r="W734" s="42"/>
      <c r="X734" s="42"/>
      <c r="Y734" s="42"/>
      <c r="Z734" s="42"/>
      <c r="AA734" s="42"/>
      <c r="AB734" s="42"/>
      <c r="AC734" s="42"/>
    </row>
    <row r="735" spans="1:29" x14ac:dyDescent="0.25">
      <c r="A735" s="41"/>
      <c r="B735" s="42"/>
      <c r="C735" s="41"/>
      <c r="D735" s="42"/>
      <c r="E735" s="42"/>
      <c r="F735" s="35"/>
      <c r="G735" s="42"/>
      <c r="H735" s="41"/>
      <c r="I735" s="91"/>
      <c r="J735" s="91"/>
      <c r="K735" s="91"/>
      <c r="L735" s="41"/>
      <c r="M735" s="41"/>
      <c r="N735" s="42"/>
      <c r="O735" s="42"/>
      <c r="P735" s="42"/>
      <c r="Q735" s="42"/>
      <c r="R735" s="42"/>
      <c r="S735" s="42"/>
      <c r="T735" s="42"/>
      <c r="U735" s="42"/>
      <c r="V735" s="42"/>
      <c r="W735" s="42"/>
      <c r="X735" s="42"/>
      <c r="Y735" s="42"/>
      <c r="Z735" s="42"/>
      <c r="AA735" s="42"/>
      <c r="AB735" s="42"/>
      <c r="AC735" s="42"/>
    </row>
    <row r="736" spans="1:29" x14ac:dyDescent="0.25">
      <c r="A736" s="41"/>
      <c r="B736" s="42"/>
      <c r="C736" s="41"/>
      <c r="D736" s="42"/>
      <c r="E736" s="42"/>
      <c r="F736" s="35"/>
      <c r="G736" s="42"/>
      <c r="H736" s="41"/>
      <c r="I736" s="91"/>
      <c r="J736" s="91"/>
      <c r="K736" s="91"/>
      <c r="L736" s="41"/>
      <c r="M736" s="41"/>
      <c r="N736" s="42"/>
      <c r="O736" s="42"/>
      <c r="P736" s="42"/>
      <c r="Q736" s="42"/>
      <c r="R736" s="42"/>
      <c r="S736" s="42"/>
      <c r="T736" s="42"/>
      <c r="U736" s="42"/>
      <c r="V736" s="42"/>
      <c r="W736" s="42"/>
      <c r="X736" s="42"/>
      <c r="Y736" s="42"/>
      <c r="Z736" s="42"/>
      <c r="AA736" s="42"/>
      <c r="AB736" s="42"/>
      <c r="AC736" s="42"/>
    </row>
    <row r="737" spans="1:29" x14ac:dyDescent="0.25">
      <c r="A737" s="41"/>
      <c r="B737" s="42"/>
      <c r="C737" s="41"/>
      <c r="D737" s="42"/>
      <c r="E737" s="42"/>
      <c r="F737" s="35"/>
      <c r="G737" s="42"/>
      <c r="H737" s="41"/>
      <c r="I737" s="91"/>
      <c r="J737" s="91"/>
      <c r="K737" s="91"/>
      <c r="L737" s="41"/>
      <c r="M737" s="41"/>
      <c r="N737" s="42"/>
      <c r="O737" s="42"/>
      <c r="P737" s="42"/>
      <c r="Q737" s="42"/>
      <c r="R737" s="42"/>
      <c r="S737" s="42"/>
      <c r="T737" s="42"/>
      <c r="U737" s="42"/>
      <c r="V737" s="42"/>
      <c r="W737" s="42"/>
      <c r="X737" s="42"/>
      <c r="Y737" s="42"/>
      <c r="Z737" s="42"/>
      <c r="AA737" s="42"/>
      <c r="AB737" s="42"/>
      <c r="AC737" s="42"/>
    </row>
    <row r="738" spans="1:29" x14ac:dyDescent="0.25">
      <c r="A738" s="41"/>
      <c r="B738" s="42"/>
      <c r="C738" s="41"/>
      <c r="D738" s="42"/>
      <c r="E738" s="42"/>
      <c r="F738" s="35"/>
      <c r="G738" s="42"/>
      <c r="H738" s="41"/>
      <c r="I738" s="91"/>
      <c r="J738" s="91"/>
      <c r="K738" s="91"/>
      <c r="L738" s="41"/>
      <c r="M738" s="41"/>
      <c r="N738" s="42"/>
      <c r="O738" s="42"/>
      <c r="P738" s="42"/>
      <c r="Q738" s="42"/>
      <c r="R738" s="42"/>
      <c r="S738" s="42"/>
      <c r="T738" s="42"/>
      <c r="U738" s="42"/>
      <c r="V738" s="42"/>
      <c r="W738" s="42"/>
      <c r="X738" s="42"/>
      <c r="Y738" s="42"/>
      <c r="Z738" s="42"/>
      <c r="AA738" s="42"/>
      <c r="AB738" s="42"/>
      <c r="AC738" s="42"/>
    </row>
    <row r="739" spans="1:29" x14ac:dyDescent="0.25">
      <c r="A739" s="41"/>
      <c r="B739" s="42"/>
      <c r="C739" s="41"/>
      <c r="D739" s="42"/>
      <c r="E739" s="42"/>
      <c r="F739" s="35"/>
      <c r="G739" s="42"/>
      <c r="H739" s="41"/>
      <c r="I739" s="91"/>
      <c r="J739" s="91"/>
      <c r="K739" s="91"/>
      <c r="L739" s="41"/>
      <c r="M739" s="41"/>
      <c r="N739" s="42"/>
      <c r="O739" s="42"/>
      <c r="P739" s="42"/>
      <c r="Q739" s="42"/>
      <c r="R739" s="42"/>
      <c r="S739" s="42"/>
      <c r="T739" s="42"/>
      <c r="U739" s="42"/>
      <c r="V739" s="42"/>
      <c r="W739" s="42"/>
      <c r="X739" s="42"/>
      <c r="Y739" s="42"/>
      <c r="Z739" s="42"/>
      <c r="AA739" s="42"/>
      <c r="AB739" s="42"/>
      <c r="AC739" s="42"/>
    </row>
    <row r="740" spans="1:29" x14ac:dyDescent="0.25">
      <c r="A740" s="41"/>
      <c r="B740" s="42"/>
      <c r="C740" s="41"/>
      <c r="D740" s="42"/>
      <c r="E740" s="42"/>
      <c r="F740" s="35"/>
      <c r="G740" s="42"/>
      <c r="H740" s="41"/>
      <c r="I740" s="91"/>
      <c r="J740" s="91"/>
      <c r="K740" s="91"/>
      <c r="L740" s="41"/>
      <c r="M740" s="41"/>
      <c r="N740" s="42"/>
      <c r="O740" s="42"/>
      <c r="P740" s="42"/>
      <c r="Q740" s="42"/>
      <c r="R740" s="42"/>
      <c r="S740" s="42"/>
      <c r="T740" s="42"/>
      <c r="U740" s="42"/>
      <c r="V740" s="42"/>
      <c r="W740" s="42"/>
      <c r="X740" s="42"/>
      <c r="Y740" s="42"/>
      <c r="Z740" s="42"/>
      <c r="AA740" s="42"/>
      <c r="AB740" s="42"/>
      <c r="AC740" s="42"/>
    </row>
    <row r="741" spans="1:29" x14ac:dyDescent="0.25">
      <c r="A741" s="41"/>
      <c r="B741" s="42"/>
      <c r="C741" s="41"/>
      <c r="D741" s="42"/>
      <c r="E741" s="42"/>
      <c r="F741" s="35"/>
      <c r="G741" s="42"/>
      <c r="H741" s="41"/>
      <c r="I741" s="91"/>
      <c r="J741" s="91"/>
      <c r="K741" s="91"/>
      <c r="L741" s="41"/>
      <c r="M741" s="41"/>
      <c r="N741" s="42"/>
      <c r="O741" s="42"/>
      <c r="P741" s="42"/>
      <c r="Q741" s="42"/>
      <c r="R741" s="42"/>
      <c r="S741" s="42"/>
      <c r="T741" s="42"/>
      <c r="U741" s="42"/>
      <c r="V741" s="42"/>
      <c r="W741" s="42"/>
      <c r="X741" s="42"/>
      <c r="Y741" s="42"/>
      <c r="Z741" s="42"/>
      <c r="AA741" s="42"/>
      <c r="AB741" s="42"/>
      <c r="AC741" s="42"/>
    </row>
    <row r="742" spans="1:29" x14ac:dyDescent="0.25">
      <c r="A742" s="41"/>
      <c r="B742" s="42"/>
      <c r="C742" s="41"/>
      <c r="D742" s="42"/>
      <c r="E742" s="42"/>
      <c r="F742" s="35"/>
      <c r="G742" s="42"/>
      <c r="H742" s="41"/>
      <c r="I742" s="91"/>
      <c r="J742" s="91"/>
      <c r="K742" s="91"/>
      <c r="L742" s="41"/>
      <c r="M742" s="41"/>
      <c r="N742" s="42"/>
      <c r="O742" s="42"/>
      <c r="P742" s="42"/>
      <c r="Q742" s="42"/>
      <c r="R742" s="42"/>
      <c r="S742" s="42"/>
      <c r="T742" s="42"/>
      <c r="U742" s="42"/>
      <c r="V742" s="42"/>
      <c r="W742" s="42"/>
      <c r="X742" s="42"/>
      <c r="Y742" s="42"/>
      <c r="Z742" s="42"/>
      <c r="AA742" s="42"/>
      <c r="AB742" s="42"/>
      <c r="AC742" s="42"/>
    </row>
    <row r="743" spans="1:29" x14ac:dyDescent="0.25">
      <c r="A743" s="41"/>
      <c r="B743" s="42"/>
      <c r="C743" s="41"/>
      <c r="D743" s="42"/>
      <c r="E743" s="42"/>
      <c r="F743" s="35"/>
      <c r="G743" s="42"/>
      <c r="H743" s="41"/>
      <c r="I743" s="91"/>
      <c r="J743" s="91"/>
      <c r="K743" s="91"/>
      <c r="L743" s="41"/>
      <c r="M743" s="41"/>
      <c r="N743" s="42"/>
      <c r="O743" s="42"/>
      <c r="P743" s="42"/>
      <c r="Q743" s="42"/>
      <c r="R743" s="42"/>
      <c r="S743" s="42"/>
      <c r="T743" s="42"/>
      <c r="U743" s="42"/>
      <c r="V743" s="42"/>
      <c r="W743" s="42"/>
      <c r="X743" s="42"/>
      <c r="Y743" s="42"/>
      <c r="Z743" s="42"/>
      <c r="AA743" s="42"/>
      <c r="AB743" s="42"/>
      <c r="AC743" s="42"/>
    </row>
    <row r="744" spans="1:29" x14ac:dyDescent="0.25">
      <c r="A744" s="41"/>
      <c r="B744" s="42"/>
      <c r="C744" s="41"/>
      <c r="D744" s="42"/>
      <c r="E744" s="42"/>
      <c r="F744" s="35"/>
      <c r="G744" s="42"/>
      <c r="H744" s="41"/>
      <c r="I744" s="91"/>
      <c r="J744" s="91"/>
      <c r="K744" s="91"/>
      <c r="L744" s="41"/>
      <c r="M744" s="41"/>
      <c r="N744" s="42"/>
      <c r="O744" s="42"/>
      <c r="P744" s="42"/>
      <c r="Q744" s="42"/>
      <c r="R744" s="42"/>
      <c r="S744" s="42"/>
      <c r="T744" s="42"/>
      <c r="U744" s="42"/>
      <c r="V744" s="42"/>
      <c r="W744" s="42"/>
      <c r="X744" s="42"/>
      <c r="Y744" s="42"/>
      <c r="Z744" s="42"/>
      <c r="AA744" s="42"/>
      <c r="AB744" s="42"/>
      <c r="AC744" s="42"/>
    </row>
    <row r="745" spans="1:29" x14ac:dyDescent="0.25">
      <c r="A745" s="41"/>
      <c r="B745" s="42"/>
      <c r="C745" s="41"/>
      <c r="D745" s="42"/>
      <c r="E745" s="42"/>
      <c r="F745" s="35"/>
      <c r="G745" s="42"/>
      <c r="H745" s="41"/>
      <c r="I745" s="91"/>
      <c r="J745" s="91"/>
      <c r="K745" s="91"/>
      <c r="L745" s="41"/>
      <c r="M745" s="41"/>
      <c r="N745" s="42"/>
      <c r="O745" s="42"/>
      <c r="P745" s="42"/>
      <c r="Q745" s="42"/>
      <c r="R745" s="42"/>
      <c r="S745" s="42"/>
      <c r="T745" s="42"/>
      <c r="U745" s="42"/>
      <c r="V745" s="42"/>
      <c r="W745" s="42"/>
      <c r="X745" s="42"/>
      <c r="Y745" s="42"/>
      <c r="Z745" s="42"/>
      <c r="AA745" s="42"/>
      <c r="AB745" s="42"/>
      <c r="AC745" s="42"/>
    </row>
    <row r="746" spans="1:29" x14ac:dyDescent="0.25">
      <c r="A746" s="41"/>
      <c r="B746" s="42"/>
      <c r="C746" s="41"/>
      <c r="D746" s="42"/>
      <c r="E746" s="42"/>
      <c r="F746" s="35"/>
      <c r="G746" s="42"/>
      <c r="H746" s="41"/>
      <c r="I746" s="91"/>
      <c r="J746" s="91"/>
      <c r="K746" s="91"/>
      <c r="L746" s="41"/>
      <c r="M746" s="41"/>
      <c r="N746" s="42"/>
      <c r="O746" s="42"/>
      <c r="P746" s="42"/>
      <c r="Q746" s="42"/>
      <c r="R746" s="42"/>
      <c r="S746" s="42"/>
      <c r="T746" s="42"/>
      <c r="U746" s="42"/>
      <c r="V746" s="42"/>
      <c r="W746" s="42"/>
      <c r="X746" s="42"/>
      <c r="Y746" s="42"/>
      <c r="Z746" s="42"/>
      <c r="AA746" s="42"/>
      <c r="AB746" s="42"/>
      <c r="AC746" s="42"/>
    </row>
    <row r="747" spans="1:29" x14ac:dyDescent="0.25">
      <c r="A747" s="41"/>
      <c r="B747" s="42"/>
      <c r="C747" s="41"/>
      <c r="D747" s="42"/>
      <c r="E747" s="42"/>
      <c r="F747" s="35"/>
      <c r="G747" s="42"/>
      <c r="H747" s="41"/>
      <c r="I747" s="91"/>
      <c r="J747" s="91"/>
      <c r="K747" s="91"/>
      <c r="L747" s="41"/>
      <c r="M747" s="41"/>
      <c r="N747" s="42"/>
      <c r="O747" s="42"/>
      <c r="P747" s="42"/>
      <c r="Q747" s="42"/>
      <c r="R747" s="42"/>
      <c r="S747" s="42"/>
      <c r="T747" s="42"/>
      <c r="U747" s="42"/>
      <c r="V747" s="42"/>
      <c r="W747" s="42"/>
      <c r="X747" s="42"/>
      <c r="Y747" s="42"/>
      <c r="Z747" s="42"/>
      <c r="AA747" s="42"/>
      <c r="AB747" s="42"/>
      <c r="AC747" s="42"/>
    </row>
    <row r="748" spans="1:29" x14ac:dyDescent="0.25">
      <c r="A748" s="41"/>
      <c r="B748" s="42"/>
      <c r="C748" s="41"/>
      <c r="D748" s="42"/>
      <c r="E748" s="42"/>
      <c r="F748" s="35"/>
      <c r="G748" s="42"/>
      <c r="H748" s="41"/>
      <c r="I748" s="91"/>
      <c r="J748" s="91"/>
      <c r="K748" s="91"/>
      <c r="L748" s="41"/>
      <c r="M748" s="41"/>
      <c r="N748" s="42"/>
      <c r="O748" s="42"/>
      <c r="P748" s="42"/>
      <c r="Q748" s="42"/>
      <c r="R748" s="42"/>
      <c r="S748" s="42"/>
      <c r="T748" s="42"/>
      <c r="U748" s="42"/>
      <c r="V748" s="42"/>
      <c r="W748" s="42"/>
      <c r="X748" s="42"/>
      <c r="Y748" s="42"/>
      <c r="Z748" s="42"/>
      <c r="AA748" s="42"/>
      <c r="AB748" s="42"/>
      <c r="AC748" s="42"/>
    </row>
    <row r="749" spans="1:29" x14ac:dyDescent="0.25">
      <c r="A749" s="41"/>
      <c r="B749" s="42"/>
      <c r="C749" s="41"/>
      <c r="D749" s="42"/>
      <c r="E749" s="42"/>
      <c r="F749" s="35"/>
      <c r="G749" s="42"/>
      <c r="H749" s="41"/>
      <c r="I749" s="91"/>
      <c r="J749" s="91"/>
      <c r="K749" s="91"/>
      <c r="L749" s="41"/>
      <c r="M749" s="41"/>
      <c r="N749" s="42"/>
      <c r="O749" s="42"/>
      <c r="P749" s="42"/>
      <c r="Q749" s="42"/>
      <c r="R749" s="42"/>
      <c r="S749" s="42"/>
      <c r="T749" s="42"/>
      <c r="U749" s="42"/>
      <c r="V749" s="42"/>
      <c r="W749" s="42"/>
      <c r="X749" s="42"/>
      <c r="Y749" s="42"/>
      <c r="Z749" s="42"/>
      <c r="AA749" s="42"/>
      <c r="AB749" s="42"/>
      <c r="AC749" s="42"/>
    </row>
    <row r="750" spans="1:29" x14ac:dyDescent="0.25">
      <c r="A750" s="41"/>
      <c r="B750" s="42"/>
      <c r="C750" s="41"/>
      <c r="D750" s="42"/>
      <c r="E750" s="42"/>
      <c r="F750" s="35"/>
      <c r="G750" s="42"/>
      <c r="H750" s="41"/>
      <c r="I750" s="91"/>
      <c r="J750" s="91"/>
      <c r="K750" s="91"/>
      <c r="L750" s="41"/>
      <c r="M750" s="41"/>
      <c r="N750" s="42"/>
      <c r="O750" s="42"/>
      <c r="P750" s="42"/>
      <c r="Q750" s="42"/>
      <c r="R750" s="42"/>
      <c r="S750" s="42"/>
      <c r="T750" s="42"/>
      <c r="U750" s="42"/>
      <c r="V750" s="42"/>
      <c r="W750" s="42"/>
      <c r="X750" s="42"/>
      <c r="Y750" s="42"/>
      <c r="Z750" s="42"/>
      <c r="AA750" s="42"/>
      <c r="AB750" s="42"/>
      <c r="AC750" s="42"/>
    </row>
    <row r="751" spans="1:29" x14ac:dyDescent="0.25">
      <c r="A751" s="41"/>
      <c r="B751" s="42"/>
      <c r="C751" s="41"/>
      <c r="D751" s="42"/>
      <c r="E751" s="42"/>
      <c r="F751" s="35"/>
      <c r="G751" s="42"/>
      <c r="H751" s="41"/>
      <c r="I751" s="91"/>
      <c r="J751" s="91"/>
      <c r="K751" s="91"/>
      <c r="L751" s="41"/>
      <c r="M751" s="41"/>
      <c r="N751" s="42"/>
      <c r="O751" s="42"/>
      <c r="P751" s="42"/>
      <c r="Q751" s="42"/>
      <c r="R751" s="42"/>
      <c r="S751" s="42"/>
      <c r="T751" s="42"/>
      <c r="U751" s="42"/>
      <c r="V751" s="42"/>
      <c r="W751" s="42"/>
      <c r="X751" s="42"/>
      <c r="Y751" s="42"/>
      <c r="Z751" s="42"/>
      <c r="AA751" s="42"/>
      <c r="AB751" s="42"/>
      <c r="AC751" s="42"/>
    </row>
    <row r="752" spans="1:29" x14ac:dyDescent="0.25">
      <c r="A752" s="41"/>
      <c r="B752" s="42"/>
      <c r="C752" s="41"/>
      <c r="D752" s="42"/>
      <c r="E752" s="42"/>
      <c r="F752" s="35"/>
      <c r="G752" s="42"/>
      <c r="H752" s="41"/>
      <c r="I752" s="91"/>
      <c r="J752" s="91"/>
      <c r="K752" s="91"/>
      <c r="L752" s="41"/>
      <c r="M752" s="41"/>
      <c r="N752" s="42"/>
      <c r="O752" s="42"/>
      <c r="P752" s="42"/>
      <c r="Q752" s="42"/>
      <c r="R752" s="42"/>
      <c r="S752" s="42"/>
      <c r="T752" s="42"/>
      <c r="U752" s="42"/>
      <c r="V752" s="42"/>
      <c r="W752" s="42"/>
      <c r="X752" s="42"/>
      <c r="Y752" s="42"/>
      <c r="Z752" s="42"/>
      <c r="AA752" s="42"/>
      <c r="AB752" s="42"/>
      <c r="AC752" s="42"/>
    </row>
    <row r="753" spans="1:29" x14ac:dyDescent="0.25">
      <c r="A753" s="41"/>
      <c r="B753" s="42"/>
      <c r="C753" s="41"/>
      <c r="D753" s="42"/>
      <c r="E753" s="42"/>
      <c r="F753" s="35"/>
      <c r="G753" s="42"/>
      <c r="H753" s="41"/>
      <c r="I753" s="91"/>
      <c r="J753" s="91"/>
      <c r="K753" s="91"/>
      <c r="L753" s="41"/>
      <c r="M753" s="41"/>
      <c r="N753" s="42"/>
      <c r="O753" s="42"/>
      <c r="P753" s="42"/>
      <c r="Q753" s="42"/>
      <c r="R753" s="42"/>
      <c r="S753" s="42"/>
      <c r="T753" s="42"/>
      <c r="U753" s="42"/>
      <c r="V753" s="42"/>
      <c r="W753" s="42"/>
      <c r="X753" s="42"/>
      <c r="Y753" s="42"/>
      <c r="Z753" s="42"/>
      <c r="AA753" s="42"/>
      <c r="AB753" s="42"/>
      <c r="AC753" s="42"/>
    </row>
    <row r="754" spans="1:29" x14ac:dyDescent="0.25">
      <c r="A754" s="41"/>
      <c r="B754" s="42"/>
      <c r="C754" s="41"/>
      <c r="D754" s="42"/>
      <c r="E754" s="42"/>
      <c r="F754" s="35"/>
      <c r="G754" s="42"/>
      <c r="H754" s="41"/>
      <c r="I754" s="91"/>
      <c r="J754" s="91"/>
      <c r="K754" s="91"/>
      <c r="L754" s="41"/>
      <c r="M754" s="41"/>
      <c r="N754" s="42"/>
      <c r="O754" s="42"/>
      <c r="P754" s="42"/>
      <c r="Q754" s="42"/>
      <c r="R754" s="42"/>
      <c r="S754" s="42"/>
      <c r="T754" s="42"/>
      <c r="U754" s="42"/>
      <c r="V754" s="42"/>
      <c r="W754" s="42"/>
      <c r="X754" s="42"/>
      <c r="Y754" s="42"/>
      <c r="Z754" s="42"/>
      <c r="AA754" s="42"/>
      <c r="AB754" s="42"/>
      <c r="AC754" s="42"/>
    </row>
    <row r="755" spans="1:29" x14ac:dyDescent="0.25">
      <c r="A755" s="41"/>
      <c r="B755" s="42"/>
      <c r="C755" s="41"/>
      <c r="D755" s="42"/>
      <c r="E755" s="42"/>
      <c r="F755" s="35"/>
      <c r="G755" s="42"/>
      <c r="H755" s="41"/>
      <c r="I755" s="91"/>
      <c r="J755" s="91"/>
      <c r="K755" s="91"/>
      <c r="L755" s="41"/>
      <c r="M755" s="41"/>
      <c r="N755" s="42"/>
      <c r="O755" s="42"/>
      <c r="P755" s="42"/>
      <c r="Q755" s="42"/>
      <c r="R755" s="42"/>
      <c r="S755" s="42"/>
      <c r="T755" s="42"/>
      <c r="U755" s="42"/>
      <c r="V755" s="42"/>
      <c r="W755" s="42"/>
      <c r="X755" s="42"/>
      <c r="Y755" s="42"/>
      <c r="Z755" s="42"/>
      <c r="AA755" s="42"/>
      <c r="AB755" s="42"/>
      <c r="AC755" s="42"/>
    </row>
    <row r="756" spans="1:29" x14ac:dyDescent="0.25">
      <c r="A756" s="41"/>
      <c r="B756" s="42"/>
      <c r="C756" s="41"/>
      <c r="D756" s="42"/>
      <c r="E756" s="42"/>
      <c r="F756" s="35"/>
      <c r="G756" s="42"/>
      <c r="H756" s="41"/>
      <c r="I756" s="91"/>
      <c r="J756" s="91"/>
      <c r="K756" s="91"/>
      <c r="L756" s="41"/>
      <c r="M756" s="41"/>
      <c r="N756" s="42"/>
      <c r="O756" s="42"/>
      <c r="P756" s="42"/>
      <c r="Q756" s="42"/>
      <c r="R756" s="42"/>
      <c r="S756" s="42"/>
      <c r="T756" s="42"/>
      <c r="U756" s="42"/>
      <c r="V756" s="42"/>
      <c r="W756" s="42"/>
      <c r="X756" s="42"/>
      <c r="Y756" s="42"/>
      <c r="Z756" s="42"/>
      <c r="AA756" s="42"/>
      <c r="AB756" s="42"/>
      <c r="AC756" s="42"/>
    </row>
    <row r="757" spans="1:29" x14ac:dyDescent="0.25">
      <c r="A757" s="41"/>
      <c r="B757" s="42"/>
      <c r="C757" s="41"/>
      <c r="D757" s="42"/>
      <c r="E757" s="42"/>
      <c r="F757" s="35"/>
      <c r="G757" s="42"/>
      <c r="H757" s="41"/>
      <c r="I757" s="91"/>
      <c r="J757" s="91"/>
      <c r="K757" s="91"/>
      <c r="L757" s="41"/>
      <c r="M757" s="41"/>
      <c r="N757" s="42"/>
      <c r="O757" s="42"/>
      <c r="P757" s="42"/>
      <c r="Q757" s="42"/>
      <c r="R757" s="42"/>
      <c r="S757" s="42"/>
      <c r="T757" s="42"/>
      <c r="U757" s="42"/>
      <c r="V757" s="42"/>
      <c r="W757" s="42"/>
      <c r="X757" s="42"/>
      <c r="Y757" s="42"/>
      <c r="Z757" s="42"/>
      <c r="AA757" s="42"/>
      <c r="AB757" s="42"/>
      <c r="AC757" s="42"/>
    </row>
    <row r="758" spans="1:29" x14ac:dyDescent="0.25">
      <c r="A758" s="41"/>
      <c r="B758" s="42"/>
      <c r="C758" s="41"/>
      <c r="D758" s="42"/>
      <c r="E758" s="42"/>
      <c r="F758" s="35"/>
      <c r="G758" s="42"/>
      <c r="H758" s="41"/>
      <c r="I758" s="91"/>
      <c r="J758" s="91"/>
      <c r="K758" s="91"/>
      <c r="L758" s="41"/>
      <c r="M758" s="41"/>
      <c r="N758" s="42"/>
      <c r="O758" s="42"/>
      <c r="P758" s="42"/>
      <c r="Q758" s="42"/>
      <c r="R758" s="42"/>
      <c r="S758" s="42"/>
      <c r="T758" s="42"/>
      <c r="U758" s="42"/>
      <c r="V758" s="42"/>
      <c r="W758" s="42"/>
      <c r="X758" s="42"/>
      <c r="Y758" s="42"/>
      <c r="Z758" s="42"/>
      <c r="AA758" s="42"/>
      <c r="AB758" s="42"/>
      <c r="AC758" s="42"/>
    </row>
    <row r="759" spans="1:29" x14ac:dyDescent="0.25">
      <c r="A759" s="41"/>
      <c r="B759" s="42"/>
      <c r="C759" s="41"/>
      <c r="D759" s="42"/>
      <c r="E759" s="42"/>
      <c r="F759" s="35"/>
      <c r="G759" s="42"/>
      <c r="H759" s="41"/>
      <c r="I759" s="91"/>
      <c r="J759" s="91"/>
      <c r="K759" s="91"/>
      <c r="L759" s="41"/>
      <c r="M759" s="41"/>
      <c r="N759" s="42"/>
      <c r="O759" s="42"/>
      <c r="P759" s="42"/>
      <c r="Q759" s="42"/>
      <c r="R759" s="42"/>
      <c r="S759" s="42"/>
      <c r="T759" s="42"/>
      <c r="U759" s="42"/>
      <c r="V759" s="42"/>
      <c r="W759" s="42"/>
      <c r="X759" s="42"/>
      <c r="Y759" s="42"/>
      <c r="Z759" s="42"/>
      <c r="AA759" s="42"/>
      <c r="AB759" s="42"/>
      <c r="AC759" s="42"/>
    </row>
    <row r="760" spans="1:29" x14ac:dyDescent="0.25">
      <c r="A760" s="41"/>
      <c r="B760" s="42"/>
      <c r="C760" s="41"/>
      <c r="D760" s="42"/>
      <c r="E760" s="42"/>
      <c r="F760" s="35"/>
      <c r="G760" s="42"/>
      <c r="H760" s="41"/>
      <c r="I760" s="91"/>
      <c r="J760" s="91"/>
      <c r="K760" s="91"/>
      <c r="L760" s="41"/>
      <c r="M760" s="41"/>
      <c r="N760" s="42"/>
      <c r="O760" s="42"/>
      <c r="P760" s="42"/>
      <c r="Q760" s="42"/>
      <c r="R760" s="42"/>
      <c r="S760" s="42"/>
      <c r="T760" s="42"/>
      <c r="U760" s="42"/>
      <c r="V760" s="42"/>
      <c r="W760" s="42"/>
      <c r="X760" s="42"/>
      <c r="Y760" s="42"/>
      <c r="Z760" s="42"/>
      <c r="AA760" s="42"/>
      <c r="AB760" s="42"/>
      <c r="AC760" s="42"/>
    </row>
    <row r="761" spans="1:29" x14ac:dyDescent="0.25">
      <c r="A761" s="41"/>
      <c r="B761" s="42"/>
      <c r="C761" s="41"/>
      <c r="D761" s="42"/>
      <c r="E761" s="42"/>
      <c r="F761" s="35"/>
      <c r="G761" s="42"/>
      <c r="H761" s="41"/>
      <c r="I761" s="91"/>
      <c r="J761" s="91"/>
      <c r="K761" s="91"/>
      <c r="L761" s="41"/>
      <c r="M761" s="41"/>
      <c r="N761" s="42"/>
      <c r="O761" s="42"/>
      <c r="P761" s="42"/>
      <c r="Q761" s="42"/>
      <c r="R761" s="42"/>
      <c r="S761" s="42"/>
      <c r="T761" s="42"/>
      <c r="U761" s="42"/>
      <c r="V761" s="42"/>
      <c r="W761" s="42"/>
      <c r="X761" s="42"/>
      <c r="Y761" s="42"/>
      <c r="Z761" s="42"/>
      <c r="AA761" s="42"/>
      <c r="AB761" s="42"/>
      <c r="AC761" s="42"/>
    </row>
    <row r="762" spans="1:29" x14ac:dyDescent="0.25">
      <c r="A762" s="41"/>
      <c r="B762" s="42"/>
      <c r="C762" s="41"/>
      <c r="D762" s="42"/>
      <c r="E762" s="42"/>
      <c r="F762" s="35"/>
      <c r="G762" s="42"/>
      <c r="H762" s="41"/>
      <c r="I762" s="91"/>
      <c r="J762" s="91"/>
      <c r="K762" s="91"/>
      <c r="L762" s="41"/>
      <c r="M762" s="41"/>
      <c r="N762" s="42"/>
      <c r="O762" s="42"/>
      <c r="P762" s="42"/>
      <c r="Q762" s="42"/>
      <c r="R762" s="42"/>
      <c r="S762" s="42"/>
      <c r="T762" s="42"/>
      <c r="U762" s="42"/>
      <c r="V762" s="42"/>
      <c r="W762" s="42"/>
      <c r="X762" s="42"/>
      <c r="Y762" s="42"/>
      <c r="Z762" s="42"/>
      <c r="AA762" s="42"/>
      <c r="AB762" s="42"/>
      <c r="AC762" s="42"/>
    </row>
    <row r="763" spans="1:29" x14ac:dyDescent="0.25">
      <c r="A763" s="41"/>
      <c r="B763" s="42"/>
      <c r="C763" s="41"/>
      <c r="D763" s="42"/>
      <c r="E763" s="42"/>
      <c r="F763" s="35"/>
      <c r="G763" s="42"/>
      <c r="H763" s="41"/>
      <c r="I763" s="91"/>
      <c r="J763" s="91"/>
      <c r="K763" s="91"/>
      <c r="L763" s="41"/>
      <c r="M763" s="41"/>
      <c r="N763" s="42"/>
      <c r="O763" s="42"/>
      <c r="P763" s="42"/>
      <c r="Q763" s="42"/>
      <c r="R763" s="42"/>
      <c r="S763" s="42"/>
      <c r="T763" s="42"/>
      <c r="U763" s="42"/>
      <c r="V763" s="42"/>
      <c r="W763" s="42"/>
      <c r="X763" s="42"/>
      <c r="Y763" s="42"/>
      <c r="Z763" s="42"/>
      <c r="AA763" s="42"/>
      <c r="AB763" s="42"/>
      <c r="AC763" s="42"/>
    </row>
    <row r="764" spans="1:29" x14ac:dyDescent="0.25">
      <c r="A764" s="41"/>
      <c r="B764" s="42"/>
      <c r="C764" s="41"/>
      <c r="D764" s="42"/>
      <c r="E764" s="42"/>
      <c r="F764" s="35"/>
      <c r="G764" s="42"/>
      <c r="H764" s="41"/>
      <c r="I764" s="91"/>
      <c r="J764" s="91"/>
      <c r="K764" s="91"/>
      <c r="L764" s="41"/>
      <c r="M764" s="41"/>
      <c r="N764" s="42"/>
      <c r="O764" s="42"/>
      <c r="P764" s="42"/>
      <c r="Q764" s="42"/>
      <c r="R764" s="42"/>
      <c r="S764" s="42"/>
      <c r="T764" s="42"/>
      <c r="U764" s="42"/>
      <c r="V764" s="42"/>
      <c r="W764" s="42"/>
      <c r="X764" s="42"/>
      <c r="Y764" s="42"/>
      <c r="Z764" s="42"/>
      <c r="AA764" s="42"/>
      <c r="AB764" s="42"/>
      <c r="AC764" s="42"/>
    </row>
    <row r="765" spans="1:29" x14ac:dyDescent="0.25">
      <c r="A765" s="41"/>
      <c r="B765" s="42"/>
      <c r="C765" s="41"/>
      <c r="D765" s="42"/>
      <c r="E765" s="42"/>
      <c r="F765" s="35"/>
      <c r="G765" s="42"/>
      <c r="H765" s="41"/>
      <c r="I765" s="91"/>
      <c r="J765" s="91"/>
      <c r="K765" s="91"/>
      <c r="L765" s="41"/>
      <c r="M765" s="41"/>
      <c r="N765" s="42"/>
      <c r="O765" s="42"/>
      <c r="P765" s="42"/>
      <c r="Q765" s="42"/>
      <c r="R765" s="42"/>
      <c r="S765" s="42"/>
      <c r="T765" s="42"/>
      <c r="U765" s="42"/>
      <c r="V765" s="42"/>
      <c r="W765" s="42"/>
      <c r="X765" s="42"/>
      <c r="Y765" s="42"/>
      <c r="Z765" s="42"/>
      <c r="AA765" s="42"/>
      <c r="AB765" s="42"/>
      <c r="AC765" s="42"/>
    </row>
    <row r="766" spans="1:29" x14ac:dyDescent="0.25">
      <c r="A766" s="41"/>
      <c r="B766" s="42"/>
      <c r="C766" s="41"/>
      <c r="D766" s="42"/>
      <c r="E766" s="42"/>
      <c r="F766" s="35"/>
      <c r="G766" s="42"/>
      <c r="H766" s="41"/>
      <c r="I766" s="91"/>
      <c r="J766" s="91"/>
      <c r="K766" s="91"/>
      <c r="L766" s="41"/>
      <c r="M766" s="41"/>
      <c r="N766" s="42"/>
      <c r="O766" s="42"/>
      <c r="P766" s="42"/>
      <c r="Q766" s="42"/>
      <c r="R766" s="42"/>
      <c r="S766" s="42"/>
      <c r="T766" s="42"/>
      <c r="U766" s="42"/>
      <c r="V766" s="42"/>
      <c r="W766" s="42"/>
      <c r="X766" s="42"/>
      <c r="Y766" s="42"/>
      <c r="Z766" s="42"/>
      <c r="AA766" s="42"/>
      <c r="AB766" s="42"/>
      <c r="AC766" s="42"/>
    </row>
    <row r="767" spans="1:29" x14ac:dyDescent="0.25">
      <c r="A767" s="41"/>
      <c r="B767" s="42"/>
      <c r="C767" s="41"/>
      <c r="D767" s="42"/>
      <c r="E767" s="42"/>
      <c r="F767" s="35"/>
      <c r="G767" s="42"/>
      <c r="H767" s="41"/>
      <c r="I767" s="91"/>
      <c r="J767" s="91"/>
      <c r="K767" s="91"/>
      <c r="L767" s="41"/>
      <c r="M767" s="41"/>
      <c r="N767" s="42"/>
      <c r="O767" s="42"/>
      <c r="P767" s="42"/>
      <c r="Q767" s="42"/>
      <c r="R767" s="42"/>
      <c r="S767" s="42"/>
      <c r="T767" s="42"/>
      <c r="U767" s="42"/>
      <c r="V767" s="42"/>
      <c r="W767" s="42"/>
      <c r="X767" s="42"/>
      <c r="Y767" s="42"/>
      <c r="Z767" s="42"/>
      <c r="AA767" s="42"/>
      <c r="AB767" s="42"/>
      <c r="AC767" s="42"/>
    </row>
    <row r="768" spans="1:29" x14ac:dyDescent="0.25">
      <c r="A768" s="41"/>
      <c r="B768" s="42"/>
      <c r="C768" s="41"/>
      <c r="D768" s="42"/>
      <c r="E768" s="42"/>
      <c r="F768" s="35"/>
      <c r="G768" s="42"/>
      <c r="H768" s="41"/>
      <c r="I768" s="91"/>
      <c r="J768" s="91"/>
      <c r="K768" s="91"/>
      <c r="L768" s="41"/>
      <c r="M768" s="41"/>
      <c r="N768" s="42"/>
      <c r="O768" s="42"/>
      <c r="P768" s="42"/>
      <c r="Q768" s="42"/>
      <c r="R768" s="42"/>
      <c r="S768" s="42"/>
      <c r="T768" s="42"/>
      <c r="U768" s="42"/>
      <c r="V768" s="42"/>
      <c r="W768" s="42"/>
      <c r="X768" s="42"/>
      <c r="Y768" s="42"/>
      <c r="Z768" s="42"/>
      <c r="AA768" s="42"/>
      <c r="AB768" s="42"/>
      <c r="AC768" s="42"/>
    </row>
    <row r="769" spans="1:29" x14ac:dyDescent="0.25">
      <c r="A769" s="41"/>
      <c r="B769" s="42"/>
      <c r="C769" s="41"/>
      <c r="D769" s="42"/>
      <c r="E769" s="42"/>
      <c r="F769" s="35"/>
      <c r="G769" s="42"/>
      <c r="H769" s="41"/>
      <c r="I769" s="91"/>
      <c r="J769" s="91"/>
      <c r="K769" s="91"/>
      <c r="L769" s="41"/>
      <c r="M769" s="41"/>
      <c r="N769" s="42"/>
      <c r="O769" s="42"/>
      <c r="P769" s="42"/>
      <c r="Q769" s="42"/>
      <c r="R769" s="42"/>
      <c r="S769" s="42"/>
      <c r="T769" s="42"/>
      <c r="U769" s="42"/>
      <c r="V769" s="42"/>
      <c r="W769" s="42"/>
      <c r="X769" s="42"/>
      <c r="Y769" s="42"/>
      <c r="Z769" s="42"/>
      <c r="AA769" s="42"/>
      <c r="AB769" s="42"/>
      <c r="AC769" s="42"/>
    </row>
    <row r="770" spans="1:29" x14ac:dyDescent="0.25">
      <c r="A770" s="41"/>
      <c r="B770" s="42"/>
      <c r="C770" s="41"/>
      <c r="D770" s="42"/>
      <c r="E770" s="42"/>
      <c r="F770" s="35"/>
      <c r="G770" s="42"/>
      <c r="H770" s="41"/>
      <c r="I770" s="91"/>
      <c r="J770" s="91"/>
      <c r="K770" s="91"/>
      <c r="L770" s="41"/>
      <c r="M770" s="41"/>
      <c r="N770" s="42"/>
      <c r="O770" s="42"/>
      <c r="P770" s="42"/>
      <c r="Q770" s="42"/>
      <c r="R770" s="42"/>
      <c r="S770" s="42"/>
      <c r="T770" s="42"/>
      <c r="U770" s="42"/>
      <c r="V770" s="42"/>
      <c r="W770" s="42"/>
      <c r="X770" s="42"/>
      <c r="Y770" s="42"/>
      <c r="Z770" s="42"/>
      <c r="AA770" s="42"/>
      <c r="AB770" s="42"/>
      <c r="AC770" s="42"/>
    </row>
    <row r="771" spans="1:29" x14ac:dyDescent="0.25">
      <c r="A771" s="41"/>
      <c r="B771" s="42"/>
      <c r="C771" s="41"/>
      <c r="D771" s="42"/>
      <c r="E771" s="42"/>
      <c r="F771" s="35"/>
      <c r="G771" s="42"/>
      <c r="H771" s="41"/>
      <c r="I771" s="91"/>
      <c r="J771" s="91"/>
      <c r="K771" s="91"/>
      <c r="L771" s="41"/>
      <c r="M771" s="41"/>
      <c r="N771" s="42"/>
      <c r="O771" s="42"/>
      <c r="P771" s="42"/>
      <c r="Q771" s="42"/>
      <c r="R771" s="42"/>
      <c r="S771" s="42"/>
      <c r="T771" s="42"/>
      <c r="U771" s="42"/>
      <c r="V771" s="42"/>
      <c r="W771" s="42"/>
      <c r="X771" s="42"/>
      <c r="Y771" s="42"/>
      <c r="Z771" s="42"/>
      <c r="AA771" s="42"/>
      <c r="AB771" s="42"/>
      <c r="AC771" s="42"/>
    </row>
    <row r="772" spans="1:29" x14ac:dyDescent="0.25">
      <c r="A772" s="41"/>
      <c r="B772" s="42"/>
      <c r="C772" s="41"/>
      <c r="D772" s="42"/>
      <c r="E772" s="42"/>
      <c r="F772" s="35"/>
      <c r="G772" s="42"/>
      <c r="H772" s="41"/>
      <c r="I772" s="91"/>
      <c r="J772" s="91"/>
      <c r="K772" s="91"/>
      <c r="L772" s="41"/>
      <c r="M772" s="41"/>
      <c r="N772" s="42"/>
      <c r="O772" s="42"/>
      <c r="P772" s="42"/>
      <c r="Q772" s="42"/>
      <c r="R772" s="42"/>
      <c r="S772" s="42"/>
      <c r="T772" s="42"/>
      <c r="U772" s="42"/>
      <c r="V772" s="42"/>
      <c r="W772" s="42"/>
      <c r="X772" s="42"/>
      <c r="Y772" s="42"/>
      <c r="Z772" s="42"/>
      <c r="AA772" s="42"/>
      <c r="AB772" s="42"/>
      <c r="AC772" s="42"/>
    </row>
    <row r="773" spans="1:29" x14ac:dyDescent="0.25">
      <c r="A773" s="41"/>
      <c r="B773" s="42"/>
      <c r="C773" s="41"/>
      <c r="D773" s="42"/>
      <c r="E773" s="42"/>
      <c r="F773" s="35"/>
      <c r="G773" s="42"/>
      <c r="H773" s="41"/>
      <c r="I773" s="91"/>
      <c r="J773" s="91"/>
      <c r="K773" s="91"/>
      <c r="L773" s="41"/>
      <c r="M773" s="41"/>
      <c r="N773" s="42"/>
      <c r="O773" s="42"/>
      <c r="P773" s="42"/>
      <c r="Q773" s="42"/>
      <c r="R773" s="42"/>
      <c r="S773" s="42"/>
      <c r="T773" s="42"/>
      <c r="U773" s="42"/>
      <c r="V773" s="42"/>
      <c r="W773" s="42"/>
      <c r="X773" s="42"/>
      <c r="Y773" s="42"/>
      <c r="Z773" s="42"/>
      <c r="AA773" s="42"/>
      <c r="AB773" s="42"/>
      <c r="AC773" s="42"/>
    </row>
    <row r="774" spans="1:29" x14ac:dyDescent="0.25">
      <c r="A774" s="41"/>
      <c r="B774" s="42"/>
      <c r="C774" s="41"/>
      <c r="D774" s="42"/>
      <c r="E774" s="42"/>
      <c r="F774" s="35"/>
      <c r="G774" s="42"/>
      <c r="H774" s="41"/>
      <c r="I774" s="91"/>
      <c r="J774" s="91"/>
      <c r="K774" s="91"/>
      <c r="L774" s="41"/>
      <c r="M774" s="41"/>
      <c r="N774" s="42"/>
      <c r="O774" s="42"/>
      <c r="P774" s="42"/>
      <c r="Q774" s="42"/>
      <c r="R774" s="42"/>
      <c r="S774" s="42"/>
      <c r="T774" s="42"/>
      <c r="U774" s="42"/>
      <c r="V774" s="42"/>
      <c r="W774" s="42"/>
      <c r="X774" s="42"/>
      <c r="Y774" s="42"/>
      <c r="Z774" s="42"/>
      <c r="AA774" s="42"/>
      <c r="AB774" s="42"/>
      <c r="AC774" s="42"/>
    </row>
    <row r="775" spans="1:29" x14ac:dyDescent="0.25">
      <c r="A775" s="41"/>
      <c r="B775" s="42"/>
      <c r="C775" s="41"/>
      <c r="D775" s="42"/>
      <c r="E775" s="42"/>
      <c r="F775" s="35"/>
      <c r="G775" s="42"/>
      <c r="H775" s="41"/>
      <c r="I775" s="91"/>
      <c r="J775" s="91"/>
      <c r="K775" s="91"/>
      <c r="L775" s="41"/>
      <c r="M775" s="41"/>
      <c r="N775" s="42"/>
      <c r="O775" s="42"/>
      <c r="P775" s="42"/>
      <c r="Q775" s="42"/>
      <c r="R775" s="42"/>
      <c r="S775" s="42"/>
      <c r="T775" s="42"/>
      <c r="U775" s="42"/>
      <c r="V775" s="42"/>
      <c r="W775" s="42"/>
      <c r="X775" s="42"/>
      <c r="Y775" s="42"/>
      <c r="Z775" s="42"/>
      <c r="AA775" s="42"/>
      <c r="AB775" s="42"/>
      <c r="AC775" s="42"/>
    </row>
    <row r="776" spans="1:29" x14ac:dyDescent="0.25">
      <c r="A776" s="41"/>
      <c r="B776" s="42"/>
      <c r="C776" s="41"/>
      <c r="D776" s="42"/>
      <c r="E776" s="42"/>
      <c r="F776" s="35"/>
      <c r="G776" s="42"/>
      <c r="H776" s="41"/>
      <c r="I776" s="91"/>
      <c r="J776" s="91"/>
      <c r="K776" s="91"/>
      <c r="L776" s="41"/>
      <c r="M776" s="41"/>
      <c r="N776" s="42"/>
      <c r="O776" s="42"/>
      <c r="P776" s="42"/>
      <c r="Q776" s="42"/>
      <c r="R776" s="42"/>
      <c r="S776" s="42"/>
      <c r="T776" s="42"/>
      <c r="U776" s="42"/>
      <c r="V776" s="42"/>
      <c r="W776" s="42"/>
      <c r="X776" s="42"/>
      <c r="Y776" s="42"/>
      <c r="Z776" s="42"/>
      <c r="AA776" s="42"/>
      <c r="AB776" s="42"/>
      <c r="AC776" s="42"/>
    </row>
    <row r="777" spans="1:29" x14ac:dyDescent="0.25">
      <c r="A777" s="41"/>
      <c r="B777" s="42"/>
      <c r="C777" s="41"/>
      <c r="D777" s="42"/>
      <c r="E777" s="42"/>
      <c r="F777" s="35"/>
      <c r="G777" s="42"/>
      <c r="H777" s="41"/>
      <c r="I777" s="91"/>
      <c r="J777" s="91"/>
      <c r="K777" s="91"/>
      <c r="L777" s="41"/>
      <c r="M777" s="41"/>
      <c r="N777" s="42"/>
      <c r="O777" s="42"/>
      <c r="P777" s="42"/>
      <c r="Q777" s="42"/>
      <c r="R777" s="42"/>
      <c r="S777" s="42"/>
      <c r="T777" s="42"/>
      <c r="U777" s="42"/>
      <c r="V777" s="42"/>
      <c r="W777" s="42"/>
      <c r="X777" s="42"/>
      <c r="Y777" s="42"/>
      <c r="Z777" s="42"/>
      <c r="AA777" s="42"/>
      <c r="AB777" s="42"/>
      <c r="AC777" s="42"/>
    </row>
    <row r="778" spans="1:29" x14ac:dyDescent="0.25">
      <c r="A778" s="41"/>
      <c r="B778" s="42"/>
      <c r="C778" s="41"/>
      <c r="D778" s="42"/>
      <c r="E778" s="42"/>
      <c r="F778" s="35"/>
      <c r="G778" s="42"/>
      <c r="H778" s="41"/>
      <c r="I778" s="91"/>
      <c r="J778" s="91"/>
      <c r="K778" s="91"/>
      <c r="L778" s="41"/>
      <c r="M778" s="41"/>
      <c r="N778" s="42"/>
      <c r="O778" s="42"/>
      <c r="P778" s="42"/>
      <c r="Q778" s="42"/>
      <c r="R778" s="42"/>
      <c r="S778" s="42"/>
      <c r="T778" s="42"/>
      <c r="U778" s="42"/>
      <c r="V778" s="42"/>
      <c r="W778" s="42"/>
      <c r="X778" s="42"/>
      <c r="Y778" s="42"/>
      <c r="Z778" s="42"/>
      <c r="AA778" s="42"/>
      <c r="AB778" s="42"/>
      <c r="AC778" s="42"/>
    </row>
    <row r="779" spans="1:29" x14ac:dyDescent="0.25">
      <c r="A779" s="41"/>
      <c r="B779" s="42"/>
      <c r="C779" s="41"/>
      <c r="D779" s="42"/>
      <c r="E779" s="42"/>
      <c r="F779" s="35"/>
      <c r="G779" s="42"/>
      <c r="H779" s="41"/>
      <c r="I779" s="91"/>
      <c r="J779" s="91"/>
      <c r="K779" s="91"/>
      <c r="L779" s="41"/>
      <c r="M779" s="41"/>
      <c r="N779" s="42"/>
      <c r="O779" s="42"/>
      <c r="P779" s="42"/>
      <c r="Q779" s="42"/>
      <c r="R779" s="42"/>
      <c r="S779" s="42"/>
      <c r="T779" s="42"/>
      <c r="U779" s="42"/>
      <c r="V779" s="42"/>
      <c r="W779" s="42"/>
      <c r="X779" s="42"/>
      <c r="Y779" s="42"/>
      <c r="Z779" s="42"/>
      <c r="AA779" s="42"/>
      <c r="AB779" s="42"/>
      <c r="AC779" s="42"/>
    </row>
    <row r="780" spans="1:29" x14ac:dyDescent="0.25">
      <c r="A780" s="41"/>
      <c r="B780" s="42"/>
      <c r="C780" s="41"/>
      <c r="D780" s="42"/>
      <c r="E780" s="42"/>
      <c r="F780" s="35"/>
      <c r="G780" s="42"/>
      <c r="H780" s="41"/>
      <c r="I780" s="91"/>
      <c r="J780" s="91"/>
      <c r="K780" s="91"/>
      <c r="L780" s="41"/>
      <c r="M780" s="41"/>
      <c r="N780" s="42"/>
      <c r="O780" s="42"/>
      <c r="P780" s="42"/>
      <c r="Q780" s="42"/>
      <c r="R780" s="42"/>
      <c r="S780" s="42"/>
      <c r="T780" s="42"/>
      <c r="U780" s="42"/>
      <c r="V780" s="42"/>
      <c r="W780" s="42"/>
      <c r="X780" s="42"/>
      <c r="Y780" s="42"/>
      <c r="Z780" s="42"/>
      <c r="AA780" s="42"/>
      <c r="AB780" s="42"/>
      <c r="AC780" s="42"/>
    </row>
    <row r="781" spans="1:29" x14ac:dyDescent="0.25">
      <c r="A781" s="41"/>
      <c r="B781" s="42"/>
      <c r="C781" s="41"/>
      <c r="D781" s="42"/>
      <c r="E781" s="42"/>
      <c r="F781" s="35"/>
      <c r="G781" s="42"/>
      <c r="H781" s="41"/>
      <c r="I781" s="91"/>
      <c r="J781" s="91"/>
      <c r="K781" s="91"/>
      <c r="L781" s="41"/>
      <c r="M781" s="41"/>
      <c r="N781" s="42"/>
      <c r="O781" s="42"/>
      <c r="P781" s="42"/>
      <c r="Q781" s="42"/>
      <c r="R781" s="42"/>
      <c r="S781" s="42"/>
      <c r="T781" s="42"/>
      <c r="U781" s="42"/>
      <c r="V781" s="42"/>
      <c r="W781" s="42"/>
      <c r="X781" s="42"/>
      <c r="Y781" s="42"/>
      <c r="Z781" s="42"/>
      <c r="AA781" s="42"/>
      <c r="AB781" s="42"/>
      <c r="AC781" s="42"/>
    </row>
    <row r="782" spans="1:29" x14ac:dyDescent="0.25">
      <c r="A782" s="41"/>
      <c r="B782" s="42"/>
      <c r="C782" s="41"/>
      <c r="D782" s="42"/>
      <c r="E782" s="42"/>
      <c r="F782" s="35"/>
      <c r="G782" s="42"/>
      <c r="H782" s="41"/>
      <c r="I782" s="91"/>
      <c r="J782" s="91"/>
      <c r="K782" s="91"/>
      <c r="L782" s="41"/>
      <c r="M782" s="41"/>
      <c r="N782" s="42"/>
      <c r="O782" s="42"/>
      <c r="P782" s="42"/>
      <c r="Q782" s="42"/>
      <c r="R782" s="42"/>
      <c r="S782" s="42"/>
      <c r="T782" s="42"/>
      <c r="U782" s="42"/>
      <c r="V782" s="42"/>
      <c r="W782" s="42"/>
      <c r="X782" s="42"/>
      <c r="Y782" s="42"/>
      <c r="Z782" s="42"/>
      <c r="AA782" s="42"/>
      <c r="AB782" s="42"/>
      <c r="AC782" s="42"/>
    </row>
    <row r="783" spans="1:29" x14ac:dyDescent="0.25">
      <c r="A783" s="41"/>
      <c r="B783" s="42"/>
      <c r="C783" s="41"/>
      <c r="D783" s="42"/>
      <c r="E783" s="42"/>
      <c r="F783" s="35"/>
      <c r="G783" s="42"/>
      <c r="H783" s="41"/>
      <c r="I783" s="91"/>
      <c r="J783" s="91"/>
      <c r="K783" s="91"/>
      <c r="L783" s="41"/>
      <c r="M783" s="41"/>
      <c r="N783" s="42"/>
      <c r="O783" s="42"/>
      <c r="P783" s="42"/>
      <c r="Q783" s="42"/>
      <c r="R783" s="42"/>
      <c r="S783" s="42"/>
      <c r="T783" s="42"/>
      <c r="U783" s="42"/>
      <c r="V783" s="42"/>
      <c r="W783" s="42"/>
      <c r="X783" s="42"/>
      <c r="Y783" s="42"/>
      <c r="Z783" s="42"/>
      <c r="AA783" s="42"/>
      <c r="AB783" s="42"/>
      <c r="AC783" s="42"/>
    </row>
    <row r="784" spans="1:29" x14ac:dyDescent="0.25">
      <c r="A784" s="41"/>
      <c r="B784" s="42"/>
      <c r="C784" s="41"/>
      <c r="D784" s="42"/>
      <c r="E784" s="42"/>
      <c r="F784" s="35"/>
      <c r="G784" s="42"/>
      <c r="H784" s="41"/>
      <c r="I784" s="91"/>
      <c r="J784" s="91"/>
      <c r="K784" s="91"/>
      <c r="L784" s="41"/>
      <c r="M784" s="41"/>
      <c r="N784" s="42"/>
      <c r="O784" s="42"/>
      <c r="P784" s="42"/>
      <c r="Q784" s="42"/>
      <c r="R784" s="42"/>
      <c r="S784" s="42"/>
      <c r="T784" s="42"/>
      <c r="U784" s="42"/>
      <c r="V784" s="42"/>
      <c r="W784" s="42"/>
      <c r="X784" s="42"/>
      <c r="Y784" s="42"/>
      <c r="Z784" s="42"/>
      <c r="AA784" s="42"/>
      <c r="AB784" s="42"/>
      <c r="AC784" s="42"/>
    </row>
    <row r="785" spans="1:29" x14ac:dyDescent="0.25">
      <c r="A785" s="41"/>
      <c r="B785" s="42"/>
      <c r="C785" s="41"/>
      <c r="D785" s="42"/>
      <c r="E785" s="42"/>
      <c r="F785" s="35"/>
      <c r="G785" s="42"/>
      <c r="H785" s="41"/>
      <c r="I785" s="91"/>
      <c r="J785" s="91"/>
      <c r="K785" s="91"/>
      <c r="L785" s="41"/>
      <c r="M785" s="41"/>
      <c r="N785" s="42"/>
      <c r="O785" s="42"/>
      <c r="P785" s="42"/>
      <c r="Q785" s="42"/>
      <c r="R785" s="42"/>
      <c r="S785" s="42"/>
      <c r="T785" s="42"/>
      <c r="U785" s="42"/>
      <c r="V785" s="42"/>
      <c r="W785" s="42"/>
      <c r="X785" s="42"/>
      <c r="Y785" s="42"/>
      <c r="Z785" s="42"/>
      <c r="AA785" s="42"/>
      <c r="AB785" s="42"/>
      <c r="AC785" s="42"/>
    </row>
    <row r="786" spans="1:29" x14ac:dyDescent="0.25">
      <c r="A786" s="41"/>
      <c r="B786" s="42"/>
      <c r="C786" s="41"/>
      <c r="D786" s="42"/>
      <c r="E786" s="42"/>
      <c r="F786" s="35"/>
      <c r="G786" s="42"/>
      <c r="H786" s="41"/>
      <c r="I786" s="91"/>
      <c r="J786" s="91"/>
      <c r="K786" s="91"/>
      <c r="L786" s="41"/>
      <c r="M786" s="41"/>
      <c r="N786" s="42"/>
      <c r="O786" s="42"/>
      <c r="P786" s="42"/>
      <c r="Q786" s="42"/>
      <c r="R786" s="42"/>
      <c r="S786" s="42"/>
      <c r="T786" s="42"/>
      <c r="U786" s="42"/>
      <c r="V786" s="42"/>
      <c r="W786" s="42"/>
      <c r="X786" s="42"/>
      <c r="Y786" s="42"/>
      <c r="Z786" s="42"/>
      <c r="AA786" s="42"/>
      <c r="AB786" s="42"/>
      <c r="AC786" s="42"/>
    </row>
    <row r="787" spans="1:29" x14ac:dyDescent="0.25">
      <c r="A787" s="41"/>
      <c r="B787" s="42"/>
      <c r="C787" s="41"/>
      <c r="D787" s="42"/>
      <c r="E787" s="42"/>
      <c r="F787" s="35"/>
      <c r="G787" s="42"/>
      <c r="H787" s="41"/>
      <c r="I787" s="91"/>
      <c r="J787" s="91"/>
      <c r="K787" s="91"/>
      <c r="L787" s="41"/>
      <c r="M787" s="41"/>
      <c r="N787" s="42"/>
      <c r="O787" s="42"/>
      <c r="P787" s="42"/>
      <c r="Q787" s="42"/>
      <c r="R787" s="42"/>
      <c r="S787" s="42"/>
      <c r="T787" s="42"/>
      <c r="U787" s="42"/>
      <c r="V787" s="42"/>
      <c r="W787" s="42"/>
      <c r="X787" s="42"/>
      <c r="Y787" s="42"/>
      <c r="Z787" s="42"/>
      <c r="AA787" s="42"/>
      <c r="AB787" s="42"/>
      <c r="AC787" s="42"/>
    </row>
    <row r="788" spans="1:29" x14ac:dyDescent="0.25">
      <c r="A788" s="41"/>
      <c r="B788" s="42"/>
      <c r="C788" s="41"/>
      <c r="D788" s="42"/>
      <c r="E788" s="42"/>
      <c r="F788" s="35"/>
      <c r="G788" s="42"/>
      <c r="H788" s="41"/>
      <c r="I788" s="91"/>
      <c r="J788" s="91"/>
      <c r="K788" s="91"/>
      <c r="L788" s="41"/>
      <c r="M788" s="41"/>
      <c r="N788" s="42"/>
      <c r="O788" s="42"/>
      <c r="P788" s="42"/>
      <c r="Q788" s="42"/>
      <c r="R788" s="42"/>
      <c r="S788" s="42"/>
      <c r="T788" s="42"/>
      <c r="U788" s="42"/>
      <c r="V788" s="42"/>
      <c r="W788" s="42"/>
      <c r="X788" s="42"/>
      <c r="Y788" s="42"/>
      <c r="Z788" s="42"/>
      <c r="AA788" s="42"/>
      <c r="AB788" s="42"/>
      <c r="AC788" s="42"/>
    </row>
    <row r="789" spans="1:29" x14ac:dyDescent="0.25">
      <c r="A789" s="41"/>
      <c r="B789" s="42"/>
      <c r="C789" s="41"/>
      <c r="D789" s="42"/>
      <c r="E789" s="42"/>
      <c r="F789" s="35"/>
      <c r="G789" s="42"/>
      <c r="H789" s="41"/>
      <c r="I789" s="91"/>
      <c r="J789" s="91"/>
      <c r="K789" s="91"/>
      <c r="L789" s="41"/>
      <c r="M789" s="41"/>
      <c r="N789" s="42"/>
      <c r="O789" s="42"/>
      <c r="P789" s="42"/>
      <c r="Q789" s="42"/>
      <c r="R789" s="42"/>
      <c r="S789" s="42"/>
      <c r="T789" s="42"/>
      <c r="U789" s="42"/>
      <c r="V789" s="42"/>
      <c r="W789" s="42"/>
      <c r="X789" s="42"/>
      <c r="Y789" s="42"/>
      <c r="Z789" s="42"/>
      <c r="AA789" s="42"/>
      <c r="AB789" s="42"/>
      <c r="AC789" s="42"/>
    </row>
    <row r="790" spans="1:29" x14ac:dyDescent="0.25">
      <c r="A790" s="41"/>
      <c r="B790" s="42"/>
      <c r="C790" s="41"/>
      <c r="D790" s="42"/>
      <c r="E790" s="42"/>
      <c r="F790" s="35"/>
      <c r="G790" s="42"/>
      <c r="H790" s="41"/>
      <c r="I790" s="91"/>
      <c r="J790" s="91"/>
      <c r="K790" s="91"/>
      <c r="L790" s="41"/>
      <c r="M790" s="41"/>
      <c r="N790" s="42"/>
      <c r="O790" s="42"/>
      <c r="P790" s="42"/>
      <c r="Q790" s="42"/>
      <c r="R790" s="42"/>
      <c r="S790" s="42"/>
      <c r="T790" s="42"/>
      <c r="U790" s="42"/>
      <c r="V790" s="42"/>
      <c r="W790" s="42"/>
      <c r="X790" s="42"/>
      <c r="Y790" s="42"/>
      <c r="Z790" s="42"/>
      <c r="AA790" s="42"/>
      <c r="AB790" s="42"/>
      <c r="AC790" s="42"/>
    </row>
    <row r="791" spans="1:29" x14ac:dyDescent="0.25">
      <c r="A791" s="41"/>
      <c r="B791" s="42"/>
      <c r="C791" s="41"/>
      <c r="D791" s="42"/>
      <c r="E791" s="42"/>
      <c r="F791" s="35"/>
      <c r="G791" s="42"/>
      <c r="H791" s="41"/>
      <c r="I791" s="91"/>
      <c r="J791" s="91"/>
      <c r="K791" s="91"/>
      <c r="L791" s="41"/>
      <c r="M791" s="41"/>
      <c r="N791" s="42"/>
      <c r="O791" s="42"/>
      <c r="P791" s="42"/>
      <c r="Q791" s="42"/>
      <c r="R791" s="42"/>
      <c r="S791" s="42"/>
      <c r="T791" s="42"/>
      <c r="U791" s="42"/>
      <c r="V791" s="42"/>
      <c r="W791" s="42"/>
      <c r="X791" s="42"/>
      <c r="Y791" s="42"/>
      <c r="Z791" s="42"/>
      <c r="AA791" s="42"/>
      <c r="AB791" s="42"/>
      <c r="AC791" s="42"/>
    </row>
    <row r="792" spans="1:29" x14ac:dyDescent="0.25">
      <c r="A792" s="41"/>
      <c r="B792" s="42"/>
      <c r="C792" s="41"/>
      <c r="D792" s="42"/>
      <c r="E792" s="42"/>
      <c r="F792" s="35"/>
      <c r="G792" s="42"/>
      <c r="H792" s="41"/>
      <c r="I792" s="91"/>
      <c r="J792" s="91"/>
      <c r="K792" s="91"/>
      <c r="L792" s="41"/>
      <c r="M792" s="41"/>
      <c r="N792" s="42"/>
      <c r="O792" s="42"/>
      <c r="P792" s="42"/>
      <c r="Q792" s="42"/>
      <c r="R792" s="42"/>
      <c r="S792" s="42"/>
      <c r="T792" s="42"/>
      <c r="U792" s="42"/>
      <c r="V792" s="42"/>
      <c r="W792" s="42"/>
      <c r="X792" s="42"/>
      <c r="Y792" s="42"/>
      <c r="Z792" s="42"/>
      <c r="AA792" s="42"/>
      <c r="AB792" s="42"/>
      <c r="AC792" s="42"/>
    </row>
    <row r="793" spans="1:29" x14ac:dyDescent="0.25">
      <c r="A793" s="41"/>
      <c r="B793" s="42"/>
      <c r="C793" s="41"/>
      <c r="D793" s="42"/>
      <c r="E793" s="42"/>
      <c r="F793" s="35"/>
      <c r="G793" s="42"/>
      <c r="H793" s="41"/>
      <c r="I793" s="91"/>
      <c r="J793" s="91"/>
      <c r="K793" s="91"/>
      <c r="L793" s="41"/>
      <c r="M793" s="41"/>
      <c r="N793" s="42"/>
      <c r="O793" s="42"/>
      <c r="P793" s="42"/>
      <c r="Q793" s="42"/>
      <c r="R793" s="42"/>
      <c r="S793" s="42"/>
      <c r="T793" s="42"/>
      <c r="U793" s="42"/>
      <c r="V793" s="42"/>
      <c r="W793" s="42"/>
      <c r="X793" s="42"/>
      <c r="Y793" s="42"/>
      <c r="Z793" s="42"/>
      <c r="AA793" s="42"/>
      <c r="AB793" s="42"/>
      <c r="AC793" s="42"/>
    </row>
    <row r="794" spans="1:29" x14ac:dyDescent="0.25">
      <c r="A794" s="41"/>
      <c r="B794" s="42"/>
      <c r="C794" s="41"/>
      <c r="D794" s="42"/>
      <c r="E794" s="42"/>
      <c r="F794" s="35"/>
      <c r="G794" s="42"/>
      <c r="H794" s="41"/>
      <c r="I794" s="91"/>
      <c r="J794" s="91"/>
      <c r="K794" s="91"/>
      <c r="L794" s="41"/>
      <c r="M794" s="41"/>
      <c r="N794" s="42"/>
      <c r="O794" s="42"/>
      <c r="P794" s="42"/>
      <c r="Q794" s="42"/>
      <c r="R794" s="42"/>
      <c r="S794" s="42"/>
      <c r="T794" s="42"/>
      <c r="U794" s="42"/>
      <c r="V794" s="42"/>
      <c r="W794" s="42"/>
      <c r="X794" s="42"/>
      <c r="Y794" s="42"/>
      <c r="Z794" s="42"/>
      <c r="AA794" s="42"/>
      <c r="AB794" s="42"/>
      <c r="AC794" s="42"/>
    </row>
    <row r="795" spans="1:29" x14ac:dyDescent="0.25">
      <c r="A795" s="41"/>
      <c r="B795" s="42"/>
      <c r="C795" s="41"/>
      <c r="D795" s="42"/>
      <c r="E795" s="42"/>
      <c r="F795" s="35"/>
      <c r="G795" s="42"/>
      <c r="H795" s="41"/>
      <c r="I795" s="91"/>
      <c r="J795" s="91"/>
      <c r="K795" s="91"/>
      <c r="L795" s="41"/>
      <c r="M795" s="41"/>
      <c r="N795" s="42"/>
      <c r="O795" s="42"/>
      <c r="P795" s="42"/>
      <c r="Q795" s="42"/>
      <c r="R795" s="42"/>
      <c r="S795" s="42"/>
      <c r="T795" s="42"/>
      <c r="U795" s="42"/>
      <c r="V795" s="42"/>
      <c r="W795" s="42"/>
      <c r="X795" s="42"/>
      <c r="Y795" s="42"/>
      <c r="Z795" s="42"/>
      <c r="AA795" s="42"/>
      <c r="AB795" s="42"/>
      <c r="AC795" s="42"/>
    </row>
    <row r="796" spans="1:29" x14ac:dyDescent="0.25">
      <c r="A796" s="41"/>
      <c r="B796" s="42"/>
      <c r="C796" s="41"/>
      <c r="D796" s="42"/>
      <c r="E796" s="42"/>
      <c r="F796" s="35"/>
      <c r="G796" s="42"/>
      <c r="H796" s="41"/>
      <c r="I796" s="91"/>
      <c r="J796" s="91"/>
      <c r="K796" s="91"/>
      <c r="L796" s="41"/>
      <c r="M796" s="41"/>
      <c r="N796" s="42"/>
      <c r="O796" s="42"/>
      <c r="P796" s="42"/>
      <c r="Q796" s="42"/>
      <c r="R796" s="42"/>
      <c r="S796" s="42"/>
      <c r="T796" s="42"/>
      <c r="U796" s="42"/>
      <c r="V796" s="42"/>
      <c r="W796" s="42"/>
      <c r="X796" s="42"/>
      <c r="Y796" s="42"/>
      <c r="Z796" s="42"/>
      <c r="AA796" s="42"/>
      <c r="AB796" s="42"/>
      <c r="AC796" s="42"/>
    </row>
    <row r="797" spans="1:29" x14ac:dyDescent="0.25">
      <c r="A797" s="41"/>
      <c r="B797" s="42"/>
      <c r="C797" s="41"/>
      <c r="D797" s="42"/>
      <c r="E797" s="42"/>
      <c r="F797" s="35"/>
      <c r="G797" s="42"/>
      <c r="H797" s="41"/>
      <c r="I797" s="91"/>
      <c r="J797" s="91"/>
      <c r="K797" s="91"/>
      <c r="L797" s="41"/>
      <c r="M797" s="41"/>
      <c r="N797" s="42"/>
      <c r="O797" s="42"/>
      <c r="P797" s="42"/>
      <c r="Q797" s="42"/>
      <c r="R797" s="42"/>
      <c r="S797" s="42"/>
      <c r="T797" s="42"/>
      <c r="U797" s="42"/>
      <c r="V797" s="42"/>
      <c r="W797" s="42"/>
      <c r="X797" s="42"/>
      <c r="Y797" s="42"/>
      <c r="Z797" s="42"/>
      <c r="AA797" s="42"/>
      <c r="AB797" s="42"/>
      <c r="AC797" s="42"/>
    </row>
    <row r="798" spans="1:29" x14ac:dyDescent="0.25">
      <c r="A798" s="41"/>
      <c r="B798" s="42"/>
      <c r="C798" s="41"/>
      <c r="D798" s="42"/>
      <c r="E798" s="42"/>
      <c r="F798" s="35"/>
      <c r="G798" s="42"/>
      <c r="H798" s="41"/>
      <c r="I798" s="91"/>
      <c r="J798" s="91"/>
      <c r="K798" s="91"/>
      <c r="L798" s="41"/>
      <c r="M798" s="41"/>
      <c r="N798" s="42"/>
      <c r="O798" s="42"/>
      <c r="P798" s="42"/>
      <c r="Q798" s="42"/>
      <c r="R798" s="42"/>
      <c r="S798" s="42"/>
      <c r="T798" s="42"/>
      <c r="U798" s="42"/>
      <c r="V798" s="42"/>
      <c r="W798" s="42"/>
      <c r="X798" s="42"/>
      <c r="Y798" s="42"/>
      <c r="Z798" s="42"/>
      <c r="AA798" s="42"/>
      <c r="AB798" s="42"/>
      <c r="AC798" s="42"/>
    </row>
    <row r="799" spans="1:29" x14ac:dyDescent="0.25">
      <c r="A799" s="41"/>
      <c r="B799" s="42"/>
      <c r="C799" s="41"/>
      <c r="D799" s="42"/>
      <c r="E799" s="42"/>
      <c r="F799" s="35"/>
      <c r="G799" s="42"/>
      <c r="H799" s="41"/>
      <c r="I799" s="91"/>
      <c r="J799" s="91"/>
      <c r="K799" s="91"/>
      <c r="L799" s="41"/>
      <c r="M799" s="41"/>
      <c r="N799" s="42"/>
      <c r="O799" s="42"/>
      <c r="P799" s="42"/>
      <c r="Q799" s="42"/>
      <c r="R799" s="42"/>
      <c r="S799" s="42"/>
      <c r="T799" s="42"/>
      <c r="U799" s="42"/>
      <c r="V799" s="42"/>
      <c r="W799" s="42"/>
      <c r="X799" s="42"/>
      <c r="Y799" s="42"/>
      <c r="Z799" s="42"/>
      <c r="AA799" s="42"/>
      <c r="AB799" s="42"/>
      <c r="AC799" s="42"/>
    </row>
    <row r="800" spans="1:29" x14ac:dyDescent="0.25">
      <c r="A800" s="41"/>
      <c r="B800" s="42"/>
      <c r="C800" s="41"/>
      <c r="D800" s="42"/>
      <c r="E800" s="42"/>
      <c r="F800" s="35"/>
      <c r="G800" s="42"/>
      <c r="H800" s="41"/>
      <c r="I800" s="91"/>
      <c r="J800" s="91"/>
      <c r="K800" s="91"/>
      <c r="L800" s="41"/>
      <c r="M800" s="41"/>
      <c r="N800" s="42"/>
      <c r="O800" s="42"/>
      <c r="P800" s="42"/>
      <c r="Q800" s="42"/>
      <c r="R800" s="42"/>
      <c r="S800" s="42"/>
      <c r="T800" s="42"/>
      <c r="U800" s="42"/>
      <c r="V800" s="42"/>
      <c r="W800" s="42"/>
      <c r="X800" s="42"/>
      <c r="Y800" s="42"/>
      <c r="Z800" s="42"/>
      <c r="AA800" s="42"/>
      <c r="AB800" s="42"/>
      <c r="AC800" s="42"/>
    </row>
    <row r="801" spans="1:29" x14ac:dyDescent="0.25">
      <c r="A801" s="41"/>
      <c r="B801" s="42"/>
      <c r="C801" s="41"/>
      <c r="D801" s="42"/>
      <c r="E801" s="42"/>
      <c r="F801" s="35"/>
      <c r="G801" s="42"/>
      <c r="H801" s="41"/>
      <c r="I801" s="91"/>
      <c r="J801" s="91"/>
      <c r="K801" s="91"/>
      <c r="L801" s="41"/>
      <c r="M801" s="41"/>
      <c r="N801" s="42"/>
      <c r="O801" s="42"/>
      <c r="P801" s="42"/>
      <c r="Q801" s="42"/>
      <c r="R801" s="42"/>
      <c r="S801" s="42"/>
      <c r="T801" s="42"/>
      <c r="U801" s="42"/>
      <c r="V801" s="42"/>
      <c r="W801" s="42"/>
      <c r="X801" s="42"/>
      <c r="Y801" s="42"/>
      <c r="Z801" s="42"/>
      <c r="AA801" s="42"/>
      <c r="AB801" s="42"/>
      <c r="AC801" s="42"/>
    </row>
    <row r="802" spans="1:29" x14ac:dyDescent="0.25">
      <c r="A802" s="41"/>
      <c r="B802" s="42"/>
      <c r="C802" s="41"/>
      <c r="D802" s="42"/>
      <c r="E802" s="42"/>
      <c r="F802" s="35"/>
      <c r="G802" s="42"/>
      <c r="H802" s="41"/>
      <c r="I802" s="91"/>
      <c r="J802" s="91"/>
      <c r="K802" s="91"/>
      <c r="L802" s="41"/>
      <c r="M802" s="41"/>
      <c r="N802" s="42"/>
      <c r="O802" s="42"/>
      <c r="P802" s="42"/>
      <c r="Q802" s="42"/>
      <c r="R802" s="42"/>
      <c r="S802" s="42"/>
      <c r="T802" s="42"/>
      <c r="U802" s="42"/>
      <c r="V802" s="42"/>
      <c r="W802" s="42"/>
      <c r="X802" s="42"/>
      <c r="Y802" s="42"/>
      <c r="Z802" s="42"/>
      <c r="AA802" s="42"/>
      <c r="AB802" s="42"/>
      <c r="AC802" s="42"/>
    </row>
    <row r="803" spans="1:29" x14ac:dyDescent="0.25">
      <c r="A803" s="41"/>
      <c r="B803" s="42"/>
      <c r="C803" s="41"/>
      <c r="D803" s="42"/>
      <c r="E803" s="42"/>
      <c r="F803" s="35"/>
      <c r="G803" s="42"/>
      <c r="H803" s="41"/>
      <c r="I803" s="91"/>
      <c r="J803" s="91"/>
      <c r="K803" s="91"/>
      <c r="L803" s="41"/>
      <c r="M803" s="41"/>
      <c r="N803" s="42"/>
      <c r="O803" s="42"/>
      <c r="P803" s="42"/>
      <c r="Q803" s="42"/>
      <c r="R803" s="42"/>
      <c r="S803" s="42"/>
      <c r="T803" s="42"/>
      <c r="U803" s="42"/>
      <c r="V803" s="42"/>
      <c r="W803" s="42"/>
      <c r="X803" s="42"/>
      <c r="Y803" s="42"/>
      <c r="Z803" s="42"/>
      <c r="AA803" s="42"/>
      <c r="AB803" s="42"/>
      <c r="AC803" s="42"/>
    </row>
    <row r="804" spans="1:29" x14ac:dyDescent="0.25">
      <c r="A804" s="41"/>
      <c r="B804" s="42"/>
      <c r="C804" s="41"/>
      <c r="D804" s="42"/>
      <c r="E804" s="42"/>
      <c r="F804" s="35"/>
      <c r="G804" s="42"/>
      <c r="H804" s="41"/>
      <c r="I804" s="91"/>
      <c r="J804" s="91"/>
      <c r="K804" s="91"/>
      <c r="L804" s="41"/>
      <c r="M804" s="41"/>
      <c r="N804" s="42"/>
      <c r="O804" s="42"/>
      <c r="P804" s="42"/>
      <c r="Q804" s="42"/>
      <c r="R804" s="42"/>
      <c r="S804" s="42"/>
      <c r="T804" s="42"/>
      <c r="U804" s="42"/>
      <c r="V804" s="42"/>
      <c r="W804" s="42"/>
      <c r="X804" s="42"/>
      <c r="Y804" s="42"/>
      <c r="Z804" s="42"/>
      <c r="AA804" s="42"/>
      <c r="AB804" s="42"/>
      <c r="AC804" s="42"/>
    </row>
    <row r="805" spans="1:29" x14ac:dyDescent="0.25">
      <c r="A805" s="41"/>
      <c r="B805" s="42"/>
      <c r="C805" s="41"/>
      <c r="D805" s="42"/>
      <c r="E805" s="42"/>
      <c r="F805" s="35"/>
      <c r="G805" s="42"/>
      <c r="H805" s="41"/>
      <c r="I805" s="91"/>
      <c r="J805" s="91"/>
      <c r="K805" s="91"/>
      <c r="L805" s="41"/>
      <c r="M805" s="41"/>
      <c r="N805" s="42"/>
      <c r="O805" s="42"/>
      <c r="P805" s="42"/>
      <c r="Q805" s="42"/>
      <c r="R805" s="42"/>
      <c r="S805" s="42"/>
      <c r="T805" s="42"/>
      <c r="U805" s="42"/>
      <c r="V805" s="42"/>
      <c r="W805" s="42"/>
      <c r="X805" s="42"/>
      <c r="Y805" s="42"/>
      <c r="Z805" s="42"/>
      <c r="AA805" s="42"/>
      <c r="AB805" s="42"/>
      <c r="AC805" s="42"/>
    </row>
    <row r="806" spans="1:29" x14ac:dyDescent="0.25">
      <c r="A806" s="41"/>
      <c r="B806" s="42"/>
      <c r="C806" s="41"/>
      <c r="D806" s="42"/>
      <c r="E806" s="42"/>
      <c r="F806" s="35"/>
      <c r="G806" s="42"/>
      <c r="H806" s="41"/>
      <c r="I806" s="91"/>
      <c r="J806" s="91"/>
      <c r="K806" s="91"/>
      <c r="L806" s="41"/>
      <c r="M806" s="41"/>
      <c r="N806" s="42"/>
      <c r="O806" s="42"/>
      <c r="P806" s="42"/>
      <c r="Q806" s="42"/>
      <c r="R806" s="42"/>
      <c r="S806" s="42"/>
      <c r="T806" s="42"/>
      <c r="U806" s="42"/>
      <c r="V806" s="42"/>
      <c r="W806" s="42"/>
      <c r="X806" s="42"/>
      <c r="Y806" s="42"/>
      <c r="Z806" s="42"/>
      <c r="AA806" s="42"/>
      <c r="AB806" s="42"/>
      <c r="AC806" s="42"/>
    </row>
    <row r="807" spans="1:29" x14ac:dyDescent="0.25">
      <c r="A807" s="41"/>
      <c r="B807" s="42"/>
      <c r="C807" s="41"/>
      <c r="D807" s="42"/>
      <c r="E807" s="42"/>
      <c r="F807" s="35"/>
      <c r="G807" s="42"/>
      <c r="H807" s="41"/>
      <c r="I807" s="91"/>
      <c r="J807" s="91"/>
      <c r="K807" s="91"/>
      <c r="L807" s="41"/>
      <c r="M807" s="41"/>
      <c r="N807" s="42"/>
      <c r="O807" s="42"/>
      <c r="P807" s="42"/>
      <c r="Q807" s="42"/>
      <c r="R807" s="42"/>
      <c r="S807" s="42"/>
      <c r="T807" s="42"/>
      <c r="U807" s="42"/>
      <c r="V807" s="42"/>
      <c r="W807" s="42"/>
      <c r="X807" s="42"/>
      <c r="Y807" s="42"/>
      <c r="Z807" s="42"/>
      <c r="AA807" s="42"/>
      <c r="AB807" s="42"/>
      <c r="AC807" s="42"/>
    </row>
    <row r="808" spans="1:29" x14ac:dyDescent="0.25">
      <c r="A808" s="41"/>
      <c r="B808" s="42"/>
      <c r="C808" s="41"/>
      <c r="D808" s="42"/>
      <c r="E808" s="42"/>
      <c r="F808" s="35"/>
      <c r="G808" s="42"/>
      <c r="H808" s="41"/>
      <c r="I808" s="91"/>
      <c r="J808" s="91"/>
      <c r="K808" s="91"/>
      <c r="L808" s="41"/>
      <c r="M808" s="41"/>
      <c r="N808" s="42"/>
      <c r="O808" s="42"/>
      <c r="P808" s="42"/>
      <c r="Q808" s="42"/>
      <c r="R808" s="42"/>
      <c r="S808" s="42"/>
      <c r="T808" s="42"/>
      <c r="U808" s="42"/>
      <c r="V808" s="42"/>
      <c r="W808" s="42"/>
      <c r="X808" s="42"/>
      <c r="Y808" s="42"/>
      <c r="Z808" s="42"/>
      <c r="AA808" s="42"/>
      <c r="AB808" s="42"/>
      <c r="AC808" s="42"/>
    </row>
    <row r="809" spans="1:29" x14ac:dyDescent="0.25">
      <c r="A809" s="41"/>
      <c r="B809" s="42"/>
      <c r="C809" s="41"/>
      <c r="D809" s="42"/>
      <c r="E809" s="42"/>
      <c r="F809" s="35"/>
      <c r="G809" s="42"/>
      <c r="H809" s="41"/>
      <c r="I809" s="91"/>
      <c r="J809" s="91"/>
      <c r="K809" s="91"/>
      <c r="L809" s="41"/>
      <c r="M809" s="41"/>
      <c r="N809" s="42"/>
      <c r="O809" s="42"/>
      <c r="P809" s="42"/>
      <c r="Q809" s="42"/>
      <c r="R809" s="42"/>
      <c r="S809" s="42"/>
      <c r="T809" s="42"/>
      <c r="U809" s="42"/>
      <c r="V809" s="42"/>
      <c r="W809" s="42"/>
      <c r="X809" s="42"/>
      <c r="Y809" s="42"/>
      <c r="Z809" s="42"/>
      <c r="AA809" s="42"/>
      <c r="AB809" s="42"/>
      <c r="AC809" s="42"/>
    </row>
    <row r="810" spans="1:29" x14ac:dyDescent="0.25">
      <c r="A810" s="41"/>
      <c r="B810" s="42"/>
      <c r="C810" s="41"/>
      <c r="D810" s="42"/>
      <c r="E810" s="42"/>
      <c r="F810" s="35"/>
      <c r="G810" s="42"/>
      <c r="H810" s="41"/>
      <c r="I810" s="91"/>
      <c r="J810" s="91"/>
      <c r="K810" s="91"/>
      <c r="L810" s="41"/>
      <c r="M810" s="41"/>
      <c r="N810" s="42"/>
      <c r="O810" s="42"/>
      <c r="P810" s="42"/>
      <c r="Q810" s="42"/>
      <c r="R810" s="42"/>
      <c r="S810" s="42"/>
      <c r="T810" s="42"/>
      <c r="U810" s="42"/>
      <c r="V810" s="42"/>
      <c r="W810" s="42"/>
      <c r="X810" s="42"/>
      <c r="Y810" s="42"/>
      <c r="Z810" s="42"/>
      <c r="AA810" s="42"/>
      <c r="AB810" s="42"/>
      <c r="AC810" s="42"/>
    </row>
    <row r="811" spans="1:29" x14ac:dyDescent="0.25">
      <c r="A811" s="41"/>
      <c r="B811" s="42"/>
      <c r="C811" s="41"/>
      <c r="D811" s="42"/>
      <c r="E811" s="42"/>
      <c r="F811" s="35"/>
      <c r="G811" s="42"/>
      <c r="H811" s="41"/>
      <c r="I811" s="91"/>
      <c r="J811" s="91"/>
      <c r="K811" s="91"/>
      <c r="L811" s="41"/>
      <c r="M811" s="41"/>
      <c r="N811" s="42"/>
      <c r="O811" s="42"/>
      <c r="P811" s="42"/>
      <c r="Q811" s="42"/>
      <c r="R811" s="42"/>
      <c r="S811" s="42"/>
      <c r="T811" s="42"/>
      <c r="U811" s="42"/>
      <c r="V811" s="42"/>
      <c r="W811" s="42"/>
      <c r="X811" s="42"/>
      <c r="Y811" s="42"/>
      <c r="Z811" s="42"/>
      <c r="AA811" s="42"/>
      <c r="AB811" s="42"/>
      <c r="AC811" s="42"/>
    </row>
    <row r="812" spans="1:29" x14ac:dyDescent="0.25">
      <c r="A812" s="41"/>
      <c r="B812" s="42"/>
      <c r="C812" s="41"/>
      <c r="D812" s="42"/>
      <c r="E812" s="42"/>
      <c r="F812" s="35"/>
      <c r="G812" s="42"/>
      <c r="H812" s="41"/>
      <c r="I812" s="91"/>
      <c r="J812" s="91"/>
      <c r="K812" s="91"/>
      <c r="L812" s="41"/>
      <c r="M812" s="41"/>
      <c r="N812" s="42"/>
      <c r="O812" s="42"/>
      <c r="P812" s="42"/>
      <c r="Q812" s="42"/>
      <c r="R812" s="42"/>
      <c r="S812" s="42"/>
      <c r="T812" s="42"/>
      <c r="U812" s="42"/>
      <c r="V812" s="42"/>
      <c r="W812" s="42"/>
      <c r="X812" s="42"/>
      <c r="Y812" s="42"/>
      <c r="Z812" s="42"/>
      <c r="AA812" s="42"/>
      <c r="AB812" s="42"/>
      <c r="AC812" s="42"/>
    </row>
    <row r="813" spans="1:29" x14ac:dyDescent="0.25">
      <c r="A813" s="41"/>
      <c r="B813" s="42"/>
      <c r="C813" s="41"/>
      <c r="D813" s="42"/>
      <c r="E813" s="42"/>
      <c r="F813" s="35"/>
      <c r="G813" s="42"/>
      <c r="H813" s="41"/>
      <c r="I813" s="91"/>
      <c r="J813" s="91"/>
      <c r="K813" s="91"/>
      <c r="L813" s="41"/>
      <c r="M813" s="41"/>
      <c r="N813" s="42"/>
      <c r="O813" s="42"/>
      <c r="P813" s="42"/>
      <c r="Q813" s="42"/>
      <c r="R813" s="42"/>
      <c r="S813" s="42"/>
      <c r="T813" s="42"/>
      <c r="U813" s="42"/>
      <c r="V813" s="42"/>
      <c r="W813" s="42"/>
      <c r="X813" s="42"/>
      <c r="Y813" s="42"/>
      <c r="Z813" s="42"/>
      <c r="AA813" s="42"/>
      <c r="AB813" s="42"/>
      <c r="AC813" s="42"/>
    </row>
    <row r="814" spans="1:29" x14ac:dyDescent="0.25">
      <c r="A814" s="41"/>
      <c r="B814" s="42"/>
      <c r="C814" s="41"/>
      <c r="D814" s="42"/>
      <c r="E814" s="42"/>
      <c r="F814" s="35"/>
      <c r="G814" s="42"/>
      <c r="H814" s="41"/>
      <c r="I814" s="91"/>
      <c r="J814" s="91"/>
      <c r="K814" s="91"/>
      <c r="L814" s="41"/>
      <c r="M814" s="41"/>
      <c r="N814" s="42"/>
      <c r="O814" s="42"/>
      <c r="P814" s="42"/>
      <c r="Q814" s="42"/>
      <c r="R814" s="42"/>
      <c r="S814" s="42"/>
      <c r="T814" s="42"/>
      <c r="U814" s="42"/>
      <c r="V814" s="42"/>
      <c r="W814" s="42"/>
      <c r="X814" s="42"/>
      <c r="Y814" s="42"/>
      <c r="Z814" s="42"/>
      <c r="AA814" s="42"/>
      <c r="AB814" s="42"/>
      <c r="AC814" s="42"/>
    </row>
    <row r="815" spans="1:29" x14ac:dyDescent="0.25">
      <c r="A815" s="41"/>
      <c r="B815" s="42"/>
      <c r="C815" s="41"/>
      <c r="D815" s="42"/>
      <c r="E815" s="42"/>
      <c r="F815" s="35"/>
      <c r="G815" s="42"/>
      <c r="H815" s="41"/>
      <c r="I815" s="91"/>
      <c r="J815" s="91"/>
      <c r="K815" s="91"/>
      <c r="L815" s="41"/>
      <c r="M815" s="41"/>
      <c r="N815" s="42"/>
      <c r="O815" s="42"/>
      <c r="P815" s="42"/>
      <c r="Q815" s="42"/>
      <c r="R815" s="42"/>
      <c r="S815" s="42"/>
      <c r="T815" s="42"/>
      <c r="U815" s="42"/>
      <c r="V815" s="42"/>
      <c r="W815" s="42"/>
      <c r="X815" s="42"/>
      <c r="Y815" s="42"/>
      <c r="Z815" s="42"/>
      <c r="AA815" s="42"/>
      <c r="AB815" s="42"/>
      <c r="AC815" s="42"/>
    </row>
    <row r="816" spans="1:29" x14ac:dyDescent="0.25">
      <c r="A816" s="41"/>
      <c r="B816" s="42"/>
      <c r="C816" s="41"/>
      <c r="D816" s="42"/>
      <c r="E816" s="42"/>
      <c r="F816" s="35"/>
      <c r="G816" s="42"/>
      <c r="H816" s="41"/>
      <c r="I816" s="91"/>
      <c r="J816" s="91"/>
      <c r="K816" s="91"/>
      <c r="L816" s="41"/>
      <c r="M816" s="41"/>
      <c r="N816" s="42"/>
      <c r="O816" s="42"/>
      <c r="P816" s="42"/>
      <c r="Q816" s="42"/>
      <c r="R816" s="42"/>
      <c r="S816" s="42"/>
      <c r="T816" s="42"/>
      <c r="U816" s="42"/>
      <c r="V816" s="42"/>
      <c r="W816" s="42"/>
      <c r="X816" s="42"/>
      <c r="Y816" s="42"/>
      <c r="Z816" s="42"/>
      <c r="AA816" s="42"/>
      <c r="AB816" s="42"/>
      <c r="AC816" s="42"/>
    </row>
    <row r="817" spans="1:29" x14ac:dyDescent="0.25">
      <c r="A817" s="41"/>
      <c r="B817" s="42"/>
      <c r="C817" s="41"/>
      <c r="D817" s="42"/>
      <c r="E817" s="42"/>
      <c r="F817" s="35"/>
      <c r="G817" s="42"/>
      <c r="H817" s="41"/>
      <c r="I817" s="91"/>
      <c r="J817" s="91"/>
      <c r="K817" s="91"/>
      <c r="L817" s="41"/>
      <c r="M817" s="41"/>
      <c r="N817" s="42"/>
      <c r="O817" s="42"/>
      <c r="P817" s="42"/>
      <c r="Q817" s="42"/>
      <c r="R817" s="42"/>
      <c r="S817" s="42"/>
      <c r="T817" s="42"/>
      <c r="U817" s="42"/>
      <c r="V817" s="42"/>
      <c r="W817" s="42"/>
      <c r="X817" s="42"/>
      <c r="Y817" s="42"/>
      <c r="Z817" s="42"/>
      <c r="AA817" s="42"/>
      <c r="AB817" s="42"/>
      <c r="AC817" s="42"/>
    </row>
    <row r="818" spans="1:29" x14ac:dyDescent="0.25">
      <c r="A818" s="41"/>
      <c r="B818" s="42"/>
      <c r="C818" s="41"/>
      <c r="D818" s="42"/>
      <c r="E818" s="42"/>
      <c r="F818" s="35"/>
      <c r="G818" s="42"/>
      <c r="H818" s="41"/>
      <c r="I818" s="91"/>
      <c r="J818" s="91"/>
      <c r="K818" s="91"/>
      <c r="L818" s="41"/>
      <c r="M818" s="41"/>
      <c r="N818" s="42"/>
      <c r="O818" s="42"/>
      <c r="P818" s="42"/>
      <c r="Q818" s="42"/>
      <c r="R818" s="42"/>
      <c r="S818" s="42"/>
      <c r="T818" s="42"/>
      <c r="U818" s="42"/>
      <c r="V818" s="42"/>
      <c r="W818" s="42"/>
      <c r="X818" s="42"/>
      <c r="Y818" s="42"/>
      <c r="Z818" s="42"/>
      <c r="AA818" s="42"/>
      <c r="AB818" s="42"/>
      <c r="AC818" s="42"/>
    </row>
    <row r="819" spans="1:29" x14ac:dyDescent="0.25">
      <c r="A819" s="41"/>
      <c r="B819" s="42"/>
      <c r="C819" s="41"/>
      <c r="D819" s="42"/>
      <c r="E819" s="42"/>
      <c r="F819" s="35"/>
      <c r="G819" s="42"/>
      <c r="H819" s="41"/>
      <c r="I819" s="91"/>
      <c r="J819" s="91"/>
      <c r="K819" s="91"/>
      <c r="L819" s="41"/>
      <c r="M819" s="41"/>
      <c r="N819" s="42"/>
      <c r="O819" s="42"/>
      <c r="P819" s="42"/>
      <c r="Q819" s="42"/>
      <c r="R819" s="42"/>
      <c r="S819" s="42"/>
      <c r="T819" s="42"/>
      <c r="U819" s="42"/>
      <c r="V819" s="42"/>
      <c r="W819" s="42"/>
      <c r="X819" s="42"/>
      <c r="Y819" s="42"/>
      <c r="Z819" s="42"/>
      <c r="AA819" s="42"/>
      <c r="AB819" s="42"/>
      <c r="AC819" s="42"/>
    </row>
    <row r="820" spans="1:29" x14ac:dyDescent="0.25">
      <c r="A820" s="41"/>
      <c r="B820" s="42"/>
      <c r="C820" s="41"/>
      <c r="D820" s="42"/>
      <c r="E820" s="42"/>
      <c r="F820" s="35"/>
      <c r="G820" s="42"/>
      <c r="H820" s="41"/>
      <c r="I820" s="91"/>
      <c r="J820" s="91"/>
      <c r="K820" s="91"/>
      <c r="L820" s="41"/>
      <c r="M820" s="41"/>
      <c r="N820" s="42"/>
      <c r="O820" s="42"/>
      <c r="P820" s="42"/>
      <c r="Q820" s="42"/>
      <c r="R820" s="42"/>
      <c r="S820" s="42"/>
      <c r="T820" s="42"/>
      <c r="U820" s="42"/>
      <c r="V820" s="42"/>
      <c r="W820" s="42"/>
      <c r="X820" s="42"/>
      <c r="Y820" s="42"/>
      <c r="Z820" s="42"/>
      <c r="AA820" s="42"/>
      <c r="AB820" s="42"/>
      <c r="AC820" s="42"/>
    </row>
    <row r="821" spans="1:29" x14ac:dyDescent="0.25">
      <c r="A821" s="41"/>
      <c r="B821" s="42"/>
      <c r="C821" s="41"/>
      <c r="D821" s="42"/>
      <c r="E821" s="42"/>
      <c r="F821" s="35"/>
      <c r="G821" s="42"/>
      <c r="H821" s="41"/>
      <c r="I821" s="91"/>
      <c r="J821" s="91"/>
      <c r="K821" s="91"/>
      <c r="L821" s="41"/>
      <c r="M821" s="41"/>
      <c r="N821" s="42"/>
      <c r="O821" s="42"/>
      <c r="P821" s="42"/>
      <c r="Q821" s="42"/>
      <c r="R821" s="42"/>
      <c r="S821" s="42"/>
      <c r="T821" s="42"/>
      <c r="U821" s="42"/>
      <c r="V821" s="42"/>
      <c r="W821" s="42"/>
      <c r="X821" s="42"/>
      <c r="Y821" s="42"/>
      <c r="Z821" s="42"/>
      <c r="AA821" s="42"/>
      <c r="AB821" s="42"/>
      <c r="AC821" s="42"/>
    </row>
    <row r="822" spans="1:29" x14ac:dyDescent="0.25">
      <c r="A822" s="41"/>
      <c r="B822" s="42"/>
      <c r="C822" s="41"/>
      <c r="D822" s="42"/>
      <c r="E822" s="42"/>
      <c r="F822" s="35"/>
      <c r="G822" s="42"/>
      <c r="H822" s="41"/>
      <c r="I822" s="91"/>
      <c r="J822" s="91"/>
      <c r="K822" s="91"/>
      <c r="L822" s="41"/>
      <c r="M822" s="41"/>
      <c r="N822" s="42"/>
      <c r="O822" s="42"/>
      <c r="P822" s="42"/>
      <c r="Q822" s="42"/>
      <c r="R822" s="42"/>
      <c r="S822" s="42"/>
      <c r="T822" s="42"/>
      <c r="U822" s="42"/>
      <c r="V822" s="42"/>
      <c r="W822" s="42"/>
      <c r="X822" s="42"/>
      <c r="Y822" s="42"/>
      <c r="Z822" s="42"/>
      <c r="AA822" s="42"/>
      <c r="AB822" s="42"/>
      <c r="AC822" s="42"/>
    </row>
    <row r="823" spans="1:29" x14ac:dyDescent="0.25">
      <c r="A823" s="41"/>
      <c r="B823" s="42"/>
      <c r="C823" s="41"/>
      <c r="D823" s="42"/>
      <c r="E823" s="42"/>
      <c r="F823" s="35"/>
      <c r="G823" s="42"/>
      <c r="H823" s="41"/>
      <c r="I823" s="91"/>
      <c r="J823" s="91"/>
      <c r="K823" s="91"/>
      <c r="L823" s="41"/>
      <c r="M823" s="41"/>
      <c r="N823" s="42"/>
      <c r="O823" s="42"/>
      <c r="P823" s="42"/>
      <c r="Q823" s="42"/>
      <c r="R823" s="42"/>
      <c r="S823" s="42"/>
      <c r="T823" s="42"/>
      <c r="U823" s="42"/>
      <c r="V823" s="42"/>
      <c r="W823" s="42"/>
      <c r="X823" s="42"/>
      <c r="Y823" s="42"/>
      <c r="Z823" s="42"/>
      <c r="AA823" s="42"/>
      <c r="AB823" s="42"/>
      <c r="AC823" s="42"/>
    </row>
    <row r="824" spans="1:29" x14ac:dyDescent="0.25">
      <c r="A824" s="41"/>
      <c r="B824" s="42"/>
      <c r="C824" s="41"/>
      <c r="D824" s="42"/>
      <c r="E824" s="42"/>
      <c r="F824" s="35"/>
      <c r="G824" s="42"/>
      <c r="H824" s="41"/>
      <c r="I824" s="91"/>
      <c r="J824" s="91"/>
      <c r="K824" s="91"/>
      <c r="L824" s="41"/>
      <c r="M824" s="41"/>
      <c r="N824" s="42"/>
      <c r="O824" s="42"/>
      <c r="P824" s="42"/>
      <c r="Q824" s="42"/>
      <c r="R824" s="42"/>
      <c r="S824" s="42"/>
      <c r="T824" s="42"/>
      <c r="U824" s="42"/>
      <c r="V824" s="42"/>
      <c r="W824" s="42"/>
      <c r="X824" s="42"/>
      <c r="Y824" s="42"/>
      <c r="Z824" s="42"/>
      <c r="AA824" s="42"/>
      <c r="AB824" s="42"/>
      <c r="AC824" s="42"/>
    </row>
    <row r="825" spans="1:29" x14ac:dyDescent="0.25">
      <c r="A825" s="41"/>
      <c r="B825" s="42"/>
      <c r="C825" s="41"/>
      <c r="D825" s="42"/>
      <c r="E825" s="42"/>
      <c r="F825" s="35"/>
      <c r="G825" s="42"/>
      <c r="H825" s="41"/>
      <c r="I825" s="91"/>
      <c r="J825" s="91"/>
      <c r="K825" s="91"/>
      <c r="L825" s="41"/>
      <c r="M825" s="41"/>
      <c r="N825" s="42"/>
      <c r="O825" s="42"/>
      <c r="P825" s="42"/>
      <c r="Q825" s="42"/>
      <c r="R825" s="42"/>
      <c r="S825" s="42"/>
      <c r="T825" s="42"/>
      <c r="U825" s="42"/>
      <c r="V825" s="42"/>
      <c r="W825" s="42"/>
      <c r="X825" s="42"/>
      <c r="Y825" s="42"/>
      <c r="Z825" s="42"/>
      <c r="AA825" s="42"/>
      <c r="AB825" s="42"/>
      <c r="AC825" s="42"/>
    </row>
    <row r="826" spans="1:29" x14ac:dyDescent="0.25">
      <c r="A826" s="41"/>
      <c r="B826" s="42"/>
      <c r="C826" s="41"/>
      <c r="D826" s="42"/>
      <c r="E826" s="42"/>
      <c r="F826" s="35"/>
      <c r="G826" s="42"/>
      <c r="H826" s="41"/>
      <c r="I826" s="91"/>
      <c r="J826" s="91"/>
      <c r="K826" s="91"/>
      <c r="L826" s="41"/>
      <c r="M826" s="41"/>
      <c r="N826" s="42"/>
      <c r="O826" s="42"/>
      <c r="P826" s="42"/>
      <c r="Q826" s="42"/>
      <c r="R826" s="42"/>
      <c r="S826" s="42"/>
      <c r="T826" s="42"/>
      <c r="U826" s="42"/>
      <c r="V826" s="42"/>
      <c r="W826" s="42"/>
      <c r="X826" s="42"/>
      <c r="Y826" s="42"/>
      <c r="Z826" s="42"/>
      <c r="AA826" s="42"/>
      <c r="AB826" s="42"/>
      <c r="AC826" s="42"/>
    </row>
    <row r="827" spans="1:29" x14ac:dyDescent="0.25">
      <c r="A827" s="41"/>
      <c r="B827" s="42"/>
      <c r="C827" s="41"/>
      <c r="D827" s="42"/>
      <c r="E827" s="42"/>
      <c r="F827" s="35"/>
      <c r="G827" s="42"/>
      <c r="H827" s="41"/>
      <c r="I827" s="91"/>
      <c r="J827" s="91"/>
      <c r="K827" s="91"/>
      <c r="L827" s="41"/>
      <c r="M827" s="41"/>
      <c r="N827" s="42"/>
      <c r="O827" s="42"/>
      <c r="P827" s="42"/>
      <c r="Q827" s="42"/>
      <c r="R827" s="42"/>
      <c r="S827" s="42"/>
      <c r="T827" s="42"/>
      <c r="U827" s="42"/>
      <c r="V827" s="42"/>
      <c r="W827" s="42"/>
      <c r="X827" s="42"/>
      <c r="Y827" s="42"/>
      <c r="Z827" s="42"/>
      <c r="AA827" s="42"/>
      <c r="AB827" s="42"/>
      <c r="AC827" s="42"/>
    </row>
    <row r="828" spans="1:29" x14ac:dyDescent="0.25">
      <c r="A828" s="41"/>
      <c r="B828" s="42"/>
      <c r="C828" s="41"/>
      <c r="D828" s="42"/>
      <c r="E828" s="42"/>
      <c r="F828" s="35"/>
      <c r="G828" s="42"/>
      <c r="H828" s="41"/>
      <c r="I828" s="91"/>
      <c r="J828" s="91"/>
      <c r="K828" s="91"/>
      <c r="L828" s="41"/>
      <c r="M828" s="41"/>
      <c r="N828" s="42"/>
      <c r="O828" s="42"/>
      <c r="P828" s="42"/>
      <c r="Q828" s="42"/>
      <c r="R828" s="42"/>
      <c r="S828" s="42"/>
      <c r="T828" s="42"/>
      <c r="U828" s="42"/>
      <c r="V828" s="42"/>
      <c r="W828" s="42"/>
      <c r="X828" s="42"/>
      <c r="Y828" s="42"/>
      <c r="Z828" s="42"/>
      <c r="AA828" s="42"/>
      <c r="AB828" s="42"/>
      <c r="AC828" s="42"/>
    </row>
    <row r="829" spans="1:29" x14ac:dyDescent="0.25">
      <c r="A829" s="41"/>
      <c r="B829" s="42"/>
      <c r="C829" s="41"/>
      <c r="D829" s="42"/>
      <c r="E829" s="42"/>
      <c r="F829" s="35"/>
      <c r="G829" s="42"/>
      <c r="H829" s="41"/>
      <c r="I829" s="91"/>
      <c r="J829" s="91"/>
      <c r="K829" s="91"/>
      <c r="L829" s="41"/>
      <c r="M829" s="41"/>
      <c r="N829" s="42"/>
      <c r="O829" s="42"/>
      <c r="P829" s="42"/>
      <c r="Q829" s="42"/>
      <c r="R829" s="42"/>
      <c r="S829" s="42"/>
      <c r="T829" s="42"/>
      <c r="U829" s="42"/>
      <c r="V829" s="42"/>
      <c r="W829" s="42"/>
      <c r="X829" s="42"/>
      <c r="Y829" s="42"/>
      <c r="Z829" s="42"/>
      <c r="AA829" s="42"/>
      <c r="AB829" s="42"/>
      <c r="AC829" s="42"/>
    </row>
    <row r="830" spans="1:29" x14ac:dyDescent="0.25">
      <c r="A830" s="41"/>
      <c r="B830" s="42"/>
      <c r="C830" s="41"/>
      <c r="D830" s="42"/>
      <c r="E830" s="42"/>
      <c r="F830" s="35"/>
      <c r="G830" s="42"/>
      <c r="H830" s="41"/>
      <c r="I830" s="91"/>
      <c r="J830" s="91"/>
      <c r="K830" s="91"/>
      <c r="L830" s="41"/>
      <c r="M830" s="41"/>
      <c r="N830" s="42"/>
      <c r="O830" s="42"/>
      <c r="P830" s="42"/>
      <c r="Q830" s="42"/>
      <c r="R830" s="42"/>
      <c r="S830" s="42"/>
      <c r="T830" s="42"/>
      <c r="U830" s="42"/>
      <c r="V830" s="42"/>
      <c r="W830" s="42"/>
      <c r="X830" s="42"/>
      <c r="Y830" s="42"/>
      <c r="Z830" s="42"/>
      <c r="AA830" s="42"/>
      <c r="AB830" s="42"/>
      <c r="AC830" s="42"/>
    </row>
    <row r="831" spans="1:29" x14ac:dyDescent="0.25">
      <c r="A831" s="41"/>
      <c r="B831" s="42"/>
      <c r="C831" s="41"/>
      <c r="D831" s="42"/>
      <c r="E831" s="42"/>
      <c r="F831" s="35"/>
      <c r="G831" s="42"/>
      <c r="H831" s="41"/>
      <c r="I831" s="91"/>
      <c r="J831" s="91"/>
      <c r="K831" s="91"/>
      <c r="L831" s="41"/>
      <c r="M831" s="41"/>
      <c r="N831" s="42"/>
      <c r="O831" s="42"/>
      <c r="P831" s="42"/>
      <c r="Q831" s="42"/>
      <c r="R831" s="42"/>
      <c r="S831" s="42"/>
      <c r="T831" s="42"/>
      <c r="U831" s="42"/>
      <c r="V831" s="42"/>
      <c r="W831" s="42"/>
      <c r="X831" s="42"/>
      <c r="Y831" s="42"/>
      <c r="Z831" s="42"/>
      <c r="AA831" s="42"/>
      <c r="AB831" s="42"/>
      <c r="AC831" s="42"/>
    </row>
    <row r="832" spans="1:29" x14ac:dyDescent="0.25">
      <c r="A832" s="41"/>
      <c r="B832" s="42"/>
      <c r="C832" s="41"/>
      <c r="D832" s="42"/>
      <c r="E832" s="42"/>
      <c r="F832" s="35"/>
      <c r="G832" s="42"/>
      <c r="H832" s="41"/>
      <c r="I832" s="91"/>
      <c r="J832" s="91"/>
      <c r="K832" s="91"/>
      <c r="L832" s="41"/>
      <c r="M832" s="41"/>
      <c r="N832" s="42"/>
      <c r="O832" s="42"/>
      <c r="P832" s="42"/>
      <c r="Q832" s="42"/>
      <c r="R832" s="42"/>
      <c r="S832" s="42"/>
      <c r="T832" s="42"/>
      <c r="U832" s="42"/>
      <c r="V832" s="42"/>
      <c r="W832" s="42"/>
      <c r="X832" s="42"/>
      <c r="Y832" s="42"/>
      <c r="Z832" s="42"/>
      <c r="AA832" s="42"/>
      <c r="AB832" s="42"/>
      <c r="AC832" s="42"/>
    </row>
    <row r="833" spans="1:29" x14ac:dyDescent="0.25">
      <c r="A833" s="41"/>
      <c r="B833" s="42"/>
      <c r="C833" s="41"/>
      <c r="D833" s="42"/>
      <c r="E833" s="42"/>
      <c r="F833" s="35"/>
      <c r="G833" s="42"/>
      <c r="H833" s="41"/>
      <c r="I833" s="91"/>
      <c r="J833" s="91"/>
      <c r="K833" s="91"/>
      <c r="L833" s="41"/>
      <c r="M833" s="41"/>
      <c r="N833" s="42"/>
      <c r="O833" s="42"/>
      <c r="P833" s="42"/>
      <c r="Q833" s="42"/>
      <c r="R833" s="42"/>
      <c r="S833" s="42"/>
      <c r="T833" s="42"/>
      <c r="U833" s="42"/>
      <c r="V833" s="42"/>
      <c r="W833" s="42"/>
      <c r="X833" s="42"/>
      <c r="Y833" s="42"/>
      <c r="Z833" s="42"/>
      <c r="AA833" s="42"/>
      <c r="AB833" s="42"/>
      <c r="AC833" s="42"/>
    </row>
    <row r="834" spans="1:29" x14ac:dyDescent="0.25">
      <c r="A834" s="41"/>
      <c r="B834" s="42"/>
      <c r="C834" s="41"/>
      <c r="D834" s="42"/>
      <c r="E834" s="42"/>
      <c r="F834" s="35"/>
      <c r="G834" s="42"/>
      <c r="H834" s="41"/>
      <c r="I834" s="91"/>
      <c r="J834" s="91"/>
      <c r="K834" s="91"/>
      <c r="L834" s="41"/>
      <c r="M834" s="41"/>
      <c r="N834" s="42"/>
      <c r="O834" s="42"/>
      <c r="P834" s="42"/>
      <c r="Q834" s="42"/>
      <c r="R834" s="42"/>
      <c r="S834" s="42"/>
      <c r="T834" s="42"/>
      <c r="U834" s="42"/>
      <c r="V834" s="42"/>
      <c r="W834" s="42"/>
      <c r="X834" s="42"/>
      <c r="Y834" s="42"/>
      <c r="Z834" s="42"/>
      <c r="AA834" s="42"/>
      <c r="AB834" s="42"/>
      <c r="AC834" s="42"/>
    </row>
    <row r="835" spans="1:29" x14ac:dyDescent="0.25">
      <c r="A835" s="41"/>
      <c r="B835" s="42"/>
      <c r="C835" s="41"/>
      <c r="D835" s="42"/>
      <c r="E835" s="42"/>
      <c r="F835" s="35"/>
      <c r="G835" s="42"/>
      <c r="H835" s="41"/>
      <c r="I835" s="91"/>
      <c r="J835" s="91"/>
      <c r="K835" s="91"/>
      <c r="L835" s="41"/>
      <c r="M835" s="41"/>
      <c r="N835" s="42"/>
      <c r="O835" s="42"/>
      <c r="P835" s="42"/>
      <c r="Q835" s="42"/>
      <c r="R835" s="42"/>
      <c r="S835" s="42"/>
      <c r="T835" s="42"/>
      <c r="U835" s="42"/>
      <c r="V835" s="42"/>
      <c r="W835" s="42"/>
      <c r="X835" s="42"/>
      <c r="Y835" s="42"/>
      <c r="Z835" s="42"/>
      <c r="AA835" s="42"/>
      <c r="AB835" s="42"/>
      <c r="AC835" s="42"/>
    </row>
    <row r="836" spans="1:29" x14ac:dyDescent="0.25">
      <c r="A836" s="41"/>
      <c r="B836" s="42"/>
      <c r="C836" s="41"/>
      <c r="D836" s="42"/>
      <c r="E836" s="42"/>
      <c r="F836" s="35"/>
      <c r="G836" s="42"/>
      <c r="H836" s="41"/>
      <c r="I836" s="91"/>
      <c r="J836" s="91"/>
      <c r="K836" s="91"/>
      <c r="L836" s="41"/>
      <c r="M836" s="41"/>
      <c r="N836" s="42"/>
      <c r="O836" s="42"/>
      <c r="P836" s="42"/>
      <c r="Q836" s="42"/>
      <c r="R836" s="42"/>
      <c r="S836" s="42"/>
      <c r="T836" s="42"/>
      <c r="U836" s="42"/>
      <c r="V836" s="42"/>
      <c r="W836" s="42"/>
      <c r="X836" s="42"/>
      <c r="Y836" s="42"/>
      <c r="Z836" s="42"/>
      <c r="AA836" s="42"/>
      <c r="AB836" s="42"/>
      <c r="AC836" s="42"/>
    </row>
    <row r="837" spans="1:29" x14ac:dyDescent="0.25">
      <c r="A837" s="41"/>
      <c r="B837" s="42"/>
      <c r="C837" s="41"/>
      <c r="D837" s="42"/>
      <c r="E837" s="42"/>
      <c r="F837" s="35"/>
      <c r="G837" s="42"/>
      <c r="H837" s="41"/>
      <c r="I837" s="91"/>
      <c r="J837" s="91"/>
      <c r="K837" s="91"/>
      <c r="L837" s="41"/>
      <c r="M837" s="41"/>
      <c r="N837" s="42"/>
      <c r="O837" s="42"/>
      <c r="P837" s="42"/>
      <c r="Q837" s="42"/>
      <c r="R837" s="42"/>
      <c r="S837" s="42"/>
      <c r="T837" s="42"/>
      <c r="U837" s="42"/>
      <c r="V837" s="42"/>
      <c r="W837" s="42"/>
      <c r="X837" s="42"/>
      <c r="Y837" s="42"/>
      <c r="Z837" s="42"/>
      <c r="AA837" s="42"/>
      <c r="AB837" s="42"/>
      <c r="AC837" s="42"/>
    </row>
    <row r="838" spans="1:29" x14ac:dyDescent="0.25">
      <c r="A838" s="41"/>
      <c r="B838" s="42"/>
      <c r="C838" s="41"/>
      <c r="D838" s="42"/>
      <c r="E838" s="42"/>
      <c r="F838" s="35"/>
      <c r="G838" s="42"/>
      <c r="H838" s="41"/>
      <c r="I838" s="91"/>
      <c r="J838" s="91"/>
      <c r="K838" s="91"/>
      <c r="L838" s="41"/>
      <c r="M838" s="41"/>
      <c r="N838" s="42"/>
      <c r="O838" s="42"/>
      <c r="P838" s="42"/>
      <c r="Q838" s="42"/>
      <c r="R838" s="42"/>
      <c r="S838" s="42"/>
      <c r="T838" s="42"/>
      <c r="U838" s="42"/>
      <c r="V838" s="42"/>
      <c r="W838" s="42"/>
      <c r="X838" s="42"/>
      <c r="Y838" s="42"/>
      <c r="Z838" s="42"/>
      <c r="AA838" s="42"/>
      <c r="AB838" s="42"/>
      <c r="AC838" s="42"/>
    </row>
    <row r="839" spans="1:29" x14ac:dyDescent="0.25">
      <c r="A839" s="41"/>
      <c r="B839" s="42"/>
      <c r="C839" s="41"/>
      <c r="D839" s="42"/>
      <c r="E839" s="42"/>
      <c r="F839" s="35"/>
      <c r="G839" s="42"/>
      <c r="H839" s="41"/>
      <c r="I839" s="91"/>
      <c r="J839" s="91"/>
      <c r="K839" s="91"/>
      <c r="L839" s="41"/>
      <c r="M839" s="41"/>
      <c r="N839" s="42"/>
      <c r="O839" s="42"/>
      <c r="P839" s="42"/>
      <c r="Q839" s="42"/>
      <c r="R839" s="42"/>
      <c r="S839" s="42"/>
      <c r="T839" s="42"/>
      <c r="U839" s="42"/>
      <c r="V839" s="42"/>
      <c r="W839" s="42"/>
      <c r="X839" s="42"/>
      <c r="Y839" s="42"/>
      <c r="Z839" s="42"/>
      <c r="AA839" s="42"/>
      <c r="AB839" s="42"/>
      <c r="AC839" s="42"/>
    </row>
    <row r="840" spans="1:29" x14ac:dyDescent="0.25">
      <c r="A840" s="41"/>
      <c r="B840" s="42"/>
      <c r="C840" s="41"/>
      <c r="D840" s="42"/>
      <c r="E840" s="42"/>
      <c r="F840" s="35"/>
      <c r="G840" s="42"/>
      <c r="H840" s="41"/>
      <c r="I840" s="91"/>
      <c r="J840" s="91"/>
      <c r="K840" s="91"/>
      <c r="L840" s="41"/>
      <c r="M840" s="41"/>
      <c r="N840" s="42"/>
      <c r="O840" s="42"/>
      <c r="P840" s="42"/>
      <c r="Q840" s="42"/>
      <c r="R840" s="42"/>
      <c r="S840" s="42"/>
      <c r="T840" s="42"/>
      <c r="U840" s="42"/>
      <c r="V840" s="42"/>
      <c r="W840" s="42"/>
      <c r="X840" s="42"/>
      <c r="Y840" s="42"/>
      <c r="Z840" s="42"/>
      <c r="AA840" s="42"/>
      <c r="AB840" s="42"/>
      <c r="AC840" s="42"/>
    </row>
    <row r="841" spans="1:29" x14ac:dyDescent="0.25">
      <c r="A841" s="41"/>
      <c r="B841" s="42"/>
      <c r="C841" s="41"/>
      <c r="D841" s="42"/>
      <c r="E841" s="42"/>
      <c r="F841" s="35"/>
      <c r="G841" s="42"/>
      <c r="H841" s="41"/>
      <c r="I841" s="91"/>
      <c r="J841" s="91"/>
      <c r="K841" s="91"/>
      <c r="L841" s="41"/>
      <c r="M841" s="41"/>
      <c r="N841" s="42"/>
      <c r="O841" s="42"/>
      <c r="P841" s="42"/>
      <c r="Q841" s="42"/>
      <c r="R841" s="42"/>
      <c r="S841" s="42"/>
      <c r="T841" s="42"/>
      <c r="U841" s="42"/>
      <c r="V841" s="42"/>
      <c r="W841" s="42"/>
      <c r="X841" s="42"/>
      <c r="Y841" s="42"/>
      <c r="Z841" s="42"/>
      <c r="AA841" s="42"/>
      <c r="AB841" s="42"/>
      <c r="AC841" s="42"/>
    </row>
    <row r="842" spans="1:29" x14ac:dyDescent="0.25">
      <c r="A842" s="41"/>
      <c r="B842" s="42"/>
      <c r="C842" s="41"/>
      <c r="D842" s="42"/>
      <c r="E842" s="42"/>
      <c r="F842" s="35"/>
      <c r="G842" s="42"/>
      <c r="H842" s="41"/>
      <c r="I842" s="91"/>
      <c r="J842" s="91"/>
      <c r="K842" s="91"/>
      <c r="L842" s="41"/>
      <c r="M842" s="41"/>
      <c r="N842" s="42"/>
      <c r="O842" s="42"/>
      <c r="P842" s="42"/>
      <c r="Q842" s="42"/>
      <c r="R842" s="42"/>
      <c r="S842" s="42"/>
      <c r="T842" s="42"/>
      <c r="U842" s="42"/>
      <c r="V842" s="42"/>
      <c r="W842" s="42"/>
      <c r="X842" s="42"/>
      <c r="Y842" s="42"/>
      <c r="Z842" s="42"/>
      <c r="AA842" s="42"/>
      <c r="AB842" s="42"/>
      <c r="AC842" s="42"/>
    </row>
    <row r="843" spans="1:29" x14ac:dyDescent="0.25">
      <c r="A843" s="41"/>
      <c r="B843" s="42"/>
      <c r="C843" s="41"/>
      <c r="D843" s="42"/>
      <c r="E843" s="42"/>
      <c r="F843" s="35"/>
      <c r="G843" s="42"/>
      <c r="H843" s="41"/>
      <c r="I843" s="91"/>
      <c r="J843" s="91"/>
      <c r="K843" s="91"/>
      <c r="L843" s="41"/>
      <c r="M843" s="41"/>
      <c r="N843" s="42"/>
      <c r="O843" s="42"/>
      <c r="P843" s="42"/>
      <c r="Q843" s="42"/>
      <c r="R843" s="42"/>
      <c r="S843" s="42"/>
      <c r="T843" s="42"/>
      <c r="U843" s="42"/>
      <c r="V843" s="42"/>
      <c r="W843" s="42"/>
      <c r="X843" s="42"/>
      <c r="Y843" s="42"/>
      <c r="Z843" s="42"/>
      <c r="AA843" s="42"/>
      <c r="AB843" s="42"/>
      <c r="AC843" s="42"/>
    </row>
    <row r="844" spans="1:29" x14ac:dyDescent="0.25">
      <c r="A844" s="41"/>
      <c r="B844" s="42"/>
      <c r="C844" s="41"/>
      <c r="D844" s="42"/>
      <c r="E844" s="42"/>
      <c r="F844" s="35"/>
      <c r="G844" s="42"/>
      <c r="H844" s="41"/>
      <c r="I844" s="91"/>
      <c r="J844" s="91"/>
      <c r="K844" s="91"/>
      <c r="L844" s="41"/>
      <c r="M844" s="41"/>
      <c r="N844" s="42"/>
      <c r="O844" s="42"/>
      <c r="P844" s="42"/>
      <c r="Q844" s="42"/>
      <c r="R844" s="42"/>
      <c r="S844" s="42"/>
      <c r="T844" s="42"/>
      <c r="U844" s="42"/>
      <c r="V844" s="42"/>
      <c r="W844" s="42"/>
      <c r="X844" s="42"/>
      <c r="Y844" s="42"/>
      <c r="Z844" s="42"/>
      <c r="AA844" s="42"/>
      <c r="AB844" s="42"/>
      <c r="AC844" s="42"/>
    </row>
    <row r="845" spans="1:29" x14ac:dyDescent="0.25">
      <c r="A845" s="41"/>
      <c r="B845" s="42"/>
      <c r="C845" s="41"/>
      <c r="D845" s="42"/>
      <c r="E845" s="42"/>
      <c r="F845" s="35"/>
      <c r="G845" s="42"/>
      <c r="H845" s="41"/>
      <c r="I845" s="91"/>
      <c r="J845" s="91"/>
      <c r="K845" s="91"/>
      <c r="L845" s="41"/>
      <c r="M845" s="41"/>
      <c r="N845" s="42"/>
      <c r="O845" s="42"/>
      <c r="P845" s="42"/>
      <c r="Q845" s="42"/>
      <c r="R845" s="42"/>
      <c r="S845" s="42"/>
      <c r="T845" s="42"/>
      <c r="U845" s="42"/>
      <c r="V845" s="42"/>
      <c r="W845" s="42"/>
      <c r="X845" s="42"/>
      <c r="Y845" s="42"/>
      <c r="Z845" s="42"/>
      <c r="AA845" s="42"/>
      <c r="AB845" s="42"/>
      <c r="AC845" s="42"/>
    </row>
    <row r="846" spans="1:29" x14ac:dyDescent="0.25">
      <c r="A846" s="41"/>
      <c r="B846" s="42"/>
      <c r="C846" s="41"/>
      <c r="D846" s="42"/>
      <c r="E846" s="42"/>
      <c r="F846" s="35"/>
      <c r="G846" s="42"/>
      <c r="H846" s="41"/>
      <c r="I846" s="91"/>
      <c r="J846" s="91"/>
      <c r="K846" s="91"/>
      <c r="L846" s="41"/>
      <c r="M846" s="41"/>
      <c r="N846" s="42"/>
      <c r="O846" s="42"/>
      <c r="P846" s="42"/>
      <c r="Q846" s="42"/>
      <c r="R846" s="42"/>
      <c r="S846" s="42"/>
      <c r="T846" s="42"/>
      <c r="U846" s="42"/>
      <c r="V846" s="42"/>
      <c r="W846" s="42"/>
      <c r="X846" s="42"/>
      <c r="Y846" s="42"/>
      <c r="Z846" s="42"/>
      <c r="AA846" s="42"/>
      <c r="AB846" s="42"/>
      <c r="AC846" s="42"/>
    </row>
    <row r="847" spans="1:29" x14ac:dyDescent="0.25">
      <c r="A847" s="41"/>
      <c r="B847" s="42"/>
      <c r="C847" s="41"/>
      <c r="D847" s="42"/>
      <c r="E847" s="42"/>
      <c r="F847" s="35"/>
      <c r="G847" s="42"/>
      <c r="H847" s="41"/>
      <c r="I847" s="91"/>
      <c r="J847" s="91"/>
      <c r="K847" s="91"/>
      <c r="L847" s="41"/>
      <c r="M847" s="41"/>
      <c r="N847" s="42"/>
      <c r="O847" s="42"/>
      <c r="P847" s="42"/>
      <c r="Q847" s="42"/>
      <c r="R847" s="42"/>
      <c r="S847" s="42"/>
      <c r="T847" s="42"/>
      <c r="U847" s="42"/>
      <c r="V847" s="42"/>
      <c r="W847" s="42"/>
      <c r="X847" s="42"/>
      <c r="Y847" s="42"/>
      <c r="Z847" s="42"/>
      <c r="AA847" s="42"/>
      <c r="AB847" s="42"/>
      <c r="AC847" s="42"/>
    </row>
    <row r="848" spans="1:29" x14ac:dyDescent="0.25">
      <c r="A848" s="41"/>
      <c r="B848" s="42"/>
      <c r="C848" s="41"/>
      <c r="D848" s="42"/>
      <c r="E848" s="42"/>
      <c r="F848" s="35"/>
      <c r="G848" s="42"/>
      <c r="H848" s="41"/>
      <c r="I848" s="91"/>
      <c r="J848" s="91"/>
      <c r="K848" s="91"/>
      <c r="L848" s="41"/>
      <c r="M848" s="41"/>
      <c r="N848" s="42"/>
      <c r="O848" s="42"/>
      <c r="P848" s="42"/>
      <c r="Q848" s="42"/>
      <c r="R848" s="42"/>
      <c r="S848" s="42"/>
      <c r="T848" s="42"/>
      <c r="U848" s="42"/>
      <c r="V848" s="42"/>
      <c r="W848" s="42"/>
      <c r="X848" s="42"/>
      <c r="Y848" s="42"/>
      <c r="Z848" s="42"/>
      <c r="AA848" s="42"/>
      <c r="AB848" s="42"/>
      <c r="AC848" s="42"/>
    </row>
    <row r="849" spans="1:29" x14ac:dyDescent="0.25">
      <c r="A849" s="41"/>
      <c r="B849" s="42"/>
      <c r="C849" s="41"/>
      <c r="D849" s="42"/>
      <c r="E849" s="42"/>
      <c r="F849" s="35"/>
      <c r="G849" s="42"/>
      <c r="H849" s="41"/>
      <c r="I849" s="91"/>
      <c r="J849" s="91"/>
      <c r="K849" s="91"/>
      <c r="L849" s="41"/>
      <c r="M849" s="41"/>
      <c r="N849" s="42"/>
      <c r="O849" s="42"/>
      <c r="P849" s="42"/>
      <c r="Q849" s="42"/>
      <c r="R849" s="42"/>
      <c r="S849" s="42"/>
      <c r="T849" s="42"/>
      <c r="U849" s="42"/>
      <c r="V849" s="42"/>
      <c r="W849" s="42"/>
      <c r="X849" s="42"/>
      <c r="Y849" s="42"/>
      <c r="Z849" s="42"/>
      <c r="AA849" s="42"/>
      <c r="AB849" s="42"/>
      <c r="AC849" s="42"/>
    </row>
    <row r="850" spans="1:29" x14ac:dyDescent="0.25">
      <c r="A850" s="41"/>
      <c r="B850" s="42"/>
      <c r="C850" s="41"/>
      <c r="D850" s="42"/>
      <c r="E850" s="42"/>
      <c r="F850" s="35"/>
      <c r="G850" s="42"/>
      <c r="H850" s="41"/>
      <c r="I850" s="91"/>
      <c r="J850" s="91"/>
      <c r="K850" s="91"/>
      <c r="L850" s="41"/>
      <c r="M850" s="41"/>
      <c r="N850" s="42"/>
      <c r="O850" s="42"/>
      <c r="P850" s="42"/>
      <c r="Q850" s="42"/>
      <c r="R850" s="42"/>
      <c r="S850" s="42"/>
      <c r="T850" s="42"/>
      <c r="U850" s="42"/>
      <c r="V850" s="42"/>
      <c r="W850" s="42"/>
      <c r="X850" s="42"/>
      <c r="Y850" s="42"/>
      <c r="Z850" s="42"/>
      <c r="AA850" s="42"/>
      <c r="AB850" s="42"/>
      <c r="AC850" s="42"/>
    </row>
    <row r="851" spans="1:29" x14ac:dyDescent="0.25">
      <c r="A851" s="41"/>
      <c r="B851" s="42"/>
      <c r="C851" s="41"/>
      <c r="D851" s="42"/>
      <c r="E851" s="42"/>
      <c r="F851" s="35"/>
      <c r="G851" s="42"/>
      <c r="H851" s="41"/>
      <c r="I851" s="91"/>
      <c r="J851" s="91"/>
      <c r="K851" s="91"/>
      <c r="L851" s="41"/>
      <c r="M851" s="41"/>
      <c r="N851" s="42"/>
      <c r="O851" s="42"/>
      <c r="P851" s="42"/>
      <c r="Q851" s="42"/>
      <c r="R851" s="42"/>
      <c r="S851" s="42"/>
      <c r="T851" s="42"/>
      <c r="U851" s="42"/>
      <c r="V851" s="42"/>
      <c r="W851" s="42"/>
      <c r="X851" s="42"/>
      <c r="Y851" s="42"/>
      <c r="Z851" s="42"/>
      <c r="AA851" s="42"/>
      <c r="AB851" s="42"/>
      <c r="AC851" s="42"/>
    </row>
    <row r="852" spans="1:29" x14ac:dyDescent="0.25">
      <c r="A852" s="41"/>
      <c r="B852" s="42"/>
      <c r="C852" s="41"/>
      <c r="D852" s="42"/>
      <c r="E852" s="42"/>
      <c r="F852" s="35"/>
      <c r="G852" s="42"/>
      <c r="H852" s="41"/>
      <c r="I852" s="91"/>
      <c r="J852" s="91"/>
      <c r="K852" s="91"/>
      <c r="L852" s="41"/>
      <c r="M852" s="41"/>
      <c r="N852" s="42"/>
      <c r="O852" s="42"/>
      <c r="P852" s="42"/>
      <c r="Q852" s="42"/>
      <c r="R852" s="42"/>
      <c r="S852" s="42"/>
      <c r="T852" s="42"/>
      <c r="U852" s="42"/>
      <c r="V852" s="42"/>
      <c r="W852" s="42"/>
      <c r="X852" s="42"/>
      <c r="Y852" s="42"/>
      <c r="Z852" s="42"/>
      <c r="AA852" s="42"/>
      <c r="AB852" s="42"/>
      <c r="AC852" s="42"/>
    </row>
    <row r="853" spans="1:29" x14ac:dyDescent="0.25">
      <c r="A853" s="41"/>
      <c r="B853" s="42"/>
      <c r="C853" s="41"/>
      <c r="D853" s="42"/>
      <c r="E853" s="42"/>
      <c r="F853" s="35"/>
      <c r="G853" s="42"/>
      <c r="H853" s="41"/>
      <c r="I853" s="91"/>
      <c r="J853" s="91"/>
      <c r="K853" s="91"/>
      <c r="L853" s="41"/>
      <c r="M853" s="41"/>
      <c r="N853" s="42"/>
      <c r="O853" s="42"/>
      <c r="P853" s="42"/>
      <c r="Q853" s="42"/>
      <c r="R853" s="42"/>
      <c r="S853" s="42"/>
      <c r="T853" s="42"/>
      <c r="U853" s="42"/>
      <c r="V853" s="42"/>
      <c r="W853" s="42"/>
      <c r="X853" s="42"/>
      <c r="Y853" s="42"/>
      <c r="Z853" s="42"/>
      <c r="AA853" s="42"/>
      <c r="AB853" s="42"/>
      <c r="AC853" s="42"/>
    </row>
    <row r="854" spans="1:29" x14ac:dyDescent="0.25">
      <c r="A854" s="41"/>
      <c r="B854" s="42"/>
      <c r="C854" s="41"/>
      <c r="D854" s="42"/>
      <c r="E854" s="42"/>
      <c r="F854" s="35"/>
      <c r="G854" s="42"/>
      <c r="H854" s="41"/>
      <c r="I854" s="91"/>
      <c r="J854" s="91"/>
      <c r="K854" s="91"/>
      <c r="L854" s="41"/>
      <c r="M854" s="41"/>
      <c r="N854" s="42"/>
      <c r="O854" s="42"/>
      <c r="P854" s="42"/>
      <c r="Q854" s="42"/>
      <c r="R854" s="42"/>
      <c r="S854" s="42"/>
      <c r="T854" s="42"/>
      <c r="U854" s="42"/>
      <c r="V854" s="42"/>
      <c r="W854" s="42"/>
      <c r="X854" s="42"/>
      <c r="Y854" s="42"/>
      <c r="Z854" s="42"/>
      <c r="AA854" s="42"/>
      <c r="AB854" s="42"/>
      <c r="AC854" s="42"/>
    </row>
    <row r="855" spans="1:29" x14ac:dyDescent="0.25">
      <c r="A855" s="41"/>
      <c r="B855" s="42"/>
      <c r="C855" s="41"/>
      <c r="D855" s="42"/>
      <c r="E855" s="42"/>
      <c r="F855" s="35"/>
      <c r="G855" s="42"/>
      <c r="H855" s="41"/>
      <c r="I855" s="91"/>
      <c r="J855" s="91"/>
      <c r="K855" s="91"/>
      <c r="L855" s="41"/>
      <c r="M855" s="41"/>
      <c r="N855" s="42"/>
      <c r="O855" s="42"/>
      <c r="P855" s="42"/>
      <c r="Q855" s="42"/>
      <c r="R855" s="42"/>
      <c r="S855" s="42"/>
      <c r="T855" s="42"/>
      <c r="U855" s="42"/>
      <c r="V855" s="42"/>
      <c r="W855" s="42"/>
      <c r="X855" s="42"/>
      <c r="Y855" s="42"/>
      <c r="Z855" s="42"/>
      <c r="AA855" s="42"/>
      <c r="AB855" s="42"/>
      <c r="AC855" s="42"/>
    </row>
    <row r="856" spans="1:29" x14ac:dyDescent="0.25">
      <c r="A856" s="41"/>
      <c r="B856" s="42"/>
      <c r="C856" s="41"/>
      <c r="D856" s="42"/>
      <c r="E856" s="42"/>
      <c r="F856" s="35"/>
      <c r="G856" s="42"/>
      <c r="H856" s="41"/>
      <c r="I856" s="91"/>
      <c r="J856" s="91"/>
      <c r="K856" s="91"/>
      <c r="L856" s="41"/>
      <c r="M856" s="41"/>
      <c r="N856" s="42"/>
      <c r="O856" s="42"/>
      <c r="P856" s="42"/>
      <c r="Q856" s="42"/>
      <c r="R856" s="42"/>
      <c r="S856" s="42"/>
      <c r="T856" s="42"/>
      <c r="U856" s="42"/>
      <c r="V856" s="42"/>
      <c r="W856" s="42"/>
      <c r="X856" s="42"/>
      <c r="Y856" s="42"/>
      <c r="Z856" s="42"/>
      <c r="AA856" s="42"/>
      <c r="AB856" s="42"/>
      <c r="AC856" s="42"/>
    </row>
    <row r="857" spans="1:29" x14ac:dyDescent="0.25">
      <c r="A857" s="41"/>
      <c r="B857" s="42"/>
      <c r="C857" s="41"/>
      <c r="D857" s="42"/>
      <c r="E857" s="42"/>
      <c r="F857" s="35"/>
      <c r="G857" s="42"/>
      <c r="H857" s="41"/>
      <c r="I857" s="91"/>
      <c r="J857" s="91"/>
      <c r="K857" s="91"/>
      <c r="L857" s="41"/>
      <c r="M857" s="41"/>
      <c r="N857" s="42"/>
      <c r="O857" s="42"/>
      <c r="P857" s="42"/>
      <c r="Q857" s="42"/>
      <c r="R857" s="42"/>
      <c r="S857" s="42"/>
      <c r="T857" s="42"/>
      <c r="U857" s="42"/>
      <c r="V857" s="42"/>
      <c r="W857" s="42"/>
      <c r="X857" s="42"/>
      <c r="Y857" s="42"/>
      <c r="Z857" s="42"/>
      <c r="AA857" s="42"/>
      <c r="AB857" s="42"/>
      <c r="AC857" s="42"/>
    </row>
    <row r="858" spans="1:29" x14ac:dyDescent="0.25">
      <c r="A858" s="41"/>
      <c r="B858" s="42"/>
      <c r="C858" s="41"/>
      <c r="D858" s="42"/>
      <c r="E858" s="42"/>
      <c r="F858" s="35"/>
      <c r="G858" s="42"/>
      <c r="H858" s="41"/>
      <c r="I858" s="91"/>
      <c r="J858" s="91"/>
      <c r="K858" s="91"/>
      <c r="L858" s="41"/>
      <c r="M858" s="41"/>
      <c r="N858" s="42"/>
      <c r="O858" s="42"/>
      <c r="P858" s="42"/>
      <c r="Q858" s="42"/>
      <c r="R858" s="42"/>
      <c r="S858" s="42"/>
      <c r="T858" s="42"/>
      <c r="U858" s="42"/>
      <c r="V858" s="42"/>
      <c r="W858" s="42"/>
      <c r="X858" s="42"/>
      <c r="Y858" s="42"/>
      <c r="Z858" s="42"/>
      <c r="AA858" s="42"/>
      <c r="AB858" s="42"/>
      <c r="AC858" s="42"/>
    </row>
    <row r="859" spans="1:29" x14ac:dyDescent="0.25">
      <c r="A859" s="41"/>
      <c r="B859" s="42"/>
      <c r="C859" s="41"/>
      <c r="D859" s="42"/>
      <c r="E859" s="42"/>
      <c r="F859" s="35"/>
      <c r="G859" s="42"/>
      <c r="H859" s="41"/>
      <c r="I859" s="91"/>
      <c r="J859" s="91"/>
      <c r="K859" s="91"/>
      <c r="L859" s="41"/>
      <c r="M859" s="41"/>
      <c r="N859" s="42"/>
      <c r="O859" s="42"/>
      <c r="P859" s="42"/>
      <c r="Q859" s="42"/>
      <c r="R859" s="42"/>
      <c r="S859" s="42"/>
      <c r="T859" s="42"/>
      <c r="U859" s="42"/>
      <c r="V859" s="42"/>
      <c r="W859" s="42"/>
      <c r="X859" s="42"/>
      <c r="Y859" s="42"/>
      <c r="Z859" s="42"/>
      <c r="AA859" s="42"/>
      <c r="AB859" s="42"/>
      <c r="AC859" s="42"/>
    </row>
    <row r="860" spans="1:29" x14ac:dyDescent="0.25">
      <c r="A860" s="41"/>
      <c r="B860" s="42"/>
      <c r="C860" s="41"/>
      <c r="D860" s="42"/>
      <c r="E860" s="42"/>
      <c r="F860" s="35"/>
      <c r="G860" s="42"/>
      <c r="H860" s="41"/>
      <c r="I860" s="91"/>
      <c r="J860" s="91"/>
      <c r="K860" s="91"/>
      <c r="L860" s="41"/>
      <c r="M860" s="41"/>
      <c r="N860" s="42"/>
      <c r="O860" s="42"/>
      <c r="P860" s="42"/>
      <c r="Q860" s="42"/>
      <c r="R860" s="42"/>
      <c r="S860" s="42"/>
      <c r="T860" s="42"/>
      <c r="U860" s="42"/>
      <c r="V860" s="42"/>
      <c r="W860" s="42"/>
      <c r="X860" s="42"/>
      <c r="Y860" s="42"/>
      <c r="Z860" s="42"/>
      <c r="AA860" s="42"/>
      <c r="AB860" s="42"/>
      <c r="AC860" s="42"/>
    </row>
    <row r="861" spans="1:29" x14ac:dyDescent="0.25">
      <c r="A861" s="41"/>
      <c r="B861" s="42"/>
      <c r="C861" s="41"/>
      <c r="D861" s="42"/>
      <c r="E861" s="42"/>
      <c r="F861" s="35"/>
      <c r="G861" s="42"/>
      <c r="H861" s="41"/>
      <c r="I861" s="91"/>
      <c r="J861" s="91"/>
      <c r="K861" s="91"/>
      <c r="L861" s="41"/>
      <c r="M861" s="41"/>
      <c r="N861" s="42"/>
      <c r="O861" s="42"/>
      <c r="P861" s="42"/>
      <c r="Q861" s="42"/>
      <c r="R861" s="42"/>
      <c r="S861" s="42"/>
      <c r="T861" s="42"/>
      <c r="U861" s="42"/>
      <c r="V861" s="42"/>
      <c r="W861" s="42"/>
      <c r="X861" s="42"/>
      <c r="Y861" s="42"/>
      <c r="Z861" s="42"/>
      <c r="AA861" s="42"/>
      <c r="AB861" s="42"/>
      <c r="AC861" s="42"/>
    </row>
    <row r="862" spans="1:29" x14ac:dyDescent="0.25">
      <c r="A862" s="41"/>
      <c r="B862" s="42"/>
      <c r="C862" s="41"/>
      <c r="D862" s="42"/>
      <c r="E862" s="42"/>
      <c r="F862" s="35"/>
      <c r="G862" s="42"/>
      <c r="H862" s="41"/>
      <c r="I862" s="91"/>
      <c r="J862" s="91"/>
      <c r="K862" s="91"/>
      <c r="L862" s="41"/>
      <c r="M862" s="41"/>
      <c r="N862" s="42"/>
      <c r="O862" s="42"/>
      <c r="P862" s="42"/>
      <c r="Q862" s="42"/>
      <c r="R862" s="42"/>
      <c r="S862" s="42"/>
      <c r="T862" s="42"/>
      <c r="U862" s="42"/>
      <c r="V862" s="42"/>
      <c r="W862" s="42"/>
      <c r="X862" s="42"/>
      <c r="Y862" s="42"/>
      <c r="Z862" s="42"/>
      <c r="AA862" s="42"/>
      <c r="AB862" s="42"/>
      <c r="AC862" s="42"/>
    </row>
    <row r="863" spans="1:29" x14ac:dyDescent="0.25">
      <c r="A863" s="41"/>
      <c r="B863" s="42"/>
      <c r="C863" s="41"/>
      <c r="D863" s="42"/>
      <c r="E863" s="42"/>
      <c r="F863" s="35"/>
      <c r="G863" s="42"/>
      <c r="H863" s="41"/>
      <c r="I863" s="91"/>
      <c r="J863" s="91"/>
      <c r="K863" s="91"/>
      <c r="L863" s="41"/>
      <c r="M863" s="41"/>
      <c r="N863" s="42"/>
      <c r="O863" s="42"/>
      <c r="P863" s="42"/>
      <c r="Q863" s="42"/>
      <c r="R863" s="42"/>
      <c r="S863" s="42"/>
      <c r="T863" s="42"/>
      <c r="U863" s="42"/>
      <c r="V863" s="42"/>
      <c r="W863" s="42"/>
      <c r="X863" s="42"/>
      <c r="Y863" s="42"/>
      <c r="Z863" s="42"/>
      <c r="AA863" s="42"/>
      <c r="AB863" s="42"/>
      <c r="AC863" s="42"/>
    </row>
    <row r="864" spans="1:29" x14ac:dyDescent="0.25">
      <c r="A864" s="41"/>
      <c r="B864" s="42"/>
      <c r="C864" s="41"/>
      <c r="D864" s="42"/>
      <c r="E864" s="42"/>
      <c r="F864" s="35"/>
      <c r="G864" s="42"/>
      <c r="H864" s="41"/>
      <c r="I864" s="91"/>
      <c r="J864" s="91"/>
      <c r="K864" s="91"/>
      <c r="L864" s="41"/>
      <c r="M864" s="41"/>
      <c r="N864" s="42"/>
      <c r="O864" s="42"/>
      <c r="P864" s="42"/>
      <c r="Q864" s="42"/>
      <c r="R864" s="42"/>
      <c r="S864" s="42"/>
      <c r="T864" s="42"/>
      <c r="U864" s="42"/>
      <c r="V864" s="42"/>
      <c r="W864" s="42"/>
      <c r="X864" s="42"/>
      <c r="Y864" s="42"/>
      <c r="Z864" s="42"/>
      <c r="AA864" s="42"/>
      <c r="AB864" s="42"/>
      <c r="AC864" s="42"/>
    </row>
    <row r="865" spans="1:29" x14ac:dyDescent="0.25">
      <c r="A865" s="41"/>
      <c r="B865" s="42"/>
      <c r="C865" s="41"/>
      <c r="D865" s="42"/>
      <c r="E865" s="42"/>
      <c r="F865" s="35"/>
      <c r="G865" s="42"/>
      <c r="H865" s="41"/>
      <c r="I865" s="91"/>
      <c r="J865" s="91"/>
      <c r="K865" s="91"/>
      <c r="L865" s="41"/>
      <c r="M865" s="41"/>
      <c r="N865" s="42"/>
      <c r="O865" s="42"/>
      <c r="P865" s="42"/>
      <c r="Q865" s="42"/>
      <c r="R865" s="42"/>
      <c r="S865" s="42"/>
      <c r="T865" s="42"/>
      <c r="U865" s="42"/>
      <c r="V865" s="42"/>
      <c r="W865" s="42"/>
      <c r="X865" s="42"/>
      <c r="Y865" s="42"/>
      <c r="Z865" s="42"/>
      <c r="AA865" s="42"/>
      <c r="AB865" s="42"/>
      <c r="AC865" s="42"/>
    </row>
    <row r="866" spans="1:29" x14ac:dyDescent="0.25">
      <c r="A866" s="41"/>
      <c r="B866" s="42"/>
      <c r="C866" s="41"/>
      <c r="D866" s="42"/>
      <c r="E866" s="42"/>
      <c r="F866" s="35"/>
      <c r="G866" s="42"/>
      <c r="H866" s="41"/>
      <c r="I866" s="91"/>
      <c r="J866" s="91"/>
      <c r="K866" s="91"/>
      <c r="L866" s="41"/>
      <c r="M866" s="41"/>
      <c r="N866" s="42"/>
      <c r="O866" s="42"/>
      <c r="P866" s="42"/>
      <c r="Q866" s="42"/>
      <c r="R866" s="42"/>
      <c r="S866" s="42"/>
      <c r="T866" s="42"/>
      <c r="U866" s="42"/>
      <c r="V866" s="42"/>
      <c r="W866" s="42"/>
      <c r="X866" s="42"/>
      <c r="Y866" s="42"/>
      <c r="Z866" s="42"/>
      <c r="AA866" s="42"/>
      <c r="AB866" s="42"/>
      <c r="AC866" s="42"/>
    </row>
    <row r="867" spans="1:29" x14ac:dyDescent="0.25">
      <c r="A867" s="41"/>
      <c r="B867" s="42"/>
      <c r="C867" s="41"/>
      <c r="D867" s="42"/>
      <c r="E867" s="42"/>
      <c r="F867" s="35"/>
      <c r="G867" s="42"/>
      <c r="H867" s="41"/>
      <c r="I867" s="91"/>
      <c r="J867" s="91"/>
      <c r="K867" s="91"/>
      <c r="L867" s="41"/>
      <c r="M867" s="41"/>
      <c r="N867" s="42"/>
      <c r="O867" s="42"/>
      <c r="P867" s="42"/>
      <c r="Q867" s="42"/>
      <c r="R867" s="42"/>
      <c r="S867" s="42"/>
      <c r="T867" s="42"/>
      <c r="U867" s="42"/>
      <c r="V867" s="42"/>
      <c r="W867" s="42"/>
      <c r="X867" s="42"/>
      <c r="Y867" s="42"/>
      <c r="Z867" s="42"/>
      <c r="AA867" s="42"/>
      <c r="AB867" s="42"/>
      <c r="AC867" s="42"/>
    </row>
    <row r="868" spans="1:29" x14ac:dyDescent="0.25">
      <c r="A868" s="41"/>
      <c r="B868" s="42"/>
      <c r="C868" s="41"/>
      <c r="D868" s="42"/>
      <c r="E868" s="42"/>
      <c r="F868" s="35"/>
      <c r="G868" s="42"/>
      <c r="H868" s="41"/>
      <c r="I868" s="91"/>
      <c r="J868" s="91"/>
      <c r="K868" s="91"/>
      <c r="L868" s="41"/>
      <c r="M868" s="41"/>
      <c r="N868" s="42"/>
      <c r="O868" s="42"/>
      <c r="P868" s="42"/>
      <c r="Q868" s="42"/>
      <c r="R868" s="42"/>
      <c r="S868" s="42"/>
      <c r="T868" s="42"/>
      <c r="U868" s="42"/>
      <c r="V868" s="42"/>
      <c r="W868" s="42"/>
      <c r="X868" s="42"/>
      <c r="Y868" s="42"/>
      <c r="Z868" s="42"/>
      <c r="AA868" s="42"/>
      <c r="AB868" s="42"/>
      <c r="AC868" s="42"/>
    </row>
    <row r="869" spans="1:29" x14ac:dyDescent="0.25">
      <c r="A869" s="41"/>
      <c r="B869" s="42"/>
      <c r="C869" s="41"/>
      <c r="D869" s="42"/>
      <c r="E869" s="42"/>
      <c r="F869" s="35"/>
      <c r="G869" s="42"/>
      <c r="H869" s="41"/>
      <c r="I869" s="91"/>
      <c r="J869" s="91"/>
      <c r="K869" s="91"/>
      <c r="L869" s="41"/>
      <c r="M869" s="41"/>
      <c r="N869" s="42"/>
      <c r="O869" s="42"/>
      <c r="P869" s="42"/>
      <c r="Q869" s="42"/>
      <c r="R869" s="42"/>
      <c r="S869" s="42"/>
      <c r="T869" s="42"/>
      <c r="U869" s="42"/>
      <c r="V869" s="42"/>
      <c r="W869" s="42"/>
      <c r="X869" s="42"/>
      <c r="Y869" s="42"/>
      <c r="Z869" s="42"/>
      <c r="AA869" s="42"/>
      <c r="AB869" s="42"/>
      <c r="AC869" s="42"/>
    </row>
    <row r="870" spans="1:29" x14ac:dyDescent="0.25">
      <c r="A870" s="41"/>
      <c r="B870" s="42"/>
      <c r="C870" s="41"/>
      <c r="D870" s="42"/>
      <c r="E870" s="42"/>
      <c r="F870" s="35"/>
      <c r="G870" s="42"/>
      <c r="H870" s="41"/>
      <c r="I870" s="91"/>
      <c r="J870" s="91"/>
      <c r="K870" s="91"/>
      <c r="L870" s="41"/>
      <c r="M870" s="41"/>
      <c r="N870" s="42"/>
      <c r="O870" s="42"/>
      <c r="P870" s="42"/>
      <c r="Q870" s="42"/>
      <c r="R870" s="42"/>
      <c r="S870" s="42"/>
      <c r="T870" s="42"/>
      <c r="U870" s="42"/>
      <c r="V870" s="42"/>
      <c r="W870" s="42"/>
      <c r="X870" s="42"/>
      <c r="Y870" s="42"/>
      <c r="Z870" s="42"/>
      <c r="AA870" s="42"/>
      <c r="AB870" s="42"/>
      <c r="AC870" s="42"/>
    </row>
    <row r="871" spans="1:29" x14ac:dyDescent="0.25">
      <c r="A871" s="41"/>
      <c r="B871" s="42"/>
      <c r="C871" s="41"/>
      <c r="D871" s="42"/>
      <c r="E871" s="42"/>
      <c r="F871" s="35"/>
      <c r="G871" s="42"/>
      <c r="H871" s="41"/>
      <c r="I871" s="91"/>
      <c r="J871" s="91"/>
      <c r="K871" s="91"/>
      <c r="L871" s="41"/>
      <c r="M871" s="41"/>
      <c r="N871" s="42"/>
      <c r="O871" s="42"/>
      <c r="P871" s="42"/>
      <c r="Q871" s="42"/>
      <c r="R871" s="42"/>
      <c r="S871" s="42"/>
      <c r="T871" s="42"/>
      <c r="U871" s="42"/>
      <c r="V871" s="42"/>
      <c r="W871" s="42"/>
      <c r="X871" s="42"/>
      <c r="Y871" s="42"/>
      <c r="Z871" s="42"/>
      <c r="AA871" s="42"/>
      <c r="AB871" s="42"/>
      <c r="AC871" s="42"/>
    </row>
    <row r="872" spans="1:29" x14ac:dyDescent="0.25">
      <c r="A872" s="41"/>
      <c r="B872" s="42"/>
      <c r="C872" s="41"/>
      <c r="D872" s="42"/>
      <c r="E872" s="42"/>
      <c r="F872" s="35"/>
      <c r="G872" s="42"/>
      <c r="H872" s="41"/>
      <c r="I872" s="91"/>
      <c r="J872" s="91"/>
      <c r="K872" s="91"/>
      <c r="L872" s="41"/>
      <c r="M872" s="41"/>
      <c r="N872" s="42"/>
      <c r="O872" s="42"/>
      <c r="P872" s="42"/>
      <c r="Q872" s="42"/>
      <c r="R872" s="42"/>
      <c r="S872" s="42"/>
      <c r="T872" s="42"/>
      <c r="U872" s="42"/>
      <c r="V872" s="42"/>
      <c r="W872" s="42"/>
      <c r="X872" s="42"/>
      <c r="Y872" s="42"/>
      <c r="Z872" s="42"/>
      <c r="AA872" s="42"/>
      <c r="AB872" s="42"/>
      <c r="AC872" s="42"/>
    </row>
    <row r="873" spans="1:29" x14ac:dyDescent="0.25">
      <c r="A873" s="41"/>
      <c r="B873" s="42"/>
      <c r="C873" s="41"/>
      <c r="D873" s="42"/>
      <c r="E873" s="42"/>
      <c r="F873" s="35"/>
      <c r="G873" s="42"/>
      <c r="H873" s="41"/>
      <c r="I873" s="91"/>
      <c r="J873" s="91"/>
      <c r="K873" s="91"/>
      <c r="L873" s="41"/>
      <c r="M873" s="41"/>
      <c r="N873" s="42"/>
      <c r="O873" s="42"/>
      <c r="P873" s="42"/>
      <c r="Q873" s="42"/>
      <c r="R873" s="42"/>
      <c r="S873" s="42"/>
      <c r="T873" s="42"/>
      <c r="U873" s="42"/>
      <c r="V873" s="42"/>
      <c r="W873" s="42"/>
      <c r="X873" s="42"/>
      <c r="Y873" s="42"/>
      <c r="Z873" s="42"/>
      <c r="AA873" s="42"/>
      <c r="AB873" s="42"/>
      <c r="AC873" s="42"/>
    </row>
    <row r="874" spans="1:29" x14ac:dyDescent="0.25">
      <c r="A874" s="41"/>
      <c r="B874" s="42"/>
      <c r="C874" s="41"/>
      <c r="D874" s="42"/>
      <c r="E874" s="42"/>
      <c r="F874" s="35"/>
      <c r="G874" s="42"/>
      <c r="H874" s="41"/>
      <c r="I874" s="91"/>
      <c r="J874" s="91"/>
      <c r="K874" s="91"/>
      <c r="L874" s="41"/>
      <c r="M874" s="41"/>
      <c r="N874" s="42"/>
      <c r="O874" s="42"/>
      <c r="P874" s="42"/>
      <c r="Q874" s="42"/>
      <c r="R874" s="42"/>
      <c r="S874" s="42"/>
      <c r="T874" s="42"/>
      <c r="U874" s="42"/>
      <c r="V874" s="42"/>
      <c r="W874" s="42"/>
      <c r="X874" s="42"/>
      <c r="Y874" s="42"/>
      <c r="Z874" s="42"/>
      <c r="AA874" s="42"/>
      <c r="AB874" s="42"/>
      <c r="AC874" s="42"/>
    </row>
    <row r="875" spans="1:29" x14ac:dyDescent="0.25">
      <c r="A875" s="41"/>
      <c r="B875" s="42"/>
      <c r="C875" s="41"/>
      <c r="D875" s="42"/>
      <c r="E875" s="42"/>
      <c r="F875" s="35"/>
      <c r="G875" s="42"/>
      <c r="H875" s="41"/>
      <c r="I875" s="91"/>
      <c r="J875" s="91"/>
      <c r="K875" s="91"/>
      <c r="L875" s="41"/>
      <c r="M875" s="41"/>
      <c r="N875" s="42"/>
      <c r="O875" s="42"/>
      <c r="P875" s="42"/>
      <c r="Q875" s="42"/>
      <c r="R875" s="42"/>
      <c r="S875" s="42"/>
      <c r="T875" s="42"/>
      <c r="U875" s="42"/>
      <c r="V875" s="42"/>
      <c r="W875" s="42"/>
      <c r="X875" s="42"/>
      <c r="Y875" s="42"/>
      <c r="Z875" s="42"/>
      <c r="AA875" s="42"/>
      <c r="AB875" s="42"/>
      <c r="AC875" s="42"/>
    </row>
    <row r="876" spans="1:29" x14ac:dyDescent="0.25">
      <c r="A876" s="41"/>
      <c r="B876" s="42"/>
      <c r="C876" s="41"/>
      <c r="D876" s="42"/>
      <c r="E876" s="42"/>
      <c r="F876" s="35"/>
      <c r="G876" s="42"/>
      <c r="H876" s="41"/>
      <c r="I876" s="91"/>
      <c r="J876" s="91"/>
      <c r="K876" s="91"/>
      <c r="L876" s="41"/>
      <c r="M876" s="41"/>
      <c r="N876" s="42"/>
      <c r="O876" s="42"/>
      <c r="P876" s="42"/>
      <c r="Q876" s="42"/>
      <c r="R876" s="42"/>
      <c r="S876" s="42"/>
      <c r="T876" s="42"/>
      <c r="U876" s="42"/>
      <c r="V876" s="42"/>
      <c r="W876" s="42"/>
      <c r="X876" s="42"/>
      <c r="Y876" s="42"/>
      <c r="Z876" s="42"/>
      <c r="AA876" s="42"/>
      <c r="AB876" s="42"/>
      <c r="AC876" s="42"/>
    </row>
    <row r="877" spans="1:29" x14ac:dyDescent="0.25">
      <c r="A877" s="41"/>
      <c r="B877" s="42"/>
      <c r="C877" s="41"/>
      <c r="D877" s="42"/>
      <c r="E877" s="42"/>
      <c r="F877" s="35"/>
      <c r="G877" s="42"/>
      <c r="H877" s="41"/>
      <c r="I877" s="91"/>
      <c r="J877" s="91"/>
      <c r="K877" s="91"/>
      <c r="L877" s="41"/>
      <c r="M877" s="41"/>
      <c r="N877" s="42"/>
      <c r="O877" s="42"/>
      <c r="P877" s="42"/>
      <c r="Q877" s="42"/>
      <c r="R877" s="42"/>
      <c r="S877" s="42"/>
      <c r="T877" s="42"/>
      <c r="U877" s="42"/>
      <c r="V877" s="42"/>
      <c r="W877" s="42"/>
      <c r="X877" s="42"/>
      <c r="Y877" s="42"/>
      <c r="Z877" s="42"/>
      <c r="AA877" s="42"/>
      <c r="AB877" s="42"/>
      <c r="AC877" s="42"/>
    </row>
    <row r="878" spans="1:29" x14ac:dyDescent="0.25">
      <c r="A878" s="41"/>
      <c r="B878" s="42"/>
      <c r="C878" s="41"/>
      <c r="D878" s="42"/>
      <c r="E878" s="42"/>
      <c r="F878" s="35"/>
      <c r="G878" s="42"/>
      <c r="H878" s="41"/>
      <c r="I878" s="91"/>
      <c r="J878" s="91"/>
      <c r="K878" s="91"/>
      <c r="L878" s="41"/>
      <c r="M878" s="41"/>
      <c r="N878" s="42"/>
      <c r="O878" s="42"/>
      <c r="P878" s="42"/>
      <c r="Q878" s="42"/>
      <c r="R878" s="42"/>
      <c r="S878" s="42"/>
      <c r="T878" s="42"/>
      <c r="U878" s="42"/>
      <c r="V878" s="42"/>
      <c r="W878" s="42"/>
      <c r="X878" s="42"/>
      <c r="Y878" s="42"/>
      <c r="Z878" s="42"/>
      <c r="AA878" s="42"/>
      <c r="AB878" s="42"/>
      <c r="AC878" s="42"/>
    </row>
    <row r="879" spans="1:29" x14ac:dyDescent="0.25">
      <c r="A879" s="41"/>
      <c r="B879" s="42"/>
      <c r="C879" s="41"/>
      <c r="D879" s="42"/>
      <c r="E879" s="42"/>
      <c r="F879" s="35"/>
      <c r="G879" s="42"/>
      <c r="H879" s="41"/>
      <c r="I879" s="91"/>
      <c r="J879" s="91"/>
      <c r="K879" s="91"/>
      <c r="L879" s="41"/>
      <c r="M879" s="41"/>
      <c r="N879" s="42"/>
      <c r="O879" s="42"/>
      <c r="P879" s="42"/>
      <c r="Q879" s="42"/>
      <c r="R879" s="42"/>
      <c r="S879" s="42"/>
      <c r="T879" s="42"/>
      <c r="U879" s="42"/>
      <c r="V879" s="42"/>
      <c r="W879" s="42"/>
      <c r="X879" s="42"/>
      <c r="Y879" s="42"/>
      <c r="Z879" s="42"/>
      <c r="AA879" s="42"/>
      <c r="AB879" s="42"/>
      <c r="AC879" s="42"/>
    </row>
    <row r="880" spans="1:29" x14ac:dyDescent="0.25">
      <c r="A880" s="41"/>
      <c r="B880" s="42"/>
      <c r="C880" s="41"/>
      <c r="D880" s="42"/>
      <c r="E880" s="42"/>
      <c r="F880" s="35"/>
      <c r="G880" s="42"/>
      <c r="H880" s="41"/>
      <c r="I880" s="91"/>
      <c r="J880" s="91"/>
      <c r="K880" s="91"/>
      <c r="L880" s="41"/>
      <c r="M880" s="41"/>
      <c r="N880" s="42"/>
      <c r="O880" s="42"/>
      <c r="P880" s="42"/>
      <c r="Q880" s="42"/>
      <c r="R880" s="42"/>
      <c r="S880" s="42"/>
      <c r="T880" s="42"/>
      <c r="U880" s="42"/>
      <c r="V880" s="42"/>
      <c r="W880" s="42"/>
      <c r="X880" s="42"/>
      <c r="Y880" s="42"/>
      <c r="Z880" s="42"/>
      <c r="AA880" s="42"/>
      <c r="AB880" s="42"/>
      <c r="AC880" s="42"/>
    </row>
    <row r="881" spans="1:29" x14ac:dyDescent="0.25">
      <c r="A881" s="41"/>
      <c r="B881" s="42"/>
      <c r="C881" s="41"/>
      <c r="D881" s="42"/>
      <c r="E881" s="42"/>
      <c r="F881" s="35"/>
      <c r="G881" s="42"/>
      <c r="H881" s="41"/>
      <c r="I881" s="91"/>
      <c r="J881" s="91"/>
      <c r="K881" s="91"/>
      <c r="L881" s="41"/>
      <c r="M881" s="41"/>
      <c r="N881" s="42"/>
      <c r="O881" s="42"/>
      <c r="P881" s="42"/>
      <c r="Q881" s="42"/>
      <c r="R881" s="42"/>
      <c r="S881" s="42"/>
      <c r="T881" s="42"/>
      <c r="U881" s="42"/>
      <c r="V881" s="42"/>
      <c r="W881" s="42"/>
      <c r="X881" s="42"/>
      <c r="Y881" s="42"/>
      <c r="Z881" s="42"/>
      <c r="AA881" s="42"/>
      <c r="AB881" s="42"/>
      <c r="AC881" s="42"/>
    </row>
    <row r="882" spans="1:29" x14ac:dyDescent="0.25">
      <c r="A882" s="41"/>
      <c r="B882" s="42"/>
      <c r="C882" s="41"/>
      <c r="D882" s="42"/>
      <c r="E882" s="42"/>
      <c r="F882" s="35"/>
      <c r="G882" s="42"/>
      <c r="H882" s="41"/>
      <c r="I882" s="91"/>
      <c r="J882" s="91"/>
      <c r="K882" s="91"/>
      <c r="L882" s="41"/>
      <c r="M882" s="41"/>
      <c r="N882" s="42"/>
      <c r="O882" s="42"/>
      <c r="P882" s="42"/>
      <c r="Q882" s="42"/>
      <c r="R882" s="42"/>
      <c r="S882" s="42"/>
      <c r="T882" s="42"/>
      <c r="U882" s="42"/>
      <c r="V882" s="42"/>
      <c r="W882" s="42"/>
      <c r="X882" s="42"/>
      <c r="Y882" s="42"/>
      <c r="Z882" s="42"/>
      <c r="AA882" s="42"/>
      <c r="AB882" s="42"/>
      <c r="AC882" s="42"/>
    </row>
    <row r="883" spans="1:29" x14ac:dyDescent="0.25">
      <c r="A883" s="41"/>
      <c r="B883" s="42"/>
      <c r="C883" s="41"/>
      <c r="D883" s="42"/>
      <c r="E883" s="42"/>
      <c r="F883" s="35"/>
      <c r="G883" s="42"/>
      <c r="H883" s="41"/>
      <c r="I883" s="91"/>
      <c r="J883" s="91"/>
      <c r="K883" s="91"/>
      <c r="L883" s="41"/>
      <c r="M883" s="41"/>
      <c r="N883" s="42"/>
      <c r="O883" s="42"/>
      <c r="P883" s="42"/>
      <c r="Q883" s="42"/>
      <c r="R883" s="42"/>
      <c r="S883" s="42"/>
      <c r="T883" s="42"/>
      <c r="U883" s="42"/>
      <c r="V883" s="42"/>
      <c r="W883" s="42"/>
      <c r="X883" s="42"/>
      <c r="Y883" s="42"/>
      <c r="Z883" s="42"/>
      <c r="AA883" s="42"/>
      <c r="AB883" s="42"/>
      <c r="AC883" s="42"/>
    </row>
    <row r="884" spans="1:29" x14ac:dyDescent="0.25">
      <c r="A884" s="41"/>
      <c r="B884" s="42"/>
      <c r="C884" s="41"/>
      <c r="D884" s="42"/>
      <c r="E884" s="42"/>
      <c r="F884" s="35"/>
      <c r="G884" s="42"/>
      <c r="H884" s="41"/>
      <c r="I884" s="91"/>
      <c r="J884" s="91"/>
      <c r="K884" s="91"/>
      <c r="L884" s="41"/>
      <c r="M884" s="41"/>
      <c r="N884" s="42"/>
      <c r="O884" s="42"/>
      <c r="P884" s="42"/>
      <c r="Q884" s="42"/>
      <c r="R884" s="42"/>
      <c r="S884" s="42"/>
      <c r="T884" s="42"/>
      <c r="U884" s="42"/>
      <c r="V884" s="42"/>
      <c r="W884" s="42"/>
      <c r="X884" s="42"/>
      <c r="Y884" s="42"/>
      <c r="Z884" s="42"/>
      <c r="AA884" s="42"/>
      <c r="AB884" s="42"/>
      <c r="AC884" s="42"/>
    </row>
    <row r="885" spans="1:29" x14ac:dyDescent="0.25">
      <c r="A885" s="41"/>
      <c r="B885" s="42"/>
      <c r="C885" s="41"/>
      <c r="D885" s="42"/>
      <c r="E885" s="42"/>
      <c r="F885" s="35"/>
      <c r="G885" s="42"/>
      <c r="H885" s="41"/>
      <c r="I885" s="91"/>
      <c r="J885" s="91"/>
      <c r="K885" s="91"/>
      <c r="L885" s="41"/>
      <c r="M885" s="41"/>
      <c r="N885" s="42"/>
      <c r="O885" s="42"/>
      <c r="P885" s="42"/>
      <c r="Q885" s="42"/>
      <c r="R885" s="42"/>
      <c r="S885" s="42"/>
      <c r="T885" s="42"/>
      <c r="U885" s="42"/>
      <c r="V885" s="42"/>
      <c r="W885" s="42"/>
      <c r="X885" s="42"/>
      <c r="Y885" s="42"/>
      <c r="Z885" s="42"/>
      <c r="AA885" s="42"/>
      <c r="AB885" s="42"/>
      <c r="AC885" s="42"/>
    </row>
    <row r="886" spans="1:29" x14ac:dyDescent="0.25">
      <c r="A886" s="41"/>
      <c r="B886" s="42"/>
      <c r="C886" s="41"/>
      <c r="D886" s="42"/>
      <c r="E886" s="42"/>
      <c r="F886" s="35"/>
      <c r="G886" s="42"/>
      <c r="H886" s="41"/>
      <c r="I886" s="91"/>
      <c r="J886" s="91"/>
      <c r="K886" s="91"/>
      <c r="L886" s="41"/>
      <c r="M886" s="41"/>
      <c r="N886" s="42"/>
      <c r="O886" s="42"/>
      <c r="P886" s="42"/>
      <c r="Q886" s="42"/>
      <c r="R886" s="42"/>
      <c r="S886" s="42"/>
      <c r="T886" s="42"/>
      <c r="U886" s="42"/>
      <c r="V886" s="42"/>
      <c r="W886" s="42"/>
      <c r="X886" s="42"/>
      <c r="Y886" s="42"/>
      <c r="Z886" s="42"/>
      <c r="AA886" s="42"/>
      <c r="AB886" s="42"/>
      <c r="AC886" s="42"/>
    </row>
    <row r="887" spans="1:29" x14ac:dyDescent="0.25">
      <c r="A887" s="41"/>
      <c r="B887" s="42"/>
      <c r="C887" s="41"/>
      <c r="D887" s="42"/>
      <c r="E887" s="42"/>
      <c r="F887" s="35"/>
      <c r="G887" s="42"/>
      <c r="H887" s="41"/>
      <c r="I887" s="91"/>
      <c r="J887" s="91"/>
      <c r="K887" s="91"/>
      <c r="L887" s="41"/>
      <c r="M887" s="41"/>
      <c r="N887" s="42"/>
      <c r="O887" s="42"/>
      <c r="P887" s="42"/>
      <c r="Q887" s="42"/>
      <c r="R887" s="42"/>
      <c r="S887" s="42"/>
      <c r="T887" s="42"/>
      <c r="U887" s="42"/>
      <c r="V887" s="42"/>
      <c r="W887" s="42"/>
      <c r="X887" s="42"/>
      <c r="Y887" s="42"/>
      <c r="Z887" s="42"/>
      <c r="AA887" s="42"/>
      <c r="AB887" s="42"/>
      <c r="AC887" s="42"/>
    </row>
    <row r="888" spans="1:29" x14ac:dyDescent="0.25">
      <c r="A888" s="41"/>
      <c r="B888" s="42"/>
      <c r="C888" s="41"/>
      <c r="D888" s="42"/>
      <c r="E888" s="42"/>
      <c r="F888" s="35"/>
      <c r="G888" s="42"/>
      <c r="H888" s="41"/>
      <c r="I888" s="91"/>
      <c r="J888" s="91"/>
      <c r="K888" s="91"/>
      <c r="L888" s="41"/>
      <c r="M888" s="41"/>
      <c r="N888" s="42"/>
      <c r="O888" s="42"/>
      <c r="P888" s="42"/>
      <c r="Q888" s="42"/>
      <c r="R888" s="42"/>
      <c r="S888" s="42"/>
      <c r="T888" s="42"/>
      <c r="U888" s="42"/>
      <c r="V888" s="42"/>
      <c r="W888" s="42"/>
      <c r="X888" s="42"/>
      <c r="Y888" s="42"/>
      <c r="Z888" s="42"/>
      <c r="AA888" s="42"/>
      <c r="AB888" s="42"/>
      <c r="AC888" s="42"/>
    </row>
    <row r="889" spans="1:29" x14ac:dyDescent="0.25">
      <c r="A889" s="41"/>
      <c r="B889" s="42"/>
      <c r="C889" s="41"/>
      <c r="D889" s="42"/>
      <c r="E889" s="42"/>
      <c r="F889" s="35"/>
      <c r="G889" s="42"/>
      <c r="H889" s="41"/>
      <c r="I889" s="91"/>
      <c r="J889" s="91"/>
      <c r="K889" s="91"/>
      <c r="L889" s="41"/>
      <c r="M889" s="41"/>
      <c r="N889" s="42"/>
      <c r="O889" s="42"/>
      <c r="P889" s="42"/>
      <c r="Q889" s="42"/>
      <c r="R889" s="42"/>
      <c r="S889" s="42"/>
      <c r="T889" s="42"/>
      <c r="U889" s="42"/>
      <c r="V889" s="42"/>
      <c r="W889" s="42"/>
      <c r="X889" s="42"/>
      <c r="Y889" s="42"/>
      <c r="Z889" s="42"/>
      <c r="AA889" s="42"/>
      <c r="AB889" s="42"/>
      <c r="AC889" s="42"/>
    </row>
    <row r="890" spans="1:29" x14ac:dyDescent="0.25">
      <c r="A890" s="41"/>
      <c r="B890" s="42"/>
      <c r="C890" s="41"/>
      <c r="D890" s="42"/>
      <c r="E890" s="42"/>
      <c r="F890" s="35"/>
      <c r="G890" s="42"/>
      <c r="H890" s="41"/>
      <c r="I890" s="91"/>
      <c r="J890" s="91"/>
      <c r="K890" s="91"/>
      <c r="L890" s="41"/>
      <c r="M890" s="41"/>
      <c r="N890" s="42"/>
      <c r="O890" s="42"/>
      <c r="P890" s="42"/>
      <c r="Q890" s="42"/>
      <c r="R890" s="42"/>
      <c r="S890" s="42"/>
      <c r="T890" s="42"/>
      <c r="U890" s="42"/>
      <c r="V890" s="42"/>
      <c r="W890" s="42"/>
      <c r="X890" s="42"/>
      <c r="Y890" s="42"/>
      <c r="Z890" s="42"/>
      <c r="AA890" s="42"/>
      <c r="AB890" s="42"/>
      <c r="AC890" s="42"/>
    </row>
    <row r="891" spans="1:29" x14ac:dyDescent="0.25">
      <c r="A891" s="41"/>
      <c r="B891" s="42"/>
      <c r="C891" s="41"/>
      <c r="D891" s="42"/>
      <c r="E891" s="42"/>
      <c r="F891" s="35"/>
      <c r="G891" s="42"/>
      <c r="H891" s="41"/>
      <c r="I891" s="91"/>
      <c r="J891" s="91"/>
      <c r="K891" s="91"/>
      <c r="L891" s="41"/>
      <c r="M891" s="41"/>
      <c r="N891" s="42"/>
      <c r="O891" s="42"/>
      <c r="P891" s="42"/>
      <c r="Q891" s="42"/>
      <c r="R891" s="42"/>
      <c r="S891" s="42"/>
      <c r="T891" s="42"/>
      <c r="U891" s="42"/>
      <c r="V891" s="42"/>
      <c r="W891" s="42"/>
      <c r="X891" s="42"/>
      <c r="Y891" s="42"/>
      <c r="Z891" s="42"/>
      <c r="AA891" s="42"/>
      <c r="AB891" s="42"/>
      <c r="AC891" s="42"/>
    </row>
    <row r="892" spans="1:29" x14ac:dyDescent="0.25">
      <c r="A892" s="41"/>
      <c r="B892" s="42"/>
      <c r="C892" s="41"/>
      <c r="D892" s="42"/>
      <c r="E892" s="42"/>
      <c r="F892" s="35"/>
      <c r="G892" s="42"/>
      <c r="H892" s="41"/>
      <c r="I892" s="91"/>
      <c r="J892" s="91"/>
      <c r="K892" s="91"/>
      <c r="L892" s="41"/>
      <c r="M892" s="41"/>
      <c r="N892" s="42"/>
      <c r="O892" s="42"/>
      <c r="P892" s="42"/>
      <c r="Q892" s="42"/>
      <c r="R892" s="42"/>
      <c r="S892" s="42"/>
      <c r="T892" s="42"/>
      <c r="U892" s="42"/>
      <c r="V892" s="42"/>
      <c r="W892" s="42"/>
      <c r="X892" s="42"/>
      <c r="Y892" s="42"/>
      <c r="Z892" s="42"/>
      <c r="AA892" s="42"/>
      <c r="AB892" s="42"/>
      <c r="AC892" s="42"/>
    </row>
    <row r="893" spans="1:29" x14ac:dyDescent="0.25">
      <c r="A893" s="41"/>
      <c r="B893" s="42"/>
      <c r="C893" s="41"/>
      <c r="D893" s="42"/>
      <c r="E893" s="42"/>
      <c r="F893" s="35"/>
      <c r="G893" s="42"/>
      <c r="H893" s="41"/>
      <c r="I893" s="91"/>
      <c r="J893" s="91"/>
      <c r="K893" s="91"/>
      <c r="L893" s="41"/>
      <c r="M893" s="41"/>
      <c r="N893" s="42"/>
      <c r="O893" s="42"/>
      <c r="P893" s="42"/>
      <c r="Q893" s="42"/>
      <c r="R893" s="42"/>
      <c r="S893" s="42"/>
      <c r="T893" s="42"/>
      <c r="U893" s="42"/>
      <c r="V893" s="42"/>
      <c r="W893" s="42"/>
      <c r="X893" s="42"/>
      <c r="Y893" s="42"/>
      <c r="Z893" s="42"/>
      <c r="AA893" s="42"/>
      <c r="AB893" s="42"/>
      <c r="AC893" s="42"/>
    </row>
    <row r="894" spans="1:29" x14ac:dyDescent="0.25">
      <c r="A894" s="41"/>
      <c r="B894" s="42"/>
      <c r="C894" s="41"/>
      <c r="D894" s="42"/>
      <c r="E894" s="42"/>
      <c r="F894" s="35"/>
      <c r="G894" s="42"/>
      <c r="H894" s="41"/>
      <c r="I894" s="91"/>
      <c r="J894" s="91"/>
      <c r="K894" s="91"/>
      <c r="L894" s="41"/>
      <c r="M894" s="41"/>
      <c r="N894" s="42"/>
      <c r="O894" s="42"/>
      <c r="P894" s="42"/>
      <c r="Q894" s="42"/>
      <c r="R894" s="42"/>
      <c r="S894" s="42"/>
      <c r="T894" s="42"/>
      <c r="U894" s="42"/>
      <c r="V894" s="42"/>
      <c r="W894" s="42"/>
      <c r="X894" s="42"/>
      <c r="Y894" s="42"/>
      <c r="Z894" s="42"/>
      <c r="AA894" s="42"/>
      <c r="AB894" s="42"/>
      <c r="AC894" s="42"/>
    </row>
    <row r="895" spans="1:29" x14ac:dyDescent="0.25">
      <c r="A895" s="41"/>
      <c r="B895" s="42"/>
      <c r="C895" s="41"/>
      <c r="D895" s="42"/>
      <c r="E895" s="42"/>
      <c r="F895" s="35"/>
      <c r="G895" s="42"/>
      <c r="H895" s="41"/>
      <c r="I895" s="91"/>
      <c r="J895" s="91"/>
      <c r="K895" s="91"/>
      <c r="L895" s="41"/>
      <c r="M895" s="41"/>
      <c r="N895" s="42"/>
      <c r="O895" s="42"/>
      <c r="P895" s="42"/>
      <c r="Q895" s="42"/>
      <c r="R895" s="42"/>
      <c r="S895" s="42"/>
      <c r="T895" s="42"/>
      <c r="U895" s="42"/>
      <c r="V895" s="42"/>
      <c r="W895" s="42"/>
      <c r="X895" s="42"/>
      <c r="Y895" s="42"/>
      <c r="Z895" s="42"/>
      <c r="AA895" s="42"/>
      <c r="AB895" s="42"/>
      <c r="AC895" s="42"/>
    </row>
    <row r="896" spans="1:29" x14ac:dyDescent="0.25">
      <c r="A896" s="41"/>
      <c r="B896" s="42"/>
      <c r="C896" s="41"/>
      <c r="D896" s="42"/>
      <c r="E896" s="42"/>
      <c r="F896" s="35"/>
      <c r="G896" s="42"/>
      <c r="H896" s="41"/>
      <c r="I896" s="91"/>
      <c r="J896" s="91"/>
      <c r="K896" s="91"/>
      <c r="L896" s="41"/>
      <c r="M896" s="41"/>
      <c r="N896" s="42"/>
      <c r="O896" s="42"/>
      <c r="P896" s="42"/>
      <c r="Q896" s="42"/>
      <c r="R896" s="42"/>
      <c r="S896" s="42"/>
      <c r="T896" s="42"/>
      <c r="U896" s="42"/>
      <c r="V896" s="42"/>
      <c r="W896" s="42"/>
      <c r="X896" s="42"/>
      <c r="Y896" s="42"/>
      <c r="Z896" s="42"/>
      <c r="AA896" s="42"/>
      <c r="AB896" s="42"/>
      <c r="AC896" s="42"/>
    </row>
    <row r="897" spans="1:29" x14ac:dyDescent="0.25">
      <c r="A897" s="41"/>
      <c r="B897" s="42"/>
      <c r="C897" s="41"/>
      <c r="D897" s="42"/>
      <c r="E897" s="42"/>
      <c r="F897" s="35"/>
      <c r="G897" s="42"/>
      <c r="H897" s="41"/>
      <c r="I897" s="91"/>
      <c r="J897" s="91"/>
      <c r="K897" s="91"/>
      <c r="L897" s="41"/>
      <c r="M897" s="41"/>
      <c r="N897" s="42"/>
      <c r="O897" s="42"/>
      <c r="P897" s="42"/>
      <c r="Q897" s="42"/>
      <c r="R897" s="42"/>
      <c r="S897" s="42"/>
      <c r="T897" s="42"/>
      <c r="U897" s="42"/>
      <c r="V897" s="42"/>
      <c r="W897" s="42"/>
      <c r="X897" s="42"/>
      <c r="Y897" s="42"/>
      <c r="Z897" s="42"/>
      <c r="AA897" s="42"/>
      <c r="AB897" s="42"/>
      <c r="AC897" s="42"/>
    </row>
    <row r="898" spans="1:29" x14ac:dyDescent="0.25">
      <c r="A898" s="41"/>
      <c r="B898" s="42"/>
      <c r="C898" s="41"/>
      <c r="D898" s="42"/>
      <c r="E898" s="42"/>
      <c r="F898" s="35"/>
      <c r="G898" s="42"/>
      <c r="H898" s="41"/>
      <c r="I898" s="91"/>
      <c r="J898" s="91"/>
      <c r="K898" s="91"/>
      <c r="L898" s="41"/>
      <c r="M898" s="41"/>
      <c r="N898" s="42"/>
      <c r="O898" s="42"/>
      <c r="P898" s="42"/>
      <c r="Q898" s="42"/>
      <c r="R898" s="42"/>
      <c r="S898" s="42"/>
      <c r="T898" s="42"/>
      <c r="U898" s="42"/>
      <c r="V898" s="42"/>
      <c r="W898" s="42"/>
      <c r="X898" s="42"/>
      <c r="Y898" s="42"/>
      <c r="Z898" s="42"/>
      <c r="AA898" s="42"/>
      <c r="AB898" s="42"/>
      <c r="AC898" s="42"/>
    </row>
    <row r="899" spans="1:29" x14ac:dyDescent="0.25">
      <c r="A899" s="41"/>
      <c r="B899" s="42"/>
      <c r="C899" s="41"/>
      <c r="D899" s="42"/>
      <c r="E899" s="42"/>
      <c r="F899" s="35"/>
      <c r="G899" s="42"/>
      <c r="H899" s="41"/>
      <c r="I899" s="91"/>
      <c r="J899" s="91"/>
      <c r="K899" s="91"/>
      <c r="L899" s="41"/>
      <c r="M899" s="41"/>
      <c r="N899" s="42"/>
      <c r="O899" s="42"/>
      <c r="P899" s="42"/>
      <c r="Q899" s="42"/>
      <c r="R899" s="42"/>
      <c r="S899" s="42"/>
      <c r="T899" s="42"/>
      <c r="U899" s="42"/>
      <c r="V899" s="42"/>
      <c r="W899" s="42"/>
      <c r="X899" s="42"/>
      <c r="Y899" s="42"/>
      <c r="Z899" s="42"/>
      <c r="AA899" s="42"/>
      <c r="AB899" s="42"/>
      <c r="AC899" s="42"/>
    </row>
    <row r="900" spans="1:29" x14ac:dyDescent="0.25">
      <c r="A900" s="41"/>
      <c r="B900" s="42"/>
      <c r="C900" s="41"/>
      <c r="D900" s="42"/>
      <c r="E900" s="42"/>
      <c r="F900" s="35"/>
      <c r="G900" s="42"/>
      <c r="H900" s="41"/>
      <c r="I900" s="91"/>
      <c r="J900" s="91"/>
      <c r="K900" s="91"/>
      <c r="L900" s="41"/>
      <c r="M900" s="41"/>
      <c r="N900" s="42"/>
      <c r="O900" s="42"/>
      <c r="P900" s="42"/>
      <c r="Q900" s="42"/>
      <c r="R900" s="42"/>
      <c r="S900" s="42"/>
      <c r="T900" s="42"/>
      <c r="U900" s="42"/>
      <c r="V900" s="42"/>
      <c r="W900" s="42"/>
      <c r="X900" s="42"/>
      <c r="Y900" s="42"/>
      <c r="Z900" s="42"/>
      <c r="AA900" s="42"/>
      <c r="AB900" s="42"/>
      <c r="AC900" s="42"/>
    </row>
    <row r="901" spans="1:29" x14ac:dyDescent="0.25">
      <c r="A901" s="41"/>
      <c r="B901" s="42"/>
      <c r="C901" s="41"/>
      <c r="D901" s="42"/>
      <c r="E901" s="42"/>
      <c r="F901" s="35"/>
      <c r="G901" s="42"/>
      <c r="H901" s="41"/>
      <c r="I901" s="91"/>
      <c r="J901" s="91"/>
      <c r="K901" s="91"/>
      <c r="L901" s="41"/>
      <c r="M901" s="41"/>
      <c r="N901" s="42"/>
      <c r="O901" s="42"/>
      <c r="P901" s="42"/>
      <c r="Q901" s="42"/>
      <c r="R901" s="42"/>
      <c r="S901" s="42"/>
      <c r="T901" s="42"/>
      <c r="U901" s="42"/>
      <c r="V901" s="42"/>
      <c r="W901" s="42"/>
      <c r="X901" s="42"/>
      <c r="Y901" s="42"/>
      <c r="Z901" s="42"/>
      <c r="AA901" s="42"/>
      <c r="AB901" s="42"/>
      <c r="AC901" s="42"/>
    </row>
    <row r="902" spans="1:29" x14ac:dyDescent="0.25">
      <c r="A902" s="41"/>
      <c r="B902" s="42"/>
      <c r="C902" s="41"/>
      <c r="D902" s="42"/>
      <c r="E902" s="42"/>
      <c r="F902" s="35"/>
      <c r="G902" s="42"/>
      <c r="H902" s="41"/>
      <c r="I902" s="91"/>
      <c r="J902" s="91"/>
      <c r="K902" s="91"/>
      <c r="L902" s="41"/>
      <c r="M902" s="41"/>
      <c r="N902" s="42"/>
      <c r="O902" s="42"/>
      <c r="P902" s="42"/>
      <c r="Q902" s="42"/>
      <c r="R902" s="42"/>
      <c r="S902" s="42"/>
      <c r="T902" s="42"/>
      <c r="U902" s="42"/>
      <c r="V902" s="42"/>
      <c r="W902" s="42"/>
      <c r="X902" s="42"/>
      <c r="Y902" s="42"/>
      <c r="Z902" s="42"/>
      <c r="AA902" s="42"/>
      <c r="AB902" s="42"/>
      <c r="AC902" s="42"/>
    </row>
    <row r="903" spans="1:29" x14ac:dyDescent="0.25">
      <c r="A903" s="41"/>
      <c r="B903" s="42"/>
      <c r="C903" s="41"/>
      <c r="D903" s="42"/>
      <c r="E903" s="42"/>
      <c r="F903" s="35"/>
      <c r="G903" s="42"/>
      <c r="H903" s="41"/>
      <c r="I903" s="91"/>
      <c r="J903" s="91"/>
      <c r="K903" s="91"/>
      <c r="L903" s="41"/>
      <c r="M903" s="41"/>
      <c r="N903" s="42"/>
      <c r="O903" s="42"/>
      <c r="P903" s="42"/>
      <c r="Q903" s="42"/>
      <c r="R903" s="42"/>
      <c r="S903" s="42"/>
      <c r="T903" s="42"/>
      <c r="U903" s="42"/>
      <c r="V903" s="42"/>
      <c r="W903" s="42"/>
      <c r="X903" s="42"/>
      <c r="Y903" s="42"/>
      <c r="Z903" s="42"/>
      <c r="AA903" s="42"/>
      <c r="AB903" s="42"/>
      <c r="AC903" s="42"/>
    </row>
    <row r="904" spans="1:29" x14ac:dyDescent="0.25">
      <c r="A904" s="41"/>
      <c r="B904" s="42"/>
      <c r="C904" s="41"/>
      <c r="D904" s="42"/>
      <c r="E904" s="42"/>
      <c r="F904" s="35"/>
      <c r="G904" s="42"/>
      <c r="H904" s="41"/>
      <c r="I904" s="91"/>
      <c r="J904" s="91"/>
      <c r="K904" s="91"/>
      <c r="L904" s="41"/>
      <c r="M904" s="41"/>
      <c r="N904" s="42"/>
      <c r="O904" s="42"/>
      <c r="P904" s="42"/>
      <c r="Q904" s="42"/>
      <c r="R904" s="42"/>
      <c r="S904" s="42"/>
      <c r="T904" s="42"/>
      <c r="U904" s="42"/>
      <c r="V904" s="42"/>
      <c r="W904" s="42"/>
      <c r="X904" s="42"/>
      <c r="Y904" s="42"/>
      <c r="Z904" s="42"/>
      <c r="AA904" s="42"/>
      <c r="AB904" s="42"/>
      <c r="AC904" s="42"/>
    </row>
    <row r="905" spans="1:29" x14ac:dyDescent="0.25">
      <c r="A905" s="41"/>
      <c r="B905" s="42"/>
      <c r="C905" s="41"/>
      <c r="D905" s="42"/>
      <c r="E905" s="42"/>
      <c r="F905" s="35"/>
      <c r="G905" s="42"/>
      <c r="H905" s="41"/>
      <c r="I905" s="91"/>
      <c r="J905" s="91"/>
      <c r="K905" s="91"/>
      <c r="L905" s="41"/>
      <c r="M905" s="41"/>
      <c r="N905" s="42"/>
      <c r="O905" s="42"/>
      <c r="P905" s="42"/>
      <c r="Q905" s="42"/>
      <c r="R905" s="42"/>
      <c r="S905" s="42"/>
      <c r="T905" s="42"/>
      <c r="U905" s="42"/>
      <c r="V905" s="42"/>
      <c r="W905" s="42"/>
      <c r="X905" s="42"/>
      <c r="Y905" s="42"/>
      <c r="Z905" s="42"/>
      <c r="AA905" s="42"/>
      <c r="AB905" s="42"/>
      <c r="AC905" s="42"/>
    </row>
    <row r="906" spans="1:29" x14ac:dyDescent="0.25">
      <c r="A906" s="41"/>
      <c r="B906" s="42"/>
      <c r="C906" s="41"/>
      <c r="D906" s="42"/>
      <c r="E906" s="42"/>
      <c r="F906" s="35"/>
      <c r="G906" s="42"/>
      <c r="H906" s="41"/>
      <c r="I906" s="91"/>
      <c r="J906" s="91"/>
      <c r="K906" s="91"/>
      <c r="L906" s="41"/>
      <c r="M906" s="41"/>
      <c r="N906" s="42"/>
      <c r="O906" s="42"/>
      <c r="P906" s="42"/>
      <c r="Q906" s="42"/>
      <c r="R906" s="42"/>
      <c r="S906" s="42"/>
      <c r="T906" s="42"/>
      <c r="U906" s="42"/>
      <c r="V906" s="42"/>
      <c r="W906" s="42"/>
      <c r="X906" s="42"/>
      <c r="Y906" s="42"/>
      <c r="Z906" s="42"/>
      <c r="AA906" s="42"/>
      <c r="AB906" s="42"/>
      <c r="AC906" s="42"/>
    </row>
    <row r="907" spans="1:29" x14ac:dyDescent="0.25">
      <c r="A907" s="41"/>
      <c r="B907" s="42"/>
      <c r="C907" s="41"/>
      <c r="D907" s="42"/>
      <c r="E907" s="42"/>
      <c r="F907" s="35"/>
      <c r="G907" s="42"/>
      <c r="H907" s="41"/>
      <c r="I907" s="91"/>
      <c r="J907" s="91"/>
      <c r="K907" s="91"/>
      <c r="L907" s="41"/>
      <c r="M907" s="41"/>
      <c r="N907" s="42"/>
      <c r="O907" s="42"/>
      <c r="P907" s="42"/>
      <c r="Q907" s="42"/>
      <c r="R907" s="42"/>
      <c r="S907" s="42"/>
      <c r="T907" s="42"/>
      <c r="U907" s="42"/>
      <c r="V907" s="42"/>
      <c r="W907" s="42"/>
      <c r="X907" s="42"/>
      <c r="Y907" s="42"/>
      <c r="Z907" s="42"/>
      <c r="AA907" s="42"/>
      <c r="AB907" s="42"/>
      <c r="AC907" s="42"/>
    </row>
    <row r="908" spans="1:29" x14ac:dyDescent="0.25">
      <c r="A908" s="41"/>
      <c r="B908" s="42"/>
      <c r="C908" s="41"/>
      <c r="D908" s="42"/>
      <c r="E908" s="42"/>
      <c r="F908" s="35"/>
      <c r="G908" s="42"/>
      <c r="H908" s="41"/>
      <c r="I908" s="91"/>
      <c r="J908" s="91"/>
      <c r="K908" s="91"/>
      <c r="L908" s="41"/>
      <c r="M908" s="41"/>
      <c r="N908" s="42"/>
      <c r="O908" s="42"/>
      <c r="P908" s="42"/>
      <c r="Q908" s="42"/>
      <c r="R908" s="42"/>
      <c r="S908" s="42"/>
      <c r="T908" s="42"/>
      <c r="U908" s="42"/>
      <c r="V908" s="42"/>
      <c r="W908" s="42"/>
      <c r="X908" s="42"/>
      <c r="Y908" s="42"/>
      <c r="Z908" s="42"/>
      <c r="AA908" s="42"/>
      <c r="AB908" s="42"/>
      <c r="AC908" s="42"/>
    </row>
    <row r="909" spans="1:29" x14ac:dyDescent="0.25">
      <c r="A909" s="41"/>
      <c r="B909" s="42"/>
      <c r="C909" s="41"/>
      <c r="D909" s="42"/>
      <c r="E909" s="42"/>
      <c r="F909" s="35"/>
      <c r="G909" s="42"/>
      <c r="H909" s="41"/>
      <c r="I909" s="91"/>
      <c r="J909" s="91"/>
      <c r="K909" s="91"/>
      <c r="L909" s="41"/>
      <c r="M909" s="41"/>
      <c r="N909" s="42"/>
      <c r="O909" s="42"/>
      <c r="P909" s="42"/>
      <c r="Q909" s="42"/>
      <c r="R909" s="42"/>
      <c r="S909" s="42"/>
      <c r="T909" s="42"/>
      <c r="U909" s="42"/>
      <c r="V909" s="42"/>
      <c r="W909" s="42"/>
      <c r="X909" s="42"/>
      <c r="Y909" s="42"/>
      <c r="Z909" s="42"/>
      <c r="AA909" s="42"/>
      <c r="AB909" s="42"/>
      <c r="AC909" s="42"/>
    </row>
    <row r="910" spans="1:29" x14ac:dyDescent="0.25">
      <c r="A910" s="41"/>
      <c r="B910" s="42"/>
      <c r="C910" s="41"/>
      <c r="D910" s="42"/>
      <c r="E910" s="42"/>
      <c r="F910" s="35"/>
      <c r="G910" s="42"/>
      <c r="H910" s="41"/>
      <c r="I910" s="91"/>
      <c r="J910" s="91"/>
      <c r="K910" s="91"/>
      <c r="L910" s="41"/>
      <c r="M910" s="41"/>
      <c r="N910" s="42"/>
      <c r="O910" s="42"/>
      <c r="P910" s="42"/>
      <c r="Q910" s="42"/>
      <c r="R910" s="42"/>
      <c r="S910" s="42"/>
      <c r="T910" s="42"/>
      <c r="U910" s="42"/>
      <c r="V910" s="42"/>
      <c r="W910" s="42"/>
      <c r="X910" s="42"/>
      <c r="Y910" s="42"/>
      <c r="Z910" s="42"/>
      <c r="AA910" s="42"/>
      <c r="AB910" s="42"/>
      <c r="AC910" s="42"/>
    </row>
    <row r="911" spans="1:29" x14ac:dyDescent="0.25">
      <c r="A911" s="41"/>
      <c r="B911" s="42"/>
      <c r="C911" s="41"/>
      <c r="D911" s="42"/>
      <c r="E911" s="42"/>
      <c r="F911" s="35"/>
      <c r="G911" s="42"/>
      <c r="H911" s="41"/>
      <c r="I911" s="91"/>
      <c r="J911" s="91"/>
      <c r="K911" s="91"/>
      <c r="L911" s="41"/>
      <c r="M911" s="41"/>
      <c r="N911" s="42"/>
      <c r="O911" s="42"/>
      <c r="P911" s="42"/>
      <c r="Q911" s="42"/>
      <c r="R911" s="42"/>
      <c r="S911" s="42"/>
      <c r="T911" s="42"/>
      <c r="U911" s="42"/>
      <c r="V911" s="42"/>
      <c r="W911" s="42"/>
      <c r="X911" s="42"/>
      <c r="Y911" s="42"/>
      <c r="Z911" s="42"/>
      <c r="AA911" s="42"/>
      <c r="AB911" s="42"/>
      <c r="AC911" s="42"/>
    </row>
    <row r="912" spans="1:29" x14ac:dyDescent="0.25">
      <c r="A912" s="41"/>
      <c r="B912" s="42"/>
      <c r="C912" s="41"/>
      <c r="D912" s="42"/>
      <c r="E912" s="42"/>
      <c r="F912" s="35"/>
      <c r="G912" s="42"/>
      <c r="H912" s="41"/>
      <c r="I912" s="91"/>
      <c r="J912" s="91"/>
      <c r="K912" s="91"/>
      <c r="L912" s="41"/>
      <c r="M912" s="41"/>
      <c r="N912" s="42"/>
      <c r="O912" s="42"/>
      <c r="P912" s="42"/>
      <c r="Q912" s="42"/>
      <c r="R912" s="42"/>
      <c r="S912" s="42"/>
      <c r="T912" s="42"/>
      <c r="U912" s="42"/>
      <c r="V912" s="42"/>
      <c r="W912" s="42"/>
      <c r="X912" s="42"/>
      <c r="Y912" s="42"/>
      <c r="Z912" s="42"/>
      <c r="AA912" s="42"/>
      <c r="AB912" s="42"/>
      <c r="AC912" s="42"/>
    </row>
    <row r="913" spans="1:29" x14ac:dyDescent="0.25">
      <c r="A913" s="41"/>
      <c r="B913" s="42"/>
      <c r="C913" s="41"/>
      <c r="D913" s="42"/>
      <c r="E913" s="42"/>
      <c r="F913" s="35"/>
      <c r="G913" s="42"/>
      <c r="H913" s="41"/>
      <c r="I913" s="91"/>
      <c r="J913" s="91"/>
      <c r="K913" s="91"/>
      <c r="L913" s="41"/>
      <c r="M913" s="41"/>
      <c r="N913" s="42"/>
      <c r="O913" s="42"/>
      <c r="P913" s="42"/>
      <c r="Q913" s="42"/>
      <c r="R913" s="42"/>
      <c r="S913" s="42"/>
      <c r="T913" s="42"/>
      <c r="U913" s="42"/>
      <c r="V913" s="42"/>
      <c r="W913" s="42"/>
      <c r="X913" s="42"/>
      <c r="Y913" s="42"/>
      <c r="Z913" s="42"/>
      <c r="AA913" s="42"/>
      <c r="AB913" s="42"/>
      <c r="AC913" s="42"/>
    </row>
    <row r="914" spans="1:29" x14ac:dyDescent="0.25">
      <c r="A914" s="41"/>
      <c r="B914" s="42"/>
      <c r="C914" s="41"/>
      <c r="D914" s="42"/>
      <c r="E914" s="42"/>
      <c r="F914" s="35"/>
      <c r="G914" s="42"/>
      <c r="H914" s="41"/>
      <c r="I914" s="91"/>
      <c r="J914" s="91"/>
      <c r="K914" s="91"/>
      <c r="L914" s="41"/>
      <c r="M914" s="41"/>
      <c r="N914" s="42"/>
      <c r="O914" s="42"/>
      <c r="P914" s="42"/>
      <c r="Q914" s="42"/>
      <c r="R914" s="42"/>
      <c r="S914" s="42"/>
      <c r="T914" s="42"/>
      <c r="U914" s="42"/>
      <c r="V914" s="42"/>
      <c r="W914" s="42"/>
      <c r="X914" s="42"/>
      <c r="Y914" s="42"/>
      <c r="Z914" s="42"/>
      <c r="AA914" s="42"/>
      <c r="AB914" s="42"/>
      <c r="AC914" s="42"/>
    </row>
    <row r="915" spans="1:29" x14ac:dyDescent="0.25">
      <c r="A915" s="41"/>
      <c r="B915" s="42"/>
      <c r="C915" s="41"/>
      <c r="D915" s="42"/>
      <c r="E915" s="42"/>
      <c r="F915" s="35"/>
      <c r="G915" s="42"/>
      <c r="H915" s="41"/>
      <c r="I915" s="91"/>
      <c r="J915" s="91"/>
      <c r="K915" s="91"/>
      <c r="L915" s="41"/>
      <c r="M915" s="41"/>
      <c r="N915" s="42"/>
      <c r="O915" s="42"/>
      <c r="P915" s="42"/>
      <c r="Q915" s="42"/>
      <c r="R915" s="42"/>
      <c r="S915" s="42"/>
      <c r="T915" s="42"/>
      <c r="U915" s="42"/>
      <c r="V915" s="42"/>
      <c r="W915" s="42"/>
      <c r="X915" s="42"/>
      <c r="Y915" s="42"/>
      <c r="Z915" s="42"/>
      <c r="AA915" s="42"/>
      <c r="AB915" s="42"/>
      <c r="AC915" s="42"/>
    </row>
    <row r="916" spans="1:29" x14ac:dyDescent="0.25">
      <c r="A916" s="41"/>
      <c r="B916" s="42"/>
      <c r="C916" s="41"/>
      <c r="D916" s="42"/>
      <c r="E916" s="42"/>
      <c r="F916" s="35"/>
      <c r="G916" s="42"/>
      <c r="H916" s="41"/>
      <c r="I916" s="91"/>
      <c r="J916" s="91"/>
      <c r="K916" s="91"/>
      <c r="L916" s="41"/>
      <c r="M916" s="41"/>
      <c r="N916" s="42"/>
      <c r="O916" s="42"/>
      <c r="P916" s="42"/>
      <c r="Q916" s="42"/>
      <c r="R916" s="42"/>
      <c r="S916" s="42"/>
      <c r="T916" s="42"/>
      <c r="U916" s="42"/>
      <c r="V916" s="42"/>
      <c r="W916" s="42"/>
      <c r="X916" s="42"/>
      <c r="Y916" s="42"/>
      <c r="Z916" s="42"/>
      <c r="AA916" s="42"/>
      <c r="AB916" s="42"/>
      <c r="AC916" s="42"/>
    </row>
    <row r="917" spans="1:29" x14ac:dyDescent="0.25">
      <c r="A917" s="41"/>
      <c r="B917" s="42"/>
      <c r="C917" s="41"/>
      <c r="D917" s="42"/>
      <c r="E917" s="42"/>
      <c r="F917" s="35"/>
      <c r="G917" s="42"/>
      <c r="H917" s="41"/>
      <c r="I917" s="91"/>
      <c r="J917" s="91"/>
      <c r="K917" s="91"/>
      <c r="L917" s="41"/>
      <c r="M917" s="41"/>
      <c r="N917" s="42"/>
      <c r="O917" s="42"/>
      <c r="P917" s="42"/>
      <c r="Q917" s="42"/>
      <c r="R917" s="42"/>
      <c r="S917" s="42"/>
      <c r="T917" s="42"/>
      <c r="U917" s="42"/>
      <c r="V917" s="42"/>
      <c r="W917" s="42"/>
      <c r="X917" s="42"/>
      <c r="Y917" s="42"/>
      <c r="Z917" s="42"/>
      <c r="AA917" s="42"/>
      <c r="AB917" s="42"/>
      <c r="AC917" s="42"/>
    </row>
    <row r="918" spans="1:29" x14ac:dyDescent="0.25">
      <c r="A918" s="41"/>
      <c r="B918" s="42"/>
      <c r="C918" s="41"/>
      <c r="D918" s="42"/>
      <c r="E918" s="42"/>
      <c r="F918" s="35"/>
      <c r="G918" s="42"/>
      <c r="H918" s="41"/>
      <c r="I918" s="91"/>
      <c r="J918" s="91"/>
      <c r="K918" s="91"/>
      <c r="L918" s="41"/>
      <c r="M918" s="41"/>
      <c r="N918" s="42"/>
      <c r="O918" s="42"/>
      <c r="P918" s="42"/>
      <c r="Q918" s="42"/>
      <c r="R918" s="42"/>
      <c r="S918" s="42"/>
      <c r="T918" s="42"/>
      <c r="U918" s="42"/>
      <c r="V918" s="42"/>
      <c r="W918" s="42"/>
      <c r="X918" s="42"/>
      <c r="Y918" s="42"/>
      <c r="Z918" s="42"/>
      <c r="AA918" s="42"/>
      <c r="AB918" s="42"/>
      <c r="AC918" s="42"/>
    </row>
    <row r="919" spans="1:29" x14ac:dyDescent="0.25">
      <c r="A919" s="41"/>
      <c r="B919" s="42"/>
      <c r="C919" s="41"/>
      <c r="D919" s="42"/>
      <c r="E919" s="42"/>
      <c r="F919" s="35"/>
      <c r="G919" s="42"/>
      <c r="H919" s="41"/>
      <c r="I919" s="91"/>
      <c r="J919" s="91"/>
      <c r="K919" s="91"/>
      <c r="L919" s="41"/>
      <c r="M919" s="41"/>
      <c r="N919" s="42"/>
      <c r="O919" s="42"/>
      <c r="P919" s="42"/>
      <c r="Q919" s="42"/>
      <c r="R919" s="42"/>
      <c r="S919" s="42"/>
      <c r="T919" s="42"/>
      <c r="U919" s="42"/>
      <c r="V919" s="42"/>
      <c r="W919" s="42"/>
      <c r="X919" s="42"/>
      <c r="Y919" s="42"/>
      <c r="Z919" s="42"/>
      <c r="AA919" s="42"/>
      <c r="AB919" s="42"/>
      <c r="AC919" s="42"/>
    </row>
    <row r="920" spans="1:29" x14ac:dyDescent="0.25">
      <c r="A920" s="41"/>
      <c r="B920" s="42"/>
      <c r="C920" s="41"/>
      <c r="D920" s="42"/>
      <c r="E920" s="42"/>
      <c r="F920" s="35"/>
      <c r="G920" s="42"/>
      <c r="H920" s="41"/>
      <c r="I920" s="91"/>
      <c r="J920" s="91"/>
      <c r="K920" s="91"/>
      <c r="L920" s="41"/>
      <c r="M920" s="41"/>
      <c r="N920" s="42"/>
      <c r="O920" s="42"/>
      <c r="P920" s="42"/>
      <c r="Q920" s="42"/>
      <c r="R920" s="42"/>
      <c r="S920" s="42"/>
      <c r="T920" s="42"/>
      <c r="U920" s="42"/>
      <c r="V920" s="42"/>
      <c r="W920" s="42"/>
      <c r="X920" s="42"/>
      <c r="Y920" s="42"/>
      <c r="Z920" s="42"/>
      <c r="AA920" s="42"/>
      <c r="AB920" s="42"/>
      <c r="AC920" s="42"/>
    </row>
    <row r="921" spans="1:29" x14ac:dyDescent="0.25">
      <c r="A921" s="41"/>
      <c r="B921" s="42"/>
      <c r="C921" s="41"/>
      <c r="D921" s="42"/>
      <c r="E921" s="42"/>
      <c r="F921" s="35"/>
      <c r="G921" s="42"/>
      <c r="H921" s="41"/>
      <c r="I921" s="91"/>
      <c r="J921" s="91"/>
      <c r="K921" s="91"/>
      <c r="L921" s="41"/>
      <c r="M921" s="41"/>
      <c r="N921" s="42"/>
      <c r="O921" s="42"/>
      <c r="P921" s="42"/>
      <c r="Q921" s="42"/>
      <c r="R921" s="42"/>
      <c r="S921" s="42"/>
      <c r="T921" s="42"/>
      <c r="U921" s="42"/>
      <c r="V921" s="42"/>
      <c r="W921" s="42"/>
      <c r="X921" s="42"/>
      <c r="Y921" s="42"/>
      <c r="Z921" s="42"/>
      <c r="AA921" s="42"/>
      <c r="AB921" s="42"/>
      <c r="AC921" s="42"/>
    </row>
    <row r="922" spans="1:29" x14ac:dyDescent="0.25">
      <c r="A922" s="41"/>
      <c r="B922" s="42"/>
      <c r="C922" s="41"/>
      <c r="D922" s="42"/>
      <c r="E922" s="42"/>
      <c r="F922" s="35"/>
      <c r="G922" s="42"/>
      <c r="H922" s="41"/>
      <c r="I922" s="91"/>
      <c r="J922" s="91"/>
      <c r="K922" s="91"/>
      <c r="L922" s="41"/>
      <c r="M922" s="41"/>
      <c r="N922" s="42"/>
      <c r="O922" s="42"/>
      <c r="P922" s="42"/>
      <c r="Q922" s="42"/>
      <c r="R922" s="42"/>
      <c r="S922" s="42"/>
      <c r="T922" s="42"/>
      <c r="U922" s="42"/>
      <c r="V922" s="42"/>
      <c r="W922" s="42"/>
      <c r="X922" s="42"/>
      <c r="Y922" s="42"/>
      <c r="Z922" s="42"/>
      <c r="AA922" s="42"/>
      <c r="AB922" s="42"/>
      <c r="AC922" s="42"/>
    </row>
    <row r="923" spans="1:29" x14ac:dyDescent="0.25">
      <c r="A923" s="41"/>
      <c r="B923" s="42"/>
      <c r="C923" s="41"/>
      <c r="D923" s="42"/>
      <c r="E923" s="42"/>
      <c r="F923" s="35"/>
      <c r="G923" s="42"/>
      <c r="H923" s="41"/>
      <c r="I923" s="91"/>
      <c r="J923" s="91"/>
      <c r="K923" s="91"/>
      <c r="L923" s="41"/>
      <c r="M923" s="41"/>
      <c r="N923" s="42"/>
      <c r="O923" s="42"/>
      <c r="P923" s="42"/>
      <c r="Q923" s="42"/>
      <c r="R923" s="42"/>
      <c r="S923" s="42"/>
      <c r="T923" s="42"/>
      <c r="U923" s="42"/>
      <c r="V923" s="42"/>
      <c r="W923" s="42"/>
      <c r="X923" s="42"/>
      <c r="Y923" s="42"/>
      <c r="Z923" s="42"/>
      <c r="AA923" s="42"/>
      <c r="AB923" s="42"/>
      <c r="AC923" s="42"/>
    </row>
    <row r="924" spans="1:29" x14ac:dyDescent="0.25">
      <c r="A924" s="41"/>
      <c r="B924" s="42"/>
      <c r="C924" s="41"/>
      <c r="D924" s="42"/>
      <c r="E924" s="42"/>
      <c r="F924" s="35"/>
      <c r="G924" s="42"/>
      <c r="H924" s="41"/>
      <c r="I924" s="91"/>
      <c r="J924" s="91"/>
      <c r="K924" s="91"/>
      <c r="L924" s="41"/>
      <c r="M924" s="41"/>
      <c r="N924" s="42"/>
      <c r="O924" s="42"/>
      <c r="P924" s="42"/>
      <c r="Q924" s="42"/>
      <c r="R924" s="42"/>
      <c r="S924" s="42"/>
      <c r="T924" s="42"/>
      <c r="U924" s="42"/>
      <c r="V924" s="42"/>
      <c r="W924" s="42"/>
      <c r="X924" s="42"/>
      <c r="Y924" s="42"/>
      <c r="Z924" s="42"/>
      <c r="AA924" s="42"/>
      <c r="AB924" s="42"/>
      <c r="AC924" s="42"/>
    </row>
    <row r="925" spans="1:29" x14ac:dyDescent="0.25">
      <c r="A925" s="41"/>
      <c r="B925" s="42"/>
      <c r="C925" s="41"/>
      <c r="D925" s="42"/>
      <c r="E925" s="42"/>
      <c r="F925" s="35"/>
      <c r="G925" s="42"/>
      <c r="H925" s="41"/>
      <c r="I925" s="91"/>
      <c r="J925" s="91"/>
      <c r="K925" s="91"/>
      <c r="L925" s="41"/>
      <c r="M925" s="41"/>
      <c r="N925" s="42"/>
      <c r="O925" s="42"/>
      <c r="P925" s="42"/>
      <c r="Q925" s="42"/>
      <c r="R925" s="42"/>
      <c r="S925" s="42"/>
      <c r="T925" s="42"/>
      <c r="U925" s="42"/>
      <c r="V925" s="42"/>
      <c r="W925" s="42"/>
      <c r="X925" s="42"/>
      <c r="Y925" s="42"/>
      <c r="Z925" s="42"/>
      <c r="AA925" s="42"/>
      <c r="AB925" s="42"/>
      <c r="AC925" s="42"/>
    </row>
    <row r="926" spans="1:29" x14ac:dyDescent="0.25">
      <c r="A926" s="41"/>
      <c r="B926" s="42"/>
      <c r="C926" s="41"/>
      <c r="D926" s="42"/>
      <c r="E926" s="42"/>
      <c r="F926" s="35"/>
      <c r="G926" s="42"/>
      <c r="H926" s="41"/>
      <c r="I926" s="91"/>
      <c r="J926" s="91"/>
      <c r="K926" s="91"/>
      <c r="L926" s="41"/>
      <c r="M926" s="41"/>
      <c r="N926" s="42"/>
      <c r="O926" s="42"/>
      <c r="P926" s="42"/>
      <c r="Q926" s="42"/>
      <c r="R926" s="42"/>
      <c r="S926" s="42"/>
      <c r="T926" s="42"/>
      <c r="U926" s="42"/>
      <c r="V926" s="42"/>
      <c r="W926" s="42"/>
      <c r="X926" s="42"/>
      <c r="Y926" s="42"/>
      <c r="Z926" s="42"/>
      <c r="AA926" s="42"/>
      <c r="AB926" s="42"/>
      <c r="AC926" s="42"/>
    </row>
    <row r="927" spans="1:29" x14ac:dyDescent="0.25">
      <c r="A927" s="41"/>
      <c r="B927" s="42"/>
      <c r="C927" s="41"/>
      <c r="D927" s="42"/>
      <c r="E927" s="42"/>
      <c r="F927" s="35"/>
      <c r="G927" s="42"/>
      <c r="H927" s="41"/>
      <c r="I927" s="91"/>
      <c r="J927" s="91"/>
      <c r="K927" s="91"/>
      <c r="L927" s="41"/>
      <c r="M927" s="41"/>
      <c r="N927" s="42"/>
      <c r="O927" s="42"/>
      <c r="P927" s="42"/>
      <c r="Q927" s="42"/>
      <c r="R927" s="42"/>
      <c r="S927" s="42"/>
      <c r="T927" s="42"/>
      <c r="U927" s="42"/>
      <c r="V927" s="42"/>
      <c r="W927" s="42"/>
      <c r="X927" s="42"/>
      <c r="Y927" s="42"/>
      <c r="Z927" s="42"/>
      <c r="AA927" s="42"/>
      <c r="AB927" s="42"/>
      <c r="AC927" s="42"/>
    </row>
    <row r="928" spans="1:29" x14ac:dyDescent="0.25">
      <c r="A928" s="41"/>
      <c r="B928" s="42"/>
      <c r="C928" s="41"/>
      <c r="D928" s="42"/>
      <c r="E928" s="42"/>
      <c r="F928" s="35"/>
      <c r="G928" s="42"/>
      <c r="H928" s="41"/>
      <c r="I928" s="91"/>
      <c r="J928" s="91"/>
      <c r="K928" s="91"/>
      <c r="L928" s="41"/>
      <c r="M928" s="41"/>
      <c r="N928" s="42"/>
      <c r="O928" s="42"/>
      <c r="P928" s="42"/>
      <c r="Q928" s="42"/>
      <c r="R928" s="42"/>
      <c r="S928" s="42"/>
      <c r="T928" s="42"/>
      <c r="U928" s="42"/>
      <c r="V928" s="42"/>
      <c r="W928" s="42"/>
      <c r="X928" s="42"/>
      <c r="Y928" s="42"/>
      <c r="Z928" s="42"/>
      <c r="AA928" s="42"/>
      <c r="AB928" s="42"/>
      <c r="AC928" s="42"/>
    </row>
    <row r="929" spans="1:29" x14ac:dyDescent="0.25">
      <c r="A929" s="41"/>
      <c r="B929" s="42"/>
      <c r="C929" s="41"/>
      <c r="D929" s="42"/>
      <c r="E929" s="42"/>
      <c r="F929" s="35"/>
      <c r="G929" s="42"/>
      <c r="H929" s="41"/>
      <c r="I929" s="91"/>
      <c r="J929" s="91"/>
      <c r="K929" s="91"/>
      <c r="L929" s="41"/>
      <c r="M929" s="41"/>
      <c r="N929" s="42"/>
      <c r="O929" s="42"/>
      <c r="P929" s="42"/>
      <c r="Q929" s="42"/>
      <c r="R929" s="42"/>
      <c r="S929" s="42"/>
      <c r="T929" s="42"/>
      <c r="U929" s="42"/>
      <c r="V929" s="42"/>
      <c r="W929" s="42"/>
      <c r="X929" s="42"/>
      <c r="Y929" s="42"/>
      <c r="Z929" s="42"/>
      <c r="AA929" s="42"/>
      <c r="AB929" s="42"/>
      <c r="AC929" s="42"/>
    </row>
    <row r="930" spans="1:29" x14ac:dyDescent="0.25">
      <c r="A930" s="41"/>
      <c r="B930" s="42"/>
      <c r="C930" s="41"/>
      <c r="D930" s="42"/>
      <c r="E930" s="42"/>
      <c r="F930" s="35"/>
      <c r="G930" s="42"/>
      <c r="H930" s="41"/>
      <c r="I930" s="91"/>
      <c r="J930" s="91"/>
      <c r="K930" s="91"/>
      <c r="L930" s="41"/>
      <c r="M930" s="41"/>
      <c r="N930" s="42"/>
      <c r="O930" s="42"/>
      <c r="P930" s="42"/>
      <c r="Q930" s="42"/>
      <c r="R930" s="42"/>
      <c r="S930" s="42"/>
      <c r="T930" s="42"/>
      <c r="U930" s="42"/>
      <c r="V930" s="42"/>
      <c r="W930" s="42"/>
      <c r="X930" s="42"/>
      <c r="Y930" s="42"/>
      <c r="Z930" s="42"/>
      <c r="AA930" s="42"/>
      <c r="AB930" s="42"/>
      <c r="AC930" s="42"/>
    </row>
    <row r="931" spans="1:29" x14ac:dyDescent="0.25">
      <c r="A931" s="41"/>
      <c r="B931" s="42"/>
      <c r="C931" s="41"/>
      <c r="D931" s="42"/>
      <c r="E931" s="42"/>
      <c r="F931" s="35"/>
      <c r="G931" s="42"/>
      <c r="H931" s="41"/>
      <c r="I931" s="91"/>
      <c r="J931" s="91"/>
      <c r="K931" s="91"/>
      <c r="L931" s="41"/>
      <c r="M931" s="41"/>
      <c r="N931" s="42"/>
      <c r="O931" s="42"/>
      <c r="P931" s="42"/>
      <c r="Q931" s="42"/>
      <c r="R931" s="42"/>
      <c r="S931" s="42"/>
      <c r="T931" s="42"/>
      <c r="U931" s="42"/>
      <c r="V931" s="42"/>
      <c r="W931" s="42"/>
      <c r="X931" s="42"/>
      <c r="Y931" s="42"/>
      <c r="Z931" s="42"/>
      <c r="AA931" s="42"/>
      <c r="AB931" s="42"/>
      <c r="AC931" s="42"/>
    </row>
    <row r="932" spans="1:29" x14ac:dyDescent="0.25">
      <c r="A932" s="41"/>
      <c r="B932" s="42"/>
      <c r="C932" s="41"/>
      <c r="D932" s="42"/>
      <c r="E932" s="42"/>
      <c r="F932" s="35"/>
      <c r="G932" s="42"/>
      <c r="H932" s="41"/>
      <c r="I932" s="91"/>
      <c r="J932" s="91"/>
      <c r="K932" s="91"/>
      <c r="L932" s="41"/>
      <c r="M932" s="41"/>
      <c r="N932" s="42"/>
      <c r="O932" s="42"/>
      <c r="P932" s="42"/>
      <c r="Q932" s="42"/>
      <c r="R932" s="42"/>
      <c r="S932" s="42"/>
      <c r="T932" s="42"/>
      <c r="U932" s="42"/>
      <c r="V932" s="42"/>
      <c r="W932" s="42"/>
      <c r="X932" s="42"/>
      <c r="Y932" s="42"/>
      <c r="Z932" s="42"/>
      <c r="AA932" s="42"/>
      <c r="AB932" s="42"/>
      <c r="AC932" s="42"/>
    </row>
    <row r="933" spans="1:29" x14ac:dyDescent="0.25">
      <c r="A933" s="41"/>
      <c r="B933" s="42"/>
      <c r="C933" s="41"/>
      <c r="D933" s="42"/>
      <c r="E933" s="42"/>
      <c r="F933" s="35"/>
      <c r="G933" s="42"/>
      <c r="H933" s="41"/>
      <c r="I933" s="91"/>
      <c r="J933" s="91"/>
      <c r="K933" s="91"/>
      <c r="L933" s="41"/>
      <c r="M933" s="41"/>
      <c r="N933" s="42"/>
      <c r="O933" s="42"/>
      <c r="P933" s="42"/>
      <c r="Q933" s="42"/>
      <c r="R933" s="42"/>
      <c r="S933" s="42"/>
      <c r="T933" s="42"/>
      <c r="U933" s="42"/>
      <c r="V933" s="42"/>
      <c r="W933" s="42"/>
      <c r="X933" s="42"/>
      <c r="Y933" s="42"/>
      <c r="Z933" s="42"/>
      <c r="AA933" s="42"/>
      <c r="AB933" s="42"/>
      <c r="AC933" s="42"/>
    </row>
    <row r="934" spans="1:29" x14ac:dyDescent="0.25">
      <c r="A934" s="41"/>
      <c r="B934" s="42"/>
      <c r="C934" s="41"/>
      <c r="D934" s="42"/>
      <c r="E934" s="42"/>
      <c r="F934" s="35"/>
      <c r="G934" s="42"/>
      <c r="H934" s="41"/>
      <c r="I934" s="91"/>
      <c r="J934" s="91"/>
      <c r="K934" s="91"/>
      <c r="L934" s="41"/>
      <c r="M934" s="41"/>
      <c r="N934" s="42"/>
      <c r="O934" s="42"/>
      <c r="P934" s="42"/>
      <c r="Q934" s="42"/>
      <c r="R934" s="42"/>
      <c r="S934" s="42"/>
      <c r="T934" s="42"/>
      <c r="U934" s="42"/>
      <c r="V934" s="42"/>
      <c r="W934" s="42"/>
      <c r="X934" s="42"/>
      <c r="Y934" s="42"/>
      <c r="Z934" s="42"/>
      <c r="AA934" s="42"/>
      <c r="AB934" s="42"/>
      <c r="AC934" s="42"/>
    </row>
    <row r="935" spans="1:29" x14ac:dyDescent="0.25">
      <c r="A935" s="41"/>
      <c r="B935" s="42"/>
      <c r="C935" s="41"/>
      <c r="D935" s="42"/>
      <c r="E935" s="42"/>
      <c r="F935" s="35"/>
      <c r="G935" s="42"/>
      <c r="H935" s="41"/>
      <c r="I935" s="91"/>
      <c r="J935" s="91"/>
      <c r="K935" s="91"/>
      <c r="L935" s="41"/>
      <c r="M935" s="41"/>
      <c r="N935" s="42"/>
      <c r="O935" s="42"/>
      <c r="P935" s="42"/>
      <c r="Q935" s="42"/>
      <c r="R935" s="42"/>
      <c r="S935" s="42"/>
      <c r="T935" s="42"/>
      <c r="U935" s="42"/>
      <c r="V935" s="42"/>
      <c r="W935" s="42"/>
      <c r="X935" s="42"/>
      <c r="Y935" s="42"/>
      <c r="Z935" s="42"/>
      <c r="AA935" s="42"/>
      <c r="AB935" s="42"/>
      <c r="AC935" s="42"/>
    </row>
    <row r="936" spans="1:29" x14ac:dyDescent="0.25">
      <c r="A936" s="41"/>
      <c r="B936" s="42"/>
      <c r="C936" s="41"/>
      <c r="D936" s="42"/>
      <c r="E936" s="42"/>
      <c r="F936" s="35"/>
      <c r="G936" s="42"/>
      <c r="H936" s="41"/>
      <c r="I936" s="91"/>
      <c r="J936" s="91"/>
      <c r="K936" s="91"/>
      <c r="L936" s="41"/>
      <c r="M936" s="41"/>
      <c r="N936" s="42"/>
      <c r="O936" s="42"/>
      <c r="P936" s="42"/>
      <c r="Q936" s="42"/>
      <c r="R936" s="42"/>
      <c r="S936" s="42"/>
      <c r="T936" s="42"/>
      <c r="U936" s="42"/>
      <c r="V936" s="42"/>
      <c r="W936" s="42"/>
      <c r="X936" s="42"/>
      <c r="Y936" s="42"/>
      <c r="Z936" s="42"/>
      <c r="AA936" s="42"/>
      <c r="AB936" s="42"/>
      <c r="AC936" s="42"/>
    </row>
    <row r="937" spans="1:29" x14ac:dyDescent="0.25">
      <c r="A937" s="41"/>
      <c r="B937" s="42"/>
      <c r="C937" s="41"/>
      <c r="D937" s="42"/>
      <c r="E937" s="42"/>
      <c r="F937" s="35"/>
      <c r="G937" s="42"/>
      <c r="H937" s="41"/>
      <c r="I937" s="91"/>
      <c r="J937" s="91"/>
      <c r="K937" s="91"/>
      <c r="L937" s="41"/>
      <c r="M937" s="41"/>
      <c r="N937" s="42"/>
      <c r="O937" s="42"/>
      <c r="P937" s="42"/>
      <c r="Q937" s="42"/>
      <c r="R937" s="42"/>
      <c r="S937" s="42"/>
      <c r="T937" s="42"/>
      <c r="U937" s="42"/>
      <c r="V937" s="42"/>
      <c r="W937" s="42"/>
      <c r="X937" s="42"/>
      <c r="Y937" s="42"/>
      <c r="Z937" s="42"/>
      <c r="AA937" s="42"/>
      <c r="AB937" s="42"/>
      <c r="AC937" s="42"/>
    </row>
    <row r="938" spans="1:29" x14ac:dyDescent="0.25">
      <c r="A938" s="41"/>
      <c r="B938" s="42"/>
      <c r="C938" s="41"/>
      <c r="D938" s="42"/>
      <c r="E938" s="42"/>
      <c r="F938" s="35"/>
      <c r="G938" s="42"/>
      <c r="H938" s="41"/>
      <c r="I938" s="91"/>
      <c r="J938" s="91"/>
      <c r="K938" s="91"/>
      <c r="L938" s="41"/>
      <c r="M938" s="41"/>
      <c r="N938" s="42"/>
      <c r="O938" s="42"/>
      <c r="P938" s="42"/>
      <c r="Q938" s="42"/>
      <c r="R938" s="42"/>
      <c r="S938" s="42"/>
      <c r="T938" s="42"/>
      <c r="U938" s="42"/>
      <c r="V938" s="42"/>
      <c r="W938" s="42"/>
      <c r="X938" s="42"/>
      <c r="Y938" s="42"/>
      <c r="Z938" s="42"/>
      <c r="AA938" s="42"/>
      <c r="AB938" s="42"/>
      <c r="AC938" s="42"/>
    </row>
    <row r="939" spans="1:29" x14ac:dyDescent="0.25">
      <c r="A939" s="41"/>
      <c r="B939" s="42"/>
      <c r="C939" s="41"/>
      <c r="D939" s="42"/>
      <c r="E939" s="42"/>
      <c r="F939" s="35"/>
      <c r="G939" s="42"/>
      <c r="H939" s="41"/>
      <c r="I939" s="91"/>
      <c r="J939" s="91"/>
      <c r="K939" s="91"/>
      <c r="L939" s="41"/>
      <c r="M939" s="41"/>
      <c r="N939" s="42"/>
      <c r="O939" s="42"/>
      <c r="P939" s="42"/>
      <c r="Q939" s="42"/>
      <c r="R939" s="42"/>
      <c r="S939" s="42"/>
      <c r="T939" s="42"/>
      <c r="U939" s="42"/>
      <c r="V939" s="42"/>
      <c r="W939" s="42"/>
      <c r="X939" s="42"/>
      <c r="Y939" s="42"/>
      <c r="Z939" s="42"/>
      <c r="AA939" s="42"/>
      <c r="AB939" s="42"/>
      <c r="AC939" s="42"/>
    </row>
    <row r="940" spans="1:29" x14ac:dyDescent="0.25">
      <c r="A940" s="41"/>
      <c r="B940" s="42"/>
      <c r="C940" s="41"/>
      <c r="D940" s="42"/>
      <c r="E940" s="42"/>
      <c r="F940" s="35"/>
      <c r="G940" s="42"/>
      <c r="H940" s="41"/>
      <c r="I940" s="91"/>
      <c r="J940" s="91"/>
      <c r="K940" s="91"/>
      <c r="L940" s="41"/>
      <c r="M940" s="41"/>
      <c r="N940" s="42"/>
      <c r="O940" s="42"/>
      <c r="P940" s="42"/>
      <c r="Q940" s="42"/>
      <c r="R940" s="42"/>
      <c r="S940" s="42"/>
      <c r="T940" s="42"/>
      <c r="U940" s="42"/>
      <c r="V940" s="42"/>
      <c r="W940" s="42"/>
      <c r="X940" s="42"/>
      <c r="Y940" s="42"/>
      <c r="Z940" s="42"/>
      <c r="AA940" s="42"/>
      <c r="AB940" s="42"/>
      <c r="AC940" s="42"/>
    </row>
    <row r="941" spans="1:29" x14ac:dyDescent="0.25">
      <c r="A941" s="41"/>
      <c r="B941" s="42"/>
      <c r="C941" s="41"/>
      <c r="D941" s="42"/>
      <c r="E941" s="42"/>
      <c r="F941" s="35"/>
      <c r="G941" s="42"/>
      <c r="H941" s="41"/>
      <c r="I941" s="91"/>
      <c r="J941" s="91"/>
      <c r="K941" s="91"/>
      <c r="L941" s="41"/>
      <c r="M941" s="41"/>
      <c r="N941" s="42"/>
      <c r="O941" s="42"/>
      <c r="P941" s="42"/>
      <c r="Q941" s="42"/>
      <c r="R941" s="42"/>
      <c r="S941" s="42"/>
      <c r="T941" s="42"/>
      <c r="U941" s="42"/>
      <c r="V941" s="42"/>
      <c r="W941" s="42"/>
      <c r="X941" s="42"/>
      <c r="Y941" s="42"/>
      <c r="Z941" s="42"/>
      <c r="AA941" s="42"/>
      <c r="AB941" s="42"/>
      <c r="AC941" s="42"/>
    </row>
    <row r="942" spans="1:29" x14ac:dyDescent="0.25">
      <c r="A942" s="41"/>
      <c r="B942" s="42"/>
      <c r="C942" s="41"/>
      <c r="D942" s="42"/>
      <c r="E942" s="42"/>
      <c r="F942" s="35"/>
      <c r="G942" s="42"/>
      <c r="H942" s="41"/>
      <c r="I942" s="91"/>
      <c r="J942" s="91"/>
      <c r="K942" s="91"/>
      <c r="L942" s="41"/>
      <c r="M942" s="41"/>
      <c r="N942" s="42"/>
      <c r="O942" s="42"/>
      <c r="P942" s="42"/>
      <c r="Q942" s="42"/>
      <c r="R942" s="42"/>
      <c r="S942" s="42"/>
      <c r="T942" s="42"/>
      <c r="U942" s="42"/>
      <c r="V942" s="42"/>
      <c r="W942" s="42"/>
      <c r="X942" s="42"/>
      <c r="Y942" s="42"/>
      <c r="Z942" s="42"/>
      <c r="AA942" s="42"/>
      <c r="AB942" s="42"/>
      <c r="AC942" s="42"/>
    </row>
    <row r="943" spans="1:29" x14ac:dyDescent="0.25">
      <c r="A943" s="41"/>
      <c r="B943" s="42"/>
      <c r="C943" s="41"/>
      <c r="D943" s="42"/>
      <c r="E943" s="42"/>
      <c r="F943" s="35"/>
      <c r="G943" s="42"/>
      <c r="H943" s="41"/>
      <c r="I943" s="91"/>
      <c r="J943" s="91"/>
      <c r="K943" s="91"/>
      <c r="L943" s="41"/>
      <c r="M943" s="41"/>
      <c r="N943" s="42"/>
      <c r="O943" s="42"/>
      <c r="P943" s="42"/>
      <c r="Q943" s="42"/>
      <c r="R943" s="42"/>
      <c r="S943" s="42"/>
      <c r="T943" s="42"/>
      <c r="U943" s="42"/>
      <c r="V943" s="42"/>
      <c r="W943" s="42"/>
      <c r="X943" s="42"/>
      <c r="Y943" s="42"/>
      <c r="Z943" s="42"/>
      <c r="AA943" s="42"/>
      <c r="AB943" s="42"/>
      <c r="AC943" s="42"/>
    </row>
    <row r="944" spans="1:29" x14ac:dyDescent="0.25">
      <c r="A944" s="41"/>
      <c r="B944" s="42"/>
      <c r="C944" s="41"/>
      <c r="D944" s="42"/>
      <c r="E944" s="42"/>
      <c r="F944" s="35"/>
      <c r="G944" s="42"/>
      <c r="H944" s="41"/>
      <c r="I944" s="91"/>
      <c r="J944" s="91"/>
      <c r="K944" s="91"/>
      <c r="L944" s="41"/>
      <c r="M944" s="41"/>
      <c r="N944" s="42"/>
      <c r="O944" s="42"/>
      <c r="P944" s="42"/>
      <c r="Q944" s="42"/>
      <c r="R944" s="42"/>
      <c r="S944" s="42"/>
      <c r="T944" s="42"/>
      <c r="U944" s="42"/>
      <c r="V944" s="42"/>
      <c r="W944" s="42"/>
      <c r="X944" s="42"/>
      <c r="Y944" s="42"/>
      <c r="Z944" s="42"/>
      <c r="AA944" s="42"/>
      <c r="AB944" s="42"/>
      <c r="AC944" s="42"/>
    </row>
    <row r="945" spans="1:29" x14ac:dyDescent="0.25">
      <c r="A945" s="41"/>
      <c r="B945" s="42"/>
      <c r="C945" s="41"/>
      <c r="D945" s="42"/>
      <c r="E945" s="42"/>
      <c r="F945" s="35"/>
      <c r="G945" s="42"/>
      <c r="H945" s="41"/>
      <c r="I945" s="91"/>
      <c r="J945" s="91"/>
      <c r="K945" s="91"/>
      <c r="L945" s="41"/>
      <c r="M945" s="41"/>
      <c r="N945" s="42"/>
      <c r="O945" s="42"/>
      <c r="P945" s="42"/>
      <c r="Q945" s="42"/>
      <c r="R945" s="42"/>
      <c r="S945" s="42"/>
      <c r="T945" s="42"/>
      <c r="U945" s="42"/>
      <c r="V945" s="42"/>
      <c r="W945" s="42"/>
      <c r="X945" s="42"/>
      <c r="Y945" s="42"/>
      <c r="Z945" s="42"/>
      <c r="AA945" s="42"/>
      <c r="AB945" s="42"/>
      <c r="AC945" s="42"/>
    </row>
    <row r="946" spans="1:29" x14ac:dyDescent="0.25">
      <c r="A946" s="41"/>
      <c r="B946" s="42"/>
      <c r="C946" s="41"/>
      <c r="D946" s="42"/>
      <c r="E946" s="42"/>
      <c r="F946" s="35"/>
      <c r="G946" s="42"/>
      <c r="H946" s="41"/>
      <c r="I946" s="91"/>
      <c r="J946" s="91"/>
      <c r="K946" s="91"/>
      <c r="L946" s="41"/>
      <c r="M946" s="41"/>
      <c r="N946" s="42"/>
      <c r="O946" s="42"/>
      <c r="P946" s="42"/>
      <c r="Q946" s="42"/>
      <c r="R946" s="42"/>
      <c r="S946" s="42"/>
      <c r="T946" s="42"/>
      <c r="U946" s="42"/>
      <c r="V946" s="42"/>
      <c r="W946" s="42"/>
      <c r="X946" s="42"/>
      <c r="Y946" s="42"/>
      <c r="Z946" s="42"/>
      <c r="AA946" s="42"/>
      <c r="AB946" s="42"/>
      <c r="AC946" s="42"/>
    </row>
    <row r="947" spans="1:29" x14ac:dyDescent="0.25">
      <c r="A947" s="41"/>
      <c r="B947" s="42"/>
      <c r="C947" s="41"/>
      <c r="D947" s="42"/>
      <c r="E947" s="42"/>
      <c r="F947" s="35"/>
      <c r="G947" s="42"/>
      <c r="H947" s="41"/>
      <c r="I947" s="91"/>
      <c r="J947" s="91"/>
      <c r="K947" s="91"/>
      <c r="L947" s="41"/>
      <c r="M947" s="41"/>
      <c r="N947" s="42"/>
      <c r="O947" s="42"/>
      <c r="P947" s="42"/>
      <c r="Q947" s="42"/>
      <c r="R947" s="42"/>
      <c r="S947" s="42"/>
      <c r="T947" s="42"/>
      <c r="U947" s="42"/>
      <c r="V947" s="42"/>
      <c r="W947" s="42"/>
      <c r="X947" s="42"/>
      <c r="Y947" s="42"/>
      <c r="Z947" s="42"/>
      <c r="AA947" s="42"/>
      <c r="AB947" s="42"/>
      <c r="AC947" s="42"/>
    </row>
    <row r="948" spans="1:29" x14ac:dyDescent="0.25">
      <c r="A948" s="41"/>
      <c r="B948" s="42"/>
      <c r="C948" s="41"/>
      <c r="D948" s="42"/>
      <c r="E948" s="42"/>
      <c r="F948" s="35"/>
      <c r="G948" s="42"/>
      <c r="H948" s="41"/>
      <c r="I948" s="91"/>
      <c r="J948" s="91"/>
      <c r="K948" s="91"/>
      <c r="L948" s="41"/>
      <c r="M948" s="41"/>
      <c r="N948" s="42"/>
      <c r="O948" s="42"/>
      <c r="P948" s="42"/>
      <c r="Q948" s="42"/>
      <c r="R948" s="42"/>
      <c r="S948" s="42"/>
      <c r="T948" s="42"/>
      <c r="U948" s="42"/>
      <c r="V948" s="42"/>
      <c r="W948" s="42"/>
      <c r="X948" s="42"/>
      <c r="Y948" s="42"/>
      <c r="Z948" s="42"/>
      <c r="AA948" s="42"/>
      <c r="AB948" s="42"/>
      <c r="AC948" s="42"/>
    </row>
    <row r="949" spans="1:29" x14ac:dyDescent="0.25">
      <c r="A949" s="41"/>
      <c r="B949" s="42"/>
      <c r="C949" s="41"/>
      <c r="D949" s="42"/>
      <c r="E949" s="42"/>
      <c r="F949" s="35"/>
      <c r="G949" s="42"/>
      <c r="H949" s="41"/>
      <c r="I949" s="91"/>
      <c r="J949" s="91"/>
      <c r="K949" s="91"/>
      <c r="L949" s="41"/>
      <c r="M949" s="41"/>
      <c r="N949" s="42"/>
      <c r="O949" s="42"/>
      <c r="P949" s="42"/>
      <c r="Q949" s="42"/>
      <c r="R949" s="42"/>
      <c r="S949" s="42"/>
      <c r="T949" s="42"/>
      <c r="U949" s="42"/>
      <c r="V949" s="42"/>
      <c r="W949" s="42"/>
      <c r="X949" s="42"/>
      <c r="Y949" s="42"/>
      <c r="Z949" s="42"/>
      <c r="AA949" s="42"/>
      <c r="AB949" s="42"/>
      <c r="AC949" s="42"/>
    </row>
    <row r="950" spans="1:29" x14ac:dyDescent="0.25">
      <c r="A950" s="41"/>
      <c r="B950" s="42"/>
      <c r="C950" s="41"/>
      <c r="D950" s="42"/>
      <c r="E950" s="42"/>
      <c r="F950" s="35"/>
      <c r="G950" s="42"/>
      <c r="H950" s="41"/>
      <c r="I950" s="91"/>
      <c r="J950" s="91"/>
      <c r="K950" s="91"/>
      <c r="L950" s="41"/>
      <c r="M950" s="41"/>
      <c r="N950" s="42"/>
      <c r="O950" s="42"/>
      <c r="P950" s="42"/>
      <c r="Q950" s="42"/>
      <c r="R950" s="42"/>
      <c r="S950" s="42"/>
      <c r="T950" s="42"/>
      <c r="U950" s="42"/>
      <c r="V950" s="42"/>
      <c r="W950" s="42"/>
      <c r="X950" s="42"/>
      <c r="Y950" s="42"/>
      <c r="Z950" s="42"/>
      <c r="AA950" s="42"/>
      <c r="AB950" s="42"/>
      <c r="AC950" s="42"/>
    </row>
    <row r="951" spans="1:29" x14ac:dyDescent="0.25">
      <c r="A951" s="41"/>
      <c r="B951" s="42"/>
      <c r="C951" s="41"/>
      <c r="D951" s="42"/>
      <c r="E951" s="42"/>
      <c r="F951" s="35"/>
      <c r="G951" s="42"/>
      <c r="H951" s="41"/>
      <c r="I951" s="91"/>
      <c r="J951" s="91"/>
      <c r="K951" s="91"/>
      <c r="L951" s="41"/>
      <c r="M951" s="41"/>
      <c r="N951" s="42"/>
      <c r="O951" s="42"/>
      <c r="P951" s="42"/>
      <c r="Q951" s="42"/>
      <c r="R951" s="42"/>
      <c r="S951" s="42"/>
      <c r="T951" s="42"/>
      <c r="U951" s="42"/>
      <c r="V951" s="42"/>
      <c r="W951" s="42"/>
      <c r="X951" s="42"/>
      <c r="Y951" s="42"/>
      <c r="Z951" s="42"/>
      <c r="AA951" s="42"/>
      <c r="AB951" s="42"/>
      <c r="AC951" s="42"/>
    </row>
    <row r="952" spans="1:29" x14ac:dyDescent="0.25">
      <c r="A952" s="41"/>
      <c r="B952" s="42"/>
      <c r="C952" s="41"/>
      <c r="D952" s="42"/>
      <c r="E952" s="42"/>
      <c r="F952" s="35"/>
      <c r="G952" s="42"/>
      <c r="H952" s="41"/>
      <c r="I952" s="91"/>
      <c r="J952" s="91"/>
      <c r="K952" s="91"/>
      <c r="L952" s="41"/>
      <c r="M952" s="41"/>
      <c r="N952" s="42"/>
      <c r="O952" s="42"/>
      <c r="P952" s="42"/>
      <c r="Q952" s="42"/>
      <c r="R952" s="42"/>
      <c r="S952" s="42"/>
      <c r="T952" s="42"/>
      <c r="U952" s="42"/>
      <c r="V952" s="42"/>
      <c r="W952" s="42"/>
      <c r="X952" s="42"/>
      <c r="Y952" s="42"/>
      <c r="Z952" s="42"/>
      <c r="AA952" s="42"/>
      <c r="AB952" s="42"/>
      <c r="AC952" s="42"/>
    </row>
    <row r="953" spans="1:29" x14ac:dyDescent="0.25">
      <c r="A953" s="41"/>
      <c r="B953" s="42"/>
      <c r="C953" s="41"/>
      <c r="D953" s="42"/>
      <c r="E953" s="42"/>
      <c r="F953" s="35"/>
      <c r="G953" s="42"/>
      <c r="H953" s="41"/>
      <c r="I953" s="91"/>
      <c r="J953" s="91"/>
      <c r="K953" s="91"/>
      <c r="L953" s="41"/>
      <c r="M953" s="41"/>
      <c r="N953" s="42"/>
      <c r="O953" s="42"/>
      <c r="P953" s="42"/>
      <c r="Q953" s="42"/>
      <c r="R953" s="42"/>
      <c r="S953" s="42"/>
      <c r="T953" s="42"/>
      <c r="U953" s="42"/>
      <c r="V953" s="42"/>
      <c r="W953" s="42"/>
      <c r="X953" s="42"/>
      <c r="Y953" s="42"/>
      <c r="Z953" s="42"/>
      <c r="AA953" s="42"/>
      <c r="AB953" s="42"/>
      <c r="AC953" s="42"/>
    </row>
    <row r="954" spans="1:29" x14ac:dyDescent="0.25">
      <c r="A954" s="41"/>
      <c r="B954" s="42"/>
      <c r="C954" s="41"/>
      <c r="D954" s="42"/>
      <c r="E954" s="42"/>
      <c r="F954" s="35"/>
      <c r="G954" s="42"/>
      <c r="H954" s="41"/>
      <c r="I954" s="91"/>
      <c r="J954" s="91"/>
      <c r="K954" s="91"/>
      <c r="L954" s="41"/>
      <c r="M954" s="41"/>
      <c r="N954" s="42"/>
      <c r="O954" s="42"/>
      <c r="P954" s="42"/>
      <c r="Q954" s="42"/>
      <c r="R954" s="42"/>
      <c r="S954" s="42"/>
      <c r="T954" s="42"/>
      <c r="U954" s="42"/>
      <c r="V954" s="42"/>
      <c r="W954" s="42"/>
      <c r="X954" s="42"/>
      <c r="Y954" s="42"/>
      <c r="Z954" s="42"/>
      <c r="AA954" s="42"/>
      <c r="AB954" s="42"/>
      <c r="AC954" s="42"/>
    </row>
    <row r="955" spans="1:29" x14ac:dyDescent="0.25">
      <c r="A955" s="41"/>
      <c r="B955" s="42"/>
      <c r="C955" s="41"/>
      <c r="D955" s="42"/>
      <c r="E955" s="42"/>
      <c r="F955" s="35"/>
      <c r="G955" s="42"/>
      <c r="H955" s="41"/>
      <c r="I955" s="91"/>
      <c r="J955" s="91"/>
      <c r="K955" s="91"/>
      <c r="L955" s="41"/>
      <c r="M955" s="41"/>
      <c r="N955" s="42"/>
      <c r="O955" s="42"/>
      <c r="P955" s="42"/>
      <c r="Q955" s="42"/>
      <c r="R955" s="42"/>
      <c r="S955" s="42"/>
      <c r="T955" s="42"/>
      <c r="U955" s="42"/>
      <c r="V955" s="42"/>
      <c r="W955" s="42"/>
      <c r="X955" s="42"/>
      <c r="Y955" s="42"/>
      <c r="Z955" s="42"/>
      <c r="AA955" s="42"/>
      <c r="AB955" s="42"/>
      <c r="AC955" s="42"/>
    </row>
    <row r="956" spans="1:29" x14ac:dyDescent="0.25">
      <c r="A956" s="41"/>
      <c r="B956" s="42"/>
      <c r="C956" s="41"/>
      <c r="D956" s="42"/>
      <c r="E956" s="42"/>
      <c r="F956" s="35"/>
      <c r="G956" s="42"/>
      <c r="H956" s="41"/>
      <c r="I956" s="91"/>
      <c r="J956" s="91"/>
      <c r="K956" s="91"/>
      <c r="L956" s="41"/>
      <c r="M956" s="41"/>
      <c r="N956" s="42"/>
      <c r="O956" s="42"/>
      <c r="P956" s="42"/>
      <c r="Q956" s="42"/>
      <c r="R956" s="42"/>
      <c r="S956" s="42"/>
      <c r="T956" s="42"/>
      <c r="U956" s="42"/>
      <c r="V956" s="42"/>
      <c r="W956" s="42"/>
      <c r="X956" s="42"/>
      <c r="Y956" s="42"/>
      <c r="Z956" s="42"/>
      <c r="AA956" s="42"/>
      <c r="AB956" s="42"/>
      <c r="AC956" s="42"/>
    </row>
    <row r="957" spans="1:29" x14ac:dyDescent="0.25">
      <c r="A957" s="41"/>
      <c r="B957" s="42"/>
      <c r="C957" s="41"/>
      <c r="D957" s="42"/>
      <c r="E957" s="42"/>
      <c r="F957" s="35"/>
      <c r="G957" s="42"/>
      <c r="H957" s="41"/>
      <c r="I957" s="91"/>
      <c r="J957" s="91"/>
      <c r="K957" s="91"/>
      <c r="L957" s="41"/>
      <c r="M957" s="41"/>
      <c r="N957" s="42"/>
      <c r="O957" s="42"/>
      <c r="P957" s="42"/>
      <c r="Q957" s="42"/>
      <c r="R957" s="42"/>
      <c r="S957" s="42"/>
      <c r="T957" s="42"/>
      <c r="U957" s="42"/>
      <c r="V957" s="42"/>
      <c r="W957" s="42"/>
      <c r="X957" s="42"/>
      <c r="Y957" s="42"/>
      <c r="Z957" s="42"/>
      <c r="AA957" s="42"/>
      <c r="AB957" s="42"/>
      <c r="AC957" s="42"/>
    </row>
    <row r="958" spans="1:29" x14ac:dyDescent="0.25">
      <c r="A958" s="41"/>
      <c r="B958" s="42"/>
      <c r="C958" s="41"/>
      <c r="D958" s="42"/>
      <c r="E958" s="42"/>
      <c r="F958" s="35"/>
      <c r="G958" s="42"/>
      <c r="H958" s="41"/>
      <c r="I958" s="91"/>
      <c r="J958" s="91"/>
      <c r="K958" s="91"/>
      <c r="L958" s="41"/>
      <c r="M958" s="41"/>
      <c r="N958" s="42"/>
      <c r="O958" s="42"/>
      <c r="P958" s="42"/>
      <c r="Q958" s="42"/>
      <c r="R958" s="42"/>
      <c r="S958" s="42"/>
      <c r="T958" s="42"/>
      <c r="U958" s="42"/>
      <c r="V958" s="42"/>
      <c r="W958" s="42"/>
      <c r="X958" s="42"/>
      <c r="Y958" s="42"/>
      <c r="Z958" s="42"/>
      <c r="AA958" s="42"/>
      <c r="AB958" s="42"/>
      <c r="AC958" s="42"/>
    </row>
    <row r="959" spans="1:29" x14ac:dyDescent="0.25">
      <c r="A959" s="41"/>
      <c r="B959" s="42"/>
      <c r="C959" s="41"/>
      <c r="D959" s="42"/>
      <c r="E959" s="42"/>
      <c r="F959" s="35"/>
      <c r="G959" s="42"/>
      <c r="H959" s="41"/>
      <c r="I959" s="91"/>
      <c r="J959" s="91"/>
      <c r="K959" s="91"/>
      <c r="L959" s="41"/>
      <c r="M959" s="41"/>
      <c r="N959" s="42"/>
      <c r="O959" s="42"/>
      <c r="P959" s="42"/>
      <c r="Q959" s="42"/>
      <c r="R959" s="42"/>
      <c r="S959" s="42"/>
      <c r="T959" s="42"/>
      <c r="U959" s="42"/>
      <c r="V959" s="42"/>
      <c r="W959" s="42"/>
      <c r="X959" s="42"/>
      <c r="Y959" s="42"/>
      <c r="Z959" s="42"/>
      <c r="AA959" s="42"/>
      <c r="AB959" s="42"/>
      <c r="AC959" s="42"/>
    </row>
    <row r="960" spans="1:29" x14ac:dyDescent="0.25">
      <c r="A960" s="41"/>
      <c r="B960" s="42"/>
      <c r="C960" s="41"/>
      <c r="D960" s="42"/>
      <c r="E960" s="42"/>
      <c r="F960" s="35"/>
      <c r="G960" s="42"/>
      <c r="H960" s="41"/>
      <c r="I960" s="91"/>
      <c r="J960" s="91"/>
      <c r="K960" s="91"/>
      <c r="L960" s="41"/>
      <c r="M960" s="41"/>
      <c r="N960" s="42"/>
      <c r="O960" s="42"/>
      <c r="P960" s="42"/>
      <c r="Q960" s="42"/>
      <c r="R960" s="42"/>
      <c r="S960" s="42"/>
      <c r="T960" s="42"/>
      <c r="U960" s="42"/>
      <c r="V960" s="42"/>
      <c r="W960" s="42"/>
      <c r="X960" s="42"/>
      <c r="Y960" s="42"/>
      <c r="Z960" s="42"/>
      <c r="AA960" s="42"/>
      <c r="AB960" s="42"/>
      <c r="AC960" s="42"/>
    </row>
    <row r="961" spans="1:29" x14ac:dyDescent="0.25">
      <c r="A961" s="41"/>
      <c r="B961" s="42"/>
      <c r="C961" s="41"/>
      <c r="D961" s="42"/>
      <c r="E961" s="42"/>
      <c r="F961" s="35"/>
      <c r="G961" s="42"/>
      <c r="H961" s="41"/>
      <c r="I961" s="91"/>
      <c r="J961" s="91"/>
      <c r="K961" s="91"/>
      <c r="L961" s="41"/>
      <c r="M961" s="41"/>
      <c r="N961" s="42"/>
      <c r="O961" s="42"/>
      <c r="P961" s="42"/>
      <c r="Q961" s="42"/>
      <c r="R961" s="42"/>
      <c r="S961" s="42"/>
      <c r="T961" s="42"/>
      <c r="U961" s="42"/>
      <c r="V961" s="42"/>
      <c r="W961" s="42"/>
      <c r="X961" s="42"/>
      <c r="Y961" s="42"/>
      <c r="Z961" s="42"/>
      <c r="AA961" s="42"/>
      <c r="AB961" s="42"/>
      <c r="AC961" s="42"/>
    </row>
    <row r="962" spans="1:29" x14ac:dyDescent="0.25">
      <c r="A962" s="41"/>
      <c r="B962" s="42"/>
      <c r="C962" s="41"/>
      <c r="D962" s="42"/>
      <c r="E962" s="42"/>
      <c r="F962" s="35"/>
      <c r="G962" s="42"/>
      <c r="H962" s="41"/>
      <c r="I962" s="91"/>
      <c r="J962" s="91"/>
      <c r="K962" s="91"/>
      <c r="L962" s="41"/>
      <c r="M962" s="41"/>
      <c r="N962" s="42"/>
      <c r="O962" s="42"/>
      <c r="P962" s="42"/>
      <c r="Q962" s="42"/>
      <c r="R962" s="42"/>
      <c r="S962" s="42"/>
      <c r="T962" s="42"/>
      <c r="U962" s="42"/>
      <c r="V962" s="42"/>
      <c r="W962" s="42"/>
      <c r="X962" s="42"/>
      <c r="Y962" s="42"/>
      <c r="Z962" s="42"/>
      <c r="AA962" s="42"/>
      <c r="AB962" s="42"/>
      <c r="AC962" s="42"/>
    </row>
    <row r="963" spans="1:29" x14ac:dyDescent="0.25">
      <c r="A963" s="41"/>
      <c r="B963" s="42"/>
      <c r="C963" s="41"/>
      <c r="D963" s="42"/>
      <c r="E963" s="42"/>
      <c r="F963" s="35"/>
      <c r="G963" s="42"/>
      <c r="H963" s="41"/>
      <c r="I963" s="91"/>
      <c r="J963" s="91"/>
      <c r="K963" s="91"/>
      <c r="L963" s="41"/>
      <c r="M963" s="41"/>
      <c r="N963" s="42"/>
      <c r="O963" s="42"/>
      <c r="P963" s="42"/>
      <c r="Q963" s="42"/>
      <c r="R963" s="42"/>
      <c r="S963" s="42"/>
      <c r="T963" s="42"/>
      <c r="U963" s="42"/>
      <c r="V963" s="42"/>
      <c r="W963" s="42"/>
      <c r="X963" s="42"/>
      <c r="Y963" s="42"/>
      <c r="Z963" s="42"/>
      <c r="AA963" s="42"/>
      <c r="AB963" s="42"/>
      <c r="AC963" s="42"/>
    </row>
    <row r="964" spans="1:29" x14ac:dyDescent="0.25">
      <c r="A964" s="41"/>
      <c r="B964" s="42"/>
      <c r="C964" s="41"/>
      <c r="D964" s="42"/>
      <c r="E964" s="42"/>
      <c r="F964" s="35"/>
      <c r="G964" s="42"/>
      <c r="H964" s="41"/>
      <c r="I964" s="91"/>
      <c r="J964" s="91"/>
      <c r="K964" s="91"/>
      <c r="L964" s="41"/>
      <c r="M964" s="41"/>
      <c r="N964" s="42"/>
      <c r="O964" s="42"/>
      <c r="P964" s="42"/>
      <c r="Q964" s="42"/>
      <c r="R964" s="42"/>
      <c r="S964" s="42"/>
      <c r="T964" s="42"/>
      <c r="U964" s="42"/>
      <c r="V964" s="42"/>
      <c r="W964" s="42"/>
      <c r="X964" s="42"/>
      <c r="Y964" s="42"/>
      <c r="Z964" s="42"/>
      <c r="AA964" s="42"/>
      <c r="AB964" s="42"/>
      <c r="AC964" s="42"/>
    </row>
    <row r="965" spans="1:29" x14ac:dyDescent="0.25">
      <c r="A965" s="41"/>
      <c r="B965" s="42"/>
      <c r="C965" s="41"/>
      <c r="D965" s="42"/>
      <c r="E965" s="42"/>
      <c r="F965" s="35"/>
      <c r="G965" s="42"/>
      <c r="H965" s="41"/>
      <c r="I965" s="91"/>
      <c r="J965" s="91"/>
      <c r="K965" s="91"/>
      <c r="L965" s="41"/>
      <c r="M965" s="41"/>
      <c r="N965" s="42"/>
      <c r="O965" s="42"/>
      <c r="P965" s="42"/>
      <c r="Q965" s="42"/>
      <c r="R965" s="42"/>
      <c r="S965" s="42"/>
      <c r="T965" s="42"/>
      <c r="U965" s="42"/>
      <c r="V965" s="42"/>
      <c r="W965" s="42"/>
      <c r="X965" s="42"/>
      <c r="Y965" s="42"/>
      <c r="Z965" s="42"/>
      <c r="AA965" s="42"/>
      <c r="AB965" s="42"/>
      <c r="AC965" s="42"/>
    </row>
    <row r="966" spans="1:29" x14ac:dyDescent="0.25">
      <c r="A966" s="41"/>
      <c r="B966" s="42"/>
      <c r="C966" s="41"/>
      <c r="D966" s="42"/>
      <c r="E966" s="42"/>
      <c r="F966" s="35"/>
      <c r="G966" s="42"/>
      <c r="H966" s="41"/>
      <c r="I966" s="91"/>
      <c r="J966" s="91"/>
      <c r="K966" s="91"/>
      <c r="L966" s="41"/>
      <c r="M966" s="41"/>
      <c r="N966" s="42"/>
      <c r="O966" s="42"/>
      <c r="P966" s="42"/>
      <c r="Q966" s="42"/>
      <c r="R966" s="42"/>
      <c r="S966" s="42"/>
      <c r="T966" s="42"/>
      <c r="U966" s="42"/>
      <c r="V966" s="42"/>
      <c r="W966" s="42"/>
      <c r="X966" s="42"/>
      <c r="Y966" s="42"/>
      <c r="Z966" s="42"/>
      <c r="AA966" s="42"/>
      <c r="AB966" s="42"/>
      <c r="AC966" s="42"/>
    </row>
    <row r="967" spans="1:29" x14ac:dyDescent="0.25">
      <c r="A967" s="41"/>
      <c r="B967" s="42"/>
      <c r="C967" s="41"/>
      <c r="D967" s="42"/>
      <c r="E967" s="42"/>
      <c r="F967" s="35"/>
      <c r="G967" s="42"/>
      <c r="H967" s="41"/>
      <c r="I967" s="91"/>
      <c r="J967" s="91"/>
      <c r="K967" s="91"/>
      <c r="L967" s="41"/>
      <c r="M967" s="41"/>
      <c r="N967" s="42"/>
      <c r="O967" s="42"/>
      <c r="P967" s="42"/>
      <c r="Q967" s="42"/>
      <c r="R967" s="42"/>
      <c r="S967" s="42"/>
      <c r="T967" s="42"/>
      <c r="U967" s="42"/>
      <c r="V967" s="42"/>
      <c r="W967" s="42"/>
      <c r="X967" s="42"/>
      <c r="Y967" s="42"/>
      <c r="Z967" s="42"/>
      <c r="AA967" s="42"/>
      <c r="AB967" s="42"/>
      <c r="AC967" s="42"/>
    </row>
    <row r="968" spans="1:29" x14ac:dyDescent="0.25">
      <c r="A968" s="41"/>
      <c r="B968" s="42"/>
      <c r="C968" s="41"/>
      <c r="D968" s="42"/>
      <c r="E968" s="42"/>
      <c r="F968" s="35"/>
      <c r="G968" s="42"/>
      <c r="H968" s="41"/>
      <c r="I968" s="91"/>
      <c r="J968" s="91"/>
      <c r="K968" s="91"/>
      <c r="L968" s="41"/>
      <c r="M968" s="41"/>
      <c r="N968" s="42"/>
      <c r="O968" s="42"/>
      <c r="P968" s="42"/>
      <c r="Q968" s="42"/>
      <c r="R968" s="42"/>
      <c r="S968" s="42"/>
      <c r="T968" s="42"/>
      <c r="U968" s="42"/>
      <c r="V968" s="42"/>
      <c r="W968" s="42"/>
      <c r="X968" s="42"/>
      <c r="Y968" s="42"/>
      <c r="Z968" s="42"/>
      <c r="AA968" s="42"/>
      <c r="AB968" s="42"/>
      <c r="AC968" s="42"/>
    </row>
    <row r="969" spans="1:29" x14ac:dyDescent="0.25">
      <c r="A969" s="41"/>
      <c r="B969" s="42"/>
      <c r="C969" s="41"/>
      <c r="D969" s="42"/>
      <c r="E969" s="42"/>
      <c r="F969" s="35"/>
      <c r="G969" s="42"/>
      <c r="H969" s="41"/>
      <c r="I969" s="91"/>
      <c r="J969" s="91"/>
      <c r="K969" s="91"/>
      <c r="L969" s="41"/>
      <c r="M969" s="41"/>
      <c r="N969" s="42"/>
      <c r="O969" s="42"/>
      <c r="P969" s="42"/>
      <c r="Q969" s="42"/>
      <c r="R969" s="42"/>
      <c r="S969" s="42"/>
      <c r="T969" s="42"/>
      <c r="U969" s="42"/>
      <c r="V969" s="42"/>
      <c r="W969" s="42"/>
      <c r="X969" s="42"/>
      <c r="Y969" s="42"/>
      <c r="Z969" s="42"/>
      <c r="AA969" s="42"/>
      <c r="AB969" s="42"/>
      <c r="AC969" s="42"/>
    </row>
    <row r="970" spans="1:29" x14ac:dyDescent="0.25">
      <c r="A970" s="41"/>
      <c r="B970" s="42"/>
      <c r="C970" s="41"/>
      <c r="D970" s="42"/>
      <c r="E970" s="42"/>
      <c r="F970" s="35"/>
      <c r="G970" s="42"/>
      <c r="H970" s="41"/>
      <c r="I970" s="91"/>
      <c r="J970" s="91"/>
      <c r="K970" s="91"/>
      <c r="L970" s="41"/>
      <c r="M970" s="41"/>
      <c r="N970" s="42"/>
      <c r="O970" s="42"/>
      <c r="P970" s="42"/>
      <c r="Q970" s="42"/>
      <c r="R970" s="42"/>
      <c r="S970" s="42"/>
      <c r="T970" s="42"/>
      <c r="U970" s="42"/>
      <c r="V970" s="42"/>
      <c r="W970" s="42"/>
      <c r="X970" s="42"/>
      <c r="Y970" s="42"/>
      <c r="Z970" s="42"/>
      <c r="AA970" s="42"/>
      <c r="AB970" s="42"/>
      <c r="AC970" s="42"/>
    </row>
    <row r="971" spans="1:29" x14ac:dyDescent="0.25">
      <c r="A971" s="41"/>
      <c r="B971" s="42"/>
      <c r="C971" s="41"/>
      <c r="D971" s="42"/>
      <c r="E971" s="42"/>
      <c r="F971" s="35"/>
      <c r="G971" s="42"/>
      <c r="H971" s="41"/>
      <c r="I971" s="91"/>
      <c r="J971" s="91"/>
      <c r="K971" s="91"/>
      <c r="L971" s="41"/>
      <c r="M971" s="41"/>
      <c r="N971" s="42"/>
      <c r="O971" s="42"/>
      <c r="P971" s="42"/>
      <c r="Q971" s="42"/>
      <c r="R971" s="42"/>
      <c r="S971" s="42"/>
      <c r="T971" s="42"/>
      <c r="U971" s="42"/>
      <c r="V971" s="42"/>
      <c r="W971" s="42"/>
      <c r="X971" s="42"/>
      <c r="Y971" s="42"/>
      <c r="Z971" s="42"/>
      <c r="AA971" s="42"/>
      <c r="AB971" s="42"/>
      <c r="AC971" s="42"/>
    </row>
    <row r="972" spans="1:29" x14ac:dyDescent="0.25">
      <c r="A972" s="41"/>
      <c r="B972" s="42"/>
      <c r="C972" s="41"/>
      <c r="D972" s="42"/>
      <c r="E972" s="42"/>
      <c r="F972" s="35"/>
      <c r="G972" s="42"/>
      <c r="H972" s="41"/>
      <c r="I972" s="91"/>
      <c r="J972" s="91"/>
      <c r="K972" s="91"/>
      <c r="L972" s="41"/>
      <c r="M972" s="41"/>
      <c r="N972" s="42"/>
      <c r="O972" s="42"/>
      <c r="P972" s="42"/>
      <c r="Q972" s="42"/>
      <c r="R972" s="42"/>
      <c r="S972" s="42"/>
      <c r="T972" s="42"/>
      <c r="U972" s="42"/>
      <c r="V972" s="42"/>
      <c r="W972" s="42"/>
      <c r="X972" s="42"/>
      <c r="Y972" s="42"/>
      <c r="Z972" s="42"/>
      <c r="AA972" s="42"/>
      <c r="AB972" s="42"/>
      <c r="AC972" s="42"/>
    </row>
    <row r="973" spans="1:29" x14ac:dyDescent="0.25">
      <c r="A973" s="41"/>
      <c r="B973" s="42"/>
      <c r="C973" s="41"/>
      <c r="D973" s="42"/>
      <c r="E973" s="42"/>
      <c r="F973" s="35"/>
      <c r="G973" s="42"/>
      <c r="H973" s="41"/>
      <c r="I973" s="91"/>
      <c r="J973" s="91"/>
      <c r="K973" s="91"/>
      <c r="L973" s="41"/>
      <c r="M973" s="41"/>
      <c r="N973" s="42"/>
      <c r="O973" s="42"/>
      <c r="P973" s="42"/>
      <c r="Q973" s="42"/>
      <c r="R973" s="42"/>
      <c r="S973" s="42"/>
      <c r="T973" s="42"/>
      <c r="U973" s="42"/>
      <c r="V973" s="42"/>
      <c r="W973" s="42"/>
      <c r="X973" s="42"/>
      <c r="Y973" s="42"/>
      <c r="Z973" s="42"/>
      <c r="AA973" s="42"/>
      <c r="AB973" s="42"/>
      <c r="AC973" s="42"/>
    </row>
    <row r="974" spans="1:29" x14ac:dyDescent="0.25">
      <c r="A974" s="41"/>
      <c r="B974" s="42"/>
      <c r="C974" s="41"/>
      <c r="D974" s="42"/>
      <c r="E974" s="42"/>
      <c r="F974" s="35"/>
      <c r="G974" s="42"/>
      <c r="H974" s="41"/>
      <c r="I974" s="91"/>
      <c r="J974" s="91"/>
      <c r="K974" s="91"/>
      <c r="L974" s="41"/>
      <c r="M974" s="41"/>
      <c r="N974" s="42"/>
      <c r="O974" s="42"/>
      <c r="P974" s="42"/>
      <c r="Q974" s="42"/>
      <c r="R974" s="42"/>
      <c r="S974" s="42"/>
      <c r="T974" s="42"/>
      <c r="U974" s="42"/>
      <c r="V974" s="42"/>
      <c r="W974" s="42"/>
      <c r="X974" s="42"/>
      <c r="Y974" s="42"/>
      <c r="Z974" s="42"/>
      <c r="AA974" s="42"/>
      <c r="AB974" s="42"/>
      <c r="AC974" s="42"/>
    </row>
    <row r="975" spans="1:29" x14ac:dyDescent="0.25">
      <c r="A975" s="41"/>
      <c r="B975" s="42"/>
      <c r="C975" s="41"/>
      <c r="D975" s="42"/>
      <c r="E975" s="42"/>
      <c r="F975" s="35"/>
      <c r="G975" s="42"/>
      <c r="H975" s="41"/>
      <c r="I975" s="91"/>
      <c r="J975" s="91"/>
      <c r="K975" s="91"/>
      <c r="L975" s="41"/>
      <c r="M975" s="41"/>
      <c r="N975" s="42"/>
      <c r="O975" s="42"/>
      <c r="P975" s="42"/>
      <c r="Q975" s="42"/>
      <c r="R975" s="42"/>
      <c r="S975" s="42"/>
      <c r="T975" s="42"/>
      <c r="U975" s="42"/>
      <c r="V975" s="42"/>
      <c r="W975" s="42"/>
      <c r="X975" s="42"/>
      <c r="Y975" s="42"/>
      <c r="Z975" s="42"/>
      <c r="AA975" s="42"/>
      <c r="AB975" s="42"/>
      <c r="AC975" s="42"/>
    </row>
    <row r="976" spans="1:29" x14ac:dyDescent="0.25">
      <c r="A976" s="41"/>
      <c r="B976" s="42"/>
      <c r="C976" s="41"/>
      <c r="D976" s="42"/>
      <c r="E976" s="42"/>
      <c r="F976" s="35"/>
      <c r="G976" s="42"/>
      <c r="H976" s="41"/>
      <c r="I976" s="91"/>
      <c r="J976" s="91"/>
      <c r="K976" s="91"/>
      <c r="L976" s="41"/>
      <c r="M976" s="41"/>
      <c r="N976" s="42"/>
      <c r="O976" s="42"/>
      <c r="P976" s="42"/>
      <c r="Q976" s="42"/>
      <c r="R976" s="42"/>
      <c r="S976" s="42"/>
      <c r="T976" s="42"/>
      <c r="U976" s="42"/>
      <c r="V976" s="42"/>
      <c r="W976" s="42"/>
      <c r="X976" s="42"/>
      <c r="Y976" s="42"/>
      <c r="Z976" s="42"/>
      <c r="AA976" s="42"/>
      <c r="AB976" s="42"/>
      <c r="AC976" s="42"/>
    </row>
    <row r="977" spans="1:29" x14ac:dyDescent="0.25">
      <c r="A977" s="41"/>
      <c r="B977" s="42"/>
      <c r="C977" s="41"/>
      <c r="D977" s="42"/>
      <c r="E977" s="42"/>
      <c r="F977" s="35"/>
      <c r="G977" s="42"/>
      <c r="H977" s="41"/>
      <c r="I977" s="91"/>
      <c r="J977" s="91"/>
      <c r="K977" s="91"/>
      <c r="L977" s="41"/>
      <c r="M977" s="41"/>
      <c r="N977" s="42"/>
      <c r="O977" s="42"/>
      <c r="P977" s="42"/>
      <c r="Q977" s="42"/>
      <c r="R977" s="42"/>
      <c r="S977" s="42"/>
      <c r="T977" s="42"/>
      <c r="U977" s="42"/>
      <c r="V977" s="42"/>
      <c r="W977" s="42"/>
      <c r="X977" s="42"/>
      <c r="Y977" s="42"/>
      <c r="Z977" s="42"/>
      <c r="AA977" s="42"/>
      <c r="AB977" s="42"/>
      <c r="AC977" s="42"/>
    </row>
    <row r="978" spans="1:29" x14ac:dyDescent="0.25">
      <c r="A978" s="41"/>
      <c r="B978" s="42"/>
      <c r="C978" s="41"/>
      <c r="D978" s="42"/>
      <c r="E978" s="42"/>
      <c r="F978" s="35"/>
      <c r="G978" s="42"/>
      <c r="H978" s="41"/>
      <c r="I978" s="91"/>
      <c r="J978" s="91"/>
      <c r="K978" s="91"/>
      <c r="L978" s="41"/>
      <c r="M978" s="41"/>
      <c r="N978" s="42"/>
      <c r="O978" s="42"/>
      <c r="P978" s="42"/>
      <c r="Q978" s="42"/>
      <c r="R978" s="42"/>
      <c r="S978" s="42"/>
      <c r="T978" s="42"/>
      <c r="U978" s="42"/>
      <c r="V978" s="42"/>
      <c r="W978" s="42"/>
      <c r="X978" s="42"/>
      <c r="Y978" s="42"/>
      <c r="Z978" s="42"/>
      <c r="AA978" s="42"/>
      <c r="AB978" s="42"/>
      <c r="AC978" s="42"/>
    </row>
    <row r="979" spans="1:29" x14ac:dyDescent="0.25">
      <c r="A979" s="41"/>
      <c r="B979" s="42"/>
      <c r="C979" s="41"/>
      <c r="D979" s="42"/>
      <c r="E979" s="42"/>
      <c r="F979" s="35"/>
      <c r="G979" s="42"/>
      <c r="H979" s="41"/>
      <c r="I979" s="91"/>
      <c r="J979" s="91"/>
      <c r="K979" s="91"/>
      <c r="L979" s="41"/>
      <c r="M979" s="41"/>
      <c r="N979" s="42"/>
      <c r="O979" s="42"/>
      <c r="P979" s="42"/>
      <c r="Q979" s="42"/>
      <c r="R979" s="42"/>
      <c r="S979" s="42"/>
      <c r="T979" s="42"/>
      <c r="U979" s="42"/>
      <c r="V979" s="42"/>
      <c r="W979" s="42"/>
      <c r="X979" s="42"/>
      <c r="Y979" s="42"/>
      <c r="Z979" s="42"/>
      <c r="AA979" s="42"/>
      <c r="AB979" s="42"/>
      <c r="AC979" s="42"/>
    </row>
    <row r="980" spans="1:29" x14ac:dyDescent="0.25">
      <c r="A980" s="41"/>
      <c r="B980" s="42"/>
      <c r="C980" s="41"/>
      <c r="D980" s="42"/>
      <c r="E980" s="42"/>
      <c r="F980" s="35"/>
      <c r="G980" s="42"/>
      <c r="H980" s="41"/>
      <c r="I980" s="91"/>
      <c r="J980" s="91"/>
      <c r="K980" s="91"/>
      <c r="L980" s="41"/>
      <c r="M980" s="41"/>
      <c r="N980" s="42"/>
      <c r="O980" s="42"/>
      <c r="P980" s="42"/>
      <c r="Q980" s="42"/>
      <c r="R980" s="42"/>
      <c r="S980" s="42"/>
      <c r="T980" s="42"/>
      <c r="U980" s="42"/>
      <c r="V980" s="42"/>
      <c r="W980" s="42"/>
      <c r="X980" s="42"/>
      <c r="Y980" s="42"/>
      <c r="Z980" s="42"/>
      <c r="AA980" s="42"/>
      <c r="AB980" s="42"/>
      <c r="AC980" s="42"/>
    </row>
    <row r="981" spans="1:29" x14ac:dyDescent="0.25">
      <c r="A981" s="41"/>
      <c r="B981" s="42"/>
      <c r="C981" s="41"/>
      <c r="D981" s="42"/>
      <c r="E981" s="42"/>
      <c r="F981" s="35"/>
      <c r="G981" s="42"/>
      <c r="H981" s="41"/>
      <c r="I981" s="91"/>
      <c r="J981" s="91"/>
      <c r="K981" s="91"/>
      <c r="L981" s="41"/>
      <c r="M981" s="41"/>
      <c r="N981" s="42"/>
      <c r="O981" s="42"/>
      <c r="P981" s="42"/>
      <c r="Q981" s="42"/>
      <c r="R981" s="42"/>
      <c r="S981" s="42"/>
      <c r="T981" s="42"/>
      <c r="U981" s="42"/>
      <c r="V981" s="42"/>
      <c r="W981" s="42"/>
      <c r="X981" s="42"/>
      <c r="Y981" s="42"/>
      <c r="Z981" s="42"/>
      <c r="AA981" s="42"/>
      <c r="AB981" s="42"/>
      <c r="AC981" s="42"/>
    </row>
    <row r="982" spans="1:29" x14ac:dyDescent="0.25">
      <c r="A982" s="41"/>
      <c r="B982" s="42"/>
      <c r="C982" s="41"/>
      <c r="D982" s="42"/>
      <c r="E982" s="42"/>
      <c r="F982" s="35"/>
      <c r="G982" s="42"/>
      <c r="H982" s="41"/>
      <c r="I982" s="91"/>
      <c r="J982" s="91"/>
      <c r="K982" s="91"/>
      <c r="L982" s="41"/>
      <c r="M982" s="41"/>
      <c r="N982" s="42"/>
      <c r="O982" s="42"/>
      <c r="P982" s="42"/>
      <c r="Q982" s="42"/>
      <c r="R982" s="42"/>
      <c r="S982" s="42"/>
      <c r="T982" s="42"/>
      <c r="U982" s="42"/>
      <c r="V982" s="42"/>
      <c r="W982" s="42"/>
      <c r="X982" s="42"/>
      <c r="Y982" s="42"/>
      <c r="Z982" s="42"/>
      <c r="AA982" s="42"/>
      <c r="AB982" s="42"/>
      <c r="AC982" s="42"/>
    </row>
    <row r="983" spans="1:29" x14ac:dyDescent="0.25">
      <c r="A983" s="41"/>
      <c r="B983" s="42"/>
      <c r="C983" s="41"/>
      <c r="D983" s="42"/>
      <c r="E983" s="42"/>
      <c r="F983" s="35"/>
      <c r="G983" s="42"/>
      <c r="H983" s="41"/>
      <c r="I983" s="91"/>
      <c r="J983" s="91"/>
      <c r="K983" s="91"/>
      <c r="L983" s="41"/>
      <c r="M983" s="41"/>
      <c r="N983" s="42"/>
      <c r="O983" s="42"/>
      <c r="P983" s="42"/>
      <c r="Q983" s="42"/>
      <c r="R983" s="42"/>
      <c r="S983" s="42"/>
      <c r="T983" s="42"/>
      <c r="U983" s="42"/>
      <c r="V983" s="42"/>
      <c r="W983" s="42"/>
      <c r="X983" s="42"/>
      <c r="Y983" s="42"/>
      <c r="Z983" s="42"/>
      <c r="AA983" s="42"/>
      <c r="AB983" s="42"/>
      <c r="AC983" s="42"/>
    </row>
    <row r="984" spans="1:29" x14ac:dyDescent="0.25">
      <c r="A984" s="41"/>
      <c r="B984" s="42"/>
      <c r="C984" s="41"/>
      <c r="D984" s="42"/>
      <c r="E984" s="42"/>
      <c r="F984" s="35"/>
      <c r="G984" s="42"/>
      <c r="H984" s="41"/>
      <c r="I984" s="91"/>
      <c r="J984" s="91"/>
      <c r="K984" s="91"/>
      <c r="L984" s="41"/>
      <c r="M984" s="41"/>
      <c r="N984" s="42"/>
      <c r="O984" s="42"/>
      <c r="P984" s="42"/>
      <c r="Q984" s="42"/>
      <c r="R984" s="42"/>
      <c r="S984" s="42"/>
      <c r="T984" s="42"/>
      <c r="U984" s="42"/>
      <c r="V984" s="42"/>
      <c r="W984" s="42"/>
      <c r="X984" s="42"/>
      <c r="Y984" s="42"/>
      <c r="Z984" s="42"/>
      <c r="AA984" s="42"/>
      <c r="AB984" s="42"/>
      <c r="AC984" s="42"/>
    </row>
    <row r="985" spans="1:29" x14ac:dyDescent="0.25">
      <c r="A985" s="41"/>
      <c r="B985" s="42"/>
      <c r="C985" s="41"/>
      <c r="D985" s="42"/>
      <c r="E985" s="42"/>
      <c r="F985" s="35"/>
      <c r="G985" s="42"/>
      <c r="H985" s="41"/>
      <c r="I985" s="91"/>
      <c r="J985" s="91"/>
      <c r="K985" s="91"/>
      <c r="L985" s="41"/>
      <c r="M985" s="41"/>
      <c r="N985" s="42"/>
      <c r="O985" s="42"/>
      <c r="P985" s="42"/>
      <c r="Q985" s="42"/>
      <c r="R985" s="42"/>
      <c r="S985" s="42"/>
      <c r="T985" s="42"/>
      <c r="U985" s="42"/>
      <c r="V985" s="42"/>
      <c r="W985" s="42"/>
      <c r="X985" s="42"/>
      <c r="Y985" s="42"/>
      <c r="Z985" s="42"/>
      <c r="AA985" s="42"/>
      <c r="AB985" s="42"/>
      <c r="AC985" s="42"/>
    </row>
    <row r="986" spans="1:29" x14ac:dyDescent="0.25">
      <c r="A986" s="41"/>
      <c r="B986" s="42"/>
      <c r="C986" s="41"/>
      <c r="D986" s="42"/>
      <c r="E986" s="42"/>
      <c r="F986" s="35"/>
      <c r="G986" s="42"/>
      <c r="H986" s="41"/>
      <c r="I986" s="91"/>
      <c r="J986" s="91"/>
      <c r="K986" s="91"/>
      <c r="L986" s="41"/>
      <c r="M986" s="41"/>
      <c r="N986" s="42"/>
      <c r="O986" s="42"/>
      <c r="P986" s="42"/>
      <c r="Q986" s="42"/>
      <c r="R986" s="42"/>
      <c r="S986" s="42"/>
      <c r="T986" s="42"/>
      <c r="U986" s="42"/>
      <c r="V986" s="42"/>
      <c r="W986" s="42"/>
      <c r="X986" s="42"/>
      <c r="Y986" s="42"/>
      <c r="Z986" s="42"/>
      <c r="AA986" s="42"/>
      <c r="AB986" s="42"/>
      <c r="AC986" s="42"/>
    </row>
    <row r="987" spans="1:29" x14ac:dyDescent="0.25">
      <c r="A987" s="41"/>
      <c r="B987" s="42"/>
      <c r="C987" s="41"/>
      <c r="D987" s="42"/>
      <c r="E987" s="42"/>
      <c r="F987" s="35"/>
      <c r="G987" s="42"/>
      <c r="H987" s="41"/>
      <c r="I987" s="91"/>
      <c r="J987" s="91"/>
      <c r="K987" s="91"/>
      <c r="L987" s="41"/>
      <c r="M987" s="41"/>
      <c r="N987" s="42"/>
      <c r="O987" s="42"/>
      <c r="P987" s="42"/>
      <c r="Q987" s="42"/>
      <c r="R987" s="42"/>
      <c r="S987" s="42"/>
      <c r="T987" s="42"/>
      <c r="U987" s="42"/>
      <c r="V987" s="42"/>
      <c r="W987" s="42"/>
      <c r="X987" s="42"/>
      <c r="Y987" s="42"/>
      <c r="Z987" s="42"/>
      <c r="AA987" s="42"/>
      <c r="AB987" s="42"/>
      <c r="AC987" s="42"/>
    </row>
    <row r="988" spans="1:29" x14ac:dyDescent="0.25">
      <c r="A988" s="41"/>
      <c r="B988" s="42"/>
      <c r="C988" s="41"/>
      <c r="D988" s="42"/>
      <c r="E988" s="42"/>
      <c r="F988" s="35"/>
      <c r="G988" s="42"/>
      <c r="H988" s="41"/>
      <c r="I988" s="91"/>
      <c r="J988" s="91"/>
      <c r="K988" s="91"/>
      <c r="L988" s="41"/>
      <c r="M988" s="41"/>
      <c r="N988" s="42"/>
      <c r="O988" s="42"/>
      <c r="P988" s="42"/>
      <c r="Q988" s="42"/>
      <c r="R988" s="42"/>
      <c r="S988" s="42"/>
      <c r="T988" s="42"/>
      <c r="U988" s="42"/>
      <c r="V988" s="42"/>
      <c r="W988" s="42"/>
      <c r="X988" s="42"/>
      <c r="Y988" s="42"/>
      <c r="Z988" s="42"/>
      <c r="AA988" s="42"/>
      <c r="AB988" s="42"/>
      <c r="AC988" s="42"/>
    </row>
    <row r="989" spans="1:29" x14ac:dyDescent="0.25">
      <c r="A989" s="41"/>
      <c r="B989" s="42"/>
      <c r="C989" s="41"/>
      <c r="D989" s="42"/>
      <c r="E989" s="42"/>
      <c r="F989" s="35"/>
      <c r="G989" s="42"/>
      <c r="H989" s="41"/>
      <c r="I989" s="91"/>
      <c r="J989" s="91"/>
      <c r="K989" s="91"/>
      <c r="L989" s="41"/>
      <c r="M989" s="41"/>
      <c r="N989" s="42"/>
      <c r="O989" s="42"/>
      <c r="P989" s="42"/>
      <c r="Q989" s="42"/>
      <c r="R989" s="42"/>
      <c r="S989" s="42"/>
      <c r="T989" s="42"/>
      <c r="U989" s="42"/>
      <c r="V989" s="42"/>
      <c r="W989" s="42"/>
      <c r="X989" s="42"/>
      <c r="Y989" s="42"/>
      <c r="Z989" s="42"/>
      <c r="AA989" s="42"/>
      <c r="AB989" s="42"/>
      <c r="AC989" s="42"/>
    </row>
    <row r="990" spans="1:29" x14ac:dyDescent="0.25">
      <c r="A990" s="41"/>
      <c r="B990" s="42"/>
      <c r="C990" s="41"/>
      <c r="D990" s="42"/>
      <c r="E990" s="42"/>
      <c r="F990" s="35"/>
      <c r="G990" s="42"/>
      <c r="H990" s="41"/>
      <c r="I990" s="91"/>
      <c r="J990" s="91"/>
      <c r="K990" s="91"/>
      <c r="L990" s="41"/>
      <c r="M990" s="41"/>
      <c r="N990" s="42"/>
      <c r="O990" s="42"/>
      <c r="P990" s="42"/>
      <c r="Q990" s="42"/>
      <c r="R990" s="42"/>
      <c r="S990" s="42"/>
      <c r="T990" s="42"/>
      <c r="U990" s="42"/>
      <c r="V990" s="42"/>
      <c r="W990" s="42"/>
      <c r="X990" s="42"/>
      <c r="Y990" s="42"/>
      <c r="Z990" s="42"/>
      <c r="AA990" s="42"/>
      <c r="AB990" s="42"/>
      <c r="AC990" s="42"/>
    </row>
    <row r="991" spans="1:29" x14ac:dyDescent="0.25">
      <c r="A991" s="41"/>
      <c r="B991" s="42"/>
      <c r="C991" s="41"/>
      <c r="D991" s="42"/>
      <c r="E991" s="42"/>
      <c r="F991" s="35"/>
      <c r="G991" s="42"/>
      <c r="H991" s="41"/>
      <c r="I991" s="91"/>
      <c r="J991" s="91"/>
      <c r="K991" s="91"/>
      <c r="L991" s="41"/>
      <c r="M991" s="41"/>
      <c r="N991" s="42"/>
      <c r="O991" s="42"/>
      <c r="P991" s="42"/>
      <c r="Q991" s="42"/>
      <c r="R991" s="42"/>
      <c r="S991" s="42"/>
      <c r="T991" s="42"/>
      <c r="U991" s="42"/>
      <c r="V991" s="42"/>
      <c r="W991" s="42"/>
      <c r="X991" s="42"/>
      <c r="Y991" s="42"/>
      <c r="Z991" s="42"/>
      <c r="AA991" s="42"/>
      <c r="AB991" s="42"/>
      <c r="AC991" s="42"/>
    </row>
    <row r="992" spans="1:29" x14ac:dyDescent="0.25">
      <c r="A992" s="41"/>
      <c r="B992" s="42"/>
      <c r="C992" s="41"/>
      <c r="D992" s="42"/>
      <c r="E992" s="42"/>
      <c r="F992" s="35"/>
      <c r="G992" s="42"/>
      <c r="H992" s="41"/>
      <c r="I992" s="91"/>
      <c r="J992" s="91"/>
      <c r="K992" s="91"/>
      <c r="L992" s="41"/>
      <c r="M992" s="41"/>
      <c r="N992" s="42"/>
      <c r="O992" s="42"/>
      <c r="P992" s="42"/>
      <c r="Q992" s="42"/>
      <c r="R992" s="42"/>
      <c r="S992" s="42"/>
      <c r="T992" s="42"/>
      <c r="U992" s="42"/>
      <c r="V992" s="42"/>
      <c r="W992" s="42"/>
      <c r="X992" s="42"/>
      <c r="Y992" s="42"/>
      <c r="Z992" s="42"/>
      <c r="AA992" s="42"/>
      <c r="AB992" s="42"/>
      <c r="AC992" s="42"/>
    </row>
    <row r="993" spans="1:29" x14ac:dyDescent="0.25">
      <c r="A993" s="41"/>
      <c r="B993" s="42"/>
      <c r="C993" s="41"/>
      <c r="D993" s="42"/>
      <c r="E993" s="42"/>
      <c r="F993" s="35"/>
      <c r="G993" s="42"/>
      <c r="H993" s="41"/>
      <c r="I993" s="91"/>
      <c r="J993" s="91"/>
      <c r="K993" s="91"/>
      <c r="L993" s="41"/>
      <c r="M993" s="41"/>
      <c r="N993" s="42"/>
      <c r="O993" s="42"/>
      <c r="P993" s="42"/>
      <c r="Q993" s="42"/>
      <c r="R993" s="42"/>
      <c r="S993" s="42"/>
      <c r="T993" s="42"/>
      <c r="U993" s="42"/>
      <c r="V993" s="42"/>
      <c r="W993" s="42"/>
      <c r="X993" s="42"/>
      <c r="Y993" s="42"/>
      <c r="Z993" s="42"/>
      <c r="AA993" s="42"/>
      <c r="AB993" s="42"/>
      <c r="AC993" s="42"/>
    </row>
    <row r="994" spans="1:29" x14ac:dyDescent="0.25">
      <c r="A994" s="41"/>
      <c r="B994" s="42"/>
      <c r="C994" s="41"/>
      <c r="D994" s="42"/>
      <c r="E994" s="42"/>
      <c r="F994" s="35"/>
      <c r="G994" s="42"/>
      <c r="H994" s="41"/>
      <c r="I994" s="91"/>
      <c r="J994" s="91"/>
      <c r="K994" s="91"/>
      <c r="L994" s="41"/>
      <c r="M994" s="41"/>
      <c r="N994" s="42"/>
      <c r="O994" s="42"/>
      <c r="P994" s="42"/>
      <c r="Q994" s="42"/>
      <c r="R994" s="42"/>
      <c r="S994" s="42"/>
      <c r="T994" s="42"/>
      <c r="U994" s="42"/>
      <c r="V994" s="42"/>
      <c r="W994" s="42"/>
      <c r="X994" s="42"/>
      <c r="Y994" s="42"/>
      <c r="Z994" s="42"/>
      <c r="AA994" s="42"/>
      <c r="AB994" s="42"/>
      <c r="AC994" s="42"/>
    </row>
    <row r="995" spans="1:29" x14ac:dyDescent="0.25">
      <c r="A995" s="41"/>
      <c r="B995" s="42"/>
      <c r="C995" s="41"/>
      <c r="D995" s="42"/>
      <c r="E995" s="42"/>
      <c r="F995" s="35"/>
      <c r="G995" s="42"/>
      <c r="H995" s="41"/>
      <c r="I995" s="91"/>
      <c r="J995" s="91"/>
      <c r="K995" s="91"/>
      <c r="L995" s="41"/>
      <c r="M995" s="41"/>
      <c r="N995" s="42"/>
      <c r="O995" s="42"/>
      <c r="P995" s="42"/>
      <c r="Q995" s="42"/>
      <c r="R995" s="42"/>
      <c r="S995" s="42"/>
      <c r="T995" s="42"/>
      <c r="U995" s="42"/>
      <c r="V995" s="42"/>
      <c r="W995" s="42"/>
      <c r="X995" s="42"/>
      <c r="Y995" s="42"/>
      <c r="Z995" s="42"/>
      <c r="AA995" s="42"/>
      <c r="AB995" s="42"/>
      <c r="AC995" s="42"/>
    </row>
    <row r="996" spans="1:29" x14ac:dyDescent="0.25">
      <c r="A996" s="41"/>
      <c r="B996" s="42"/>
      <c r="C996" s="41"/>
      <c r="D996" s="42"/>
      <c r="E996" s="42"/>
      <c r="F996" s="35"/>
      <c r="G996" s="42"/>
      <c r="H996" s="41"/>
      <c r="I996" s="91"/>
      <c r="J996" s="91"/>
      <c r="K996" s="91"/>
      <c r="L996" s="41"/>
      <c r="M996" s="41"/>
      <c r="N996" s="42"/>
      <c r="O996" s="42"/>
      <c r="P996" s="42"/>
      <c r="Q996" s="42"/>
      <c r="R996" s="42"/>
      <c r="S996" s="42"/>
      <c r="T996" s="42"/>
      <c r="U996" s="42"/>
      <c r="V996" s="42"/>
      <c r="W996" s="42"/>
      <c r="X996" s="42"/>
      <c r="Y996" s="42"/>
      <c r="Z996" s="42"/>
      <c r="AA996" s="42"/>
      <c r="AB996" s="42"/>
      <c r="AC996" s="42"/>
    </row>
    <row r="997" spans="1:29" x14ac:dyDescent="0.25">
      <c r="A997" s="41"/>
      <c r="B997" s="42"/>
      <c r="C997" s="41"/>
      <c r="D997" s="42"/>
      <c r="E997" s="42"/>
      <c r="F997" s="35"/>
      <c r="G997" s="42"/>
      <c r="H997" s="41"/>
      <c r="I997" s="91"/>
      <c r="J997" s="91"/>
      <c r="K997" s="91"/>
      <c r="L997" s="41"/>
      <c r="M997" s="41"/>
      <c r="N997" s="42"/>
      <c r="O997" s="42"/>
      <c r="P997" s="42"/>
      <c r="Q997" s="42"/>
      <c r="R997" s="42"/>
      <c r="S997" s="42"/>
      <c r="T997" s="42"/>
      <c r="U997" s="42"/>
      <c r="V997" s="42"/>
      <c r="W997" s="42"/>
      <c r="X997" s="42"/>
      <c r="Y997" s="42"/>
      <c r="Z997" s="42"/>
      <c r="AA997" s="42"/>
      <c r="AB997" s="42"/>
      <c r="AC997" s="42"/>
    </row>
    <row r="998" spans="1:29" x14ac:dyDescent="0.25">
      <c r="A998" s="41"/>
      <c r="B998" s="42"/>
      <c r="C998" s="41"/>
      <c r="D998" s="42"/>
      <c r="E998" s="42"/>
      <c r="F998" s="35"/>
      <c r="G998" s="42"/>
      <c r="H998" s="41"/>
      <c r="I998" s="91"/>
      <c r="J998" s="91"/>
      <c r="K998" s="91"/>
      <c r="L998" s="41"/>
      <c r="M998" s="41"/>
      <c r="N998" s="42"/>
      <c r="O998" s="42"/>
      <c r="P998" s="42"/>
      <c r="Q998" s="42"/>
      <c r="R998" s="42"/>
      <c r="S998" s="42"/>
      <c r="T998" s="42"/>
      <c r="U998" s="42"/>
      <c r="V998" s="42"/>
      <c r="W998" s="42"/>
      <c r="X998" s="42"/>
      <c r="Y998" s="42"/>
      <c r="Z998" s="42"/>
      <c r="AA998" s="42"/>
      <c r="AB998" s="42"/>
      <c r="AC998" s="42"/>
    </row>
    <row r="999" spans="1:29" x14ac:dyDescent="0.25">
      <c r="A999" s="41"/>
      <c r="B999" s="42"/>
      <c r="C999" s="41"/>
      <c r="D999" s="42"/>
      <c r="E999" s="42"/>
      <c r="F999" s="35"/>
      <c r="G999" s="42"/>
      <c r="H999" s="41"/>
      <c r="I999" s="91"/>
      <c r="J999" s="91"/>
      <c r="K999" s="91"/>
      <c r="L999" s="41"/>
      <c r="M999" s="41"/>
      <c r="N999" s="42"/>
      <c r="O999" s="42"/>
      <c r="P999" s="42"/>
      <c r="Q999" s="42"/>
      <c r="R999" s="42"/>
      <c r="S999" s="42"/>
      <c r="T999" s="42"/>
      <c r="U999" s="42"/>
      <c r="V999" s="42"/>
      <c r="W999" s="42"/>
      <c r="X999" s="42"/>
      <c r="Y999" s="42"/>
      <c r="Z999" s="42"/>
      <c r="AA999" s="42"/>
      <c r="AB999" s="42"/>
      <c r="AC999" s="42"/>
    </row>
  </sheetData>
  <autoFilter ref="A1:M999" xr:uid="{00000000-0009-0000-0000-000002000000}"/>
  <conditionalFormatting sqref="I101">
    <cfRule type="expression" dxfId="11" priority="1">
      <formula>AND(LEN($B101)&gt;0,LEN($G101)&gt;0)</formula>
    </cfRule>
  </conditionalFormatting>
  <conditionalFormatting sqref="I101">
    <cfRule type="expression" dxfId="10" priority="2">
      <formula>AND(LEN($B101)&gt;0,LEN($G101)=0)</formula>
    </cfRule>
  </conditionalFormatting>
  <conditionalFormatting sqref="A2:I300">
    <cfRule type="expression" dxfId="9" priority="3">
      <formula>(LEN($B2)&gt;0)</formula>
    </cfRule>
  </conditionalFormatting>
  <conditionalFormatting sqref="A2:I300">
    <cfRule type="expression" dxfId="8" priority="4">
      <formula>(LEN($D2)&gt;0)</formula>
    </cfRule>
  </conditionalFormatting>
  <conditionalFormatting sqref="H2:I300">
    <cfRule type="expression" dxfId="7" priority="5">
      <formula>AND(LEN($D2)=0,LEN($F2)&gt;0,LEN($H2&amp;I2)=0)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Config!$B$2:$B$6</xm:f>
          </x14:formula1>
          <xm:sqref>L2:L25 L26:M28 L29:L279</xm:sqref>
        </x14:dataValidation>
        <x14:dataValidation type="list" allowBlank="1" showErrorMessage="1" xr:uid="{00000000-0002-0000-0200-000001000000}">
          <x14:formula1>
            <xm:f>Config!$D$2:$D$7</xm:f>
          </x14:formula1>
          <xm:sqref>M2:M25 M29:M279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defaultColWidth="14.44140625" defaultRowHeight="15.75" customHeight="1" x14ac:dyDescent="0.25"/>
  <cols>
    <col min="1" max="1" width="4.44140625" customWidth="1"/>
    <col min="2" max="2" width="35" customWidth="1"/>
    <col min="3" max="3" width="5.6640625" customWidth="1"/>
    <col min="4" max="4" width="36.5546875" customWidth="1"/>
    <col min="5" max="5" width="13.6640625" customWidth="1"/>
  </cols>
  <sheetData>
    <row r="1" spans="1:5" x14ac:dyDescent="0.25">
      <c r="A1" s="23"/>
      <c r="C1" s="23"/>
      <c r="E1" s="23"/>
    </row>
    <row r="2" spans="1:5" x14ac:dyDescent="0.25">
      <c r="A2" s="26" t="str">
        <f ca="1">IFERROR(__xludf.DUMMYFUNCTION("query(Requirements!$A:$U,""Select H,M,I,N where C=1 or C=2"")"),"Sno")</f>
        <v>Sno</v>
      </c>
      <c r="B2" s="92" t="str">
        <f ca="1">IFERROR(__xludf.DUMMYFUNCTION("""COMPUTED_VALUE"""),"BRD Section")</f>
        <v>BRD Section</v>
      </c>
      <c r="C2" s="26" t="str">
        <f ca="1">IFERROR(__xludf.DUMMYFUNCTION("""COMPUTED_VALUE"""),"RSno")</f>
        <v>RSno</v>
      </c>
      <c r="D2" s="92" t="str">
        <f ca="1">IFERROR(__xludf.DUMMYFUNCTION("""COMPUTED_VALUE"""),"Requirement Subject")</f>
        <v>Requirement Subject</v>
      </c>
      <c r="E2" s="25" t="s">
        <v>277</v>
      </c>
    </row>
    <row r="3" spans="1:5" x14ac:dyDescent="0.25">
      <c r="A3" s="23">
        <f ca="1">IFERROR(__xludf.DUMMYFUNCTION("""COMPUTED_VALUE"""),1)</f>
        <v>1</v>
      </c>
      <c r="B3" s="27" t="str">
        <f ca="1">IFERROR(__xludf.DUMMYFUNCTION("""COMPUTED_VALUE"""),"Functional Requirements")</f>
        <v>Functional Requirements</v>
      </c>
      <c r="C3" s="93">
        <f ca="1">IFERROR(__xludf.DUMMYFUNCTION("""COMPUTED_VALUE"""),0)</f>
        <v>0</v>
      </c>
      <c r="D3" s="27"/>
      <c r="E3" s="94">
        <f ca="1">IF(LEN(D3)=0,IF(LEN($A3)=0,"",SUMIFS($E4:$E51,$A4:$A51,$A3)), COUNTIFS(Requirements!C:C,3,Requirements!H:H,A3, Requirements!I:I,C3))</f>
        <v>0</v>
      </c>
    </row>
    <row r="4" spans="1:5" x14ac:dyDescent="0.25">
      <c r="A4" s="23">
        <f ca="1">IFERROR(__xludf.DUMMYFUNCTION("""COMPUTED_VALUE"""),1)</f>
        <v>1</v>
      </c>
      <c r="B4" s="27"/>
      <c r="C4" s="93">
        <f ca="1">IFERROR(__xludf.DUMMYFUNCTION("""COMPUTED_VALUE"""),1)</f>
        <v>1</v>
      </c>
      <c r="D4" s="27" t="str">
        <f ca="1">IFERROR(__xludf.DUMMYFUNCTION("""COMPUTED_VALUE"""),"1 Product Classification Structures")</f>
        <v>1 Product Classification Structures</v>
      </c>
      <c r="E4" s="94">
        <f ca="1">IF(LEN(D4)=0,IF(LEN($A4)=0,"",SUMIFS($E5:$E52,$A5:$A52,$A4)), COUNTIFS(Requirements!C:C,3,Requirements!H:H,A4, Requirements!I:I,C4))</f>
        <v>0</v>
      </c>
    </row>
    <row r="5" spans="1:5" x14ac:dyDescent="0.25">
      <c r="A5" s="23">
        <f ca="1">IFERROR(__xludf.DUMMYFUNCTION("""COMPUTED_VALUE"""),1)</f>
        <v>1</v>
      </c>
      <c r="B5" s="27"/>
      <c r="C5" s="93">
        <f ca="1">IFERROR(__xludf.DUMMYFUNCTION("""COMPUTED_VALUE"""),2)</f>
        <v>2</v>
      </c>
      <c r="D5" s="27" t="str">
        <f ca="1">IFERROR(__xludf.DUMMYFUNCTION("""COMPUTED_VALUE"""),"2 Product and Service Suppliers")</f>
        <v>2 Product and Service Suppliers</v>
      </c>
      <c r="E5" s="94">
        <f ca="1">IF(LEN(D5)=0,IF(LEN($A5)=0,"",SUMIFS($E6:$E53,$A6:$A53,$A5)), COUNTIFS(Requirements!C:C,3,Requirements!H:H,A5, Requirements!I:I,C5))</f>
        <v>0</v>
      </c>
    </row>
    <row r="6" spans="1:5" x14ac:dyDescent="0.25">
      <c r="A6" s="23">
        <f ca="1">IFERROR(__xludf.DUMMYFUNCTION("""COMPUTED_VALUE"""),1)</f>
        <v>1</v>
      </c>
      <c r="B6" s="27"/>
      <c r="C6" s="93">
        <f ca="1">IFERROR(__xludf.DUMMYFUNCTION("""COMPUTED_VALUE"""),3)</f>
        <v>3</v>
      </c>
      <c r="D6" s="27" t="str">
        <f ca="1">IFERROR(__xludf.DUMMYFUNCTION("""COMPUTED_VALUE"""),"3 Product and Service Catalogue")</f>
        <v>3 Product and Service Catalogue</v>
      </c>
      <c r="E6" s="94">
        <f ca="1">IF(LEN(D6)=0,IF(LEN($A6)=0,"",SUMIFS($E7:$E54,$A7:$A54,$A6)), COUNTIFS(Requirements!C:C,3,Requirements!H:H,A6, Requirements!I:I,C6))</f>
        <v>0</v>
      </c>
    </row>
    <row r="7" spans="1:5" x14ac:dyDescent="0.25">
      <c r="A7" s="23">
        <f ca="1">IFERROR(__xludf.DUMMYFUNCTION("""COMPUTED_VALUE"""),1)</f>
        <v>1</v>
      </c>
      <c r="B7" s="27"/>
      <c r="C7" s="93">
        <f ca="1">IFERROR(__xludf.DUMMYFUNCTION("""COMPUTED_VALUE"""),4)</f>
        <v>4</v>
      </c>
      <c r="D7" s="27" t="str">
        <f ca="1">IFERROR(__xludf.DUMMYFUNCTION("""COMPUTED_VALUE"""),"4 Product Pricing")</f>
        <v>4 Product Pricing</v>
      </c>
      <c r="E7" s="94">
        <f ca="1">IF(LEN(D7)=0,IF(LEN($A7)=0,"",SUMIFS($E8:$E55,$A8:$A55,$A7)), COUNTIFS(Requirements!C:C,3,Requirements!H:H,A7, Requirements!I:I,C7))</f>
        <v>0</v>
      </c>
    </row>
    <row r="8" spans="1:5" x14ac:dyDescent="0.25">
      <c r="A8" s="23">
        <f ca="1">IFERROR(__xludf.DUMMYFUNCTION("""COMPUTED_VALUE"""),1)</f>
        <v>1</v>
      </c>
      <c r="B8" s="27"/>
      <c r="C8" s="93">
        <f ca="1">IFERROR(__xludf.DUMMYFUNCTION("""COMPUTED_VALUE"""),5)</f>
        <v>5</v>
      </c>
      <c r="D8" s="27" t="str">
        <f ca="1">IFERROR(__xludf.DUMMYFUNCTION("""COMPUTED_VALUE"""),"5 Marketing")</f>
        <v>5 Marketing</v>
      </c>
      <c r="E8" s="94">
        <f ca="1">IF(LEN(D8)=0,IF(LEN($A8)=0,"",SUMIFS($E9:$E56,$A9:$A56,$A8)), COUNTIFS(Requirements!C:C,3,Requirements!H:H,A8, Requirements!I:I,C8))</f>
        <v>0</v>
      </c>
    </row>
    <row r="9" spans="1:5" x14ac:dyDescent="0.25">
      <c r="A9" s="23">
        <f ca="1">IFERROR(__xludf.DUMMYFUNCTION("""COMPUTED_VALUE"""),1)</f>
        <v>1</v>
      </c>
      <c r="B9" s="27"/>
      <c r="C9" s="93">
        <f ca="1">IFERROR(__xludf.DUMMYFUNCTION("""COMPUTED_VALUE"""),6)</f>
        <v>6</v>
      </c>
      <c r="D9" s="27" t="str">
        <f ca="1">IFERROR(__xludf.DUMMYFUNCTION("""COMPUTED_VALUE"""),"6 Advertising")</f>
        <v>6 Advertising</v>
      </c>
      <c r="E9" s="94">
        <f ca="1">IF(LEN(D9)=0,IF(LEN($A9)=0,"",SUMIFS($E10:$E57,$A10:$A57,$A9)), COUNTIFS(Requirements!C:C,3,Requirements!H:H,A9, Requirements!I:I,C9))</f>
        <v>0</v>
      </c>
    </row>
    <row r="10" spans="1:5" x14ac:dyDescent="0.25">
      <c r="A10" s="23">
        <f ca="1">IFERROR(__xludf.DUMMYFUNCTION("""COMPUTED_VALUE"""),1)</f>
        <v>1</v>
      </c>
      <c r="B10" s="27"/>
      <c r="C10" s="93">
        <f ca="1">IFERROR(__xludf.DUMMYFUNCTION("""COMPUTED_VALUE"""),7)</f>
        <v>7</v>
      </c>
      <c r="D10" s="27" t="str">
        <f ca="1">IFERROR(__xludf.DUMMYFUNCTION("""COMPUTED_VALUE"""),"7 Special Content (Articles) (future phase)")</f>
        <v>7 Special Content (Articles) (future phase)</v>
      </c>
      <c r="E10" s="94">
        <f ca="1">IF(LEN(D10)=0,IF(LEN($A10)=0,"",SUMIFS($E11:$E58,$A11:$A58,$A10)), COUNTIFS(Requirements!C:C,3,Requirements!H:H,A10, Requirements!I:I,C10))</f>
        <v>0</v>
      </c>
    </row>
    <row r="11" spans="1:5" x14ac:dyDescent="0.25">
      <c r="A11" s="23">
        <f ca="1">IFERROR(__xludf.DUMMYFUNCTION("""COMPUTED_VALUE"""),1)</f>
        <v>1</v>
      </c>
      <c r="B11" s="27"/>
      <c r="C11" s="93">
        <f ca="1">IFERROR(__xludf.DUMMYFUNCTION("""COMPUTED_VALUE"""),8)</f>
        <v>8</v>
      </c>
      <c r="D11" s="27" t="str">
        <f ca="1">IFERROR(__xludf.DUMMYFUNCTION("""COMPUTED_VALUE"""),"8 Content Enrichment")</f>
        <v>8 Content Enrichment</v>
      </c>
      <c r="E11" s="94">
        <f ca="1">IF(LEN(D11)=0,IF(LEN($A11)=0,"",SUMIFS($E12:$E59,$A12:$A59,$A11)), COUNTIFS(Requirements!C:C,3,Requirements!H:H,A11, Requirements!I:I,C11))</f>
        <v>0</v>
      </c>
    </row>
    <row r="12" spans="1:5" x14ac:dyDescent="0.25">
      <c r="A12" s="23">
        <f ca="1">IFERROR(__xludf.DUMMYFUNCTION("""COMPUTED_VALUE"""),1)</f>
        <v>1</v>
      </c>
      <c r="B12" s="27"/>
      <c r="C12" s="93">
        <f ca="1">IFERROR(__xludf.DUMMYFUNCTION("""COMPUTED_VALUE"""),9)</f>
        <v>9</v>
      </c>
      <c r="D12" s="27" t="str">
        <f ca="1">IFERROR(__xludf.DUMMYFUNCTION("""COMPUTED_VALUE"""),"9 Online Shop Users")</f>
        <v>9 Online Shop Users</v>
      </c>
      <c r="E12" s="94">
        <f ca="1">IF(LEN(D12)=0,IF(LEN($A12)=0,"",SUMIFS($E13:$E60,$A13:$A60,$A12)), COUNTIFS(Requirements!C:C,3,Requirements!H:H,A12, Requirements!I:I,C12))</f>
        <v>0</v>
      </c>
    </row>
    <row r="13" spans="1:5" x14ac:dyDescent="0.25">
      <c r="A13" s="23">
        <f ca="1">IFERROR(__xludf.DUMMYFUNCTION("""COMPUTED_VALUE"""),1)</f>
        <v>1</v>
      </c>
      <c r="B13" s="27"/>
      <c r="C13" s="93">
        <f ca="1">IFERROR(__xludf.DUMMYFUNCTION("""COMPUTED_VALUE"""),10)</f>
        <v>10</v>
      </c>
      <c r="D13" s="27" t="str">
        <f ca="1">IFERROR(__xludf.DUMMYFUNCTION("""COMPUTED_VALUE"""),"10 Online Shop Layout")</f>
        <v>10 Online Shop Layout</v>
      </c>
      <c r="E13" s="94">
        <f ca="1">IF(LEN(D13)=0,IF(LEN($A13)=0,"",SUMIFS($E14:$E61,$A14:$A61,$A13)), COUNTIFS(Requirements!C:C,3,Requirements!H:H,A13, Requirements!I:I,C13))</f>
        <v>0</v>
      </c>
    </row>
    <row r="14" spans="1:5" x14ac:dyDescent="0.25">
      <c r="A14" s="23">
        <f ca="1">IFERROR(__xludf.DUMMYFUNCTION("""COMPUTED_VALUE"""),1)</f>
        <v>1</v>
      </c>
      <c r="B14" s="27"/>
      <c r="C14" s="93">
        <f ca="1">IFERROR(__xludf.DUMMYFUNCTION("""COMPUTED_VALUE"""),11)</f>
        <v>11</v>
      </c>
      <c r="D14" s="27" t="str">
        <f ca="1">IFERROR(__xludf.DUMMYFUNCTION("""COMPUTED_VALUE"""),"11 Online Shop Navigation")</f>
        <v>11 Online Shop Navigation</v>
      </c>
      <c r="E14" s="94">
        <f ca="1">IF(LEN(D14)=0,IF(LEN($A14)=0,"",SUMIFS($E15:$E62,$A15:$A62,$A14)), COUNTIFS(Requirements!C:C,3,Requirements!H:H,A14, Requirements!I:I,C14))</f>
        <v>0</v>
      </c>
    </row>
    <row r="15" spans="1:5" x14ac:dyDescent="0.25">
      <c r="A15" s="23">
        <f ca="1">IFERROR(__xludf.DUMMYFUNCTION("""COMPUTED_VALUE"""),1)</f>
        <v>1</v>
      </c>
      <c r="B15" s="27"/>
      <c r="C15" s="93">
        <f ca="1">IFERROR(__xludf.DUMMYFUNCTION("""COMPUTED_VALUE"""),12)</f>
        <v>12</v>
      </c>
      <c r="D15" s="27" t="str">
        <f ca="1">IFERROR(__xludf.DUMMYFUNCTION("""COMPUTED_VALUE"""),"12 Back-office User Registration")</f>
        <v>12 Back-office User Registration</v>
      </c>
      <c r="E15" s="94">
        <f ca="1">IF(LEN(D15)=0,IF(LEN($A15)=0,"",SUMIFS($E16:$E63,$A16:$A63,$A15)), COUNTIFS(Requirements!C:C,3,Requirements!H:H,A15, Requirements!I:I,C15))</f>
        <v>0</v>
      </c>
    </row>
    <row r="16" spans="1:5" x14ac:dyDescent="0.25">
      <c r="A16" s="23">
        <f ca="1">IFERROR(__xludf.DUMMYFUNCTION("""COMPUTED_VALUE"""),1)</f>
        <v>1</v>
      </c>
      <c r="B16" s="27"/>
      <c r="C16" s="93">
        <f ca="1">IFERROR(__xludf.DUMMYFUNCTION("""COMPUTED_VALUE"""),13)</f>
        <v>13</v>
      </c>
      <c r="D16" s="27" t="str">
        <f ca="1">IFERROR(__xludf.DUMMYFUNCTION("""COMPUTED_VALUE"""),"13 Back-office User Profile")</f>
        <v>13 Back-office User Profile</v>
      </c>
      <c r="E16" s="94">
        <f ca="1">IF(LEN(D16)=0,IF(LEN($A16)=0,"",SUMIFS($E17:$E64,$A17:$A64,$A16)), COUNTIFS(Requirements!C:C,3,Requirements!H:H,A16, Requirements!I:I,C16))</f>
        <v>0</v>
      </c>
    </row>
    <row r="17" spans="1:5" x14ac:dyDescent="0.25">
      <c r="A17" s="23">
        <f ca="1">IFERROR(__xludf.DUMMYFUNCTION("""COMPUTED_VALUE"""),1)</f>
        <v>1</v>
      </c>
      <c r="B17" s="27"/>
      <c r="C17" s="93">
        <f ca="1">IFERROR(__xludf.DUMMYFUNCTION("""COMPUTED_VALUE"""),14)</f>
        <v>14</v>
      </c>
      <c r="D17" s="27" t="str">
        <f ca="1">IFERROR(__xludf.DUMMYFUNCTION("""COMPUTED_VALUE"""),"14 Customer Registration")</f>
        <v>14 Customer Registration</v>
      </c>
      <c r="E17" s="94">
        <f ca="1">IF(LEN(D17)=0,IF(LEN($A17)=0,"",SUMIFS($E18:$E65,$A18:$A65,$A17)), COUNTIFS(Requirements!C:C,3,Requirements!H:H,A17, Requirements!I:I,C17))</f>
        <v>0</v>
      </c>
    </row>
    <row r="18" spans="1:5" x14ac:dyDescent="0.25">
      <c r="A18" s="23">
        <f ca="1">IFERROR(__xludf.DUMMYFUNCTION("""COMPUTED_VALUE"""),1)</f>
        <v>1</v>
      </c>
      <c r="B18" s="27"/>
      <c r="C18" s="93">
        <f ca="1">IFERROR(__xludf.DUMMYFUNCTION("""COMPUTED_VALUE"""),15)</f>
        <v>15</v>
      </c>
      <c r="D18" s="27" t="str">
        <f ca="1">IFERROR(__xludf.DUMMYFUNCTION("""COMPUTED_VALUE"""),"15 Customer Profile")</f>
        <v>15 Customer Profile</v>
      </c>
      <c r="E18" s="94">
        <f ca="1">IF(LEN(D18)=0,IF(LEN($A18)=0,"",SUMIFS($E19:$E66,$A19:$A66,$A18)), COUNTIFS(Requirements!C:C,3,Requirements!H:H,A18, Requirements!I:I,C18))</f>
        <v>0</v>
      </c>
    </row>
    <row r="19" spans="1:5" x14ac:dyDescent="0.25">
      <c r="A19" s="23">
        <f ca="1">IFERROR(__xludf.DUMMYFUNCTION("""COMPUTED_VALUE"""),1)</f>
        <v>1</v>
      </c>
      <c r="B19" s="27"/>
      <c r="C19" s="93">
        <f ca="1">IFERROR(__xludf.DUMMYFUNCTION("""COMPUTED_VALUE"""),16)</f>
        <v>16</v>
      </c>
      <c r="D19" s="27" t="str">
        <f ca="1">IFERROR(__xludf.DUMMYFUNCTION("""COMPUTED_VALUE"""),"16 Online Shop Recommended Content")</f>
        <v>16 Online Shop Recommended Content</v>
      </c>
      <c r="E19" s="94">
        <f ca="1">IF(LEN(D19)=0,IF(LEN($A19)=0,"",SUMIFS($E20:$E67,$A20:$A67,$A19)), COUNTIFS(Requirements!C:C,3,Requirements!H:H,A19, Requirements!I:I,C19))</f>
        <v>0</v>
      </c>
    </row>
    <row r="20" spans="1:5" x14ac:dyDescent="0.25">
      <c r="A20" s="23">
        <f ca="1">IFERROR(__xludf.DUMMYFUNCTION("""COMPUTED_VALUE"""),1)</f>
        <v>1</v>
      </c>
      <c r="B20" s="27"/>
      <c r="C20" s="93">
        <f ca="1">IFERROR(__xludf.DUMMYFUNCTION("""COMPUTED_VALUE"""),17)</f>
        <v>17</v>
      </c>
      <c r="D20" s="27" t="str">
        <f ca="1">IFERROR(__xludf.DUMMYFUNCTION("""COMPUTED_VALUE"""),"17 Shopping Cart")</f>
        <v>17 Shopping Cart</v>
      </c>
      <c r="E20" s="94">
        <f ca="1">IF(LEN(D20)=0,IF(LEN($A20)=0,"",SUMIFS($E21:$E68,$A21:$A68,$A20)), COUNTIFS(Requirements!C:C,3,Requirements!H:H,A20, Requirements!I:I,C20))</f>
        <v>0</v>
      </c>
    </row>
    <row r="21" spans="1:5" x14ac:dyDescent="0.25">
      <c r="A21" s="23">
        <f ca="1">IFERROR(__xludf.DUMMYFUNCTION("""COMPUTED_VALUE"""),1)</f>
        <v>1</v>
      </c>
      <c r="B21" s="27"/>
      <c r="C21" s="93">
        <f ca="1">IFERROR(__xludf.DUMMYFUNCTION("""COMPUTED_VALUE"""),18)</f>
        <v>18</v>
      </c>
      <c r="D21" s="27" t="str">
        <f ca="1">IFERROR(__xludf.DUMMYFUNCTION("""COMPUTED_VALUE"""),"18 Checkout and Pay")</f>
        <v>18 Checkout and Pay</v>
      </c>
      <c r="E21" s="94">
        <f ca="1">IF(LEN(D21)=0,IF(LEN($A21)=0,"",SUMIFS($E22:$E69,$A22:$A69,$A21)), COUNTIFS(Requirements!C:C,3,Requirements!H:H,A21, Requirements!I:I,C21))</f>
        <v>0</v>
      </c>
    </row>
    <row r="22" spans="1:5" x14ac:dyDescent="0.25">
      <c r="A22" s="23">
        <f ca="1">IFERROR(__xludf.DUMMYFUNCTION("""COMPUTED_VALUE"""),1)</f>
        <v>1</v>
      </c>
      <c r="B22" s="27"/>
      <c r="C22" s="93">
        <f ca="1">IFERROR(__xludf.DUMMYFUNCTION("""COMPUTED_VALUE"""),19)</f>
        <v>19</v>
      </c>
      <c r="D22" s="27" t="str">
        <f ca="1">IFERROR(__xludf.DUMMYFUNCTION("""COMPUTED_VALUE"""),"19 View Orders")</f>
        <v>19 View Orders</v>
      </c>
      <c r="E22" s="94">
        <f ca="1">IF(LEN(D22)=0,IF(LEN($A22)=0,"",SUMIFS($E23:$E70,$A23:$A70,$A22)), COUNTIFS(Requirements!C:C,3,Requirements!H:H,A22, Requirements!I:I,C22))</f>
        <v>0</v>
      </c>
    </row>
    <row r="23" spans="1:5" x14ac:dyDescent="0.25">
      <c r="A23" s="23">
        <f ca="1">IFERROR(__xludf.DUMMYFUNCTION("""COMPUTED_VALUE"""),1)</f>
        <v>1</v>
      </c>
      <c r="B23" s="27"/>
      <c r="C23" s="93">
        <f ca="1">IFERROR(__xludf.DUMMYFUNCTION("""COMPUTED_VALUE"""),20)</f>
        <v>20</v>
      </c>
      <c r="D23" s="27" t="str">
        <f ca="1">IFERROR(__xludf.DUMMYFUNCTION("""COMPUTED_VALUE"""),"20 Return Products")</f>
        <v>20 Return Products</v>
      </c>
      <c r="E23" s="94">
        <f ca="1">IF(LEN(D23)=0,IF(LEN($A23)=0,"",SUMIFS($E24:$E71,$A24:$A71,$A23)), COUNTIFS(Requirements!C:C,3,Requirements!H:H,A23, Requirements!I:I,C23))</f>
        <v>0</v>
      </c>
    </row>
    <row r="24" spans="1:5" x14ac:dyDescent="0.25">
      <c r="A24" s="23">
        <f ca="1">IFERROR(__xludf.DUMMYFUNCTION("""COMPUTED_VALUE"""),1)</f>
        <v>1</v>
      </c>
      <c r="B24" s="27"/>
      <c r="C24" s="93">
        <f ca="1">IFERROR(__xludf.DUMMYFUNCTION("""COMPUTED_VALUE"""),21)</f>
        <v>21</v>
      </c>
      <c r="D24" s="27" t="str">
        <f ca="1">IFERROR(__xludf.DUMMYFUNCTION("""COMPUTED_VALUE"""),"21 Customer Messages")</f>
        <v>21 Customer Messages</v>
      </c>
      <c r="E24" s="94">
        <f ca="1">IF(LEN(D24)=0,IF(LEN($A24)=0,"",SUMIFS($E25:$E72,$A25:$A72,$A24)), COUNTIFS(Requirements!C:C,3,Requirements!H:H,A24, Requirements!I:I,C24))</f>
        <v>0</v>
      </c>
    </row>
    <row r="25" spans="1:5" x14ac:dyDescent="0.25">
      <c r="A25" s="23">
        <f ca="1">IFERROR(__xludf.DUMMYFUNCTION("""COMPUTED_VALUE"""),1)</f>
        <v>1</v>
      </c>
      <c r="B25" s="27"/>
      <c r="C25" s="93">
        <f ca="1">IFERROR(__xludf.DUMMYFUNCTION("""COMPUTED_VALUE"""),22)</f>
        <v>22</v>
      </c>
      <c r="D25" s="27" t="str">
        <f ca="1">IFERROR(__xludf.DUMMYFUNCTION("""COMPUTED_VALUE"""),"22 Online Payments Management")</f>
        <v>22 Online Payments Management</v>
      </c>
      <c r="E25" s="94">
        <f ca="1">IF(LEN(D25)=0,IF(LEN($A25)=0,"",SUMIFS($E26:$E73,$A26:$A73,$A25)), COUNTIFS(Requirements!C:C,3,Requirements!H:H,A25, Requirements!I:I,C25))</f>
        <v>0</v>
      </c>
    </row>
    <row r="26" spans="1:5" x14ac:dyDescent="0.25">
      <c r="A26" s="23">
        <f ca="1">IFERROR(__xludf.DUMMYFUNCTION("""COMPUTED_VALUE"""),1)</f>
        <v>1</v>
      </c>
      <c r="B26" s="27"/>
      <c r="C26" s="93">
        <f ca="1">IFERROR(__xludf.DUMMYFUNCTION("""COMPUTED_VALUE"""),23)</f>
        <v>23</v>
      </c>
      <c r="D26" s="27" t="str">
        <f ca="1">IFERROR(__xludf.DUMMYFUNCTION("""COMPUTED_VALUE"""),"23 Customer Orders Management")</f>
        <v>23 Customer Orders Management</v>
      </c>
      <c r="E26" s="94">
        <f ca="1">IF(LEN(D26)=0,IF(LEN($A26)=0,"",SUMIFS($E27:$E74,$A27:$A74,$A26)), COUNTIFS(Requirements!C:C,3,Requirements!H:H,A26, Requirements!I:I,C26))</f>
        <v>0</v>
      </c>
    </row>
    <row r="27" spans="1:5" x14ac:dyDescent="0.25">
      <c r="A27" s="23">
        <f ca="1">IFERROR(__xludf.DUMMYFUNCTION("""COMPUTED_VALUE"""),1)</f>
        <v>1</v>
      </c>
      <c r="B27" s="27"/>
      <c r="C27" s="93">
        <f ca="1">IFERROR(__xludf.DUMMYFUNCTION("""COMPUTED_VALUE"""),24)</f>
        <v>24</v>
      </c>
      <c r="D27" s="27" t="str">
        <f ca="1">IFERROR(__xludf.DUMMYFUNCTION("""COMPUTED_VALUE"""),"24 Customer Returns Management")</f>
        <v>24 Customer Returns Management</v>
      </c>
      <c r="E27" s="94">
        <f ca="1">IF(LEN(D27)=0,IF(LEN($A27)=0,"",SUMIFS($E28:$E75,$A28:$A75,$A27)), COUNTIFS(Requirements!C:C,3,Requirements!H:H,A27, Requirements!I:I,C27))</f>
        <v>0</v>
      </c>
    </row>
    <row r="28" spans="1:5" x14ac:dyDescent="0.25">
      <c r="A28" s="23">
        <f ca="1">IFERROR(__xludf.DUMMYFUNCTION("""COMPUTED_VALUE"""),1)</f>
        <v>1</v>
      </c>
      <c r="B28" s="27"/>
      <c r="C28" s="93">
        <f ca="1">IFERROR(__xludf.DUMMYFUNCTION("""COMPUTED_VALUE"""),25)</f>
        <v>25</v>
      </c>
      <c r="D28" s="27" t="str">
        <f ca="1">IFERROR(__xludf.DUMMYFUNCTION("""COMPUTED_VALUE"""),"25 Customer Contact Management")</f>
        <v>25 Customer Contact Management</v>
      </c>
      <c r="E28" s="94">
        <f ca="1">IF(LEN(D28)=0,IF(LEN($A28)=0,"",SUMIFS($E29:$E76,$A29:$A76,$A28)), COUNTIFS(Requirements!C:C,3,Requirements!H:H,A28, Requirements!I:I,C28))</f>
        <v>0</v>
      </c>
    </row>
    <row r="29" spans="1:5" x14ac:dyDescent="0.25">
      <c r="A29" s="23">
        <f ca="1">IFERROR(__xludf.DUMMYFUNCTION("""COMPUTED_VALUE"""),1)</f>
        <v>1</v>
      </c>
      <c r="B29" s="27"/>
      <c r="C29" s="93">
        <f ca="1">IFERROR(__xludf.DUMMYFUNCTION("""COMPUTED_VALUE"""),26)</f>
        <v>26</v>
      </c>
      <c r="D29" s="27" t="str">
        <f ca="1">IFERROR(__xludf.DUMMYFUNCTION("""COMPUTED_VALUE"""),"26 End-to-end Statistics")</f>
        <v>26 End-to-end Statistics</v>
      </c>
      <c r="E29" s="94">
        <f ca="1">IF(LEN(D29)=0,IF(LEN($A29)=0,"",SUMIFS($E30:$E77,$A30:$A77,$A29)), COUNTIFS(Requirements!C:C,3,Requirements!H:H,A29, Requirements!I:I,C29))</f>
        <v>0</v>
      </c>
    </row>
    <row r="30" spans="1:5" x14ac:dyDescent="0.25">
      <c r="A30" s="23">
        <f ca="1">IFERROR(__xludf.DUMMYFUNCTION("""COMPUTED_VALUE"""),1)</f>
        <v>1</v>
      </c>
      <c r="B30" s="27"/>
      <c r="C30" s="93">
        <f ca="1">IFERROR(__xludf.DUMMYFUNCTION("""COMPUTED_VALUE"""),27)</f>
        <v>27</v>
      </c>
      <c r="D30" s="27" t="str">
        <f ca="1">IFERROR(__xludf.DUMMYFUNCTION("""COMPUTED_VALUE"""),"27 Supplier Orders Fulfilment")</f>
        <v>27 Supplier Orders Fulfilment</v>
      </c>
      <c r="E30" s="94">
        <f ca="1">IF(LEN(D30)=0,IF(LEN($A30)=0,"",SUMIFS($E31:$E78,$A31:$A78,$A30)), COUNTIFS(Requirements!C:C,3,Requirements!H:H,A30, Requirements!I:I,C30))</f>
        <v>0</v>
      </c>
    </row>
    <row r="31" spans="1:5" x14ac:dyDescent="0.25">
      <c r="A31" s="23">
        <f ca="1">IFERROR(__xludf.DUMMYFUNCTION("""COMPUTED_VALUE"""),1)</f>
        <v>1</v>
      </c>
      <c r="B31" s="27"/>
      <c r="C31" s="93">
        <f ca="1">IFERROR(__xludf.DUMMYFUNCTION("""COMPUTED_VALUE"""),28)</f>
        <v>28</v>
      </c>
      <c r="D31" s="27" t="str">
        <f ca="1">IFERROR(__xludf.DUMMYFUNCTION("""COMPUTED_VALUE"""),"28 Establish B2C Co as Business")</f>
        <v>28 Establish B2C Co as Business</v>
      </c>
      <c r="E31" s="94">
        <f ca="1">IF(LEN(D31)=0,IF(LEN($A31)=0,"",SUMIFS($E32:$E79,$A32:$A79,$A31)), COUNTIFS(Requirements!C:C,3,Requirements!H:H,A31, Requirements!I:I,C31))</f>
        <v>0</v>
      </c>
    </row>
    <row r="32" spans="1:5" x14ac:dyDescent="0.25">
      <c r="A32" s="23">
        <f ca="1">IFERROR(__xludf.DUMMYFUNCTION("""COMPUTED_VALUE"""),1)</f>
        <v>1</v>
      </c>
      <c r="B32" s="27"/>
      <c r="C32" s="93">
        <f ca="1">IFERROR(__xludf.DUMMYFUNCTION("""COMPUTED_VALUE"""),29)</f>
        <v>29</v>
      </c>
      <c r="D32" s="27" t="str">
        <f ca="1">IFERROR(__xludf.DUMMYFUNCTION("""COMPUTED_VALUE"""),"29 Establish IT Support for B2C Co")</f>
        <v>29 Establish IT Support for B2C Co</v>
      </c>
      <c r="E32" s="94">
        <f ca="1">IF(LEN(D32)=0,IF(LEN($A32)=0,"",SUMIFS($E33:$E80,$A33:$A80,$A32)), COUNTIFS(Requirements!C:C,3,Requirements!H:H,A32, Requirements!I:I,C32))</f>
        <v>0</v>
      </c>
    </row>
    <row r="33" spans="1:5" x14ac:dyDescent="0.25">
      <c r="A33" s="23">
        <f ca="1">IFERROR(__xludf.DUMMYFUNCTION("""COMPUTED_VALUE"""),1)</f>
        <v>1</v>
      </c>
      <c r="B33" s="27"/>
      <c r="C33" s="93">
        <f ca="1">IFERROR(__xludf.DUMMYFUNCTION("""COMPUTED_VALUE"""),30)</f>
        <v>30</v>
      </c>
      <c r="D33" s="27" t="str">
        <f ca="1">IFERROR(__xludf.DUMMYFUNCTION("""COMPUTED_VALUE"""),"30 Customer Retention Enhancements (next phase)")</f>
        <v>30 Customer Retention Enhancements (next phase)</v>
      </c>
      <c r="E33" s="94">
        <f ca="1">IF(LEN(D33)=0,IF(LEN($A33)=0,"",SUMIFS($E34:$E81,$A34:$A81,$A33)), COUNTIFS(Requirements!C:C,3,Requirements!H:H,A33, Requirements!I:I,C33))</f>
        <v>0</v>
      </c>
    </row>
    <row r="34" spans="1:5" x14ac:dyDescent="0.25">
      <c r="A34" s="23">
        <f ca="1">IFERROR(__xludf.DUMMYFUNCTION("""COMPUTED_VALUE"""),1)</f>
        <v>1</v>
      </c>
      <c r="B34" s="27"/>
      <c r="C34" s="93">
        <f ca="1">IFERROR(__xludf.DUMMYFUNCTION("""COMPUTED_VALUE"""),31)</f>
        <v>31</v>
      </c>
      <c r="D34" s="27" t="str">
        <f ca="1">IFERROR(__xludf.DUMMYFUNCTION("""COMPUTED_VALUE"""),"31 B2C Co Parcel Packing and Dispatch")</f>
        <v>31 B2C Co Parcel Packing and Dispatch</v>
      </c>
      <c r="E34" s="94">
        <f ca="1">IF(LEN(D34)=0,IF(LEN($A34)=0,"",SUMIFS($E35:$E82,$A35:$A82,$A34)), COUNTIFS(Requirements!C:C,3,Requirements!H:H,A34, Requirements!I:I,C34))</f>
        <v>0</v>
      </c>
    </row>
    <row r="35" spans="1:5" x14ac:dyDescent="0.25">
      <c r="A35" s="23">
        <f ca="1">IFERROR(__xludf.DUMMYFUNCTION("""COMPUTED_VALUE"""),2)</f>
        <v>2</v>
      </c>
      <c r="B35" s="27" t="str">
        <f ca="1">IFERROR(__xludf.DUMMYFUNCTION("""COMPUTED_VALUE"""),"Information Requirements")</f>
        <v>Information Requirements</v>
      </c>
      <c r="C35" s="93">
        <f ca="1">IFERROR(__xludf.DUMMYFUNCTION("""COMPUTED_VALUE"""),0)</f>
        <v>0</v>
      </c>
      <c r="D35" s="27"/>
      <c r="E35" s="94">
        <f ca="1">IF(LEN(D35)=0,IF(LEN($A35)=0,"",SUMIFS($E36:$E83,$A36:$A83,$A35)), COUNTIFS(Requirements!C:C,3,Requirements!H:H,A35, Requirements!I:I,C35))</f>
        <v>0</v>
      </c>
    </row>
    <row r="36" spans="1:5" x14ac:dyDescent="0.25">
      <c r="A36" s="23">
        <f ca="1">IFERROR(__xludf.DUMMYFUNCTION("""COMPUTED_VALUE"""),2)</f>
        <v>2</v>
      </c>
      <c r="B36" s="27"/>
      <c r="C36" s="93">
        <f ca="1">IFERROR(__xludf.DUMMYFUNCTION("""COMPUTED_VALUE"""),1)</f>
        <v>1</v>
      </c>
      <c r="D36" s="27" t="str">
        <f ca="1">IFERROR(__xludf.DUMMYFUNCTION("""COMPUTED_VALUE"""),"1 Operational Reports")</f>
        <v>1 Operational Reports</v>
      </c>
      <c r="E36" s="94">
        <f ca="1">IF(LEN(D36)=0,IF(LEN($A36)=0,"",SUMIFS($E37:$E84,$A37:$A84,$A36)), COUNTIFS(Requirements!C:C,3,Requirements!H:H,A36, Requirements!I:I,C36))</f>
        <v>0</v>
      </c>
    </row>
    <row r="37" spans="1:5" x14ac:dyDescent="0.25">
      <c r="A37" s="23">
        <f ca="1">IFERROR(__xludf.DUMMYFUNCTION("""COMPUTED_VALUE"""),2)</f>
        <v>2</v>
      </c>
      <c r="B37" s="27"/>
      <c r="C37" s="93">
        <f ca="1">IFERROR(__xludf.DUMMYFUNCTION("""COMPUTED_VALUE"""),2)</f>
        <v>2</v>
      </c>
      <c r="D37" s="27" t="str">
        <f ca="1">IFERROR(__xludf.DUMMYFUNCTION("""COMPUTED_VALUE"""),"2 Analytical Reports")</f>
        <v>2 Analytical Reports</v>
      </c>
      <c r="E37" s="94">
        <f ca="1">IF(LEN(D37)=0,IF(LEN($A37)=0,"",SUMIFS($E38:$E85,$A38:$A85,$A37)), COUNTIFS(Requirements!C:C,3,Requirements!H:H,A37, Requirements!I:I,C37))</f>
        <v>0</v>
      </c>
    </row>
    <row r="38" spans="1:5" x14ac:dyDescent="0.25">
      <c r="A38" s="23">
        <f ca="1">IFERROR(__xludf.DUMMYFUNCTION("""COMPUTED_VALUE"""),4)</f>
        <v>4</v>
      </c>
      <c r="B38" s="27" t="str">
        <f ca="1">IFERROR(__xludf.DUMMYFUNCTION("""COMPUTED_VALUE"""),"Non-Functional Requirements")</f>
        <v>Non-Functional Requirements</v>
      </c>
      <c r="C38" s="93">
        <f ca="1">IFERROR(__xludf.DUMMYFUNCTION("""COMPUTED_VALUE"""),0)</f>
        <v>0</v>
      </c>
      <c r="D38" s="27"/>
      <c r="E38" s="94">
        <f ca="1">IF(LEN(D38)=0,IF(LEN($A38)=0,"",SUMIFS($E39:$E86,$A39:$A86,$A38)), COUNTIFS(Requirements!C:C,3,Requirements!H:H,A38, Requirements!I:I,C38))</f>
        <v>0</v>
      </c>
    </row>
    <row r="39" spans="1:5" x14ac:dyDescent="0.25">
      <c r="A39" s="23">
        <f ca="1">IFERROR(__xludf.DUMMYFUNCTION("""COMPUTED_VALUE"""),4)</f>
        <v>4</v>
      </c>
      <c r="B39" s="27"/>
      <c r="C39" s="93">
        <f ca="1">IFERROR(__xludf.DUMMYFUNCTION("""COMPUTED_VALUE"""),1)</f>
        <v>1</v>
      </c>
      <c r="D39" s="27" t="str">
        <f ca="1">IFERROR(__xludf.DUMMYFUNCTION("""COMPUTED_VALUE"""),"1 Regulatory and Compliance")</f>
        <v>1 Regulatory and Compliance</v>
      </c>
      <c r="E39" s="94">
        <f ca="1">IF(LEN(D39)=0,IF(LEN($A39)=0,"",SUMIFS($E40:$E87,$A40:$A87,$A39)), COUNTIFS(Requirements!C:C,3,Requirements!H:H,A39, Requirements!I:I,C39))</f>
        <v>0</v>
      </c>
    </row>
    <row r="40" spans="1:5" x14ac:dyDescent="0.25">
      <c r="A40" s="23">
        <f ca="1">IFERROR(__xludf.DUMMYFUNCTION("""COMPUTED_VALUE"""),4)</f>
        <v>4</v>
      </c>
      <c r="B40" s="27"/>
      <c r="C40" s="93">
        <f ca="1">IFERROR(__xludf.DUMMYFUNCTION("""COMPUTED_VALUE"""),2)</f>
        <v>2</v>
      </c>
      <c r="D40" s="27" t="str">
        <f ca="1">IFERROR(__xludf.DUMMYFUNCTION("""COMPUTED_VALUE"""),"2 Operational")</f>
        <v>2 Operational</v>
      </c>
      <c r="E40" s="94">
        <f ca="1">IF(LEN(D40)=0,IF(LEN($A40)=0,"",SUMIFS($E41:$E88,$A41:$A88,$A40)), COUNTIFS(Requirements!C:C,3,Requirements!H:H,A40, Requirements!I:I,C40))</f>
        <v>0</v>
      </c>
    </row>
    <row r="41" spans="1:5" x14ac:dyDescent="0.25">
      <c r="A41" s="23">
        <f ca="1">IFERROR(__xludf.DUMMYFUNCTION("""COMPUTED_VALUE"""),4)</f>
        <v>4</v>
      </c>
      <c r="B41" s="27"/>
      <c r="C41" s="93">
        <f ca="1">IFERROR(__xludf.DUMMYFUNCTION("""COMPUTED_VALUE"""),3)</f>
        <v>3</v>
      </c>
      <c r="D41" s="27" t="str">
        <f ca="1">IFERROR(__xludf.DUMMYFUNCTION("""COMPUTED_VALUE"""),"3 Performance")</f>
        <v>3 Performance</v>
      </c>
      <c r="E41" s="94">
        <f ca="1">IF(LEN(D41)=0,IF(LEN($A41)=0,"",SUMIFS($E42:$E89,$A42:$A89,$A41)), COUNTIFS(Requirements!C:C,3,Requirements!H:H,A41, Requirements!I:I,C41))</f>
        <v>0</v>
      </c>
    </row>
    <row r="42" spans="1:5" x14ac:dyDescent="0.25">
      <c r="A42" s="23">
        <f ca="1">IFERROR(__xludf.DUMMYFUNCTION("""COMPUTED_VALUE"""),4)</f>
        <v>4</v>
      </c>
      <c r="B42" s="27"/>
      <c r="C42" s="93">
        <f ca="1">IFERROR(__xludf.DUMMYFUNCTION("""COMPUTED_VALUE"""),4)</f>
        <v>4</v>
      </c>
      <c r="D42" s="27" t="str">
        <f ca="1">IFERROR(__xludf.DUMMYFUNCTION("""COMPUTED_VALUE"""),"4 Reliability, Availability and Integrity")</f>
        <v>4 Reliability, Availability and Integrity</v>
      </c>
      <c r="E42" s="94">
        <f ca="1">IF(LEN(D42)=0,IF(LEN($A42)=0,"",SUMIFS($E43:$E90,$A43:$A90,$A42)), COUNTIFS(Requirements!C:C,3,Requirements!H:H,A42, Requirements!I:I,C42))</f>
        <v>0</v>
      </c>
    </row>
    <row r="43" spans="1:5" x14ac:dyDescent="0.25">
      <c r="A43" s="23">
        <f ca="1">IFERROR(__xludf.DUMMYFUNCTION("""COMPUTED_VALUE"""),4)</f>
        <v>4</v>
      </c>
      <c r="B43" s="27"/>
      <c r="C43" s="93">
        <f ca="1">IFERROR(__xludf.DUMMYFUNCTION("""COMPUTED_VALUE"""),5)</f>
        <v>5</v>
      </c>
      <c r="D43" s="27" t="str">
        <f ca="1">IFERROR(__xludf.DUMMYFUNCTION("""COMPUTED_VALUE"""),"5 Security")</f>
        <v>5 Security</v>
      </c>
      <c r="E43" s="94">
        <f ca="1">IF(LEN(D43)=0,IF(LEN($A43)=0,"",SUMIFS($E44:$E91,$A44:$A91,$A43)), COUNTIFS(Requirements!C:C,3,Requirements!H:H,A43, Requirements!I:I,C43))</f>
        <v>0</v>
      </c>
    </row>
    <row r="44" spans="1:5" x14ac:dyDescent="0.25">
      <c r="A44" s="23">
        <f ca="1">IFERROR(__xludf.DUMMYFUNCTION("""COMPUTED_VALUE"""),3)</f>
        <v>3</v>
      </c>
      <c r="B44" s="27" t="str">
        <f ca="1">IFERROR(__xludf.DUMMYFUNCTION("""COMPUTED_VALUE"""),"Data Requirements")</f>
        <v>Data Requirements</v>
      </c>
      <c r="C44" s="93">
        <f ca="1">IFERROR(__xludf.DUMMYFUNCTION("""COMPUTED_VALUE"""),0)</f>
        <v>0</v>
      </c>
      <c r="D44" s="27"/>
      <c r="E44" s="94">
        <f ca="1">IF(LEN(D44)=0,IF(LEN($A44)=0,"",SUMIFS($E45:$E92,$A45:$A92,$A44)), COUNTIFS(Requirements!C:C,3,Requirements!H:H,A44, Requirements!I:I,C44))</f>
        <v>0</v>
      </c>
    </row>
    <row r="45" spans="1:5" x14ac:dyDescent="0.25">
      <c r="A45" s="23">
        <f ca="1">IFERROR(__xludf.DUMMYFUNCTION("""COMPUTED_VALUE"""),3)</f>
        <v>3</v>
      </c>
      <c r="B45" s="27"/>
      <c r="C45" s="93">
        <f ca="1">IFERROR(__xludf.DUMMYFUNCTION("""COMPUTED_VALUE"""),1)</f>
        <v>1</v>
      </c>
      <c r="D45" s="27" t="str">
        <f ca="1">IFERROR(__xludf.DUMMYFUNCTION("""COMPUTED_VALUE"""),"1 Customer Data Security")</f>
        <v>1 Customer Data Security</v>
      </c>
      <c r="E45" s="94">
        <f ca="1">IF(LEN(D45)=0,IF(LEN($A45)=0,"",SUMIFS($E46:$E93,$A46:$A93,$A45)), COUNTIFS(Requirements!C:C,3,Requirements!H:H,A45, Requirements!I:I,C45))</f>
        <v>0</v>
      </c>
    </row>
    <row r="46" spans="1:5" x14ac:dyDescent="0.25">
      <c r="A46" s="23">
        <f ca="1">IFERROR(__xludf.DUMMYFUNCTION("""COMPUTED_VALUE"""),3)</f>
        <v>3</v>
      </c>
      <c r="B46" s="27"/>
      <c r="C46" s="93">
        <f ca="1">IFERROR(__xludf.DUMMYFUNCTION("""COMPUTED_VALUE"""),2)</f>
        <v>2</v>
      </c>
      <c r="D46" s="27" t="str">
        <f ca="1">IFERROR(__xludf.DUMMYFUNCTION("""COMPUTED_VALUE"""),"2 Customer Data Sharing")</f>
        <v>2 Customer Data Sharing</v>
      </c>
      <c r="E46" s="94">
        <f ca="1">IF(LEN(D46)=0,IF(LEN($A46)=0,"",SUMIFS($E47:$E94,$A47:$A94,$A46)), COUNTIFS(Requirements!C:C,3,Requirements!H:H,A46, Requirements!I:I,C46))</f>
        <v>0</v>
      </c>
    </row>
    <row r="47" spans="1:5" x14ac:dyDescent="0.25">
      <c r="A47" s="23">
        <f ca="1">IFERROR(__xludf.DUMMYFUNCTION("""COMPUTED_VALUE"""),5)</f>
        <v>5</v>
      </c>
      <c r="B47" s="27" t="str">
        <f ca="1">IFERROR(__xludf.DUMMYFUNCTION("""COMPUTED_VALUE"""),"Constraints, Assumptions, Issues, Risks")</f>
        <v>Constraints, Assumptions, Issues, Risks</v>
      </c>
      <c r="C47" s="93">
        <f ca="1">IFERROR(__xludf.DUMMYFUNCTION("""COMPUTED_VALUE"""),0)</f>
        <v>0</v>
      </c>
      <c r="D47" s="27"/>
      <c r="E47" s="94">
        <f ca="1">IF(LEN(D47)=0,IF(LEN($A47)=0,"",SUMIFS($E48:$E95,$A48:$A95,$A47)), COUNTIFS(Requirements!C:C,3,Requirements!H:H,A47, Requirements!I:I,C47))</f>
        <v>0</v>
      </c>
    </row>
    <row r="48" spans="1:5" x14ac:dyDescent="0.25">
      <c r="A48" s="23">
        <f ca="1">IFERROR(__xludf.DUMMYFUNCTION("""COMPUTED_VALUE"""),5)</f>
        <v>5</v>
      </c>
      <c r="B48" s="27"/>
      <c r="C48" s="93">
        <f ca="1">IFERROR(__xludf.DUMMYFUNCTION("""COMPUTED_VALUE"""),1)</f>
        <v>1</v>
      </c>
      <c r="D48" s="27" t="str">
        <f ca="1">IFERROR(__xludf.DUMMYFUNCTION("""COMPUTED_VALUE"""),"1 Constraints, Assumptions, Issues, Risks")</f>
        <v>1 Constraints, Assumptions, Issues, Risks</v>
      </c>
      <c r="E48" s="94">
        <f ca="1">IF(LEN(D48)=0,IF(LEN($A48)=0,"",SUMIFS($E49:$E96,$A49:$A96,$A48)), COUNTIFS(Requirements!C:C,3,Requirements!H:H,A48, Requirements!I:I,C48))</f>
        <v>0</v>
      </c>
    </row>
    <row r="49" spans="1:5" x14ac:dyDescent="0.25">
      <c r="A49" s="23">
        <f ca="1">IFERROR(__xludf.DUMMYFUNCTION("""COMPUTED_VALUE"""),6)</f>
        <v>6</v>
      </c>
      <c r="B49" s="27" t="str">
        <f ca="1">IFERROR(__xludf.DUMMYFUNCTION("""COMPUTED_VALUE"""),"Terminology")</f>
        <v>Terminology</v>
      </c>
      <c r="C49" s="93">
        <f ca="1">IFERROR(__xludf.DUMMYFUNCTION("""COMPUTED_VALUE"""),0)</f>
        <v>0</v>
      </c>
      <c r="D49" s="27"/>
      <c r="E49" s="94">
        <f ca="1">IF(LEN(D49)=0,IF(LEN($A49)=0,"",SUMIFS($E50:$E97,$A50:$A97,$A49)), COUNTIFS(Requirements!C:C,3,Requirements!H:H,A49, Requirements!I:I,C49))</f>
        <v>0</v>
      </c>
    </row>
    <row r="50" spans="1:5" x14ac:dyDescent="0.25">
      <c r="A50" s="23">
        <f ca="1">IFERROR(__xludf.DUMMYFUNCTION("""COMPUTED_VALUE"""),6)</f>
        <v>6</v>
      </c>
      <c r="B50" s="27"/>
      <c r="C50" s="93">
        <f ca="1">IFERROR(__xludf.DUMMYFUNCTION("""COMPUTED_VALUE"""),1)</f>
        <v>1</v>
      </c>
      <c r="D50" s="27" t="str">
        <f ca="1">IFERROR(__xludf.DUMMYFUNCTION("""COMPUTED_VALUE"""),"1 Business")</f>
        <v>1 Business</v>
      </c>
      <c r="E50" s="94">
        <f ca="1">IF(LEN(D50)=0,IF(LEN($A50)=0,"",SUMIFS($E51:$E98,$A51:$A98,$A50)), COUNTIFS(Requirements!C:C,3,Requirements!H:H,A50, Requirements!I:I,C50))</f>
        <v>0</v>
      </c>
    </row>
    <row r="51" spans="1:5" x14ac:dyDescent="0.25">
      <c r="A51" s="23">
        <f ca="1">IFERROR(__xludf.DUMMYFUNCTION("""COMPUTED_VALUE"""),6)</f>
        <v>6</v>
      </c>
      <c r="B51" s="27"/>
      <c r="C51" s="93">
        <f ca="1">IFERROR(__xludf.DUMMYFUNCTION("""COMPUTED_VALUE"""),2)</f>
        <v>2</v>
      </c>
      <c r="D51" s="27" t="str">
        <f ca="1">IFERROR(__xludf.DUMMYFUNCTION("""COMPUTED_VALUE"""),"2 Marketing")</f>
        <v>2 Marketing</v>
      </c>
      <c r="E51" s="94">
        <f ca="1">IF(LEN(D51)=0,IF(LEN($A51)=0,"",SUMIFS($E52:$E99,$A52:$A99,$A51)), COUNTIFS(Requirements!C:C,3,Requirements!H:H,A51, Requirements!I:I,C51))</f>
        <v>0</v>
      </c>
    </row>
    <row r="52" spans="1:5" x14ac:dyDescent="0.25">
      <c r="A52" s="23">
        <f ca="1">IFERROR(__xludf.DUMMYFUNCTION("""COMPUTED_VALUE"""),6)</f>
        <v>6</v>
      </c>
      <c r="B52" s="27"/>
      <c r="C52" s="93">
        <f ca="1">IFERROR(__xludf.DUMMYFUNCTION("""COMPUTED_VALUE"""),3)</f>
        <v>3</v>
      </c>
      <c r="D52" s="27" t="str">
        <f ca="1">IFERROR(__xludf.DUMMYFUNCTION("""COMPUTED_VALUE"""),"3 Customer")</f>
        <v>3 Customer</v>
      </c>
      <c r="E52" s="94">
        <f ca="1">IF(LEN(D52)=0,IF(LEN($A52)=0,"",SUMIFS($E53:$E100,$A53:$A100,$A52)), COUNTIFS(Requirements!C:C,3,Requirements!H:H,A52, Requirements!I:I,C52))</f>
        <v>0</v>
      </c>
    </row>
    <row r="53" spans="1:5" x14ac:dyDescent="0.25">
      <c r="A53" s="23">
        <f ca="1">IFERROR(__xludf.DUMMYFUNCTION("""COMPUTED_VALUE"""),6)</f>
        <v>6</v>
      </c>
      <c r="B53" s="27"/>
      <c r="C53" s="93">
        <f ca="1">IFERROR(__xludf.DUMMYFUNCTION("""COMPUTED_VALUE"""),4)</f>
        <v>4</v>
      </c>
      <c r="D53" s="27" t="str">
        <f ca="1">IFERROR(__xludf.DUMMYFUNCTION("""COMPUTED_VALUE"""),"4 Advertisement")</f>
        <v>4 Advertisement</v>
      </c>
      <c r="E53" s="94">
        <f ca="1">IF(LEN(D53)=0,IF(LEN($A53)=0,"",SUMIFS($E54:$E101,$A54:$A101,$A53)), COUNTIFS(Requirements!C:C,3,Requirements!H:H,A53, Requirements!I:I,C53))</f>
        <v>0</v>
      </c>
    </row>
    <row r="54" spans="1:5" x14ac:dyDescent="0.25">
      <c r="A54" s="23">
        <f ca="1">IFERROR(__xludf.DUMMYFUNCTION("""COMPUTED_VALUE"""),6)</f>
        <v>6</v>
      </c>
      <c r="B54" s="27"/>
      <c r="C54" s="93">
        <f ca="1">IFERROR(__xludf.DUMMYFUNCTION("""COMPUTED_VALUE"""),5)</f>
        <v>5</v>
      </c>
      <c r="D54" s="27" t="str">
        <f ca="1">IFERROR(__xludf.DUMMYFUNCTION("""COMPUTED_VALUE"""),"5 Product")</f>
        <v>5 Product</v>
      </c>
      <c r="E54" s="94">
        <f ca="1">IF(LEN(D54)=0,IF(LEN($A54)=0,"",SUMIFS($E55:$E102,$A55:$A102,$A54)), COUNTIFS(Requirements!C:C,3,Requirements!H:H,A54, Requirements!I:I,C54))</f>
        <v>0</v>
      </c>
    </row>
    <row r="55" spans="1:5" x14ac:dyDescent="0.25">
      <c r="A55" s="23">
        <f ca="1">IFERROR(__xludf.DUMMYFUNCTION("""COMPUTED_VALUE"""),6)</f>
        <v>6</v>
      </c>
      <c r="B55" s="27"/>
      <c r="C55" s="93">
        <f ca="1">IFERROR(__xludf.DUMMYFUNCTION("""COMPUTED_VALUE"""),6)</f>
        <v>6</v>
      </c>
      <c r="D55" s="27" t="str">
        <f ca="1">IFERROR(__xludf.DUMMYFUNCTION("""COMPUTED_VALUE"""),"6 Special Content")</f>
        <v>6 Special Content</v>
      </c>
      <c r="E55" s="94">
        <f ca="1">IF(LEN(D55)=0,IF(LEN($A55)=0,"",SUMIFS($E56:$E103,$A56:$A103,$A55)), COUNTIFS(Requirements!C:C,3,Requirements!H:H,A55, Requirements!I:I,C55))</f>
        <v>0</v>
      </c>
    </row>
    <row r="56" spans="1:5" x14ac:dyDescent="0.25">
      <c r="A56" s="23">
        <f ca="1">IFERROR(__xludf.DUMMYFUNCTION("""COMPUTED_VALUE"""),6)</f>
        <v>6</v>
      </c>
      <c r="B56" s="27"/>
      <c r="C56" s="93">
        <f ca="1">IFERROR(__xludf.DUMMYFUNCTION("""COMPUTED_VALUE"""),7)</f>
        <v>7</v>
      </c>
      <c r="D56" s="27" t="str">
        <f ca="1">IFERROR(__xludf.DUMMYFUNCTION("""COMPUTED_VALUE"""),"7 Technology")</f>
        <v>7 Technology</v>
      </c>
      <c r="E56" s="94">
        <f ca="1">IF(LEN(D56)=0,IF(LEN($A56)=0,"",SUMIFS($E57:$E104,$A57:$A104,$A56)), COUNTIFS(Requirements!C:C,3,Requirements!H:H,A56, Requirements!I:I,C56))</f>
        <v>0</v>
      </c>
    </row>
    <row r="57" spans="1:5" x14ac:dyDescent="0.25">
      <c r="A57" s="23"/>
      <c r="C57" s="93"/>
      <c r="E57" s="94" t="str">
        <f>IF(LEN(D57)=0,IF(LEN($A57)=0,"",SUMIFS($E58:$E105,$A58:$A105,$A57)), COUNTIFS(Requirements!C:C,3,Requirements!H:H,A57, Requirements!I:I,C57))</f>
        <v/>
      </c>
    </row>
    <row r="58" spans="1:5" x14ac:dyDescent="0.25">
      <c r="A58" s="23"/>
      <c r="C58" s="93"/>
      <c r="E58" s="94" t="str">
        <f>IF(LEN(D58)=0,IF(LEN($A58)=0,"",SUMIFS($E59:$E106,$A59:$A106,$A58)), COUNTIFS(Requirements!C:C,3,Requirements!H:H,A58, Requirements!I:I,C58))</f>
        <v/>
      </c>
    </row>
    <row r="59" spans="1:5" x14ac:dyDescent="0.25">
      <c r="A59" s="23"/>
      <c r="C59" s="93"/>
      <c r="E59" s="94" t="str">
        <f>IF(LEN(D59)=0,IF(LEN($A59)=0,"",SUMIFS($E60:$E107,$A60:$A107,$A59)), COUNTIFS(Requirements!C:C,3,Requirements!H:H,A59, Requirements!I:I,C59))</f>
        <v/>
      </c>
    </row>
    <row r="60" spans="1:5" x14ac:dyDescent="0.25">
      <c r="A60" s="23"/>
      <c r="C60" s="93"/>
      <c r="E60" s="94" t="str">
        <f>IF(LEN(D60)=0,IF(LEN($A60)=0,"",SUMIFS($E61:$E108,$A61:$A108,$A60)), COUNTIFS(Requirements!C:C,3,Requirements!H:H,A60, Requirements!I:I,C60))</f>
        <v/>
      </c>
    </row>
    <row r="61" spans="1:5" x14ac:dyDescent="0.25">
      <c r="A61" s="23"/>
      <c r="C61" s="23"/>
      <c r="E61" s="23"/>
    </row>
    <row r="62" spans="1:5" x14ac:dyDescent="0.25">
      <c r="A62" s="23"/>
      <c r="C62" s="23"/>
      <c r="E62" s="23"/>
    </row>
    <row r="63" spans="1:5" x14ac:dyDescent="0.25">
      <c r="A63" s="23"/>
      <c r="C63" s="23"/>
      <c r="E63" s="23"/>
    </row>
    <row r="64" spans="1:5" x14ac:dyDescent="0.25">
      <c r="A64" s="23"/>
      <c r="C64" s="23"/>
      <c r="E64" s="23"/>
    </row>
    <row r="65" spans="1:5" x14ac:dyDescent="0.25">
      <c r="A65" s="23"/>
      <c r="C65" s="23"/>
      <c r="E65" s="23"/>
    </row>
    <row r="66" spans="1:5" x14ac:dyDescent="0.25">
      <c r="A66" s="23"/>
      <c r="C66" s="23"/>
      <c r="E66" s="23"/>
    </row>
    <row r="67" spans="1:5" x14ac:dyDescent="0.25">
      <c r="A67" s="23"/>
      <c r="C67" s="23"/>
      <c r="E67" s="23"/>
    </row>
    <row r="68" spans="1:5" x14ac:dyDescent="0.25">
      <c r="A68" s="23"/>
      <c r="C68" s="23"/>
      <c r="E68" s="23"/>
    </row>
    <row r="69" spans="1:5" x14ac:dyDescent="0.25">
      <c r="A69" s="23"/>
      <c r="C69" s="23"/>
      <c r="E69" s="23"/>
    </row>
    <row r="70" spans="1:5" x14ac:dyDescent="0.25">
      <c r="A70" s="23"/>
      <c r="C70" s="23"/>
      <c r="E70" s="23"/>
    </row>
    <row r="71" spans="1:5" x14ac:dyDescent="0.25">
      <c r="A71" s="23"/>
      <c r="C71" s="23"/>
      <c r="E71" s="23"/>
    </row>
    <row r="72" spans="1:5" x14ac:dyDescent="0.25">
      <c r="A72" s="23"/>
      <c r="C72" s="23"/>
      <c r="E72" s="23"/>
    </row>
    <row r="73" spans="1:5" x14ac:dyDescent="0.25">
      <c r="A73" s="23"/>
      <c r="C73" s="23"/>
      <c r="E73" s="23"/>
    </row>
    <row r="74" spans="1:5" x14ac:dyDescent="0.25">
      <c r="A74" s="23"/>
      <c r="C74" s="23"/>
      <c r="E74" s="23"/>
    </row>
    <row r="75" spans="1:5" x14ac:dyDescent="0.25">
      <c r="A75" s="23"/>
      <c r="C75" s="23"/>
      <c r="E75" s="23"/>
    </row>
    <row r="76" spans="1:5" x14ac:dyDescent="0.25">
      <c r="A76" s="23"/>
      <c r="C76" s="23"/>
      <c r="E76" s="23"/>
    </row>
    <row r="77" spans="1:5" x14ac:dyDescent="0.25">
      <c r="A77" s="23"/>
      <c r="C77" s="23"/>
      <c r="E77" s="23"/>
    </row>
    <row r="78" spans="1:5" x14ac:dyDescent="0.25">
      <c r="A78" s="23"/>
      <c r="C78" s="23"/>
      <c r="E78" s="23"/>
    </row>
    <row r="79" spans="1:5" x14ac:dyDescent="0.25">
      <c r="A79" s="23"/>
      <c r="C79" s="23"/>
      <c r="E79" s="23"/>
    </row>
    <row r="80" spans="1:5" x14ac:dyDescent="0.25">
      <c r="A80" s="23"/>
      <c r="C80" s="23"/>
      <c r="E80" s="23"/>
    </row>
    <row r="81" spans="1:5" x14ac:dyDescent="0.25">
      <c r="A81" s="23"/>
      <c r="C81" s="23"/>
      <c r="E81" s="23"/>
    </row>
    <row r="82" spans="1:5" x14ac:dyDescent="0.25">
      <c r="A82" s="23"/>
      <c r="C82" s="23"/>
      <c r="E82" s="23"/>
    </row>
    <row r="83" spans="1:5" x14ac:dyDescent="0.25">
      <c r="A83" s="23"/>
      <c r="C83" s="23"/>
      <c r="E83" s="23"/>
    </row>
    <row r="84" spans="1:5" x14ac:dyDescent="0.25">
      <c r="A84" s="23"/>
      <c r="C84" s="23"/>
      <c r="E84" s="23"/>
    </row>
    <row r="85" spans="1:5" x14ac:dyDescent="0.25">
      <c r="A85" s="23"/>
      <c r="C85" s="23"/>
      <c r="E85" s="23"/>
    </row>
    <row r="86" spans="1:5" x14ac:dyDescent="0.25">
      <c r="A86" s="23"/>
      <c r="C86" s="23"/>
      <c r="E86" s="23"/>
    </row>
    <row r="87" spans="1:5" x14ac:dyDescent="0.25">
      <c r="A87" s="23"/>
      <c r="C87" s="23"/>
      <c r="E87" s="23"/>
    </row>
    <row r="88" spans="1:5" x14ac:dyDescent="0.25">
      <c r="A88" s="23"/>
      <c r="C88" s="23"/>
      <c r="E88" s="23"/>
    </row>
    <row r="89" spans="1:5" x14ac:dyDescent="0.25">
      <c r="A89" s="23"/>
      <c r="C89" s="23"/>
      <c r="E89" s="23"/>
    </row>
    <row r="90" spans="1:5" x14ac:dyDescent="0.25">
      <c r="A90" s="23"/>
      <c r="C90" s="23"/>
      <c r="E90" s="23"/>
    </row>
    <row r="91" spans="1:5" x14ac:dyDescent="0.25">
      <c r="A91" s="23"/>
      <c r="C91" s="23"/>
      <c r="E91" s="23"/>
    </row>
    <row r="92" spans="1:5" x14ac:dyDescent="0.25">
      <c r="A92" s="23"/>
      <c r="C92" s="23"/>
      <c r="E92" s="23"/>
    </row>
    <row r="93" spans="1:5" x14ac:dyDescent="0.25">
      <c r="A93" s="23"/>
      <c r="C93" s="23"/>
      <c r="E93" s="23"/>
    </row>
    <row r="94" spans="1:5" x14ac:dyDescent="0.25">
      <c r="A94" s="23"/>
      <c r="C94" s="23"/>
      <c r="E94" s="23"/>
    </row>
    <row r="95" spans="1:5" x14ac:dyDescent="0.25">
      <c r="A95" s="23"/>
      <c r="C95" s="23"/>
      <c r="E95" s="23"/>
    </row>
    <row r="96" spans="1:5" x14ac:dyDescent="0.25">
      <c r="A96" s="23"/>
      <c r="C96" s="23"/>
      <c r="E96" s="23"/>
    </row>
    <row r="97" spans="1:5" x14ac:dyDescent="0.25">
      <c r="A97" s="23"/>
      <c r="C97" s="23"/>
      <c r="E97" s="23"/>
    </row>
    <row r="98" spans="1:5" x14ac:dyDescent="0.25">
      <c r="A98" s="23"/>
      <c r="C98" s="23"/>
      <c r="E98" s="23"/>
    </row>
    <row r="99" spans="1:5" x14ac:dyDescent="0.25">
      <c r="A99" s="23"/>
      <c r="C99" s="23"/>
      <c r="E99" s="23"/>
    </row>
    <row r="100" spans="1:5" x14ac:dyDescent="0.25">
      <c r="A100" s="23"/>
      <c r="C100" s="23"/>
      <c r="E100" s="23"/>
    </row>
    <row r="101" spans="1:5" x14ac:dyDescent="0.25">
      <c r="A101" s="23"/>
      <c r="C101" s="23"/>
      <c r="E101" s="23"/>
    </row>
    <row r="102" spans="1:5" x14ac:dyDescent="0.25">
      <c r="A102" s="23"/>
      <c r="C102" s="23"/>
      <c r="E102" s="23"/>
    </row>
    <row r="103" spans="1:5" x14ac:dyDescent="0.25">
      <c r="A103" s="23"/>
      <c r="C103" s="23"/>
      <c r="E103" s="23"/>
    </row>
    <row r="104" spans="1:5" x14ac:dyDescent="0.25">
      <c r="A104" s="23"/>
      <c r="C104" s="23"/>
      <c r="E104" s="23"/>
    </row>
    <row r="105" spans="1:5" x14ac:dyDescent="0.25">
      <c r="A105" s="23"/>
      <c r="C105" s="23"/>
      <c r="E105" s="23"/>
    </row>
    <row r="106" spans="1:5" x14ac:dyDescent="0.25">
      <c r="A106" s="23"/>
      <c r="C106" s="23"/>
      <c r="E106" s="23"/>
    </row>
    <row r="107" spans="1:5" x14ac:dyDescent="0.25">
      <c r="A107" s="23"/>
      <c r="C107" s="23"/>
      <c r="E107" s="23"/>
    </row>
    <row r="108" spans="1:5" x14ac:dyDescent="0.25">
      <c r="A108" s="23"/>
      <c r="C108" s="23"/>
      <c r="E108" s="23"/>
    </row>
    <row r="109" spans="1:5" x14ac:dyDescent="0.25">
      <c r="A109" s="23"/>
      <c r="C109" s="23"/>
      <c r="E109" s="23"/>
    </row>
    <row r="110" spans="1:5" x14ac:dyDescent="0.25">
      <c r="A110" s="23"/>
      <c r="C110" s="23"/>
      <c r="E110" s="23"/>
    </row>
    <row r="111" spans="1:5" x14ac:dyDescent="0.25">
      <c r="A111" s="23"/>
      <c r="C111" s="23"/>
      <c r="E111" s="23"/>
    </row>
    <row r="112" spans="1:5" x14ac:dyDescent="0.25">
      <c r="A112" s="23"/>
      <c r="C112" s="23"/>
      <c r="E112" s="23"/>
    </row>
    <row r="113" spans="1:5" x14ac:dyDescent="0.25">
      <c r="A113" s="23"/>
      <c r="C113" s="23"/>
      <c r="E113" s="23"/>
    </row>
    <row r="114" spans="1:5" x14ac:dyDescent="0.25">
      <c r="A114" s="23"/>
      <c r="C114" s="23"/>
      <c r="E114" s="23"/>
    </row>
    <row r="115" spans="1:5" x14ac:dyDescent="0.25">
      <c r="A115" s="23"/>
      <c r="C115" s="23"/>
      <c r="E115" s="23"/>
    </row>
    <row r="116" spans="1:5" x14ac:dyDescent="0.25">
      <c r="A116" s="23"/>
      <c r="C116" s="23"/>
      <c r="E116" s="23"/>
    </row>
    <row r="117" spans="1:5" x14ac:dyDescent="0.25">
      <c r="A117" s="23"/>
      <c r="C117" s="23"/>
      <c r="E117" s="23"/>
    </row>
    <row r="118" spans="1:5" x14ac:dyDescent="0.25">
      <c r="A118" s="23"/>
      <c r="C118" s="23"/>
      <c r="E118" s="23"/>
    </row>
    <row r="119" spans="1:5" x14ac:dyDescent="0.25">
      <c r="A119" s="23"/>
      <c r="C119" s="23"/>
      <c r="E119" s="23"/>
    </row>
    <row r="120" spans="1:5" x14ac:dyDescent="0.25">
      <c r="A120" s="23"/>
      <c r="C120" s="23"/>
      <c r="E120" s="23"/>
    </row>
    <row r="121" spans="1:5" x14ac:dyDescent="0.25">
      <c r="A121" s="23"/>
      <c r="C121" s="23"/>
      <c r="E121" s="23"/>
    </row>
    <row r="122" spans="1:5" x14ac:dyDescent="0.25">
      <c r="A122" s="23"/>
      <c r="C122" s="23"/>
      <c r="E122" s="23"/>
    </row>
    <row r="123" spans="1:5" x14ac:dyDescent="0.25">
      <c r="A123" s="23"/>
      <c r="C123" s="23"/>
      <c r="E123" s="23"/>
    </row>
    <row r="124" spans="1:5" x14ac:dyDescent="0.25">
      <c r="A124" s="23"/>
      <c r="C124" s="23"/>
      <c r="E124" s="23"/>
    </row>
    <row r="125" spans="1:5" x14ac:dyDescent="0.25">
      <c r="A125" s="23"/>
      <c r="C125" s="23"/>
      <c r="E125" s="23"/>
    </row>
    <row r="126" spans="1:5" x14ac:dyDescent="0.25">
      <c r="A126" s="23"/>
      <c r="C126" s="23"/>
      <c r="E126" s="23"/>
    </row>
    <row r="127" spans="1:5" x14ac:dyDescent="0.25">
      <c r="A127" s="23"/>
      <c r="C127" s="23"/>
      <c r="E127" s="23"/>
    </row>
    <row r="128" spans="1:5" x14ac:dyDescent="0.25">
      <c r="A128" s="23"/>
      <c r="C128" s="23"/>
      <c r="E128" s="23"/>
    </row>
    <row r="129" spans="1:5" x14ac:dyDescent="0.25">
      <c r="A129" s="23"/>
      <c r="C129" s="23"/>
      <c r="E129" s="23"/>
    </row>
    <row r="130" spans="1:5" x14ac:dyDescent="0.25">
      <c r="A130" s="23"/>
      <c r="C130" s="23"/>
      <c r="E130" s="23"/>
    </row>
    <row r="131" spans="1:5" x14ac:dyDescent="0.25">
      <c r="A131" s="23"/>
      <c r="C131" s="23"/>
      <c r="E131" s="23"/>
    </row>
    <row r="132" spans="1:5" x14ac:dyDescent="0.25">
      <c r="A132" s="23"/>
      <c r="C132" s="23"/>
      <c r="E132" s="23"/>
    </row>
    <row r="133" spans="1:5" x14ac:dyDescent="0.25">
      <c r="A133" s="23"/>
      <c r="C133" s="23"/>
      <c r="E133" s="23"/>
    </row>
    <row r="134" spans="1:5" x14ac:dyDescent="0.25">
      <c r="A134" s="23"/>
      <c r="C134" s="23"/>
      <c r="E134" s="23"/>
    </row>
    <row r="135" spans="1:5" x14ac:dyDescent="0.25">
      <c r="A135" s="23"/>
      <c r="C135" s="23"/>
      <c r="E135" s="23"/>
    </row>
    <row r="136" spans="1:5" x14ac:dyDescent="0.25">
      <c r="A136" s="23"/>
      <c r="C136" s="23"/>
      <c r="E136" s="23"/>
    </row>
    <row r="137" spans="1:5" x14ac:dyDescent="0.25">
      <c r="A137" s="23"/>
      <c r="C137" s="23"/>
      <c r="E137" s="23"/>
    </row>
    <row r="138" spans="1:5" x14ac:dyDescent="0.25">
      <c r="A138" s="23"/>
      <c r="C138" s="23"/>
      <c r="E138" s="23"/>
    </row>
    <row r="139" spans="1:5" x14ac:dyDescent="0.25">
      <c r="A139" s="23"/>
      <c r="C139" s="23"/>
      <c r="E139" s="23"/>
    </row>
    <row r="140" spans="1:5" x14ac:dyDescent="0.25">
      <c r="A140" s="23"/>
      <c r="C140" s="23"/>
      <c r="E140" s="23"/>
    </row>
    <row r="141" spans="1:5" x14ac:dyDescent="0.25">
      <c r="A141" s="23"/>
      <c r="C141" s="23"/>
      <c r="E141" s="23"/>
    </row>
    <row r="142" spans="1:5" x14ac:dyDescent="0.25">
      <c r="A142" s="23"/>
      <c r="C142" s="23"/>
      <c r="E142" s="23"/>
    </row>
    <row r="143" spans="1:5" x14ac:dyDescent="0.25">
      <c r="A143" s="23"/>
      <c r="C143" s="23"/>
      <c r="E143" s="23"/>
    </row>
    <row r="144" spans="1:5" x14ac:dyDescent="0.25">
      <c r="A144" s="23"/>
      <c r="C144" s="23"/>
      <c r="E144" s="23"/>
    </row>
    <row r="145" spans="1:5" x14ac:dyDescent="0.25">
      <c r="A145" s="23"/>
      <c r="C145" s="23"/>
      <c r="E145" s="23"/>
    </row>
    <row r="146" spans="1:5" x14ac:dyDescent="0.25">
      <c r="A146" s="23"/>
      <c r="C146" s="23"/>
      <c r="E146" s="23"/>
    </row>
    <row r="147" spans="1:5" x14ac:dyDescent="0.25">
      <c r="A147" s="23"/>
      <c r="C147" s="23"/>
      <c r="E147" s="23"/>
    </row>
    <row r="148" spans="1:5" x14ac:dyDescent="0.25">
      <c r="A148" s="23"/>
      <c r="C148" s="23"/>
      <c r="E148" s="23"/>
    </row>
    <row r="149" spans="1:5" x14ac:dyDescent="0.25">
      <c r="A149" s="23"/>
      <c r="C149" s="23"/>
      <c r="E149" s="23"/>
    </row>
    <row r="150" spans="1:5" x14ac:dyDescent="0.25">
      <c r="A150" s="23"/>
      <c r="C150" s="23"/>
      <c r="E150" s="23"/>
    </row>
    <row r="151" spans="1:5" x14ac:dyDescent="0.25">
      <c r="A151" s="23"/>
      <c r="C151" s="23"/>
      <c r="E151" s="23"/>
    </row>
    <row r="152" spans="1:5" x14ac:dyDescent="0.25">
      <c r="A152" s="23"/>
      <c r="C152" s="23"/>
      <c r="E152" s="23"/>
    </row>
    <row r="153" spans="1:5" x14ac:dyDescent="0.25">
      <c r="A153" s="23"/>
      <c r="C153" s="23"/>
      <c r="E153" s="23"/>
    </row>
    <row r="154" spans="1:5" x14ac:dyDescent="0.25">
      <c r="A154" s="23"/>
      <c r="C154" s="23"/>
      <c r="E154" s="23"/>
    </row>
    <row r="155" spans="1:5" x14ac:dyDescent="0.25">
      <c r="A155" s="23"/>
      <c r="C155" s="23"/>
      <c r="E155" s="23"/>
    </row>
    <row r="156" spans="1:5" x14ac:dyDescent="0.25">
      <c r="A156" s="23"/>
      <c r="C156" s="23"/>
      <c r="E156" s="23"/>
    </row>
    <row r="157" spans="1:5" x14ac:dyDescent="0.25">
      <c r="A157" s="23"/>
      <c r="C157" s="23"/>
      <c r="E157" s="23"/>
    </row>
    <row r="158" spans="1:5" x14ac:dyDescent="0.25">
      <c r="A158" s="23"/>
      <c r="C158" s="23"/>
      <c r="E158" s="23"/>
    </row>
    <row r="159" spans="1:5" x14ac:dyDescent="0.25">
      <c r="A159" s="23"/>
      <c r="C159" s="23"/>
      <c r="E159" s="23"/>
    </row>
    <row r="160" spans="1:5" x14ac:dyDescent="0.25">
      <c r="A160" s="23"/>
      <c r="C160" s="23"/>
      <c r="E160" s="23"/>
    </row>
    <row r="161" spans="1:5" x14ac:dyDescent="0.25">
      <c r="A161" s="23"/>
      <c r="C161" s="23"/>
      <c r="E161" s="23"/>
    </row>
    <row r="162" spans="1:5" x14ac:dyDescent="0.25">
      <c r="A162" s="23"/>
      <c r="C162" s="23"/>
      <c r="E162" s="23"/>
    </row>
    <row r="163" spans="1:5" x14ac:dyDescent="0.25">
      <c r="A163" s="23"/>
      <c r="C163" s="23"/>
      <c r="E163" s="23"/>
    </row>
    <row r="164" spans="1:5" x14ac:dyDescent="0.25">
      <c r="A164" s="23"/>
      <c r="C164" s="23"/>
      <c r="E164" s="23"/>
    </row>
    <row r="165" spans="1:5" x14ac:dyDescent="0.25">
      <c r="A165" s="23"/>
      <c r="C165" s="23"/>
      <c r="E165" s="23"/>
    </row>
    <row r="166" spans="1:5" x14ac:dyDescent="0.25">
      <c r="A166" s="23"/>
      <c r="C166" s="23"/>
      <c r="E166" s="23"/>
    </row>
    <row r="167" spans="1:5" x14ac:dyDescent="0.25">
      <c r="A167" s="23"/>
      <c r="C167" s="23"/>
      <c r="E167" s="23"/>
    </row>
    <row r="168" spans="1:5" x14ac:dyDescent="0.25">
      <c r="A168" s="23"/>
      <c r="C168" s="23"/>
      <c r="E168" s="23"/>
    </row>
    <row r="169" spans="1:5" x14ac:dyDescent="0.25">
      <c r="A169" s="23"/>
      <c r="C169" s="23"/>
      <c r="E169" s="23"/>
    </row>
    <row r="170" spans="1:5" x14ac:dyDescent="0.25">
      <c r="A170" s="23"/>
      <c r="C170" s="23"/>
      <c r="E170" s="23"/>
    </row>
    <row r="171" spans="1:5" x14ac:dyDescent="0.25">
      <c r="A171" s="23"/>
      <c r="C171" s="23"/>
      <c r="E171" s="23"/>
    </row>
    <row r="172" spans="1:5" x14ac:dyDescent="0.25">
      <c r="A172" s="23"/>
      <c r="C172" s="23"/>
      <c r="E172" s="23"/>
    </row>
    <row r="173" spans="1:5" x14ac:dyDescent="0.25">
      <c r="A173" s="23"/>
      <c r="C173" s="23"/>
      <c r="E173" s="23"/>
    </row>
    <row r="174" spans="1:5" x14ac:dyDescent="0.25">
      <c r="A174" s="23"/>
      <c r="C174" s="23"/>
      <c r="E174" s="23"/>
    </row>
    <row r="175" spans="1:5" x14ac:dyDescent="0.25">
      <c r="A175" s="23"/>
      <c r="C175" s="23"/>
      <c r="E175" s="23"/>
    </row>
    <row r="176" spans="1:5" x14ac:dyDescent="0.25">
      <c r="A176" s="23"/>
      <c r="C176" s="23"/>
      <c r="E176" s="23"/>
    </row>
    <row r="177" spans="1:5" x14ac:dyDescent="0.25">
      <c r="A177" s="23"/>
      <c r="C177" s="23"/>
      <c r="E177" s="23"/>
    </row>
    <row r="178" spans="1:5" x14ac:dyDescent="0.25">
      <c r="A178" s="23"/>
      <c r="C178" s="23"/>
      <c r="E178" s="23"/>
    </row>
    <row r="179" spans="1:5" x14ac:dyDescent="0.25">
      <c r="A179" s="23"/>
      <c r="C179" s="23"/>
      <c r="E179" s="23"/>
    </row>
    <row r="180" spans="1:5" x14ac:dyDescent="0.25">
      <c r="A180" s="23"/>
      <c r="C180" s="23"/>
      <c r="E180" s="23"/>
    </row>
    <row r="181" spans="1:5" x14ac:dyDescent="0.25">
      <c r="A181" s="23"/>
      <c r="C181" s="23"/>
      <c r="E181" s="23"/>
    </row>
    <row r="182" spans="1:5" x14ac:dyDescent="0.25">
      <c r="A182" s="23"/>
      <c r="C182" s="23"/>
      <c r="E182" s="23"/>
    </row>
    <row r="183" spans="1:5" x14ac:dyDescent="0.25">
      <c r="A183" s="23"/>
      <c r="C183" s="23"/>
      <c r="E183" s="23"/>
    </row>
    <row r="184" spans="1:5" x14ac:dyDescent="0.25">
      <c r="A184" s="23"/>
      <c r="C184" s="23"/>
      <c r="E184" s="23"/>
    </row>
    <row r="185" spans="1:5" x14ac:dyDescent="0.25">
      <c r="A185" s="23"/>
      <c r="C185" s="23"/>
      <c r="E185" s="23"/>
    </row>
    <row r="186" spans="1:5" x14ac:dyDescent="0.25">
      <c r="A186" s="23"/>
      <c r="C186" s="23"/>
      <c r="E186" s="23"/>
    </row>
    <row r="187" spans="1:5" x14ac:dyDescent="0.25">
      <c r="A187" s="23"/>
      <c r="C187" s="23"/>
      <c r="E187" s="23"/>
    </row>
    <row r="188" spans="1:5" x14ac:dyDescent="0.25">
      <c r="A188" s="23"/>
      <c r="C188" s="23"/>
      <c r="E188" s="23"/>
    </row>
    <row r="189" spans="1:5" x14ac:dyDescent="0.25">
      <c r="A189" s="23"/>
      <c r="C189" s="23"/>
      <c r="E189" s="23"/>
    </row>
    <row r="190" spans="1:5" x14ac:dyDescent="0.25">
      <c r="A190" s="23"/>
      <c r="C190" s="23"/>
      <c r="E190" s="23"/>
    </row>
    <row r="191" spans="1:5" x14ac:dyDescent="0.25">
      <c r="A191" s="23"/>
      <c r="C191" s="23"/>
      <c r="E191" s="23"/>
    </row>
    <row r="192" spans="1:5" x14ac:dyDescent="0.25">
      <c r="A192" s="23"/>
      <c r="C192" s="23"/>
      <c r="E192" s="23"/>
    </row>
    <row r="193" spans="1:5" x14ac:dyDescent="0.25">
      <c r="A193" s="23"/>
      <c r="C193" s="23"/>
      <c r="E193" s="23"/>
    </row>
    <row r="194" spans="1:5" x14ac:dyDescent="0.25">
      <c r="A194" s="23"/>
      <c r="C194" s="23"/>
      <c r="E194" s="23"/>
    </row>
    <row r="195" spans="1:5" x14ac:dyDescent="0.25">
      <c r="A195" s="23"/>
      <c r="C195" s="23"/>
      <c r="E195" s="23"/>
    </row>
    <row r="196" spans="1:5" x14ac:dyDescent="0.25">
      <c r="A196" s="23"/>
      <c r="C196" s="23"/>
      <c r="E196" s="23"/>
    </row>
    <row r="197" spans="1:5" x14ac:dyDescent="0.25">
      <c r="A197" s="23"/>
      <c r="C197" s="23"/>
      <c r="E197" s="23"/>
    </row>
    <row r="198" spans="1:5" x14ac:dyDescent="0.25">
      <c r="A198" s="23"/>
      <c r="C198" s="23"/>
      <c r="E198" s="23"/>
    </row>
    <row r="199" spans="1:5" x14ac:dyDescent="0.25">
      <c r="A199" s="23"/>
      <c r="C199" s="23"/>
      <c r="E199" s="23"/>
    </row>
    <row r="200" spans="1:5" x14ac:dyDescent="0.25">
      <c r="A200" s="23"/>
      <c r="C200" s="23"/>
      <c r="E200" s="23"/>
    </row>
    <row r="201" spans="1:5" x14ac:dyDescent="0.25">
      <c r="A201" s="23"/>
      <c r="C201" s="23"/>
      <c r="E201" s="23"/>
    </row>
    <row r="202" spans="1:5" x14ac:dyDescent="0.25">
      <c r="A202" s="23"/>
      <c r="C202" s="23"/>
      <c r="E202" s="23"/>
    </row>
    <row r="203" spans="1:5" x14ac:dyDescent="0.25">
      <c r="A203" s="23"/>
      <c r="C203" s="23"/>
      <c r="E203" s="23"/>
    </row>
    <row r="204" spans="1:5" x14ac:dyDescent="0.25">
      <c r="A204" s="23"/>
      <c r="C204" s="23"/>
      <c r="E204" s="23"/>
    </row>
    <row r="205" spans="1:5" x14ac:dyDescent="0.25">
      <c r="A205" s="23"/>
      <c r="C205" s="23"/>
      <c r="E205" s="23"/>
    </row>
    <row r="206" spans="1:5" x14ac:dyDescent="0.25">
      <c r="A206" s="23"/>
      <c r="C206" s="23"/>
      <c r="E206" s="23"/>
    </row>
    <row r="207" spans="1:5" x14ac:dyDescent="0.25">
      <c r="A207" s="23"/>
      <c r="C207" s="23"/>
      <c r="E207" s="23"/>
    </row>
    <row r="208" spans="1:5" x14ac:dyDescent="0.25">
      <c r="A208" s="23"/>
      <c r="C208" s="23"/>
      <c r="E208" s="23"/>
    </row>
    <row r="209" spans="1:5" x14ac:dyDescent="0.25">
      <c r="A209" s="23"/>
      <c r="C209" s="23"/>
      <c r="E209" s="23"/>
    </row>
    <row r="210" spans="1:5" x14ac:dyDescent="0.25">
      <c r="A210" s="23"/>
      <c r="C210" s="23"/>
      <c r="E210" s="23"/>
    </row>
    <row r="211" spans="1:5" x14ac:dyDescent="0.25">
      <c r="A211" s="23"/>
      <c r="C211" s="23"/>
      <c r="E211" s="23"/>
    </row>
    <row r="212" spans="1:5" x14ac:dyDescent="0.25">
      <c r="A212" s="23"/>
      <c r="C212" s="23"/>
      <c r="E212" s="23"/>
    </row>
    <row r="213" spans="1:5" x14ac:dyDescent="0.25">
      <c r="A213" s="23"/>
      <c r="C213" s="23"/>
      <c r="E213" s="23"/>
    </row>
    <row r="214" spans="1:5" x14ac:dyDescent="0.25">
      <c r="A214" s="23"/>
      <c r="C214" s="23"/>
      <c r="E214" s="23"/>
    </row>
    <row r="215" spans="1:5" x14ac:dyDescent="0.25">
      <c r="A215" s="23"/>
      <c r="C215" s="23"/>
      <c r="E215" s="23"/>
    </row>
    <row r="216" spans="1:5" x14ac:dyDescent="0.25">
      <c r="A216" s="23"/>
      <c r="C216" s="23"/>
      <c r="E216" s="23"/>
    </row>
    <row r="217" spans="1:5" x14ac:dyDescent="0.25">
      <c r="A217" s="23"/>
      <c r="C217" s="23"/>
      <c r="E217" s="23"/>
    </row>
    <row r="218" spans="1:5" x14ac:dyDescent="0.25">
      <c r="A218" s="23"/>
      <c r="C218" s="23"/>
      <c r="E218" s="23"/>
    </row>
    <row r="219" spans="1:5" x14ac:dyDescent="0.25">
      <c r="A219" s="23"/>
      <c r="C219" s="23"/>
      <c r="E219" s="23"/>
    </row>
    <row r="220" spans="1:5" x14ac:dyDescent="0.25">
      <c r="A220" s="23"/>
      <c r="C220" s="23"/>
      <c r="E220" s="23"/>
    </row>
    <row r="221" spans="1:5" x14ac:dyDescent="0.25">
      <c r="A221" s="23"/>
      <c r="C221" s="23"/>
      <c r="E221" s="23"/>
    </row>
    <row r="222" spans="1:5" x14ac:dyDescent="0.25">
      <c r="A222" s="23"/>
      <c r="C222" s="23"/>
      <c r="E222" s="23"/>
    </row>
    <row r="223" spans="1:5" x14ac:dyDescent="0.25">
      <c r="A223" s="23"/>
      <c r="C223" s="23"/>
      <c r="E223" s="23"/>
    </row>
    <row r="224" spans="1:5" x14ac:dyDescent="0.25">
      <c r="A224" s="23"/>
      <c r="C224" s="23"/>
      <c r="E224" s="23"/>
    </row>
    <row r="225" spans="1:5" x14ac:dyDescent="0.25">
      <c r="A225" s="23"/>
      <c r="C225" s="23"/>
      <c r="E225" s="23"/>
    </row>
    <row r="226" spans="1:5" x14ac:dyDescent="0.25">
      <c r="A226" s="23"/>
      <c r="C226" s="23"/>
      <c r="E226" s="23"/>
    </row>
    <row r="227" spans="1:5" x14ac:dyDescent="0.25">
      <c r="A227" s="23"/>
      <c r="C227" s="23"/>
      <c r="E227" s="23"/>
    </row>
    <row r="228" spans="1:5" x14ac:dyDescent="0.25">
      <c r="A228" s="23"/>
      <c r="C228" s="23"/>
      <c r="E228" s="23"/>
    </row>
    <row r="229" spans="1:5" x14ac:dyDescent="0.25">
      <c r="A229" s="23"/>
      <c r="C229" s="23"/>
      <c r="E229" s="23"/>
    </row>
    <row r="230" spans="1:5" x14ac:dyDescent="0.25">
      <c r="A230" s="23"/>
      <c r="C230" s="23"/>
      <c r="E230" s="23"/>
    </row>
    <row r="231" spans="1:5" x14ac:dyDescent="0.25">
      <c r="A231" s="23"/>
      <c r="C231" s="23"/>
      <c r="E231" s="23"/>
    </row>
    <row r="232" spans="1:5" x14ac:dyDescent="0.25">
      <c r="A232" s="23"/>
      <c r="C232" s="23"/>
      <c r="E232" s="23"/>
    </row>
    <row r="233" spans="1:5" x14ac:dyDescent="0.25">
      <c r="A233" s="23"/>
      <c r="C233" s="23"/>
      <c r="E233" s="23"/>
    </row>
    <row r="234" spans="1:5" x14ac:dyDescent="0.25">
      <c r="A234" s="23"/>
      <c r="C234" s="23"/>
      <c r="E234" s="23"/>
    </row>
    <row r="235" spans="1:5" x14ac:dyDescent="0.25">
      <c r="A235" s="23"/>
      <c r="C235" s="23"/>
      <c r="E235" s="23"/>
    </row>
    <row r="236" spans="1:5" x14ac:dyDescent="0.25">
      <c r="A236" s="23"/>
      <c r="C236" s="23"/>
      <c r="E236" s="23"/>
    </row>
    <row r="237" spans="1:5" x14ac:dyDescent="0.25">
      <c r="A237" s="23"/>
      <c r="C237" s="23"/>
      <c r="E237" s="23"/>
    </row>
    <row r="238" spans="1:5" x14ac:dyDescent="0.25">
      <c r="A238" s="23"/>
      <c r="C238" s="23"/>
      <c r="E238" s="23"/>
    </row>
    <row r="239" spans="1:5" x14ac:dyDescent="0.25">
      <c r="A239" s="23"/>
      <c r="C239" s="23"/>
      <c r="E239" s="23"/>
    </row>
    <row r="240" spans="1:5" x14ac:dyDescent="0.25">
      <c r="A240" s="23"/>
      <c r="C240" s="23"/>
      <c r="E240" s="23"/>
    </row>
    <row r="241" spans="1:5" x14ac:dyDescent="0.25">
      <c r="A241" s="23"/>
      <c r="C241" s="23"/>
      <c r="E241" s="23"/>
    </row>
    <row r="242" spans="1:5" x14ac:dyDescent="0.25">
      <c r="A242" s="23"/>
      <c r="C242" s="23"/>
      <c r="E242" s="23"/>
    </row>
    <row r="243" spans="1:5" x14ac:dyDescent="0.25">
      <c r="A243" s="23"/>
      <c r="C243" s="23"/>
      <c r="E243" s="23"/>
    </row>
    <row r="244" spans="1:5" x14ac:dyDescent="0.25">
      <c r="A244" s="23"/>
      <c r="C244" s="23"/>
      <c r="E244" s="23"/>
    </row>
    <row r="245" spans="1:5" x14ac:dyDescent="0.25">
      <c r="A245" s="23"/>
      <c r="C245" s="23"/>
      <c r="E245" s="23"/>
    </row>
    <row r="246" spans="1:5" x14ac:dyDescent="0.25">
      <c r="A246" s="23"/>
      <c r="C246" s="23"/>
      <c r="E246" s="23"/>
    </row>
    <row r="247" spans="1:5" x14ac:dyDescent="0.25">
      <c r="A247" s="23"/>
      <c r="C247" s="23"/>
      <c r="E247" s="23"/>
    </row>
    <row r="248" spans="1:5" x14ac:dyDescent="0.25">
      <c r="A248" s="23"/>
      <c r="C248" s="23"/>
      <c r="E248" s="23"/>
    </row>
    <row r="249" spans="1:5" x14ac:dyDescent="0.25">
      <c r="A249" s="23"/>
      <c r="C249" s="23"/>
      <c r="E249" s="23"/>
    </row>
    <row r="250" spans="1:5" x14ac:dyDescent="0.25">
      <c r="A250" s="23"/>
      <c r="C250" s="23"/>
      <c r="E250" s="23"/>
    </row>
    <row r="251" spans="1:5" x14ac:dyDescent="0.25">
      <c r="A251" s="23"/>
      <c r="C251" s="23"/>
      <c r="E251" s="23"/>
    </row>
    <row r="252" spans="1:5" x14ac:dyDescent="0.25">
      <c r="A252" s="23"/>
      <c r="C252" s="23"/>
      <c r="E252" s="23"/>
    </row>
    <row r="253" spans="1:5" x14ac:dyDescent="0.25">
      <c r="A253" s="23"/>
      <c r="C253" s="23"/>
      <c r="E253" s="23"/>
    </row>
    <row r="254" spans="1:5" x14ac:dyDescent="0.25">
      <c r="A254" s="23"/>
      <c r="C254" s="23"/>
      <c r="E254" s="23"/>
    </row>
    <row r="255" spans="1:5" x14ac:dyDescent="0.25">
      <c r="A255" s="23"/>
      <c r="C255" s="23"/>
      <c r="E255" s="23"/>
    </row>
    <row r="256" spans="1:5" x14ac:dyDescent="0.25">
      <c r="A256" s="23"/>
      <c r="C256" s="23"/>
      <c r="E256" s="23"/>
    </row>
    <row r="257" spans="1:5" x14ac:dyDescent="0.25">
      <c r="A257" s="23"/>
      <c r="C257" s="23"/>
      <c r="E257" s="23"/>
    </row>
    <row r="258" spans="1:5" x14ac:dyDescent="0.25">
      <c r="A258" s="23"/>
      <c r="C258" s="23"/>
      <c r="E258" s="23"/>
    </row>
    <row r="259" spans="1:5" x14ac:dyDescent="0.25">
      <c r="A259" s="23"/>
      <c r="C259" s="23"/>
      <c r="E259" s="23"/>
    </row>
    <row r="260" spans="1:5" x14ac:dyDescent="0.25">
      <c r="A260" s="23"/>
      <c r="C260" s="23"/>
      <c r="E260" s="23"/>
    </row>
    <row r="261" spans="1:5" x14ac:dyDescent="0.25">
      <c r="A261" s="23"/>
      <c r="C261" s="23"/>
      <c r="E261" s="23"/>
    </row>
    <row r="262" spans="1:5" x14ac:dyDescent="0.25">
      <c r="A262" s="23"/>
      <c r="C262" s="23"/>
      <c r="E262" s="23"/>
    </row>
    <row r="263" spans="1:5" x14ac:dyDescent="0.25">
      <c r="A263" s="23"/>
      <c r="C263" s="23"/>
      <c r="E263" s="23"/>
    </row>
    <row r="264" spans="1:5" x14ac:dyDescent="0.25">
      <c r="A264" s="23"/>
      <c r="C264" s="23"/>
      <c r="E264" s="23"/>
    </row>
    <row r="265" spans="1:5" x14ac:dyDescent="0.25">
      <c r="A265" s="23"/>
      <c r="C265" s="23"/>
      <c r="E265" s="23"/>
    </row>
    <row r="266" spans="1:5" x14ac:dyDescent="0.25">
      <c r="A266" s="23"/>
      <c r="C266" s="23"/>
      <c r="E266" s="23"/>
    </row>
    <row r="267" spans="1:5" x14ac:dyDescent="0.25">
      <c r="A267" s="23"/>
      <c r="C267" s="23"/>
      <c r="E267" s="23"/>
    </row>
    <row r="268" spans="1:5" x14ac:dyDescent="0.25">
      <c r="A268" s="23"/>
      <c r="C268" s="23"/>
      <c r="E268" s="23"/>
    </row>
    <row r="269" spans="1:5" x14ac:dyDescent="0.25">
      <c r="A269" s="23"/>
      <c r="C269" s="23"/>
      <c r="E269" s="23"/>
    </row>
    <row r="270" spans="1:5" x14ac:dyDescent="0.25">
      <c r="A270" s="23"/>
      <c r="C270" s="23"/>
      <c r="E270" s="23"/>
    </row>
    <row r="271" spans="1:5" x14ac:dyDescent="0.25">
      <c r="A271" s="23"/>
      <c r="C271" s="23"/>
      <c r="E271" s="23"/>
    </row>
    <row r="272" spans="1:5" x14ac:dyDescent="0.25">
      <c r="A272" s="23"/>
      <c r="C272" s="23"/>
      <c r="E272" s="23"/>
    </row>
    <row r="273" spans="1:5" x14ac:dyDescent="0.25">
      <c r="A273" s="23"/>
      <c r="C273" s="23"/>
      <c r="E273" s="23"/>
    </row>
    <row r="274" spans="1:5" x14ac:dyDescent="0.25">
      <c r="A274" s="23"/>
      <c r="C274" s="23"/>
      <c r="E274" s="23"/>
    </row>
    <row r="275" spans="1:5" x14ac:dyDescent="0.25">
      <c r="A275" s="23"/>
      <c r="C275" s="23"/>
      <c r="E275" s="23"/>
    </row>
    <row r="276" spans="1:5" x14ac:dyDescent="0.25">
      <c r="A276" s="23"/>
      <c r="C276" s="23"/>
      <c r="E276" s="23"/>
    </row>
    <row r="277" spans="1:5" x14ac:dyDescent="0.25">
      <c r="A277" s="23"/>
      <c r="C277" s="23"/>
      <c r="E277" s="23"/>
    </row>
    <row r="278" spans="1:5" x14ac:dyDescent="0.25">
      <c r="A278" s="23"/>
      <c r="C278" s="23"/>
      <c r="E278" s="23"/>
    </row>
    <row r="279" spans="1:5" x14ac:dyDescent="0.25">
      <c r="A279" s="23"/>
      <c r="C279" s="23"/>
      <c r="E279" s="23"/>
    </row>
    <row r="280" spans="1:5" x14ac:dyDescent="0.25">
      <c r="A280" s="23"/>
      <c r="C280" s="23"/>
      <c r="E280" s="23"/>
    </row>
    <row r="281" spans="1:5" x14ac:dyDescent="0.25">
      <c r="A281" s="23"/>
      <c r="C281" s="23"/>
      <c r="E281" s="23"/>
    </row>
    <row r="282" spans="1:5" x14ac:dyDescent="0.25">
      <c r="A282" s="23"/>
      <c r="C282" s="23"/>
      <c r="E282" s="23"/>
    </row>
    <row r="283" spans="1:5" x14ac:dyDescent="0.25">
      <c r="A283" s="23"/>
      <c r="C283" s="23"/>
      <c r="E283" s="23"/>
    </row>
    <row r="284" spans="1:5" x14ac:dyDescent="0.25">
      <c r="A284" s="23"/>
      <c r="C284" s="23"/>
      <c r="E284" s="23"/>
    </row>
    <row r="285" spans="1:5" x14ac:dyDescent="0.25">
      <c r="A285" s="23"/>
      <c r="C285" s="23"/>
      <c r="E285" s="23"/>
    </row>
    <row r="286" spans="1:5" x14ac:dyDescent="0.25">
      <c r="A286" s="23"/>
      <c r="C286" s="23"/>
      <c r="E286" s="23"/>
    </row>
    <row r="287" spans="1:5" x14ac:dyDescent="0.25">
      <c r="A287" s="23"/>
      <c r="C287" s="23"/>
      <c r="E287" s="23"/>
    </row>
    <row r="288" spans="1:5" x14ac:dyDescent="0.25">
      <c r="A288" s="23"/>
      <c r="C288" s="23"/>
      <c r="E288" s="23"/>
    </row>
    <row r="289" spans="1:5" x14ac:dyDescent="0.25">
      <c r="A289" s="23"/>
      <c r="C289" s="23"/>
      <c r="E289" s="23"/>
    </row>
    <row r="290" spans="1:5" x14ac:dyDescent="0.25">
      <c r="A290" s="23"/>
      <c r="C290" s="23"/>
      <c r="E290" s="23"/>
    </row>
    <row r="291" spans="1:5" x14ac:dyDescent="0.25">
      <c r="A291" s="23"/>
      <c r="C291" s="23"/>
      <c r="E291" s="23"/>
    </row>
    <row r="292" spans="1:5" x14ac:dyDescent="0.25">
      <c r="A292" s="23"/>
      <c r="C292" s="23"/>
      <c r="E292" s="23"/>
    </row>
    <row r="293" spans="1:5" x14ac:dyDescent="0.25">
      <c r="A293" s="23"/>
      <c r="C293" s="23"/>
      <c r="E293" s="23"/>
    </row>
    <row r="294" spans="1:5" x14ac:dyDescent="0.25">
      <c r="A294" s="23"/>
      <c r="C294" s="23"/>
      <c r="E294" s="23"/>
    </row>
    <row r="295" spans="1:5" x14ac:dyDescent="0.25">
      <c r="A295" s="23"/>
      <c r="C295" s="23"/>
      <c r="E295" s="23"/>
    </row>
    <row r="296" spans="1:5" x14ac:dyDescent="0.25">
      <c r="A296" s="23"/>
      <c r="C296" s="23"/>
      <c r="E296" s="23"/>
    </row>
    <row r="297" spans="1:5" x14ac:dyDescent="0.25">
      <c r="A297" s="23"/>
      <c r="C297" s="23"/>
      <c r="E297" s="23"/>
    </row>
    <row r="298" spans="1:5" x14ac:dyDescent="0.25">
      <c r="A298" s="23"/>
      <c r="C298" s="23"/>
      <c r="E298" s="23"/>
    </row>
    <row r="299" spans="1:5" x14ac:dyDescent="0.25">
      <c r="A299" s="23"/>
      <c r="C299" s="23"/>
      <c r="E299" s="23"/>
    </row>
    <row r="300" spans="1:5" x14ac:dyDescent="0.25">
      <c r="A300" s="23"/>
      <c r="C300" s="23"/>
      <c r="E300" s="23"/>
    </row>
    <row r="301" spans="1:5" x14ac:dyDescent="0.25">
      <c r="A301" s="23"/>
      <c r="C301" s="23"/>
      <c r="E301" s="23"/>
    </row>
    <row r="302" spans="1:5" x14ac:dyDescent="0.25">
      <c r="A302" s="23"/>
      <c r="C302" s="23"/>
      <c r="E302" s="23"/>
    </row>
    <row r="303" spans="1:5" x14ac:dyDescent="0.25">
      <c r="A303" s="23"/>
      <c r="C303" s="23"/>
      <c r="E303" s="23"/>
    </row>
    <row r="304" spans="1:5" x14ac:dyDescent="0.25">
      <c r="A304" s="23"/>
      <c r="C304" s="23"/>
      <c r="E304" s="23"/>
    </row>
    <row r="305" spans="1:5" x14ac:dyDescent="0.25">
      <c r="A305" s="23"/>
      <c r="C305" s="23"/>
      <c r="E305" s="23"/>
    </row>
    <row r="306" spans="1:5" x14ac:dyDescent="0.25">
      <c r="A306" s="23"/>
      <c r="C306" s="23"/>
      <c r="E306" s="23"/>
    </row>
    <row r="307" spans="1:5" x14ac:dyDescent="0.25">
      <c r="A307" s="23"/>
      <c r="C307" s="23"/>
      <c r="E307" s="23"/>
    </row>
    <row r="308" spans="1:5" x14ac:dyDescent="0.25">
      <c r="A308" s="23"/>
      <c r="C308" s="23"/>
      <c r="E308" s="23"/>
    </row>
    <row r="309" spans="1:5" x14ac:dyDescent="0.25">
      <c r="A309" s="23"/>
      <c r="C309" s="23"/>
      <c r="E309" s="23"/>
    </row>
    <row r="310" spans="1:5" x14ac:dyDescent="0.25">
      <c r="A310" s="23"/>
      <c r="C310" s="23"/>
      <c r="E310" s="23"/>
    </row>
    <row r="311" spans="1:5" x14ac:dyDescent="0.25">
      <c r="A311" s="23"/>
      <c r="C311" s="23"/>
      <c r="E311" s="23"/>
    </row>
    <row r="312" spans="1:5" x14ac:dyDescent="0.25">
      <c r="A312" s="23"/>
      <c r="C312" s="23"/>
      <c r="E312" s="23"/>
    </row>
    <row r="313" spans="1:5" x14ac:dyDescent="0.25">
      <c r="A313" s="23"/>
      <c r="C313" s="23"/>
      <c r="E313" s="23"/>
    </row>
    <row r="314" spans="1:5" x14ac:dyDescent="0.25">
      <c r="A314" s="23"/>
      <c r="C314" s="23"/>
      <c r="E314" s="23"/>
    </row>
    <row r="315" spans="1:5" x14ac:dyDescent="0.25">
      <c r="A315" s="23"/>
      <c r="C315" s="23"/>
      <c r="E315" s="23"/>
    </row>
    <row r="316" spans="1:5" x14ac:dyDescent="0.25">
      <c r="A316" s="23"/>
      <c r="C316" s="23"/>
      <c r="E316" s="23"/>
    </row>
    <row r="317" spans="1:5" x14ac:dyDescent="0.25">
      <c r="A317" s="23"/>
      <c r="C317" s="23"/>
      <c r="E317" s="23"/>
    </row>
    <row r="318" spans="1:5" x14ac:dyDescent="0.25">
      <c r="A318" s="23"/>
      <c r="C318" s="23"/>
      <c r="E318" s="23"/>
    </row>
    <row r="319" spans="1:5" x14ac:dyDescent="0.25">
      <c r="A319" s="23"/>
      <c r="C319" s="23"/>
      <c r="E319" s="23"/>
    </row>
    <row r="320" spans="1:5" x14ac:dyDescent="0.25">
      <c r="A320" s="23"/>
      <c r="C320" s="23"/>
      <c r="E320" s="23"/>
    </row>
    <row r="321" spans="1:5" x14ac:dyDescent="0.25">
      <c r="A321" s="23"/>
      <c r="C321" s="23"/>
      <c r="E321" s="23"/>
    </row>
    <row r="322" spans="1:5" x14ac:dyDescent="0.25">
      <c r="A322" s="23"/>
      <c r="C322" s="23"/>
      <c r="E322" s="23"/>
    </row>
    <row r="323" spans="1:5" x14ac:dyDescent="0.25">
      <c r="A323" s="23"/>
      <c r="C323" s="23"/>
      <c r="E323" s="23"/>
    </row>
    <row r="324" spans="1:5" x14ac:dyDescent="0.25">
      <c r="A324" s="23"/>
      <c r="C324" s="23"/>
      <c r="E324" s="23"/>
    </row>
    <row r="325" spans="1:5" x14ac:dyDescent="0.25">
      <c r="A325" s="23"/>
      <c r="C325" s="23"/>
      <c r="E325" s="23"/>
    </row>
    <row r="326" spans="1:5" x14ac:dyDescent="0.25">
      <c r="A326" s="23"/>
      <c r="C326" s="23"/>
      <c r="E326" s="23"/>
    </row>
    <row r="327" spans="1:5" x14ac:dyDescent="0.25">
      <c r="A327" s="23"/>
      <c r="C327" s="23"/>
      <c r="E327" s="23"/>
    </row>
    <row r="328" spans="1:5" x14ac:dyDescent="0.25">
      <c r="A328" s="23"/>
      <c r="C328" s="23"/>
      <c r="E328" s="23"/>
    </row>
    <row r="329" spans="1:5" x14ac:dyDescent="0.25">
      <c r="A329" s="23"/>
      <c r="C329" s="23"/>
      <c r="E329" s="23"/>
    </row>
    <row r="330" spans="1:5" x14ac:dyDescent="0.25">
      <c r="A330" s="23"/>
      <c r="C330" s="23"/>
      <c r="E330" s="23"/>
    </row>
    <row r="331" spans="1:5" x14ac:dyDescent="0.25">
      <c r="A331" s="23"/>
      <c r="C331" s="23"/>
      <c r="E331" s="23"/>
    </row>
    <row r="332" spans="1:5" x14ac:dyDescent="0.25">
      <c r="A332" s="23"/>
      <c r="C332" s="23"/>
      <c r="E332" s="23"/>
    </row>
    <row r="333" spans="1:5" x14ac:dyDescent="0.25">
      <c r="A333" s="23"/>
      <c r="C333" s="23"/>
      <c r="E333" s="23"/>
    </row>
    <row r="334" spans="1:5" x14ac:dyDescent="0.25">
      <c r="A334" s="23"/>
      <c r="C334" s="23"/>
      <c r="E334" s="23"/>
    </row>
    <row r="335" spans="1:5" x14ac:dyDescent="0.25">
      <c r="A335" s="23"/>
      <c r="C335" s="23"/>
      <c r="E335" s="23"/>
    </row>
    <row r="336" spans="1:5" x14ac:dyDescent="0.25">
      <c r="A336" s="23"/>
      <c r="C336" s="23"/>
      <c r="E336" s="23"/>
    </row>
    <row r="337" spans="1:5" x14ac:dyDescent="0.25">
      <c r="A337" s="23"/>
      <c r="C337" s="23"/>
      <c r="E337" s="23"/>
    </row>
    <row r="338" spans="1:5" x14ac:dyDescent="0.25">
      <c r="A338" s="23"/>
      <c r="C338" s="23"/>
      <c r="E338" s="23"/>
    </row>
    <row r="339" spans="1:5" x14ac:dyDescent="0.25">
      <c r="A339" s="23"/>
      <c r="C339" s="23"/>
      <c r="E339" s="23"/>
    </row>
    <row r="340" spans="1:5" x14ac:dyDescent="0.25">
      <c r="A340" s="23"/>
      <c r="C340" s="23"/>
      <c r="E340" s="23"/>
    </row>
    <row r="341" spans="1:5" x14ac:dyDescent="0.25">
      <c r="A341" s="23"/>
      <c r="C341" s="23"/>
      <c r="E341" s="23"/>
    </row>
    <row r="342" spans="1:5" x14ac:dyDescent="0.25">
      <c r="A342" s="23"/>
      <c r="C342" s="23"/>
      <c r="E342" s="23"/>
    </row>
    <row r="343" spans="1:5" x14ac:dyDescent="0.25">
      <c r="A343" s="23"/>
      <c r="C343" s="23"/>
      <c r="E343" s="23"/>
    </row>
    <row r="344" spans="1:5" x14ac:dyDescent="0.25">
      <c r="A344" s="23"/>
      <c r="C344" s="23"/>
      <c r="E344" s="23"/>
    </row>
    <row r="345" spans="1:5" x14ac:dyDescent="0.25">
      <c r="A345" s="23"/>
      <c r="C345" s="23"/>
      <c r="E345" s="23"/>
    </row>
    <row r="346" spans="1:5" x14ac:dyDescent="0.25">
      <c r="A346" s="23"/>
      <c r="C346" s="23"/>
      <c r="E346" s="23"/>
    </row>
    <row r="347" spans="1:5" x14ac:dyDescent="0.25">
      <c r="A347" s="23"/>
      <c r="C347" s="23"/>
      <c r="E347" s="23"/>
    </row>
    <row r="348" spans="1:5" x14ac:dyDescent="0.25">
      <c r="A348" s="23"/>
      <c r="C348" s="23"/>
      <c r="E348" s="23"/>
    </row>
    <row r="349" spans="1:5" x14ac:dyDescent="0.25">
      <c r="A349" s="23"/>
      <c r="C349" s="23"/>
      <c r="E349" s="23"/>
    </row>
    <row r="350" spans="1:5" x14ac:dyDescent="0.25">
      <c r="A350" s="23"/>
      <c r="C350" s="23"/>
      <c r="E350" s="23"/>
    </row>
    <row r="351" spans="1:5" x14ac:dyDescent="0.25">
      <c r="A351" s="23"/>
      <c r="C351" s="23"/>
      <c r="E351" s="23"/>
    </row>
    <row r="352" spans="1:5" x14ac:dyDescent="0.25">
      <c r="A352" s="23"/>
      <c r="C352" s="23"/>
      <c r="E352" s="23"/>
    </row>
    <row r="353" spans="1:5" x14ac:dyDescent="0.25">
      <c r="A353" s="23"/>
      <c r="C353" s="23"/>
      <c r="E353" s="23"/>
    </row>
    <row r="354" spans="1:5" x14ac:dyDescent="0.25">
      <c r="A354" s="23"/>
      <c r="C354" s="23"/>
      <c r="E354" s="23"/>
    </row>
    <row r="355" spans="1:5" x14ac:dyDescent="0.25">
      <c r="A355" s="23"/>
      <c r="C355" s="23"/>
      <c r="E355" s="23"/>
    </row>
    <row r="356" spans="1:5" x14ac:dyDescent="0.25">
      <c r="A356" s="23"/>
      <c r="C356" s="23"/>
      <c r="E356" s="23"/>
    </row>
    <row r="357" spans="1:5" x14ac:dyDescent="0.25">
      <c r="A357" s="23"/>
      <c r="C357" s="23"/>
      <c r="E357" s="23"/>
    </row>
    <row r="358" spans="1:5" x14ac:dyDescent="0.25">
      <c r="A358" s="23"/>
      <c r="C358" s="23"/>
      <c r="E358" s="23"/>
    </row>
    <row r="359" spans="1:5" x14ac:dyDescent="0.25">
      <c r="A359" s="23"/>
      <c r="C359" s="23"/>
      <c r="E359" s="23"/>
    </row>
    <row r="360" spans="1:5" x14ac:dyDescent="0.25">
      <c r="A360" s="23"/>
      <c r="C360" s="23"/>
      <c r="E360" s="23"/>
    </row>
    <row r="361" spans="1:5" x14ac:dyDescent="0.25">
      <c r="A361" s="23"/>
      <c r="C361" s="23"/>
      <c r="E361" s="23"/>
    </row>
    <row r="362" spans="1:5" x14ac:dyDescent="0.25">
      <c r="A362" s="23"/>
      <c r="C362" s="23"/>
      <c r="E362" s="23"/>
    </row>
    <row r="363" spans="1:5" x14ac:dyDescent="0.25">
      <c r="A363" s="23"/>
      <c r="C363" s="23"/>
      <c r="E363" s="23"/>
    </row>
    <row r="364" spans="1:5" x14ac:dyDescent="0.25">
      <c r="A364" s="23"/>
      <c r="C364" s="23"/>
      <c r="E364" s="23"/>
    </row>
    <row r="365" spans="1:5" x14ac:dyDescent="0.25">
      <c r="A365" s="23"/>
      <c r="C365" s="23"/>
      <c r="E365" s="23"/>
    </row>
    <row r="366" spans="1:5" x14ac:dyDescent="0.25">
      <c r="A366" s="23"/>
      <c r="C366" s="23"/>
      <c r="E366" s="23"/>
    </row>
    <row r="367" spans="1:5" x14ac:dyDescent="0.25">
      <c r="A367" s="23"/>
      <c r="C367" s="23"/>
      <c r="E367" s="23"/>
    </row>
    <row r="368" spans="1:5" x14ac:dyDescent="0.25">
      <c r="A368" s="23"/>
      <c r="C368" s="23"/>
      <c r="E368" s="23"/>
    </row>
    <row r="369" spans="1:5" x14ac:dyDescent="0.25">
      <c r="A369" s="23"/>
      <c r="C369" s="23"/>
      <c r="E369" s="23"/>
    </row>
    <row r="370" spans="1:5" x14ac:dyDescent="0.25">
      <c r="A370" s="23"/>
      <c r="C370" s="23"/>
      <c r="E370" s="23"/>
    </row>
    <row r="371" spans="1:5" x14ac:dyDescent="0.25">
      <c r="A371" s="23"/>
      <c r="C371" s="23"/>
      <c r="E371" s="23"/>
    </row>
    <row r="372" spans="1:5" x14ac:dyDescent="0.25">
      <c r="A372" s="23"/>
      <c r="C372" s="23"/>
      <c r="E372" s="23"/>
    </row>
    <row r="373" spans="1:5" x14ac:dyDescent="0.25">
      <c r="A373" s="23"/>
      <c r="C373" s="23"/>
      <c r="E373" s="23"/>
    </row>
    <row r="374" spans="1:5" x14ac:dyDescent="0.25">
      <c r="A374" s="23"/>
      <c r="C374" s="23"/>
      <c r="E374" s="23"/>
    </row>
    <row r="375" spans="1:5" x14ac:dyDescent="0.25">
      <c r="A375" s="23"/>
      <c r="C375" s="23"/>
      <c r="E375" s="23"/>
    </row>
    <row r="376" spans="1:5" x14ac:dyDescent="0.25">
      <c r="A376" s="23"/>
      <c r="C376" s="23"/>
      <c r="E376" s="23"/>
    </row>
    <row r="377" spans="1:5" x14ac:dyDescent="0.25">
      <c r="A377" s="23"/>
      <c r="C377" s="23"/>
      <c r="E377" s="23"/>
    </row>
    <row r="378" spans="1:5" x14ac:dyDescent="0.25">
      <c r="A378" s="23"/>
      <c r="C378" s="23"/>
      <c r="E378" s="23"/>
    </row>
    <row r="379" spans="1:5" x14ac:dyDescent="0.25">
      <c r="A379" s="23"/>
      <c r="C379" s="23"/>
      <c r="E379" s="23"/>
    </row>
    <row r="380" spans="1:5" x14ac:dyDescent="0.25">
      <c r="A380" s="23"/>
      <c r="C380" s="23"/>
      <c r="E380" s="23"/>
    </row>
    <row r="381" spans="1:5" x14ac:dyDescent="0.25">
      <c r="A381" s="23"/>
      <c r="C381" s="23"/>
      <c r="E381" s="23"/>
    </row>
    <row r="382" spans="1:5" x14ac:dyDescent="0.25">
      <c r="A382" s="23"/>
      <c r="C382" s="23"/>
      <c r="E382" s="23"/>
    </row>
    <row r="383" spans="1:5" x14ac:dyDescent="0.25">
      <c r="A383" s="23"/>
      <c r="C383" s="23"/>
      <c r="E383" s="23"/>
    </row>
    <row r="384" spans="1:5" x14ac:dyDescent="0.25">
      <c r="A384" s="23"/>
      <c r="C384" s="23"/>
      <c r="E384" s="23"/>
    </row>
    <row r="385" spans="1:5" x14ac:dyDescent="0.25">
      <c r="A385" s="23"/>
      <c r="C385" s="23"/>
      <c r="E385" s="23"/>
    </row>
    <row r="386" spans="1:5" x14ac:dyDescent="0.25">
      <c r="A386" s="23"/>
      <c r="C386" s="23"/>
      <c r="E386" s="23"/>
    </row>
    <row r="387" spans="1:5" x14ac:dyDescent="0.25">
      <c r="A387" s="23"/>
      <c r="C387" s="23"/>
      <c r="E387" s="23"/>
    </row>
    <row r="388" spans="1:5" x14ac:dyDescent="0.25">
      <c r="A388" s="23"/>
      <c r="C388" s="23"/>
      <c r="E388" s="23"/>
    </row>
    <row r="389" spans="1:5" x14ac:dyDescent="0.25">
      <c r="A389" s="23"/>
      <c r="C389" s="23"/>
      <c r="E389" s="23"/>
    </row>
    <row r="390" spans="1:5" x14ac:dyDescent="0.25">
      <c r="A390" s="23"/>
      <c r="C390" s="23"/>
      <c r="E390" s="23"/>
    </row>
    <row r="391" spans="1:5" x14ac:dyDescent="0.25">
      <c r="A391" s="23"/>
      <c r="C391" s="23"/>
      <c r="E391" s="23"/>
    </row>
    <row r="392" spans="1:5" x14ac:dyDescent="0.25">
      <c r="A392" s="23"/>
      <c r="C392" s="23"/>
      <c r="E392" s="23"/>
    </row>
    <row r="393" spans="1:5" x14ac:dyDescent="0.25">
      <c r="A393" s="23"/>
      <c r="C393" s="23"/>
      <c r="E393" s="23"/>
    </row>
    <row r="394" spans="1:5" x14ac:dyDescent="0.25">
      <c r="A394" s="23"/>
      <c r="C394" s="23"/>
      <c r="E394" s="23"/>
    </row>
    <row r="395" spans="1:5" x14ac:dyDescent="0.25">
      <c r="A395" s="23"/>
      <c r="C395" s="23"/>
      <c r="E395" s="23"/>
    </row>
    <row r="396" spans="1:5" x14ac:dyDescent="0.25">
      <c r="A396" s="23"/>
      <c r="C396" s="23"/>
      <c r="E396" s="23"/>
    </row>
    <row r="397" spans="1:5" x14ac:dyDescent="0.25">
      <c r="A397" s="23"/>
      <c r="C397" s="23"/>
      <c r="E397" s="23"/>
    </row>
    <row r="398" spans="1:5" x14ac:dyDescent="0.25">
      <c r="A398" s="23"/>
      <c r="C398" s="23"/>
      <c r="E398" s="23"/>
    </row>
    <row r="399" spans="1:5" x14ac:dyDescent="0.25">
      <c r="A399" s="23"/>
      <c r="C399" s="23"/>
      <c r="E399" s="23"/>
    </row>
    <row r="400" spans="1:5" x14ac:dyDescent="0.25">
      <c r="A400" s="23"/>
      <c r="C400" s="23"/>
      <c r="E400" s="23"/>
    </row>
    <row r="401" spans="1:5" x14ac:dyDescent="0.25">
      <c r="A401" s="23"/>
      <c r="C401" s="23"/>
      <c r="E401" s="23"/>
    </row>
    <row r="402" spans="1:5" x14ac:dyDescent="0.25">
      <c r="A402" s="23"/>
      <c r="C402" s="23"/>
      <c r="E402" s="23"/>
    </row>
    <row r="403" spans="1:5" x14ac:dyDescent="0.25">
      <c r="A403" s="23"/>
      <c r="C403" s="23"/>
      <c r="E403" s="23"/>
    </row>
    <row r="404" spans="1:5" x14ac:dyDescent="0.25">
      <c r="A404" s="23"/>
      <c r="C404" s="23"/>
      <c r="E404" s="23"/>
    </row>
    <row r="405" spans="1:5" x14ac:dyDescent="0.25">
      <c r="A405" s="23"/>
      <c r="C405" s="23"/>
      <c r="E405" s="23"/>
    </row>
    <row r="406" spans="1:5" x14ac:dyDescent="0.25">
      <c r="A406" s="23"/>
      <c r="C406" s="23"/>
      <c r="E406" s="23"/>
    </row>
    <row r="407" spans="1:5" x14ac:dyDescent="0.25">
      <c r="A407" s="23"/>
      <c r="C407" s="23"/>
      <c r="E407" s="23"/>
    </row>
    <row r="408" spans="1:5" x14ac:dyDescent="0.25">
      <c r="A408" s="23"/>
      <c r="C408" s="23"/>
      <c r="E408" s="23"/>
    </row>
    <row r="409" spans="1:5" x14ac:dyDescent="0.25">
      <c r="A409" s="23"/>
      <c r="C409" s="23"/>
      <c r="E409" s="23"/>
    </row>
    <row r="410" spans="1:5" x14ac:dyDescent="0.25">
      <c r="A410" s="23"/>
      <c r="C410" s="23"/>
      <c r="E410" s="23"/>
    </row>
    <row r="411" spans="1:5" x14ac:dyDescent="0.25">
      <c r="A411" s="23"/>
      <c r="C411" s="23"/>
      <c r="E411" s="23"/>
    </row>
    <row r="412" spans="1:5" x14ac:dyDescent="0.25">
      <c r="A412" s="23"/>
      <c r="C412" s="23"/>
      <c r="E412" s="23"/>
    </row>
    <row r="413" spans="1:5" x14ac:dyDescent="0.25">
      <c r="A413" s="23"/>
      <c r="C413" s="23"/>
      <c r="E413" s="23"/>
    </row>
    <row r="414" spans="1:5" x14ac:dyDescent="0.25">
      <c r="A414" s="23"/>
      <c r="C414" s="23"/>
      <c r="E414" s="23"/>
    </row>
    <row r="415" spans="1:5" x14ac:dyDescent="0.25">
      <c r="A415" s="23"/>
      <c r="C415" s="23"/>
      <c r="E415" s="23"/>
    </row>
    <row r="416" spans="1:5" x14ac:dyDescent="0.25">
      <c r="A416" s="23"/>
      <c r="C416" s="23"/>
      <c r="E416" s="23"/>
    </row>
    <row r="417" spans="1:5" x14ac:dyDescent="0.25">
      <c r="A417" s="23"/>
      <c r="C417" s="23"/>
      <c r="E417" s="23"/>
    </row>
    <row r="418" spans="1:5" x14ac:dyDescent="0.25">
      <c r="A418" s="23"/>
      <c r="C418" s="23"/>
      <c r="E418" s="23"/>
    </row>
    <row r="419" spans="1:5" x14ac:dyDescent="0.25">
      <c r="A419" s="23"/>
      <c r="C419" s="23"/>
      <c r="E419" s="23"/>
    </row>
    <row r="420" spans="1:5" x14ac:dyDescent="0.25">
      <c r="A420" s="23"/>
      <c r="C420" s="23"/>
      <c r="E420" s="23"/>
    </row>
    <row r="421" spans="1:5" x14ac:dyDescent="0.25">
      <c r="A421" s="23"/>
      <c r="C421" s="23"/>
      <c r="E421" s="23"/>
    </row>
    <row r="422" spans="1:5" x14ac:dyDescent="0.25">
      <c r="A422" s="23"/>
      <c r="C422" s="23"/>
      <c r="E422" s="23"/>
    </row>
    <row r="423" spans="1:5" x14ac:dyDescent="0.25">
      <c r="A423" s="23"/>
      <c r="C423" s="23"/>
      <c r="E423" s="23"/>
    </row>
    <row r="424" spans="1:5" x14ac:dyDescent="0.25">
      <c r="A424" s="23"/>
      <c r="C424" s="23"/>
      <c r="E424" s="23"/>
    </row>
    <row r="425" spans="1:5" x14ac:dyDescent="0.25">
      <c r="A425" s="23"/>
      <c r="C425" s="23"/>
      <c r="E425" s="23"/>
    </row>
    <row r="426" spans="1:5" x14ac:dyDescent="0.25">
      <c r="A426" s="23"/>
      <c r="C426" s="23"/>
      <c r="E426" s="23"/>
    </row>
    <row r="427" spans="1:5" x14ac:dyDescent="0.25">
      <c r="A427" s="23"/>
      <c r="C427" s="23"/>
      <c r="E427" s="23"/>
    </row>
    <row r="428" spans="1:5" x14ac:dyDescent="0.25">
      <c r="A428" s="23"/>
      <c r="C428" s="23"/>
      <c r="E428" s="23"/>
    </row>
    <row r="429" spans="1:5" x14ac:dyDescent="0.25">
      <c r="A429" s="23"/>
      <c r="C429" s="23"/>
      <c r="E429" s="23"/>
    </row>
    <row r="430" spans="1:5" x14ac:dyDescent="0.25">
      <c r="A430" s="23"/>
      <c r="C430" s="23"/>
      <c r="E430" s="23"/>
    </row>
    <row r="431" spans="1:5" x14ac:dyDescent="0.25">
      <c r="A431" s="23"/>
      <c r="C431" s="23"/>
      <c r="E431" s="23"/>
    </row>
    <row r="432" spans="1:5" x14ac:dyDescent="0.25">
      <c r="A432" s="23"/>
      <c r="C432" s="23"/>
      <c r="E432" s="23"/>
    </row>
    <row r="433" spans="1:5" x14ac:dyDescent="0.25">
      <c r="A433" s="23"/>
      <c r="C433" s="23"/>
      <c r="E433" s="23"/>
    </row>
    <row r="434" spans="1:5" x14ac:dyDescent="0.25">
      <c r="A434" s="23"/>
      <c r="C434" s="23"/>
      <c r="E434" s="23"/>
    </row>
    <row r="435" spans="1:5" x14ac:dyDescent="0.25">
      <c r="A435" s="23"/>
      <c r="C435" s="23"/>
      <c r="E435" s="23"/>
    </row>
    <row r="436" spans="1:5" x14ac:dyDescent="0.25">
      <c r="A436" s="23"/>
      <c r="C436" s="23"/>
      <c r="E436" s="23"/>
    </row>
    <row r="437" spans="1:5" x14ac:dyDescent="0.25">
      <c r="A437" s="23"/>
      <c r="C437" s="23"/>
      <c r="E437" s="23"/>
    </row>
    <row r="438" spans="1:5" x14ac:dyDescent="0.25">
      <c r="A438" s="23"/>
      <c r="C438" s="23"/>
      <c r="E438" s="23"/>
    </row>
    <row r="439" spans="1:5" x14ac:dyDescent="0.25">
      <c r="A439" s="23"/>
      <c r="C439" s="23"/>
      <c r="E439" s="23"/>
    </row>
    <row r="440" spans="1:5" x14ac:dyDescent="0.25">
      <c r="A440" s="23"/>
      <c r="C440" s="23"/>
      <c r="E440" s="23"/>
    </row>
    <row r="441" spans="1:5" x14ac:dyDescent="0.25">
      <c r="A441" s="23"/>
      <c r="C441" s="23"/>
      <c r="E441" s="23"/>
    </row>
    <row r="442" spans="1:5" x14ac:dyDescent="0.25">
      <c r="A442" s="23"/>
      <c r="C442" s="23"/>
      <c r="E442" s="23"/>
    </row>
    <row r="443" spans="1:5" x14ac:dyDescent="0.25">
      <c r="A443" s="23"/>
      <c r="C443" s="23"/>
      <c r="E443" s="23"/>
    </row>
    <row r="444" spans="1:5" x14ac:dyDescent="0.25">
      <c r="A444" s="23"/>
      <c r="C444" s="23"/>
      <c r="E444" s="23"/>
    </row>
    <row r="445" spans="1:5" x14ac:dyDescent="0.25">
      <c r="A445" s="23"/>
      <c r="C445" s="23"/>
      <c r="E445" s="23"/>
    </row>
    <row r="446" spans="1:5" x14ac:dyDescent="0.25">
      <c r="A446" s="23"/>
      <c r="C446" s="23"/>
      <c r="E446" s="23"/>
    </row>
    <row r="447" spans="1:5" x14ac:dyDescent="0.25">
      <c r="A447" s="23"/>
      <c r="C447" s="23"/>
      <c r="E447" s="23"/>
    </row>
    <row r="448" spans="1:5" x14ac:dyDescent="0.25">
      <c r="A448" s="23"/>
      <c r="C448" s="23"/>
      <c r="E448" s="23"/>
    </row>
    <row r="449" spans="1:5" x14ac:dyDescent="0.25">
      <c r="A449" s="23"/>
      <c r="C449" s="23"/>
      <c r="E449" s="23"/>
    </row>
    <row r="450" spans="1:5" x14ac:dyDescent="0.25">
      <c r="A450" s="23"/>
      <c r="C450" s="23"/>
      <c r="E450" s="23"/>
    </row>
    <row r="451" spans="1:5" x14ac:dyDescent="0.25">
      <c r="A451" s="23"/>
      <c r="C451" s="23"/>
      <c r="E451" s="23"/>
    </row>
    <row r="452" spans="1:5" x14ac:dyDescent="0.25">
      <c r="A452" s="23"/>
      <c r="C452" s="23"/>
      <c r="E452" s="23"/>
    </row>
    <row r="453" spans="1:5" x14ac:dyDescent="0.25">
      <c r="A453" s="23"/>
      <c r="C453" s="23"/>
      <c r="E453" s="23"/>
    </row>
    <row r="454" spans="1:5" x14ac:dyDescent="0.25">
      <c r="A454" s="23"/>
      <c r="C454" s="23"/>
      <c r="E454" s="23"/>
    </row>
    <row r="455" spans="1:5" x14ac:dyDescent="0.25">
      <c r="A455" s="23"/>
      <c r="C455" s="23"/>
      <c r="E455" s="23"/>
    </row>
    <row r="456" spans="1:5" x14ac:dyDescent="0.25">
      <c r="A456" s="23"/>
      <c r="C456" s="23"/>
      <c r="E456" s="23"/>
    </row>
    <row r="457" spans="1:5" x14ac:dyDescent="0.25">
      <c r="A457" s="23"/>
      <c r="C457" s="23"/>
      <c r="E457" s="23"/>
    </row>
    <row r="458" spans="1:5" x14ac:dyDescent="0.25">
      <c r="A458" s="23"/>
      <c r="C458" s="23"/>
      <c r="E458" s="23"/>
    </row>
    <row r="459" spans="1:5" x14ac:dyDescent="0.25">
      <c r="A459" s="23"/>
      <c r="C459" s="23"/>
      <c r="E459" s="23"/>
    </row>
    <row r="460" spans="1:5" x14ac:dyDescent="0.25">
      <c r="A460" s="23"/>
      <c r="C460" s="23"/>
      <c r="E460" s="23"/>
    </row>
    <row r="461" spans="1:5" x14ac:dyDescent="0.25">
      <c r="A461" s="23"/>
      <c r="C461" s="23"/>
      <c r="E461" s="23"/>
    </row>
    <row r="462" spans="1:5" x14ac:dyDescent="0.25">
      <c r="A462" s="23"/>
      <c r="C462" s="23"/>
      <c r="E462" s="23"/>
    </row>
    <row r="463" spans="1:5" x14ac:dyDescent="0.25">
      <c r="A463" s="23"/>
      <c r="C463" s="23"/>
      <c r="E463" s="23"/>
    </row>
    <row r="464" spans="1:5" x14ac:dyDescent="0.25">
      <c r="A464" s="23"/>
      <c r="C464" s="23"/>
      <c r="E464" s="23"/>
    </row>
    <row r="465" spans="1:5" x14ac:dyDescent="0.25">
      <c r="A465" s="23"/>
      <c r="C465" s="23"/>
      <c r="E465" s="23"/>
    </row>
    <row r="466" spans="1:5" x14ac:dyDescent="0.25">
      <c r="A466" s="23"/>
      <c r="C466" s="23"/>
      <c r="E466" s="23"/>
    </row>
    <row r="467" spans="1:5" x14ac:dyDescent="0.25">
      <c r="A467" s="23"/>
      <c r="C467" s="23"/>
      <c r="E467" s="23"/>
    </row>
    <row r="468" spans="1:5" x14ac:dyDescent="0.25">
      <c r="A468" s="23"/>
      <c r="C468" s="23"/>
      <c r="E468" s="23"/>
    </row>
    <row r="469" spans="1:5" x14ac:dyDescent="0.25">
      <c r="A469" s="23"/>
      <c r="C469" s="23"/>
      <c r="E469" s="23"/>
    </row>
    <row r="470" spans="1:5" x14ac:dyDescent="0.25">
      <c r="A470" s="23"/>
      <c r="C470" s="23"/>
      <c r="E470" s="23"/>
    </row>
    <row r="471" spans="1:5" x14ac:dyDescent="0.25">
      <c r="A471" s="23"/>
      <c r="C471" s="23"/>
      <c r="E471" s="23"/>
    </row>
    <row r="472" spans="1:5" x14ac:dyDescent="0.25">
      <c r="A472" s="23"/>
      <c r="C472" s="23"/>
      <c r="E472" s="23"/>
    </row>
    <row r="473" spans="1:5" x14ac:dyDescent="0.25">
      <c r="A473" s="23"/>
      <c r="C473" s="23"/>
      <c r="E473" s="23"/>
    </row>
    <row r="474" spans="1:5" x14ac:dyDescent="0.25">
      <c r="A474" s="23"/>
      <c r="C474" s="23"/>
      <c r="E474" s="23"/>
    </row>
    <row r="475" spans="1:5" x14ac:dyDescent="0.25">
      <c r="A475" s="23"/>
      <c r="C475" s="23"/>
      <c r="E475" s="23"/>
    </row>
    <row r="476" spans="1:5" x14ac:dyDescent="0.25">
      <c r="A476" s="23"/>
      <c r="C476" s="23"/>
      <c r="E476" s="23"/>
    </row>
    <row r="477" spans="1:5" x14ac:dyDescent="0.25">
      <c r="A477" s="23"/>
      <c r="C477" s="23"/>
      <c r="E477" s="23"/>
    </row>
    <row r="478" spans="1:5" x14ac:dyDescent="0.25">
      <c r="A478" s="23"/>
      <c r="C478" s="23"/>
      <c r="E478" s="23"/>
    </row>
    <row r="479" spans="1:5" x14ac:dyDescent="0.25">
      <c r="A479" s="23"/>
      <c r="C479" s="23"/>
      <c r="E479" s="23"/>
    </row>
    <row r="480" spans="1:5" x14ac:dyDescent="0.25">
      <c r="A480" s="23"/>
      <c r="C480" s="23"/>
      <c r="E480" s="23"/>
    </row>
    <row r="481" spans="1:5" x14ac:dyDescent="0.25">
      <c r="A481" s="23"/>
      <c r="C481" s="23"/>
      <c r="E481" s="23"/>
    </row>
    <row r="482" spans="1:5" x14ac:dyDescent="0.25">
      <c r="A482" s="23"/>
      <c r="C482" s="23"/>
      <c r="E482" s="23"/>
    </row>
    <row r="483" spans="1:5" x14ac:dyDescent="0.25">
      <c r="A483" s="23"/>
      <c r="C483" s="23"/>
      <c r="E483" s="23"/>
    </row>
    <row r="484" spans="1:5" x14ac:dyDescent="0.25">
      <c r="A484" s="23"/>
      <c r="C484" s="23"/>
      <c r="E484" s="23"/>
    </row>
    <row r="485" spans="1:5" x14ac:dyDescent="0.25">
      <c r="A485" s="23"/>
      <c r="C485" s="23"/>
      <c r="E485" s="23"/>
    </row>
    <row r="486" spans="1:5" x14ac:dyDescent="0.25">
      <c r="A486" s="23"/>
      <c r="C486" s="23"/>
      <c r="E486" s="23"/>
    </row>
    <row r="487" spans="1:5" x14ac:dyDescent="0.25">
      <c r="A487" s="23"/>
      <c r="C487" s="23"/>
      <c r="E487" s="23"/>
    </row>
    <row r="488" spans="1:5" x14ac:dyDescent="0.25">
      <c r="A488" s="23"/>
      <c r="C488" s="23"/>
      <c r="E488" s="23"/>
    </row>
    <row r="489" spans="1:5" x14ac:dyDescent="0.25">
      <c r="A489" s="23"/>
      <c r="C489" s="23"/>
      <c r="E489" s="23"/>
    </row>
    <row r="490" spans="1:5" x14ac:dyDescent="0.25">
      <c r="A490" s="23"/>
      <c r="C490" s="23"/>
      <c r="E490" s="23"/>
    </row>
    <row r="491" spans="1:5" x14ac:dyDescent="0.25">
      <c r="A491" s="23"/>
      <c r="C491" s="23"/>
      <c r="E491" s="23"/>
    </row>
    <row r="492" spans="1:5" x14ac:dyDescent="0.25">
      <c r="A492" s="23"/>
      <c r="C492" s="23"/>
      <c r="E492" s="23"/>
    </row>
    <row r="493" spans="1:5" x14ac:dyDescent="0.25">
      <c r="A493" s="23"/>
      <c r="C493" s="23"/>
      <c r="E493" s="23"/>
    </row>
    <row r="494" spans="1:5" x14ac:dyDescent="0.25">
      <c r="A494" s="23"/>
      <c r="C494" s="23"/>
      <c r="E494" s="23"/>
    </row>
    <row r="495" spans="1:5" x14ac:dyDescent="0.25">
      <c r="A495" s="23"/>
      <c r="C495" s="23"/>
      <c r="E495" s="23"/>
    </row>
    <row r="496" spans="1:5" x14ac:dyDescent="0.25">
      <c r="A496" s="23"/>
      <c r="C496" s="23"/>
      <c r="E496" s="23"/>
    </row>
    <row r="497" spans="1:5" x14ac:dyDescent="0.25">
      <c r="A497" s="23"/>
      <c r="C497" s="23"/>
      <c r="E497" s="23"/>
    </row>
    <row r="498" spans="1:5" x14ac:dyDescent="0.25">
      <c r="A498" s="23"/>
      <c r="C498" s="23"/>
      <c r="E498" s="23"/>
    </row>
    <row r="499" spans="1:5" x14ac:dyDescent="0.25">
      <c r="A499" s="23"/>
      <c r="C499" s="23"/>
      <c r="E499" s="23"/>
    </row>
    <row r="500" spans="1:5" x14ac:dyDescent="0.25">
      <c r="A500" s="23"/>
      <c r="C500" s="23"/>
      <c r="E500" s="23"/>
    </row>
    <row r="501" spans="1:5" x14ac:dyDescent="0.25">
      <c r="A501" s="23"/>
      <c r="C501" s="23"/>
      <c r="E501" s="23"/>
    </row>
    <row r="502" spans="1:5" x14ac:dyDescent="0.25">
      <c r="A502" s="23"/>
      <c r="C502" s="23"/>
      <c r="E502" s="23"/>
    </row>
    <row r="503" spans="1:5" x14ac:dyDescent="0.25">
      <c r="A503" s="23"/>
      <c r="C503" s="23"/>
      <c r="E503" s="23"/>
    </row>
    <row r="504" spans="1:5" x14ac:dyDescent="0.25">
      <c r="A504" s="23"/>
      <c r="C504" s="23"/>
      <c r="E504" s="23"/>
    </row>
    <row r="505" spans="1:5" x14ac:dyDescent="0.25">
      <c r="A505" s="23"/>
      <c r="C505" s="23"/>
      <c r="E505" s="23"/>
    </row>
    <row r="506" spans="1:5" x14ac:dyDescent="0.25">
      <c r="A506" s="23"/>
      <c r="C506" s="23"/>
      <c r="E506" s="23"/>
    </row>
    <row r="507" spans="1:5" x14ac:dyDescent="0.25">
      <c r="A507" s="23"/>
      <c r="C507" s="23"/>
      <c r="E507" s="23"/>
    </row>
    <row r="508" spans="1:5" x14ac:dyDescent="0.25">
      <c r="A508" s="23"/>
      <c r="C508" s="23"/>
      <c r="E508" s="23"/>
    </row>
    <row r="509" spans="1:5" x14ac:dyDescent="0.25">
      <c r="A509" s="23"/>
      <c r="C509" s="23"/>
      <c r="E509" s="23"/>
    </row>
    <row r="510" spans="1:5" x14ac:dyDescent="0.25">
      <c r="A510" s="23"/>
      <c r="C510" s="23"/>
      <c r="E510" s="23"/>
    </row>
    <row r="511" spans="1:5" x14ac:dyDescent="0.25">
      <c r="A511" s="23"/>
      <c r="C511" s="23"/>
      <c r="E511" s="23"/>
    </row>
    <row r="512" spans="1:5" x14ac:dyDescent="0.25">
      <c r="A512" s="23"/>
      <c r="C512" s="23"/>
      <c r="E512" s="23"/>
    </row>
    <row r="513" spans="1:5" x14ac:dyDescent="0.25">
      <c r="A513" s="23"/>
      <c r="C513" s="23"/>
      <c r="E513" s="23"/>
    </row>
    <row r="514" spans="1:5" x14ac:dyDescent="0.25">
      <c r="A514" s="23"/>
      <c r="C514" s="23"/>
      <c r="E514" s="23"/>
    </row>
    <row r="515" spans="1:5" x14ac:dyDescent="0.25">
      <c r="A515" s="23"/>
      <c r="C515" s="23"/>
      <c r="E515" s="23"/>
    </row>
    <row r="516" spans="1:5" x14ac:dyDescent="0.25">
      <c r="A516" s="23"/>
      <c r="C516" s="23"/>
      <c r="E516" s="23"/>
    </row>
    <row r="517" spans="1:5" x14ac:dyDescent="0.25">
      <c r="A517" s="23"/>
      <c r="C517" s="23"/>
      <c r="E517" s="23"/>
    </row>
    <row r="518" spans="1:5" x14ac:dyDescent="0.25">
      <c r="A518" s="23"/>
      <c r="C518" s="23"/>
      <c r="E518" s="23"/>
    </row>
    <row r="519" spans="1:5" x14ac:dyDescent="0.25">
      <c r="A519" s="23"/>
      <c r="C519" s="23"/>
      <c r="E519" s="23"/>
    </row>
    <row r="520" spans="1:5" x14ac:dyDescent="0.25">
      <c r="A520" s="23"/>
      <c r="C520" s="23"/>
      <c r="E520" s="23"/>
    </row>
    <row r="521" spans="1:5" x14ac:dyDescent="0.25">
      <c r="A521" s="23"/>
      <c r="C521" s="23"/>
      <c r="E521" s="23"/>
    </row>
    <row r="522" spans="1:5" x14ac:dyDescent="0.25">
      <c r="A522" s="23"/>
      <c r="C522" s="23"/>
      <c r="E522" s="23"/>
    </row>
    <row r="523" spans="1:5" x14ac:dyDescent="0.25">
      <c r="A523" s="23"/>
      <c r="C523" s="23"/>
      <c r="E523" s="23"/>
    </row>
    <row r="524" spans="1:5" x14ac:dyDescent="0.25">
      <c r="A524" s="23"/>
      <c r="C524" s="23"/>
      <c r="E524" s="23"/>
    </row>
    <row r="525" spans="1:5" x14ac:dyDescent="0.25">
      <c r="A525" s="23"/>
      <c r="C525" s="23"/>
      <c r="E525" s="23"/>
    </row>
    <row r="526" spans="1:5" x14ac:dyDescent="0.25">
      <c r="A526" s="23"/>
      <c r="C526" s="23"/>
      <c r="E526" s="23"/>
    </row>
    <row r="527" spans="1:5" x14ac:dyDescent="0.25">
      <c r="A527" s="23"/>
      <c r="C527" s="23"/>
      <c r="E527" s="23"/>
    </row>
    <row r="528" spans="1:5" x14ac:dyDescent="0.25">
      <c r="A528" s="23"/>
      <c r="C528" s="23"/>
      <c r="E528" s="23"/>
    </row>
    <row r="529" spans="1:5" x14ac:dyDescent="0.25">
      <c r="A529" s="23"/>
      <c r="C529" s="23"/>
      <c r="E529" s="23"/>
    </row>
    <row r="530" spans="1:5" x14ac:dyDescent="0.25">
      <c r="A530" s="23"/>
      <c r="C530" s="23"/>
      <c r="E530" s="23"/>
    </row>
    <row r="531" spans="1:5" x14ac:dyDescent="0.25">
      <c r="A531" s="23"/>
      <c r="C531" s="23"/>
      <c r="E531" s="23"/>
    </row>
    <row r="532" spans="1:5" x14ac:dyDescent="0.25">
      <c r="A532" s="23"/>
      <c r="C532" s="23"/>
      <c r="E532" s="23"/>
    </row>
    <row r="533" spans="1:5" x14ac:dyDescent="0.25">
      <c r="A533" s="23"/>
      <c r="C533" s="23"/>
      <c r="E533" s="23"/>
    </row>
    <row r="534" spans="1:5" x14ac:dyDescent="0.25">
      <c r="A534" s="23"/>
      <c r="C534" s="23"/>
      <c r="E534" s="23"/>
    </row>
    <row r="535" spans="1:5" x14ac:dyDescent="0.25">
      <c r="A535" s="23"/>
      <c r="C535" s="23"/>
      <c r="E535" s="23"/>
    </row>
    <row r="536" spans="1:5" x14ac:dyDescent="0.25">
      <c r="A536" s="23"/>
      <c r="C536" s="23"/>
      <c r="E536" s="23"/>
    </row>
    <row r="537" spans="1:5" x14ac:dyDescent="0.25">
      <c r="A537" s="23"/>
      <c r="C537" s="23"/>
      <c r="E537" s="23"/>
    </row>
    <row r="538" spans="1:5" x14ac:dyDescent="0.25">
      <c r="A538" s="23"/>
      <c r="C538" s="23"/>
      <c r="E538" s="23"/>
    </row>
    <row r="539" spans="1:5" x14ac:dyDescent="0.25">
      <c r="A539" s="23"/>
      <c r="C539" s="23"/>
      <c r="E539" s="23"/>
    </row>
    <row r="540" spans="1:5" x14ac:dyDescent="0.25">
      <c r="A540" s="23"/>
      <c r="C540" s="23"/>
      <c r="E540" s="23"/>
    </row>
    <row r="541" spans="1:5" x14ac:dyDescent="0.25">
      <c r="A541" s="23"/>
      <c r="C541" s="23"/>
      <c r="E541" s="23"/>
    </row>
    <row r="542" spans="1:5" x14ac:dyDescent="0.25">
      <c r="A542" s="23"/>
      <c r="C542" s="23"/>
      <c r="E542" s="23"/>
    </row>
    <row r="543" spans="1:5" x14ac:dyDescent="0.25">
      <c r="A543" s="23"/>
      <c r="C543" s="23"/>
      <c r="E543" s="23"/>
    </row>
    <row r="544" spans="1:5" x14ac:dyDescent="0.25">
      <c r="A544" s="23"/>
      <c r="C544" s="23"/>
      <c r="E544" s="23"/>
    </row>
    <row r="545" spans="1:5" x14ac:dyDescent="0.25">
      <c r="A545" s="23"/>
      <c r="C545" s="23"/>
      <c r="E545" s="23"/>
    </row>
    <row r="546" spans="1:5" x14ac:dyDescent="0.25">
      <c r="A546" s="23"/>
      <c r="C546" s="23"/>
      <c r="E546" s="23"/>
    </row>
    <row r="547" spans="1:5" x14ac:dyDescent="0.25">
      <c r="A547" s="23"/>
      <c r="C547" s="23"/>
      <c r="E547" s="23"/>
    </row>
    <row r="548" spans="1:5" x14ac:dyDescent="0.25">
      <c r="A548" s="23"/>
      <c r="C548" s="23"/>
      <c r="E548" s="23"/>
    </row>
    <row r="549" spans="1:5" x14ac:dyDescent="0.25">
      <c r="A549" s="23"/>
      <c r="C549" s="23"/>
      <c r="E549" s="23"/>
    </row>
    <row r="550" spans="1:5" x14ac:dyDescent="0.25">
      <c r="A550" s="23"/>
      <c r="C550" s="23"/>
      <c r="E550" s="23"/>
    </row>
    <row r="551" spans="1:5" x14ac:dyDescent="0.25">
      <c r="A551" s="23"/>
      <c r="C551" s="23"/>
      <c r="E551" s="23"/>
    </row>
    <row r="552" spans="1:5" x14ac:dyDescent="0.25">
      <c r="A552" s="23"/>
      <c r="C552" s="23"/>
      <c r="E552" s="23"/>
    </row>
    <row r="553" spans="1:5" x14ac:dyDescent="0.25">
      <c r="A553" s="23"/>
      <c r="C553" s="23"/>
      <c r="E553" s="23"/>
    </row>
    <row r="554" spans="1:5" x14ac:dyDescent="0.25">
      <c r="A554" s="23"/>
      <c r="C554" s="23"/>
      <c r="E554" s="23"/>
    </row>
    <row r="555" spans="1:5" x14ac:dyDescent="0.25">
      <c r="A555" s="23"/>
      <c r="C555" s="23"/>
      <c r="E555" s="23"/>
    </row>
    <row r="556" spans="1:5" x14ac:dyDescent="0.25">
      <c r="A556" s="23"/>
      <c r="C556" s="23"/>
      <c r="E556" s="23"/>
    </row>
    <row r="557" spans="1:5" x14ac:dyDescent="0.25">
      <c r="A557" s="23"/>
      <c r="C557" s="23"/>
      <c r="E557" s="23"/>
    </row>
    <row r="558" spans="1:5" x14ac:dyDescent="0.25">
      <c r="A558" s="23"/>
      <c r="C558" s="23"/>
      <c r="E558" s="23"/>
    </row>
    <row r="559" spans="1:5" x14ac:dyDescent="0.25">
      <c r="A559" s="23"/>
      <c r="C559" s="23"/>
      <c r="E559" s="23"/>
    </row>
    <row r="560" spans="1:5" x14ac:dyDescent="0.25">
      <c r="A560" s="23"/>
      <c r="C560" s="23"/>
      <c r="E560" s="23"/>
    </row>
    <row r="561" spans="1:5" x14ac:dyDescent="0.25">
      <c r="A561" s="23"/>
      <c r="C561" s="23"/>
      <c r="E561" s="23"/>
    </row>
    <row r="562" spans="1:5" x14ac:dyDescent="0.25">
      <c r="A562" s="23"/>
      <c r="C562" s="23"/>
      <c r="E562" s="23"/>
    </row>
    <row r="563" spans="1:5" x14ac:dyDescent="0.25">
      <c r="A563" s="23"/>
      <c r="C563" s="23"/>
      <c r="E563" s="23"/>
    </row>
    <row r="564" spans="1:5" x14ac:dyDescent="0.25">
      <c r="A564" s="23"/>
      <c r="C564" s="23"/>
      <c r="E564" s="23"/>
    </row>
    <row r="565" spans="1:5" x14ac:dyDescent="0.25">
      <c r="A565" s="23"/>
      <c r="C565" s="23"/>
      <c r="E565" s="23"/>
    </row>
    <row r="566" spans="1:5" x14ac:dyDescent="0.25">
      <c r="A566" s="23"/>
      <c r="C566" s="23"/>
      <c r="E566" s="23"/>
    </row>
    <row r="567" spans="1:5" x14ac:dyDescent="0.25">
      <c r="A567" s="23"/>
      <c r="C567" s="23"/>
      <c r="E567" s="23"/>
    </row>
    <row r="568" spans="1:5" x14ac:dyDescent="0.25">
      <c r="A568" s="23"/>
      <c r="C568" s="23"/>
      <c r="E568" s="23"/>
    </row>
    <row r="569" spans="1:5" x14ac:dyDescent="0.25">
      <c r="A569" s="23"/>
      <c r="C569" s="23"/>
      <c r="E569" s="23"/>
    </row>
    <row r="570" spans="1:5" x14ac:dyDescent="0.25">
      <c r="A570" s="23"/>
      <c r="C570" s="23"/>
      <c r="E570" s="23"/>
    </row>
    <row r="571" spans="1:5" x14ac:dyDescent="0.25">
      <c r="A571" s="23"/>
      <c r="C571" s="23"/>
      <c r="E571" s="23"/>
    </row>
    <row r="572" spans="1:5" x14ac:dyDescent="0.25">
      <c r="A572" s="23"/>
      <c r="C572" s="23"/>
      <c r="E572" s="23"/>
    </row>
    <row r="573" spans="1:5" x14ac:dyDescent="0.25">
      <c r="A573" s="23"/>
      <c r="C573" s="23"/>
      <c r="E573" s="23"/>
    </row>
    <row r="574" spans="1:5" x14ac:dyDescent="0.25">
      <c r="A574" s="23"/>
      <c r="C574" s="23"/>
      <c r="E574" s="23"/>
    </row>
    <row r="575" spans="1:5" x14ac:dyDescent="0.25">
      <c r="A575" s="23"/>
      <c r="C575" s="23"/>
      <c r="E575" s="23"/>
    </row>
    <row r="576" spans="1:5" x14ac:dyDescent="0.25">
      <c r="A576" s="23"/>
      <c r="C576" s="23"/>
      <c r="E576" s="23"/>
    </row>
    <row r="577" spans="1:5" x14ac:dyDescent="0.25">
      <c r="A577" s="23"/>
      <c r="C577" s="23"/>
      <c r="E577" s="23"/>
    </row>
    <row r="578" spans="1:5" x14ac:dyDescent="0.25">
      <c r="A578" s="23"/>
      <c r="C578" s="23"/>
      <c r="E578" s="23"/>
    </row>
    <row r="579" spans="1:5" x14ac:dyDescent="0.25">
      <c r="A579" s="23"/>
      <c r="C579" s="23"/>
      <c r="E579" s="23"/>
    </row>
    <row r="580" spans="1:5" x14ac:dyDescent="0.25">
      <c r="A580" s="23"/>
      <c r="C580" s="23"/>
      <c r="E580" s="23"/>
    </row>
    <row r="581" spans="1:5" x14ac:dyDescent="0.25">
      <c r="A581" s="23"/>
      <c r="C581" s="23"/>
      <c r="E581" s="23"/>
    </row>
    <row r="582" spans="1:5" x14ac:dyDescent="0.25">
      <c r="A582" s="23"/>
      <c r="C582" s="23"/>
      <c r="E582" s="23"/>
    </row>
    <row r="583" spans="1:5" x14ac:dyDescent="0.25">
      <c r="A583" s="23"/>
      <c r="C583" s="23"/>
      <c r="E583" s="23"/>
    </row>
    <row r="584" spans="1:5" x14ac:dyDescent="0.25">
      <c r="A584" s="23"/>
      <c r="C584" s="23"/>
      <c r="E584" s="23"/>
    </row>
    <row r="585" spans="1:5" x14ac:dyDescent="0.25">
      <c r="A585" s="23"/>
      <c r="C585" s="23"/>
      <c r="E585" s="23"/>
    </row>
    <row r="586" spans="1:5" x14ac:dyDescent="0.25">
      <c r="A586" s="23"/>
      <c r="C586" s="23"/>
      <c r="E586" s="23"/>
    </row>
    <row r="587" spans="1:5" x14ac:dyDescent="0.25">
      <c r="A587" s="23"/>
      <c r="C587" s="23"/>
      <c r="E587" s="23"/>
    </row>
    <row r="588" spans="1:5" x14ac:dyDescent="0.25">
      <c r="A588" s="23"/>
      <c r="C588" s="23"/>
      <c r="E588" s="23"/>
    </row>
    <row r="589" spans="1:5" x14ac:dyDescent="0.25">
      <c r="A589" s="23"/>
      <c r="C589" s="23"/>
      <c r="E589" s="23"/>
    </row>
    <row r="590" spans="1:5" x14ac:dyDescent="0.25">
      <c r="A590" s="23"/>
      <c r="C590" s="23"/>
      <c r="E590" s="23"/>
    </row>
    <row r="591" spans="1:5" x14ac:dyDescent="0.25">
      <c r="A591" s="23"/>
      <c r="C591" s="23"/>
      <c r="E591" s="23"/>
    </row>
    <row r="592" spans="1:5" x14ac:dyDescent="0.25">
      <c r="A592" s="23"/>
      <c r="C592" s="23"/>
      <c r="E592" s="23"/>
    </row>
    <row r="593" spans="1:5" x14ac:dyDescent="0.25">
      <c r="A593" s="23"/>
      <c r="C593" s="23"/>
      <c r="E593" s="23"/>
    </row>
    <row r="594" spans="1:5" x14ac:dyDescent="0.25">
      <c r="A594" s="23"/>
      <c r="C594" s="23"/>
      <c r="E594" s="23"/>
    </row>
    <row r="595" spans="1:5" x14ac:dyDescent="0.25">
      <c r="A595" s="23"/>
      <c r="C595" s="23"/>
      <c r="E595" s="23"/>
    </row>
    <row r="596" spans="1:5" x14ac:dyDescent="0.25">
      <c r="A596" s="23"/>
      <c r="C596" s="23"/>
      <c r="E596" s="23"/>
    </row>
    <row r="597" spans="1:5" x14ac:dyDescent="0.25">
      <c r="A597" s="23"/>
      <c r="C597" s="23"/>
      <c r="E597" s="23"/>
    </row>
    <row r="598" spans="1:5" x14ac:dyDescent="0.25">
      <c r="A598" s="23"/>
      <c r="C598" s="23"/>
      <c r="E598" s="23"/>
    </row>
    <row r="599" spans="1:5" x14ac:dyDescent="0.25">
      <c r="A599" s="23"/>
      <c r="C599" s="23"/>
      <c r="E599" s="23"/>
    </row>
    <row r="600" spans="1:5" x14ac:dyDescent="0.25">
      <c r="A600" s="23"/>
      <c r="C600" s="23"/>
      <c r="E600" s="23"/>
    </row>
    <row r="601" spans="1:5" x14ac:dyDescent="0.25">
      <c r="A601" s="23"/>
      <c r="C601" s="23"/>
      <c r="E601" s="23"/>
    </row>
    <row r="602" spans="1:5" x14ac:dyDescent="0.25">
      <c r="A602" s="23"/>
      <c r="C602" s="23"/>
      <c r="E602" s="23"/>
    </row>
    <row r="603" spans="1:5" x14ac:dyDescent="0.25">
      <c r="A603" s="23"/>
      <c r="C603" s="23"/>
      <c r="E603" s="23"/>
    </row>
    <row r="604" spans="1:5" x14ac:dyDescent="0.25">
      <c r="A604" s="23"/>
      <c r="C604" s="23"/>
      <c r="E604" s="23"/>
    </row>
    <row r="605" spans="1:5" x14ac:dyDescent="0.25">
      <c r="A605" s="23"/>
      <c r="C605" s="23"/>
      <c r="E605" s="23"/>
    </row>
    <row r="606" spans="1:5" x14ac:dyDescent="0.25">
      <c r="A606" s="23"/>
      <c r="C606" s="23"/>
      <c r="E606" s="23"/>
    </row>
    <row r="607" spans="1:5" x14ac:dyDescent="0.25">
      <c r="A607" s="23"/>
      <c r="C607" s="23"/>
      <c r="E607" s="23"/>
    </row>
    <row r="608" spans="1:5" x14ac:dyDescent="0.25">
      <c r="A608" s="23"/>
      <c r="C608" s="23"/>
      <c r="E608" s="23"/>
    </row>
    <row r="609" spans="1:5" x14ac:dyDescent="0.25">
      <c r="A609" s="23"/>
      <c r="C609" s="23"/>
      <c r="E609" s="23"/>
    </row>
    <row r="610" spans="1:5" x14ac:dyDescent="0.25">
      <c r="A610" s="23"/>
      <c r="C610" s="23"/>
      <c r="E610" s="23"/>
    </row>
    <row r="611" spans="1:5" x14ac:dyDescent="0.25">
      <c r="A611" s="23"/>
      <c r="C611" s="23"/>
      <c r="E611" s="23"/>
    </row>
    <row r="612" spans="1:5" x14ac:dyDescent="0.25">
      <c r="A612" s="23"/>
      <c r="C612" s="23"/>
      <c r="E612" s="23"/>
    </row>
    <row r="613" spans="1:5" x14ac:dyDescent="0.25">
      <c r="A613" s="23"/>
      <c r="C613" s="23"/>
      <c r="E613" s="23"/>
    </row>
    <row r="614" spans="1:5" x14ac:dyDescent="0.25">
      <c r="A614" s="23"/>
      <c r="C614" s="23"/>
      <c r="E614" s="23"/>
    </row>
    <row r="615" spans="1:5" x14ac:dyDescent="0.25">
      <c r="A615" s="23"/>
      <c r="C615" s="23"/>
      <c r="E615" s="23"/>
    </row>
    <row r="616" spans="1:5" x14ac:dyDescent="0.25">
      <c r="A616" s="23"/>
      <c r="C616" s="23"/>
      <c r="E616" s="23"/>
    </row>
    <row r="617" spans="1:5" x14ac:dyDescent="0.25">
      <c r="A617" s="23"/>
      <c r="C617" s="23"/>
      <c r="E617" s="23"/>
    </row>
    <row r="618" spans="1:5" x14ac:dyDescent="0.25">
      <c r="A618" s="23"/>
      <c r="C618" s="23"/>
      <c r="E618" s="23"/>
    </row>
    <row r="619" spans="1:5" x14ac:dyDescent="0.25">
      <c r="A619" s="23"/>
      <c r="C619" s="23"/>
      <c r="E619" s="23"/>
    </row>
    <row r="620" spans="1:5" x14ac:dyDescent="0.25">
      <c r="A620" s="23"/>
      <c r="C620" s="23"/>
      <c r="E620" s="23"/>
    </row>
    <row r="621" spans="1:5" x14ac:dyDescent="0.25">
      <c r="A621" s="23"/>
      <c r="C621" s="23"/>
      <c r="E621" s="23"/>
    </row>
    <row r="622" spans="1:5" x14ac:dyDescent="0.25">
      <c r="A622" s="23"/>
      <c r="C622" s="23"/>
      <c r="E622" s="23"/>
    </row>
    <row r="623" spans="1:5" x14ac:dyDescent="0.25">
      <c r="A623" s="23"/>
      <c r="C623" s="23"/>
      <c r="E623" s="23"/>
    </row>
    <row r="624" spans="1:5" x14ac:dyDescent="0.25">
      <c r="A624" s="23"/>
      <c r="C624" s="23"/>
      <c r="E624" s="23"/>
    </row>
    <row r="625" spans="1:5" x14ac:dyDescent="0.25">
      <c r="A625" s="23"/>
      <c r="C625" s="23"/>
      <c r="E625" s="23"/>
    </row>
    <row r="626" spans="1:5" x14ac:dyDescent="0.25">
      <c r="A626" s="23"/>
      <c r="C626" s="23"/>
      <c r="E626" s="23"/>
    </row>
    <row r="627" spans="1:5" x14ac:dyDescent="0.25">
      <c r="A627" s="23"/>
      <c r="C627" s="23"/>
      <c r="E627" s="23"/>
    </row>
    <row r="628" spans="1:5" x14ac:dyDescent="0.25">
      <c r="A628" s="23"/>
      <c r="C628" s="23"/>
      <c r="E628" s="23"/>
    </row>
    <row r="629" spans="1:5" x14ac:dyDescent="0.25">
      <c r="A629" s="23"/>
      <c r="C629" s="23"/>
      <c r="E629" s="23"/>
    </row>
    <row r="630" spans="1:5" x14ac:dyDescent="0.25">
      <c r="A630" s="23"/>
      <c r="C630" s="23"/>
      <c r="E630" s="23"/>
    </row>
    <row r="631" spans="1:5" x14ac:dyDescent="0.25">
      <c r="A631" s="23"/>
      <c r="C631" s="23"/>
      <c r="E631" s="23"/>
    </row>
    <row r="632" spans="1:5" x14ac:dyDescent="0.25">
      <c r="A632" s="23"/>
      <c r="C632" s="23"/>
      <c r="E632" s="23"/>
    </row>
    <row r="633" spans="1:5" x14ac:dyDescent="0.25">
      <c r="A633" s="23"/>
      <c r="C633" s="23"/>
      <c r="E633" s="23"/>
    </row>
    <row r="634" spans="1:5" x14ac:dyDescent="0.25">
      <c r="A634" s="23"/>
      <c r="C634" s="23"/>
      <c r="E634" s="23"/>
    </row>
    <row r="635" spans="1:5" x14ac:dyDescent="0.25">
      <c r="A635" s="23"/>
      <c r="C635" s="23"/>
      <c r="E635" s="23"/>
    </row>
    <row r="636" spans="1:5" x14ac:dyDescent="0.25">
      <c r="A636" s="23"/>
      <c r="C636" s="23"/>
      <c r="E636" s="23"/>
    </row>
    <row r="637" spans="1:5" x14ac:dyDescent="0.25">
      <c r="A637" s="23"/>
      <c r="C637" s="23"/>
      <c r="E637" s="23"/>
    </row>
    <row r="638" spans="1:5" x14ac:dyDescent="0.25">
      <c r="A638" s="23"/>
      <c r="C638" s="23"/>
      <c r="E638" s="23"/>
    </row>
    <row r="639" spans="1:5" x14ac:dyDescent="0.25">
      <c r="A639" s="23"/>
      <c r="C639" s="23"/>
      <c r="E639" s="23"/>
    </row>
    <row r="640" spans="1:5" x14ac:dyDescent="0.25">
      <c r="A640" s="23"/>
      <c r="C640" s="23"/>
      <c r="E640" s="23"/>
    </row>
    <row r="641" spans="1:5" x14ac:dyDescent="0.25">
      <c r="A641" s="23"/>
      <c r="C641" s="23"/>
      <c r="E641" s="23"/>
    </row>
    <row r="642" spans="1:5" x14ac:dyDescent="0.25">
      <c r="A642" s="23"/>
      <c r="C642" s="23"/>
      <c r="E642" s="23"/>
    </row>
    <row r="643" spans="1:5" x14ac:dyDescent="0.25">
      <c r="A643" s="23"/>
      <c r="C643" s="23"/>
      <c r="E643" s="23"/>
    </row>
    <row r="644" spans="1:5" x14ac:dyDescent="0.25">
      <c r="A644" s="23"/>
      <c r="C644" s="23"/>
      <c r="E644" s="23"/>
    </row>
    <row r="645" spans="1:5" x14ac:dyDescent="0.25">
      <c r="A645" s="23"/>
      <c r="C645" s="23"/>
      <c r="E645" s="23"/>
    </row>
    <row r="646" spans="1:5" x14ac:dyDescent="0.25">
      <c r="A646" s="23"/>
      <c r="C646" s="23"/>
      <c r="E646" s="23"/>
    </row>
    <row r="647" spans="1:5" x14ac:dyDescent="0.25">
      <c r="A647" s="23"/>
      <c r="C647" s="23"/>
      <c r="E647" s="23"/>
    </row>
    <row r="648" spans="1:5" x14ac:dyDescent="0.25">
      <c r="A648" s="23"/>
      <c r="C648" s="23"/>
      <c r="E648" s="23"/>
    </row>
    <row r="649" spans="1:5" x14ac:dyDescent="0.25">
      <c r="A649" s="23"/>
      <c r="C649" s="23"/>
      <c r="E649" s="23"/>
    </row>
    <row r="650" spans="1:5" x14ac:dyDescent="0.25">
      <c r="A650" s="23"/>
      <c r="C650" s="23"/>
      <c r="E650" s="23"/>
    </row>
    <row r="651" spans="1:5" x14ac:dyDescent="0.25">
      <c r="A651" s="23"/>
      <c r="C651" s="23"/>
      <c r="E651" s="23"/>
    </row>
    <row r="652" spans="1:5" x14ac:dyDescent="0.25">
      <c r="A652" s="23"/>
      <c r="C652" s="23"/>
      <c r="E652" s="23"/>
    </row>
    <row r="653" spans="1:5" x14ac:dyDescent="0.25">
      <c r="A653" s="23"/>
      <c r="C653" s="23"/>
      <c r="E653" s="23"/>
    </row>
    <row r="654" spans="1:5" x14ac:dyDescent="0.25">
      <c r="A654" s="23"/>
      <c r="C654" s="23"/>
      <c r="E654" s="23"/>
    </row>
    <row r="655" spans="1:5" x14ac:dyDescent="0.25">
      <c r="A655" s="23"/>
      <c r="C655" s="23"/>
      <c r="E655" s="23"/>
    </row>
    <row r="656" spans="1:5" x14ac:dyDescent="0.25">
      <c r="A656" s="23"/>
      <c r="C656" s="23"/>
      <c r="E656" s="23"/>
    </row>
    <row r="657" spans="1:5" x14ac:dyDescent="0.25">
      <c r="A657" s="23"/>
      <c r="C657" s="23"/>
      <c r="E657" s="23"/>
    </row>
    <row r="658" spans="1:5" x14ac:dyDescent="0.25">
      <c r="A658" s="23"/>
      <c r="C658" s="23"/>
      <c r="E658" s="23"/>
    </row>
    <row r="659" spans="1:5" x14ac:dyDescent="0.25">
      <c r="A659" s="23"/>
      <c r="C659" s="23"/>
      <c r="E659" s="23"/>
    </row>
    <row r="660" spans="1:5" x14ac:dyDescent="0.25">
      <c r="A660" s="23"/>
      <c r="C660" s="23"/>
      <c r="E660" s="23"/>
    </row>
    <row r="661" spans="1:5" x14ac:dyDescent="0.25">
      <c r="A661" s="23"/>
      <c r="C661" s="23"/>
      <c r="E661" s="23"/>
    </row>
    <row r="662" spans="1:5" x14ac:dyDescent="0.25">
      <c r="A662" s="23"/>
      <c r="C662" s="23"/>
      <c r="E662" s="23"/>
    </row>
    <row r="663" spans="1:5" x14ac:dyDescent="0.25">
      <c r="A663" s="23"/>
      <c r="C663" s="23"/>
      <c r="E663" s="23"/>
    </row>
    <row r="664" spans="1:5" x14ac:dyDescent="0.25">
      <c r="A664" s="23"/>
      <c r="C664" s="23"/>
      <c r="E664" s="23"/>
    </row>
    <row r="665" spans="1:5" x14ac:dyDescent="0.25">
      <c r="A665" s="23"/>
      <c r="C665" s="23"/>
      <c r="E665" s="23"/>
    </row>
    <row r="666" spans="1:5" x14ac:dyDescent="0.25">
      <c r="A666" s="23"/>
      <c r="C666" s="23"/>
      <c r="E666" s="23"/>
    </row>
    <row r="667" spans="1:5" x14ac:dyDescent="0.25">
      <c r="A667" s="23"/>
      <c r="C667" s="23"/>
      <c r="E667" s="23"/>
    </row>
    <row r="668" spans="1:5" x14ac:dyDescent="0.25">
      <c r="A668" s="23"/>
      <c r="C668" s="23"/>
      <c r="E668" s="23"/>
    </row>
    <row r="669" spans="1:5" x14ac:dyDescent="0.25">
      <c r="A669" s="23"/>
      <c r="C669" s="23"/>
      <c r="E669" s="23"/>
    </row>
    <row r="670" spans="1:5" x14ac:dyDescent="0.25">
      <c r="A670" s="23"/>
      <c r="C670" s="23"/>
      <c r="E670" s="23"/>
    </row>
    <row r="671" spans="1:5" x14ac:dyDescent="0.25">
      <c r="A671" s="23"/>
      <c r="C671" s="23"/>
      <c r="E671" s="23"/>
    </row>
    <row r="672" spans="1:5" x14ac:dyDescent="0.25">
      <c r="A672" s="23"/>
      <c r="C672" s="23"/>
      <c r="E672" s="23"/>
    </row>
    <row r="673" spans="1:5" x14ac:dyDescent="0.25">
      <c r="A673" s="23"/>
      <c r="C673" s="23"/>
      <c r="E673" s="23"/>
    </row>
    <row r="674" spans="1:5" x14ac:dyDescent="0.25">
      <c r="A674" s="23"/>
      <c r="C674" s="23"/>
      <c r="E674" s="23"/>
    </row>
    <row r="675" spans="1:5" x14ac:dyDescent="0.25">
      <c r="A675" s="23"/>
      <c r="C675" s="23"/>
      <c r="E675" s="23"/>
    </row>
    <row r="676" spans="1:5" x14ac:dyDescent="0.25">
      <c r="A676" s="23"/>
      <c r="C676" s="23"/>
      <c r="E676" s="23"/>
    </row>
    <row r="677" spans="1:5" x14ac:dyDescent="0.25">
      <c r="A677" s="23"/>
      <c r="C677" s="23"/>
      <c r="E677" s="23"/>
    </row>
    <row r="678" spans="1:5" x14ac:dyDescent="0.25">
      <c r="A678" s="23"/>
      <c r="C678" s="23"/>
      <c r="E678" s="23"/>
    </row>
    <row r="679" spans="1:5" x14ac:dyDescent="0.25">
      <c r="A679" s="23"/>
      <c r="C679" s="23"/>
      <c r="E679" s="23"/>
    </row>
    <row r="680" spans="1:5" x14ac:dyDescent="0.25">
      <c r="A680" s="23"/>
      <c r="C680" s="23"/>
      <c r="E680" s="23"/>
    </row>
    <row r="681" spans="1:5" x14ac:dyDescent="0.25">
      <c r="A681" s="23"/>
      <c r="C681" s="23"/>
      <c r="E681" s="23"/>
    </row>
    <row r="682" spans="1:5" x14ac:dyDescent="0.25">
      <c r="A682" s="23"/>
      <c r="C682" s="23"/>
      <c r="E682" s="23"/>
    </row>
    <row r="683" spans="1:5" x14ac:dyDescent="0.25">
      <c r="A683" s="23"/>
      <c r="C683" s="23"/>
      <c r="E683" s="23"/>
    </row>
    <row r="684" spans="1:5" x14ac:dyDescent="0.25">
      <c r="A684" s="23"/>
      <c r="C684" s="23"/>
      <c r="E684" s="23"/>
    </row>
    <row r="685" spans="1:5" x14ac:dyDescent="0.25">
      <c r="A685" s="23"/>
      <c r="C685" s="23"/>
      <c r="E685" s="23"/>
    </row>
    <row r="686" spans="1:5" x14ac:dyDescent="0.25">
      <c r="A686" s="23"/>
      <c r="C686" s="23"/>
      <c r="E686" s="23"/>
    </row>
    <row r="687" spans="1:5" x14ac:dyDescent="0.25">
      <c r="A687" s="23"/>
      <c r="C687" s="23"/>
      <c r="E687" s="23"/>
    </row>
    <row r="688" spans="1:5" x14ac:dyDescent="0.25">
      <c r="A688" s="23"/>
      <c r="C688" s="23"/>
      <c r="E688" s="23"/>
    </row>
    <row r="689" spans="1:5" x14ac:dyDescent="0.25">
      <c r="A689" s="23"/>
      <c r="C689" s="23"/>
      <c r="E689" s="23"/>
    </row>
    <row r="690" spans="1:5" x14ac:dyDescent="0.25">
      <c r="A690" s="23"/>
      <c r="C690" s="23"/>
      <c r="E690" s="23"/>
    </row>
    <row r="691" spans="1:5" x14ac:dyDescent="0.25">
      <c r="A691" s="23"/>
      <c r="C691" s="23"/>
      <c r="E691" s="23"/>
    </row>
    <row r="692" spans="1:5" x14ac:dyDescent="0.25">
      <c r="A692" s="23"/>
      <c r="C692" s="23"/>
      <c r="E692" s="23"/>
    </row>
    <row r="693" spans="1:5" x14ac:dyDescent="0.25">
      <c r="A693" s="23"/>
      <c r="C693" s="23"/>
      <c r="E693" s="23"/>
    </row>
    <row r="694" spans="1:5" x14ac:dyDescent="0.25">
      <c r="A694" s="23"/>
      <c r="C694" s="23"/>
      <c r="E694" s="23"/>
    </row>
    <row r="695" spans="1:5" x14ac:dyDescent="0.25">
      <c r="A695" s="23"/>
      <c r="C695" s="23"/>
      <c r="E695" s="23"/>
    </row>
    <row r="696" spans="1:5" x14ac:dyDescent="0.25">
      <c r="A696" s="23"/>
      <c r="C696" s="23"/>
      <c r="E696" s="23"/>
    </row>
    <row r="697" spans="1:5" x14ac:dyDescent="0.25">
      <c r="A697" s="23"/>
      <c r="C697" s="23"/>
      <c r="E697" s="23"/>
    </row>
    <row r="698" spans="1:5" x14ac:dyDescent="0.25">
      <c r="A698" s="23"/>
      <c r="C698" s="23"/>
      <c r="E698" s="23"/>
    </row>
    <row r="699" spans="1:5" x14ac:dyDescent="0.25">
      <c r="A699" s="23"/>
      <c r="C699" s="23"/>
      <c r="E699" s="23"/>
    </row>
    <row r="700" spans="1:5" x14ac:dyDescent="0.25">
      <c r="A700" s="23"/>
      <c r="C700" s="23"/>
      <c r="E700" s="23"/>
    </row>
    <row r="701" spans="1:5" x14ac:dyDescent="0.25">
      <c r="A701" s="23"/>
      <c r="C701" s="23"/>
      <c r="E701" s="23"/>
    </row>
    <row r="702" spans="1:5" x14ac:dyDescent="0.25">
      <c r="A702" s="23"/>
      <c r="C702" s="23"/>
      <c r="E702" s="23"/>
    </row>
    <row r="703" spans="1:5" x14ac:dyDescent="0.25">
      <c r="A703" s="23"/>
      <c r="C703" s="23"/>
      <c r="E703" s="23"/>
    </row>
    <row r="704" spans="1:5" x14ac:dyDescent="0.25">
      <c r="A704" s="23"/>
      <c r="C704" s="23"/>
      <c r="E704" s="23"/>
    </row>
    <row r="705" spans="1:5" x14ac:dyDescent="0.25">
      <c r="A705" s="23"/>
      <c r="C705" s="23"/>
      <c r="E705" s="23"/>
    </row>
    <row r="706" spans="1:5" x14ac:dyDescent="0.25">
      <c r="A706" s="23"/>
      <c r="C706" s="23"/>
      <c r="E706" s="23"/>
    </row>
    <row r="707" spans="1:5" x14ac:dyDescent="0.25">
      <c r="A707" s="23"/>
      <c r="C707" s="23"/>
      <c r="E707" s="23"/>
    </row>
    <row r="708" spans="1:5" x14ac:dyDescent="0.25">
      <c r="A708" s="23"/>
      <c r="C708" s="23"/>
      <c r="E708" s="23"/>
    </row>
    <row r="709" spans="1:5" x14ac:dyDescent="0.25">
      <c r="A709" s="23"/>
      <c r="C709" s="23"/>
      <c r="E709" s="23"/>
    </row>
    <row r="710" spans="1:5" x14ac:dyDescent="0.25">
      <c r="A710" s="23"/>
      <c r="C710" s="23"/>
      <c r="E710" s="23"/>
    </row>
    <row r="711" spans="1:5" x14ac:dyDescent="0.25">
      <c r="A711" s="23"/>
      <c r="C711" s="23"/>
      <c r="E711" s="23"/>
    </row>
    <row r="712" spans="1:5" x14ac:dyDescent="0.25">
      <c r="A712" s="23"/>
      <c r="C712" s="23"/>
      <c r="E712" s="23"/>
    </row>
    <row r="713" spans="1:5" x14ac:dyDescent="0.25">
      <c r="A713" s="23"/>
      <c r="C713" s="23"/>
      <c r="E713" s="23"/>
    </row>
    <row r="714" spans="1:5" x14ac:dyDescent="0.25">
      <c r="A714" s="23"/>
      <c r="C714" s="23"/>
      <c r="E714" s="23"/>
    </row>
    <row r="715" spans="1:5" x14ac:dyDescent="0.25">
      <c r="A715" s="23"/>
      <c r="C715" s="23"/>
      <c r="E715" s="23"/>
    </row>
    <row r="716" spans="1:5" x14ac:dyDescent="0.25">
      <c r="A716" s="23"/>
      <c r="C716" s="23"/>
      <c r="E716" s="23"/>
    </row>
    <row r="717" spans="1:5" x14ac:dyDescent="0.25">
      <c r="A717" s="23"/>
      <c r="C717" s="23"/>
      <c r="E717" s="23"/>
    </row>
    <row r="718" spans="1:5" x14ac:dyDescent="0.25">
      <c r="A718" s="23"/>
      <c r="C718" s="23"/>
      <c r="E718" s="23"/>
    </row>
    <row r="719" spans="1:5" x14ac:dyDescent="0.25">
      <c r="A719" s="23"/>
      <c r="C719" s="23"/>
      <c r="E719" s="23"/>
    </row>
    <row r="720" spans="1:5" x14ac:dyDescent="0.25">
      <c r="A720" s="23"/>
      <c r="C720" s="23"/>
      <c r="E720" s="23"/>
    </row>
    <row r="721" spans="1:5" x14ac:dyDescent="0.25">
      <c r="A721" s="23"/>
      <c r="C721" s="23"/>
      <c r="E721" s="23"/>
    </row>
    <row r="722" spans="1:5" x14ac:dyDescent="0.25">
      <c r="A722" s="23"/>
      <c r="C722" s="23"/>
      <c r="E722" s="23"/>
    </row>
    <row r="723" spans="1:5" x14ac:dyDescent="0.25">
      <c r="A723" s="23"/>
      <c r="C723" s="23"/>
      <c r="E723" s="23"/>
    </row>
    <row r="724" spans="1:5" x14ac:dyDescent="0.25">
      <c r="A724" s="23"/>
      <c r="C724" s="23"/>
      <c r="E724" s="23"/>
    </row>
    <row r="725" spans="1:5" x14ac:dyDescent="0.25">
      <c r="A725" s="23"/>
      <c r="C725" s="23"/>
      <c r="E725" s="23"/>
    </row>
    <row r="726" spans="1:5" x14ac:dyDescent="0.25">
      <c r="A726" s="23"/>
      <c r="C726" s="23"/>
      <c r="E726" s="23"/>
    </row>
    <row r="727" spans="1:5" x14ac:dyDescent="0.25">
      <c r="A727" s="23"/>
      <c r="C727" s="23"/>
      <c r="E727" s="23"/>
    </row>
    <row r="728" spans="1:5" x14ac:dyDescent="0.25">
      <c r="A728" s="23"/>
      <c r="C728" s="23"/>
      <c r="E728" s="23"/>
    </row>
    <row r="729" spans="1:5" x14ac:dyDescent="0.25">
      <c r="A729" s="23"/>
      <c r="C729" s="23"/>
      <c r="E729" s="23"/>
    </row>
    <row r="730" spans="1:5" x14ac:dyDescent="0.25">
      <c r="A730" s="23"/>
      <c r="C730" s="23"/>
      <c r="E730" s="23"/>
    </row>
    <row r="731" spans="1:5" x14ac:dyDescent="0.25">
      <c r="A731" s="23"/>
      <c r="C731" s="23"/>
      <c r="E731" s="23"/>
    </row>
    <row r="732" spans="1:5" x14ac:dyDescent="0.25">
      <c r="A732" s="23"/>
      <c r="C732" s="23"/>
      <c r="E732" s="23"/>
    </row>
    <row r="733" spans="1:5" x14ac:dyDescent="0.25">
      <c r="A733" s="23"/>
      <c r="C733" s="23"/>
      <c r="E733" s="23"/>
    </row>
    <row r="734" spans="1:5" x14ac:dyDescent="0.25">
      <c r="A734" s="23"/>
      <c r="C734" s="23"/>
      <c r="E734" s="23"/>
    </row>
    <row r="735" spans="1:5" x14ac:dyDescent="0.25">
      <c r="A735" s="23"/>
      <c r="C735" s="23"/>
      <c r="E735" s="23"/>
    </row>
    <row r="736" spans="1:5" x14ac:dyDescent="0.25">
      <c r="A736" s="23"/>
      <c r="C736" s="23"/>
      <c r="E736" s="23"/>
    </row>
    <row r="737" spans="1:5" x14ac:dyDescent="0.25">
      <c r="A737" s="23"/>
      <c r="C737" s="23"/>
      <c r="E737" s="23"/>
    </row>
    <row r="738" spans="1:5" x14ac:dyDescent="0.25">
      <c r="A738" s="23"/>
      <c r="C738" s="23"/>
      <c r="E738" s="23"/>
    </row>
    <row r="739" spans="1:5" x14ac:dyDescent="0.25">
      <c r="A739" s="23"/>
      <c r="C739" s="23"/>
      <c r="E739" s="23"/>
    </row>
    <row r="740" spans="1:5" x14ac:dyDescent="0.25">
      <c r="A740" s="23"/>
      <c r="C740" s="23"/>
      <c r="E740" s="23"/>
    </row>
    <row r="741" spans="1:5" x14ac:dyDescent="0.25">
      <c r="A741" s="23"/>
      <c r="C741" s="23"/>
      <c r="E741" s="23"/>
    </row>
    <row r="742" spans="1:5" x14ac:dyDescent="0.25">
      <c r="A742" s="23"/>
      <c r="C742" s="23"/>
      <c r="E742" s="23"/>
    </row>
    <row r="743" spans="1:5" x14ac:dyDescent="0.25">
      <c r="A743" s="23"/>
      <c r="C743" s="23"/>
      <c r="E743" s="23"/>
    </row>
    <row r="744" spans="1:5" x14ac:dyDescent="0.25">
      <c r="A744" s="23"/>
      <c r="C744" s="23"/>
      <c r="E744" s="23"/>
    </row>
    <row r="745" spans="1:5" x14ac:dyDescent="0.25">
      <c r="A745" s="23"/>
      <c r="C745" s="23"/>
      <c r="E745" s="23"/>
    </row>
    <row r="746" spans="1:5" x14ac:dyDescent="0.25">
      <c r="A746" s="23"/>
      <c r="C746" s="23"/>
      <c r="E746" s="23"/>
    </row>
    <row r="747" spans="1:5" x14ac:dyDescent="0.25">
      <c r="A747" s="23"/>
      <c r="C747" s="23"/>
      <c r="E747" s="23"/>
    </row>
    <row r="748" spans="1:5" x14ac:dyDescent="0.25">
      <c r="A748" s="23"/>
      <c r="C748" s="23"/>
      <c r="E748" s="23"/>
    </row>
    <row r="749" spans="1:5" x14ac:dyDescent="0.25">
      <c r="A749" s="23"/>
      <c r="C749" s="23"/>
      <c r="E749" s="23"/>
    </row>
    <row r="750" spans="1:5" x14ac:dyDescent="0.25">
      <c r="A750" s="23"/>
      <c r="C750" s="23"/>
      <c r="E750" s="23"/>
    </row>
    <row r="751" spans="1:5" x14ac:dyDescent="0.25">
      <c r="A751" s="23"/>
      <c r="C751" s="23"/>
      <c r="E751" s="23"/>
    </row>
    <row r="752" spans="1:5" x14ac:dyDescent="0.25">
      <c r="A752" s="23"/>
      <c r="C752" s="23"/>
      <c r="E752" s="23"/>
    </row>
    <row r="753" spans="1:5" x14ac:dyDescent="0.25">
      <c r="A753" s="23"/>
      <c r="C753" s="23"/>
      <c r="E753" s="23"/>
    </row>
    <row r="754" spans="1:5" x14ac:dyDescent="0.25">
      <c r="A754" s="23"/>
      <c r="C754" s="23"/>
      <c r="E754" s="23"/>
    </row>
    <row r="755" spans="1:5" x14ac:dyDescent="0.25">
      <c r="A755" s="23"/>
      <c r="C755" s="23"/>
      <c r="E755" s="23"/>
    </row>
    <row r="756" spans="1:5" x14ac:dyDescent="0.25">
      <c r="A756" s="23"/>
      <c r="C756" s="23"/>
      <c r="E756" s="23"/>
    </row>
    <row r="757" spans="1:5" x14ac:dyDescent="0.25">
      <c r="A757" s="23"/>
      <c r="C757" s="23"/>
      <c r="E757" s="23"/>
    </row>
    <row r="758" spans="1:5" x14ac:dyDescent="0.25">
      <c r="A758" s="23"/>
      <c r="C758" s="23"/>
      <c r="E758" s="23"/>
    </row>
    <row r="759" spans="1:5" x14ac:dyDescent="0.25">
      <c r="A759" s="23"/>
      <c r="C759" s="23"/>
      <c r="E759" s="23"/>
    </row>
    <row r="760" spans="1:5" x14ac:dyDescent="0.25">
      <c r="A760" s="23"/>
      <c r="C760" s="23"/>
      <c r="E760" s="23"/>
    </row>
    <row r="761" spans="1:5" x14ac:dyDescent="0.25">
      <c r="A761" s="23"/>
      <c r="C761" s="23"/>
      <c r="E761" s="23"/>
    </row>
    <row r="762" spans="1:5" x14ac:dyDescent="0.25">
      <c r="A762" s="23"/>
      <c r="C762" s="23"/>
      <c r="E762" s="23"/>
    </row>
    <row r="763" spans="1:5" x14ac:dyDescent="0.25">
      <c r="A763" s="23"/>
      <c r="C763" s="23"/>
      <c r="E763" s="23"/>
    </row>
    <row r="764" spans="1:5" x14ac:dyDescent="0.25">
      <c r="A764" s="23"/>
      <c r="C764" s="23"/>
      <c r="E764" s="23"/>
    </row>
    <row r="765" spans="1:5" x14ac:dyDescent="0.25">
      <c r="A765" s="23"/>
      <c r="C765" s="23"/>
      <c r="E765" s="23"/>
    </row>
    <row r="766" spans="1:5" x14ac:dyDescent="0.25">
      <c r="A766" s="23"/>
      <c r="C766" s="23"/>
      <c r="E766" s="23"/>
    </row>
    <row r="767" spans="1:5" x14ac:dyDescent="0.25">
      <c r="A767" s="23"/>
      <c r="C767" s="23"/>
      <c r="E767" s="23"/>
    </row>
    <row r="768" spans="1:5" x14ac:dyDescent="0.25">
      <c r="A768" s="23"/>
      <c r="C768" s="23"/>
      <c r="E768" s="23"/>
    </row>
    <row r="769" spans="1:5" x14ac:dyDescent="0.25">
      <c r="A769" s="23"/>
      <c r="C769" s="23"/>
      <c r="E769" s="23"/>
    </row>
    <row r="770" spans="1:5" x14ac:dyDescent="0.25">
      <c r="A770" s="23"/>
      <c r="C770" s="23"/>
      <c r="E770" s="23"/>
    </row>
    <row r="771" spans="1:5" x14ac:dyDescent="0.25">
      <c r="A771" s="23"/>
      <c r="C771" s="23"/>
      <c r="E771" s="23"/>
    </row>
    <row r="772" spans="1:5" x14ac:dyDescent="0.25">
      <c r="A772" s="23"/>
      <c r="C772" s="23"/>
      <c r="E772" s="23"/>
    </row>
    <row r="773" spans="1:5" x14ac:dyDescent="0.25">
      <c r="A773" s="23"/>
      <c r="C773" s="23"/>
      <c r="E773" s="23"/>
    </row>
    <row r="774" spans="1:5" x14ac:dyDescent="0.25">
      <c r="A774" s="23"/>
      <c r="C774" s="23"/>
      <c r="E774" s="23"/>
    </row>
    <row r="775" spans="1:5" x14ac:dyDescent="0.25">
      <c r="A775" s="23"/>
      <c r="C775" s="23"/>
      <c r="E775" s="23"/>
    </row>
    <row r="776" spans="1:5" x14ac:dyDescent="0.25">
      <c r="A776" s="23"/>
      <c r="C776" s="23"/>
      <c r="E776" s="23"/>
    </row>
    <row r="777" spans="1:5" x14ac:dyDescent="0.25">
      <c r="A777" s="23"/>
      <c r="C777" s="23"/>
      <c r="E777" s="23"/>
    </row>
    <row r="778" spans="1:5" x14ac:dyDescent="0.25">
      <c r="A778" s="23"/>
      <c r="C778" s="23"/>
      <c r="E778" s="23"/>
    </row>
    <row r="779" spans="1:5" x14ac:dyDescent="0.25">
      <c r="A779" s="23"/>
      <c r="C779" s="23"/>
      <c r="E779" s="23"/>
    </row>
    <row r="780" spans="1:5" x14ac:dyDescent="0.25">
      <c r="A780" s="23"/>
      <c r="C780" s="23"/>
      <c r="E780" s="23"/>
    </row>
    <row r="781" spans="1:5" x14ac:dyDescent="0.25">
      <c r="A781" s="23"/>
      <c r="C781" s="23"/>
      <c r="E781" s="23"/>
    </row>
    <row r="782" spans="1:5" x14ac:dyDescent="0.25">
      <c r="A782" s="23"/>
      <c r="C782" s="23"/>
      <c r="E782" s="23"/>
    </row>
    <row r="783" spans="1:5" x14ac:dyDescent="0.25">
      <c r="A783" s="23"/>
      <c r="C783" s="23"/>
      <c r="E783" s="23"/>
    </row>
    <row r="784" spans="1:5" x14ac:dyDescent="0.25">
      <c r="A784" s="23"/>
      <c r="C784" s="23"/>
      <c r="E784" s="23"/>
    </row>
    <row r="785" spans="1:5" x14ac:dyDescent="0.25">
      <c r="A785" s="23"/>
      <c r="C785" s="23"/>
      <c r="E785" s="23"/>
    </row>
    <row r="786" spans="1:5" x14ac:dyDescent="0.25">
      <c r="A786" s="23"/>
      <c r="C786" s="23"/>
      <c r="E786" s="23"/>
    </row>
    <row r="787" spans="1:5" x14ac:dyDescent="0.25">
      <c r="A787" s="23"/>
      <c r="C787" s="23"/>
      <c r="E787" s="23"/>
    </row>
    <row r="788" spans="1:5" x14ac:dyDescent="0.25">
      <c r="A788" s="23"/>
      <c r="C788" s="23"/>
      <c r="E788" s="23"/>
    </row>
    <row r="789" spans="1:5" x14ac:dyDescent="0.25">
      <c r="A789" s="23"/>
      <c r="C789" s="23"/>
      <c r="E789" s="23"/>
    </row>
    <row r="790" spans="1:5" x14ac:dyDescent="0.25">
      <c r="A790" s="23"/>
      <c r="C790" s="23"/>
      <c r="E790" s="23"/>
    </row>
    <row r="791" spans="1:5" x14ac:dyDescent="0.25">
      <c r="A791" s="23"/>
      <c r="C791" s="23"/>
      <c r="E791" s="23"/>
    </row>
    <row r="792" spans="1:5" x14ac:dyDescent="0.25">
      <c r="A792" s="23"/>
      <c r="C792" s="23"/>
      <c r="E792" s="23"/>
    </row>
    <row r="793" spans="1:5" x14ac:dyDescent="0.25">
      <c r="A793" s="23"/>
      <c r="C793" s="23"/>
      <c r="E793" s="23"/>
    </row>
    <row r="794" spans="1:5" x14ac:dyDescent="0.25">
      <c r="A794" s="23"/>
      <c r="C794" s="23"/>
      <c r="E794" s="23"/>
    </row>
    <row r="795" spans="1:5" x14ac:dyDescent="0.25">
      <c r="A795" s="23"/>
      <c r="C795" s="23"/>
      <c r="E795" s="23"/>
    </row>
    <row r="796" spans="1:5" x14ac:dyDescent="0.25">
      <c r="A796" s="23"/>
      <c r="C796" s="23"/>
      <c r="E796" s="23"/>
    </row>
    <row r="797" spans="1:5" x14ac:dyDescent="0.25">
      <c r="A797" s="23"/>
      <c r="C797" s="23"/>
      <c r="E797" s="23"/>
    </row>
    <row r="798" spans="1:5" x14ac:dyDescent="0.25">
      <c r="A798" s="23"/>
      <c r="C798" s="23"/>
      <c r="E798" s="23"/>
    </row>
    <row r="799" spans="1:5" x14ac:dyDescent="0.25">
      <c r="A799" s="23"/>
      <c r="C799" s="23"/>
      <c r="E799" s="23"/>
    </row>
    <row r="800" spans="1:5" x14ac:dyDescent="0.25">
      <c r="A800" s="23"/>
      <c r="C800" s="23"/>
      <c r="E800" s="23"/>
    </row>
    <row r="801" spans="1:5" x14ac:dyDescent="0.25">
      <c r="A801" s="23"/>
      <c r="C801" s="23"/>
      <c r="E801" s="23"/>
    </row>
    <row r="802" spans="1:5" x14ac:dyDescent="0.25">
      <c r="A802" s="23"/>
      <c r="C802" s="23"/>
      <c r="E802" s="23"/>
    </row>
    <row r="803" spans="1:5" x14ac:dyDescent="0.25">
      <c r="A803" s="23"/>
      <c r="C803" s="23"/>
      <c r="E803" s="23"/>
    </row>
    <row r="804" spans="1:5" x14ac:dyDescent="0.25">
      <c r="A804" s="23"/>
      <c r="C804" s="23"/>
      <c r="E804" s="23"/>
    </row>
    <row r="805" spans="1:5" x14ac:dyDescent="0.25">
      <c r="A805" s="23"/>
      <c r="C805" s="23"/>
      <c r="E805" s="23"/>
    </row>
    <row r="806" spans="1:5" x14ac:dyDescent="0.25">
      <c r="A806" s="23"/>
      <c r="C806" s="23"/>
      <c r="E806" s="23"/>
    </row>
    <row r="807" spans="1:5" x14ac:dyDescent="0.25">
      <c r="A807" s="23"/>
      <c r="C807" s="23"/>
      <c r="E807" s="23"/>
    </row>
    <row r="808" spans="1:5" x14ac:dyDescent="0.25">
      <c r="A808" s="23"/>
      <c r="C808" s="23"/>
      <c r="E808" s="23"/>
    </row>
    <row r="809" spans="1:5" x14ac:dyDescent="0.25">
      <c r="A809" s="23"/>
      <c r="C809" s="23"/>
      <c r="E809" s="23"/>
    </row>
    <row r="810" spans="1:5" x14ac:dyDescent="0.25">
      <c r="A810" s="23"/>
      <c r="C810" s="23"/>
      <c r="E810" s="23"/>
    </row>
    <row r="811" spans="1:5" x14ac:dyDescent="0.25">
      <c r="A811" s="23"/>
      <c r="C811" s="23"/>
      <c r="E811" s="23"/>
    </row>
    <row r="812" spans="1:5" x14ac:dyDescent="0.25">
      <c r="A812" s="23"/>
      <c r="C812" s="23"/>
      <c r="E812" s="23"/>
    </row>
    <row r="813" spans="1:5" x14ac:dyDescent="0.25">
      <c r="A813" s="23"/>
      <c r="C813" s="23"/>
      <c r="E813" s="23"/>
    </row>
    <row r="814" spans="1:5" x14ac:dyDescent="0.25">
      <c r="A814" s="23"/>
      <c r="C814" s="23"/>
      <c r="E814" s="23"/>
    </row>
    <row r="815" spans="1:5" x14ac:dyDescent="0.25">
      <c r="A815" s="23"/>
      <c r="C815" s="23"/>
      <c r="E815" s="23"/>
    </row>
    <row r="816" spans="1:5" x14ac:dyDescent="0.25">
      <c r="A816" s="23"/>
      <c r="C816" s="23"/>
      <c r="E816" s="23"/>
    </row>
    <row r="817" spans="1:5" x14ac:dyDescent="0.25">
      <c r="A817" s="23"/>
      <c r="C817" s="23"/>
      <c r="E817" s="23"/>
    </row>
    <row r="818" spans="1:5" x14ac:dyDescent="0.25">
      <c r="A818" s="23"/>
      <c r="C818" s="23"/>
      <c r="E818" s="23"/>
    </row>
    <row r="819" spans="1:5" x14ac:dyDescent="0.25">
      <c r="A819" s="23"/>
      <c r="C819" s="23"/>
      <c r="E819" s="23"/>
    </row>
    <row r="820" spans="1:5" x14ac:dyDescent="0.25">
      <c r="A820" s="23"/>
      <c r="C820" s="23"/>
      <c r="E820" s="23"/>
    </row>
    <row r="821" spans="1:5" x14ac:dyDescent="0.25">
      <c r="A821" s="23"/>
      <c r="C821" s="23"/>
      <c r="E821" s="23"/>
    </row>
    <row r="822" spans="1:5" x14ac:dyDescent="0.25">
      <c r="A822" s="23"/>
      <c r="C822" s="23"/>
      <c r="E822" s="23"/>
    </row>
    <row r="823" spans="1:5" x14ac:dyDescent="0.25">
      <c r="A823" s="23"/>
      <c r="C823" s="23"/>
      <c r="E823" s="23"/>
    </row>
    <row r="824" spans="1:5" x14ac:dyDescent="0.25">
      <c r="A824" s="23"/>
      <c r="C824" s="23"/>
      <c r="E824" s="23"/>
    </row>
    <row r="825" spans="1:5" x14ac:dyDescent="0.25">
      <c r="A825" s="23"/>
      <c r="C825" s="23"/>
      <c r="E825" s="23"/>
    </row>
    <row r="826" spans="1:5" x14ac:dyDescent="0.25">
      <c r="A826" s="23"/>
      <c r="C826" s="23"/>
      <c r="E826" s="23"/>
    </row>
    <row r="827" spans="1:5" x14ac:dyDescent="0.25">
      <c r="A827" s="23"/>
      <c r="C827" s="23"/>
      <c r="E827" s="23"/>
    </row>
    <row r="828" spans="1:5" x14ac:dyDescent="0.25">
      <c r="A828" s="23"/>
      <c r="C828" s="23"/>
      <c r="E828" s="23"/>
    </row>
    <row r="829" spans="1:5" x14ac:dyDescent="0.25">
      <c r="A829" s="23"/>
      <c r="C829" s="23"/>
      <c r="E829" s="23"/>
    </row>
    <row r="830" spans="1:5" x14ac:dyDescent="0.25">
      <c r="A830" s="23"/>
      <c r="C830" s="23"/>
      <c r="E830" s="23"/>
    </row>
    <row r="831" spans="1:5" x14ac:dyDescent="0.25">
      <c r="A831" s="23"/>
      <c r="C831" s="23"/>
      <c r="E831" s="23"/>
    </row>
    <row r="832" spans="1:5" x14ac:dyDescent="0.25">
      <c r="A832" s="23"/>
      <c r="C832" s="23"/>
      <c r="E832" s="23"/>
    </row>
    <row r="833" spans="1:5" x14ac:dyDescent="0.25">
      <c r="A833" s="23"/>
      <c r="C833" s="23"/>
      <c r="E833" s="23"/>
    </row>
    <row r="834" spans="1:5" x14ac:dyDescent="0.25">
      <c r="A834" s="23"/>
      <c r="C834" s="23"/>
      <c r="E834" s="23"/>
    </row>
    <row r="835" spans="1:5" x14ac:dyDescent="0.25">
      <c r="A835" s="23"/>
      <c r="C835" s="23"/>
      <c r="E835" s="23"/>
    </row>
    <row r="836" spans="1:5" x14ac:dyDescent="0.25">
      <c r="A836" s="23"/>
      <c r="C836" s="23"/>
      <c r="E836" s="23"/>
    </row>
    <row r="837" spans="1:5" x14ac:dyDescent="0.25">
      <c r="A837" s="23"/>
      <c r="C837" s="23"/>
      <c r="E837" s="23"/>
    </row>
    <row r="838" spans="1:5" x14ac:dyDescent="0.25">
      <c r="A838" s="23"/>
      <c r="C838" s="23"/>
      <c r="E838" s="23"/>
    </row>
    <row r="839" spans="1:5" x14ac:dyDescent="0.25">
      <c r="A839" s="23"/>
      <c r="C839" s="23"/>
      <c r="E839" s="23"/>
    </row>
    <row r="840" spans="1:5" x14ac:dyDescent="0.25">
      <c r="A840" s="23"/>
      <c r="C840" s="23"/>
      <c r="E840" s="23"/>
    </row>
    <row r="841" spans="1:5" x14ac:dyDescent="0.25">
      <c r="A841" s="23"/>
      <c r="C841" s="23"/>
      <c r="E841" s="23"/>
    </row>
    <row r="842" spans="1:5" x14ac:dyDescent="0.25">
      <c r="A842" s="23"/>
      <c r="C842" s="23"/>
      <c r="E842" s="23"/>
    </row>
    <row r="843" spans="1:5" x14ac:dyDescent="0.25">
      <c r="A843" s="23"/>
      <c r="C843" s="23"/>
      <c r="E843" s="23"/>
    </row>
    <row r="844" spans="1:5" x14ac:dyDescent="0.25">
      <c r="A844" s="23"/>
      <c r="C844" s="23"/>
      <c r="E844" s="23"/>
    </row>
    <row r="845" spans="1:5" x14ac:dyDescent="0.25">
      <c r="A845" s="23"/>
      <c r="C845" s="23"/>
      <c r="E845" s="23"/>
    </row>
    <row r="846" spans="1:5" x14ac:dyDescent="0.25">
      <c r="A846" s="23"/>
      <c r="C846" s="23"/>
      <c r="E846" s="23"/>
    </row>
    <row r="847" spans="1:5" x14ac:dyDescent="0.25">
      <c r="A847" s="23"/>
      <c r="C847" s="23"/>
      <c r="E847" s="23"/>
    </row>
    <row r="848" spans="1:5" x14ac:dyDescent="0.25">
      <c r="A848" s="23"/>
      <c r="C848" s="23"/>
      <c r="E848" s="23"/>
    </row>
    <row r="849" spans="1:5" x14ac:dyDescent="0.25">
      <c r="A849" s="23"/>
      <c r="C849" s="23"/>
      <c r="E849" s="23"/>
    </row>
    <row r="850" spans="1:5" x14ac:dyDescent="0.25">
      <c r="A850" s="23"/>
      <c r="C850" s="23"/>
      <c r="E850" s="23"/>
    </row>
    <row r="851" spans="1:5" x14ac:dyDescent="0.25">
      <c r="A851" s="23"/>
      <c r="C851" s="23"/>
      <c r="E851" s="23"/>
    </row>
    <row r="852" spans="1:5" x14ac:dyDescent="0.25">
      <c r="A852" s="23"/>
      <c r="C852" s="23"/>
      <c r="E852" s="23"/>
    </row>
    <row r="853" spans="1:5" x14ac:dyDescent="0.25">
      <c r="A853" s="23"/>
      <c r="C853" s="23"/>
      <c r="E853" s="23"/>
    </row>
    <row r="854" spans="1:5" x14ac:dyDescent="0.25">
      <c r="A854" s="23"/>
      <c r="C854" s="23"/>
      <c r="E854" s="23"/>
    </row>
    <row r="855" spans="1:5" x14ac:dyDescent="0.25">
      <c r="A855" s="23"/>
      <c r="C855" s="23"/>
      <c r="E855" s="23"/>
    </row>
    <row r="856" spans="1:5" x14ac:dyDescent="0.25">
      <c r="A856" s="23"/>
      <c r="C856" s="23"/>
      <c r="E856" s="23"/>
    </row>
    <row r="857" spans="1:5" x14ac:dyDescent="0.25">
      <c r="A857" s="23"/>
      <c r="C857" s="23"/>
      <c r="E857" s="23"/>
    </row>
    <row r="858" spans="1:5" x14ac:dyDescent="0.25">
      <c r="A858" s="23"/>
      <c r="C858" s="23"/>
      <c r="E858" s="23"/>
    </row>
    <row r="859" spans="1:5" x14ac:dyDescent="0.25">
      <c r="A859" s="23"/>
      <c r="C859" s="23"/>
      <c r="E859" s="23"/>
    </row>
    <row r="860" spans="1:5" x14ac:dyDescent="0.25">
      <c r="A860" s="23"/>
      <c r="C860" s="23"/>
      <c r="E860" s="23"/>
    </row>
    <row r="861" spans="1:5" x14ac:dyDescent="0.25">
      <c r="A861" s="23"/>
      <c r="C861" s="23"/>
      <c r="E861" s="23"/>
    </row>
    <row r="862" spans="1:5" x14ac:dyDescent="0.25">
      <c r="A862" s="23"/>
      <c r="C862" s="23"/>
      <c r="E862" s="23"/>
    </row>
    <row r="863" spans="1:5" x14ac:dyDescent="0.25">
      <c r="A863" s="23"/>
      <c r="C863" s="23"/>
      <c r="E863" s="23"/>
    </row>
    <row r="864" spans="1:5" x14ac:dyDescent="0.25">
      <c r="A864" s="23"/>
      <c r="C864" s="23"/>
      <c r="E864" s="23"/>
    </row>
    <row r="865" spans="1:5" x14ac:dyDescent="0.25">
      <c r="A865" s="23"/>
      <c r="C865" s="23"/>
      <c r="E865" s="23"/>
    </row>
    <row r="866" spans="1:5" x14ac:dyDescent="0.25">
      <c r="A866" s="23"/>
      <c r="C866" s="23"/>
      <c r="E866" s="23"/>
    </row>
    <row r="867" spans="1:5" x14ac:dyDescent="0.25">
      <c r="A867" s="23"/>
      <c r="C867" s="23"/>
      <c r="E867" s="23"/>
    </row>
    <row r="868" spans="1:5" x14ac:dyDescent="0.25">
      <c r="A868" s="23"/>
      <c r="C868" s="23"/>
      <c r="E868" s="23"/>
    </row>
    <row r="869" spans="1:5" x14ac:dyDescent="0.25">
      <c r="A869" s="23"/>
      <c r="C869" s="23"/>
      <c r="E869" s="23"/>
    </row>
    <row r="870" spans="1:5" x14ac:dyDescent="0.25">
      <c r="A870" s="23"/>
      <c r="C870" s="23"/>
      <c r="E870" s="23"/>
    </row>
    <row r="871" spans="1:5" x14ac:dyDescent="0.25">
      <c r="A871" s="23"/>
      <c r="C871" s="23"/>
      <c r="E871" s="23"/>
    </row>
    <row r="872" spans="1:5" x14ac:dyDescent="0.25">
      <c r="A872" s="23"/>
      <c r="C872" s="23"/>
      <c r="E872" s="23"/>
    </row>
    <row r="873" spans="1:5" x14ac:dyDescent="0.25">
      <c r="A873" s="23"/>
      <c r="C873" s="23"/>
      <c r="E873" s="23"/>
    </row>
    <row r="874" spans="1:5" x14ac:dyDescent="0.25">
      <c r="A874" s="23"/>
      <c r="C874" s="23"/>
      <c r="E874" s="23"/>
    </row>
    <row r="875" spans="1:5" x14ac:dyDescent="0.25">
      <c r="A875" s="23"/>
      <c r="C875" s="23"/>
      <c r="E875" s="23"/>
    </row>
    <row r="876" spans="1:5" x14ac:dyDescent="0.25">
      <c r="A876" s="23"/>
      <c r="C876" s="23"/>
      <c r="E876" s="23"/>
    </row>
    <row r="877" spans="1:5" x14ac:dyDescent="0.25">
      <c r="A877" s="23"/>
      <c r="C877" s="23"/>
      <c r="E877" s="23"/>
    </row>
    <row r="878" spans="1:5" x14ac:dyDescent="0.25">
      <c r="A878" s="23"/>
      <c r="C878" s="23"/>
      <c r="E878" s="23"/>
    </row>
    <row r="879" spans="1:5" x14ac:dyDescent="0.25">
      <c r="A879" s="23"/>
      <c r="C879" s="23"/>
      <c r="E879" s="23"/>
    </row>
    <row r="880" spans="1:5" x14ac:dyDescent="0.25">
      <c r="A880" s="23"/>
      <c r="C880" s="23"/>
      <c r="E880" s="23"/>
    </row>
    <row r="881" spans="1:5" x14ac:dyDescent="0.25">
      <c r="A881" s="23"/>
      <c r="C881" s="23"/>
      <c r="E881" s="23"/>
    </row>
    <row r="882" spans="1:5" x14ac:dyDescent="0.25">
      <c r="A882" s="23"/>
      <c r="C882" s="23"/>
      <c r="E882" s="23"/>
    </row>
    <row r="883" spans="1:5" x14ac:dyDescent="0.25">
      <c r="A883" s="23"/>
      <c r="C883" s="23"/>
      <c r="E883" s="23"/>
    </row>
    <row r="884" spans="1:5" x14ac:dyDescent="0.25">
      <c r="A884" s="23"/>
      <c r="C884" s="23"/>
      <c r="E884" s="23"/>
    </row>
    <row r="885" spans="1:5" x14ac:dyDescent="0.25">
      <c r="A885" s="23"/>
      <c r="C885" s="23"/>
      <c r="E885" s="23"/>
    </row>
    <row r="886" spans="1:5" x14ac:dyDescent="0.25">
      <c r="A886" s="23"/>
      <c r="C886" s="23"/>
      <c r="E886" s="23"/>
    </row>
    <row r="887" spans="1:5" x14ac:dyDescent="0.25">
      <c r="A887" s="23"/>
      <c r="C887" s="23"/>
      <c r="E887" s="23"/>
    </row>
    <row r="888" spans="1:5" x14ac:dyDescent="0.25">
      <c r="A888" s="23"/>
      <c r="C888" s="23"/>
      <c r="E888" s="23"/>
    </row>
    <row r="889" spans="1:5" x14ac:dyDescent="0.25">
      <c r="A889" s="23"/>
      <c r="C889" s="23"/>
      <c r="E889" s="23"/>
    </row>
    <row r="890" spans="1:5" x14ac:dyDescent="0.25">
      <c r="A890" s="23"/>
      <c r="C890" s="23"/>
      <c r="E890" s="23"/>
    </row>
    <row r="891" spans="1:5" x14ac:dyDescent="0.25">
      <c r="A891" s="23"/>
      <c r="C891" s="23"/>
      <c r="E891" s="23"/>
    </row>
    <row r="892" spans="1:5" x14ac:dyDescent="0.25">
      <c r="A892" s="23"/>
      <c r="C892" s="23"/>
      <c r="E892" s="23"/>
    </row>
    <row r="893" spans="1:5" x14ac:dyDescent="0.25">
      <c r="A893" s="23"/>
      <c r="C893" s="23"/>
      <c r="E893" s="23"/>
    </row>
    <row r="894" spans="1:5" x14ac:dyDescent="0.25">
      <c r="A894" s="23"/>
      <c r="C894" s="23"/>
      <c r="E894" s="23"/>
    </row>
    <row r="895" spans="1:5" x14ac:dyDescent="0.25">
      <c r="A895" s="23"/>
      <c r="C895" s="23"/>
      <c r="E895" s="23"/>
    </row>
    <row r="896" spans="1:5" x14ac:dyDescent="0.25">
      <c r="A896" s="23"/>
      <c r="C896" s="23"/>
      <c r="E896" s="23"/>
    </row>
    <row r="897" spans="1:5" x14ac:dyDescent="0.25">
      <c r="A897" s="23"/>
      <c r="C897" s="23"/>
      <c r="E897" s="23"/>
    </row>
    <row r="898" spans="1:5" x14ac:dyDescent="0.25">
      <c r="A898" s="23"/>
      <c r="C898" s="23"/>
      <c r="E898" s="23"/>
    </row>
    <row r="899" spans="1:5" x14ac:dyDescent="0.25">
      <c r="A899" s="23"/>
      <c r="C899" s="23"/>
      <c r="E899" s="23"/>
    </row>
    <row r="900" spans="1:5" x14ac:dyDescent="0.25">
      <c r="A900" s="23"/>
      <c r="C900" s="23"/>
      <c r="E900" s="23"/>
    </row>
    <row r="901" spans="1:5" x14ac:dyDescent="0.25">
      <c r="A901" s="23"/>
      <c r="C901" s="23"/>
      <c r="E901" s="23"/>
    </row>
    <row r="902" spans="1:5" x14ac:dyDescent="0.25">
      <c r="A902" s="23"/>
      <c r="C902" s="23"/>
      <c r="E902" s="23"/>
    </row>
    <row r="903" spans="1:5" x14ac:dyDescent="0.25">
      <c r="A903" s="23"/>
      <c r="C903" s="23"/>
      <c r="E903" s="23"/>
    </row>
    <row r="904" spans="1:5" x14ac:dyDescent="0.25">
      <c r="A904" s="23"/>
      <c r="C904" s="23"/>
      <c r="E904" s="23"/>
    </row>
    <row r="905" spans="1:5" x14ac:dyDescent="0.25">
      <c r="A905" s="23"/>
      <c r="C905" s="23"/>
      <c r="E905" s="23"/>
    </row>
    <row r="906" spans="1:5" x14ac:dyDescent="0.25">
      <c r="A906" s="23"/>
      <c r="C906" s="23"/>
      <c r="E906" s="23"/>
    </row>
    <row r="907" spans="1:5" x14ac:dyDescent="0.25">
      <c r="A907" s="23"/>
      <c r="C907" s="23"/>
      <c r="E907" s="23"/>
    </row>
    <row r="908" spans="1:5" x14ac:dyDescent="0.25">
      <c r="A908" s="23"/>
      <c r="C908" s="23"/>
      <c r="E908" s="23"/>
    </row>
    <row r="909" spans="1:5" x14ac:dyDescent="0.25">
      <c r="A909" s="23"/>
      <c r="C909" s="23"/>
      <c r="E909" s="23"/>
    </row>
    <row r="910" spans="1:5" x14ac:dyDescent="0.25">
      <c r="A910" s="23"/>
      <c r="C910" s="23"/>
      <c r="E910" s="23"/>
    </row>
    <row r="911" spans="1:5" x14ac:dyDescent="0.25">
      <c r="A911" s="23"/>
      <c r="C911" s="23"/>
      <c r="E911" s="23"/>
    </row>
    <row r="912" spans="1:5" x14ac:dyDescent="0.25">
      <c r="A912" s="23"/>
      <c r="C912" s="23"/>
      <c r="E912" s="23"/>
    </row>
    <row r="913" spans="1:5" x14ac:dyDescent="0.25">
      <c r="A913" s="23"/>
      <c r="C913" s="23"/>
      <c r="E913" s="23"/>
    </row>
    <row r="914" spans="1:5" x14ac:dyDescent="0.25">
      <c r="A914" s="23"/>
      <c r="C914" s="23"/>
      <c r="E914" s="23"/>
    </row>
    <row r="915" spans="1:5" x14ac:dyDescent="0.25">
      <c r="A915" s="23"/>
      <c r="C915" s="23"/>
      <c r="E915" s="23"/>
    </row>
    <row r="916" spans="1:5" x14ac:dyDescent="0.25">
      <c r="A916" s="23"/>
      <c r="C916" s="23"/>
      <c r="E916" s="23"/>
    </row>
    <row r="917" spans="1:5" x14ac:dyDescent="0.25">
      <c r="A917" s="23"/>
      <c r="C917" s="23"/>
      <c r="E917" s="23"/>
    </row>
    <row r="918" spans="1:5" x14ac:dyDescent="0.25">
      <c r="A918" s="23"/>
      <c r="C918" s="23"/>
      <c r="E918" s="23"/>
    </row>
    <row r="919" spans="1:5" x14ac:dyDescent="0.25">
      <c r="A919" s="23"/>
      <c r="C919" s="23"/>
      <c r="E919" s="23"/>
    </row>
    <row r="920" spans="1:5" x14ac:dyDescent="0.25">
      <c r="A920" s="23"/>
      <c r="C920" s="23"/>
      <c r="E920" s="23"/>
    </row>
    <row r="921" spans="1:5" x14ac:dyDescent="0.25">
      <c r="A921" s="23"/>
      <c r="C921" s="23"/>
      <c r="E921" s="23"/>
    </row>
    <row r="922" spans="1:5" x14ac:dyDescent="0.25">
      <c r="A922" s="23"/>
      <c r="C922" s="23"/>
      <c r="E922" s="23"/>
    </row>
    <row r="923" spans="1:5" x14ac:dyDescent="0.25">
      <c r="A923" s="23"/>
      <c r="C923" s="23"/>
      <c r="E923" s="23"/>
    </row>
    <row r="924" spans="1:5" x14ac:dyDescent="0.25">
      <c r="A924" s="23"/>
      <c r="C924" s="23"/>
      <c r="E924" s="23"/>
    </row>
    <row r="925" spans="1:5" x14ac:dyDescent="0.25">
      <c r="A925" s="23"/>
      <c r="C925" s="23"/>
      <c r="E925" s="23"/>
    </row>
    <row r="926" spans="1:5" x14ac:dyDescent="0.25">
      <c r="A926" s="23"/>
      <c r="C926" s="23"/>
      <c r="E926" s="23"/>
    </row>
    <row r="927" spans="1:5" x14ac:dyDescent="0.25">
      <c r="A927" s="23"/>
      <c r="C927" s="23"/>
      <c r="E927" s="23"/>
    </row>
    <row r="928" spans="1:5" x14ac:dyDescent="0.25">
      <c r="A928" s="23"/>
      <c r="C928" s="23"/>
      <c r="E928" s="23"/>
    </row>
    <row r="929" spans="1:5" x14ac:dyDescent="0.25">
      <c r="A929" s="23"/>
      <c r="C929" s="23"/>
      <c r="E929" s="23"/>
    </row>
    <row r="930" spans="1:5" x14ac:dyDescent="0.25">
      <c r="A930" s="23"/>
      <c r="C930" s="23"/>
      <c r="E930" s="23"/>
    </row>
    <row r="931" spans="1:5" x14ac:dyDescent="0.25">
      <c r="A931" s="23"/>
      <c r="C931" s="23"/>
      <c r="E931" s="23"/>
    </row>
    <row r="932" spans="1:5" x14ac:dyDescent="0.25">
      <c r="A932" s="23"/>
      <c r="C932" s="23"/>
      <c r="E932" s="23"/>
    </row>
    <row r="933" spans="1:5" x14ac:dyDescent="0.25">
      <c r="A933" s="23"/>
      <c r="C933" s="23"/>
      <c r="E933" s="23"/>
    </row>
    <row r="934" spans="1:5" x14ac:dyDescent="0.25">
      <c r="A934" s="23"/>
      <c r="C934" s="23"/>
      <c r="E934" s="23"/>
    </row>
    <row r="935" spans="1:5" x14ac:dyDescent="0.25">
      <c r="A935" s="23"/>
      <c r="C935" s="23"/>
      <c r="E935" s="23"/>
    </row>
    <row r="936" spans="1:5" x14ac:dyDescent="0.25">
      <c r="A936" s="23"/>
      <c r="C936" s="23"/>
      <c r="E936" s="23"/>
    </row>
    <row r="937" spans="1:5" x14ac:dyDescent="0.25">
      <c r="A937" s="23"/>
      <c r="C937" s="23"/>
      <c r="E937" s="23"/>
    </row>
    <row r="938" spans="1:5" x14ac:dyDescent="0.25">
      <c r="A938" s="23"/>
      <c r="C938" s="23"/>
      <c r="E938" s="23"/>
    </row>
    <row r="939" spans="1:5" x14ac:dyDescent="0.25">
      <c r="A939" s="23"/>
      <c r="C939" s="23"/>
      <c r="E939" s="23"/>
    </row>
    <row r="940" spans="1:5" x14ac:dyDescent="0.25">
      <c r="A940" s="23"/>
      <c r="C940" s="23"/>
      <c r="E940" s="23"/>
    </row>
    <row r="941" spans="1:5" x14ac:dyDescent="0.25">
      <c r="A941" s="23"/>
      <c r="C941" s="23"/>
      <c r="E941" s="23"/>
    </row>
    <row r="942" spans="1:5" x14ac:dyDescent="0.25">
      <c r="A942" s="23"/>
      <c r="C942" s="23"/>
      <c r="E942" s="23"/>
    </row>
    <row r="943" spans="1:5" x14ac:dyDescent="0.25">
      <c r="A943" s="23"/>
      <c r="C943" s="23"/>
      <c r="E943" s="23"/>
    </row>
    <row r="944" spans="1:5" x14ac:dyDescent="0.25">
      <c r="A944" s="23"/>
      <c r="C944" s="23"/>
      <c r="E944" s="23"/>
    </row>
    <row r="945" spans="1:5" x14ac:dyDescent="0.25">
      <c r="A945" s="23"/>
      <c r="C945" s="23"/>
      <c r="E945" s="23"/>
    </row>
    <row r="946" spans="1:5" x14ac:dyDescent="0.25">
      <c r="A946" s="23"/>
      <c r="C946" s="23"/>
      <c r="E946" s="23"/>
    </row>
    <row r="947" spans="1:5" x14ac:dyDescent="0.25">
      <c r="A947" s="23"/>
      <c r="C947" s="23"/>
      <c r="E947" s="23"/>
    </row>
    <row r="948" spans="1:5" x14ac:dyDescent="0.25">
      <c r="A948" s="23"/>
      <c r="C948" s="23"/>
      <c r="E948" s="23"/>
    </row>
    <row r="949" spans="1:5" x14ac:dyDescent="0.25">
      <c r="A949" s="23"/>
      <c r="C949" s="23"/>
      <c r="E949" s="23"/>
    </row>
    <row r="950" spans="1:5" x14ac:dyDescent="0.25">
      <c r="A950" s="23"/>
      <c r="C950" s="23"/>
      <c r="E950" s="23"/>
    </row>
    <row r="951" spans="1:5" x14ac:dyDescent="0.25">
      <c r="A951" s="23"/>
      <c r="C951" s="23"/>
      <c r="E951" s="23"/>
    </row>
    <row r="952" spans="1:5" x14ac:dyDescent="0.25">
      <c r="A952" s="23"/>
      <c r="C952" s="23"/>
      <c r="E952" s="23"/>
    </row>
    <row r="953" spans="1:5" x14ac:dyDescent="0.25">
      <c r="A953" s="23"/>
      <c r="C953" s="23"/>
      <c r="E953" s="23"/>
    </row>
    <row r="954" spans="1:5" x14ac:dyDescent="0.25">
      <c r="A954" s="23"/>
      <c r="C954" s="23"/>
      <c r="E954" s="23"/>
    </row>
    <row r="955" spans="1:5" x14ac:dyDescent="0.25">
      <c r="A955" s="23"/>
      <c r="C955" s="23"/>
      <c r="E955" s="23"/>
    </row>
    <row r="956" spans="1:5" x14ac:dyDescent="0.25">
      <c r="A956" s="23"/>
      <c r="C956" s="23"/>
      <c r="E956" s="23"/>
    </row>
    <row r="957" spans="1:5" x14ac:dyDescent="0.25">
      <c r="A957" s="23"/>
      <c r="C957" s="23"/>
      <c r="E957" s="23"/>
    </row>
    <row r="958" spans="1:5" x14ac:dyDescent="0.25">
      <c r="A958" s="23"/>
      <c r="C958" s="23"/>
      <c r="E958" s="23"/>
    </row>
    <row r="959" spans="1:5" x14ac:dyDescent="0.25">
      <c r="A959" s="23"/>
      <c r="C959" s="23"/>
      <c r="E959" s="23"/>
    </row>
    <row r="960" spans="1:5" x14ac:dyDescent="0.25">
      <c r="A960" s="23"/>
      <c r="C960" s="23"/>
      <c r="E960" s="23"/>
    </row>
    <row r="961" spans="1:5" x14ac:dyDescent="0.25">
      <c r="A961" s="23"/>
      <c r="C961" s="23"/>
      <c r="E961" s="23"/>
    </row>
    <row r="962" spans="1:5" x14ac:dyDescent="0.25">
      <c r="A962" s="23"/>
      <c r="C962" s="23"/>
      <c r="E962" s="23"/>
    </row>
    <row r="963" spans="1:5" x14ac:dyDescent="0.25">
      <c r="A963" s="23"/>
      <c r="C963" s="23"/>
      <c r="E963" s="23"/>
    </row>
    <row r="964" spans="1:5" x14ac:dyDescent="0.25">
      <c r="A964" s="23"/>
      <c r="C964" s="23"/>
      <c r="E964" s="23"/>
    </row>
    <row r="965" spans="1:5" x14ac:dyDescent="0.25">
      <c r="A965" s="23"/>
      <c r="C965" s="23"/>
      <c r="E965" s="23"/>
    </row>
    <row r="966" spans="1:5" x14ac:dyDescent="0.25">
      <c r="A966" s="23"/>
      <c r="C966" s="23"/>
      <c r="E966" s="23"/>
    </row>
    <row r="967" spans="1:5" x14ac:dyDescent="0.25">
      <c r="A967" s="23"/>
      <c r="C967" s="23"/>
      <c r="E967" s="23"/>
    </row>
    <row r="968" spans="1:5" x14ac:dyDescent="0.25">
      <c r="A968" s="23"/>
      <c r="C968" s="23"/>
      <c r="E968" s="23"/>
    </row>
    <row r="969" spans="1:5" x14ac:dyDescent="0.25">
      <c r="A969" s="23"/>
      <c r="C969" s="23"/>
      <c r="E969" s="23"/>
    </row>
    <row r="970" spans="1:5" x14ac:dyDescent="0.25">
      <c r="A970" s="23"/>
      <c r="C970" s="23"/>
      <c r="E970" s="23"/>
    </row>
    <row r="971" spans="1:5" x14ac:dyDescent="0.25">
      <c r="A971" s="23"/>
      <c r="C971" s="23"/>
      <c r="E971" s="23"/>
    </row>
    <row r="972" spans="1:5" x14ac:dyDescent="0.25">
      <c r="A972" s="23"/>
      <c r="C972" s="23"/>
      <c r="E972" s="23"/>
    </row>
    <row r="973" spans="1:5" x14ac:dyDescent="0.25">
      <c r="A973" s="23"/>
      <c r="C973" s="23"/>
      <c r="E973" s="23"/>
    </row>
    <row r="974" spans="1:5" x14ac:dyDescent="0.25">
      <c r="A974" s="23"/>
      <c r="C974" s="23"/>
      <c r="E974" s="23"/>
    </row>
    <row r="975" spans="1:5" x14ac:dyDescent="0.25">
      <c r="A975" s="23"/>
      <c r="C975" s="23"/>
      <c r="E975" s="23"/>
    </row>
    <row r="976" spans="1:5" x14ac:dyDescent="0.25">
      <c r="A976" s="23"/>
      <c r="C976" s="23"/>
      <c r="E976" s="23"/>
    </row>
    <row r="977" spans="1:5" x14ac:dyDescent="0.25">
      <c r="A977" s="23"/>
      <c r="C977" s="23"/>
      <c r="E977" s="23"/>
    </row>
    <row r="978" spans="1:5" x14ac:dyDescent="0.25">
      <c r="A978" s="23"/>
      <c r="C978" s="23"/>
      <c r="E978" s="23"/>
    </row>
    <row r="979" spans="1:5" x14ac:dyDescent="0.25">
      <c r="A979" s="23"/>
      <c r="C979" s="23"/>
      <c r="E979" s="23"/>
    </row>
    <row r="980" spans="1:5" x14ac:dyDescent="0.25">
      <c r="A980" s="23"/>
      <c r="C980" s="23"/>
      <c r="E980" s="23"/>
    </row>
    <row r="981" spans="1:5" x14ac:dyDescent="0.25">
      <c r="A981" s="23"/>
      <c r="C981" s="23"/>
      <c r="E981" s="23"/>
    </row>
    <row r="982" spans="1:5" x14ac:dyDescent="0.25">
      <c r="A982" s="23"/>
      <c r="C982" s="23"/>
      <c r="E982" s="23"/>
    </row>
    <row r="983" spans="1:5" x14ac:dyDescent="0.25">
      <c r="A983" s="23"/>
      <c r="C983" s="23"/>
      <c r="E983" s="23"/>
    </row>
    <row r="984" spans="1:5" x14ac:dyDescent="0.25">
      <c r="A984" s="23"/>
      <c r="C984" s="23"/>
      <c r="E984" s="23"/>
    </row>
    <row r="985" spans="1:5" x14ac:dyDescent="0.25">
      <c r="A985" s="23"/>
      <c r="C985" s="23"/>
      <c r="E985" s="23"/>
    </row>
    <row r="986" spans="1:5" x14ac:dyDescent="0.25">
      <c r="A986" s="23"/>
      <c r="C986" s="23"/>
      <c r="E986" s="23"/>
    </row>
    <row r="987" spans="1:5" x14ac:dyDescent="0.25">
      <c r="A987" s="23"/>
      <c r="C987" s="23"/>
      <c r="E987" s="23"/>
    </row>
    <row r="988" spans="1:5" x14ac:dyDescent="0.25">
      <c r="A988" s="23"/>
      <c r="C988" s="23"/>
      <c r="E988" s="23"/>
    </row>
    <row r="989" spans="1:5" x14ac:dyDescent="0.25">
      <c r="A989" s="23"/>
      <c r="C989" s="23"/>
      <c r="E989" s="23"/>
    </row>
    <row r="990" spans="1:5" x14ac:dyDescent="0.25">
      <c r="A990" s="23"/>
      <c r="C990" s="23"/>
      <c r="E990" s="23"/>
    </row>
    <row r="991" spans="1:5" x14ac:dyDescent="0.25">
      <c r="A991" s="23"/>
      <c r="C991" s="23"/>
      <c r="E991" s="23"/>
    </row>
    <row r="992" spans="1:5" x14ac:dyDescent="0.25">
      <c r="A992" s="23"/>
      <c r="C992" s="23"/>
      <c r="E992" s="23"/>
    </row>
    <row r="993" spans="1:5" x14ac:dyDescent="0.25">
      <c r="A993" s="23"/>
      <c r="C993" s="23"/>
      <c r="E993" s="23"/>
    </row>
    <row r="994" spans="1:5" x14ac:dyDescent="0.25">
      <c r="A994" s="23"/>
      <c r="C994" s="23"/>
      <c r="E994" s="23"/>
    </row>
    <row r="995" spans="1:5" x14ac:dyDescent="0.25">
      <c r="A995" s="23"/>
      <c r="C995" s="23"/>
      <c r="E995" s="23"/>
    </row>
    <row r="996" spans="1:5" x14ac:dyDescent="0.25">
      <c r="A996" s="23"/>
      <c r="C996" s="23"/>
      <c r="E996" s="23"/>
    </row>
    <row r="997" spans="1:5" x14ac:dyDescent="0.25">
      <c r="A997" s="23"/>
      <c r="C997" s="23"/>
      <c r="E997" s="23"/>
    </row>
    <row r="998" spans="1:5" x14ac:dyDescent="0.25">
      <c r="A998" s="23"/>
      <c r="C998" s="23"/>
      <c r="E998" s="23"/>
    </row>
    <row r="999" spans="1:5" x14ac:dyDescent="0.25">
      <c r="A999" s="23"/>
      <c r="C999" s="23"/>
      <c r="E999" s="23"/>
    </row>
    <row r="1000" spans="1:5" x14ac:dyDescent="0.25">
      <c r="A1000" s="23"/>
      <c r="C1000" s="23"/>
      <c r="E1000" s="23"/>
    </row>
  </sheetData>
  <conditionalFormatting sqref="A3:E60">
    <cfRule type="expression" dxfId="6" priority="1">
      <formula>(LEN($B3)&gt;0)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defaultColWidth="14.44140625" defaultRowHeight="15.75" customHeight="1" x14ac:dyDescent="0.25"/>
  <cols>
    <col min="1" max="1" width="15.6640625" customWidth="1"/>
    <col min="3" max="3" width="56" customWidth="1"/>
    <col min="4" max="4" width="11.88671875" customWidth="1"/>
  </cols>
  <sheetData>
    <row r="1" spans="1:26" x14ac:dyDescent="0.25">
      <c r="A1" s="95" t="s">
        <v>278</v>
      </c>
      <c r="B1" s="35"/>
      <c r="C1" s="35"/>
      <c r="D1" s="35"/>
      <c r="E1" s="42"/>
      <c r="F1" s="42"/>
      <c r="G1" s="42"/>
      <c r="H1" s="42"/>
      <c r="I1" s="42"/>
      <c r="J1" s="42"/>
      <c r="K1" s="42"/>
      <c r="L1" s="42"/>
      <c r="M1" s="42"/>
      <c r="N1" s="42"/>
      <c r="O1" s="42"/>
      <c r="P1" s="42"/>
      <c r="Q1" s="42"/>
      <c r="R1" s="42"/>
      <c r="S1" s="42"/>
      <c r="T1" s="42"/>
      <c r="U1" s="42"/>
      <c r="V1" s="42"/>
      <c r="W1" s="42"/>
      <c r="X1" s="42"/>
      <c r="Y1" s="42"/>
      <c r="Z1" s="42"/>
    </row>
    <row r="2" spans="1:26" x14ac:dyDescent="0.25">
      <c r="A2" s="42"/>
      <c r="B2" s="35"/>
      <c r="C2" s="35"/>
      <c r="D2" s="35"/>
      <c r="E2" s="42"/>
      <c r="F2" s="42"/>
      <c r="G2" s="42"/>
      <c r="H2" s="42"/>
      <c r="I2" s="42"/>
      <c r="J2" s="42"/>
      <c r="K2" s="42"/>
      <c r="L2" s="42"/>
      <c r="M2" s="42"/>
      <c r="N2" s="42"/>
      <c r="O2" s="42"/>
      <c r="P2" s="42"/>
      <c r="Q2" s="42"/>
      <c r="R2" s="42"/>
      <c r="S2" s="42"/>
      <c r="T2" s="42"/>
      <c r="U2" s="42"/>
      <c r="V2" s="42"/>
      <c r="W2" s="42"/>
      <c r="X2" s="42"/>
      <c r="Y2" s="42"/>
      <c r="Z2" s="42"/>
    </row>
    <row r="3" spans="1:26" x14ac:dyDescent="0.25">
      <c r="A3" s="42"/>
      <c r="B3" s="35"/>
      <c r="C3" s="35"/>
      <c r="D3" s="35"/>
      <c r="E3" s="42"/>
      <c r="F3" s="42"/>
      <c r="G3" s="42"/>
      <c r="H3" s="42"/>
      <c r="I3" s="42"/>
      <c r="J3" s="42"/>
      <c r="K3" s="42"/>
      <c r="L3" s="42"/>
      <c r="M3" s="42"/>
      <c r="N3" s="42"/>
      <c r="O3" s="42"/>
      <c r="P3" s="42"/>
      <c r="Q3" s="42"/>
      <c r="R3" s="42"/>
      <c r="S3" s="42"/>
      <c r="T3" s="42"/>
      <c r="U3" s="42"/>
      <c r="V3" s="42"/>
      <c r="W3" s="42"/>
      <c r="X3" s="42"/>
      <c r="Y3" s="42"/>
      <c r="Z3" s="42"/>
    </row>
    <row r="4" spans="1:26" x14ac:dyDescent="0.25">
      <c r="A4" s="96" t="s">
        <v>279</v>
      </c>
      <c r="B4" s="96" t="s">
        <v>280</v>
      </c>
      <c r="C4" s="96" t="s">
        <v>281</v>
      </c>
      <c r="D4" s="96" t="s">
        <v>282</v>
      </c>
      <c r="E4" s="35"/>
      <c r="F4" s="35"/>
      <c r="G4" s="35"/>
      <c r="H4" s="35"/>
      <c r="I4" s="35"/>
      <c r="J4" s="35"/>
      <c r="K4" s="35"/>
      <c r="L4" s="35"/>
      <c r="M4" s="35"/>
      <c r="N4" s="35"/>
      <c r="O4" s="35"/>
      <c r="P4" s="35"/>
      <c r="Q4" s="35"/>
      <c r="R4" s="35"/>
      <c r="S4" s="35"/>
      <c r="T4" s="35"/>
      <c r="U4" s="35"/>
      <c r="V4" s="35"/>
      <c r="W4" s="35"/>
      <c r="X4" s="35"/>
      <c r="Y4" s="35"/>
      <c r="Z4" s="35"/>
    </row>
    <row r="5" spans="1:26" x14ac:dyDescent="0.25">
      <c r="A5" s="97" t="s">
        <v>283</v>
      </c>
      <c r="B5" s="98" t="s">
        <v>284</v>
      </c>
      <c r="C5" s="99" t="s">
        <v>285</v>
      </c>
      <c r="D5" s="100"/>
      <c r="E5" s="42"/>
      <c r="F5" s="42"/>
      <c r="G5" s="42"/>
      <c r="H5" s="42"/>
      <c r="I5" s="42"/>
      <c r="J5" s="42"/>
      <c r="K5" s="42"/>
      <c r="L5" s="42"/>
      <c r="M5" s="42"/>
      <c r="N5" s="42"/>
      <c r="O5" s="42"/>
      <c r="P5" s="42"/>
      <c r="Q5" s="42"/>
      <c r="R5" s="42"/>
      <c r="S5" s="42"/>
      <c r="T5" s="42"/>
      <c r="U5" s="42"/>
      <c r="V5" s="42"/>
      <c r="W5" s="42"/>
      <c r="X5" s="42"/>
      <c r="Y5" s="42"/>
      <c r="Z5" s="42"/>
    </row>
    <row r="6" spans="1:26" x14ac:dyDescent="0.25">
      <c r="A6" s="101" t="s">
        <v>286</v>
      </c>
      <c r="B6" s="102" t="s">
        <v>287</v>
      </c>
      <c r="C6" s="102" t="s">
        <v>288</v>
      </c>
      <c r="D6" s="102" t="s">
        <v>289</v>
      </c>
      <c r="E6" s="42"/>
      <c r="F6" s="42"/>
      <c r="G6" s="42"/>
      <c r="H6" s="42"/>
      <c r="I6" s="42"/>
      <c r="J6" s="42"/>
      <c r="K6" s="42"/>
      <c r="L6" s="42"/>
      <c r="M6" s="42"/>
      <c r="N6" s="42"/>
      <c r="O6" s="42"/>
      <c r="P6" s="42"/>
      <c r="Q6" s="42"/>
      <c r="R6" s="42"/>
      <c r="S6" s="42"/>
      <c r="T6" s="42"/>
      <c r="U6" s="42"/>
      <c r="V6" s="42"/>
      <c r="W6" s="42"/>
      <c r="X6" s="42"/>
      <c r="Y6" s="42"/>
      <c r="Z6" s="42"/>
    </row>
    <row r="7" spans="1:26" x14ac:dyDescent="0.25">
      <c r="A7" s="101" t="s">
        <v>290</v>
      </c>
      <c r="B7" s="102" t="s">
        <v>291</v>
      </c>
      <c r="C7" s="102" t="s">
        <v>292</v>
      </c>
      <c r="D7" s="102" t="str">
        <f>$D$6</f>
        <v>Transpharm Buyers</v>
      </c>
      <c r="E7" s="42"/>
      <c r="F7" s="42"/>
      <c r="G7" s="42"/>
      <c r="H7" s="42"/>
      <c r="I7" s="42"/>
      <c r="J7" s="42"/>
      <c r="K7" s="42"/>
      <c r="L7" s="42"/>
      <c r="M7" s="42"/>
      <c r="N7" s="42"/>
      <c r="O7" s="42"/>
      <c r="P7" s="42"/>
      <c r="Q7" s="42"/>
      <c r="R7" s="42"/>
      <c r="S7" s="42"/>
      <c r="T7" s="42"/>
      <c r="U7" s="42"/>
      <c r="V7" s="42"/>
      <c r="W7" s="42"/>
      <c r="X7" s="42"/>
      <c r="Y7" s="42"/>
      <c r="Z7" s="42"/>
    </row>
    <row r="8" spans="1:26" x14ac:dyDescent="0.25">
      <c r="A8" s="97" t="s">
        <v>293</v>
      </c>
      <c r="B8" s="98" t="s">
        <v>294</v>
      </c>
      <c r="C8" s="99" t="s">
        <v>295</v>
      </c>
      <c r="D8" s="100"/>
      <c r="E8" s="42"/>
      <c r="F8" s="42"/>
      <c r="G8" s="42"/>
      <c r="H8" s="42"/>
      <c r="I8" s="42"/>
      <c r="J8" s="42"/>
      <c r="K8" s="42"/>
      <c r="L8" s="42"/>
      <c r="M8" s="42"/>
      <c r="N8" s="42"/>
      <c r="O8" s="42"/>
      <c r="P8" s="42"/>
      <c r="Q8" s="42"/>
      <c r="R8" s="42"/>
      <c r="S8" s="42"/>
      <c r="T8" s="42"/>
      <c r="U8" s="42"/>
      <c r="V8" s="42"/>
      <c r="W8" s="42"/>
      <c r="X8" s="42"/>
      <c r="Y8" s="42"/>
      <c r="Z8" s="42"/>
    </row>
    <row r="9" spans="1:26" x14ac:dyDescent="0.25">
      <c r="A9" s="101" t="s">
        <v>296</v>
      </c>
      <c r="B9" s="102" t="s">
        <v>297</v>
      </c>
      <c r="C9" s="102" t="s">
        <v>298</v>
      </c>
      <c r="D9" s="102" t="s">
        <v>299</v>
      </c>
      <c r="E9" s="42"/>
      <c r="F9" s="42"/>
      <c r="G9" s="42"/>
      <c r="H9" s="42"/>
      <c r="I9" s="42"/>
      <c r="J9" s="42"/>
      <c r="K9" s="42"/>
      <c r="L9" s="42"/>
      <c r="M9" s="42"/>
      <c r="N9" s="42"/>
      <c r="O9" s="42"/>
      <c r="P9" s="42"/>
      <c r="Q9" s="42"/>
      <c r="R9" s="42"/>
      <c r="S9" s="42"/>
      <c r="T9" s="42"/>
      <c r="U9" s="42"/>
      <c r="V9" s="42"/>
      <c r="W9" s="42"/>
      <c r="X9" s="42"/>
      <c r="Y9" s="42"/>
      <c r="Z9" s="42"/>
    </row>
    <row r="10" spans="1:26" x14ac:dyDescent="0.25">
      <c r="A10" s="97" t="s">
        <v>300</v>
      </c>
      <c r="B10" s="98" t="s">
        <v>301</v>
      </c>
      <c r="C10" s="99" t="s">
        <v>302</v>
      </c>
      <c r="D10" s="100"/>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1" t="s">
        <v>303</v>
      </c>
      <c r="B11" s="102" t="s">
        <v>304</v>
      </c>
      <c r="C11" s="102" t="s">
        <v>305</v>
      </c>
      <c r="D11" s="102" t="s">
        <v>306</v>
      </c>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97" t="s">
        <v>307</v>
      </c>
      <c r="B12" s="98" t="s">
        <v>308</v>
      </c>
      <c r="C12" s="99" t="s">
        <v>309</v>
      </c>
      <c r="D12" s="100"/>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1" t="s">
        <v>310</v>
      </c>
      <c r="B13" s="102" t="s">
        <v>311</v>
      </c>
      <c r="C13" s="102" t="s">
        <v>312</v>
      </c>
      <c r="D13" s="102" t="s">
        <v>313</v>
      </c>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1" t="s">
        <v>314</v>
      </c>
      <c r="B14" s="102" t="s">
        <v>315</v>
      </c>
      <c r="C14" s="102" t="s">
        <v>316</v>
      </c>
      <c r="D14" s="102" t="str">
        <f>$D$13</f>
        <v>Shoprite IT</v>
      </c>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97" t="s">
        <v>317</v>
      </c>
      <c r="B15" s="98" t="s">
        <v>318</v>
      </c>
      <c r="C15" s="99" t="s">
        <v>319</v>
      </c>
      <c r="D15" s="100"/>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1" t="s">
        <v>320</v>
      </c>
      <c r="B16" s="102" t="s">
        <v>321</v>
      </c>
      <c r="C16" s="102" t="s">
        <v>322</v>
      </c>
      <c r="D16" s="102" t="s">
        <v>323</v>
      </c>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1" t="s">
        <v>324</v>
      </c>
      <c r="B17" s="102" t="s">
        <v>325</v>
      </c>
      <c r="C17" s="102" t="s">
        <v>326</v>
      </c>
      <c r="D17" s="102" t="str">
        <f>D16</f>
        <v>Transpharm Finance</v>
      </c>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97" t="s">
        <v>327</v>
      </c>
      <c r="B18" s="98" t="s">
        <v>328</v>
      </c>
      <c r="C18" s="99" t="s">
        <v>329</v>
      </c>
      <c r="D18" s="100"/>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1" t="s">
        <v>330</v>
      </c>
      <c r="B19" s="102" t="s">
        <v>331</v>
      </c>
      <c r="C19" s="102" t="s">
        <v>332</v>
      </c>
      <c r="D19" s="102" t="s">
        <v>333</v>
      </c>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1" t="s">
        <v>334</v>
      </c>
      <c r="B20" s="102" t="s">
        <v>335</v>
      </c>
      <c r="C20" s="102" t="s">
        <v>336</v>
      </c>
      <c r="D20" s="102" t="str">
        <f>D19</f>
        <v>Transpharm HR</v>
      </c>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1"/>
      <c r="B21" s="102"/>
      <c r="C21" s="102"/>
      <c r="D21" s="102"/>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97"/>
      <c r="B22" s="98"/>
      <c r="C22" s="99"/>
      <c r="D22" s="99"/>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1"/>
      <c r="B23" s="102"/>
      <c r="C23" s="102"/>
      <c r="D23" s="102"/>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1"/>
      <c r="B24" s="102"/>
      <c r="C24" s="102"/>
      <c r="D24" s="102"/>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42"/>
      <c r="B25" s="35"/>
      <c r="C25" s="35"/>
      <c r="D25" s="35"/>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42"/>
      <c r="B26" s="35"/>
      <c r="C26" s="35"/>
      <c r="D26" s="35"/>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42"/>
      <c r="B27" s="35"/>
      <c r="C27" s="35"/>
      <c r="D27" s="35"/>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42"/>
      <c r="B28" s="35"/>
      <c r="C28" s="35"/>
      <c r="D28" s="35"/>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42"/>
      <c r="B29" s="35"/>
      <c r="C29" s="35"/>
      <c r="D29" s="35"/>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42"/>
      <c r="B30" s="35"/>
      <c r="C30" s="35"/>
      <c r="D30" s="35"/>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42"/>
      <c r="B31" s="35"/>
      <c r="C31" s="35"/>
      <c r="D31" s="35"/>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42"/>
      <c r="B32" s="35"/>
      <c r="C32" s="35"/>
      <c r="D32" s="35"/>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42"/>
      <c r="B33" s="35"/>
      <c r="C33" s="35"/>
      <c r="D33" s="35"/>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42"/>
      <c r="B34" s="35"/>
      <c r="C34" s="35"/>
      <c r="D34" s="35"/>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42"/>
      <c r="B35" s="35"/>
      <c r="C35" s="35"/>
      <c r="D35" s="35"/>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42"/>
      <c r="B36" s="35"/>
      <c r="C36" s="35"/>
      <c r="D36" s="35"/>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42"/>
      <c r="B37" s="35"/>
      <c r="C37" s="35"/>
      <c r="D37" s="35"/>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42"/>
      <c r="B38" s="35"/>
      <c r="C38" s="35"/>
      <c r="D38" s="35"/>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42"/>
      <c r="B39" s="35"/>
      <c r="C39" s="35"/>
      <c r="D39" s="35"/>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42"/>
      <c r="B40" s="35"/>
      <c r="C40" s="35"/>
      <c r="D40" s="35"/>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42"/>
      <c r="B41" s="35"/>
      <c r="C41" s="35"/>
      <c r="D41" s="35"/>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42"/>
      <c r="B42" s="35"/>
      <c r="C42" s="35"/>
      <c r="D42" s="35"/>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42"/>
      <c r="B43" s="35"/>
      <c r="C43" s="35"/>
      <c r="D43" s="35"/>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42"/>
      <c r="B44" s="35"/>
      <c r="C44" s="35"/>
      <c r="D44" s="35"/>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42"/>
      <c r="B45" s="35"/>
      <c r="C45" s="35"/>
      <c r="D45" s="35"/>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42"/>
      <c r="B46" s="35"/>
      <c r="C46" s="35"/>
      <c r="D46" s="35"/>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42"/>
      <c r="B47" s="35"/>
      <c r="C47" s="35"/>
      <c r="D47" s="35"/>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42"/>
      <c r="B48" s="35"/>
      <c r="C48" s="35"/>
      <c r="D48" s="35"/>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42"/>
      <c r="B49" s="35"/>
      <c r="C49" s="35"/>
      <c r="D49" s="35"/>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42"/>
      <c r="B50" s="35"/>
      <c r="C50" s="35"/>
      <c r="D50" s="35"/>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42"/>
      <c r="B51" s="35"/>
      <c r="C51" s="35"/>
      <c r="D51" s="35"/>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42"/>
      <c r="B52" s="35"/>
      <c r="C52" s="35"/>
      <c r="D52" s="35"/>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42"/>
      <c r="B53" s="35"/>
      <c r="C53" s="35"/>
      <c r="D53" s="35"/>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42"/>
      <c r="B54" s="35"/>
      <c r="C54" s="35"/>
      <c r="D54" s="35"/>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42"/>
      <c r="B55" s="35"/>
      <c r="C55" s="35"/>
      <c r="D55" s="35"/>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42"/>
      <c r="B56" s="35"/>
      <c r="C56" s="35"/>
      <c r="D56" s="35"/>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42"/>
      <c r="B57" s="35"/>
      <c r="C57" s="35"/>
      <c r="D57" s="35"/>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42"/>
      <c r="B58" s="35"/>
      <c r="C58" s="35"/>
      <c r="D58" s="35"/>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42"/>
      <c r="B59" s="35"/>
      <c r="C59" s="35"/>
      <c r="D59" s="35"/>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42"/>
      <c r="B60" s="35"/>
      <c r="C60" s="35"/>
      <c r="D60" s="35"/>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42"/>
      <c r="B61" s="35"/>
      <c r="C61" s="35"/>
      <c r="D61" s="35"/>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42"/>
      <c r="B62" s="35"/>
      <c r="C62" s="35"/>
      <c r="D62" s="35"/>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42"/>
      <c r="B63" s="35"/>
      <c r="C63" s="35"/>
      <c r="D63" s="35"/>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42"/>
      <c r="B64" s="35"/>
      <c r="C64" s="35"/>
      <c r="D64" s="35"/>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42"/>
      <c r="B65" s="35"/>
      <c r="C65" s="35"/>
      <c r="D65" s="35"/>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42"/>
      <c r="B66" s="35"/>
      <c r="C66" s="35"/>
      <c r="D66" s="35"/>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42"/>
      <c r="B67" s="35"/>
      <c r="C67" s="35"/>
      <c r="D67" s="35"/>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42"/>
      <c r="B68" s="35"/>
      <c r="C68" s="35"/>
      <c r="D68" s="35"/>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42"/>
      <c r="B69" s="35"/>
      <c r="C69" s="35"/>
      <c r="D69" s="35"/>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42"/>
      <c r="B70" s="35"/>
      <c r="C70" s="35"/>
      <c r="D70" s="35"/>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42"/>
      <c r="B71" s="35"/>
      <c r="C71" s="35"/>
      <c r="D71" s="35"/>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42"/>
      <c r="B72" s="35"/>
      <c r="C72" s="35"/>
      <c r="D72" s="35"/>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42"/>
      <c r="B73" s="35"/>
      <c r="C73" s="35"/>
      <c r="D73" s="35"/>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42"/>
      <c r="B74" s="35"/>
      <c r="C74" s="35"/>
      <c r="D74" s="35"/>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42"/>
      <c r="B75" s="35"/>
      <c r="C75" s="35"/>
      <c r="D75" s="35"/>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42"/>
      <c r="B76" s="35"/>
      <c r="C76" s="35"/>
      <c r="D76" s="35"/>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42"/>
      <c r="B77" s="35"/>
      <c r="C77" s="35"/>
      <c r="D77" s="35"/>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42"/>
      <c r="B78" s="35"/>
      <c r="C78" s="35"/>
      <c r="D78" s="35"/>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42"/>
      <c r="B79" s="35"/>
      <c r="C79" s="35"/>
      <c r="D79" s="35"/>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42"/>
      <c r="B80" s="35"/>
      <c r="C80" s="35"/>
      <c r="D80" s="35"/>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42"/>
      <c r="B81" s="35"/>
      <c r="C81" s="35"/>
      <c r="D81" s="35"/>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42"/>
      <c r="B82" s="35"/>
      <c r="C82" s="35"/>
      <c r="D82" s="35"/>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42"/>
      <c r="B83" s="35"/>
      <c r="C83" s="35"/>
      <c r="D83" s="35"/>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42"/>
      <c r="B84" s="35"/>
      <c r="C84" s="35"/>
      <c r="D84" s="35"/>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42"/>
      <c r="B85" s="35"/>
      <c r="C85" s="35"/>
      <c r="D85" s="35"/>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42"/>
      <c r="B86" s="35"/>
      <c r="C86" s="35"/>
      <c r="D86" s="35"/>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42"/>
      <c r="B87" s="35"/>
      <c r="C87" s="35"/>
      <c r="D87" s="35"/>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42"/>
      <c r="B88" s="35"/>
      <c r="C88" s="35"/>
      <c r="D88" s="35"/>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42"/>
      <c r="B89" s="35"/>
      <c r="C89" s="35"/>
      <c r="D89" s="35"/>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42"/>
      <c r="B90" s="35"/>
      <c r="C90" s="35"/>
      <c r="D90" s="35"/>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42"/>
      <c r="B91" s="35"/>
      <c r="C91" s="35"/>
      <c r="D91" s="35"/>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42"/>
      <c r="B92" s="35"/>
      <c r="C92" s="35"/>
      <c r="D92" s="35"/>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42"/>
      <c r="B93" s="35"/>
      <c r="C93" s="35"/>
      <c r="D93" s="35"/>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42"/>
      <c r="B94" s="35"/>
      <c r="C94" s="35"/>
      <c r="D94" s="35"/>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42"/>
      <c r="B95" s="35"/>
      <c r="C95" s="35"/>
      <c r="D95" s="35"/>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42"/>
      <c r="B96" s="35"/>
      <c r="C96" s="35"/>
      <c r="D96" s="35"/>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42"/>
      <c r="B97" s="35"/>
      <c r="C97" s="35"/>
      <c r="D97" s="35"/>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42"/>
      <c r="B98" s="35"/>
      <c r="C98" s="35"/>
      <c r="D98" s="35"/>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42"/>
      <c r="B99" s="35"/>
      <c r="C99" s="35"/>
      <c r="D99" s="35"/>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42"/>
      <c r="B100" s="35"/>
      <c r="C100" s="35"/>
      <c r="D100" s="35"/>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42"/>
      <c r="B101" s="35"/>
      <c r="C101" s="35"/>
      <c r="D101" s="35"/>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42"/>
      <c r="B102" s="35"/>
      <c r="C102" s="35"/>
      <c r="D102" s="35"/>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42"/>
      <c r="B103" s="35"/>
      <c r="C103" s="35"/>
      <c r="D103" s="35"/>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42"/>
      <c r="B104" s="35"/>
      <c r="C104" s="35"/>
      <c r="D104" s="35"/>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42"/>
      <c r="B105" s="35"/>
      <c r="C105" s="35"/>
      <c r="D105" s="35"/>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42"/>
      <c r="B106" s="35"/>
      <c r="C106" s="35"/>
      <c r="D106" s="35"/>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42"/>
      <c r="B107" s="35"/>
      <c r="C107" s="35"/>
      <c r="D107" s="35"/>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42"/>
      <c r="B108" s="35"/>
      <c r="C108" s="35"/>
      <c r="D108" s="35"/>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42"/>
      <c r="B109" s="35"/>
      <c r="C109" s="35"/>
      <c r="D109" s="35"/>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42"/>
      <c r="B110" s="35"/>
      <c r="C110" s="35"/>
      <c r="D110" s="35"/>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42"/>
      <c r="B111" s="35"/>
      <c r="C111" s="35"/>
      <c r="D111" s="35"/>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42"/>
      <c r="B112" s="35"/>
      <c r="C112" s="35"/>
      <c r="D112" s="35"/>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42"/>
      <c r="B113" s="35"/>
      <c r="C113" s="35"/>
      <c r="D113" s="35"/>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42"/>
      <c r="B114" s="35"/>
      <c r="C114" s="35"/>
      <c r="D114" s="35"/>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42"/>
      <c r="B115" s="35"/>
      <c r="C115" s="35"/>
      <c r="D115" s="35"/>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42"/>
      <c r="B116" s="35"/>
      <c r="C116" s="35"/>
      <c r="D116" s="35"/>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42"/>
      <c r="B117" s="35"/>
      <c r="C117" s="35"/>
      <c r="D117" s="35"/>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42"/>
      <c r="B118" s="35"/>
      <c r="C118" s="35"/>
      <c r="D118" s="35"/>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42"/>
      <c r="B119" s="35"/>
      <c r="C119" s="35"/>
      <c r="D119" s="35"/>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42"/>
      <c r="B120" s="35"/>
      <c r="C120" s="35"/>
      <c r="D120" s="35"/>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42"/>
      <c r="B121" s="35"/>
      <c r="C121" s="35"/>
      <c r="D121" s="35"/>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42"/>
      <c r="B122" s="35"/>
      <c r="C122" s="35"/>
      <c r="D122" s="35"/>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42"/>
      <c r="B123" s="35"/>
      <c r="C123" s="35"/>
      <c r="D123" s="35"/>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42"/>
      <c r="B124" s="35"/>
      <c r="C124" s="35"/>
      <c r="D124" s="35"/>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42"/>
      <c r="B125" s="35"/>
      <c r="C125" s="35"/>
      <c r="D125" s="35"/>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42"/>
      <c r="B126" s="35"/>
      <c r="C126" s="35"/>
      <c r="D126" s="35"/>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42"/>
      <c r="B127" s="35"/>
      <c r="C127" s="35"/>
      <c r="D127" s="35"/>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42"/>
      <c r="B128" s="35"/>
      <c r="C128" s="35"/>
      <c r="D128" s="35"/>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42"/>
      <c r="B129" s="35"/>
      <c r="C129" s="35"/>
      <c r="D129" s="35"/>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42"/>
      <c r="B130" s="35"/>
      <c r="C130" s="35"/>
      <c r="D130" s="35"/>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42"/>
      <c r="B131" s="35"/>
      <c r="C131" s="35"/>
      <c r="D131" s="35"/>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42"/>
      <c r="B132" s="35"/>
      <c r="C132" s="35"/>
      <c r="D132" s="35"/>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42"/>
      <c r="B133" s="35"/>
      <c r="C133" s="35"/>
      <c r="D133" s="35"/>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42"/>
      <c r="B134" s="35"/>
      <c r="C134" s="35"/>
      <c r="D134" s="35"/>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42"/>
      <c r="B135" s="35"/>
      <c r="C135" s="35"/>
      <c r="D135" s="35"/>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42"/>
      <c r="B136" s="35"/>
      <c r="C136" s="35"/>
      <c r="D136" s="35"/>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42"/>
      <c r="B137" s="35"/>
      <c r="C137" s="35"/>
      <c r="D137" s="35"/>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42"/>
      <c r="B138" s="35"/>
      <c r="C138" s="35"/>
      <c r="D138" s="35"/>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42"/>
      <c r="B139" s="35"/>
      <c r="C139" s="35"/>
      <c r="D139" s="35"/>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42"/>
      <c r="B140" s="35"/>
      <c r="C140" s="35"/>
      <c r="D140" s="35"/>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42"/>
      <c r="B141" s="35"/>
      <c r="C141" s="35"/>
      <c r="D141" s="35"/>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42"/>
      <c r="B142" s="35"/>
      <c r="C142" s="35"/>
      <c r="D142" s="35"/>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42"/>
      <c r="B143" s="35"/>
      <c r="C143" s="35"/>
      <c r="D143" s="35"/>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42"/>
      <c r="B144" s="35"/>
      <c r="C144" s="35"/>
      <c r="D144" s="35"/>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42"/>
      <c r="B145" s="35"/>
      <c r="C145" s="35"/>
      <c r="D145" s="35"/>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42"/>
      <c r="B146" s="35"/>
      <c r="C146" s="35"/>
      <c r="D146" s="35"/>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42"/>
      <c r="B147" s="35"/>
      <c r="C147" s="35"/>
      <c r="D147" s="35"/>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42"/>
      <c r="B148" s="35"/>
      <c r="C148" s="35"/>
      <c r="D148" s="35"/>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42"/>
      <c r="B149" s="35"/>
      <c r="C149" s="35"/>
      <c r="D149" s="35"/>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42"/>
      <c r="B150" s="35"/>
      <c r="C150" s="35"/>
      <c r="D150" s="35"/>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42"/>
      <c r="B151" s="35"/>
      <c r="C151" s="35"/>
      <c r="D151" s="35"/>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42"/>
      <c r="B152" s="35"/>
      <c r="C152" s="35"/>
      <c r="D152" s="35"/>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42"/>
      <c r="B153" s="35"/>
      <c r="C153" s="35"/>
      <c r="D153" s="35"/>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42"/>
      <c r="B154" s="35"/>
      <c r="C154" s="35"/>
      <c r="D154" s="35"/>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42"/>
      <c r="B155" s="35"/>
      <c r="C155" s="35"/>
      <c r="D155" s="35"/>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42"/>
      <c r="B156" s="35"/>
      <c r="C156" s="35"/>
      <c r="D156" s="35"/>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42"/>
      <c r="B157" s="35"/>
      <c r="C157" s="35"/>
      <c r="D157" s="35"/>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42"/>
      <c r="B158" s="35"/>
      <c r="C158" s="35"/>
      <c r="D158" s="35"/>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42"/>
      <c r="B159" s="35"/>
      <c r="C159" s="35"/>
      <c r="D159" s="35"/>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42"/>
      <c r="B160" s="35"/>
      <c r="C160" s="35"/>
      <c r="D160" s="35"/>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42"/>
      <c r="B161" s="35"/>
      <c r="C161" s="35"/>
      <c r="D161" s="35"/>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42"/>
      <c r="B162" s="35"/>
      <c r="C162" s="35"/>
      <c r="D162" s="35"/>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42"/>
      <c r="B163" s="35"/>
      <c r="C163" s="35"/>
      <c r="D163" s="35"/>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42"/>
      <c r="B164" s="35"/>
      <c r="C164" s="35"/>
      <c r="D164" s="35"/>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42"/>
      <c r="B165" s="35"/>
      <c r="C165" s="35"/>
      <c r="D165" s="35"/>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42"/>
      <c r="B166" s="35"/>
      <c r="C166" s="35"/>
      <c r="D166" s="35"/>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42"/>
      <c r="B167" s="35"/>
      <c r="C167" s="35"/>
      <c r="D167" s="35"/>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42"/>
      <c r="B168" s="35"/>
      <c r="C168" s="35"/>
      <c r="D168" s="35"/>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42"/>
      <c r="B169" s="35"/>
      <c r="C169" s="35"/>
      <c r="D169" s="35"/>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42"/>
      <c r="B170" s="35"/>
      <c r="C170" s="35"/>
      <c r="D170" s="35"/>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42"/>
      <c r="B171" s="35"/>
      <c r="C171" s="35"/>
      <c r="D171" s="35"/>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42"/>
      <c r="B172" s="35"/>
      <c r="C172" s="35"/>
      <c r="D172" s="35"/>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42"/>
      <c r="B173" s="35"/>
      <c r="C173" s="35"/>
      <c r="D173" s="35"/>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42"/>
      <c r="B174" s="35"/>
      <c r="C174" s="35"/>
      <c r="D174" s="35"/>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42"/>
      <c r="B175" s="35"/>
      <c r="C175" s="35"/>
      <c r="D175" s="35"/>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42"/>
      <c r="B176" s="35"/>
      <c r="C176" s="35"/>
      <c r="D176" s="35"/>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42"/>
      <c r="B177" s="35"/>
      <c r="C177" s="35"/>
      <c r="D177" s="35"/>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42"/>
      <c r="B178" s="35"/>
      <c r="C178" s="35"/>
      <c r="D178" s="35"/>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42"/>
      <c r="B179" s="35"/>
      <c r="C179" s="35"/>
      <c r="D179" s="35"/>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42"/>
      <c r="B180" s="35"/>
      <c r="C180" s="35"/>
      <c r="D180" s="35"/>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42"/>
      <c r="B181" s="35"/>
      <c r="C181" s="35"/>
      <c r="D181" s="35"/>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42"/>
      <c r="B182" s="35"/>
      <c r="C182" s="35"/>
      <c r="D182" s="35"/>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42"/>
      <c r="B183" s="35"/>
      <c r="C183" s="35"/>
      <c r="D183" s="35"/>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42"/>
      <c r="B184" s="35"/>
      <c r="C184" s="35"/>
      <c r="D184" s="35"/>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42"/>
      <c r="B185" s="35"/>
      <c r="C185" s="35"/>
      <c r="D185" s="35"/>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42"/>
      <c r="B186" s="35"/>
      <c r="C186" s="35"/>
      <c r="D186" s="35"/>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42"/>
      <c r="B187" s="35"/>
      <c r="C187" s="35"/>
      <c r="D187" s="35"/>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42"/>
      <c r="B188" s="35"/>
      <c r="C188" s="35"/>
      <c r="D188" s="35"/>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42"/>
      <c r="B189" s="35"/>
      <c r="C189" s="35"/>
      <c r="D189" s="35"/>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42"/>
      <c r="B190" s="35"/>
      <c r="C190" s="35"/>
      <c r="D190" s="35"/>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42"/>
      <c r="B191" s="35"/>
      <c r="C191" s="35"/>
      <c r="D191" s="35"/>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42"/>
      <c r="B192" s="35"/>
      <c r="C192" s="35"/>
      <c r="D192" s="35"/>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42"/>
      <c r="B193" s="35"/>
      <c r="C193" s="35"/>
      <c r="D193" s="35"/>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42"/>
      <c r="B194" s="35"/>
      <c r="C194" s="35"/>
      <c r="D194" s="35"/>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42"/>
      <c r="B195" s="35"/>
      <c r="C195" s="35"/>
      <c r="D195" s="35"/>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42"/>
      <c r="B196" s="35"/>
      <c r="C196" s="35"/>
      <c r="D196" s="35"/>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42"/>
      <c r="B197" s="35"/>
      <c r="C197" s="35"/>
      <c r="D197" s="35"/>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42"/>
      <c r="B198" s="35"/>
      <c r="C198" s="35"/>
      <c r="D198" s="35"/>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42"/>
      <c r="B199" s="35"/>
      <c r="C199" s="35"/>
      <c r="D199" s="35"/>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42"/>
      <c r="B200" s="35"/>
      <c r="C200" s="35"/>
      <c r="D200" s="35"/>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42"/>
      <c r="B201" s="35"/>
      <c r="C201" s="35"/>
      <c r="D201" s="35"/>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42"/>
      <c r="B202" s="35"/>
      <c r="C202" s="35"/>
      <c r="D202" s="35"/>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42"/>
      <c r="B203" s="35"/>
      <c r="C203" s="35"/>
      <c r="D203" s="35"/>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42"/>
      <c r="B204" s="35"/>
      <c r="C204" s="35"/>
      <c r="D204" s="35"/>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42"/>
      <c r="B205" s="35"/>
      <c r="C205" s="35"/>
      <c r="D205" s="35"/>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42"/>
      <c r="B206" s="35"/>
      <c r="C206" s="35"/>
      <c r="D206" s="35"/>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42"/>
      <c r="B207" s="35"/>
      <c r="C207" s="35"/>
      <c r="D207" s="35"/>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42"/>
      <c r="B208" s="35"/>
      <c r="C208" s="35"/>
      <c r="D208" s="35"/>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42"/>
      <c r="B209" s="35"/>
      <c r="C209" s="35"/>
      <c r="D209" s="35"/>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42"/>
      <c r="B210" s="35"/>
      <c r="C210" s="35"/>
      <c r="D210" s="35"/>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42"/>
      <c r="B211" s="35"/>
      <c r="C211" s="35"/>
      <c r="D211" s="35"/>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42"/>
      <c r="B212" s="35"/>
      <c r="C212" s="35"/>
      <c r="D212" s="35"/>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42"/>
      <c r="B213" s="35"/>
      <c r="C213" s="35"/>
      <c r="D213" s="35"/>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42"/>
      <c r="B214" s="35"/>
      <c r="C214" s="35"/>
      <c r="D214" s="35"/>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42"/>
      <c r="B215" s="35"/>
      <c r="C215" s="35"/>
      <c r="D215" s="35"/>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42"/>
      <c r="B216" s="35"/>
      <c r="C216" s="35"/>
      <c r="D216" s="35"/>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42"/>
      <c r="B217" s="35"/>
      <c r="C217" s="35"/>
      <c r="D217" s="35"/>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42"/>
      <c r="B218" s="35"/>
      <c r="C218" s="35"/>
      <c r="D218" s="35"/>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42"/>
      <c r="B219" s="35"/>
      <c r="C219" s="35"/>
      <c r="D219" s="35"/>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42"/>
      <c r="B220" s="35"/>
      <c r="C220" s="35"/>
      <c r="D220" s="35"/>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42"/>
      <c r="B221" s="35"/>
      <c r="C221" s="35"/>
      <c r="D221" s="35"/>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42"/>
      <c r="B222" s="35"/>
      <c r="C222" s="35"/>
      <c r="D222" s="35"/>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42"/>
      <c r="B223" s="35"/>
      <c r="C223" s="35"/>
      <c r="D223" s="35"/>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42"/>
      <c r="B224" s="35"/>
      <c r="C224" s="35"/>
      <c r="D224" s="35"/>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42"/>
      <c r="B225" s="35"/>
      <c r="C225" s="35"/>
      <c r="D225" s="35"/>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42"/>
      <c r="B226" s="35"/>
      <c r="C226" s="35"/>
      <c r="D226" s="35"/>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42"/>
      <c r="B227" s="35"/>
      <c r="C227" s="35"/>
      <c r="D227" s="35"/>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42"/>
      <c r="B228" s="35"/>
      <c r="C228" s="35"/>
      <c r="D228" s="35"/>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42"/>
      <c r="B229" s="35"/>
      <c r="C229" s="35"/>
      <c r="D229" s="35"/>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42"/>
      <c r="B230" s="35"/>
      <c r="C230" s="35"/>
      <c r="D230" s="35"/>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42"/>
      <c r="B231" s="35"/>
      <c r="C231" s="35"/>
      <c r="D231" s="35"/>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42"/>
      <c r="B232" s="35"/>
      <c r="C232" s="35"/>
      <c r="D232" s="35"/>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42"/>
      <c r="B233" s="35"/>
      <c r="C233" s="35"/>
      <c r="D233" s="35"/>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42"/>
      <c r="B234" s="35"/>
      <c r="C234" s="35"/>
      <c r="D234" s="35"/>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42"/>
      <c r="B235" s="35"/>
      <c r="C235" s="35"/>
      <c r="D235" s="35"/>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42"/>
      <c r="B236" s="35"/>
      <c r="C236" s="35"/>
      <c r="D236" s="35"/>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42"/>
      <c r="B237" s="35"/>
      <c r="C237" s="35"/>
      <c r="D237" s="35"/>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42"/>
      <c r="B238" s="35"/>
      <c r="C238" s="35"/>
      <c r="D238" s="35"/>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42"/>
      <c r="B239" s="35"/>
      <c r="C239" s="35"/>
      <c r="D239" s="35"/>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42"/>
      <c r="B240" s="35"/>
      <c r="C240" s="35"/>
      <c r="D240" s="35"/>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42"/>
      <c r="B241" s="35"/>
      <c r="C241" s="35"/>
      <c r="D241" s="35"/>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42"/>
      <c r="B242" s="35"/>
      <c r="C242" s="35"/>
      <c r="D242" s="35"/>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42"/>
      <c r="B243" s="35"/>
      <c r="C243" s="35"/>
      <c r="D243" s="35"/>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42"/>
      <c r="B244" s="35"/>
      <c r="C244" s="35"/>
      <c r="D244" s="35"/>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42"/>
      <c r="B245" s="35"/>
      <c r="C245" s="35"/>
      <c r="D245" s="35"/>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42"/>
      <c r="B246" s="35"/>
      <c r="C246" s="35"/>
      <c r="D246" s="35"/>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42"/>
      <c r="B247" s="35"/>
      <c r="C247" s="35"/>
      <c r="D247" s="35"/>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42"/>
      <c r="B248" s="35"/>
      <c r="C248" s="35"/>
      <c r="D248" s="35"/>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42"/>
      <c r="B249" s="35"/>
      <c r="C249" s="35"/>
      <c r="D249" s="35"/>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42"/>
      <c r="B250" s="35"/>
      <c r="C250" s="35"/>
      <c r="D250" s="35"/>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42"/>
      <c r="B251" s="35"/>
      <c r="C251" s="35"/>
      <c r="D251" s="35"/>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42"/>
      <c r="B252" s="35"/>
      <c r="C252" s="35"/>
      <c r="D252" s="35"/>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42"/>
      <c r="B253" s="35"/>
      <c r="C253" s="35"/>
      <c r="D253" s="35"/>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42"/>
      <c r="B254" s="35"/>
      <c r="C254" s="35"/>
      <c r="D254" s="35"/>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42"/>
      <c r="B255" s="35"/>
      <c r="C255" s="35"/>
      <c r="D255" s="35"/>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42"/>
      <c r="B256" s="35"/>
      <c r="C256" s="35"/>
      <c r="D256" s="35"/>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42"/>
      <c r="B257" s="35"/>
      <c r="C257" s="35"/>
      <c r="D257" s="35"/>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42"/>
      <c r="B258" s="35"/>
      <c r="C258" s="35"/>
      <c r="D258" s="35"/>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42"/>
      <c r="B259" s="35"/>
      <c r="C259" s="35"/>
      <c r="D259" s="35"/>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42"/>
      <c r="B260" s="35"/>
      <c r="C260" s="35"/>
      <c r="D260" s="35"/>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42"/>
      <c r="B261" s="35"/>
      <c r="C261" s="35"/>
      <c r="D261" s="35"/>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42"/>
      <c r="B262" s="35"/>
      <c r="C262" s="35"/>
      <c r="D262" s="35"/>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42"/>
      <c r="B263" s="35"/>
      <c r="C263" s="35"/>
      <c r="D263" s="35"/>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42"/>
      <c r="B264" s="35"/>
      <c r="C264" s="35"/>
      <c r="D264" s="35"/>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42"/>
      <c r="B265" s="35"/>
      <c r="C265" s="35"/>
      <c r="D265" s="35"/>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42"/>
      <c r="B266" s="35"/>
      <c r="C266" s="35"/>
      <c r="D266" s="35"/>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42"/>
      <c r="B267" s="35"/>
      <c r="C267" s="35"/>
      <c r="D267" s="35"/>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42"/>
      <c r="B268" s="35"/>
      <c r="C268" s="35"/>
      <c r="D268" s="35"/>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42"/>
      <c r="B269" s="35"/>
      <c r="C269" s="35"/>
      <c r="D269" s="35"/>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42"/>
      <c r="B270" s="35"/>
      <c r="C270" s="35"/>
      <c r="D270" s="35"/>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42"/>
      <c r="B271" s="35"/>
      <c r="C271" s="35"/>
      <c r="D271" s="35"/>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42"/>
      <c r="B272" s="35"/>
      <c r="C272" s="35"/>
      <c r="D272" s="35"/>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42"/>
      <c r="B273" s="35"/>
      <c r="C273" s="35"/>
      <c r="D273" s="35"/>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42"/>
      <c r="B274" s="35"/>
      <c r="C274" s="35"/>
      <c r="D274" s="35"/>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42"/>
      <c r="B275" s="35"/>
      <c r="C275" s="35"/>
      <c r="D275" s="35"/>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42"/>
      <c r="B276" s="35"/>
      <c r="C276" s="35"/>
      <c r="D276" s="35"/>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42"/>
      <c r="B277" s="35"/>
      <c r="C277" s="35"/>
      <c r="D277" s="35"/>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42"/>
      <c r="B278" s="35"/>
      <c r="C278" s="35"/>
      <c r="D278" s="35"/>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42"/>
      <c r="B279" s="35"/>
      <c r="C279" s="35"/>
      <c r="D279" s="35"/>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42"/>
      <c r="B280" s="35"/>
      <c r="C280" s="35"/>
      <c r="D280" s="35"/>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42"/>
      <c r="B281" s="35"/>
      <c r="C281" s="35"/>
      <c r="D281" s="35"/>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42"/>
      <c r="B282" s="35"/>
      <c r="C282" s="35"/>
      <c r="D282" s="35"/>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42"/>
      <c r="B283" s="35"/>
      <c r="C283" s="35"/>
      <c r="D283" s="35"/>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42"/>
      <c r="B284" s="35"/>
      <c r="C284" s="35"/>
      <c r="D284" s="35"/>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42"/>
      <c r="B285" s="35"/>
      <c r="C285" s="35"/>
      <c r="D285" s="35"/>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42"/>
      <c r="B286" s="35"/>
      <c r="C286" s="35"/>
      <c r="D286" s="35"/>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42"/>
      <c r="B287" s="35"/>
      <c r="C287" s="35"/>
      <c r="D287" s="35"/>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42"/>
      <c r="B288" s="35"/>
      <c r="C288" s="35"/>
      <c r="D288" s="35"/>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42"/>
      <c r="B289" s="35"/>
      <c r="C289" s="35"/>
      <c r="D289" s="35"/>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42"/>
      <c r="B290" s="35"/>
      <c r="C290" s="35"/>
      <c r="D290" s="35"/>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42"/>
      <c r="B291" s="35"/>
      <c r="C291" s="35"/>
      <c r="D291" s="35"/>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42"/>
      <c r="B292" s="35"/>
      <c r="C292" s="35"/>
      <c r="D292" s="35"/>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42"/>
      <c r="B293" s="35"/>
      <c r="C293" s="35"/>
      <c r="D293" s="35"/>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42"/>
      <c r="B294" s="35"/>
      <c r="C294" s="35"/>
      <c r="D294" s="35"/>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42"/>
      <c r="B295" s="35"/>
      <c r="C295" s="35"/>
      <c r="D295" s="35"/>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42"/>
      <c r="B296" s="35"/>
      <c r="C296" s="35"/>
      <c r="D296" s="35"/>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42"/>
      <c r="B297" s="35"/>
      <c r="C297" s="35"/>
      <c r="D297" s="35"/>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42"/>
      <c r="B298" s="35"/>
      <c r="C298" s="35"/>
      <c r="D298" s="35"/>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42"/>
      <c r="B299" s="35"/>
      <c r="C299" s="35"/>
      <c r="D299" s="35"/>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42"/>
      <c r="B300" s="35"/>
      <c r="C300" s="35"/>
      <c r="D300" s="35"/>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42"/>
      <c r="B301" s="35"/>
      <c r="C301" s="35"/>
      <c r="D301" s="35"/>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42"/>
      <c r="B302" s="35"/>
      <c r="C302" s="35"/>
      <c r="D302" s="35"/>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42"/>
      <c r="B303" s="35"/>
      <c r="C303" s="35"/>
      <c r="D303" s="35"/>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42"/>
      <c r="B304" s="35"/>
      <c r="C304" s="35"/>
      <c r="D304" s="35"/>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42"/>
      <c r="B305" s="35"/>
      <c r="C305" s="35"/>
      <c r="D305" s="35"/>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42"/>
      <c r="B306" s="35"/>
      <c r="C306" s="35"/>
      <c r="D306" s="35"/>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42"/>
      <c r="B307" s="35"/>
      <c r="C307" s="35"/>
      <c r="D307" s="35"/>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42"/>
      <c r="B308" s="35"/>
      <c r="C308" s="35"/>
      <c r="D308" s="35"/>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42"/>
      <c r="B309" s="35"/>
      <c r="C309" s="35"/>
      <c r="D309" s="35"/>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42"/>
      <c r="B310" s="35"/>
      <c r="C310" s="35"/>
      <c r="D310" s="35"/>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42"/>
      <c r="B311" s="35"/>
      <c r="C311" s="35"/>
      <c r="D311" s="35"/>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42"/>
      <c r="B312" s="35"/>
      <c r="C312" s="35"/>
      <c r="D312" s="35"/>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42"/>
      <c r="B313" s="35"/>
      <c r="C313" s="35"/>
      <c r="D313" s="35"/>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42"/>
      <c r="B314" s="35"/>
      <c r="C314" s="35"/>
      <c r="D314" s="35"/>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42"/>
      <c r="B315" s="35"/>
      <c r="C315" s="35"/>
      <c r="D315" s="35"/>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42"/>
      <c r="B316" s="35"/>
      <c r="C316" s="35"/>
      <c r="D316" s="35"/>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42"/>
      <c r="B317" s="35"/>
      <c r="C317" s="35"/>
      <c r="D317" s="35"/>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42"/>
      <c r="B318" s="35"/>
      <c r="C318" s="35"/>
      <c r="D318" s="35"/>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42"/>
      <c r="B319" s="35"/>
      <c r="C319" s="35"/>
      <c r="D319" s="35"/>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42"/>
      <c r="B320" s="35"/>
      <c r="C320" s="35"/>
      <c r="D320" s="35"/>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42"/>
      <c r="B321" s="35"/>
      <c r="C321" s="35"/>
      <c r="D321" s="35"/>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42"/>
      <c r="B322" s="35"/>
      <c r="C322" s="35"/>
      <c r="D322" s="35"/>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42"/>
      <c r="B323" s="35"/>
      <c r="C323" s="35"/>
      <c r="D323" s="35"/>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42"/>
      <c r="B324" s="35"/>
      <c r="C324" s="35"/>
      <c r="D324" s="35"/>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42"/>
      <c r="B325" s="35"/>
      <c r="C325" s="35"/>
      <c r="D325" s="35"/>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42"/>
      <c r="B326" s="35"/>
      <c r="C326" s="35"/>
      <c r="D326" s="35"/>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42"/>
      <c r="B327" s="35"/>
      <c r="C327" s="35"/>
      <c r="D327" s="35"/>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42"/>
      <c r="B328" s="35"/>
      <c r="C328" s="35"/>
      <c r="D328" s="35"/>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42"/>
      <c r="B329" s="35"/>
      <c r="C329" s="35"/>
      <c r="D329" s="35"/>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42"/>
      <c r="B330" s="35"/>
      <c r="C330" s="35"/>
      <c r="D330" s="35"/>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42"/>
      <c r="B331" s="35"/>
      <c r="C331" s="35"/>
      <c r="D331" s="35"/>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42"/>
      <c r="B332" s="35"/>
      <c r="C332" s="35"/>
      <c r="D332" s="35"/>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42"/>
      <c r="B333" s="35"/>
      <c r="C333" s="35"/>
      <c r="D333" s="35"/>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42"/>
      <c r="B334" s="35"/>
      <c r="C334" s="35"/>
      <c r="D334" s="35"/>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42"/>
      <c r="B335" s="35"/>
      <c r="C335" s="35"/>
      <c r="D335" s="35"/>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42"/>
      <c r="B336" s="35"/>
      <c r="C336" s="35"/>
      <c r="D336" s="35"/>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42"/>
      <c r="B337" s="35"/>
      <c r="C337" s="35"/>
      <c r="D337" s="35"/>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42"/>
      <c r="B338" s="35"/>
      <c r="C338" s="35"/>
      <c r="D338" s="35"/>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42"/>
      <c r="B339" s="35"/>
      <c r="C339" s="35"/>
      <c r="D339" s="35"/>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42"/>
      <c r="B340" s="35"/>
      <c r="C340" s="35"/>
      <c r="D340" s="35"/>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42"/>
      <c r="B341" s="35"/>
      <c r="C341" s="35"/>
      <c r="D341" s="35"/>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42"/>
      <c r="B342" s="35"/>
      <c r="C342" s="35"/>
      <c r="D342" s="35"/>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42"/>
      <c r="B343" s="35"/>
      <c r="C343" s="35"/>
      <c r="D343" s="35"/>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42"/>
      <c r="B344" s="35"/>
      <c r="C344" s="35"/>
      <c r="D344" s="35"/>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42"/>
      <c r="B345" s="35"/>
      <c r="C345" s="35"/>
      <c r="D345" s="35"/>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42"/>
      <c r="B346" s="35"/>
      <c r="C346" s="35"/>
      <c r="D346" s="35"/>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42"/>
      <c r="B347" s="35"/>
      <c r="C347" s="35"/>
      <c r="D347" s="35"/>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42"/>
      <c r="B348" s="35"/>
      <c r="C348" s="35"/>
      <c r="D348" s="35"/>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42"/>
      <c r="B349" s="35"/>
      <c r="C349" s="35"/>
      <c r="D349" s="35"/>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42"/>
      <c r="B350" s="35"/>
      <c r="C350" s="35"/>
      <c r="D350" s="35"/>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42"/>
      <c r="B351" s="35"/>
      <c r="C351" s="35"/>
      <c r="D351" s="35"/>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42"/>
      <c r="B352" s="35"/>
      <c r="C352" s="35"/>
      <c r="D352" s="35"/>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42"/>
      <c r="B353" s="35"/>
      <c r="C353" s="35"/>
      <c r="D353" s="35"/>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42"/>
      <c r="B354" s="35"/>
      <c r="C354" s="35"/>
      <c r="D354" s="35"/>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42"/>
      <c r="B355" s="35"/>
      <c r="C355" s="35"/>
      <c r="D355" s="35"/>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42"/>
      <c r="B356" s="35"/>
      <c r="C356" s="35"/>
      <c r="D356" s="35"/>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42"/>
      <c r="B357" s="35"/>
      <c r="C357" s="35"/>
      <c r="D357" s="35"/>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42"/>
      <c r="B358" s="35"/>
      <c r="C358" s="35"/>
      <c r="D358" s="35"/>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42"/>
      <c r="B359" s="35"/>
      <c r="C359" s="35"/>
      <c r="D359" s="35"/>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42"/>
      <c r="B360" s="35"/>
      <c r="C360" s="35"/>
      <c r="D360" s="35"/>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42"/>
      <c r="B361" s="35"/>
      <c r="C361" s="35"/>
      <c r="D361" s="35"/>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42"/>
      <c r="B362" s="35"/>
      <c r="C362" s="35"/>
      <c r="D362" s="35"/>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42"/>
      <c r="B363" s="35"/>
      <c r="C363" s="35"/>
      <c r="D363" s="35"/>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42"/>
      <c r="B364" s="35"/>
      <c r="C364" s="35"/>
      <c r="D364" s="35"/>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42"/>
      <c r="B365" s="35"/>
      <c r="C365" s="35"/>
      <c r="D365" s="35"/>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42"/>
      <c r="B366" s="35"/>
      <c r="C366" s="35"/>
      <c r="D366" s="35"/>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42"/>
      <c r="B367" s="35"/>
      <c r="C367" s="35"/>
      <c r="D367" s="35"/>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42"/>
      <c r="B368" s="35"/>
      <c r="C368" s="35"/>
      <c r="D368" s="35"/>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42"/>
      <c r="B369" s="35"/>
      <c r="C369" s="35"/>
      <c r="D369" s="35"/>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42"/>
      <c r="B370" s="35"/>
      <c r="C370" s="35"/>
      <c r="D370" s="35"/>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42"/>
      <c r="B371" s="35"/>
      <c r="C371" s="35"/>
      <c r="D371" s="35"/>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42"/>
      <c r="B372" s="35"/>
      <c r="C372" s="35"/>
      <c r="D372" s="35"/>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42"/>
      <c r="B373" s="35"/>
      <c r="C373" s="35"/>
      <c r="D373" s="35"/>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42"/>
      <c r="B374" s="35"/>
      <c r="C374" s="35"/>
      <c r="D374" s="35"/>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42"/>
      <c r="B375" s="35"/>
      <c r="C375" s="35"/>
      <c r="D375" s="35"/>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42"/>
      <c r="B376" s="35"/>
      <c r="C376" s="35"/>
      <c r="D376" s="35"/>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42"/>
      <c r="B377" s="35"/>
      <c r="C377" s="35"/>
      <c r="D377" s="35"/>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42"/>
      <c r="B378" s="35"/>
      <c r="C378" s="35"/>
      <c r="D378" s="35"/>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42"/>
      <c r="B379" s="35"/>
      <c r="C379" s="35"/>
      <c r="D379" s="35"/>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42"/>
      <c r="B380" s="35"/>
      <c r="C380" s="35"/>
      <c r="D380" s="35"/>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42"/>
      <c r="B381" s="35"/>
      <c r="C381" s="35"/>
      <c r="D381" s="35"/>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42"/>
      <c r="B382" s="35"/>
      <c r="C382" s="35"/>
      <c r="D382" s="35"/>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42"/>
      <c r="B383" s="35"/>
      <c r="C383" s="35"/>
      <c r="D383" s="35"/>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42"/>
      <c r="B384" s="35"/>
      <c r="C384" s="35"/>
      <c r="D384" s="35"/>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42"/>
      <c r="B385" s="35"/>
      <c r="C385" s="35"/>
      <c r="D385" s="35"/>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42"/>
      <c r="B386" s="35"/>
      <c r="C386" s="35"/>
      <c r="D386" s="35"/>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42"/>
      <c r="B387" s="35"/>
      <c r="C387" s="35"/>
      <c r="D387" s="35"/>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42"/>
      <c r="B388" s="35"/>
      <c r="C388" s="35"/>
      <c r="D388" s="35"/>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42"/>
      <c r="B389" s="35"/>
      <c r="C389" s="35"/>
      <c r="D389" s="35"/>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42"/>
      <c r="B390" s="35"/>
      <c r="C390" s="35"/>
      <c r="D390" s="35"/>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42"/>
      <c r="B391" s="35"/>
      <c r="C391" s="35"/>
      <c r="D391" s="35"/>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42"/>
      <c r="B392" s="35"/>
      <c r="C392" s="35"/>
      <c r="D392" s="35"/>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42"/>
      <c r="B393" s="35"/>
      <c r="C393" s="35"/>
      <c r="D393" s="35"/>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42"/>
      <c r="B394" s="35"/>
      <c r="C394" s="35"/>
      <c r="D394" s="35"/>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42"/>
      <c r="B395" s="35"/>
      <c r="C395" s="35"/>
      <c r="D395" s="35"/>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42"/>
      <c r="B396" s="35"/>
      <c r="C396" s="35"/>
      <c r="D396" s="35"/>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42"/>
      <c r="B397" s="35"/>
      <c r="C397" s="35"/>
      <c r="D397" s="35"/>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42"/>
      <c r="B398" s="35"/>
      <c r="C398" s="35"/>
      <c r="D398" s="35"/>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42"/>
      <c r="B399" s="35"/>
      <c r="C399" s="35"/>
      <c r="D399" s="35"/>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42"/>
      <c r="B400" s="35"/>
      <c r="C400" s="35"/>
      <c r="D400" s="35"/>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42"/>
      <c r="B401" s="35"/>
      <c r="C401" s="35"/>
      <c r="D401" s="35"/>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42"/>
      <c r="B402" s="35"/>
      <c r="C402" s="35"/>
      <c r="D402" s="35"/>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42"/>
      <c r="B403" s="35"/>
      <c r="C403" s="35"/>
      <c r="D403" s="35"/>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42"/>
      <c r="B404" s="35"/>
      <c r="C404" s="35"/>
      <c r="D404" s="35"/>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42"/>
      <c r="B405" s="35"/>
      <c r="C405" s="35"/>
      <c r="D405" s="35"/>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42"/>
      <c r="B406" s="35"/>
      <c r="C406" s="35"/>
      <c r="D406" s="35"/>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42"/>
      <c r="B407" s="35"/>
      <c r="C407" s="35"/>
      <c r="D407" s="35"/>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42"/>
      <c r="B408" s="35"/>
      <c r="C408" s="35"/>
      <c r="D408" s="35"/>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42"/>
      <c r="B409" s="35"/>
      <c r="C409" s="35"/>
      <c r="D409" s="35"/>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42"/>
      <c r="B410" s="35"/>
      <c r="C410" s="35"/>
      <c r="D410" s="35"/>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42"/>
      <c r="B411" s="35"/>
      <c r="C411" s="35"/>
      <c r="D411" s="35"/>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42"/>
      <c r="B412" s="35"/>
      <c r="C412" s="35"/>
      <c r="D412" s="35"/>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42"/>
      <c r="B413" s="35"/>
      <c r="C413" s="35"/>
      <c r="D413" s="35"/>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42"/>
      <c r="B414" s="35"/>
      <c r="C414" s="35"/>
      <c r="D414" s="35"/>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42"/>
      <c r="B415" s="35"/>
      <c r="C415" s="35"/>
      <c r="D415" s="35"/>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42"/>
      <c r="B416" s="35"/>
      <c r="C416" s="35"/>
      <c r="D416" s="35"/>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42"/>
      <c r="B417" s="35"/>
      <c r="C417" s="35"/>
      <c r="D417" s="35"/>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42"/>
      <c r="B418" s="35"/>
      <c r="C418" s="35"/>
      <c r="D418" s="35"/>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42"/>
      <c r="B419" s="35"/>
      <c r="C419" s="35"/>
      <c r="D419" s="35"/>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42"/>
      <c r="B420" s="35"/>
      <c r="C420" s="35"/>
      <c r="D420" s="35"/>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42"/>
      <c r="B421" s="35"/>
      <c r="C421" s="35"/>
      <c r="D421" s="35"/>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42"/>
      <c r="B422" s="35"/>
      <c r="C422" s="35"/>
      <c r="D422" s="35"/>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42"/>
      <c r="B423" s="35"/>
      <c r="C423" s="35"/>
      <c r="D423" s="35"/>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42"/>
      <c r="B424" s="35"/>
      <c r="C424" s="35"/>
      <c r="D424" s="35"/>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42"/>
      <c r="B425" s="35"/>
      <c r="C425" s="35"/>
      <c r="D425" s="35"/>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42"/>
      <c r="B426" s="35"/>
      <c r="C426" s="35"/>
      <c r="D426" s="35"/>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42"/>
      <c r="B427" s="35"/>
      <c r="C427" s="35"/>
      <c r="D427" s="35"/>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42"/>
      <c r="B428" s="35"/>
      <c r="C428" s="35"/>
      <c r="D428" s="35"/>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42"/>
      <c r="B429" s="35"/>
      <c r="C429" s="35"/>
      <c r="D429" s="35"/>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42"/>
      <c r="B430" s="35"/>
      <c r="C430" s="35"/>
      <c r="D430" s="35"/>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42"/>
      <c r="B431" s="35"/>
      <c r="C431" s="35"/>
      <c r="D431" s="35"/>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42"/>
      <c r="B432" s="35"/>
      <c r="C432" s="35"/>
      <c r="D432" s="35"/>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42"/>
      <c r="B433" s="35"/>
      <c r="C433" s="35"/>
      <c r="D433" s="35"/>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42"/>
      <c r="B434" s="35"/>
      <c r="C434" s="35"/>
      <c r="D434" s="35"/>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42"/>
      <c r="B435" s="35"/>
      <c r="C435" s="35"/>
      <c r="D435" s="35"/>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42"/>
      <c r="B436" s="35"/>
      <c r="C436" s="35"/>
      <c r="D436" s="35"/>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42"/>
      <c r="B437" s="35"/>
      <c r="C437" s="35"/>
      <c r="D437" s="35"/>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42"/>
      <c r="B438" s="35"/>
      <c r="C438" s="35"/>
      <c r="D438" s="35"/>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42"/>
      <c r="B439" s="35"/>
      <c r="C439" s="35"/>
      <c r="D439" s="35"/>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42"/>
      <c r="B440" s="35"/>
      <c r="C440" s="35"/>
      <c r="D440" s="35"/>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42"/>
      <c r="B441" s="35"/>
      <c r="C441" s="35"/>
      <c r="D441" s="35"/>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42"/>
      <c r="B442" s="35"/>
      <c r="C442" s="35"/>
      <c r="D442" s="35"/>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42"/>
      <c r="B443" s="35"/>
      <c r="C443" s="35"/>
      <c r="D443" s="35"/>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42"/>
      <c r="B444" s="35"/>
      <c r="C444" s="35"/>
      <c r="D444" s="35"/>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42"/>
      <c r="B445" s="35"/>
      <c r="C445" s="35"/>
      <c r="D445" s="35"/>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42"/>
      <c r="B446" s="35"/>
      <c r="C446" s="35"/>
      <c r="D446" s="35"/>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42"/>
      <c r="B447" s="35"/>
      <c r="C447" s="35"/>
      <c r="D447" s="35"/>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42"/>
      <c r="B448" s="35"/>
      <c r="C448" s="35"/>
      <c r="D448" s="35"/>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42"/>
      <c r="B449" s="35"/>
      <c r="C449" s="35"/>
      <c r="D449" s="35"/>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42"/>
      <c r="B450" s="35"/>
      <c r="C450" s="35"/>
      <c r="D450" s="35"/>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42"/>
      <c r="B451" s="35"/>
      <c r="C451" s="35"/>
      <c r="D451" s="35"/>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42"/>
      <c r="B452" s="35"/>
      <c r="C452" s="35"/>
      <c r="D452" s="35"/>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42"/>
      <c r="B453" s="35"/>
      <c r="C453" s="35"/>
      <c r="D453" s="35"/>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42"/>
      <c r="B454" s="35"/>
      <c r="C454" s="35"/>
      <c r="D454" s="35"/>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42"/>
      <c r="B455" s="35"/>
      <c r="C455" s="35"/>
      <c r="D455" s="35"/>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42"/>
      <c r="B456" s="35"/>
      <c r="C456" s="35"/>
      <c r="D456" s="35"/>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42"/>
      <c r="B457" s="35"/>
      <c r="C457" s="35"/>
      <c r="D457" s="35"/>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42"/>
      <c r="B458" s="35"/>
      <c r="C458" s="35"/>
      <c r="D458" s="35"/>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42"/>
      <c r="B459" s="35"/>
      <c r="C459" s="35"/>
      <c r="D459" s="35"/>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42"/>
      <c r="B460" s="35"/>
      <c r="C460" s="35"/>
      <c r="D460" s="35"/>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42"/>
      <c r="B461" s="35"/>
      <c r="C461" s="35"/>
      <c r="D461" s="35"/>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42"/>
      <c r="B462" s="35"/>
      <c r="C462" s="35"/>
      <c r="D462" s="35"/>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42"/>
      <c r="B463" s="35"/>
      <c r="C463" s="35"/>
      <c r="D463" s="35"/>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42"/>
      <c r="B464" s="35"/>
      <c r="C464" s="35"/>
      <c r="D464" s="35"/>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42"/>
      <c r="B465" s="35"/>
      <c r="C465" s="35"/>
      <c r="D465" s="35"/>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42"/>
      <c r="B466" s="35"/>
      <c r="C466" s="35"/>
      <c r="D466" s="35"/>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42"/>
      <c r="B467" s="35"/>
      <c r="C467" s="35"/>
      <c r="D467" s="35"/>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42"/>
      <c r="B468" s="35"/>
      <c r="C468" s="35"/>
      <c r="D468" s="35"/>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42"/>
      <c r="B469" s="35"/>
      <c r="C469" s="35"/>
      <c r="D469" s="35"/>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42"/>
      <c r="B470" s="35"/>
      <c r="C470" s="35"/>
      <c r="D470" s="35"/>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42"/>
      <c r="B471" s="35"/>
      <c r="C471" s="35"/>
      <c r="D471" s="35"/>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42"/>
      <c r="B472" s="35"/>
      <c r="C472" s="35"/>
      <c r="D472" s="35"/>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42"/>
      <c r="B473" s="35"/>
      <c r="C473" s="35"/>
      <c r="D473" s="35"/>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42"/>
      <c r="B474" s="35"/>
      <c r="C474" s="35"/>
      <c r="D474" s="35"/>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42"/>
      <c r="B475" s="35"/>
      <c r="C475" s="35"/>
      <c r="D475" s="35"/>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42"/>
      <c r="B476" s="35"/>
      <c r="C476" s="35"/>
      <c r="D476" s="35"/>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42"/>
      <c r="B477" s="35"/>
      <c r="C477" s="35"/>
      <c r="D477" s="35"/>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42"/>
      <c r="B478" s="35"/>
      <c r="C478" s="35"/>
      <c r="D478" s="35"/>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42"/>
      <c r="B479" s="35"/>
      <c r="C479" s="35"/>
      <c r="D479" s="35"/>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42"/>
      <c r="B480" s="35"/>
      <c r="C480" s="35"/>
      <c r="D480" s="35"/>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42"/>
      <c r="B481" s="35"/>
      <c r="C481" s="35"/>
      <c r="D481" s="35"/>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42"/>
      <c r="B482" s="35"/>
      <c r="C482" s="35"/>
      <c r="D482" s="35"/>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42"/>
      <c r="B483" s="35"/>
      <c r="C483" s="35"/>
      <c r="D483" s="35"/>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42"/>
      <c r="B484" s="35"/>
      <c r="C484" s="35"/>
      <c r="D484" s="35"/>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42"/>
      <c r="B485" s="35"/>
      <c r="C485" s="35"/>
      <c r="D485" s="35"/>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42"/>
      <c r="B486" s="35"/>
      <c r="C486" s="35"/>
      <c r="D486" s="35"/>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42"/>
      <c r="B487" s="35"/>
      <c r="C487" s="35"/>
      <c r="D487" s="35"/>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42"/>
      <c r="B488" s="35"/>
      <c r="C488" s="35"/>
      <c r="D488" s="35"/>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42"/>
      <c r="B489" s="35"/>
      <c r="C489" s="35"/>
      <c r="D489" s="35"/>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42"/>
      <c r="B490" s="35"/>
      <c r="C490" s="35"/>
      <c r="D490" s="35"/>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42"/>
      <c r="B491" s="35"/>
      <c r="C491" s="35"/>
      <c r="D491" s="35"/>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42"/>
      <c r="B492" s="35"/>
      <c r="C492" s="35"/>
      <c r="D492" s="35"/>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42"/>
      <c r="B493" s="35"/>
      <c r="C493" s="35"/>
      <c r="D493" s="35"/>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42"/>
      <c r="B494" s="35"/>
      <c r="C494" s="35"/>
      <c r="D494" s="35"/>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42"/>
      <c r="B495" s="35"/>
      <c r="C495" s="35"/>
      <c r="D495" s="35"/>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42"/>
      <c r="B496" s="35"/>
      <c r="C496" s="35"/>
      <c r="D496" s="35"/>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42"/>
      <c r="B497" s="35"/>
      <c r="C497" s="35"/>
      <c r="D497" s="35"/>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42"/>
      <c r="B498" s="35"/>
      <c r="C498" s="35"/>
      <c r="D498" s="35"/>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42"/>
      <c r="B499" s="35"/>
      <c r="C499" s="35"/>
      <c r="D499" s="35"/>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42"/>
      <c r="B500" s="35"/>
      <c r="C500" s="35"/>
      <c r="D500" s="35"/>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42"/>
      <c r="B501" s="35"/>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42"/>
      <c r="B502" s="35"/>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42"/>
      <c r="B503" s="35"/>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42"/>
      <c r="B504" s="35"/>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42"/>
      <c r="B505" s="35"/>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42"/>
      <c r="B506" s="35"/>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42"/>
      <c r="B507" s="35"/>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42"/>
      <c r="B508" s="35"/>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42"/>
      <c r="B509" s="35"/>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42"/>
      <c r="B510" s="35"/>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42"/>
      <c r="B511" s="35"/>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42"/>
      <c r="B512" s="35"/>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42"/>
      <c r="B513" s="35"/>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42"/>
      <c r="B514" s="35"/>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42"/>
      <c r="B515" s="35"/>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42"/>
      <c r="B516" s="35"/>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42"/>
      <c r="B517" s="35"/>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42"/>
      <c r="B518" s="35"/>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42"/>
      <c r="B519" s="35"/>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42"/>
      <c r="B520" s="35"/>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42"/>
      <c r="B521" s="35"/>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42"/>
      <c r="B522" s="35"/>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42"/>
      <c r="B523" s="35"/>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42"/>
      <c r="B524" s="35"/>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42"/>
      <c r="B525" s="35"/>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42"/>
      <c r="B526" s="35"/>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42"/>
      <c r="B527" s="35"/>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42"/>
      <c r="B528" s="35"/>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42"/>
      <c r="B529" s="35"/>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42"/>
      <c r="B530" s="35"/>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42"/>
      <c r="B531" s="35"/>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42"/>
      <c r="B532" s="35"/>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42"/>
      <c r="B533" s="35"/>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42"/>
      <c r="B534" s="35"/>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42"/>
      <c r="B535" s="35"/>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42"/>
      <c r="B536" s="35"/>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42"/>
      <c r="B537" s="35"/>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42"/>
      <c r="B538" s="35"/>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42"/>
      <c r="B539" s="35"/>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42"/>
      <c r="B540" s="35"/>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42"/>
      <c r="B541" s="35"/>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42"/>
      <c r="B542" s="35"/>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42"/>
      <c r="B543" s="35"/>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42"/>
      <c r="B544" s="35"/>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42"/>
      <c r="B545" s="35"/>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42"/>
      <c r="B546" s="35"/>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42"/>
      <c r="B547" s="35"/>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42"/>
      <c r="B548" s="35"/>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42"/>
      <c r="B549" s="35"/>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42"/>
      <c r="B550" s="35"/>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42"/>
      <c r="B551" s="35"/>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42"/>
      <c r="B552" s="35"/>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42"/>
      <c r="B553" s="35"/>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42"/>
      <c r="B554" s="35"/>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42"/>
      <c r="B555" s="35"/>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42"/>
      <c r="B556" s="35"/>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42"/>
      <c r="B557" s="35"/>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42"/>
      <c r="B558" s="35"/>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42"/>
      <c r="B559" s="35"/>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42"/>
      <c r="B560" s="35"/>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42"/>
      <c r="B561" s="35"/>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42"/>
      <c r="B562" s="35"/>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42"/>
      <c r="B563" s="35"/>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42"/>
      <c r="B564" s="35"/>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42"/>
      <c r="B565" s="35"/>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42"/>
      <c r="B566" s="35"/>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42"/>
      <c r="B567" s="35"/>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42"/>
      <c r="B568" s="35"/>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42"/>
      <c r="B569" s="35"/>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42"/>
      <c r="B570" s="35"/>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42"/>
      <c r="B571" s="35"/>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42"/>
      <c r="B572" s="35"/>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42"/>
      <c r="B573" s="35"/>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42"/>
      <c r="B574" s="35"/>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42"/>
      <c r="B575" s="35"/>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42"/>
      <c r="B576" s="35"/>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42"/>
      <c r="B577" s="35"/>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42"/>
      <c r="B578" s="35"/>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42"/>
      <c r="B579" s="35"/>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42"/>
      <c r="B580" s="35"/>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42"/>
      <c r="B581" s="35"/>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42"/>
      <c r="B582" s="35"/>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42"/>
      <c r="B583" s="35"/>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42"/>
      <c r="B584" s="35"/>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42"/>
      <c r="B585" s="35"/>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42"/>
      <c r="B586" s="35"/>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42"/>
      <c r="B587" s="35"/>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42"/>
      <c r="B588" s="35"/>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42"/>
      <c r="B589" s="35"/>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42"/>
      <c r="B590" s="35"/>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42"/>
      <c r="B591" s="35"/>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42"/>
      <c r="B592" s="35"/>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42"/>
      <c r="B593" s="35"/>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42"/>
      <c r="B594" s="35"/>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42"/>
      <c r="B595" s="35"/>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42"/>
      <c r="B596" s="35"/>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42"/>
      <c r="B597" s="35"/>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42"/>
      <c r="B598" s="35"/>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42"/>
      <c r="B599" s="35"/>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42"/>
      <c r="B600" s="35"/>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42"/>
      <c r="B601" s="35"/>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42"/>
      <c r="B602" s="35"/>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42"/>
      <c r="B603" s="35"/>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42"/>
      <c r="B604" s="35"/>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42"/>
      <c r="B605" s="35"/>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42"/>
      <c r="B606" s="35"/>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42"/>
      <c r="B607" s="35"/>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42"/>
      <c r="B608" s="35"/>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42"/>
      <c r="B609" s="35"/>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42"/>
      <c r="B610" s="35"/>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42"/>
      <c r="B611" s="35"/>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42"/>
      <c r="B612" s="35"/>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42"/>
      <c r="B613" s="35"/>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42"/>
      <c r="B614" s="35"/>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42"/>
      <c r="B615" s="35"/>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42"/>
      <c r="B616" s="35"/>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42"/>
      <c r="B617" s="35"/>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42"/>
      <c r="B618" s="35"/>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42"/>
      <c r="B619" s="35"/>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42"/>
      <c r="B620" s="35"/>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42"/>
      <c r="B621" s="35"/>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42"/>
      <c r="B622" s="35"/>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42"/>
      <c r="B623" s="35"/>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42"/>
      <c r="B624" s="35"/>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42"/>
      <c r="B625" s="35"/>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42"/>
      <c r="B626" s="35"/>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42"/>
      <c r="B627" s="35"/>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42"/>
      <c r="B628" s="35"/>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42"/>
      <c r="B629" s="35"/>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42"/>
      <c r="B630" s="35"/>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42"/>
      <c r="B631" s="35"/>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42"/>
      <c r="B632" s="35"/>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42"/>
      <c r="B633" s="35"/>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42"/>
      <c r="B634" s="35"/>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42"/>
      <c r="B635" s="35"/>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42"/>
      <c r="B636" s="35"/>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42"/>
      <c r="B637" s="35"/>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42"/>
      <c r="B638" s="35"/>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42"/>
      <c r="B639" s="35"/>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42"/>
      <c r="B640" s="35"/>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42"/>
      <c r="B641" s="35"/>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42"/>
      <c r="B642" s="35"/>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42"/>
      <c r="B643" s="35"/>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42"/>
      <c r="B644" s="35"/>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42"/>
      <c r="B645" s="35"/>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42"/>
      <c r="B646" s="35"/>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42"/>
      <c r="B647" s="35"/>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42"/>
      <c r="B648" s="35"/>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42"/>
      <c r="B649" s="35"/>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42"/>
      <c r="B650" s="35"/>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42"/>
      <c r="B651" s="35"/>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42"/>
      <c r="B652" s="35"/>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42"/>
      <c r="B653" s="35"/>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42"/>
      <c r="B654" s="35"/>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42"/>
      <c r="B655" s="35"/>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42"/>
      <c r="B656" s="35"/>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42"/>
      <c r="B657" s="35"/>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42"/>
      <c r="B658" s="35"/>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42"/>
      <c r="B659" s="35"/>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42"/>
      <c r="B660" s="35"/>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42"/>
      <c r="B661" s="35"/>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42"/>
      <c r="B662" s="35"/>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42"/>
      <c r="B663" s="35"/>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42"/>
      <c r="B664" s="35"/>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42"/>
      <c r="B665" s="35"/>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42"/>
      <c r="B666" s="35"/>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42"/>
      <c r="B667" s="35"/>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42"/>
      <c r="B668" s="35"/>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42"/>
      <c r="B669" s="35"/>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42"/>
      <c r="B670" s="35"/>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42"/>
      <c r="B671" s="35"/>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42"/>
      <c r="B672" s="35"/>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42"/>
      <c r="B673" s="35"/>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42"/>
      <c r="B674" s="35"/>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42"/>
      <c r="B675" s="35"/>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42"/>
      <c r="B676" s="35"/>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42"/>
      <c r="B677" s="35"/>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42"/>
      <c r="B678" s="35"/>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42"/>
      <c r="B679" s="35"/>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42"/>
      <c r="B680" s="35"/>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42"/>
      <c r="B681" s="35"/>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42"/>
      <c r="B682" s="35"/>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42"/>
      <c r="B683" s="35"/>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42"/>
      <c r="B684" s="35"/>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42"/>
      <c r="B685" s="35"/>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42"/>
      <c r="B686" s="35"/>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42"/>
      <c r="B687" s="35"/>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42"/>
      <c r="B688" s="35"/>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42"/>
      <c r="B689" s="35"/>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42"/>
      <c r="B690" s="35"/>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42"/>
      <c r="B691" s="35"/>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42"/>
      <c r="B692" s="35"/>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42"/>
      <c r="B693" s="35"/>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42"/>
      <c r="B694" s="35"/>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42"/>
      <c r="B695" s="35"/>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42"/>
      <c r="B696" s="35"/>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42"/>
      <c r="B697" s="35"/>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42"/>
      <c r="B698" s="35"/>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42"/>
      <c r="B699" s="35"/>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42"/>
      <c r="B700" s="35"/>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42"/>
      <c r="B701" s="35"/>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42"/>
      <c r="B702" s="35"/>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42"/>
      <c r="B703" s="35"/>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42"/>
      <c r="B704" s="35"/>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42"/>
      <c r="B705" s="35"/>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42"/>
      <c r="B706" s="35"/>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42"/>
      <c r="B707" s="35"/>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42"/>
      <c r="B708" s="35"/>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42"/>
      <c r="B709" s="35"/>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42"/>
      <c r="B710" s="35"/>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42"/>
      <c r="B711" s="35"/>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42"/>
      <c r="B712" s="35"/>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42"/>
      <c r="B713" s="35"/>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42"/>
      <c r="B714" s="35"/>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42"/>
      <c r="B715" s="35"/>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42"/>
      <c r="B716" s="35"/>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42"/>
      <c r="B717" s="35"/>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42"/>
      <c r="B718" s="35"/>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42"/>
      <c r="B719" s="35"/>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42"/>
      <c r="B720" s="35"/>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42"/>
      <c r="B721" s="35"/>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42"/>
      <c r="B722" s="35"/>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42"/>
      <c r="B723" s="35"/>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42"/>
      <c r="B724" s="35"/>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42"/>
      <c r="B725" s="35"/>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42"/>
      <c r="B726" s="35"/>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42"/>
      <c r="B727" s="35"/>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42"/>
      <c r="B728" s="35"/>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42"/>
      <c r="B729" s="35"/>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42"/>
      <c r="B730" s="35"/>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42"/>
      <c r="B731" s="35"/>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42"/>
      <c r="B732" s="35"/>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42"/>
      <c r="B733" s="35"/>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42"/>
      <c r="B734" s="35"/>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42"/>
      <c r="B735" s="35"/>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42"/>
      <c r="B736" s="35"/>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42"/>
      <c r="B737" s="35"/>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42"/>
      <c r="B738" s="35"/>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42"/>
      <c r="B739" s="35"/>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42"/>
      <c r="B740" s="35"/>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42"/>
      <c r="B741" s="35"/>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42"/>
      <c r="B742" s="35"/>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42"/>
      <c r="B743" s="35"/>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42"/>
      <c r="B744" s="35"/>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42"/>
      <c r="B745" s="35"/>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42"/>
      <c r="B746" s="35"/>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42"/>
      <c r="B747" s="35"/>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42"/>
      <c r="B748" s="35"/>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42"/>
      <c r="B749" s="35"/>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42"/>
      <c r="B750" s="35"/>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42"/>
      <c r="B751" s="35"/>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42"/>
      <c r="B752" s="35"/>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42"/>
      <c r="B753" s="35"/>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42"/>
      <c r="B754" s="35"/>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42"/>
      <c r="B755" s="35"/>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42"/>
      <c r="B756" s="35"/>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42"/>
      <c r="B757" s="35"/>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42"/>
      <c r="B758" s="35"/>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42"/>
      <c r="B759" s="35"/>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42"/>
      <c r="B760" s="35"/>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42"/>
      <c r="B761" s="35"/>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42"/>
      <c r="B762" s="35"/>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42"/>
      <c r="B763" s="35"/>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42"/>
      <c r="B764" s="35"/>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42"/>
      <c r="B765" s="35"/>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42"/>
      <c r="B766" s="35"/>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42"/>
      <c r="B767" s="35"/>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42"/>
      <c r="B768" s="35"/>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42"/>
      <c r="B769" s="35"/>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42"/>
      <c r="B770" s="35"/>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42"/>
      <c r="B771" s="35"/>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42"/>
      <c r="B772" s="35"/>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42"/>
      <c r="B773" s="35"/>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42"/>
      <c r="B774" s="35"/>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42"/>
      <c r="B775" s="35"/>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42"/>
      <c r="B776" s="35"/>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42"/>
      <c r="B777" s="35"/>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42"/>
      <c r="B778" s="35"/>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42"/>
      <c r="B779" s="35"/>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42"/>
      <c r="B780" s="35"/>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42"/>
      <c r="B781" s="35"/>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42"/>
      <c r="B782" s="35"/>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42"/>
      <c r="B783" s="35"/>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42"/>
      <c r="B784" s="35"/>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42"/>
      <c r="B785" s="35"/>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42"/>
      <c r="B786" s="35"/>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42"/>
      <c r="B787" s="35"/>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42"/>
      <c r="B788" s="35"/>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42"/>
      <c r="B789" s="35"/>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42"/>
      <c r="B790" s="35"/>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42"/>
      <c r="B791" s="35"/>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42"/>
      <c r="B792" s="35"/>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42"/>
      <c r="B793" s="35"/>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42"/>
      <c r="B794" s="35"/>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42"/>
      <c r="B795" s="35"/>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42"/>
      <c r="B796" s="35"/>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42"/>
      <c r="B797" s="35"/>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42"/>
      <c r="B798" s="35"/>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42"/>
      <c r="B799" s="35"/>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42"/>
      <c r="B800" s="35"/>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42"/>
      <c r="B801" s="35"/>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42"/>
      <c r="B802" s="35"/>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42"/>
      <c r="B803" s="35"/>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42"/>
      <c r="B804" s="35"/>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42"/>
      <c r="B805" s="35"/>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42"/>
      <c r="B806" s="35"/>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42"/>
      <c r="B807" s="35"/>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42"/>
      <c r="B808" s="35"/>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42"/>
      <c r="B809" s="35"/>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42"/>
      <c r="B810" s="35"/>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42"/>
      <c r="B811" s="35"/>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42"/>
      <c r="B812" s="35"/>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42"/>
      <c r="B813" s="35"/>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42"/>
      <c r="B814" s="35"/>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42"/>
      <c r="B815" s="35"/>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42"/>
      <c r="B816" s="35"/>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42"/>
      <c r="B817" s="35"/>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42"/>
      <c r="B818" s="35"/>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42"/>
      <c r="B819" s="35"/>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42"/>
      <c r="B820" s="35"/>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42"/>
      <c r="B821" s="35"/>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42"/>
      <c r="B822" s="35"/>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42"/>
      <c r="B823" s="35"/>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42"/>
      <c r="B824" s="35"/>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42"/>
      <c r="B825" s="35"/>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42"/>
      <c r="B826" s="35"/>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42"/>
      <c r="B827" s="35"/>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42"/>
      <c r="B828" s="35"/>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42"/>
      <c r="B829" s="35"/>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42"/>
      <c r="B830" s="35"/>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42"/>
      <c r="B831" s="35"/>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42"/>
      <c r="B832" s="35"/>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42"/>
      <c r="B833" s="35"/>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42"/>
      <c r="B834" s="35"/>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42"/>
      <c r="B835" s="35"/>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42"/>
      <c r="B836" s="35"/>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42"/>
      <c r="B837" s="35"/>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42"/>
      <c r="B838" s="35"/>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42"/>
      <c r="B839" s="35"/>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42"/>
      <c r="B840" s="35"/>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42"/>
      <c r="B841" s="35"/>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42"/>
      <c r="B842" s="35"/>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42"/>
      <c r="B843" s="35"/>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42"/>
      <c r="B844" s="35"/>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42"/>
      <c r="B845" s="35"/>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42"/>
      <c r="B846" s="35"/>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42"/>
      <c r="B847" s="35"/>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42"/>
      <c r="B848" s="35"/>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42"/>
      <c r="B849" s="35"/>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42"/>
      <c r="B850" s="35"/>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42"/>
      <c r="B851" s="35"/>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42"/>
      <c r="B852" s="35"/>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42"/>
      <c r="B853" s="35"/>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42"/>
      <c r="B854" s="35"/>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42"/>
      <c r="B855" s="35"/>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42"/>
      <c r="B856" s="35"/>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42"/>
      <c r="B857" s="35"/>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42"/>
      <c r="B858" s="35"/>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42"/>
      <c r="B859" s="35"/>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42"/>
      <c r="B860" s="35"/>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42"/>
      <c r="B861" s="35"/>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42"/>
      <c r="B862" s="35"/>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42"/>
      <c r="B863" s="35"/>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42"/>
      <c r="B864" s="35"/>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42"/>
      <c r="B865" s="35"/>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42"/>
      <c r="B866" s="35"/>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42"/>
      <c r="B867" s="35"/>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42"/>
      <c r="B868" s="35"/>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42"/>
      <c r="B869" s="35"/>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42"/>
      <c r="B870" s="35"/>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42"/>
      <c r="B871" s="35"/>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42"/>
      <c r="B872" s="35"/>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42"/>
      <c r="B873" s="35"/>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42"/>
      <c r="B874" s="35"/>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42"/>
      <c r="B875" s="35"/>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42"/>
      <c r="B876" s="35"/>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42"/>
      <c r="B877" s="35"/>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42"/>
      <c r="B878" s="35"/>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42"/>
      <c r="B879" s="35"/>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42"/>
      <c r="B880" s="35"/>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42"/>
      <c r="B881" s="35"/>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42"/>
      <c r="B882" s="35"/>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42"/>
      <c r="B883" s="35"/>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42"/>
      <c r="B884" s="35"/>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42"/>
      <c r="B885" s="35"/>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42"/>
      <c r="B886" s="35"/>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42"/>
      <c r="B887" s="35"/>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42"/>
      <c r="B888" s="35"/>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42"/>
      <c r="B889" s="35"/>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42"/>
      <c r="B890" s="35"/>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42"/>
      <c r="B891" s="35"/>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42"/>
      <c r="B892" s="35"/>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42"/>
      <c r="B893" s="35"/>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42"/>
      <c r="B894" s="35"/>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42"/>
      <c r="B895" s="35"/>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42"/>
      <c r="B896" s="35"/>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42"/>
      <c r="B897" s="35"/>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42"/>
      <c r="B898" s="35"/>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42"/>
      <c r="B899" s="35"/>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42"/>
      <c r="B900" s="35"/>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42"/>
      <c r="B901" s="35"/>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42"/>
      <c r="B902" s="35"/>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42"/>
      <c r="B903" s="35"/>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42"/>
      <c r="B904" s="35"/>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42"/>
      <c r="B905" s="35"/>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42"/>
      <c r="B906" s="35"/>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42"/>
      <c r="B907" s="35"/>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42"/>
      <c r="B908" s="35"/>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42"/>
      <c r="B909" s="35"/>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42"/>
      <c r="B910" s="35"/>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42"/>
      <c r="B911" s="35"/>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42"/>
      <c r="B912" s="35"/>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42"/>
      <c r="B913" s="35"/>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42"/>
      <c r="B914" s="35"/>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42"/>
      <c r="B915" s="35"/>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42"/>
      <c r="B916" s="35"/>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42"/>
      <c r="B917" s="35"/>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42"/>
      <c r="B918" s="35"/>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42"/>
      <c r="B919" s="35"/>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42"/>
      <c r="B920" s="35"/>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42"/>
      <c r="B921" s="35"/>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42"/>
      <c r="B922" s="35"/>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42"/>
      <c r="B923" s="35"/>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42"/>
      <c r="B924" s="35"/>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42"/>
      <c r="B925" s="35"/>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42"/>
      <c r="B926" s="35"/>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42"/>
      <c r="B927" s="35"/>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42"/>
      <c r="B928" s="35"/>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42"/>
      <c r="B929" s="35"/>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42"/>
      <c r="B930" s="35"/>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42"/>
      <c r="B931" s="35"/>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42"/>
      <c r="B932" s="35"/>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42"/>
      <c r="B933" s="35"/>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42"/>
      <c r="B934" s="35"/>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42"/>
      <c r="B935" s="35"/>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42"/>
      <c r="B936" s="35"/>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42"/>
      <c r="B937" s="35"/>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42"/>
      <c r="B938" s="35"/>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42"/>
      <c r="B939" s="35"/>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42"/>
      <c r="B940" s="35"/>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42"/>
      <c r="B941" s="35"/>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42"/>
      <c r="B942" s="35"/>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42"/>
      <c r="B943" s="35"/>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42"/>
      <c r="B944" s="35"/>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42"/>
      <c r="B945" s="35"/>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42"/>
      <c r="B946" s="35"/>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42"/>
      <c r="B947" s="35"/>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42"/>
      <c r="B948" s="35"/>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42"/>
      <c r="B949" s="35"/>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42"/>
      <c r="B950" s="35"/>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42"/>
      <c r="B951" s="35"/>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42"/>
      <c r="B952" s="35"/>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42"/>
      <c r="B953" s="35"/>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42"/>
      <c r="B954" s="35"/>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42"/>
      <c r="B955" s="35"/>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42"/>
      <c r="B956" s="35"/>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42"/>
      <c r="B957" s="35"/>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42"/>
      <c r="B958" s="35"/>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42"/>
      <c r="B959" s="35"/>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42"/>
      <c r="B960" s="35"/>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42"/>
      <c r="B961" s="35"/>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42"/>
      <c r="B962" s="35"/>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42"/>
      <c r="B963" s="35"/>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42"/>
      <c r="B964" s="35"/>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42"/>
      <c r="B965" s="35"/>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42"/>
      <c r="B966" s="35"/>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42"/>
      <c r="B967" s="35"/>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42"/>
      <c r="B968" s="35"/>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42"/>
      <c r="B969" s="35"/>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42"/>
      <c r="B970" s="35"/>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42"/>
      <c r="B971" s="35"/>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42"/>
      <c r="B972" s="35"/>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42"/>
      <c r="B973" s="35"/>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42"/>
      <c r="B974" s="35"/>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42"/>
      <c r="B975" s="35"/>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42"/>
      <c r="B976" s="35"/>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42"/>
      <c r="B977" s="35"/>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42"/>
      <c r="B978" s="35"/>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42"/>
      <c r="B979" s="35"/>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42"/>
      <c r="B980" s="35"/>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42"/>
      <c r="B981" s="35"/>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42"/>
      <c r="B982" s="35"/>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42"/>
      <c r="B983" s="35"/>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42"/>
      <c r="B984" s="35"/>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42"/>
      <c r="B985" s="35"/>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42"/>
      <c r="B986" s="35"/>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42"/>
      <c r="B987" s="35"/>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42"/>
      <c r="B988" s="35"/>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42"/>
      <c r="B989" s="35"/>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42"/>
      <c r="B990" s="35"/>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42"/>
      <c r="B991" s="35"/>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42"/>
      <c r="B992" s="35"/>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42"/>
      <c r="B993" s="35"/>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42"/>
      <c r="B994" s="35"/>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42"/>
      <c r="B995" s="35"/>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42"/>
      <c r="B996" s="35"/>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42"/>
      <c r="B997" s="35"/>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42"/>
      <c r="B998" s="35"/>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42"/>
      <c r="B999" s="35"/>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42"/>
      <c r="B1000" s="35"/>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27.88671875" customWidth="1"/>
    <col min="4" max="4" width="86.33203125" customWidth="1"/>
  </cols>
  <sheetData>
    <row r="1" spans="1:26" x14ac:dyDescent="0.25">
      <c r="A1" s="103" t="str">
        <f ca="1">IFERROR(__xludf.DUMMYFUNCTION("if(iserror(Mindmap!$A$2),""no data"", query(Requirements!$C1:$X2200,""Select N,O,P,T where H=""&amp; Preferences!$E$12&amp;""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42"/>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Product Classification Structures")</f>
        <v>1 Product Classification Structures</v>
      </c>
      <c r="B2" s="106" t="str">
        <f ca="1">IFERROR(__xludf.DUMMYFUNCTION("""COMPUTED_VALUE"""),"ReqID")</f>
        <v>ReqID</v>
      </c>
      <c r="C2" s="107" t="str">
        <f ca="1">IFERROR(__xludf.DUMMYFUNCTION("""COMPUTED_VALUE"""),"Requirement")</f>
        <v>Requirement</v>
      </c>
      <c r="D2" s="107" t="str">
        <f ca="1">IFERROR(__xludf.DUMMYFUNCTION("""COMPUTED_VALUE"""),"Description")</f>
        <v>Description</v>
      </c>
      <c r="E2" s="42"/>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IFERROR(__xludf.DUMMYFUNCTION("""COMPUTED_VALUE"""),"BR0101")</f>
        <v>BR0101</v>
      </c>
      <c r="C3" s="107" t="str">
        <f ca="1">IFERROR(__xludf.DUMMYFUNCTION("""COMPUTED_VALUE"""),"Maintain a B2C Co products and services catalogue")</f>
        <v>Maintain a B2C Co products and services catalogue</v>
      </c>
      <c r="D3" s="107" t="str">
        <f ca="1">IFERROR(__xludf.DUMMYFUNCTION("""COMPUTED_VALUE""")," 1. Maintain a product and services categorisation hierarchy (product categories) for use by B2C Co to organise the types of products and services it will sell.
 2. Maintain the B2C Co product hierarchy in the Shoprite retail system (SAP Retail), using th"&amp;"e existing Shoprite classification hierarchy levels and structure.")</f>
        <v xml:space="preserve"> 1. Maintain a product and services categorisation hierarchy (product categories) for use by B2C Co to organise the types of products and services it will sell.
 2. Maintain the B2C Co product hierarchy in the Shoprite retail system (SAP Retail), using the existing Shoprite classification hierarchy levels and structure.</v>
      </c>
      <c r="E3" s="42"/>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IFERROR(__xludf.DUMMYFUNCTION("""COMPUTED_VALUE"""),"BR0102")</f>
        <v>BR0102</v>
      </c>
      <c r="C4" s="107" t="str">
        <f ca="1">IFERROR(__xludf.DUMMYFUNCTION("""COMPUTED_VALUE"""),"Maintain content meta-tag hierarchy structures for B2C Co products and services")</f>
        <v>Maintain content meta-tag hierarchy structures for B2C Co products and services</v>
      </c>
      <c r="D4" s="107" t="str">
        <f ca="1">IFERROR(__xludf.DUMMYFUNCTION("""COMPUTED_VALUE""")," 1. Maintain hierarchy structures for tagging content, to cover at least the following:
	• Seasons
	• Special Events
	• Product Property-Types (e.g. wheels, legs, wired/cordless)
	• Product Materials (e.g. material, plastic, wood, metal)
	• Collections of"&amp;" products related to a specific buying objective (e.g. ""feeding your new infant"")
	• Child age group (0-6 months, 7-12 months, 1-2 years, 2-3 years, etc.)
	• Child gender (unisex/any, female/girl, male/boy)
	• Child development group (Infant, toddler, e"&amp;"tc.)
 2. Develop and maintain a tag hierarchy methodology, to ensure tag consistency.
 3. Maintain a synonym relationship for tag terms (e.g. stroller, walker, carry-cot)
 4. One/more content meta-tags may be applied to:
	• Products
	• Advertisements
	• S"&amp;"pecial Content
 5. Cater for an Article category and subcategory hierarchy.")</f>
        <v xml:space="preserve"> 1. Maintain hierarchy structures for tagging content, to cover at least the following:
	• Seasons
	• Special Events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E4" s="42"/>
      <c r="F4" s="42"/>
      <c r="G4" s="42"/>
      <c r="H4" s="42"/>
      <c r="I4" s="42"/>
      <c r="J4" s="42"/>
      <c r="K4" s="42"/>
      <c r="L4" s="42"/>
      <c r="M4" s="42"/>
      <c r="N4" s="42"/>
      <c r="O4" s="42"/>
      <c r="P4" s="42"/>
      <c r="Q4" s="42"/>
      <c r="R4" s="42"/>
      <c r="S4" s="42"/>
      <c r="T4" s="42"/>
      <c r="U4" s="42"/>
      <c r="V4" s="42"/>
      <c r="W4" s="42"/>
      <c r="X4" s="42"/>
      <c r="Y4" s="42"/>
      <c r="Z4" s="42"/>
    </row>
    <row r="5" spans="1:26" x14ac:dyDescent="0.25">
      <c r="A5" s="103" t="str">
        <f ca="1">IFERROR(__xludf.DUMMYFUNCTION("""COMPUTED_VALUE"""),"2 Product and Service Suppliers")</f>
        <v>2 Product and Service Suppliers</v>
      </c>
      <c r="B5" s="106" t="str">
        <f ca="1">IFERROR(__xludf.DUMMYFUNCTION("""COMPUTED_VALUE"""),"ReqID")</f>
        <v>ReqID</v>
      </c>
      <c r="C5" s="107" t="str">
        <f ca="1">IFERROR(__xludf.DUMMYFUNCTION("""COMPUTED_VALUE"""),"Requirement")</f>
        <v>Requirement</v>
      </c>
      <c r="D5" s="107" t="str">
        <f ca="1">IFERROR(__xludf.DUMMYFUNCTION("""COMPUTED_VALUE"""),"Description")</f>
        <v>Description</v>
      </c>
      <c r="E5" s="42"/>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IFERROR(__xludf.DUMMYFUNCTION("""COMPUTED_VALUE"""),"BR0201")</f>
        <v>BR0201</v>
      </c>
      <c r="C6" s="107" t="str">
        <f ca="1">IFERROR(__xludf.DUMMYFUNCTION("""COMPUTED_VALUE"""),"Take-on a B2C Co product supplier")</f>
        <v>Take-on a B2C Co product supplier</v>
      </c>
      <c r="D6" s="107" t="str">
        <f ca="1">IFERROR(__xludf.DUMMYFUNCTION("""COMPUTED_VALUE""")," 1. Initially, B2C Co will focus on selling only products.
 2. Contract the supplier, to meet the B2C Co service conditions for the given product.
 3. Configure the supplier in the Shoprite financial system (SAP Finance)
 4. Configure the supplier in the "&amp;"Shoprite retail system (SAP Retail), as supplier to the B2C Co online business.")</f>
        <v xml:space="preserve"> 1. Initially, B2C Co will focus on selling only products.
 2. Contract the supplier, to meet the B2C Co service conditions for the given product.
 3. Configure the supplier in the Shoprite financial system (SAP Finance)
 4. Configure the supplier in the Shoprite retail system (SAP Retail), as supplier to the B2C Co online business.</v>
      </c>
      <c r="E6" s="42"/>
      <c r="F6" s="42"/>
      <c r="G6" s="42"/>
      <c r="H6" s="42"/>
      <c r="I6" s="42"/>
      <c r="J6" s="42"/>
      <c r="K6" s="42"/>
      <c r="L6" s="42"/>
      <c r="M6" s="42"/>
      <c r="N6" s="42"/>
      <c r="O6" s="42"/>
      <c r="P6" s="42"/>
      <c r="Q6" s="42"/>
      <c r="R6" s="42"/>
      <c r="S6" s="42"/>
      <c r="T6" s="42"/>
      <c r="U6" s="42"/>
      <c r="V6" s="42"/>
      <c r="W6" s="42"/>
      <c r="X6" s="42"/>
      <c r="Y6" s="42"/>
      <c r="Z6" s="42"/>
    </row>
    <row r="7" spans="1:26" x14ac:dyDescent="0.25">
      <c r="A7" s="103"/>
      <c r="B7" s="106" t="str">
        <f ca="1">IFERROR(__xludf.DUMMYFUNCTION("""COMPUTED_VALUE"""),"BR0202")</f>
        <v>BR0202</v>
      </c>
      <c r="C7" s="107" t="str">
        <f ca="1">IFERROR(__xludf.DUMMYFUNCTION("""COMPUTED_VALUE"""),"B2C Co suppliers provide up-to-date product and service details")</f>
        <v>B2C Co suppliers provide up-to-date product and service details</v>
      </c>
      <c r="D7" s="107" t="str">
        <f ca="1">IFERROR(__xludf.DUMMYFUNCTION("""COMPUTED_VALUE""")," 1. B2C Co suppliers provide up-to-date product and service details, to include at least the following:
	• Product barcode unknown (when supplier order is placed)
	• Product temporarily out-of-stock / back-in-stock must always submitted to B2C Co (real-ti"&amp;"me)
	• Product unavailable/available again must always be submitted to B2C Co (real-time)
	• Product recall / recall lifted must always be reported to B2C Co (real-time), with batch identification details
 2. The supplier must report at least the followin"&amp;"g supplier order fulfilment statuses to the business:
	• Order acknowledgement
	• Order ready to despatch (ready to be collected by courier)
	• Order despatched
 3. The supplier must report at least the following supplier return fulfilment statuses to the"&amp;" business:
	• Return acknowledgement [tbd]
	• Return received
 4. A courier must report at least the following delivery statuses to the business:
	• Order registered (with courier waybill reference number)
	• Order collected (from supplier)
	• Order despa"&amp;"tched
	• Order delivered (to customer)
	• Order could not be delivered
	• Order undeliverable (to be returned)
 5. A courier must report at least the following return statuses to the business:
	• Return registered (with courier waybill reference number)
	"&amp;"• Return collected (from supplier)
	• Return delivered (to supplier)")</f>
        <v xml:space="preserve"> 1. B2C Co suppliers provide up-to-date product and service details, to include at least the following:
	• Product barcode unknown (when supplier order is placed)
	• Product temporarily out-of-stock / back-in-stock must always submitted to B2C Co (real-time)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E7" s="42"/>
      <c r="F7" s="42"/>
      <c r="G7" s="42"/>
      <c r="H7" s="42"/>
      <c r="I7" s="42"/>
      <c r="J7" s="42"/>
      <c r="K7" s="42"/>
      <c r="L7" s="42"/>
      <c r="M7" s="42"/>
      <c r="N7" s="42"/>
      <c r="O7" s="42"/>
      <c r="P7" s="42"/>
      <c r="Q7" s="42"/>
      <c r="R7" s="42"/>
      <c r="S7" s="42"/>
      <c r="T7" s="42"/>
      <c r="U7" s="42"/>
      <c r="V7" s="42"/>
      <c r="W7" s="42"/>
      <c r="X7" s="42"/>
      <c r="Y7" s="42"/>
      <c r="Z7" s="42"/>
    </row>
    <row r="8" spans="1:26" x14ac:dyDescent="0.25">
      <c r="A8" s="103"/>
      <c r="B8" s="106" t="str">
        <f ca="1">IFERROR(__xludf.DUMMYFUNCTION("""COMPUTED_VALUE"""),"BR0203")</f>
        <v>BR0203</v>
      </c>
      <c r="C8" s="107" t="str">
        <f ca="1">IFERROR(__xludf.DUMMYFUNCTION("""COMPUTED_VALUE"""),"B2C Co a product suppliers fulfil to B2C Co service requirements")</f>
        <v>B2C Co a product suppliers fulfil to B2C Co service requirements</v>
      </c>
      <c r="D8" s="107" t="str">
        <f ca="1">IFERROR(__xludf.DUMMYFUNCTION("""COMPUTED_VALUE""")," 1. B2C Co a product suppliers fulfil orders to B2C Co service requirements:
 2. All orders are packed using B2C Co packaging, documentation and labels
 3. All orders are delivered to customers using the designated B2C Co courier.
 4. Changed fulfilment l"&amp;"ead-time information must always be submitted to B2C Co (daily)")</f>
        <v xml:space="preserve"> 1. B2C Co a product suppliers fulfil orders to B2C Co service requirements:
 2. All orders are packed using B2C Co packaging, documentation and labels
 3. All orders are delivered to customers using the designated B2C Co courier.
 4. Changed fulfilment lead-time information must always be submitted to B2C Co (daily)</v>
      </c>
      <c r="E8" s="42"/>
      <c r="F8" s="42"/>
      <c r="G8" s="42"/>
      <c r="H8" s="42"/>
      <c r="I8" s="42"/>
      <c r="J8" s="42"/>
      <c r="K8" s="42"/>
      <c r="L8" s="42"/>
      <c r="M8" s="42"/>
      <c r="N8" s="42"/>
      <c r="O8" s="42"/>
      <c r="P8" s="42"/>
      <c r="Q8" s="42"/>
      <c r="R8" s="42"/>
      <c r="S8" s="42"/>
      <c r="T8" s="42"/>
      <c r="U8" s="42"/>
      <c r="V8" s="42"/>
      <c r="W8" s="42"/>
      <c r="X8" s="42"/>
      <c r="Y8" s="42"/>
      <c r="Z8" s="42"/>
    </row>
    <row r="9" spans="1:26" x14ac:dyDescent="0.25">
      <c r="A9" s="103"/>
      <c r="B9" s="106" t="str">
        <f ca="1">IFERROR(__xludf.DUMMYFUNCTION("""COMPUTED_VALUE"""),"BR0204")</f>
        <v>BR0204</v>
      </c>
      <c r="C9" s="107" t="str">
        <f ca="1">IFERROR(__xludf.DUMMYFUNCTION("""COMPUTED_VALUE"""),"Sell online products in various promotional formats")</f>
        <v>Sell online products in various promotional formats</v>
      </c>
      <c r="D9" s="107" t="str">
        <f ca="1">IFERROR(__xludf.DUMMYFUNCTION("""COMPUTED_VALUE""")," 1. Products may be managed and sold in any of the following formats:
	• Any product pack size, as listed in the B2C Co product list (e.g. single and 4-pack).
	• Promotional item consisting of a single product, usually sold as a limited-stock, or limited-"&amp;"time offer.
	• Combination of multiple products to sold together, usually sold as a limited-stock, or limited-time offer.
	• The items in this type of promotion are fulfilled as separate products.
	• Where a promotional pack is supplied as a unit by a sup"&amp;"plier, that item must be listed and managed as a distinct product (e.g. big tin of baby formula wrapped/banded with a small tin).
	• The items in this type of promotion are fulfilled together as a supplier promotion item.
 2. Important: For the purpose of"&amp;" this document, any reference to product implies any of these formats.")</f>
        <v xml:space="preserve"> 1. Products may be managed and sold in any of the following formats:
	• Any product pack size, as listed in the B2C Co product list (e.g. single and 4-pack).
	• Promotional item consisting of a single product, usually sold as a limited-stock, or limited-time offer.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E9" s="42"/>
      <c r="F9" s="42"/>
      <c r="G9" s="42"/>
      <c r="H9" s="42"/>
      <c r="I9" s="42"/>
      <c r="J9" s="42"/>
      <c r="K9" s="42"/>
      <c r="L9" s="42"/>
      <c r="M9" s="42"/>
      <c r="N9" s="42"/>
      <c r="O9" s="42"/>
      <c r="P9" s="42"/>
      <c r="Q9" s="42"/>
      <c r="R9" s="42"/>
      <c r="S9" s="42"/>
      <c r="T9" s="42"/>
      <c r="U9" s="42"/>
      <c r="V9" s="42"/>
      <c r="W9" s="42"/>
      <c r="X9" s="42"/>
      <c r="Y9" s="42"/>
      <c r="Z9" s="42"/>
    </row>
    <row r="10" spans="1:26" x14ac:dyDescent="0.25">
      <c r="A10" s="103" t="str">
        <f ca="1">IFERROR(__xludf.DUMMYFUNCTION("""COMPUTED_VALUE"""),"3 Product and Service Catalogue")</f>
        <v>3 Product and Service Catalogue</v>
      </c>
      <c r="B10" s="106" t="str">
        <f ca="1">IFERROR(__xludf.DUMMYFUNCTION("""COMPUTED_VALUE"""),"ReqID")</f>
        <v>ReqID</v>
      </c>
      <c r="C10" s="107" t="str">
        <f ca="1">IFERROR(__xludf.DUMMYFUNCTION("""COMPUTED_VALUE"""),"Requirement")</f>
        <v>Requirement</v>
      </c>
      <c r="D10" s="107" t="str">
        <f ca="1">IFERROR(__xludf.DUMMYFUNCTION("""COMPUTED_VALUE"""),"Description")</f>
        <v>Description</v>
      </c>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t="str">
        <f ca="1">IFERROR(__xludf.DUMMYFUNCTION("""COMPUTED_VALUE"""),"BR0301")</f>
        <v>BR0301</v>
      </c>
      <c r="C11" s="107" t="str">
        <f ca="1">IFERROR(__xludf.DUMMYFUNCTION("""COMPUTED_VALUE"""),"Register products for online sale")</f>
        <v>Register products for online sale</v>
      </c>
      <c r="D11" s="107" t="str">
        <f ca="1">IFERROR(__xludf.DUMMYFUNCTION("""COMPUTED_VALUE""")," 1. All B2C Co products must be listed in the Shoprite Retail system (SAP Retail), using the standard Shoprite product listing procedure (not bulk).
 2. List the B2C Co products with the applicable B2C Co vendor as the supplier.
 3. For each B2C Co produc"&amp;"t, configure the following:
	• Ordering lead-time for the supplier
	• An ordering pack size for each pack (quantity) that can be ordered from the supplier.
	• A selling pack size to match each pack size that can be ordered from the supplier, with at least"&amp;" an each for a product.
	• Consignment (no stock held) as product stock type
	• For a department or BMC category, or a specific product sellable pack, a maximum quantity per sale may optionally be specified.
 4. Where a B2C Co product already exists in th"&amp;"e Shoprite catalogue (same product pack barcode), the existing product will be retained.")</f>
        <v xml:space="preserve"> 1. All B2C Co products must be listed in the Shoprite Retail system (SAP Retail), using the standard Shoprite product listing procedure (not bulk).
 2. List the B2C Co products with the applicable B2C Co vendor as the supplier.
 3. For each B2C Co product, configure the following: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t="str">
        <f ca="1">IFERROR(__xludf.DUMMYFUNCTION("""COMPUTED_VALUE"""),"BR0302")</f>
        <v>BR0302</v>
      </c>
      <c r="C12" s="107" t="str">
        <f ca="1">IFERROR(__xludf.DUMMYFUNCTION("""COMPUTED_VALUE"""),"Maintain products for online sale")</f>
        <v>Maintain products for online sale</v>
      </c>
      <c r="D12" s="107" t="str">
        <f ca="1">IFERROR(__xludf.DUMMYFUNCTION("""COMPUTED_VALUE""")," 1. Maintain a Medirite Online non-trading site in the Shoprite retail environment, to which the B2C Co products are ranged for selling via the B2C Co online channel(s).
 2. The availability of product for ordering and selling by B2C Co online will be man"&amp;"aged in the Shoprite retail system.
 3. Maintain the supplier fulfilment lead-time for each product, using the information provided by the product supplier (e.g. In Stock, 3 days).
 4. Maintain the courier lead-time for each product, using the information"&amp;" provided by the courier (e.g. 1 day).
 5. Maintain the total order-to-delivery lead-time for each product, as the sum of the fulfilment and courier lead times, for display on the online shop (""usually delivered within"").
 6. The B2C Co specific product"&amp;"s will not be ranged for sell by other Shoprite brands.
 7. Maintain the product meta-data, as detailed in the Enrich product meta-data for online use requirement of the Content Enrichment section.")</f>
        <v xml:space="preserve"> 1. Maintain a Medirite Online non-trading site in the Shoprite retail environment, to which the B2C Co products are ranged for selling via the B2C Co online channel(s).
 2. The availability of product for ordering and selling by B2C Co online will be managed in the Shoprite retail system.
 3. Maintain the supplier fulfilment lead-time for each product, using the information provided by the product supplier (e.g. In Stock, 3 days).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c r="B13" s="106" t="str">
        <f ca="1">IFERROR(__xludf.DUMMYFUNCTION("""COMPUTED_VALUE"""),"BR0303")</f>
        <v>BR0303</v>
      </c>
      <c r="C13" s="107" t="str">
        <f ca="1">IFERROR(__xludf.DUMMYFUNCTION("""COMPUTED_VALUE"""),"Maintain online availability of products")</f>
        <v>Maintain online availability of products</v>
      </c>
      <c r="D13" s="107" t="str">
        <f ca="1">IFERROR(__xludf.DUMMYFUNCTION("""COMPUTED_VALUE""")," 1. Withdraw discontinued products from both the sales and product master catalogue.
 2. Temporarily withdraw recalled products from the sales catalogue.
 3. Temporarily withdraw long-term out of stock products from the sales catalogue.")</f>
        <v xml:space="preserve"> 1. Withdraw discontinued products from both the sales and product master catalogue.
 2. Temporarily withdraw recalled products from the sales catalogue.
 3. Temporarily withdraw long-term out of stock products from the sales catalogue.</v>
      </c>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c r="B14" s="106" t="str">
        <f ca="1">IFERROR(__xludf.DUMMYFUNCTION("""COMPUTED_VALUE"""),"BR0304")</f>
        <v>BR0304</v>
      </c>
      <c r="C14" s="107" t="str">
        <f ca="1">IFERROR(__xludf.DUMMYFUNCTION("""COMPUTED_VALUE"""),"Maintain up-to-date supplier availability of products")</f>
        <v>Maintain up-to-date supplier availability of products</v>
      </c>
      <c r="D14" s="107" t="str">
        <f ca="1">IFERROR(__xludf.DUMMYFUNCTION("""COMPUTED_VALUE""")," 1. Interface to each supplier, to automatically reflect changes in product availability on at least a daily basis.
 2. Cater for the types of product status, as detailed in the B2C Co suppliers provide up-to-date product and service details requirement.")</f>
        <v xml:space="preserve"> 1. Interface to each supplier, to automatically reflect changes in product availability on at least a daily basis.
 2. Cater for the types of product status, as detailed in the B2C Co suppliers provide up-to-date product and service details requirement.</v>
      </c>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t="str">
        <f ca="1">IFERROR(__xludf.DUMMYFUNCTION("""COMPUTED_VALUE"""),"4 Product Pricing")</f>
        <v>4 Product Pricing</v>
      </c>
      <c r="B15" s="106" t="str">
        <f ca="1">IFERROR(__xludf.DUMMYFUNCTION("""COMPUTED_VALUE"""),"ReqID")</f>
        <v>ReqID</v>
      </c>
      <c r="C15" s="107" t="str">
        <f ca="1">IFERROR(__xludf.DUMMYFUNCTION("""COMPUTED_VALUE"""),"Requirement")</f>
        <v>Requirement</v>
      </c>
      <c r="D15" s="107" t="str">
        <f ca="1">IFERROR(__xludf.DUMMYFUNCTION("""COMPUTED_VALUE"""),"Description")</f>
        <v>Description</v>
      </c>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t="str">
        <f ca="1">IFERROR(__xludf.DUMMYFUNCTION("""COMPUTED_VALUE"""),"BR0401")</f>
        <v>BR0401</v>
      </c>
      <c r="C16" s="107" t="str">
        <f ca="1">IFERROR(__xludf.DUMMYFUNCTION("""COMPUTED_VALUE"""),"Maintain a category margin")</f>
        <v>Maintain a category margin</v>
      </c>
      <c r="D16" s="107" t="str">
        <f ca="1">IFERROR(__xludf.DUMMYFUNCTION("""COMPUTED_VALUE""")," 1. Maintain a selling margin (%) on Department and BMC levels, to be applied to all products allocated in that category hierarchy.")</f>
        <v xml:space="preserve"> 1. Maintain a selling margin (%) on Department and BMC levels, to be applied to all products allocated in that category hierarchy.</v>
      </c>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t="str">
        <f ca="1">IFERROR(__xludf.DUMMYFUNCTION("""COMPUTED_VALUE"""),"BR0402")</f>
        <v>BR0402</v>
      </c>
      <c r="C17" s="107" t="str">
        <f ca="1">IFERROR(__xludf.DUMMYFUNCTION("""COMPUTED_VALUE"""),"Maintain a product margin")</f>
        <v>Maintain a product margin</v>
      </c>
      <c r="D17" s="107" t="str">
        <f ca="1">IFERROR(__xludf.DUMMYFUNCTION("""COMPUTED_VALUE""")," 1. A selling margin (%) may be maintained for a specific product, to then take precedence over the margin specified for the category within which it is allocated.
 2. If a product margin is not specified, the category margin applies in the following orde"&amp;"r of priority:
	• BMC
	• Department")</f>
        <v xml:space="preserve"> 1. A selling margin (%) may be maintained for a specific product, to then take precedence over the margin specified for the category within which it is allocated.
 2. If a product margin is not specified, the category margin applies in the following order of priority:
	• BMC
	• Department</v>
      </c>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t="str">
        <f ca="1">IFERROR(__xludf.DUMMYFUNCTION("""COMPUTED_VALUE"""),"BR0403")</f>
        <v>BR0403</v>
      </c>
      <c r="C18" s="107" t="str">
        <f ca="1">IFERROR(__xludf.DUMMYFUNCTION("""COMPUTED_VALUE"""),"Maintain a product selling price")</f>
        <v>Maintain a product selling price</v>
      </c>
      <c r="D18" s="107" t="str">
        <f ca="1">IFERROR(__xludf.DUMMYFUNCTION("""COMPUTED_VALUE""")," 1. The applicable margin of each product is used to calculate the proposed selling price (excl) for the product: moving average cost (MAC) + margin%.
 2. VAT is calculated and added to the proposed selling price (excl), to derive the proposed selling pri"&amp;"ce (incl).
 3. Price rounding rules are applied to the proposed selling price (incl), to derive the selling price.
 4. The actual VAT and margin are then re-calculated from the selling price.")</f>
        <v xml:space="preserve"> 1. The applicable margin of each product is used to calculate the proposed selling price (excl) for the product: moving average cost (MAC) + margin%.
 2. VAT is calculated and added to the proposed selling price (excl), to derive the proposed selling price (incl).
 3. Price rounding rules are applied to the proposed selling price (incl), to derive the selling price.
 4. The actual VAT and margin are then re-calculated from the selling price.</v>
      </c>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c r="B19" s="106" t="str">
        <f ca="1">IFERROR(__xludf.DUMMYFUNCTION("""COMPUTED_VALUE"""),"BR0404")</f>
        <v>BR0404</v>
      </c>
      <c r="C19" s="107" t="str">
        <f ca="1">IFERROR(__xludf.DUMMYFUNCTION("""COMPUTED_VALUE"""),"Maintain product promotions")</f>
        <v>Maintain product promotions</v>
      </c>
      <c r="D19" s="107" t="str">
        <f ca="1">IFERROR(__xludf.DUMMYFUNCTION("""COMPUTED_VALUE""")," 1. A promotional price may be maintained as either a margin, or selling price, with a set start and end date-time (cater for limited-time offers).
	• The same calculation rules apply as for the Maintain a product selling price requirement (above)
 2. A s"&amp;"tart and end date-time (hour) is set for the promotion.
 3. A promotion may optionally expire after a fixed number of units have been sold.
 4. A promotion may be associated to a marketing campaign and/or advertisement.")</f>
        <v xml:space="preserve"> 1. A promotional price may be maintained as either a margin, or selling price, with a set start and end date-time (cater for limited-time offers).
	• The same calculation rules apply as for the Maintain a product selling price requirement (above)
 2. A start and end date-time (hour) is set for the promotion.
 3. A promotion may optionally expire after a fixed number of units have been sold.
 4. A promotion may be associated to a marketing campaign and/or advertisement.</v>
      </c>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t="str">
        <f ca="1">IFERROR(__xludf.DUMMYFUNCTION("""COMPUTED_VALUE"""),"BR0405")</f>
        <v>BR0405</v>
      </c>
      <c r="C20" s="107" t="str">
        <f ca="1">IFERROR(__xludf.DUMMYFUNCTION("""COMPUTED_VALUE"""),"Maintain a ruling price for each product")</f>
        <v>Maintain a ruling price for each product</v>
      </c>
      <c r="D20" s="107" t="str">
        <f ca="1">IFERROR(__xludf.DUMMYFUNCTION("""COMPUTED_VALUE""")," 1. Determine and record the effective selling price for a product at a given date and time, derived by overriding the selling price (incl.) with the latest-starting promotional price for that product.
 2. When the effective promotion price expires, the r"&amp;"uling price for that product is immediately determined again.")</f>
        <v xml:space="preserve"> 1. Determine and record the effective selling price for a product at a given date and time, derived by overriding the selling price (incl.) with the latest-starting promotional price for that product.
 2. When the effective promotion price expires, the ruling price for that product is immediately determined again.</v>
      </c>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t="str">
        <f ca="1">IFERROR(__xludf.DUMMYFUNCTION("""COMPUTED_VALUE"""),"5 Marketing")</f>
        <v>5 Marketing</v>
      </c>
      <c r="B21" s="106" t="str">
        <f ca="1">IFERROR(__xludf.DUMMYFUNCTION("""COMPUTED_VALUE"""),"ReqID")</f>
        <v>ReqID</v>
      </c>
      <c r="C21" s="107" t="str">
        <f ca="1">IFERROR(__xludf.DUMMYFUNCTION("""COMPUTED_VALUE"""),"Requirement")</f>
        <v>Requirement</v>
      </c>
      <c r="D21" s="107" t="str">
        <f ca="1">IFERROR(__xludf.DUMMYFUNCTION("""COMPUTED_VALUE"""),"Description")</f>
        <v>Description</v>
      </c>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c r="B22" s="106" t="str">
        <f ca="1">IFERROR(__xludf.DUMMYFUNCTION("""COMPUTED_VALUE"""),"BR0501")</f>
        <v>BR0501</v>
      </c>
      <c r="C22" s="107" t="str">
        <f ca="1">IFERROR(__xludf.DUMMYFUNCTION("""COMPUTED_VALUE"""),"Maintain a B2C Co marketing strategy and related tactics")</f>
        <v>Maintain a B2C Co marketing strategy and related tactics</v>
      </c>
      <c r="D22" s="107" t="str">
        <f ca="1">IFERROR(__xludf.DUMMYFUNCTION("""COMPUTED_VALUE""")," 1. Maintain a B2C Co marketing strategy for each of the following phases of the business:
	• Leading up to the launch of the business
	• Soft-launch of the online shop
	• At time of opening the business online shop
	• Establishing the online business
	• "&amp;"Maturing the online business
 2. Develop approaches to monitoring and adapting to market perceptions and needs:
	• Brand awareness, differentiation and image
	• Market and customer perceptions
	• Category and product need and perception testing
	• Online "&amp;"social commentary
	• Customer segmentation (e.g. LSM levels) and persona (e.g. expecting mother) development
	• Other forms of marketing intelligence
 3. Develop approaches to defining and executing own marketing campaigns and advertising, for the followi"&amp;"ng:
	• Market penetration and/or loss-leading
	• Special events
	• Specific products and services
	• Category-driven promotions
	• Supplier-driven promotions
	• Personalised promotions
	• Marketing message and advertising testing (e.g. A/B testing)
 4. De"&amp;"velop approaches to optimising advertising revenue:
	• Supplier recruitment for paid advertising and promotions
	• Supplier recruitment for paid product promotions (e.g. preferred listing/ranking)
 5. Develop approaches to monitoring and reacting to the c"&amp;"ompetition, other threats and opportunities:
	• Product and service categories offered by the competition
	• Product and service pricing offered by the competition
	• Campaigns and advertisements run by the competition
	• Promotions and discounts offered "&amp;"by the competition
	• Identification and monitoring of possible threats in the environment (e.g. COVID19)
	• Identification, monitoring and reacting to possible opportunities (e.g. special protective items)
 6. Develop approaches to using the following ch"&amp;"annels:
	• Online shop - Advertisements (public, registered customers)
	• Online shop - product and special content recommendations (public, registered customers)
	• Service related emails to registered customers (advertising, product and special content "&amp;"promotions)
	• Call centre on-hold messages
	• Direct advertising messages to registered customers (email/SMS/Push notification)
	• Direct product and special content recommendation messages to registered customers (email/SMS/Push notification)
	• Shoprit"&amp;"e and Checkers online platforms
	• Shoprite Rainmaker
	• Social media - B2C Co identity and business messages
	• Social media - Influencers
	• Online Advertorials
	• Search engine advertising and SEO
	• Non-search engine online paid advertising
	• Traditi"&amp;"onal advertising channels (TV, radio, print)
	• Online videos (later)
	• Online shop recommendation and linking from other sites (e.g. online review sites)")</f>
        <v xml:space="preserve"> 1. Maintain a B2C Co marketing strategy for each of the following phases of the business:
	• Leading up to the launch of the business
	• Soft-launch of the online shop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t="str">
        <f ca="1">IFERROR(__xludf.DUMMYFUNCTION("""COMPUTED_VALUE"""),"BR0502")</f>
        <v>BR0502</v>
      </c>
      <c r="C23" s="107" t="str">
        <f ca="1">IFERROR(__xludf.DUMMYFUNCTION("""COMPUTED_VALUE"""),"Manage B2C Co marketing campaigns")</f>
        <v>Manage B2C Co marketing campaigns</v>
      </c>
      <c r="D23" s="107" t="str">
        <f ca="1">IFERROR(__xludf.DUMMYFUNCTION("""COMPUTED_VALUE""")," 1. Manage campaigns across the online shop and other channels.
 2. Track and consolidate marketing campaign statistics across advertisements and channels.")</f>
        <v xml:space="preserve"> 1. Manage campaigns across the online shop and other channels.
 2. Track and consolidate marketing campaign statistics across advertisements and channels.</v>
      </c>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t="str">
        <f ca="1">IFERROR(__xludf.DUMMYFUNCTION("""COMPUTED_VALUE"""),"BR0503")</f>
        <v>BR0503</v>
      </c>
      <c r="C24" s="107" t="str">
        <f ca="1">IFERROR(__xludf.DUMMYFUNCTION("""COMPUTED_VALUE"""),"Manage B2C Co marketing assets")</f>
        <v>Manage B2C Co marketing assets</v>
      </c>
      <c r="D24" s="107" t="str">
        <f ca="1">IFERROR(__xludf.DUMMYFUNCTION("""COMPUTED_VALUE""")," 1. Maintain a library of brand, product, service and other images for use in the online shop, advertisements and special content.")</f>
        <v xml:space="preserve"> 1. Maintain a library of brand, product, service and other images for use in the online shop, advertisements and special content.</v>
      </c>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t="str">
        <f ca="1">IFERROR(__xludf.DUMMYFUNCTION("""COMPUTED_VALUE"""),"6 Advertising")</f>
        <v>6 Advertising</v>
      </c>
      <c r="B25" s="106" t="str">
        <f ca="1">IFERROR(__xludf.DUMMYFUNCTION("""COMPUTED_VALUE"""),"ReqID")</f>
        <v>ReqID</v>
      </c>
      <c r="C25" s="107" t="str">
        <f ca="1">IFERROR(__xludf.DUMMYFUNCTION("""COMPUTED_VALUE"""),"Requirement")</f>
        <v>Requirement</v>
      </c>
      <c r="D25" s="107" t="str">
        <f ca="1">IFERROR(__xludf.DUMMYFUNCTION("""COMPUTED_VALUE"""),"Description")</f>
        <v>Description</v>
      </c>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t="str">
        <f ca="1">IFERROR(__xludf.DUMMYFUNCTION("""COMPUTED_VALUE"""),"BR0601")</f>
        <v>BR0601</v>
      </c>
      <c r="C26" s="107" t="str">
        <f ca="1">IFERROR(__xludf.DUMMYFUNCTION("""COMPUTED_VALUE"""),"Maintain advertisements")</f>
        <v>Maintain advertisements</v>
      </c>
      <c r="D26" s="107" t="str">
        <f ca="1">IFERROR(__xludf.DUMMYFUNCTION("""COMPUTED_VALUE""")," 1. Maintain at least the following for each advertisement:
	• Unique identifier
	• Title
	• Teaser (short rich-text description, displayed where space is limited/in lists)
	• Description (full rich-text with images, displayed in full view)
	• Product and"&amp;"/or advertisement images (one must be marked as the default)
	• Status (active, draft, published, archived, etc.)
	• Version (used for A/B testing, etc.)
 2. Both text and images may contain URL links to a product/special content/online search on the onli"&amp;"ne shop.
 3. Also see the Maintain various sizes for each image requirement in the Enrich Content section.
 4. Maintain a published start and expiry (mandatory) date-time for each advertisement presented on the online shop and other online channels (as ap"&amp;"plicable).
 5. Maintain the product meta-data, as detailed in the Enrich advertisement meta-data for online use requirement of the Content Enrichment section.")</f>
        <v xml:space="preserve"> 1. Maintain at least the following for each advertisement: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c r="B27" s="106" t="str">
        <f ca="1">IFERROR(__xludf.DUMMYFUNCTION("""COMPUTED_VALUE"""),"BR0602")</f>
        <v>BR0602</v>
      </c>
      <c r="C27" s="107" t="str">
        <f ca="1">IFERROR(__xludf.DUMMYFUNCTION("""COMPUTED_VALUE"""),"Associate advertisements to marketing campaigns")</f>
        <v>Associate advertisements to marketing campaigns</v>
      </c>
      <c r="D27" s="107" t="str">
        <f ca="1">IFERROR(__xludf.DUMMYFUNCTION("""COMPUTED_VALUE""")," 1. Maintain one/more B2C Co advertisements for each marketing campaign.
 2. Track advertisements across the target audiences/groups (e.g. mailing list) and channels used for the campaign.
 3. Where applicable, maintain and track multiple versions (A/B te"&amp;"sting) of advertisements.")</f>
        <v xml:space="preserve"> 1. Maintain one/more B2C Co advertisements for each marketing campaign.
 2. Track advertisements across the target audiences/groups (e.g. mailing list) and channels used for the campaign.
 3. Where applicable, maintain and track multiple versions (A/B testing) of advertisements.</v>
      </c>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t="str">
        <f ca="1">IFERROR(__xludf.DUMMYFUNCTION("""COMPUTED_VALUE"""),"BR0603")</f>
        <v>BR0603</v>
      </c>
      <c r="C28" s="107" t="str">
        <f ca="1">IFERROR(__xludf.DUMMYFUNCTION("""COMPUTED_VALUE"""),"Maintain online shop advertisements")</f>
        <v>Maintain online shop advertisements</v>
      </c>
      <c r="D28" s="107" t="str">
        <f ca="1">IFERROR(__xludf.DUMMYFUNCTION("""COMPUTED_VALUE""")," 1. An advertisement in the online shop may be presented in various formats:
	• Banner
	• Teaser
	• Full page
 2. A product or advertisement may be visually flagged to indicate the type of promotion, for example:
	• Promotion
	• Limited Stock
	• Big Disco"&amp;"unt, Clearance
	• Black Friday, Cyber Monday, etc.
	• Christmas, Easter
	• Holiday, Back-to-school (for toddlers going to preschool)
	• Season
	• etc.")</f>
        <v xml:space="preserve"> 1. An advertisement in the online shop may be presented in various formats:
	• Banner
	• Teaser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t="str">
        <f ca="1">IFERROR(__xludf.DUMMYFUNCTION("""COMPUTED_VALUE"""),"BR0604")</f>
        <v>BR0604</v>
      </c>
      <c r="C29" s="107" t="str">
        <f ca="1">IFERROR(__xludf.DUMMYFUNCTION("""COMPUTED_VALUE"""),"Publish advertisement across channels")</f>
        <v>Publish advertisement across channels</v>
      </c>
      <c r="D29" s="107" t="str">
        <f ca="1">IFERROR(__xludf.DUMMYFUNCTION("""COMPUTED_VALUE""")," 1. Review each advertisements before publishing it.
 2. Separately publish each advertisement to the online shop and/or specific online channels.
 3. Maintain a list of the channels where the advertisement is published.")</f>
        <v xml:space="preserve"> 1. Review each advertisements before publishing it.
 2. Separately publish each advertisement to the online shop and/or specific online channels.
 3. Maintain a list of the channels where the advertisement is published.</v>
      </c>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t="str">
        <f ca="1">IFERROR(__xludf.DUMMYFUNCTION("""COMPUTED_VALUE"""),"7 Special Content (Articles) (future phase)")</f>
        <v>7 Special Content (Articles) (future phase)</v>
      </c>
      <c r="B30" s="106" t="str">
        <f ca="1">IFERROR(__xludf.DUMMYFUNCTION("""COMPUTED_VALUE"""),"ReqID")</f>
        <v>ReqID</v>
      </c>
      <c r="C30" s="107" t="str">
        <f ca="1">IFERROR(__xludf.DUMMYFUNCTION("""COMPUTED_VALUE"""),"Requirement")</f>
        <v>Requirement</v>
      </c>
      <c r="D30" s="107" t="str">
        <f ca="1">IFERROR(__xludf.DUMMYFUNCTION("""COMPUTED_VALUE"""),"Description")</f>
        <v>Description</v>
      </c>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t="str">
        <f ca="1">IFERROR(__xludf.DUMMYFUNCTION("""COMPUTED_VALUE"""),"BR0701")</f>
        <v>BR0701</v>
      </c>
      <c r="C31" s="107" t="str">
        <f ca="1">IFERROR(__xludf.DUMMYFUNCTION("""COMPUTED_VALUE"""),"Maintain special content")</f>
        <v>Maintain special content</v>
      </c>
      <c r="D31" s="107" t="str">
        <f ca="1">IFERROR(__xludf.DUMMYFUNCTION("""COMPUTED_VALUE""")," 1. The article special content type is used to present informative content to selected customers on the online store. It may however be published to other channels.
 2. Maintain at least the following for each article:
	• Unique identifier
	• Title
	• Te"&amp;"aser (short rich-text description, displayed where space is limited/in lists)
	• Description (full rich-text with images, displayed in full view)
	• Product and/or advertisement images (one must be marked as the default)
	• Status (active, draft, publishe"&amp;"d, archived, etc.)
	• Attachment - the article may have a downloadable PDF linked to it.
 3. Maintain a published start and expiry (optional) date-time, for automatic un/publishing in the online shop.
 4. Both text and images may contain URL links to a pr"&amp;"oduct/special content/online search on the online shop.
 5. Also see the Maintain various sizes for each image requirement in the Enrich Content section.
 6. Maintain the special content meta-data, as detailed in the Enrich special content meta-data for o"&amp;"nline use requirement of the Content Enrichment section.")</f>
        <v xml:space="preserve"> 1. The article special content type is used to present informative content to selected customers on the online store. It may however be published to other channels.
 2. Maintain at least the following for each article: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t="str">
        <f ca="1">IFERROR(__xludf.DUMMYFUNCTION("""COMPUTED_VALUE"""),"BR0702")</f>
        <v>BR0702</v>
      </c>
      <c r="C32" s="107" t="str">
        <f ca="1">IFERROR(__xludf.DUMMYFUNCTION("""COMPUTED_VALUE"""),"Maintain website customer check-lists special content")</f>
        <v>Maintain website customer check-lists special content</v>
      </c>
      <c r="D32" s="107" t="str">
        <f ca="1">IFERROR(__xludf.DUMMYFUNCTION("""COMPUTED_VALUE""")," 1. The checklist special content type is used to present information to parents with a list of recommended products and other actions.
 2. In addition to all of the article requirements, it has a list of items.
 3. Each checklist task has a name and brie"&amp;"f description.
 4. A checklist task may contains criteria for searching products of one/more subcategory/tags, with a link to find suitable products.
 5. A click on a checklist task is logged for statistical and customer profiling purposes.")</f>
        <v xml:space="preserve"> 1. The checklist special content type is used to present information to parents with a list of recommended products and other actions.
 2. In addition to all of the article requirements, it has a list of items.
 3. Each checklist task has a name and brief description.
 4. A checklist task may contains criteria for searching products of one/more subcategory/tags, with a link to find suitable products.
 5. A click on a checklist task is logged for statistical and customer profiling purposes.</v>
      </c>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t="str">
        <f ca="1">IFERROR(__xludf.DUMMYFUNCTION("""COMPUTED_VALUE"""),"BR0703")</f>
        <v>BR0703</v>
      </c>
      <c r="C33" s="107" t="str">
        <f ca="1">IFERROR(__xludf.DUMMYFUNCTION("""COMPUTED_VALUE"""),"Maintain online special content")</f>
        <v>Maintain online special content</v>
      </c>
      <c r="D33" s="107" t="str">
        <f ca="1">IFERROR(__xludf.DUMMYFUNCTION("""COMPUTED_VALUE""")," 1. A special content item in the online shop may be presented in various formats:
	• Banner
	• Teaser block on side of page
	• Full page view
 2. A special content item may be visually flagged to indicate it as new, or updated.")</f>
        <v xml:space="preserve"> 1. A special content item in the online shop may be presented in various formats:
	• Banner
	• Teaser block on side of page
	• Full page view
 2. A special content item may be visually flagged to indicate it as new, or updated.</v>
      </c>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t="str">
        <f ca="1">IFERROR(__xludf.DUMMYFUNCTION("""COMPUTED_VALUE"""),"BR0704")</f>
        <v>BR0704</v>
      </c>
      <c r="C34" s="107" t="str">
        <f ca="1">IFERROR(__xludf.DUMMYFUNCTION("""COMPUTED_VALUE"""),"Un/Publish website special content")</f>
        <v>Un/Publish website special content</v>
      </c>
      <c r="D34" s="107" t="str">
        <f ca="1">IFERROR(__xludf.DUMMYFUNCTION("""COMPUTED_VALUE""")," 1. Review each special content item before publishing it.
 2. Separately publish special content item to the online shop and/or specific online channels.")</f>
        <v xml:space="preserve"> 1. Review each special content item before publishing it.
 2. Separately publish special content item to the online shop and/or specific online channels.</v>
      </c>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t="str">
        <f ca="1">IFERROR(__xludf.DUMMYFUNCTION("""COMPUTED_VALUE"""),"8 Content Enrichment")</f>
        <v>8 Content Enrichment</v>
      </c>
      <c r="B35" s="106" t="str">
        <f ca="1">IFERROR(__xludf.DUMMYFUNCTION("""COMPUTED_VALUE"""),"ReqID")</f>
        <v>ReqID</v>
      </c>
      <c r="C35" s="107" t="str">
        <f ca="1">IFERROR(__xludf.DUMMYFUNCTION("""COMPUTED_VALUE"""),"Requirement")</f>
        <v>Requirement</v>
      </c>
      <c r="D35" s="107" t="str">
        <f ca="1">IFERROR(__xludf.DUMMYFUNCTION("""COMPUTED_VALUE"""),"Description")</f>
        <v>Description</v>
      </c>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t="str">
        <f ca="1">IFERROR(__xludf.DUMMYFUNCTION("""COMPUTED_VALUE"""),"BR0801")</f>
        <v>BR0801</v>
      </c>
      <c r="C36" s="107" t="str">
        <f ca="1">IFERROR(__xludf.DUMMYFUNCTION("""COMPUTED_VALUE"""),"Enrich product meta-data for online use")</f>
        <v>Enrich product meta-data for online use</v>
      </c>
      <c r="D36" s="107" t="str">
        <f ca="1">IFERROR(__xludf.DUMMYFUNCTION("""COMPUTED_VALUE""")," 1. Follow the existing Shoprite process to enrich the product meta-data and meta-tags for online selling purposes.
 2. Enrich each product with relevant master data for use in the online shop, to include at least the following:
	• Name (title) of the pro"&amp;"duct
	• Description
	• Teaser Description (for display in search results)
	• Specification (summary of the product features and what the customer will receive in the box)
	• Brand of the product
 3. Enrich each product with photographs for use in the onli"&amp;"ne shop and advertisements:
	• One image must be marked as the default.
 4. Also see the Maintain various sizes for each image requirement.
 5. Enrich each B2C Co product with relevant meta-tags for online use, as detailed in the Maintain content meta-tag"&amp;" hierarchy structures requirements.")</f>
        <v xml:space="preserve"> 1. Follow the existing Shoprite process to enrich the product meta-data and meta-tags for online selling purposes.
 2. Enrich each product with relevant master data for use in the online shop, to include at least the following:
	• Name (title) of the product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t="str">
        <f ca="1">IFERROR(__xludf.DUMMYFUNCTION("""COMPUTED_VALUE"""),"BR0802")</f>
        <v>BR0802</v>
      </c>
      <c r="C37" s="107" t="str">
        <f ca="1">IFERROR(__xludf.DUMMYFUNCTION("""COMPUTED_VALUE"""),"Maintain a new flag for each newly listed product")</f>
        <v>Maintain a new flag for each newly listed product</v>
      </c>
      <c r="D37" s="107" t="str">
        <f ca="1">IFERROR(__xludf.DUMMYFUNCTION("""COMPUTED_VALUE""")," 1. Automatically flag each newly published product as ""New"".
 2. Automatically expire the new flag for that product after a set number of days (e.g. 60 days).")</f>
        <v xml:space="preserve"> 1. Automatically flag each newly published product as "New".
 2. Automatically expire the new flag for that product after a set number of days (e.g. 60 days).</v>
      </c>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t="str">
        <f ca="1">IFERROR(__xludf.DUMMYFUNCTION("""COMPUTED_VALUE"""),"BR0803")</f>
        <v>BR0803</v>
      </c>
      <c r="C38" s="107" t="str">
        <f ca="1">IFERROR(__xludf.DUMMYFUNCTION("""COMPUTED_VALUE"""),"Enrich advertisement meta-data for online use")</f>
        <v>Enrich advertisement meta-data for online use</v>
      </c>
      <c r="D38" s="107" t="str">
        <f ca="1">IFERROR(__xludf.DUMMYFUNCTION("""COMPUTED_VALUE""")," 1. Follow the existing Shoprite process to enrich the advertisement meta-data and meta-tags for online selling and advertising purposes.
 2. Enrich each advertisement with relevant master data for use in the online shop and other online advertising chann"&amp;"els, to include at least the following:
	• Search-engine meta-tags
 3. Enrich each advertisement with relevant meta-tags for use in the online shop, as detailed in the Maintain content meta-tag hierarchy structures requirements.")</f>
        <v xml:space="preserve"> 1. Follow the existing Shoprite process to enrich the advertisement meta-data and meta-tags for online selling and advertising purposes.
 2. Enrich each advertisement with relevant master data for use in the online shop and other online advertising channels, to include at least the following:
	• Search-engine meta-tags
 3. Enrich each advertisement with relevant meta-tags for use in the online shop, as detailed in the Maintain content meta-tag hierarchy structures requirements.</v>
      </c>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t="str">
        <f ca="1">IFERROR(__xludf.DUMMYFUNCTION("""COMPUTED_VALUE"""),"BR0804")</f>
        <v>BR0804</v>
      </c>
      <c r="C39" s="107" t="str">
        <f ca="1">IFERROR(__xludf.DUMMYFUNCTION("""COMPUTED_VALUE"""),"Enrich special content item (article) meta-data for online use")</f>
        <v>Enrich special content item (article) meta-data for online use</v>
      </c>
      <c r="D39" s="107" t="str">
        <f ca="1">IFERROR(__xludf.DUMMYFUNCTION("""COMPUTED_VALUE""")," 1. Follow the existing Shoprite process to enrich the special content item meta-data and meta-tags for online selling (and possibly publishing) purposes.
 2. Enrich each special content item with relevant master data for use in the online shop and other "&amp;"online advertising channels, to include at least the following:
	• Search-engine meta-tags
 3. Enrich each special content item with relevant meta-tags for use in the online shop, as detailed in the Maintain content meta-tag hierarchy structures requireme"&amp;"nts.")</f>
        <v xml:space="preserve"> 1. Follow the existing Shoprite process to enrich the special content item meta-data and meta-tags for online selling (and possibly publishing) purposes.
 2. Enrich each special content item with relevant master data for use in the online shop and other online advertising channels, to include at least the following:
	• Search-engine meta-tags
 3. Enrich each special content item with relevant meta-tags for use in the online shop, as detailed in the Maintain content meta-tag hierarchy structures requirements.</v>
      </c>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t="str">
        <f ca="1">IFERROR(__xludf.DUMMYFUNCTION("""COMPUTED_VALUE"""),"BR0805")</f>
        <v>BR0805</v>
      </c>
      <c r="C40" s="107" t="str">
        <f ca="1">IFERROR(__xludf.DUMMYFUNCTION("""COMPUTED_VALUE"""),"Maintain various sizes for each image")</f>
        <v>Maintain various sizes for each image</v>
      </c>
      <c r="D40" s="107" t="str">
        <f ca="1">IFERROR(__xludf.DUMMYFUNCTION("""COMPUTED_VALUE""")," 1. For each image, maintain the following image sizes, for use in various presentation formats.
	• Thumbnail
	• Small
	• Medium
	• Large (full size)
	• Banner (for advertisements)
 2. Include different sizes for the medium and large version of each image"&amp;", to display on different screen sizes - pc, tablet, smartphone")</f>
        <v xml:space="preserve"> 1. For each image, maintain the following image sizes, for use in various presentation formats.
	• Thumbnail
	• Small
	• Medium
	• Large (full size)
	• Banner (for advertisements)
 2. Include different sizes for the medium and large version of each image, to display on different screen sizes - pc, tablet, smartphone</v>
      </c>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t="str">
        <f ca="1">IFERROR(__xludf.DUMMYFUNCTION("""COMPUTED_VALUE"""),"BR0806")</f>
        <v>BR0806</v>
      </c>
      <c r="C41" s="107" t="str">
        <f ca="1">IFERROR(__xludf.DUMMYFUNCTION("""COMPUTED_VALUE"""),"Enrich content relationships and classification using meta-tags")</f>
        <v>Enrich content relationships and classification using meta-tags</v>
      </c>
      <c r="D41" s="107" t="str">
        <f ca="1">IFERROR(__xludf.DUMMYFUNCTION("""COMPUTED_VALUE""")," 1. If a sub-tag is applied, its parent meta-tag must also be applied to the item (e.g. for baby milk, baby food).")</f>
        <v xml:space="preserve"> 1. If a sub-tag is applied, its parent meta-tag must also be applied to the item (e.g. for baby milk, baby food).</v>
      </c>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t="str">
        <f ca="1">IFERROR(__xludf.DUMMYFUNCTION("""COMPUTED_VALUE"""),"9 Online Shop Users")</f>
        <v>9 Online Shop Users</v>
      </c>
      <c r="B42" s="106" t="str">
        <f ca="1">IFERROR(__xludf.DUMMYFUNCTION("""COMPUTED_VALUE"""),"ReqID")</f>
        <v>ReqID</v>
      </c>
      <c r="C42" s="107" t="str">
        <f ca="1">IFERROR(__xludf.DUMMYFUNCTION("""COMPUTED_VALUE"""),"Requirement")</f>
        <v>Requirement</v>
      </c>
      <c r="D42" s="107" t="str">
        <f ca="1">IFERROR(__xludf.DUMMYFUNCTION("""COMPUTED_VALUE"""),"Description")</f>
        <v>Description</v>
      </c>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c r="B43" s="106" t="str">
        <f ca="1">IFERROR(__xludf.DUMMYFUNCTION("""COMPUTED_VALUE"""),"BR0901")</f>
        <v>BR0901</v>
      </c>
      <c r="C43" s="107" t="str">
        <f ca="1">IFERROR(__xludf.DUMMYFUNCTION("""COMPUTED_VALUE"""),"Manage online shop user roles")</f>
        <v>Manage online shop user roles</v>
      </c>
      <c r="D43" s="107" t="str">
        <f ca="1">IFERROR(__xludf.DUMMYFUNCTION("""COMPUTED_VALUE""")," 1. Cater for the following online shop user role, each with a configurable set of allowed functions:
 2. Customer role
 3. Business user roles:
	• Advertisement Manager
	• Special Content Manager
	• Product Manager
	• Promotion Manager
	• Orders Manager
"&amp;"	• Fulfilment Manager
	• Business User Administrator
 4. Customer service user roles:
	• Contact Centre Agent
	• Contact Centre Supervisor
 5. Support user roles:
	• Site administrator
	• Presentation Manager
	• User administrator
	• User roles administra"&amp;"tor
 6. A systems administrator maintains the user roles.")</f>
        <v xml:space="preserve"> 1. Cater for the following online shop user role, each with a configurable set of allowed functions:
 2. Customer role
 3. Business user roles: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t="str">
        <f ca="1">IFERROR(__xludf.DUMMYFUNCTION("""COMPUTED_VALUE"""),"BR0902")</f>
        <v>BR0902</v>
      </c>
      <c r="C44" s="107" t="str">
        <f ca="1">IFERROR(__xludf.DUMMYFUNCTION("""COMPUTED_VALUE"""),"Register user")</f>
        <v>Register user</v>
      </c>
      <c r="D44" s="107" t="str">
        <f ca="1">IFERROR(__xludf.DUMMYFUNCTION("""COMPUTED_VALUE""")," 1. User registration requirements depend on the type of user (customer, back-office), as detailed in the following sections:
 2. Back-office User Registration
 3. Customer Registration
 4. Business Rule: The same email address may not be used for more th"&amp;"an one active user of any type (back-office, customer).")</f>
        <v xml:space="preserve"> 1. User registration requirements depend on the type of user (customer, back-office), as detailed in the following sections:
 2. Back-office User Registration
 3. Customer Registration
 4. Business Rule: The same email address may not be used for more than one active user of any type (back-office, customer).</v>
      </c>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t="str">
        <f ca="1">IFERROR(__xludf.DUMMYFUNCTION("""COMPUTED_VALUE"""),"BR0903")</f>
        <v>BR0903</v>
      </c>
      <c r="C45" s="107" t="str">
        <f ca="1">IFERROR(__xludf.DUMMYFUNCTION("""COMPUTED_VALUE"""),"Authenticate user")</f>
        <v>Authenticate user</v>
      </c>
      <c r="D45" s="107" t="str">
        <f ca="1">IFERROR(__xludf.DUMMYFUNCTION("""COMPUTED_VALUE""")," 1. After registration, a user is sent a confirmation email with a verification link, to be used to verify and activate their user.
	• From the registration confirmation welcome page, the user is prompted to login.
 2. During login, authenticate the user "&amp;"with their email address and password.
	• Consider using a CAPTCHA as additional verification.
	• Lock accounts after repeated failed authentication.
 3. The user sessions must:
	• Expire after a specified time of no activity (e.g. 30 minutes)
	• Be uniqu"&amp;"e (cannot login more than once)
 4. Also see the Register customer requirement in the Customer Registration section.
 5. The user account must be locked several invalid (wrong password) login attempts.
	• Consider using a temporary lock, followed by a had"&amp;" lock if further login attempts fail.
	• Send the user a notification email when their account is locked, stating the reason and date-time of the last event.")</f>
        <v xml:space="preserve"> 1. After registration, a user is sent a confirmation email with a verification link, to be used to verify and activate their user.
	• From the registration confirmation welcome page, the user is prompted to login.
 2. During login, authenticate the user with their email address and password.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t="str">
        <f ca="1">IFERROR(__xludf.DUMMYFUNCTION("""COMPUTED_VALUE"""),"BR0904")</f>
        <v>BR0904</v>
      </c>
      <c r="C46" s="107" t="str">
        <f ca="1">IFERROR(__xludf.DUMMYFUNCTION("""COMPUTED_VALUE"""),"Recover user password")</f>
        <v>Recover user password</v>
      </c>
      <c r="D46" s="107" t="str">
        <f ca="1">IFERROR(__xludf.DUMMYFUNCTION("""COMPUTED_VALUE""")," 1. When prompted to login, a user may choose a forgot password function, triggering an email with a password reset link to be sent to their email address.
 2. Using a forgot password link, the user is:
	• Prompted to capture a new password (double-entry "&amp;"with strength-check)
	• Redirected to the login page")</f>
        <v xml:space="preserve"> 1. When prompted to login, a user may choose a forgot password function, triggering an email with a password reset link to be sent to their email address.
 2. Using a forgot password link, the user is:
	• Prompted to capture a new password (double-entry with strength-check)
	• Redirected to the login page</v>
      </c>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t="str">
        <f ca="1">IFERROR(__xludf.DUMMYFUNCTION("""COMPUTED_VALUE"""),"BR0905")</f>
        <v>BR0905</v>
      </c>
      <c r="C47" s="107" t="str">
        <f ca="1">IFERROR(__xludf.DUMMYFUNCTION("""COMPUTED_VALUE"""),"Change user password")</f>
        <v>Change user password</v>
      </c>
      <c r="D47" s="107" t="str">
        <f ca="1">IFERROR(__xludf.DUMMYFUNCTION("""COMPUTED_VALUE""")," 1. Once logged in, a customer or back-office user may choose to change their password.
	• Capture a new password (double-entry with strength-check)
	• Present password changed confirmation message.
 2. A user administrator may reset any user's password ("&amp;"but not change it).
	• A password reset email is sent to the applicable user's email address.")</f>
        <v xml:space="preserve"> 1. Once logged in, a customer or back-office user may choose to change their password.
	• Capture a new password (double-entry with strength-check)
	• Present password changed confirmation message.
 2. A user administrator may reset any user's password (but not change it).
	• A password reset email is sent to the applicable user's email address.</v>
      </c>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t="str">
        <f ca="1">IFERROR(__xludf.DUMMYFUNCTION("""COMPUTED_VALUE"""),"BR0906")</f>
        <v>BR0906</v>
      </c>
      <c r="C48" s="107" t="str">
        <f ca="1">IFERROR(__xludf.DUMMYFUNCTION("""COMPUTED_VALUE"""),"Recover own username (registered email address)")</f>
        <v>Recover own username (registered email address)</v>
      </c>
      <c r="D48" s="107" t="str">
        <f ca="1">IFERROR(__xludf.DUMMYFUNCTION("""COMPUTED_VALUE""")," 1. When prompted to login, a customer may choose a forgot login name function, to recover their login details.
	• The customer captures their cellphone number and identity number.
	• The cellphone number and identity number is used to identify the custom"&amp;"er, to prompt for the answer to their secret question.
	• Once the correct customer is identified and their secret question answered, the user is informed about an SMS sent to their cellphone, containing their login username.
 2. Business Rule: A back-off"&amp;"ice user may not change their login username. It must be requested via the approved business/IT channels.")</f>
        <v xml:space="preserve"> 1. When prompted to login, a customer may choose a forgot login name function, to recover their login details.
	• The customer captures their cellphone number and identity number.
	• The cellphone number and identity number is used to identify the customer, to prompt for the answer to their secret question.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t="str">
        <f ca="1">IFERROR(__xludf.DUMMYFUNCTION("""COMPUTED_VALUE"""),"BR0907")</f>
        <v>BR0907</v>
      </c>
      <c r="C49" s="107" t="str">
        <f ca="1">IFERROR(__xludf.DUMMYFUNCTION("""COMPUTED_VALUE"""),"Administer locked users")</f>
        <v>Administer locked users</v>
      </c>
      <c r="D49" s="107" t="str">
        <f ca="1">IFERROR(__xludf.DUMMYFUNCTION("""COMPUTED_VALUE""")," 1. Review the list of locked user accounts on a weekly basis.
 2. On activating a locked user, a password reset email is triggered for that user.")</f>
        <v xml:space="preserve"> 1. Review the list of locked user accounts on a weekly basis.
 2. On activating a locked user, a password reset email is triggered for that user.</v>
      </c>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c r="B50" s="106" t="str">
        <f ca="1">IFERROR(__xludf.DUMMYFUNCTION("""COMPUTED_VALUE"""),"BR0908")</f>
        <v>BR0908</v>
      </c>
      <c r="C50" s="107" t="str">
        <f ca="1">IFERROR(__xludf.DUMMYFUNCTION("""COMPUTED_VALUE"""),"Administer abandoned users")</f>
        <v>Administer abandoned users</v>
      </c>
      <c r="D50" s="107" t="str">
        <f ca="1">IFERROR(__xludf.DUMMYFUNCTION("""COMPUTED_VALUE""")," 1. Automatically mark users as abandoned after a parameter-driven number of days, differentiated between internal users and customers.
 2. Automatically flag a user as no longer abandoned when they login to their online account.
 3. Review the list of ab"&amp;"andoned user accounts on a weekly basis.
 4. Automatically remind customers with no activity (a parameter-driven number of times) about the benefits of using B2C Co, and that they are missed.
 5. Automatically remind internal users with no activity (numbe"&amp;"r of times) about their new user account.
 6. Manually mark identified abandoned internal user accounts for archiving.
 7. Automatically mark identified abandoned customer user accounts for archiving after a parameter-driven number of days (few months).")</f>
        <v xml:space="preserve"> 1. Automatically mark users as abandoned after a parameter-driven number of days, differentiated between internal users and customers.
 2. Automatically flag a user as no longer abandoned when they login to their online account.
 3. Review the list of abandoned user accounts on a weekly basis.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t="str">
        <f ca="1">IFERROR(__xludf.DUMMYFUNCTION("""COMPUTED_VALUE"""),"10 Online Shop Layout")</f>
        <v>10 Online Shop Layout</v>
      </c>
      <c r="B51" s="106" t="str">
        <f ca="1">IFERROR(__xludf.DUMMYFUNCTION("""COMPUTED_VALUE"""),"ReqID")</f>
        <v>ReqID</v>
      </c>
      <c r="C51" s="107" t="str">
        <f ca="1">IFERROR(__xludf.DUMMYFUNCTION("""COMPUTED_VALUE"""),"Requirement")</f>
        <v>Requirement</v>
      </c>
      <c r="D51" s="107" t="str">
        <f ca="1">IFERROR(__xludf.DUMMYFUNCTION("""COMPUTED_VALUE"""),"Description")</f>
        <v>Description</v>
      </c>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t="str">
        <f ca="1">IFERROR(__xludf.DUMMYFUNCTION("""COMPUTED_VALUE"""),"BR1001")</f>
        <v>BR1001</v>
      </c>
      <c r="C52" s="107" t="str">
        <f ca="1">IFERROR(__xludf.DUMMYFUNCTION("""COMPUTED_VALUE"""),"Present an online shop for anonymous visitors")</f>
        <v>Present an online shop for anonymous visitors</v>
      </c>
      <c r="D52" s="107" t="str">
        <f ca="1">IFERROR(__xludf.DUMMYFUNCTION("""COMPUTED_VALUE""")," 1. The online shop must be presented as follows for an anonymous site visitor:
 2. Online shop sections:
	• Home page
	• Online shopfront
	• Shopping Cart review
	• About Us page
	• Contact Us page
	• Login page
 3. Main navigation menu options (on every"&amp;" page):
	• Home (return to main shopping page)
	• Quick-link to a current special event (e.g. Black Friday, Easter Specials)
	• Browse by category (categories as sub-items)
	• About Us
	• Contact Us
 4. User menu options (on every page):
	• Shopping Cart "&amp;"(also show qty products in cart)
	• Login
 5. Home page:
	• Present a message welcoming the anonymous visitor to the online shop.
	• Present a quick-link to any current special event (e.g. Black Friday, Easter Specials)
	• Present the shopfront search fun"&amp;"ction.
	• Present the highest rated advertisements for each main category.
	• If a special event is in effect, give that priority.")</f>
        <v xml:space="preserve"> 1. The online shop must be presented as follows for an anonymous site visitor:
 2. Online shop sections:
	• Home page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t="str">
        <f ca="1">IFERROR(__xludf.DUMMYFUNCTION("""COMPUTED_VALUE"""),"BR1002")</f>
        <v>BR1002</v>
      </c>
      <c r="C53" s="107" t="str">
        <f ca="1">IFERROR(__xludf.DUMMYFUNCTION("""COMPUTED_VALUE"""),"Present an online shop for logged-in customers")</f>
        <v>Present an online shop for logged-in customers</v>
      </c>
      <c r="D53" s="107" t="str">
        <f ca="1">IFERROR(__xludf.DUMMYFUNCTION("""COMPUTED_VALUE""")," 1. The online shop must be presented as follows for a customer:
 2. Online shop sections:
	• Home page
	• Online shopfront
	• Shopping Cart section
	• About Us page
	• Contact Us page
	• Customer Profile and History section
 3. Main navigation menu optio"&amp;"ns (on every page):
	• Home (return to main shopping page)
	• Quick-link to a current special event (e.g. Black Friday, Easter Specials)
	• Browse by category (categories as sub-items)
	• About Us
	• Contact Us
 4. User menu options (on every page):
	• Cu"&amp;"stomer profile
	• Shopping Cart (also show qty products in cart)
	• Orders
	• Returns
	• Messages
	• Logout
 5. Home page:
	• Present a message welcoming the customer back to to the online shop.
	• Possibly indicate when they last visited.
	• Alert the cu"&amp;"stomer of any new messages for them from the business, with an option to view the messages.
	• Present a quick-link to any current special event (e.g. Black Friday, Easter Specials)
	• Present the shopfront search function.
	• Present the highest rated ad"&amp;"vertisements for each main category.
	• If a special event is in effect, give that priority.
	• Apply the customer's family criteria when selecting the results.")</f>
        <v xml:space="preserve"> 1. The online shop must be presented as follows for a customer:
 2. Online shop sections:
	• Home page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t="str">
        <f ca="1">IFERROR(__xludf.DUMMYFUNCTION("""COMPUTED_VALUE"""),"BR1003")</f>
        <v>BR1003</v>
      </c>
      <c r="C54" s="107" t="str">
        <f ca="1">IFERROR(__xludf.DUMMYFUNCTION("""COMPUTED_VALUE"""),"Present an online shop for logged-in back-office users")</f>
        <v>Present an online shop for logged-in back-office users</v>
      </c>
      <c r="D54" s="107" t="str">
        <f ca="1">IFERROR(__xludf.DUMMYFUNCTION("""COMPUTED_VALUE""")," 1. The online shop must be presented as follows for back-office users that are required to use the online shop front-end:
	• For a supplier fulfilment user, refer to the View and print the customer documentation for a supplier from the online shop requir"&amp;"ement in the Supplier Orders Fulfilment section
 2. Online shop sections:
	• Back-end Administration section applicable to the user (home page)
	• About Us page
	• Contact Us page
	• User Profile
 3. Main navigation menu options (on every page):
	• Home ("&amp;"return to back-office section for user)
	• About Us
	• Contact Us
 4. User menu options (on every page):
	• User profile
	• Messages (if applicable)
	• Logout
 5. Home page:
	• Present a message welcoming the customer back to to the online shop.
	• Possib"&amp;"ly indicate when they last visited.
	• Alert the customer of any new messages for them from the business, with an option to view the messages (if applicable).
	• Present the applicable back-office function(s) main page for the back-office user, as detaile"&amp;"d in the following section(s):
	• Supplier Orders Fulfilment
 6. Do not show the online shopfront components (as detailed in the Present the online shopfront as part of the online shop requirement) to back-office users using the online shop.")</f>
        <v xml:space="preserve"> 1. The online shop must be presented as follows for back-office users that are required to use the online shop front-end:
	• For a supplier fulfilment user, refer to the View and print the customer documentation for a supplier from the online shop requirement in the Supplier Orders Fulfilment section
 2. Online shop sections: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t="str">
        <f ca="1">IFERROR(__xludf.DUMMYFUNCTION("""COMPUTED_VALUE"""),"BR1004")</f>
        <v>BR1004</v>
      </c>
      <c r="C55" s="107" t="str">
        <f ca="1">IFERROR(__xludf.DUMMYFUNCTION("""COMPUTED_VALUE"""),"Present the online shopfront as part of the online shop")</f>
        <v>Present the online shopfront as part of the online shop</v>
      </c>
      <c r="D55" s="107" t="str">
        <f ca="1">IFERROR(__xludf.DUMMYFUNCTION("""COMPUTED_VALUE""")," 1. The online shopfront consists of the following (synchronised) sections:
	• Shopping search function
	• A quick-link to any current special event (e.g. Black Friday, Easter Specials)
	• Sort criteria, to sort the search results
	• Filter criteria appli"&amp;"cable to the presented products search results list
	• Presented search results, with the sort and filter criteria applied.
	• Pager navigation for presenting the next set (configurable count) of results
	• On the side, advertisements, matched to the sear"&amp;"ch results
	• On the side, recommended articles, matched to the search results
 2. The filter criteria applicable to the current results are always shown next to the search results.
	• For each filter dimension, the current number of matches per criteria "&amp;"entry is listed with the item.
 3. The user may change the filter criteria applied to the search results.
	• When a user changes any filter criteria, all the filter criteria are presented together, to enable the user to apply multiple changes together.
	•"&amp;" For any given filter dimension, the user may select multiple items.
 4. The user may change the following filter criteria dimensions, as may be applicable to the search results:
	• Main product category hierarchy
	• Price bands
	• Brands
	• Availability
"&amp;"	• Properties meta-tag hierarchies
	• Promotion
	• Special event
 5. The user may change the sort order for the search results:
	• When a user changes sort criteria, the change is applied immediately, with the search results refreshed in the new order.
	•"&amp;" When changing the sort order, the user is returned to the first item in the (sorted) results list.
 6. Back-office users must be presented the same shop-front as customers.
 7. Relevant promoted advertisements and articles are presented alongside the sea"&amp;"rch results.
 8. Relevant promoted products and articles are presented on a product page.")</f>
        <v xml:space="preserve"> 1. The online shopfront consists of the following (synchronised) sections:
	• Shopping search function
	• A quick-link to any current special event (e.g. Black Friday, Easter Specials)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t="str">
        <f ca="1">IFERROR(__xludf.DUMMYFUNCTION("""COMPUTED_VALUE"""),"BR1005")</f>
        <v>BR1005</v>
      </c>
      <c r="C56" s="107" t="str">
        <f ca="1">IFERROR(__xludf.DUMMYFUNCTION("""COMPUTED_VALUE"""),"Present product in the online shop")</f>
        <v>Present product in the online shop</v>
      </c>
      <c r="D56" s="107" t="str">
        <f ca="1">IFERROR(__xludf.DUMMYFUNCTION("""COMPUTED_VALUE""")," 1. The search results teaser view of a product contains at least the following:
	• Title (link to product)
	• Thumbnail image (of default; link to product)
	• Brand
	• Teaser
	• Price (incl.)
	• Icons to add the product to: Shopping Cart, Favourites, Wis"&amp;"h-list
	• Promotion type (if applicable)
 2. The recommended product teaser view of a product contains at least the following:
	• Title (link to product)
	• Small image (of default; link to product)
	• Price (incl.)
	• Icons to add the product to: Shoppin"&amp;"g Cart, Favourites, Wish-list
	• Promotion type (if applicable)
 3. The full page view of a product contains at least the following:
	• Title
	• Meta-tag hierarchy (category hierarchy as breadcrumb; links to category search)
	• Medium Image (of default, w"&amp;"ith option to view all images in full)
	• Brand
	• Price (incl.)
	• Description (full text)
	• Specification
	• Icons, to add the product to the: Shopping Cart, Favourites, Wish-list
 4. On a product page, other products may be promoted:
	• Similar produc"&amp;"ts (same meta-tags)
	• Also bought
 5. Also see the Enrich product meta-data for online use requirements of the Enrich Content section.
 6. On a product page, present a list of similar products, as detailed in the Identify appropriate products to promote "&amp;"on a product page requirement of the Online Shop Recommended Content section.
 7. On a product page, present a list of also-bought products, as detailed in the Identify appropriate products to promote on a product page requirement of the Online Shop Recom"&amp;"mended Content section.")</f>
        <v xml:space="preserve"> 1. The search results teaser view of a product contains at least the following:
	• Title (link to product)
	• Thumbnail image (of default; link to product)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t="str">
        <f ca="1">IFERROR(__xludf.DUMMYFUNCTION("""COMPUTED_VALUE"""),"BR1006")</f>
        <v>BR1006</v>
      </c>
      <c r="C57" s="107" t="str">
        <f ca="1">IFERROR(__xludf.DUMMYFUNCTION("""COMPUTED_VALUE"""),"Present advertisement in the online shop")</f>
        <v>Present advertisement in the online shop</v>
      </c>
      <c r="D57" s="107" t="str">
        <f ca="1">IFERROR(__xludf.DUMMYFUNCTION("""COMPUTED_VALUE""")," 1. The banner view of an advertisement contains at least the following:
	• Banner image (of default; link to advertisement)
	• Price (incl.)
	• Title &amp; Teaser (presented on hover)
 2. The search results teaser view of an advertisement contains at least t"&amp;"he following:
	• Title (link to advertisement)
	• Thumbnail image (of default; link to advertisement)
	• Teaser
	• Price (incl.)
	• Promotion type
	• Icons to add the product to: Shopping Cart, Favourites, Wish-list
 3. The promoted advertisement teaser v"&amp;"iew contains at least the following:
	• Title (link to advertisement)
	• Small image (of default; link to advertisement)
	• Teaser
	• Price (incl.)
	• Promotion type
	• Icons to add the product to: Shopping Cart, Favourites, Wish-list
 4. The full page vi"&amp;"ew of an advertisement contains at least the following:
	• Title
	• Medium Image (of default, with option to view all images in full)
	• Price (incl.)
	• Description (full text with images)
	• Icons, to add the product to the: Shopping Cart, Favourites, W"&amp;"ish-list
 5. Also see the Enrich advertisement meta-data for online use requirements of the Enrich Content section.")</f>
        <v xml:space="preserve"> 1. The banner view of an advertisement contains at least the following:
	• Banner image (of default; link to advertisement)
	• Price (incl.)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t="str">
        <f ca="1">IFERROR(__xludf.DUMMYFUNCTION("""COMPUTED_VALUE"""),"BR1007")</f>
        <v>BR1007</v>
      </c>
      <c r="C58" s="107" t="str">
        <f ca="1">IFERROR(__xludf.DUMMYFUNCTION("""COMPUTED_VALUE"""),"Present article in the online shop")</f>
        <v>Present article in the online shop</v>
      </c>
      <c r="D58" s="107" t="str">
        <f ca="1">IFERROR(__xludf.DUMMYFUNCTION("""COMPUTED_VALUE""")," 1. The search results teaser view of an article contains at least the following:
	• Title (link to article)
	• Thumbnail image (of default; link to article)
	• Teaser
	• Icon to add the product to Article Library
 2. The teaser view of an article contain"&amp;"s at least the following:
	• Title (link to article)
	• Small Image (of default; link to article)
	• Teaser
	• Icon to add the product to Article Library
 3. The full page view of an article contains at least the following:
	• Title
	• Medium Image (of de"&amp;"fault, with option to view all images in full)
	• Price (incl.)
	• Description (full text with images)
	• Icon to add the product to Article Library
 4. Also see the Enrich special content meta-data for online use requirements of the Enrich Content sectio"&amp;"n.")</f>
        <v xml:space="preserve"> 1. The search results teaser view of an article contains at least the following:
	• Title (link to article)
	• Thumbnail image (of default; link to article)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t="str">
        <f ca="1">IFERROR(__xludf.DUMMYFUNCTION("""COMPUTED_VALUE"""),"BR1008")</f>
        <v>BR1008</v>
      </c>
      <c r="C59" s="107" t="str">
        <f ca="1">IFERROR(__xludf.DUMMYFUNCTION("""COMPUTED_VALUE"""),"Present information about the business (About Us)")</f>
        <v>Present information about the business (About Us)</v>
      </c>
      <c r="D59" s="107" t="str">
        <f ca="1">IFERROR(__xludf.DUMMYFUNCTION("""COMPUTED_VALUE""")," 1. The About Us page must detail at least the following about the business:
	• Company registration details
	• Company address
	• Company Directors [TBC]
	• Main brand identity and positioning message")</f>
        <v xml:space="preserve"> 1. The About Us page must detail at least the following about the business:
	• Company registration details
	• Company address
	• Company Directors [TBC]
	• Main brand identity and positioning message</v>
      </c>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t="str">
        <f ca="1">IFERROR(__xludf.DUMMYFUNCTION("""COMPUTED_VALUE"""),"BR1009")</f>
        <v>BR1009</v>
      </c>
      <c r="C60" s="107" t="str">
        <f ca="1">IFERROR(__xludf.DUMMYFUNCTION("""COMPUTED_VALUE"""),"Provide the ability to contact the business (Contact Us)")</f>
        <v>Provide the ability to contact the business (Contact Us)</v>
      </c>
      <c r="D60" s="107" t="str">
        <f ca="1">IFERROR(__xludf.DUMMYFUNCTION("""COMPUTED_VALUE""")," 1. The Contact Us page must contain at least the following:
 2. Contact details for the business contact centre
 3. Contact form, to enable a visitor/user to submit a message to the business:
	• Name
	• Email address (logged-in user cannot modify)
	• Ref"&amp;"erence (order / return reference)
	• Subject
	• Text description (plain text, but multi-line)
	• For anonymous visitors, a CAPTCHA prompt is recommended to be required.
 4. Cater for at least the following topics via the online shop contact form:
	• Shopp"&amp;"ing General Issue / Suggestion
	• Complaint / Compliment
	• Advertisement
	• Product Issue / Suggestion
	• Price
	• Article Issue / Suggestion
	• Checkout and Payment Issue / Suggestion
 5. Provide information to direct the customer to the appropriate are"&amp;"a for the following:
	• Order Enquiry
	• Order Cancellation Request
	• Return Request
	• Return Enquiry
 6. A contact form submission is processed as follows:
	• A submission confirmation message is presented, thanking the user for their submission.
	• A "&amp;"copy of the submitted contact form is sent to the supplied email address.
	• Compliments and complains are directed to Marketing
	• Orders and returns are directed to Orders management
	• All other submissions are directed to the call centre
 7. Also see "&amp;"the following requirements:
	• Enquire about order in the View Orders section
	• Request product return in the Return Products section
	• Enquire about return request in the Return Products section
	• Customer Messages section")</f>
        <v xml:space="preserve"> 1. The Contact Us page must contain at least the following:
 2. Contact details for the business contact centre
 3. Contact form, to enable a visitor/user to submit a message to the business: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t="str">
        <f ca="1">IFERROR(__xludf.DUMMYFUNCTION("""COMPUTED_VALUE"""),"BR1010")</f>
        <v>BR1010</v>
      </c>
      <c r="C61" s="107" t="str">
        <f ca="1">IFERROR(__xludf.DUMMYFUNCTION("""COMPUTED_VALUE"""),"Present a footer on all pages for all users")</f>
        <v>Present a footer on all pages for all users</v>
      </c>
      <c r="D61" s="107" t="str">
        <f ca="1">IFERROR(__xludf.DUMMYFUNCTION("""COMPUTED_VALUE""")," 1. The footer must contain at least the following:
	• Copyright notice for online shop and content
	• Link to display the online shop terms and conditions
	• Link display the B2C Co privacy policy")</f>
        <v xml:space="preserve"> 1. The footer must contain at least the following:
	• Copyright notice for online shop and content
	• Link to display the online shop terms and conditions
	• Link display the B2C Co privacy policy</v>
      </c>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t="str">
        <f ca="1">IFERROR(__xludf.DUMMYFUNCTION("""COMPUTED_VALUE"""),"BR1011")</f>
        <v>BR1011</v>
      </c>
      <c r="C62" s="107" t="str">
        <f ca="1">IFERROR(__xludf.DUMMYFUNCTION("""COMPUTED_VALUE"""),"Present the online shop terms and conditions of use")</f>
        <v>Present the online shop terms and conditions of use</v>
      </c>
      <c r="D62" s="107" t="str">
        <f ca="1">IFERROR(__xludf.DUMMYFUNCTION("""COMPUTED_VALUE""")," 1. When selecting the Terms and Conditions link, the online shop usage terms and conditions must be presented as a new page/tab.
 2. The title and full text of the terms and conditions must be presented on the page.
 3. The date last updated must be clea"&amp;"rly presented.
 4. The use must be able to download a copy of the text as a pdf file.
	• The file must be contain the business name, title of the page and revision date (yyyymmdd)")</f>
        <v xml:space="preserve"> 1. When selecting the Terms and Conditions link, the online shop usage terms and conditions must be presented as a new page/tab.
 2. The title and full text of the terms and conditions must be presented on the page.
 3. The date last updated must be clearly presented.
 4. The use must be able to download a copy of the text as a pdf file.
	• The file must be contain the business name, title of the page and revision date (yyyymmdd)</v>
      </c>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t="str">
        <f ca="1">IFERROR(__xludf.DUMMYFUNCTION("""COMPUTED_VALUE"""),"BR1012")</f>
        <v>BR1012</v>
      </c>
      <c r="C63" s="107" t="str">
        <f ca="1">IFERROR(__xludf.DUMMYFUNCTION("""COMPUTED_VALUE"""),"Present the B2C Co Information Privacy Policy")</f>
        <v>Present the B2C Co Information Privacy Policy</v>
      </c>
      <c r="D63" s="107" t="str">
        <f ca="1">IFERROR(__xludf.DUMMYFUNCTION("""COMPUTED_VALUE""")," 1. When selecting the privacy policy link, the B2C Co information privacy policy must be presented as a new page/tab.
 2. The title and full text of the privacy policy must be presented on the page.
 3. The use must be able to download a copy of the text"&amp;" as a pdf file.
	• The file must be contain the business name, title of the page and revision date (yyyymmdd)")</f>
        <v xml:space="preserve"> 1. When selecting the privacy policy link, the B2C Co information privacy policy must be presented as a new page/tab.
 2. The title and full text of the privacy policy must be presented on the page.
 3. The use must be able to download a copy of the text as a pdf file.
	• The file must be contain the business name, title of the page and revision date (yyyymmdd)</v>
      </c>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t="str">
        <f ca="1">IFERROR(__xludf.DUMMYFUNCTION("""COMPUTED_VALUE"""),"11 Online Shop Navigation")</f>
        <v>11 Online Shop Navigation</v>
      </c>
      <c r="B64" s="106" t="str">
        <f ca="1">IFERROR(__xludf.DUMMYFUNCTION("""COMPUTED_VALUE"""),"ReqID")</f>
        <v>ReqID</v>
      </c>
      <c r="C64" s="107" t="str">
        <f ca="1">IFERROR(__xludf.DUMMYFUNCTION("""COMPUTED_VALUE"""),"Requirement")</f>
        <v>Requirement</v>
      </c>
      <c r="D64" s="107" t="str">
        <f ca="1">IFERROR(__xludf.DUMMYFUNCTION("""COMPUTED_VALUE"""),"Description")</f>
        <v>Description</v>
      </c>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t="str">
        <f ca="1">IFERROR(__xludf.DUMMYFUNCTION("""COMPUTED_VALUE"""),"BR1101")</f>
        <v>BR1101</v>
      </c>
      <c r="C65" s="107" t="str">
        <f ca="1">IFERROR(__xludf.DUMMYFUNCTION("""COMPUTED_VALUE"""),"Search for products or articles")</f>
        <v>Search for products or articles</v>
      </c>
      <c r="D65" s="107" t="str">
        <f ca="1">IFERROR(__xludf.DUMMYFUNCTION("""COMPUTED_VALUE""")," 1. The user submits one or more full or partial words to search with.
	• The in-progress search is visually indicated to the user (e.g. spinning circle, hourglass, etc.)
 2. Alternately, a search is triggered when they click a link in an article checklis"&amp;"t.
 3. The search results list is presented, consisting of a combination of the following:
	• Priority Advertisements
	• Priority Articles
	• Products
 4. In addition, the following is placed in promotion areas on the side of the search results:
	• Advert"&amp;"isements matching the current meta-tags (excluding those already listed in the search results)
	• Articles matching the current meta-tags (excluding those already listed in the search results)
	• Advertisements and articles are selected to fill a limited "&amp;"number of promotion display positions.
 5. The filter criteria presents the meta-tag dimensions and related meta-tag items found in the search results.
 6. Whenever the user makes a selection from the filter criteria, the results list is further refined.
"&amp;"	• The items displayed in the promotion areas are also refreshed.
 7. Also refer to the requirements in the following sections:
	• Online Shop
	• Online Shop Recommended Content section
 8. By choosing a category/subcategory from the main menu, the search"&amp;" is reset and that selection is applied as the new search.")</f>
        <v xml:space="preserve"> 1. The user submits one or more full or partial words to search with.
	• The in-progress search is visually indicated to the user (e.g. spinning circle, hourglass, etc.)
 2. Alternately, a search is triggered when they click a link in an article checklist.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t="str">
        <f ca="1">IFERROR(__xludf.DUMMYFUNCTION("""COMPUTED_VALUE"""),"BR1102")</f>
        <v>BR1102</v>
      </c>
      <c r="C66" s="107" t="str">
        <f ca="1">IFERROR(__xludf.DUMMYFUNCTION("""COMPUTED_VALUE"""),"View a product")</f>
        <v>View a product</v>
      </c>
      <c r="D66" s="107" t="str">
        <f ca="1">IFERROR(__xludf.DUMMYFUNCTION("""COMPUTED_VALUE""")," 1. A user may choose to view the full version of a product in the online shop:
	• From their favourites list
	• From their wish-list
	• From the similar or also-bought products lists on a product page
	• From their shopping cart
	• From the search result"&amp;"s
	• From an advertisement on the online shop
	• From a link in an article
	• From a link in an email they received (referral is recorded)
	• From a link in an advertisement published elsewhere on the internet (referral is recorded)
 2. Also see the Prese"&amp;"nt product in the online shop requirement in the Online Shop section.")</f>
        <v xml:space="preserve"> 1. A user may choose to view the full version of a product in the online shop:
	• From their favourites list
	• From their wish-list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t="str">
        <f ca="1">IFERROR(__xludf.DUMMYFUNCTION("""COMPUTED_VALUE"""),"BR1103")</f>
        <v>BR1103</v>
      </c>
      <c r="C67" s="107" t="str">
        <f ca="1">IFERROR(__xludf.DUMMYFUNCTION("""COMPUTED_VALUE"""),"View an advertisement")</f>
        <v>View an advertisement</v>
      </c>
      <c r="D67" s="107" t="str">
        <f ca="1">IFERROR(__xludf.DUMMYFUNCTION("""COMPUTED_VALUE""")," 1. A user may choose to view the full version of an advertisement in the online shop:
	• From the search results
	• From a promoted advertisement banner on the online shop
	• From a promoted advertisement on the online shop
	• From a link in an email the"&amp;"y received (referral is recorded)
	• From a link in an advertisement published elsewhere on the internet (referral is recorded)
 2. Also see the Present advertisement in the online shop requirement in the Online Shop section.")</f>
        <v xml:space="preserve"> 1. A user may choose to view the full version of an advertisement in the online shop:
	• From the search results
	• From a promoted advertisement banner on the online shop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t="str">
        <f ca="1">IFERROR(__xludf.DUMMYFUNCTION("""COMPUTED_VALUE"""),"BR1104")</f>
        <v>BR1104</v>
      </c>
      <c r="C68" s="107" t="str">
        <f ca="1">IFERROR(__xludf.DUMMYFUNCTION("""COMPUTED_VALUE"""),"View an article")</f>
        <v>View an article</v>
      </c>
      <c r="D68" s="107" t="str">
        <f ca="1">IFERROR(__xludf.DUMMYFUNCTION("""COMPUTED_VALUE""")," 1. A user may choose to view the full version of an article in the online shop:
	• From their articles library
	• From the search results
	• From a promoted article on the online shop
	• From a link in an email they received (referral is recorded)
	• Fro"&amp;"m a link in a publication/advertisement published elsewhere on the internet (referral is recorded)
 2. Also see the Present article in the online shop requirement in the Online Shop section.")</f>
        <v xml:space="preserve"> 1. A user may choose to view the full version of an article in the online shop:
	• From their articles library
	• From the search results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t="str">
        <f ca="1">IFERROR(__xludf.DUMMYFUNCTION("""COMPUTED_VALUE"""),"BR1105")</f>
        <v>BR1105</v>
      </c>
      <c r="C69" s="107" t="str">
        <f ca="1">IFERROR(__xludf.DUMMYFUNCTION("""COMPUTED_VALUE"""),"Add a product to the shopping cart")</f>
        <v>Add a product to the shopping cart</v>
      </c>
      <c r="D69" s="107" t="str">
        <f ca="1">IFERROR(__xludf.DUMMYFUNCTION("""COMPUTED_VALUE""")," 1. A user may add a product to their shopping cart:
	• From the search results
	• When viewing a product
	• When viewing an advertisement
	• From the similar products list on a product page
	• From the also-bought products list on a product page
	• From "&amp;"their favourites
	• From their wish-list")</f>
        <v xml:space="preserve"> 1. A user may add a product to their shopping cart:
	• From the search results
	• When viewing a product
	• When viewing an advertisement
	• From the similar products list on a product page
	• From the also-bought products list on a product page
	• From their favourites
	• From their wish-list</v>
      </c>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t="str">
        <f ca="1">IFERROR(__xludf.DUMMYFUNCTION("""COMPUTED_VALUE"""),"BR1106")</f>
        <v>BR1106</v>
      </c>
      <c r="C70" s="107" t="str">
        <f ca="1">IFERROR(__xludf.DUMMYFUNCTION("""COMPUTED_VALUE"""),"Add a product to the favourites or wish-list")</f>
        <v>Add a product to the favourites or wish-list</v>
      </c>
      <c r="D70" s="107" t="str">
        <f ca="1">IFERROR(__xludf.DUMMYFUNCTION("""COMPUTED_VALUE""")," 1. A user may add/remove a product to their favourites:
	• From the search results
	• When viewing a product
	• From the similar products list on a product page
	• From the also-bought products list on a product page
	• When viewing an advertisement
	• F"&amp;"rom their wish-list to their favourites list
	• From their wish-list (add/move)
 2. A user may add/remove a product to their wish-list:
	• From the search results
	• When viewing a product
	• From the similar products list on a product page
	• From the al"&amp;"so-bought products list on a product page
	• When viewing an advertisement
	• From their favourites (add/move)")</f>
        <v xml:space="preserve"> 1. A user may add/remove a product to their favourites:
	• From the search results
	• When viewing a product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t="str">
        <f ca="1">IFERROR(__xludf.DUMMYFUNCTION("""COMPUTED_VALUE"""),"BR1107")</f>
        <v>BR1107</v>
      </c>
      <c r="C71" s="107" t="str">
        <f ca="1">IFERROR(__xludf.DUMMYFUNCTION("""COMPUTED_VALUE"""),"Add article to articles library")</f>
        <v>Add article to articles library</v>
      </c>
      <c r="D71" s="107" t="str">
        <f ca="1">IFERROR(__xludf.DUMMYFUNCTION("""COMPUTED_VALUE""")," 1. A user may add/remove an article to their articles library:
	• From the search results
	• When viewing a promoted article
	• When viewing a full article")</f>
        <v xml:space="preserve"> 1. A user may add/remove an article to their articles library:
	• From the search results
	• When viewing a promoted article
	• When viewing a full article</v>
      </c>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t="str">
        <f ca="1">IFERROR(__xludf.DUMMYFUNCTION("""COMPUTED_VALUE"""),"12 Back-office User Registration")</f>
        <v>12 Back-office User Registration</v>
      </c>
      <c r="B72" s="106" t="str">
        <f ca="1">IFERROR(__xludf.DUMMYFUNCTION("""COMPUTED_VALUE"""),"ReqID")</f>
        <v>ReqID</v>
      </c>
      <c r="C72" s="107" t="str">
        <f ca="1">IFERROR(__xludf.DUMMYFUNCTION("""COMPUTED_VALUE"""),"Requirement")</f>
        <v>Requirement</v>
      </c>
      <c r="D72" s="107" t="str">
        <f ca="1">IFERROR(__xludf.DUMMYFUNCTION("""COMPUTED_VALUE"""),"Description")</f>
        <v>Description</v>
      </c>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t="str">
        <f ca="1">IFERROR(__xludf.DUMMYFUNCTION("""COMPUTED_VALUE"""),"BR1201")</f>
        <v>BR1201</v>
      </c>
      <c r="C73" s="107" t="str">
        <f ca="1">IFERROR(__xludf.DUMMYFUNCTION("""COMPUTED_VALUE"""),"Register back-office users")</f>
        <v>Register back-office users</v>
      </c>
      <c r="D73" s="107" t="str">
        <f ca="1">IFERROR(__xludf.DUMMYFUNCTION("""COMPUTED_VALUE""")," 1. Manually register the following B2C users, based on managerial approval:
	• Business
	• Customer service
	• IT Support
 2. Manually register the following non-B2C users, based on managerial approval:
	• Supplier Order Fulfilment (for customer statemen"&amp;"t and waybill printing - see Supplier Orders Fulfilment section)
 3. Also see the Authenticate online user requirements in the Users section.
 4. Business Rule: The same email address may not be used for more than one active user.")</f>
        <v xml:space="preserve"> 1. Manually register the following B2C users, based on managerial approval:
	• Business
	• Customer service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t="str">
        <f ca="1">IFERROR(__xludf.DUMMYFUNCTION("""COMPUTED_VALUE"""),"BR1202")</f>
        <v>BR1202</v>
      </c>
      <c r="C74" s="107" t="str">
        <f ca="1">IFERROR(__xludf.DUMMYFUNCTION("""COMPUTED_VALUE"""),"Unregister back-office users")</f>
        <v>Unregister back-office users</v>
      </c>
      <c r="D74" s="107" t="str">
        <f ca="1">IFERROR(__xludf.DUMMYFUNCTION("""COMPUTED_VALUE""")," 1. Manually unregister business users:
	• On management instruction
	• After resignation from the organisation")</f>
        <v xml:space="preserve"> 1. Manually unregister business users:
	• On management instruction
	• After resignation from the organisation</v>
      </c>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t="str">
        <f ca="1">IFERROR(__xludf.DUMMYFUNCTION("""COMPUTED_VALUE"""),"13 Back-office User Profile")</f>
        <v>13 Back-office User Profile</v>
      </c>
      <c r="B75" s="106" t="str">
        <f ca="1">IFERROR(__xludf.DUMMYFUNCTION("""COMPUTED_VALUE"""),"ReqID")</f>
        <v>ReqID</v>
      </c>
      <c r="C75" s="107" t="str">
        <f ca="1">IFERROR(__xludf.DUMMYFUNCTION("""COMPUTED_VALUE"""),"Requirement")</f>
        <v>Requirement</v>
      </c>
      <c r="D75" s="107" t="str">
        <f ca="1">IFERROR(__xludf.DUMMYFUNCTION("""COMPUTED_VALUE"""),"Description")</f>
        <v>Description</v>
      </c>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t="str">
        <f ca="1">IFERROR(__xludf.DUMMYFUNCTION("""COMPUTED_VALUE"""),"BR1301")</f>
        <v>BR1301</v>
      </c>
      <c r="C76" s="107" t="str">
        <f ca="1">IFERROR(__xludf.DUMMYFUNCTION("""COMPUTED_VALUE"""),"View back-office user profile")</f>
        <v>View back-office user profile</v>
      </c>
      <c r="D76" s="107" t="str">
        <f ca="1">IFERROR(__xludf.DUMMYFUNCTION("""COMPUTED_VALUE""")," 1. A back-office user may at any time choose an option from their user menu/links, to view their back-office user profile.
 2. A back-office user profile consists of the following:
	• User details
	• Change password")</f>
        <v xml:space="preserve"> 1. A back-office user may at any time choose an option from their user menu/links, to view their back-office user profile.
 2. A back-office user profile consists of the following:
	• User details
	• Change password</v>
      </c>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t="str">
        <f ca="1">IFERROR(__xludf.DUMMYFUNCTION("""COMPUTED_VALUE"""),"BR1302")</f>
        <v>BR1302</v>
      </c>
      <c r="C77" s="107" t="str">
        <f ca="1">IFERROR(__xludf.DUMMYFUNCTION("""COMPUTED_VALUE"""),"Change password")</f>
        <v>Change password</v>
      </c>
      <c r="D77" s="107" t="str">
        <f ca="1">IFERROR(__xludf.DUMMYFUNCTION("""COMPUTED_VALUE""")," 1. From their back-office user profile, the user may change their login password, as detailed in the Change own password requirements of the Users section.")</f>
        <v xml:space="preserve"> 1. From their back-office user profile, the user may change their login password, as detailed in the Change own password requirements of the Users section.</v>
      </c>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t="str">
        <f ca="1">IFERROR(__xludf.DUMMYFUNCTION("""COMPUTED_VALUE"""),"14 Customer Registration")</f>
        <v>14 Customer Registration</v>
      </c>
      <c r="B78" s="106" t="str">
        <f ca="1">IFERROR(__xludf.DUMMYFUNCTION("""COMPUTED_VALUE"""),"ReqID")</f>
        <v>ReqID</v>
      </c>
      <c r="C78" s="107" t="str">
        <f ca="1">IFERROR(__xludf.DUMMYFUNCTION("""COMPUTED_VALUE"""),"Requirement")</f>
        <v>Requirement</v>
      </c>
      <c r="D78" s="107" t="str">
        <f ca="1">IFERROR(__xludf.DUMMYFUNCTION("""COMPUTED_VALUE"""),"Description")</f>
        <v>Description</v>
      </c>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t="str">
        <f ca="1">IFERROR(__xludf.DUMMYFUNCTION("""COMPUTED_VALUE"""),"BR1401")</f>
        <v>BR1401</v>
      </c>
      <c r="C79" s="107" t="str">
        <f ca="1">IFERROR(__xludf.DUMMYFUNCTION("""COMPUTED_VALUE"""),"Register customer")</f>
        <v>Register customer</v>
      </c>
      <c r="D79" s="107" t="str">
        <f ca="1">IFERROR(__xludf.DUMMYFUNCTION("""COMPUTED_VALUE""")," 1. A customer may register with the B2C Co online shop whenever they are presented the option to login:
	• On the login page
	• On begin prompted to login when choosing to checkout their anonymous shopping cart
	• On begin prompted to login when using a "&amp;"customer link that requires a user to be logged in
 2. A person registers as B2C Co customer by providing the following minimum details:
	• Name and Surname
	• ID Type: SA ID, or Passport
	• If SA ID, capture SA ID number (13 digits, validated as SA ID, w"&amp;"ith checksum)
	• If passport, capture passport number (6-15 alpha-numeric characters)
	• Title (if SA ID was used, default to Ms/Mr, based on detected gender)
	• Email address (validate format)
	• SA cellphone number (prefix 27, 9 digits)
	• Password (dou"&amp;"ble-entry with strength-check)
	• Secret question and answer (for use to authenticate user forgetting their username, or on a call)
	• Accept the B2C Co online shopping terms and conditions (may click a link to display and review the terms and conditions "&amp;"in a separate browser tab)
	• Once submitted, a confirmation is presented, directing them to look out for the confirmation email with their one-time registration confirmation link.
 3. A newly registered customer confirms their registration using the one-"&amp;"time link in the confirmation email sent to them.
	• The confirmation link presents a welcome confirmation page to the new customer, with the options to start shopping, or visit their profile page.
 4. Business Rule 1: If an SA ID number is provided, the "&amp;"provided title options must be applicable to the gender of the customer.
 5. Business Rule 2: The same email address may not be used for more than one active user of any type.")</f>
        <v xml:space="preserve"> 1. A customer may register with the B2C Co online shop whenever they are presented the option to login:
	• On the login page
	• On begin prompted to login when choosing to checkout their anonymous shopping cart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t="str">
        <f ca="1">IFERROR(__xludf.DUMMYFUNCTION("""COMPUTED_VALUE"""),"BR1402")</f>
        <v>BR1402</v>
      </c>
      <c r="C80" s="107" t="str">
        <f ca="1">IFERROR(__xludf.DUMMYFUNCTION("""COMPUTED_VALUE"""),"Login customer")</f>
        <v>Login customer</v>
      </c>
      <c r="D80" s="107" t="str">
        <f ca="1">IFERROR(__xludf.DUMMYFUNCTION("""COMPUTED_VALUE""")," 1. See the Authenticate online user requirements in the Users section for the login requirements.
 2. After login, the following types of activity the customer had as anonymous user (before logging in), are assigned to the (logged in) customer:
	• Produc"&amp;"ts in shopping cart
	• Products added to favourite list
	• Products added to wish-list
	• Articles added to library
	• Search and navigation history
 3. After login, redirect to the customer's shopping cart if it contains items.")</f>
        <v xml:space="preserve"> 1. See the Authenticate online user requirements in the Users section for the login requirements.
 2. After login, the following types of activity the customer had as anonymous user (before logging in), are assigned to the (logged in) customer:
	• Products in shopping cart
	• Products added to favourite list
	• Products added to wish-list
	• Articles added to library
	• Search and navigation history
 3. After login, redirect to the customer's shopping cart if it contains items.</v>
      </c>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t="str">
        <f ca="1">IFERROR(__xludf.DUMMYFUNCTION("""COMPUTED_VALUE"""),"BR1403")</f>
        <v>BR1403</v>
      </c>
      <c r="C81" s="107" t="str">
        <f ca="1">IFERROR(__xludf.DUMMYFUNCTION("""COMPUTED_VALUE"""),"Unregister customer")</f>
        <v>Unregister customer</v>
      </c>
      <c r="D81" s="107" t="str">
        <f ca="1">IFERROR(__xludf.DUMMYFUNCTION("""COMPUTED_VALUE""")," 1. A logged in user may choose to unregister (resign) from the B2C Co online service.
	• The user is prompted to confirm their resignation, with details on what will be done with their details, including the fact that it is not reversible.
 2. The confir"&amp;"med customer resignation is processed:
	• A goodbye email is sent to the user, to confirm their resignation.
	• The customer is flagged as canceled and their records are anonymised (retained for statistical purposes only).
 3. Anonymise and archive the cu"&amp;"stomer profile and related user.")</f>
        <v xml:space="preserve"> 1. A logged in user may choose to unregister (resign) from the B2C Co online service.
	• The user is prompted to confirm their resignation, with details on what will be done with their details, including the fact that it is not reversible.
 2. The confirmed customer resignation is processed:
	• A goodbye email is sent to the user, to confirm their resignation.
	• The customer is flagged as canceled and their records are anonymised (retained for statistical purposes only).
 3. Anonymise and archive the customer profile and related user.</v>
      </c>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t="str">
        <f ca="1">IFERROR(__xludf.DUMMYFUNCTION("""COMPUTED_VALUE"""),"15 Customer Profile")</f>
        <v>15 Customer Profile</v>
      </c>
      <c r="B82" s="106" t="str">
        <f ca="1">IFERROR(__xludf.DUMMYFUNCTION("""COMPUTED_VALUE"""),"ReqID")</f>
        <v>ReqID</v>
      </c>
      <c r="C82" s="107" t="str">
        <f ca="1">IFERROR(__xludf.DUMMYFUNCTION("""COMPUTED_VALUE"""),"Requirement")</f>
        <v>Requirement</v>
      </c>
      <c r="D82" s="107" t="str">
        <f ca="1">IFERROR(__xludf.DUMMYFUNCTION("""COMPUTED_VALUE"""),"Description")</f>
        <v>Description</v>
      </c>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t="str">
        <f ca="1">IFERROR(__xludf.DUMMYFUNCTION("""COMPUTED_VALUE"""),"BR1501")</f>
        <v>BR1501</v>
      </c>
      <c r="C83" s="107" t="str">
        <f ca="1">IFERROR(__xludf.DUMMYFUNCTION("""COMPUTED_VALUE"""),"View customer profile")</f>
        <v>View customer profile</v>
      </c>
      <c r="D83" s="107" t="str">
        <f ca="1">IFERROR(__xludf.DUMMYFUNCTION("""COMPUTED_VALUE""")," 1. A customer may at any time choose an option from their customer menu/links, to view their customer profile.
 2. A customer profile consists of the following:
	• Personal details
	• Change password
	• Contact details
	• Family details
	• Delivery detai"&amp;"ls
	• Payment details
	• Favourites
	• Wishlist
	• Articles Library")</f>
        <v xml:space="preserve"> 1. A customer may at any time choose an option from their customer menu/links, to view their customer profile.
 2. A customer profile consists of the following:
	• Personal details
	• Change password
	• Contact details
	• Family details
	• Delivery details
	• Payment details
	• Favourites
	• Wishlist
	• Articles Library</v>
      </c>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t="str">
        <f ca="1">IFERROR(__xludf.DUMMYFUNCTION("""COMPUTED_VALUE"""),"BR1502")</f>
        <v>BR1502</v>
      </c>
      <c r="C84" s="107" t="str">
        <f ca="1">IFERROR(__xludf.DUMMYFUNCTION("""COMPUTED_VALUE"""),"Maintain personal details")</f>
        <v>Maintain personal details</v>
      </c>
      <c r="D84" s="107" t="str">
        <f ca="1">IFERROR(__xludf.DUMMYFUNCTION("""COMPUTED_VALUE""")," 1. The customer may updates their:
	• Name (min 1 alpha, space and -' characters)
	• Surname (min 2 alpha, space and -' characters)
	• Title (select)
	• Identity number type (SA ID / Passport or Visa)
	• Identity number - SA ID (SA ID validation)
	• Iden"&amp;"tity number - Passport (7-15 alpha-numeric characters)
 2. To confirm the change to their personal details, the customer must capture a one-time-pin (OTP) sent to their email address.
 3. Also refer to the Register customer requirements of the Customer Re"&amp;"gistration section for more details on the profile fields.
 4. Invalid characters are removed for submitted values.")</f>
        <v xml:space="preserve"> 1. The customer may updates their:
	• Name (min 1 alpha, space and -' characters)
	• Surname (min 2 alpha, space and -' characters)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t="str">
        <f ca="1">IFERROR(__xludf.DUMMYFUNCTION("""COMPUTED_VALUE"""),"BR1503")</f>
        <v>BR1503</v>
      </c>
      <c r="C85" s="107" t="str">
        <f ca="1">IFERROR(__xludf.DUMMYFUNCTION("""COMPUTED_VALUE"""),"Change password")</f>
        <v>Change password</v>
      </c>
      <c r="D85" s="107" t="str">
        <f ca="1">IFERROR(__xludf.DUMMYFUNCTION("""COMPUTED_VALUE""")," 1. From their customer profile, the customer may change their login password, as detailed in the Change own password requirements of the Users section.")</f>
        <v xml:space="preserve"> 1. From their customer profile, the customer may change their login password, as detailed in the Change own password requirements of the Users section.</v>
      </c>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t="str">
        <f ca="1">IFERROR(__xludf.DUMMYFUNCTION("""COMPUTED_VALUE"""),"BR1504")</f>
        <v>BR1504</v>
      </c>
      <c r="C86" s="107" t="str">
        <f ca="1">IFERROR(__xludf.DUMMYFUNCTION("""COMPUTED_VALUE"""),"Maintain contact details")</f>
        <v>Maintain contact details</v>
      </c>
      <c r="D86" s="107" t="str">
        <f ca="1">IFERROR(__xludf.DUMMYFUNCTION("""COMPUTED_VALUE""")," 1. The customer may add a new email address, to replace the old one.
	• It must be in a valid email address format.
	• The customer must capture a one-time code emailed to the new email address, as well as a one-time code sent to their cellphone number ("&amp;"SMS).
	• Once verified, the customer's new email address is used as their login user name.
 2. The customer may update their cellphone number.
	• It must be a valid SA phone number.
	• The customer must capture a one-time-pin (OTP) sent to their cellphone"&amp;" number (SMS).
 3. The customer may change their contact preferences:
	• Primary contact method (email / cellphone)
	• Marketing message consent (yes/no tick box; with explanation of value to customer, to cover special offers on their listed products, etc"&amp;".)
	• Child information message consent (yes/no tick box; with explanation of value to customer, to cover development information and checklists)")</f>
        <v xml:space="preserve"> 1. The customer may add a new email address, to replace the old one.
	• It must be in a valid email address format.
	• The customer must capture a one-time code emailed to the new email address, as well as a one-time code sent to their cellphone number (SMS).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t="str">
        <f ca="1">IFERROR(__xludf.DUMMYFUNCTION("""COMPUTED_VALUE"""),"BR1505")</f>
        <v>BR1505</v>
      </c>
      <c r="C87" s="107" t="str">
        <f ca="1">IFERROR(__xludf.DUMMYFUNCTION("""COMPUTED_VALUE"""),"Maintain family details")</f>
        <v>Maintain family details</v>
      </c>
      <c r="D87" s="107" t="str">
        <f ca="1">IFERROR(__xludf.DUMMYFUNCTION("""COMPUTED_VALUE""")," 1. When selecting to view the family details, the recorded list of children is presented.
 2. The customer can add a child, or remove an existing child.
 3. The customer maintains the following for each child:
	• Name (min 1 alpha, space and -' character"&amp;"s)
	• Arrived (born/expecting)
	• If born, the date of birth of the child
	• If expecting, the number of weeks pregnant
	• Gender (female/male/unknown)
 4. The customer may opt in for reminders and information about the progress of their expected/new chil"&amp;"d's development (Child information message consent):
	• Near the calculated expected birth date (weeks pregnant taken into account), the expecting mother is wished all the best for the birth.
	• Unless the status of the child is changed to born, a reminde"&amp;"r is sent shortly after the calculated expected birth date (weeks pregnant taken into account), to enquire about the expected birth and remind the new parents to update the details of their expected child.
	• Based on the progress of the pregnancy/baby, i"&amp;"nformation may be emailed to the customer.")</f>
        <v xml:space="preserve"> 1. When selecting to view the family details, the recorded list of children is presented.
 2. The customer can add a child, or remove an existing child.
 3. The customer maintains the following for each child:
	• Name (min 1 alpha, space and -' characters)
	• Arrived (born/expecting)
	• If born, the date of birth of the child
	• If expecting, the number of weeks pregnant
	• Gender (female/male/unknown)
 4. The customer may opt in for reminders and information about the progress of their expected/new child's development (Child information message consent):
	• Near the calculated expected birth date (weeks pregnant taken into account), the expecting mother is wished all the best for the birth.
	• Unless the status of the child is changed to born, a reminder is sent shortly after the calculated expected birth date (weeks pregnant taken into account), to enquire about the expected birth and remind the new parents to update the details of their expected child.
	• Based on the progress of the pregnancy/baby, information may be emailed to the customer.</v>
      </c>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t="str">
        <f ca="1">IFERROR(__xludf.DUMMYFUNCTION("""COMPUTED_VALUE"""),"BR1506")</f>
        <v>BR1506</v>
      </c>
      <c r="C88" s="107" t="str">
        <f ca="1">IFERROR(__xludf.DUMMYFUNCTION("""COMPUTED_VALUE"""),"Maintain delivery address(es)")</f>
        <v>Maintain delivery address(es)</v>
      </c>
      <c r="D88" s="107" t="str">
        <f ca="1">IFERROR(__xludf.DUMMYFUNCTION("""COMPUTED_VALUE""")," 1. When selecting to view the address details, the recorded list of delivery addresses is presented.
 2. The customer can add an address, or remove an existing address.
 3. The customer maintains the following details for each address:
	• Name for the ad"&amp;"dress (unique for customer)
	• Address details - Street, Suburb, Town, Postal Code (Google maps integration), with support for geo-location as address)
	• Contact person name and optional contact phone number
	• Delivery instructions (optional delivery no"&amp;"te for inclusion on waybill) [TBD]
 4. The user must select a default address to apply for deliveries.
 5. If the user was redirected after choosing to add a new delivery address, they are presented an option to return to their shopping cart checkout.
	• "&amp;"If chosen, the user is redirected to the confirm delivery step of their shopping cart checkout, with the new/last updated address selected. (Refer to the Confirm/Update Customer Delivery requirements of the Checkout and Pay section.")</f>
        <v xml:space="preserve"> 1. When selecting to view the address details, the recorded list of delivery addresses is presented.
 2. The customer can add an address, or remove an existing address.
 3. The customer maintains the following details for each address: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t="str">
        <f ca="1">IFERROR(__xludf.DUMMYFUNCTION("""COMPUTED_VALUE"""),"BR1507")</f>
        <v>BR1507</v>
      </c>
      <c r="C89" s="107" t="str">
        <f ca="1">IFERROR(__xludf.DUMMYFUNCTION("""COMPUTED_VALUE"""),"Maintain payment details")</f>
        <v>Maintain payment details</v>
      </c>
      <c r="D89" s="107" t="str">
        <f ca="1">IFERROR(__xludf.DUMMYFUNCTION("""COMPUTED_VALUE""")," 1. The customer will initially only capture payment card details as part of the online payment step, to be captured by the payment gateway.
 2. Depending on the payment gateway and available security features of the chosen solution, the customer may be p"&amp;"rompted to provide their payment card details, to be applied for each online payment.
 3. If card details are captured, a reminder is sent to the customer's email address one calendar month before their captured card-expiry month.")</f>
        <v xml:space="preserve"> 1. The customer will initially only capture payment card details as part of the online payment step, to be captured by the payment gateway.
 2. Depending on the payment gateway and available security features of the chosen solution, the customer may be prompted to provide their payment card details, to be applied for each online payment.
 3. If card details are captured, a reminder is sent to the customer's email address one calendar month before their captured card-expiry month.</v>
      </c>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t="str">
        <f ca="1">IFERROR(__xludf.DUMMYFUNCTION("""COMPUTED_VALUE"""),"BR1508")</f>
        <v>BR1508</v>
      </c>
      <c r="C90" s="107" t="str">
        <f ca="1">IFERROR(__xludf.DUMMYFUNCTION("""COMPUTED_VALUE"""),"Maintain favourite product list")</f>
        <v>Maintain favourite product list</v>
      </c>
      <c r="D90" s="107" t="str">
        <f ca="1">IFERROR(__xludf.DUMMYFUNCTION("""COMPUTED_VALUE""")," 1. When selecting to view the favourites, the products in their favourites list are presented.
	• A message is presented with the list, to explain the purpose of the favourites list to be those products the customer wants to order often.
 2. The customer"&amp;" can unmark a product, to immediately remove it from their favourites list.
 3. A customer can add/remove a product to their favourites list, as detailed in the Add a product to the favourites or wish-list requirement of the User Navigation section.
 4. A"&amp;" customer can add a specific/selected products from their favourites list to their shopping cart.
 5. Also see the Login customer requirement in the Customer Registration section.")</f>
        <v xml:space="preserve"> 1. When selecting to view the favourites, the products in their favourites list are presented.
	• A message is presented with the list, to explain the purpose of the favourites list to be those products the customer wants to order often.
 2. The customer can unmark a product, to immediately remove it from their favourites list.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t="str">
        <f ca="1">IFERROR(__xludf.DUMMYFUNCTION("""COMPUTED_VALUE"""),"BR1509")</f>
        <v>BR1509</v>
      </c>
      <c r="C91" s="107" t="str">
        <f ca="1">IFERROR(__xludf.DUMMYFUNCTION("""COMPUTED_VALUE"""),"Maintain products wish-list")</f>
        <v>Maintain products wish-list</v>
      </c>
      <c r="D91" s="107" t="str">
        <f ca="1">IFERROR(__xludf.DUMMYFUNCTION("""COMPUTED_VALUE""")," 1. When selecting to view their wish-list, the products in their wish-list are presented.
	• A message is presented with the list, to explain the purpose of the wish-list to be those products the customer may want to order in future, but not regularly.
 "&amp;"2. The customer can unmark a product, to immediately remove it from their wish-list.
 3. A customer can add/remove a product to their wish-list, as detailed in the Add a product to the favourites or wish-list requirement of the User Navigation section.
 4"&amp;". A customer can add a specific/selected products from their wish-list to their shopping cart.
 5. Also see the Login customer requirement in the Customer Registration section.")</f>
        <v xml:space="preserve"> 1. When selecting to view their wish-list, the products in their wish-list are presented.
	• A message is presented with the list, to explain the purpose of the wish-list to be those products the customer may want to order in future, but not regularly.
 2. The customer can unmark a product, to immediately remove it from their wish-list.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t="str">
        <f ca="1">IFERROR(__xludf.DUMMYFUNCTION("""COMPUTED_VALUE"""),"BR1510")</f>
        <v>BR1510</v>
      </c>
      <c r="C92" s="107" t="str">
        <f ca="1">IFERROR(__xludf.DUMMYFUNCTION("""COMPUTED_VALUE"""),"Maintain articles library")</f>
        <v>Maintain articles library</v>
      </c>
      <c r="D92" s="107" t="str">
        <f ca="1">IFERROR(__xludf.DUMMYFUNCTION("""COMPUTED_VALUE""")," 1. When selecting to view their articles library, the articles in their favourite articles list are presented.
	• A message is presented with the list, to explain the value of and encourage the customer to often explore and add articles to their articles"&amp;" library.
 2. The customer can unmark an article, to immediately remove it from their articles library.
 3. A customer can add an article to their library:
	• From article search results
	• From a promoted article
	• When viewing an article full details
	"&amp;"• Possibly, using a special one-time link embedded with an article presented in a personalised email.
	• This will redirect the customer to a confirmation page for adding the article.
 4. Also see the Login customer requirement in the Customer Registratio"&amp;"n section.")</f>
        <v xml:space="preserve"> 1. When selecting to view their articles library, the articles in their favourite articles list are presented.
	• A message is presented with the list, to explain the value of and encourage the customer to often explore and add articles to their articles library.
 2. The customer can unmark an article, to immediately remove it from their articles library.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t="str">
        <f ca="1">IFERROR(__xludf.DUMMYFUNCTION("""COMPUTED_VALUE"""),"BR1511")</f>
        <v>BR1511</v>
      </c>
      <c r="C93" s="107" t="str">
        <f ca="1">IFERROR(__xludf.DUMMYFUNCTION("""COMPUTED_VALUE"""),"View History")</f>
        <v>View History</v>
      </c>
      <c r="D93" s="107" t="str">
        <f ca="1">IFERROR(__xludf.DUMMYFUNCTION("""COMPUTED_VALUE""")," 1. In addition, the following customer history may be accessed from the customer profile area of the online shop:
	• Orders
	• Returns
	• Messages
 2. Refer to the following section for the related requirements:
	• View Orders
	• Return Products
	• View "&amp;"Messages")</f>
        <v xml:space="preserve"> 1. In addition, the following customer history may be accessed from the customer profile area of the online shop:
	• Orders
	• Returns
	• Messages
 2. Refer to the following section for the related requirements:
	• View Orders
	• Return Products
	• View Messages</v>
      </c>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t="str">
        <f ca="1">IFERROR(__xludf.DUMMYFUNCTION("""COMPUTED_VALUE"""),"16 Online Shop Recommended Content")</f>
        <v>16 Online Shop Recommended Content</v>
      </c>
      <c r="B94" s="106" t="str">
        <f ca="1">IFERROR(__xludf.DUMMYFUNCTION("""COMPUTED_VALUE"""),"ReqID")</f>
        <v>ReqID</v>
      </c>
      <c r="C94" s="107" t="str">
        <f ca="1">IFERROR(__xludf.DUMMYFUNCTION("""COMPUTED_VALUE"""),"Requirement")</f>
        <v>Requirement</v>
      </c>
      <c r="D94" s="107" t="str">
        <f ca="1">IFERROR(__xludf.DUMMYFUNCTION("""COMPUTED_VALUE"""),"Description")</f>
        <v>Description</v>
      </c>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t="str">
        <f ca="1">IFERROR(__xludf.DUMMYFUNCTION("""COMPUTED_VALUE"""),"BR1601")</f>
        <v>BR1601</v>
      </c>
      <c r="C95" s="107" t="str">
        <f ca="1">IFERROR(__xludf.DUMMYFUNCTION("""COMPUTED_VALUE"""),"Identify products matching submitted search terms")</f>
        <v>Identify products matching submitted search terms</v>
      </c>
      <c r="D95" s="107" t="str">
        <f ca="1">IFERROR(__xludf.DUMMYFUNCTION("""COMPUTED_VALUE""")," 1. By default, a selection across all categories are presented on the products main page.
 2. When browsing by sub/category, the category is used as the search term.
 3. When the customer submits a search string (one/more full/partial words), match the s"&amp;"earch terms to:
	• Product Name
	• Products Description
	• Products with matching meta-tags (detail and parent)
	• Products with synonyms of matched meta-tags
	• Product Brand
 4. In addition to the above, apply the following family criteria as criteria:
"&amp;"	• Age of baby/child, matched to an age group
	• Gender of child
 5. Apply faceted search and (fuzzy) weighting techniques and technologies to enable a customer to navigate the meta-tag hierarchies and results in a way that suits them.")</f>
        <v xml:space="preserve"> 1. By default, a selection across all categories are presented on the products main page.
 2. When browsing by sub/category, the category is used as the search term.
 3. When the customer submits a search string (one/more full/partial words), match the search terms to: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t="str">
        <f ca="1">IFERROR(__xludf.DUMMYFUNCTION("""COMPUTED_VALUE"""),"BR1602")</f>
        <v>BR1602</v>
      </c>
      <c r="C96" s="107" t="str">
        <f ca="1">IFERROR(__xludf.DUMMYFUNCTION("""COMPUTED_VALUE"""),"Identify advertisements matching submitted search terms")</f>
        <v>Identify advertisements matching submitted search terms</v>
      </c>
      <c r="D96" s="107" t="str">
        <f ca="1">IFERROR(__xludf.DUMMYFUNCTION("""COMPUTED_VALUE""")," 1. By default, a selection across all categories are presented on the products main page.
 2. When browsing by sub/category, the category is used as the search term.
 3. When the customer submits a search string (one/more full/partial words), match the s"&amp;"earch terms to:
	• Advertisement Title
	• Advertisement Description
	• Advertisement with matching meta-tags (detail and parent)
	• Advertisement with synonyms of matched meta-tags
	• Advertised Brand
 4. Apply a (fuzzy) weighting score to each match, to "&amp;"derive a combined relevance score.
 5. The inclusion of an applicable advertisement in the online shop may be controlled by:
	• Contracted frequency/number of presentations
	• Publish start and end date-time
	• Contracted priority")</f>
        <v xml:space="preserve"> 1. By default, a selection across all categories are presented on the products main page.
 2. When browsing by sub/category, the category is used as the search term.
 3. When the customer submits a search string (one/more full/partial words), match the search terms to: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t="str">
        <f ca="1">IFERROR(__xludf.DUMMYFUNCTION("""COMPUTED_VALUE"""),"BR1603")</f>
        <v>BR1603</v>
      </c>
      <c r="C97" s="107" t="str">
        <f ca="1">IFERROR(__xludf.DUMMYFUNCTION("""COMPUTED_VALUE"""),"Identify articles matching submitted search terms (future phase)")</f>
        <v>Identify articles matching submitted search terms (future phase)</v>
      </c>
      <c r="D97" s="107" t="str">
        <f ca="1">IFERROR(__xludf.DUMMYFUNCTION("""COMPUTED_VALUE""")," 1. By default, the latest articles across all categories are presented on the products main page.
 2. When browsing by sub/category, the category is used as the search term.
 3. When the customer submits a search string (one/more full/partial words), mat"&amp;"ch the search terms to:
	• Article Title
	• Article Description
	• Articles with matching meta-tags (detail and parent)
	• Articles with synonyms of matched meta-tags
 4. Apply a (fuzzy) weighting score to each match, to derive a combined relevance score."&amp;"
 5. The inclusion of an applicable synonym in the online shop may be controlled by:
	• Publish start and end date-time")</f>
        <v xml:space="preserve"> 1. By default, the latest articles across all categories are presented on the products main page.
 2. When browsing by sub/category, the category is used as the search term.
 3. When the customer submits a search string (one/more full/partial words), match the search terms to: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t="str">
        <f ca="1">IFERROR(__xludf.DUMMYFUNCTION("""COMPUTED_VALUE"""),"BR1604")</f>
        <v>BR1604</v>
      </c>
      <c r="C98" s="107" t="str">
        <f ca="1">IFERROR(__xludf.DUMMYFUNCTION("""COMPUTED_VALUE"""),"Return search results, using the preferred results order")</f>
        <v>Return search results, using the preferred results order</v>
      </c>
      <c r="D98" s="107" t="str">
        <f ca="1">IFERROR(__xludf.DUMMYFUNCTION("""COMPUTED_VALUE""")," 1. Include a fixed number of advertised products at the top of the search/filtering results.
 2. Include a fixed number of articles at the top of the search/filtering results.
 3. Prioritise meta-tags, products and articles recently or frequently used by"&amp;" a specific customer.
 4. The recommended order ranks matching products, based on the weighted matching score in order of priority:
	• Advertisement priority
	• Article title rank
	• Article description rank
	• Promotion rank
	• Product name match score
	"&amp;"• Products description match score
	• Products brand match score
	• Meta-tag match score
	• Synonyms of matched meta-tags")</f>
        <v xml:space="preserve"> 1. Include a fixed number of advertised products at the top of the search/filtering results.
 2. Include a fixed number of articles at the top of the search/filtering results.
 3. Prioritise meta-tags, products and articles recently or frequently used by a specific customer.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t="str">
        <f ca="1">IFERROR(__xludf.DUMMYFUNCTION("""COMPUTED_VALUE"""),"BR1605")</f>
        <v>BR1605</v>
      </c>
      <c r="C99" s="107" t="str">
        <f ca="1">IFERROR(__xludf.DUMMYFUNCTION("""COMPUTED_VALUE"""),"Order search results, based on user choice")</f>
        <v>Order search results, based on user choice</v>
      </c>
      <c r="D99" s="107" t="str">
        <f ca="1">IFERROR(__xludf.DUMMYFUNCTION("""COMPUTED_VALUE""")," 1. Search results may be ordered as follows:
	• Preferred (default)
	• Price Low-High / High-Low
	• User Rank [TBD]
 2. Results are presented, with a fixed number of results per page, with the ability to page through results.
 3. The brands of matching p"&amp;"roducts are listed, to enable the customer to further refine their choices
 4. User may filter search results by Brand:
	• Brands of matching products are listed, sorted by number of matches.
	• Brands from suppliers with a relevant marketing agreement ar"&amp;"e however given a preferred listing rank.
 5. User may filter search results by product property meta-tag hierarchies, sorted by number of matches.")</f>
        <v xml:space="preserve"> 1. Search results may be ordered as follows:
	• Preferred (default)
	• Price Low-High / High-Low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t="str">
        <f ca="1">IFERROR(__xludf.DUMMYFUNCTION("""COMPUTED_VALUE"""),"BR1606")</f>
        <v>BR1606</v>
      </c>
      <c r="C100" s="107" t="str">
        <f ca="1">IFERROR(__xludf.DUMMYFUNCTION("""COMPUTED_VALUE"""),"Identify appropriate products to promote on a product page")</f>
        <v>Identify appropriate products to promote on a product page</v>
      </c>
      <c r="D100" s="107" t="str">
        <f ca="1">IFERROR(__xludf.DUMMYFUNCTION("""COMPUTED_VALUE""")," 1. Identify similar products, by finding product with matching meta-tags and meeting the family criteria.
 2. Identify also-bought products, by finding the most-bought products from purchases that contained the current product.
 3. Exclude the current pr"&amp;"oduct from these recommended product lists.")</f>
        <v xml:space="preserve"> 1. Identify similar products, by finding product with matching meta-tags and meeting the family criteria.
 2. Identify also-bought products, by finding the most-bought products from purchases that contained the current product.
 3. Exclude the current product from these recommended product lists.</v>
      </c>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t="str">
        <f ca="1">IFERROR(__xludf.DUMMYFUNCTION("""COMPUTED_VALUE"""),"BR1607")</f>
        <v>BR1607</v>
      </c>
      <c r="C101" s="107" t="str">
        <f ca="1">IFERROR(__xludf.DUMMYFUNCTION("""COMPUTED_VALUE"""),"Identify appropriate articles to promote on a product page (future phase)")</f>
        <v>Identify appropriate articles to promote on a product page (future phase)</v>
      </c>
      <c r="D101" s="107" t="str">
        <f ca="1">IFERROR(__xludf.DUMMYFUNCTION("""COMPUTED_VALUE""")," 1. Identify articles, by finding articles with matching meta-tags and meeting the family criteria.")</f>
        <v xml:space="preserve"> 1. Identify articles, by finding articles with matching meta-tags and meeting the family criteria.</v>
      </c>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t="str">
        <f ca="1">IFERROR(__xludf.DUMMYFUNCTION("""COMPUTED_VALUE"""),"BR1608")</f>
        <v>BR1608</v>
      </c>
      <c r="C102" s="107" t="str">
        <f ca="1">IFERROR(__xludf.DUMMYFUNCTION("""COMPUTED_VALUE"""),"Promote relevant other products on a product page")</f>
        <v>Promote relevant other products on a product page</v>
      </c>
      <c r="D102" s="107" t="str">
        <f ca="1">IFERROR(__xludf.DUMMYFUNCTION("""COMPUTED_VALUE""")," 1. Promote a list of similar products (search results display format)
 2. Promote a list of also-bought products (search results display format)")</f>
        <v xml:space="preserve"> 1. Promote a list of similar products (search results display format)
 2. Promote a list of also-bought products (search results display format)</v>
      </c>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t="str">
        <f ca="1">IFERROR(__xludf.DUMMYFUNCTION("""COMPUTED_VALUE"""),"BR1609")</f>
        <v>BR1609</v>
      </c>
      <c r="C103" s="107" t="str">
        <f ca="1">IFERROR(__xludf.DUMMYFUNCTION("""COMPUTED_VALUE"""),"Promote articles on product pages (future phase)")</f>
        <v>Promote articles on product pages (future phase)</v>
      </c>
      <c r="D103" s="107" t="str">
        <f ca="1">IFERROR(__xludf.DUMMYFUNCTION("""COMPUTED_VALUE""")," 1. Promote a list of recommended articles (search results display format)")</f>
        <v xml:space="preserve"> 1. Promote a list of recommended articles (search results display format)</v>
      </c>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t="str">
        <f ca="1">IFERROR(__xludf.DUMMYFUNCTION("""COMPUTED_VALUE"""),"17 Shopping Cart")</f>
        <v>17 Shopping Cart</v>
      </c>
      <c r="B104" s="106" t="str">
        <f ca="1">IFERROR(__xludf.DUMMYFUNCTION("""COMPUTED_VALUE"""),"ReqID")</f>
        <v>ReqID</v>
      </c>
      <c r="C104" s="107" t="str">
        <f ca="1">IFERROR(__xludf.DUMMYFUNCTION("""COMPUTED_VALUE"""),"Requirement")</f>
        <v>Requirement</v>
      </c>
      <c r="D104" s="107" t="str">
        <f ca="1">IFERROR(__xludf.DUMMYFUNCTION("""COMPUTED_VALUE"""),"Description")</f>
        <v>Description</v>
      </c>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t="str">
        <f ca="1">IFERROR(__xludf.DUMMYFUNCTION("""COMPUTED_VALUE"""),"BR1701")</f>
        <v>BR1701</v>
      </c>
      <c r="C105" s="107" t="str">
        <f ca="1">IFERROR(__xludf.DUMMYFUNCTION("""COMPUTED_VALUE"""),"View shopping cart status")</f>
        <v>View shopping cart status</v>
      </c>
      <c r="D105" s="107" t="str">
        <f ca="1">IFERROR(__xludf.DUMMYFUNCTION("""COMPUTED_VALUE""")," 1. While in the shopfront, the status of the user's shopping cart must be visible, indicating the number of products in the cart.
 2. The cart status must be presented at the top of the page, close to the user menu.
 3. The cart status must automatically"&amp;" update when a product is added to the cart.")</f>
        <v xml:space="preserve"> 1. While in the shopfront, the status of the user's shopping cart must be visible, indicating the number of products in the cart.
 2. The cart status must be presented at the top of the page, close to the user menu.
 3. The cart status must automatically update when a product is added to the cart.</v>
      </c>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t="str">
        <f ca="1">IFERROR(__xludf.DUMMYFUNCTION("""COMPUTED_VALUE"""),"BR1702")</f>
        <v>BR1702</v>
      </c>
      <c r="C106" s="107" t="str">
        <f ca="1">IFERROR(__xludf.DUMMYFUNCTION("""COMPUTED_VALUE"""),"View shopping cart detail")</f>
        <v>View shopping cart detail</v>
      </c>
      <c r="D106" s="107" t="str">
        <f ca="1">IFERROR(__xludf.DUMMYFUNCTION("""COMPUTED_VALUE""")," 1. The user may be presented the detail of their shopping cart:
	• Automatically after login, when they added products while not logged in.
	• By selecting the shopping cart status
	• By selecting the shopping cart option in their user menu.
 2. Present "&amp;"at least the following details for the shopping cart:
	• Products list
	• Total Number of items in the shopping cart
	• Total VAT
	• Total Value (incl.)
 3. Present the following actions for the shopping cart (as icons with hover-text):
	• Add all product"&amp;"s to favourites
	• Add all favourite products to shopping cart
	• View favourites
	• Add all products to wish-list
	• Add all wish-list products to shopping cart
	• View wish-list
	• Continue shopping
	• Proceed to checkout
 4. The product search is also "&amp;"presented.
	• If a user submits a search, the user is automatically redirected to the shopfront with the search results presented.
 5. Present at least the following for each product in the shopping cart products list:
	• Product Number (link to product)
"&amp;"	• Product Title (link to product)
	• Thumbnail image (link to product)
	• Quantity (with ability to edit value, or increase/decrease it)
	• Unit product price (incl.)
	• Total product price (incl.)
 6. Present the following actions for each product in th"&amp;"e shopping cart (as icons with hover-text):
	• Add product to favourites
	• Move product to favourites
	• Add product to wish-list
	• Move product to wish-list
	• Remove product")</f>
        <v xml:space="preserve"> 1. The user may be presented the detail of their shopping cart:
	• Automatically after login, when they added products while not logged in.
	• By selecting the shopping cart status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t="str">
        <f ca="1">IFERROR(__xludf.DUMMYFUNCTION("""COMPUTED_VALUE"""),"BR1703")</f>
        <v>BR1703</v>
      </c>
      <c r="C107" s="107" t="str">
        <f ca="1">IFERROR(__xludf.DUMMYFUNCTION("""COMPUTED_VALUE"""),"Change products in shopping cart")</f>
        <v>Change products in shopping cart</v>
      </c>
      <c r="D107" s="107" t="str">
        <f ca="1">IFERROR(__xludf.DUMMYFUNCTION("""COMPUTED_VALUE""")," 1. If the user changes the quantity of any product, the totals are automatically refreshed to show the new amounts.")</f>
        <v xml:space="preserve"> 1. If the user changes the quantity of any product, the totals are automatically refreshed to show the new amounts.</v>
      </c>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t="str">
        <f ca="1">IFERROR(__xludf.DUMMYFUNCTION("""COMPUTED_VALUE"""),"BR1704")</f>
        <v>BR1704</v>
      </c>
      <c r="C108" s="107" t="str">
        <f ca="1">IFERROR(__xludf.DUMMYFUNCTION("""COMPUTED_VALUE"""),"Remove product from shopping cart")</f>
        <v>Remove product from shopping cart</v>
      </c>
      <c r="D108" s="107" t="str">
        <f ca="1">IFERROR(__xludf.DUMMYFUNCTION("""COMPUTED_VALUE""")," 1. When selecting to remove a product from the shopping cart:
 2. The user is prompted to confirm the move of the product from the shopping cart, or to add it to their favourites / wish-list.
 3. If the user chooses to move the product, the move to favou"&amp;"rites/wish-list action is executed instead.
 4. The total value for the shopping cart is refreshed.")</f>
        <v xml:space="preserve"> 1. When selecting to remove a product from the shopping cart:
 2. The user is prompted to confirm the move of the product from the shopping cart, or to add it to their favourites / wish-list.
 3. If the user chooses to move the product, the move to favourites/wish-list action is executed instead.
 4. The total value for the shopping cart is refreshed.</v>
      </c>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t="str">
        <f ca="1">IFERROR(__xludf.DUMMYFUNCTION("""COMPUTED_VALUE"""),"BR1705")</f>
        <v>BR1705</v>
      </c>
      <c r="C109" s="107" t="str">
        <f ca="1">IFERROR(__xludf.DUMMYFUNCTION("""COMPUTED_VALUE"""),"Add shopping cart product to favorites")</f>
        <v>Add shopping cart product to favorites</v>
      </c>
      <c r="D109" s="107" t="str">
        <f ca="1">IFERROR(__xludf.DUMMYFUNCTION("""COMPUTED_VALUE""")," 1. When selecting the add to favourites option, the user is informed once the product has been added to their favourites.")</f>
        <v xml:space="preserve"> 1. When selecting the add to favourites option, the user is informed once the product has been added to their favourites.</v>
      </c>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t="str">
        <f ca="1">IFERROR(__xludf.DUMMYFUNCTION("""COMPUTED_VALUE"""),"BR1706")</f>
        <v>BR1706</v>
      </c>
      <c r="C110" s="107" t="str">
        <f ca="1">IFERROR(__xludf.DUMMYFUNCTION("""COMPUTED_VALUE"""),"Move shopping cart product to favourites")</f>
        <v>Move shopping cart product to favourites</v>
      </c>
      <c r="D110" s="107" t="str">
        <f ca="1">IFERROR(__xludf.DUMMYFUNCTION("""COMPUTED_VALUE""")," 1. When selecting the move to favourites option:
 2. The user is prompted to confirm the move of the product from the shopping cart.
 3. The user is informed once the product has been moved to their favourites.
 4. The total value for the shopping cart i"&amp;"s refreshed.")</f>
        <v xml:space="preserve"> 1. When selecting the move to favourites option:
 2. The user is prompted to confirm the move of the product from the shopping cart.
 3. The user is informed once the product has been moved to their favourites.
 4. The total value for the shopping cart is refreshed.</v>
      </c>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t="str">
        <f ca="1">IFERROR(__xludf.DUMMYFUNCTION("""COMPUTED_VALUE"""),"BR1707")</f>
        <v>BR1707</v>
      </c>
      <c r="C111" s="107" t="str">
        <f ca="1">IFERROR(__xludf.DUMMYFUNCTION("""COMPUTED_VALUE"""),"Add shopping cart product to wish-list")</f>
        <v>Add shopping cart product to wish-list</v>
      </c>
      <c r="D111" s="107" t="str">
        <f ca="1">IFERROR(__xludf.DUMMYFUNCTION("""COMPUTED_VALUE""")," 1. When selecting the add to wish-list option, the user is informed once the product has been added to the wish-list.")</f>
        <v xml:space="preserve"> 1. When selecting the add to wish-list option, the user is informed once the product has been added to the wish-list.</v>
      </c>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t="str">
        <f ca="1">IFERROR(__xludf.DUMMYFUNCTION("""COMPUTED_VALUE"""),"BR1708")</f>
        <v>BR1708</v>
      </c>
      <c r="C112" s="107" t="str">
        <f ca="1">IFERROR(__xludf.DUMMYFUNCTION("""COMPUTED_VALUE"""),"Move shopping cart product to wish-list")</f>
        <v>Move shopping cart product to wish-list</v>
      </c>
      <c r="D112" s="107" t="str">
        <f ca="1">IFERROR(__xludf.DUMMYFUNCTION("""COMPUTED_VALUE""")," 1. When selecting the move to wish-list option:
 2. The user is prompted to confirm the move of the product from the shopping cart.
 3. The user is informed once the product has been moved to their wish-list.
 4. The total value for the shopping cart is "&amp;"refreshed.")</f>
        <v xml:space="preserve"> 1. When selecting the move to wish-list option:
 2. The user is prompted to confirm the move of the product from the shopping cart.
 3. The user is informed once the product has been moved to their wish-list.
 4. The total value for the shopping cart is refreshed.</v>
      </c>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t="str">
        <f ca="1">IFERROR(__xludf.DUMMYFUNCTION("""COMPUTED_VALUE"""),"BR1709")</f>
        <v>BR1709</v>
      </c>
      <c r="C113" s="107" t="str">
        <f ca="1">IFERROR(__xludf.DUMMYFUNCTION("""COMPUTED_VALUE"""),"Add all favourite products to shopping cart")</f>
        <v>Add all favourite products to shopping cart</v>
      </c>
      <c r="D113" s="107" t="str">
        <f ca="1">IFERROR(__xludf.DUMMYFUNCTION("""COMPUTED_VALUE""")," 1. When selecting the add all from favourites option:
 2. The user is prompted to confirm to add all favourite products to the shopping cart.
	• The number of products in the favourites list is included.
 3. Once the products have been added, the total v"&amp;"alue for the shopping cart is refreshed.")</f>
        <v xml:space="preserve"> 1. When selecting the add all from favourites option:
 2. The user is prompted to confirm to add all favourite products to the shopping cart.
	• The number of products in the favourites list is included.
 3. Once the products have been added, the total value for the shopping cart is refreshed.</v>
      </c>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t="str">
        <f ca="1">IFERROR(__xludf.DUMMYFUNCTION("""COMPUTED_VALUE"""),"BR1710")</f>
        <v>BR1710</v>
      </c>
      <c r="C114" s="107" t="str">
        <f ca="1">IFERROR(__xludf.DUMMYFUNCTION("""COMPUTED_VALUE"""),"Add all wish-list products to shopping cart")</f>
        <v>Add all wish-list products to shopping cart</v>
      </c>
      <c r="D114" s="107" t="str">
        <f ca="1">IFERROR(__xludf.DUMMYFUNCTION("""COMPUTED_VALUE""")," 1. When selecting the add all from wish-list option:
 2. The user is prompted to confirm to add all wish-list products to the shopping cart.
	• The number of products in the wish-list list is included.
 3. Once the products have been added, the total val"&amp;"ue for the shopping cart is refreshed.")</f>
        <v xml:space="preserve"> 1. When selecting the add all from wish-list option:
 2. The user is prompted to confirm to add all wish-list products to the shopping cart.
	• The number of products in the wish-list list is included.
 3. Once the products have been added, the total value for the shopping cart is refreshed.</v>
      </c>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t="str">
        <f ca="1">IFERROR(__xludf.DUMMYFUNCTION("""COMPUTED_VALUE"""),"BR1711")</f>
        <v>BR1711</v>
      </c>
      <c r="C115" s="107" t="str">
        <f ca="1">IFERROR(__xludf.DUMMYFUNCTION("""COMPUTED_VALUE"""),"View favourites")</f>
        <v>View favourites</v>
      </c>
      <c r="D115" s="107" t="str">
        <f ca="1">IFERROR(__xludf.DUMMYFUNCTION("""COMPUTED_VALUE""")," 1. The user is redirected to their favourites list.
 2. Refer to the Maintain favourite product list requirements in the Customer Profile section.")</f>
        <v xml:space="preserve"> 1. The user is redirected to their favourites list.
 2. Refer to the Maintain favourite product list requirements in the Customer Profile section.</v>
      </c>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t="str">
        <f ca="1">IFERROR(__xludf.DUMMYFUNCTION("""COMPUTED_VALUE"""),"BR1712")</f>
        <v>BR1712</v>
      </c>
      <c r="C116" s="107" t="str">
        <f ca="1">IFERROR(__xludf.DUMMYFUNCTION("""COMPUTED_VALUE"""),"View wish-list")</f>
        <v>View wish-list</v>
      </c>
      <c r="D116" s="107" t="str">
        <f ca="1">IFERROR(__xludf.DUMMYFUNCTION("""COMPUTED_VALUE""")," 1. The user is redirected to the wish-list.
 2. Refer to the Maintain products wish-list requirements in the Customer Profile section.")</f>
        <v xml:space="preserve"> 1. The user is redirected to the wish-list.
 2. Refer to the Maintain products wish-list requirements in the Customer Profile section.</v>
      </c>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t="str">
        <f ca="1">IFERROR(__xludf.DUMMYFUNCTION("""COMPUTED_VALUE"""),"BR1713")</f>
        <v>BR1713</v>
      </c>
      <c r="C117" s="107" t="str">
        <f ca="1">IFERROR(__xludf.DUMMYFUNCTION("""COMPUTED_VALUE"""),"Proceed to checkout")</f>
        <v>Proceed to checkout</v>
      </c>
      <c r="D117" s="107" t="str">
        <f ca="1">IFERROR(__xludf.DUMMYFUNCTION("""COMPUTED_VALUE""")," 1. The user is prompted to confirm their order for checkout.
 2. Once confirmed, the user is redirected to the shopping cart checkout step (see Confirm/Update Customer Delivery requirements in the Checkout and Pay section).")</f>
        <v xml:space="preserve"> 1. The user is prompted to confirm their order for checkout.
 2. Once confirmed, the user is redirected to the shopping cart checkout step (see Confirm/Update Customer Delivery requirements in the Checkout and Pay section).</v>
      </c>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t="str">
        <f ca="1">IFERROR(__xludf.DUMMYFUNCTION("""COMPUTED_VALUE"""),"BR1714")</f>
        <v>BR1714</v>
      </c>
      <c r="C118" s="107" t="str">
        <f ca="1">IFERROR(__xludf.DUMMYFUNCTION("""COMPUTED_VALUE"""),"Abandon shopping cart")</f>
        <v>Abandon shopping cart</v>
      </c>
      <c r="D118" s="107" t="str">
        <f ca="1">IFERROR(__xludf.DUMMYFUNCTION("""COMPUTED_VALUE""")," 1. A user abandons their shopping cart when they:
	• Leave the online shop (close browser tab; prompted to return to unprocessed shopping cart)
	• Logout from the online shop (prompted to return to unprocessed shopping cart)
 2. A user shopping cart is a"&amp;"bandoned when the user session expires.")</f>
        <v xml:space="preserve"> 1. A user abandons their shopping cart when they:
	• Leave the online shop (close browser tab; prompted to return to unprocessed shopping cart)
	• Logout from the online shop (prompted to return to unprocessed shopping cart)
 2. A user shopping cart is abandoned when the user session expires.</v>
      </c>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t="str">
        <f ca="1">IFERROR(__xludf.DUMMYFUNCTION("""COMPUTED_VALUE"""),"18 Checkout and Pay")</f>
        <v>18 Checkout and Pay</v>
      </c>
      <c r="B119" s="106" t="str">
        <f ca="1">IFERROR(__xludf.DUMMYFUNCTION("""COMPUTED_VALUE"""),"ReqID")</f>
        <v>ReqID</v>
      </c>
      <c r="C119" s="107" t="str">
        <f ca="1">IFERROR(__xludf.DUMMYFUNCTION("""COMPUTED_VALUE"""),"Requirement")</f>
        <v>Requirement</v>
      </c>
      <c r="D119" s="107" t="str">
        <f ca="1">IFERROR(__xludf.DUMMYFUNCTION("""COMPUTED_VALUE"""),"Description")</f>
        <v>Description</v>
      </c>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t="str">
        <f ca="1">IFERROR(__xludf.DUMMYFUNCTION("""COMPUTED_VALUE"""),"BR1801")</f>
        <v>BR1801</v>
      </c>
      <c r="C120" s="107" t="str">
        <f ca="1">IFERROR(__xludf.DUMMYFUNCTION("""COMPUTED_VALUE"""),"Confirm/Update Customer Delivery")</f>
        <v>Confirm/Update Customer Delivery</v>
      </c>
      <c r="D120" s="107" t="str">
        <f ca="1">IFERROR(__xludf.DUMMYFUNCTION("""COMPUTED_VALUE""")," 1. The customer's configured delivery addresses are listed with the following details for each address:
	• Address Name
	• Address (combine street, suburb, town, postal code)
	• Contact person
	• last-used date (if available)
 2. The cost of delivery is "&amp;"indicated as a line item.
 3. Calculate a delivery cost, based on the following:
	• Value below a Minimum order value, zero above
	• Value calculated per Number of products, on a configurable scale
	• Value calculated based on estimated total dimensions &amp;"&amp;" weight (future)
 4. The product search is not available during checkout.
 5. A breadcrumb is shown, listing the stages of checkout, with the confirm delivery step highlighted.
 6. The user is presented the following options:
	• Return to shopping cart
	•"&amp;" Select a delivery address (default automatically selected)
	• Add a new delivery address
	• Confirm the delivery address
 7. The user may choose a different delivery address
 8. When the user chooses to add a new delivery address, they are redirected to "&amp;"the delivery address section of their customer profile.
	• Refer to the Maintain delivery address(es) requirements of the Customer Profile section.
 9. When choosing the Return to shopping cart option, the user is redirected back to their shopping cart.
1"&amp;"0. The user may optionally capture a delivery message, to be printed on the waybill.
	• The purpose of the message is indicated with this plain-text message box.
11. On choosing to confirm the delivery address, the user is redirected to the confirm paymen"&amp;"t step of the checkout process.")</f>
        <v xml:space="preserve"> 1. The customer's configured delivery addresses are listed with the following details for each address:
	• Address Name
	• Address (combine street, suburb, town, postal code)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t="str">
        <f ca="1">IFERROR(__xludf.DUMMYFUNCTION("""COMPUTED_VALUE"""),"BR1802")</f>
        <v>BR1802</v>
      </c>
      <c r="C121" s="107" t="str">
        <f ca="1">IFERROR(__xludf.DUMMYFUNCTION("""COMPUTED_VALUE"""),"Confirm payment method")</f>
        <v>Confirm payment method</v>
      </c>
      <c r="D121" s="107" t="str">
        <f ca="1">IFERROR(__xludf.DUMMYFUNCTION("""COMPUTED_VALUE""")," 1. A breadcrumb is shown, listing the stages of checkout, with the confirm payment step highlighted.
	• The user may click the confirm address to return to that step.
 2. The customer is prompted to confirms their method of payment:
	• Specify debit/cred"&amp;"it card as payment type
	• Specify Zapper/Snapscan as payment type - PC only [TBC]
 3. The procedure for payment must be explained, including the use of bank security features (e.g. confirmation OTP).
 4. The user is presented the following options:
	• Re"&amp;"turn to delivery
	• Pay for order
 5. When choosing the return to delivery option, the user is returned to the confirm delivery step.
 6. The user must accept the terms and conditions for online payment processing.
	• The user may choose to view the payme"&amp;"nt processing terms and conditions (presented in a separate tab/pop-up message).
	• This tick-box is cleared each time the step is visited, or validation fails.
 7. When choosing the pay for order option, the user is redirected to the payment gateway, to "&amp;"process the payment for the order.
	• Refer to the Pay for order using debit/credit card requirements.")</f>
        <v xml:space="preserve"> 1. A breadcrumb is shown, listing the stages of checkout, with the confirm payment step highlighted.
	• The user may click the confirm address to return to that step.
 2. The customer is prompted to confirms their method of payment: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t="str">
        <f ca="1">IFERROR(__xludf.DUMMYFUNCTION("""COMPUTED_VALUE"""),"BR1803")</f>
        <v>BR1803</v>
      </c>
      <c r="C122" s="107" t="str">
        <f ca="1">IFERROR(__xludf.DUMMYFUNCTION("""COMPUTED_VALUE"""),"Pay for order using debit/credit card")</f>
        <v>Pay for order using debit/credit card</v>
      </c>
      <c r="D122" s="107" t="str">
        <f ca="1">IFERROR(__xludf.DUMMYFUNCTION("""COMPUTED_VALUE""")," 1. Redirect to the card payment gateway
 2. Support secure payments, where the customer is prompted by their bank to enter a one-time password, etc.
 3. Support credit and debit cards for any South African bank.
 4. For a successful payment, an order con"&amp;"firmation email is sent to the user.
	• The email includes the full detail of the order.
 5. If payment returns successful from payment gateway, redirect to payment confirmation page, with order number and link to order details.
 6. If payment returns fai"&amp;"led from payment gateway, redirect back to payment method confirmation.")</f>
        <v xml:space="preserve"> 1. Redirect to the card payment gateway
 2. Support secure payments, where the customer is prompted by their bank to enter a one-time password, etc.
 3. Support credit and debit cards for any South African bank.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t="str">
        <f ca="1">IFERROR(__xludf.DUMMYFUNCTION("""COMPUTED_VALUE"""),"BR1804")</f>
        <v>BR1804</v>
      </c>
      <c r="C123" s="107" t="str">
        <f ca="1">IFERROR(__xludf.DUMMYFUNCTION("""COMPUTED_VALUE"""),"View payment successful confirmation")</f>
        <v>View payment successful confirmation</v>
      </c>
      <c r="D123" s="107" t="str">
        <f ca="1">IFERROR(__xludf.DUMMYFUNCTION("""COMPUTED_VALUE""")," 1. The following is presented on a payment confirmation page:
	• A payment confirmation message
	• Order reference (linked to view the order)
	• Link to view the order
 2. The following actions are presented to the user:
	• View order
	• Continue shoppin"&amp;"g
 3. The view order option redirects the user to view the specific order.
 4. The continue shopping option redirects the user back to their last search results.")</f>
        <v xml:space="preserve"> 1. The following is presented on a payment confirmation page:
	• A payment confirmation message
	• Order reference (linked to view the order)
	• Link to view the order
 2. The following actions are presented to the user:
	• View order
	• Continue shopping
 3. The view order option redirects the user to view the specific order.
 4. The continue shopping option redirects the user back to their last search results.</v>
      </c>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t="str">
        <f ca="1">IFERROR(__xludf.DUMMYFUNCTION("""COMPUTED_VALUE"""),"BR1805")</f>
        <v>BR1805</v>
      </c>
      <c r="C124" s="107" t="str">
        <f ca="1">IFERROR(__xludf.DUMMYFUNCTION("""COMPUTED_VALUE"""),"View payment failed")</f>
        <v>View payment failed</v>
      </c>
      <c r="D124" s="107" t="str">
        <f ca="1">IFERROR(__xludf.DUMMYFUNCTION("""COMPUTED_VALUE""")," 1. The user is returned to the confirm payment page.
 2. The error returned from the payment gateway is presented, with a request to the user to check their payment details and try again.")</f>
        <v xml:space="preserve"> 1. The user is returned to the confirm payment page.
 2. The error returned from the payment gateway is presented, with a request to the user to check their payment details and try again.</v>
      </c>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t="str">
        <f ca="1">IFERROR(__xludf.DUMMYFUNCTION("""COMPUTED_VALUE"""),"19 View Orders")</f>
        <v>19 View Orders</v>
      </c>
      <c r="B125" s="106" t="str">
        <f ca="1">IFERROR(__xludf.DUMMYFUNCTION("""COMPUTED_VALUE"""),"ReqID")</f>
        <v>ReqID</v>
      </c>
      <c r="C125" s="107" t="str">
        <f ca="1">IFERROR(__xludf.DUMMYFUNCTION("""COMPUTED_VALUE"""),"Requirement")</f>
        <v>Requirement</v>
      </c>
      <c r="D125" s="107" t="str">
        <f ca="1">IFERROR(__xludf.DUMMYFUNCTION("""COMPUTED_VALUE"""),"Description")</f>
        <v>Description</v>
      </c>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t="str">
        <f ca="1">IFERROR(__xludf.DUMMYFUNCTION("""COMPUTED_VALUE"""),"BR1901")</f>
        <v>BR1901</v>
      </c>
      <c r="C126" s="107" t="str">
        <f ca="1">IFERROR(__xludf.DUMMYFUNCTION("""COMPUTED_VALUE"""),"View customer orders list")</f>
        <v>View customer orders list</v>
      </c>
      <c r="D126" s="107" t="str">
        <f ca="1">IFERROR(__xludf.DUMMYFUNCTION("""COMPUTED_VALUE""")," 1. A customer can choose to view their orders list:
	• From their user menu (My Orders)
	• From a given Order (Back to Orders)
 2. Present at least the following for the orders list:
	• Order Number (link to order detail)
	• Order Date (date-time order w"&amp;"as paid)
	• Order Status (pending, packed, delivery, completed)
	• Order Value (total value of order)
	• Number of items in delivery
	• Delivery address (name of chosen delivery address)
	• For an order in the delivery status, the expected delivery date
	"&amp;"• View icon (link to order detail)
	• Enquire icon (link to submit an enquiry, linked to the given order)")</f>
        <v xml:space="preserve"> 1. A customer can choose to view their orders list:
	• From their user menu (My Orders)
	• From a given Order (Back to Orders)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t="str">
        <f ca="1">IFERROR(__xludf.DUMMYFUNCTION("""COMPUTED_VALUE"""),"BR1902")</f>
        <v>BR1902</v>
      </c>
      <c r="C127" s="107" t="str">
        <f ca="1">IFERROR(__xludf.DUMMYFUNCTION("""COMPUTED_VALUE"""),"View customer order")</f>
        <v>View customer order</v>
      </c>
      <c r="D127" s="107" t="str">
        <f ca="1">IFERROR(__xludf.DUMMYFUNCTION("""COMPUTED_VALUE""")," 1. A customer can choose to view a specific order:
	• From their orders list
	• From the new order confirmation page (after payment was processed)
	• From a link in a status update email (requires user to login)
 2. Present at least the following details"&amp;" for a customer order:
	• Order Number
	• Order Date (date-time order was paid)
	• Order Status (pending, packed, delivery, completed)
	• Last Update (date-time of the last status update for the order)
	• Delivery address (name of chosen delivery address)"&amp;"
	• For an order in the delivery status, the expected delivery date
	• Products list
	• Total Number of items in delivery
	• Total VAT
	• Total Value (total value incl. of order)
	• Enquire icon (link to submit an enquiry, linked to the given order)
	• Re"&amp;"quest return icon (link to submit a product return enquiry, linked to the given order)
	• If a pending return is in progress, a link to the return request is presented, with the return status.
 3. Present at least the following for each product in the cus"&amp;"tomer order products list:
	• Product Number
	• Product Title (link to product)
	• Thumbnail image
	• Quantity ordered
	• Unit product price (incl.) on order
	• Total product price (incl.) on order
 4. Also see the Enquire about order requirement below.")</f>
        <v xml:space="preserve"> 1. A customer can choose to view a specific order:
	• From their orders list
	• From the new order confirmation page (after payment was processed)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t="str">
        <f ca="1">IFERROR(__xludf.DUMMYFUNCTION("""COMPUTED_VALUE"""),"BR1903")</f>
        <v>BR1903</v>
      </c>
      <c r="C128" s="107" t="str">
        <f ca="1">IFERROR(__xludf.DUMMYFUNCTION("""COMPUTED_VALUE"""),"Receive order status updates")</f>
        <v>Receive order status updates</v>
      </c>
      <c r="D128" s="107" t="str">
        <f ca="1">IFERROR(__xludf.DUMMYFUNCTION("""COMPUTED_VALUE""")," 1. A customer is notified of selected status changes to their order:
	• Order received
	• Order processed (once assigned to the supplier)
	• Order packed
	• Order dispatched
	• Order delivered
	• Order cancelled
 2. The status message is sent to their re"&amp;"gistered email address, to contain at least the following:
	• Order number
	• Order date
	• New Status
	• Delivery address
	• Expected delivery date (included for delivery status)
	• List of products (same as specified in the View customer order requireme"&amp;"nts)
	• Total value
 3. In addition, the customer is notified via SMS about a despatch or delivered, could not deliver status.")</f>
        <v xml:space="preserve"> 1. A customer is notified of selected status changes to their order:
	• Order received
	• Order processed (once assigned to the supplier)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t="str">
        <f ca="1">IFERROR(__xludf.DUMMYFUNCTION("""COMPUTED_VALUE"""),"BR1904")</f>
        <v>BR1904</v>
      </c>
      <c r="C129" s="107" t="str">
        <f ca="1">IFERROR(__xludf.DUMMYFUNCTION("""COMPUTED_VALUE"""),"Enquire about order")</f>
        <v>Enquire about order</v>
      </c>
      <c r="D129" s="107" t="str">
        <f ca="1">IFERROR(__xludf.DUMMYFUNCTION("""COMPUTED_VALUE""")," 1. When viewing an order, a customer can choose to enquire about that order.
	• The customer is prompted to capture their message.
 2. The enquiry is submitted as a customer message of type order enquiry, with the reference to the specific order.")</f>
        <v xml:space="preserve"> 1. When viewing an order, a customer can choose to enquire about that order.
	• The customer is prompted to capture their message.
 2. The enquiry is submitted as a customer message of type order enquiry, with the reference to the specific order.</v>
      </c>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t="str">
        <f ca="1">IFERROR(__xludf.DUMMYFUNCTION("""COMPUTED_VALUE"""),"20 Return Products")</f>
        <v>20 Return Products</v>
      </c>
      <c r="B130" s="106" t="str">
        <f ca="1">IFERROR(__xludf.DUMMYFUNCTION("""COMPUTED_VALUE"""),"ReqID")</f>
        <v>ReqID</v>
      </c>
      <c r="C130" s="107" t="str">
        <f ca="1">IFERROR(__xludf.DUMMYFUNCTION("""COMPUTED_VALUE"""),"Requirement")</f>
        <v>Requirement</v>
      </c>
      <c r="D130" s="107" t="str">
        <f ca="1">IFERROR(__xludf.DUMMYFUNCTION("""COMPUTED_VALUE"""),"Description")</f>
        <v>Description</v>
      </c>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t="str">
        <f ca="1">IFERROR(__xludf.DUMMYFUNCTION("""COMPUTED_VALUE"""),"BR2001")</f>
        <v>BR2001</v>
      </c>
      <c r="C131" s="107" t="str">
        <f ca="1">IFERROR(__xludf.DUMMYFUNCTION("""COMPUTED_VALUE"""),"Request product return")</f>
        <v>Request product return</v>
      </c>
      <c r="D131" s="107" t="str">
        <f ca="1">IFERROR(__xludf.DUMMYFUNCTION("""COMPUTED_VALUE""")," 1. The user may choose to request a product return as follows:
 2. By choosing the request return option when viewing an order.
	• The current order is set as the reference for the order.
 3. By choosing the request return option when viewing their retur"&amp;"ns page.
	• The user is prompted to complete a closed order (descending date order).
 4. The customer is then prompted to select the product(s) from that order to return.
	• Only products not previously returned may be selected, up to the quantity in the "&amp;"order.
 5. The customer is prompted to select a reason for each selected product, to include at least the following reasons:
	• Product damaged
	• Wrong product delivered
	• Product not meet expectations
	• Product no longer needed
	• Other
 6. The custom"&amp;"er is prompted to select an action for the request:
	• Return and replace
	• Return and refund
	• Other
 7. The customer is prompted to capture a message to explain the request further.
 8. The customer is prompted to confirm the collection address, or ch"&amp;"oose a different (delivery) address.
 9. The request is submitted as a return request, associated with the selected order.")</f>
        <v xml:space="preserve"> 1. The user may choose to request a product return as follows:
 2. By choosing the request return option when viewing an order.
	• The current order is set as the reference for the order.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t="str">
        <f ca="1">IFERROR(__xludf.DUMMYFUNCTION("""COMPUTED_VALUE"""),"BR2002")</f>
        <v>BR2002</v>
      </c>
      <c r="C132" s="107" t="str">
        <f ca="1">IFERROR(__xludf.DUMMYFUNCTION("""COMPUTED_VALUE"""),"View return request list")</f>
        <v>View return request list</v>
      </c>
      <c r="D132" s="107" t="str">
        <f ca="1">IFERROR(__xludf.DUMMYFUNCTION("""COMPUTED_VALUE""")," 1. A customer can choose to view their return requests list:
	• From their user menu (My Orders)
	• From a given Order (Back to Orders)
 2. Present at least the following for the return requests list:
	• Return Number (link to return detail)
	• Return Da"&amp;"te (date-time return request was submitted)
	• Return Status (pending, approved, collecting, return, completed)
	• Return Value (total value of return)
	• Number of items in return
	• Collection address (name of chosen delivery address)
	• For a return in"&amp;" the collecting status, present the expected collection date
	• View icon (link to return detail)
	• Enquire icon (link to submit an enquiry, linked to the given return)")</f>
        <v xml:space="preserve"> 1. A customer can choose to view their return requests list:
	• From their user menu (My Orders)
	• From a given Order (Back to Orders)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t="str">
        <f ca="1">IFERROR(__xludf.DUMMYFUNCTION("""COMPUTED_VALUE"""),"BR2003")</f>
        <v>BR2003</v>
      </c>
      <c r="C133" s="107" t="str">
        <f ca="1">IFERROR(__xludf.DUMMYFUNCTION("""COMPUTED_VALUE"""),"View return request")</f>
        <v>View return request</v>
      </c>
      <c r="D133" s="107" t="str">
        <f ca="1">IFERROR(__xludf.DUMMYFUNCTION("""COMPUTED_VALUE""")," 1. Present at least the following for the selected return requests:
	• Return Number (link to return detail)
	• Original Order Number (link to order to which the return applies)
	• Return Date (date-time return request was submitted)
	• Return Status (pe"&amp;"nding, approved, collecting, return, completed)
	• Return Value (total value of return)
	• Number of items in return
	• Collection address (name of chosen delivery address)
	• For a return in the collecting status, present the expected collection date
	• "&amp;"List of products to return
	• View icon (link to return detail)
	• Enquire icon (link to submit an enquiry, linked to the given return)
 2. Present at least the following for each product in the list of products to return:
	• Product Number
	• Product Tit"&amp;"le (link to product)
	• Thumbnail image
	• Quantity to return
	• Unit product price (incl.) on order
	• Total product price (incl.) on order")</f>
        <v xml:space="preserve"> 1. Present at least the following for the selected return requests:
	• Return Number (link to return detail)
	• Original Order Number (link to order to which the return applies)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t="str">
        <f ca="1">IFERROR(__xludf.DUMMYFUNCTION("""COMPUTED_VALUE"""),"BR2004")</f>
        <v>BR2004</v>
      </c>
      <c r="C134" s="107" t="str">
        <f ca="1">IFERROR(__xludf.DUMMYFUNCTION("""COMPUTED_VALUE"""),"Enquire about return request")</f>
        <v>Enquire about return request</v>
      </c>
      <c r="D134" s="107" t="str">
        <f ca="1">IFERROR(__xludf.DUMMYFUNCTION("""COMPUTED_VALUE""")," 1. When viewing a return request, a customer can choose to enquire about that return request.
	• The customer is prompted to capture their message.
 2. The customer enquiry is submitted as a customer message of type return-enquiry, with the reference to "&amp;"the specific return.")</f>
        <v xml:space="preserve"> 1. When viewing a return request, a customer can choose to enquire about that return request.
	• The customer is prompted to capture their message.
 2. The customer enquiry is submitted as a customer message of type return-enquiry, with the reference to the specific return.</v>
      </c>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t="str">
        <f ca="1">IFERROR(__xludf.DUMMYFUNCTION("""COMPUTED_VALUE"""),"21 Customer Messages")</f>
        <v>21 Customer Messages</v>
      </c>
      <c r="B135" s="106" t="str">
        <f ca="1">IFERROR(__xludf.DUMMYFUNCTION("""COMPUTED_VALUE"""),"ReqID")</f>
        <v>ReqID</v>
      </c>
      <c r="C135" s="107" t="str">
        <f ca="1">IFERROR(__xludf.DUMMYFUNCTION("""COMPUTED_VALUE"""),"Requirement")</f>
        <v>Requirement</v>
      </c>
      <c r="D135" s="107" t="str">
        <f ca="1">IFERROR(__xludf.DUMMYFUNCTION("""COMPUTED_VALUE"""),"Description")</f>
        <v>Description</v>
      </c>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t="str">
        <f ca="1">IFERROR(__xludf.DUMMYFUNCTION("""COMPUTED_VALUE"""),"BR2101")</f>
        <v>BR2101</v>
      </c>
      <c r="C136" s="107" t="str">
        <f ca="1">IFERROR(__xludf.DUMMYFUNCTION("""COMPUTED_VALUE"""),"Notify user that their submitted request has been received")</f>
        <v>Notify user that their submitted request has been received</v>
      </c>
      <c r="D136" s="107" t="str">
        <f ca="1">IFERROR(__xludf.DUMMYFUNCTION("""COMPUTED_VALUE""")," 1. When an enquiry of any type is submitted online, the user is informed that their submission has been received.
	• A visual message with their submission reference is presented.
	• A copy of the submission is sent to their registered/provided email add"&amp;"ress.")</f>
        <v xml:space="preserve"> 1. When an enquiry of any type is submitted online, the user is informed that their submission has been received.
	• A visual message with their submission reference is presented.
	• A copy of the submission is sent to their registered/provided email address.</v>
      </c>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t="str">
        <f ca="1">IFERROR(__xludf.DUMMYFUNCTION("""COMPUTED_VALUE"""),"BR2102")</f>
        <v>BR2102</v>
      </c>
      <c r="C137" s="107" t="str">
        <f ca="1">IFERROR(__xludf.DUMMYFUNCTION("""COMPUTED_VALUE"""),"Present customer messages alert")</f>
        <v>Present customer messages alert</v>
      </c>
      <c r="D137" s="107" t="str">
        <f ca="1">IFERROR(__xludf.DUMMYFUNCTION("""COMPUTED_VALUE""")," 1. A customer is alerted about unread messages as follows:
	• A message icon is presented near the customer menu, with a count of unread messages.
	• After login, the user is prompted with an option to review their new message(s) - supersedes an in-progr"&amp;"ess shopping cart.
	• On their profile, a banner-alert is presented with an option to review their new messages.
 2. On clicking the alert, the user is presented their messages, as described in the View customer messages list requirement.")</f>
        <v xml:space="preserve"> 1. A customer is alerted about unread messages as follows:
	• A message icon is presented near the customer menu, with a count of unread messages.
	• After login, the user is prompted with an option to review their new message(s) - supersedes an in-progress shopping cart.
	• On their profile, a banner-alert is presented with an option to review their new messages.
 2. On clicking the alert, the user is presented their messages, as described in the View customer messages list requirement.</v>
      </c>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t="str">
        <f ca="1">IFERROR(__xludf.DUMMYFUNCTION("""COMPUTED_VALUE"""),"BR2103")</f>
        <v>BR2103</v>
      </c>
      <c r="C138" s="107" t="str">
        <f ca="1">IFERROR(__xludf.DUMMYFUNCTION("""COMPUTED_VALUE"""),"Customer views their messages list.")</f>
        <v>Customer views their messages list.</v>
      </c>
      <c r="D138" s="107" t="str">
        <f ca="1">IFERROR(__xludf.DUMMYFUNCTION("""COMPUTED_VALUE""")," 1. A customer can choose to view their messages list:
	• From their user menu (My Messages)
	• From a message alert
 2. Present at least the following for each messages in the list:
	• Message reference (link to view message)
	• Date-time of message
	• M"&amp;"essage subject (link to view message)
	• Message type
	• Order Number (if relevant; link to order detail)
	• A view message icon (link to view message)
	• A mark-as-read icon, to mark the message as read.
 3. The list of messages are sorted in date descen"&amp;"ding order, with unread messages clearly highlighted.")</f>
        <v xml:space="preserve"> 1. A customer can choose to view their messages list:
	• From their user menu (My Messages)
	• From a message alert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t="str">
        <f ca="1">IFERROR(__xludf.DUMMYFUNCTION("""COMPUTED_VALUE"""),"BR2104")</f>
        <v>BR2104</v>
      </c>
      <c r="C139" s="107" t="str">
        <f ca="1">IFERROR(__xludf.DUMMYFUNCTION("""COMPUTED_VALUE"""),"Customer views message detail")</f>
        <v>Customer views message detail</v>
      </c>
      <c r="D139" s="107" t="str">
        <f ca="1">IFERROR(__xludf.DUMMYFUNCTION("""COMPUTED_VALUE""")," 1. Present a message thread type list of messages associated with the original message, sorted in descending date (latest first) order.
 2. Present at least the following for each message:
	• Message reference (link to view message)
	• Date-time of messa"&amp;"ge
	• Message type
	• Message subject
	• Message detail
	• Order Number (if relevant; link to order detail)
	• Returns Number (if relevant; link to return request detail)
	• A reply icon on the last message, to submit a reply to that message.
 3. The cust"&amp;"omer may choose to mark an enquiry topic as closed, or cancelled.
	• The customer is prompted to provide an optional note when closing the topic.
 4. When submitting a reply, the new message is automatically associated with the original message in that th"&amp;"read, with the relevant classification applied.")</f>
        <v xml:space="preserve"> 1. Present a message thread type list of messages associated with the original message, sorted in descending date (latest first) order.
 2. Present at least the following for each message:
	• Message reference (link to view message)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t="str">
        <f ca="1">IFERROR(__xludf.DUMMYFUNCTION("""COMPUTED_VALUE"""),"BR2105")</f>
        <v>BR2105</v>
      </c>
      <c r="C140" s="107" t="str">
        <f ca="1">IFERROR(__xludf.DUMMYFUNCTION("""COMPUTED_VALUE"""),"Back-office views customer messages needing attention")</f>
        <v>Back-office views customer messages needing attention</v>
      </c>
      <c r="D140" s="107" t="str">
        <f ca="1">IFERROR(__xludf.DUMMYFUNCTION("""COMPUTED_VALUE""")," 1. Each type of customer request must be directed to the appropriate department for attention, but tracked centrally.
 2. The applicable back-office area must be able to view a list of customer messages applicable to their area.
 3. Present at least the "&amp;"following for each messages in the list:
	• Customer Title
	• Customer Name &amp; Surname
	• Customer Phone number
	• Message Reference
	• Date-time of message
	• Message Type
	• Message Status
	• Message Subject
	• Message Detail
	• Order Number (if relevant"&amp;", a link to view the order detail)
	• Return Number (if relevant, a link to view the return detail)")</f>
        <v xml:space="preserve"> 1. Each type of customer request must be directed to the appropriate department for attention, but tracked centrally.
 2. The applicable back-office area must be able to view a list of customer messages applicable to their area.
 3. Present at least the following for each messages in the list: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t="str">
        <f ca="1">IFERROR(__xludf.DUMMYFUNCTION("""COMPUTED_VALUE"""),"BR2106")</f>
        <v>BR2106</v>
      </c>
      <c r="C141" s="107" t="str">
        <f ca="1">IFERROR(__xludf.DUMMYFUNCTION("""COMPUTED_VALUE"""),"Back-office responds to customer message")</f>
        <v>Back-office responds to customer message</v>
      </c>
      <c r="D141" s="107" t="str">
        <f ca="1">IFERROR(__xludf.DUMMYFUNCTION("""COMPUTED_VALUE""")," 1. Present a message thread type list of messages associated with the original message, sorted in descending date (latest first) order.
 2. Present at least the following information for each customer message:
	• Customer Title
	• Customer Name &amp; Surname"&amp;"
	• Customer Phone number
	• Message Reference
	• Date-time of message
	• Message Type
	• Message Status
	• Message Subject
	• Message Detail
	• Order Number (if relevant to their role, a link to view the order detail)
	• Return Number (if relevant to the"&amp;"ir role, a link to view the return detail)
 3. The applicable back-office area must be able to reply to the last customer message.
	• The reply may only contain normal text.
 4. The reply message must be presented to the customer via the following channel"&amp;"s:
	• Email with message, as well as link to their original enquiry (require login to view).
	• Posted on the online shop as an unread message.
	• SMS to the customer, notifying them to read the reply online or in their email.")</f>
        <v xml:space="preserve"> 1. Present a message thread type list of messages associated with the original message, sorted in descending date (latest first) order.
 2. Present at least the following information for each customer message:
	• Customer Title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t="str">
        <f ca="1">IFERROR(__xludf.DUMMYFUNCTION("""COMPUTED_VALUE"""),"22 Online Payments Management")</f>
        <v>22 Online Payments Management</v>
      </c>
      <c r="B142" s="106" t="str">
        <f ca="1">IFERROR(__xludf.DUMMYFUNCTION("""COMPUTED_VALUE"""),"ReqID")</f>
        <v>ReqID</v>
      </c>
      <c r="C142" s="107" t="str">
        <f ca="1">IFERROR(__xludf.DUMMYFUNCTION("""COMPUTED_VALUE"""),"Requirement")</f>
        <v>Requirement</v>
      </c>
      <c r="D142" s="107" t="str">
        <f ca="1">IFERROR(__xludf.DUMMYFUNCTION("""COMPUTED_VALUE"""),"Description")</f>
        <v>Description</v>
      </c>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t="str">
        <f ca="1">IFERROR(__xludf.DUMMYFUNCTION("""COMPUTED_VALUE"""),"BR2201")</f>
        <v>BR2201</v>
      </c>
      <c r="C143" s="107" t="str">
        <f ca="1">IFERROR(__xludf.DUMMYFUNCTION("""COMPUTED_VALUE"""),"Process customer card payment")</f>
        <v>Process customer card payment</v>
      </c>
      <c r="D143" s="107" t="str">
        <f ca="1">IFERROR(__xludf.DUMMYFUNCTION("""COMPUTED_VALUE""")," 1. The customer online payment transaction must be logged, without compromising payment confidentiality.
 2. Also see the Checkout and Pay section.")</f>
        <v xml:space="preserve"> 1. The customer online payment transaction must be logged, without compromising payment confidentiality.
 2. Also see the Checkout and Pay section.</v>
      </c>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t="str">
        <f ca="1">IFERROR(__xludf.DUMMYFUNCTION("""COMPUTED_VALUE"""),"BR2202")</f>
        <v>BR2202</v>
      </c>
      <c r="C144" s="107" t="str">
        <f ca="1">IFERROR(__xludf.DUMMYFUNCTION("""COMPUTED_VALUE"""),"Reverse approved customer online payment")</f>
        <v>Reverse approved customer online payment</v>
      </c>
      <c r="D144" s="107" t="str">
        <f ca="1">IFERROR(__xludf.DUMMYFUNCTION("""COMPUTED_VALUE""")," 1. Approval to reverse an online payment may be granted for the following events:
	• The online payment returned as failed, but payment was taken from the bank (need Finance approval)
	• A customer's request to cancel their unprocessed order was approved"&amp;" (Order Manager approval).
	• An order that cannot be fulfilled by a supplier was cancelled (Order Manager approval).
 2. The reversal of an online payment will be processed directly with the payment gateway or bank (as appropriate).")</f>
        <v xml:space="preserve"> 1. Approval to reverse an online payment may be granted for the following events:
	• The online payment returned as failed, but payment was taken from the bank (need Finance approval)
	• A customer's request to cancel their unprocessed order was approved (Order Manager approval).
	• An order that cannot be fulfilled by a supplier was cancelled (Order Manager approval).
 2. The reversal of an online payment will be processed directly with the payment gateway or bank (as appropriate).</v>
      </c>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t="str">
        <f ca="1">IFERROR(__xludf.DUMMYFUNCTION("""COMPUTED_VALUE"""),"BR2203")</f>
        <v>BR2203</v>
      </c>
      <c r="C145" s="107" t="str">
        <f ca="1">IFERROR(__xludf.DUMMYFUNCTION("""COMPUTED_VALUE"""),"Reconcile online payments to transactions from the payment gateway.")</f>
        <v>Reconcile online payments to transactions from the payment gateway.</v>
      </c>
      <c r="D145" s="107" t="str">
        <f ca="1">IFERROR(__xludf.DUMMYFUNCTION("""COMPUTED_VALUE""")," 1. The transaction log from the payment gateway will serve as remittance advice, to be loaded into the financial system.
 2. The financial department of the business must reconcile the online payments as recorded on the online shop, to the transaction lo"&amp;"g provided by the payment gateway.
 3. The reconciliation must be done on a daily basis, in order to identify and address any discrepancies within 1/2 working days.
 4. the financial department must action any discrepancies wit the customer and payment ga"&amp;"teway.")</f>
        <v xml:space="preserve"> 1. The transaction log from the payment gateway will serve as remittance advice, to be loaded into the financial system.
 2. The financial department of the business must reconcile the online payments as recorded on the online shop, to the transaction log provided by the payment gateway.
 3. The reconciliation must be done on a daily basis, in order to identify and address any discrepancies within 1/2 working days.
 4. the financial department must action any discrepancies wit the customer and payment gateway.</v>
      </c>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t="str">
        <f ca="1">IFERROR(__xludf.DUMMYFUNCTION("""COMPUTED_VALUE"""),"BR2204")</f>
        <v>BR2204</v>
      </c>
      <c r="C146" s="107" t="str">
        <f ca="1">IFERROR(__xludf.DUMMYFUNCTION("""COMPUTED_VALUE"""),"Reconcile online transactions from the payment gateway to the bank deposits.")</f>
        <v>Reconcile online transactions from the payment gateway to the bank deposits.</v>
      </c>
      <c r="D146" s="107" t="str">
        <f ca="1">IFERROR(__xludf.DUMMYFUNCTION("""COMPUTED_VALUE""")," 1. The financial department of the business must reconcile the transaction log provided by the payment gateway to the bank statement, to be performed in the financial system.
 2. The reconciliation must be done on a daily basis, in order to identify and "&amp;"address any discrepancies within 1/2 working days.
 3. the financial department must action any discrepancies wit the customer and payment gateway.")</f>
        <v xml:space="preserve"> 1. The financial department of the business must reconcile the transaction log provided by the payment gateway to the bank statement, to be performed in the financial system.
 2. The reconciliation must be done on a daily basis, in order to identify and address any discrepancies within 1/2 working days.
 3. the financial department must action any discrepancies wit the customer and payment gateway.</v>
      </c>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t="str">
        <f ca="1">IFERROR(__xludf.DUMMYFUNCTION("""COMPUTED_VALUE"""),"23 Customer Orders Management")</f>
        <v>23 Customer Orders Management</v>
      </c>
      <c r="B147" s="106" t="str">
        <f ca="1">IFERROR(__xludf.DUMMYFUNCTION("""COMPUTED_VALUE"""),"ReqID")</f>
        <v>ReqID</v>
      </c>
      <c r="C147" s="107" t="str">
        <f ca="1">IFERROR(__xludf.DUMMYFUNCTION("""COMPUTED_VALUE"""),"Requirement")</f>
        <v>Requirement</v>
      </c>
      <c r="D147" s="107" t="str">
        <f ca="1">IFERROR(__xludf.DUMMYFUNCTION("""COMPUTED_VALUE"""),"Description")</f>
        <v>Description</v>
      </c>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t="str">
        <f ca="1">IFERROR(__xludf.DUMMYFUNCTION("""COMPUTED_VALUE"""),"BR2301")</f>
        <v>BR2301</v>
      </c>
      <c r="C148" s="107" t="str">
        <f ca="1">IFERROR(__xludf.DUMMYFUNCTION("""COMPUTED_VALUE"""),"Allocate the products for a customer order to the relevant suppliers (drop-shipping)")</f>
        <v>Allocate the products for a customer order to the relevant suppliers (drop-shipping)</v>
      </c>
      <c r="D148" s="107" t="str">
        <f ca="1">IFERROR(__xludf.DUMMYFUNCTION("""COMPUTED_VALUE""")," 1. Each product in a customer order must be allocated to an order for the supplier that fulfills that product.
	• The supplier order must be associated with the customer order.
 2. The supplier orders must be managed from creation to completion.
 3. Incl"&amp;"ude at least the following details for a supplier order:
	• Customer Order Number
	• Supplier Order Number
	• Order Date (date-time the supplier order was originally created)
	• Order Status (new,update,cancel)
	• Last Update (date-time of the last status"&amp;" update for the order)
	• Delivery address (name of chosen delivery address)
	• Products list
	• Order Total Sales Value (incl.)
	• Order Total VAT
 4. Include at least the following for each product / product pack in the supplier order products list:
	• "&amp;"Title
	• Barcode
	• Quantity ordered
	• Product Unit Sales Price (excl.)
	• Product Total Sales Price (incl.)
 5. Automatically submit the supplier order to the supplier for fulfilment.
	• The order must be submitted electronically to the relevant supplie"&amp;"r system.
 6. The receipt acknowledgement of the supplier must include at least the following information:
	• Supplier Order Number
	• Supplier's Internal Order Number
	• Any errors or issues related to a product listed in the order.
	• The name and addre"&amp;"ss of the distribution centre/depot where the supplier order is to be fulfilled.
 7. If any issues are included for products, the supplier order must be assigned for immediate intervention by fulfilment management to address.
	• See the Refund customer or"&amp;"der requirements for the corrective action applied if a product cannot be supplied.")</f>
        <v xml:space="preserve"> 1. Each product in a customer order must be allocated to an order for the supplier that fulfills that product.
	• The supplier order must be associated with the customer order.
 2. The supplier orders must be managed from creation to completion.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t="str">
        <f ca="1">IFERROR(__xludf.DUMMYFUNCTION("""COMPUTED_VALUE"""),"BR2302")</f>
        <v>BR2302</v>
      </c>
      <c r="C149" s="107" t="str">
        <f ca="1">IFERROR(__xludf.DUMMYFUNCTION("""COMPUTED_VALUE"""),"Process each received supplier status update on an allocated supplier order")</f>
        <v>Process each received supplier status update on an allocated supplier order</v>
      </c>
      <c r="D149" s="107" t="str">
        <f ca="1">IFERROR(__xludf.DUMMYFUNCTION("""COMPUTED_VALUE""")," 1. Once the order has been processed, the supplier must automatically acknowledge the order, to include the following:
	• For each product listed, confirmation of the quantity to be fulfilled.
 2. Any status update for a supplier order from a supplier mu"&amp;"st include at least the following:
	• Business reference number
	• Supplier reference number
	• Order status
	• Order status message
 3. Also see the following sections:
	• Product and Service Suppliers - the B2C Co suppliers provide up-to-date product an"&amp;"d service details requirements
	• B2C Co Parcel Packing and Dispatch")</f>
        <v xml:space="preserve"> 1. Once the order has been processed, the supplier must automatically acknowledge the order, to include the following:
	• For each product listed, confirmation of the quantity to be fulfilled.
 2. Any status update for a supplier order from a supplier must include at least the following:
	• Business reference number
	• Supplier reference number
	• Order status
	• Order status message
 3. Also see the following sections:
	• Product and Service Suppliers - the B2C Co suppliers provide up-to-date product and service details requirements
	• B2C Co Parcel Packing and Dispatch</v>
      </c>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t="str">
        <f ca="1">IFERROR(__xludf.DUMMYFUNCTION("""COMPUTED_VALUE"""),"BR2303")</f>
        <v>BR2303</v>
      </c>
      <c r="C150" s="107" t="str">
        <f ca="1">IFERROR(__xludf.DUMMYFUNCTION("""COMPUTED_VALUE"""),"Allocate each packed order to the courier")</f>
        <v>Allocate each packed order to the courier</v>
      </c>
      <c r="D150" s="107" t="str">
        <f ca="1">IFERROR(__xludf.DUMMYFUNCTION("""COMPUTED_VALUE""")," 1. On receiving confirmation from a supplier that an order is packed, the courier will be informed to collect it from the supplier.
 2. The waybill number received back from the courier is then submitted with the customer's delivery details to the suppli"&amp;"er, in order for them to print and apply the waybill to the packed order.")</f>
        <v xml:space="preserve"> 1. On receiving confirmation from a supplier that an order is packed, the courier will be informed to collect it from the supplier.
 2. The waybill number received back from the courier is then submitted with the customer's delivery details to the supplier, in order for them to print and apply the waybill to the packed order.</v>
      </c>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t="str">
        <f ca="1">IFERROR(__xludf.DUMMYFUNCTION("""COMPUTED_VALUE"""),"BR2304")</f>
        <v>BR2304</v>
      </c>
      <c r="C151" s="107" t="str">
        <f ca="1">IFERROR(__xludf.DUMMYFUNCTION("""COMPUTED_VALUE"""),"Process each courier status update on a supplier order")</f>
        <v>Process each courier status update on a supplier order</v>
      </c>
      <c r="D151" s="107" t="str">
        <f ca="1">IFERROR(__xludf.DUMMYFUNCTION("""COMPUTED_VALUE""")," 1. Once the order has been processed for collection, the courier must automatically acknowledge the collection, to include the following:
	• Supplier Order Number
	• Waybill reference number
 2. Any status update for a supplier order from a courier must "&amp;"include at least the following:
	• Supplier Order Number
	• Waybill reference number
	• Delivery status
	• Delivery status message (as applicable)
 3. A status message must automatically be sent to the customer for at least the following status events:
	•"&amp;" Order despatched
	• Order delivered
 4. Also see the B2C Co suppliers provide up-to-date product and service details requirements in the Product and Service Suppliers section")</f>
        <v xml:space="preserve"> 1. Once the order has been processed for collection, the courier must automatically acknowledge the collection, to include the following:
	• Supplier Order Number
	• Waybill reference number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t="str">
        <f ca="1">IFERROR(__xludf.DUMMYFUNCTION("""COMPUTED_VALUE"""),"BR2305")</f>
        <v>BR2305</v>
      </c>
      <c r="C152" s="107" t="str">
        <f ca="1">IFERROR(__xludf.DUMMYFUNCTION("""COMPUTED_VALUE"""),"Follow-up on the incomplete fulfilment of a customer order")</f>
        <v>Follow-up on the incomplete fulfilment of a customer order</v>
      </c>
      <c r="D152" s="107" t="str">
        <f ca="1">IFERROR(__xludf.DUMMYFUNCTION("""COMPUTED_VALUE""")," 1. The fulfilment department will manually follow up with:
	• The supplier, on a fulfilment issue
	• The courier, on a delivery that is outstanding
	• The customer, on a delivery the courier could not complete")</f>
        <v xml:space="preserve"> 1. The fulfilment department will manually follow up with:
	• The supplier, on a fulfilment issue
	• The courier, on a delivery that is outstanding
	• The customer, on a delivery the courier could not complete</v>
      </c>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t="str">
        <f ca="1">IFERROR(__xludf.DUMMYFUNCTION("""COMPUTED_VALUE"""),"BR2306")</f>
        <v>BR2306</v>
      </c>
      <c r="C153" s="107" t="str">
        <f ca="1">IFERROR(__xludf.DUMMYFUNCTION("""COMPUTED_VALUE"""),"Cancel a supplier order")</f>
        <v>Cancel a supplier order</v>
      </c>
      <c r="D153" s="107" t="str">
        <f ca="1">IFERROR(__xludf.DUMMYFUNCTION("""COMPUTED_VALUE""")," 1. Order management must review each order cancellation request received from a customer, to determine the status of the related supplier orders.
 2. Order management may cancel a supplier order on request from a customer, as long as it has not been pack"&amp;"ed/dispatched.
 3. Order management may cancel a supplier order on request from a supplier that cannot fulfill that order (no stock, product recall, etc.).
 4. Any approved cancellation is applied to the relevant supplier order(s) by orders management.
	•"&amp;" The updated (now cancelled) supplier order must automatically be submitted to the supplier.
	• The supplier must acknowledge the cancellation.
 5. Orders management submits a message to the customer to inform them of the decision and any special conditio"&amp;"ns related to the cancellation of their order (e.g. part of the order already collected/despatched for delivery and cannot be cancelled).
 6. The customer must be refunded partially/in full for any cancelled (but already paid for) customer order,as detail"&amp;"ed in the Refunc customer order requirement.")</f>
        <v xml:space="preserve"> 1. Order management must review each order cancellation request received from a customer, to determine the status of the related supplier orders.
 2. Order management may cancel a supplier order on request from a customer, as long as it has not been packed/dispatched.
 3. Order management may cancel a supplier order on request from a supplier that cannot fulfill that order (no stock, product recall, etc.).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t="str">
        <f ca="1">IFERROR(__xludf.DUMMYFUNCTION("""COMPUTED_VALUE"""),"BR2307")</f>
        <v>BR2307</v>
      </c>
      <c r="C154" s="107" t="str">
        <f ca="1">IFERROR(__xludf.DUMMYFUNCTION("""COMPUTED_VALUE"""),"Refund customer order")</f>
        <v>Refund customer order</v>
      </c>
      <c r="D154" s="107" t="str">
        <f ca="1">IFERROR(__xludf.DUMMYFUNCTION("""COMPUTED_VALUE""")," 1. Where a product was returned, the customer is refunded for that product.
 2. Where a purchased product cannot be supplied by a product supplier, the customer is refunded for that product.
 3. Where a delivery could not be made, the entire order is ref"&amp;"unded, less a delivery fee.
 4. The status of the applicable products on the customer order is set to cancelled.
 5. Irrespective of whether the action was initiated as requested by the customer or not, a message is sent to the customer by the relevant de"&amp;"partment, to inform them of the action.")</f>
        <v xml:space="preserve"> 1. Where a product was returned, the customer is refunded for that product.
 2. Where a purchased product cannot be supplied by a product supplier, the customer is refunded for that product.
 3. Where a delivery could not be made, the entire order is refunded, less a delivery fee.
 4. The status of the applicable products on the customer order is set to cancelled.
 5. Irrespective of whether the action was initiated as requested by the customer or not, a message is sent to the customer by the relevant department, to inform them of the action.</v>
      </c>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t="str">
        <f ca="1">IFERROR(__xludf.DUMMYFUNCTION("""COMPUTED_VALUE"""),"24 Customer Returns Management")</f>
        <v>24 Customer Returns Management</v>
      </c>
      <c r="B155" s="106" t="str">
        <f ca="1">IFERROR(__xludf.DUMMYFUNCTION("""COMPUTED_VALUE"""),"ReqID")</f>
        <v>ReqID</v>
      </c>
      <c r="C155" s="107" t="str">
        <f ca="1">IFERROR(__xludf.DUMMYFUNCTION("""COMPUTED_VALUE"""),"Requirement")</f>
        <v>Requirement</v>
      </c>
      <c r="D155" s="107" t="str">
        <f ca="1">IFERROR(__xludf.DUMMYFUNCTION("""COMPUTED_VALUE"""),"Description")</f>
        <v>Description</v>
      </c>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t="str">
        <f ca="1">IFERROR(__xludf.DUMMYFUNCTION("""COMPUTED_VALUE"""),"BR2401")</f>
        <v>BR2401</v>
      </c>
      <c r="C156" s="107" t="str">
        <f ca="1">IFERROR(__xludf.DUMMYFUNCTION("""COMPUTED_VALUE"""),"Review customer return request")</f>
        <v>Review customer return request</v>
      </c>
      <c r="D156" s="107" t="str">
        <f ca="1">IFERROR(__xludf.DUMMYFUNCTION("""COMPUTED_VALUE""")," 1. Order management must review each return request received from a customer, to determine the status of the order and the related products.
 2. On approval, update the status of the return request.
 3. For a denial, update the status to denied and submi"&amp;"t an explanatory message to the customer.
	• If needed, contact the customer to clarify the request, or to ask them to log the return on the correct customer order.
 4. The approved return request is then allocated to the relevant suppliers and courier, a"&amp;"s detailed in the following requirements:
	• Submit a supplier return for an approved return request to the relevant supplier
	• Submit each supplier return request to the courier for collection")</f>
        <v xml:space="preserve"> 1. Order management must review each return request received from a customer, to determine the status of the order and the related products.
 2. On approval, update the status of the return request.
 3. For a denial, update the status to denied and submit an explanatory message to the customer.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t="str">
        <f ca="1">IFERROR(__xludf.DUMMYFUNCTION("""COMPUTED_VALUE"""),"BR2402")</f>
        <v>BR2402</v>
      </c>
      <c r="C157" s="107" t="str">
        <f ca="1">IFERROR(__xludf.DUMMYFUNCTION("""COMPUTED_VALUE"""),"Submit a supplier return for an approved return request to the relevant supplier")</f>
        <v>Submit a supplier return for an approved return request to the relevant supplier</v>
      </c>
      <c r="D157" s="107" t="str">
        <f ca="1">IFERROR(__xludf.DUMMYFUNCTION("""COMPUTED_VALUE""")," 1. The approved return is submitted to the supplier, to include at least the following:
	• Customer return reference number
	• List of products to be returned (barcode, name, quantity)
 2. Once the return request has been registered, the supplier must au"&amp;"tomatically acknowledge the return, to include at least the following:
	• For each product listed, confirmation of the quantity to be accepted.
	• Supplier return reference number")</f>
        <v xml:space="preserve"> 1. The approved return is submitted to the supplier, to include at least the following:
	• Customer return reference number
	• List of products to be returned (barcode, name, quantity)
 2. Once the return request has been registered, the supplier must automatically acknowledge the return, to include at least the following:
	• For each product listed, confirmation of the quantity to be accepted.
	• Supplier return reference number</v>
      </c>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t="str">
        <f ca="1">IFERROR(__xludf.DUMMYFUNCTION("""COMPUTED_VALUE"""),"BR2403")</f>
        <v>BR2403</v>
      </c>
      <c r="C158" s="107" t="str">
        <f ca="1">IFERROR(__xludf.DUMMYFUNCTION("""COMPUTED_VALUE"""),"Process each supplier status update on return request")</f>
        <v>Process each supplier status update on return request</v>
      </c>
      <c r="D158" s="107" t="str">
        <f ca="1">IFERROR(__xludf.DUMMYFUNCTION("""COMPUTED_VALUE""")," 1. Any received status update for a return request from a supplier must include at least the following:
	• Customer return reference number
	• Supplier return reference number
	• Return status
	• Return status message
 2. A status message must automatica"&amp;"lly be sent to the customer for at least the following status events:
	• Return received
 3. Also see the B2C Co suppliers provide up-to-date product and service details requirements in the Product and Service Suppliers section")</f>
        <v xml:space="preserve"> 1. Any received status update for a return request from a supplier must include at least the following:
	• Customer return reference number
	• Supplier return reference number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t="str">
        <f ca="1">IFERROR(__xludf.DUMMYFUNCTION("""COMPUTED_VALUE"""),"BR2404")</f>
        <v>BR2404</v>
      </c>
      <c r="C159" s="107" t="str">
        <f ca="1">IFERROR(__xludf.DUMMYFUNCTION("""COMPUTED_VALUE"""),"Submit each supplier return request to the courier for collection")</f>
        <v>Submit each supplier return request to the courier for collection</v>
      </c>
      <c r="D159" s="107" t="str">
        <f ca="1">IFERROR(__xludf.DUMMYFUNCTION("""COMPUTED_VALUE""")," 1. On receiving confirmation from a supplier that the return request has been registered, the courier will be informed to collect it from the supplier.
 2. The courier must acknowledge the collection, with their courier collection reference number.")</f>
        <v xml:space="preserve"> 1. On receiving confirmation from a supplier that the return request has been registered, the courier will be informed to collect it from the supplier.
 2. The courier must acknowledge the collection, with their courier collection reference number.</v>
      </c>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t="str">
        <f ca="1">IFERROR(__xludf.DUMMYFUNCTION("""COMPUTED_VALUE"""),"BR2405")</f>
        <v>BR2405</v>
      </c>
      <c r="C160" s="107" t="str">
        <f ca="1">IFERROR(__xludf.DUMMYFUNCTION("""COMPUTED_VALUE"""),"Process each courier status update on a return request")</f>
        <v>Process each courier status update on a return request</v>
      </c>
      <c r="D160" s="107" t="str">
        <f ca="1">IFERROR(__xludf.DUMMYFUNCTION("""COMPUTED_VALUE""")," 1. Any status update for a return request from a courier must include at least the following:
	• Customer return reference number
	• Courier return reference number
	• Return status
	• Return status message (as applicable)
 2. A status message must autom"&amp;"atically be sent to the customer for at least the following status events:
	• Collection pending
	• Collection complete
 3. Also see the B2C Co suppliers provide up-to-date product and service details requirements in the Product and Service Suppliers sect"&amp;"ion")</f>
        <v xml:space="preserve"> 1. Any status update for a return request from a courier must include at least the following:
	• Customer return reference number
	• Courier return reference number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t="str">
        <f ca="1">IFERROR(__xludf.DUMMYFUNCTION("""COMPUTED_VALUE"""),"BR2406")</f>
        <v>BR2406</v>
      </c>
      <c r="C161" s="107" t="str">
        <f ca="1">IFERROR(__xludf.DUMMYFUNCTION("""COMPUTED_VALUE"""),"Follow-up on the incomplete fulfilment of a customer return request")</f>
        <v>Follow-up on the incomplete fulfilment of a customer return request</v>
      </c>
      <c r="D161" s="107" t="str">
        <f ca="1">IFERROR(__xludf.DUMMYFUNCTION("""COMPUTED_VALUE""")," 1. The fulfilment department will manually follow up with:
	• The courier, on a return collection that is outstanding
	• The customer, on a collected the courier could not complete
	• The courier and supplier, on a product return processing issue")</f>
        <v xml:space="preserve"> 1. The fulfilment department will manually follow up with:
	• The courier, on a return collection that is outstanding
	• The customer, on a collected the courier could not complete
	• The courier and supplier, on a product return processing issue</v>
      </c>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t="str">
        <f ca="1">IFERROR(__xludf.DUMMYFUNCTION("""COMPUTED_VALUE"""),"25 Customer Contact Management")</f>
        <v>25 Customer Contact Management</v>
      </c>
      <c r="B162" s="106" t="str">
        <f ca="1">IFERROR(__xludf.DUMMYFUNCTION("""COMPUTED_VALUE"""),"ReqID")</f>
        <v>ReqID</v>
      </c>
      <c r="C162" s="107" t="str">
        <f ca="1">IFERROR(__xludf.DUMMYFUNCTION("""COMPUTED_VALUE"""),"Requirement")</f>
        <v>Requirement</v>
      </c>
      <c r="D162" s="107" t="str">
        <f ca="1">IFERROR(__xludf.DUMMYFUNCTION("""COMPUTED_VALUE"""),"Description")</f>
        <v>Description</v>
      </c>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t="str">
        <f ca="1">IFERROR(__xludf.DUMMYFUNCTION("""COMPUTED_VALUE"""),"BR2501")</f>
        <v>BR2501</v>
      </c>
      <c r="C163" s="107" t="str">
        <f ca="1">IFERROR(__xludf.DUMMYFUNCTION("""COMPUTED_VALUE"""),"Provide a central customer contact management capability")</f>
        <v>Provide a central customer contact management capability</v>
      </c>
      <c r="D163" s="107" t="str">
        <f ca="1">IFERROR(__xludf.DUMMYFUNCTION("""COMPUTED_VALUE""")," 1. Provide the ability for the business to centrally manage online contact with registered customers and anonymous visitors who submit enquiries to the business.
 2. The customer online contact management capability must be available to the following:
	•"&amp;" Call centre
	• Orders Management
	• Fulfilment Management
	• Payments Management")</f>
        <v xml:space="preserve"> 1. Provide the ability for the business to centrally manage online contact with registered customers and anonymous visitors who submit enquiries to the business.
 2. The customer online contact management capability must be available to the following:
	• Call centre
	• Orders Management
	• Fulfilment Management
	• Payments Management</v>
      </c>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t="str">
        <f ca="1">IFERROR(__xludf.DUMMYFUNCTION("""COMPUTED_VALUE"""),"BR2502")</f>
        <v>BR2502</v>
      </c>
      <c r="C164" s="107" t="str">
        <f ca="1">IFERROR(__xludf.DUMMYFUNCTION("""COMPUTED_VALUE"""),"Provide a central contact centre capability")</f>
        <v>Provide a central contact centre capability</v>
      </c>
      <c r="D164" s="107" t="str">
        <f ca="1">IFERROR(__xludf.DUMMYFUNCTION("""COMPUTED_VALUE""")," 1. The purpose of the contact centre is primarily to support customers who contact the business.
 2. The business requires a contact centre via which to serve customers who contact the business via the following channels:
	• National business toll-free p"&amp;"hone number
	• Central business email address (reply to outbound emails)
	• Submissions via the online shop that are supported by the call centre
	• Whatsapp (when implemented)
 3. A skills-based approach must be implemented in the contact centre, in orde"&amp;"r to maximise the use of agents (not dedicated per topic).
 4. The capability to present an agent with the relevant detail of a customer via the telephone channel is not required.
 5. The call centre telephony infrastructure must provide at least the foll"&amp;"owing capabilities for each channel:
	• Queues for different channels and topics
	• Welcome message
	• After-hours message
	• Temporarily out-of-service message
	• Call waiting message
	• High-volume message
	• Auto-assignment to the next available agent "&amp;"(balance call vs email and messaging)
	• Customer contact metrics and statistics
	• Agent contact metrics and statistics
	• Agent skills management
	• Supervisor and agent hand-over
	• Contact Recording
	• Dashboard with real-time statistics updates
	• Th"&amp;"e caller must be presented the option to select a topic, prior to being assigned to a relevant queue")</f>
        <v xml:space="preserve"> 1. The purpose of the contact centre is primarily to support customers who contact the business.
 2. The business requires a contact centre via which to serve customers who contact the business via the following channels:
	• National business toll-free phone number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t="str">
        <f ca="1">IFERROR(__xludf.DUMMYFUNCTION("""COMPUTED_VALUE"""),"26 End-to-end Statistics")</f>
        <v>26 End-to-end Statistics</v>
      </c>
      <c r="B165" s="106" t="str">
        <f ca="1">IFERROR(__xludf.DUMMYFUNCTION("""COMPUTED_VALUE"""),"ReqID")</f>
        <v>ReqID</v>
      </c>
      <c r="C165" s="107" t="str">
        <f ca="1">IFERROR(__xludf.DUMMYFUNCTION("""COMPUTED_VALUE"""),"Requirement")</f>
        <v>Requirement</v>
      </c>
      <c r="D165" s="107" t="str">
        <f ca="1">IFERROR(__xludf.DUMMYFUNCTION("""COMPUTED_VALUE"""),"Description")</f>
        <v>Description</v>
      </c>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t="str">
        <f ca="1">IFERROR(__xludf.DUMMYFUNCTION("""COMPUTED_VALUE"""),"BR2601")</f>
        <v>BR2601</v>
      </c>
      <c r="C166" s="107" t="str">
        <f ca="1">IFERROR(__xludf.DUMMYFUNCTION("""COMPUTED_VALUE"""),"Record advertisement related activity")</f>
        <v>Record advertisement related activity</v>
      </c>
      <c r="D166" s="107" t="str">
        <f ca="1">IFERROR(__xludf.DUMMYFUNCTION("""COMPUTED_VALUE""")," 1. Collect online (other than online shop) advertising responses, per version, presentation format and channel.
 2. Collect advertisements promoted in the online shop, per presentation format and version.
 3. Collect advertisements listed in the online s"&amp;"hop product search results.
 4. At least the following events are logged per channel for statistical and customer profiling purposes:
	• Method used to find the content (promoted, search, etc.).
	• Advert click-through to online shop
	• Display teaser (ba"&amp;"nner, teaser, online shop search results/internet search, etc.)
	• Display full content
	• Add/remove advertised product from the user favourites, or wish lists
	• Add/remove advertised product from the shopping cart
	• Purchase advertised product (online"&amp;" payment processed)
 5. Reconcile all collected data for each advertisement.
 6. Maintain advertisement statistics per campaign, advertisement and channel.
 7. Maintain advertisement statistics per product category, meta-tag and search term.")</f>
        <v xml:space="preserve"> 1. Collect online (other than online shop) advertising responses, per version, presentation format and channel.
 2. Collect advertisements promoted in the online shop, per presentation format and version.
 3. Collect advertisements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t="str">
        <f ca="1">IFERROR(__xludf.DUMMYFUNCTION("""COMPUTED_VALUE"""),"BR2602")</f>
        <v>BR2602</v>
      </c>
      <c r="C167" s="107" t="str">
        <f ca="1">IFERROR(__xludf.DUMMYFUNCTION("""COMPUTED_VALUE"""),"Record product related activity")</f>
        <v>Record product related activity</v>
      </c>
      <c r="D167" s="107" t="str">
        <f ca="1">IFERROR(__xludf.DUMMYFUNCTION("""COMPUTED_VALUE""")," 1. Collect online product click-through responses, per channel.
 2. Collect products listed in the online shop product search results.
 3. Collect online shop product search responses.
 4. At least the following events are logged per channel for statisti"&amp;"cal and customer profiling purposes:
	• Method used to find the content (promoted, search, etc.).
	• Advert click-through to online shop
	• Display teaser (banner, teaser, online shop search results/internet search, etc.)
	• Display full content
	• Add/re"&amp;"move advertised product from the user favourites, or wish lists
	• Add/remove advertised product from the shopping cart
	• Purchase advertised product (online payment processed)
 5. Reconcile all collected data for each product and promotion.
 6. Maintain"&amp;" product statistics per campaign, advertisement and channel.
 7. Maintain product statistics per product category, meta-tag and search term.")</f>
        <v xml:space="preserve"> 1. Collect online product click-through responses, per channel.
 2. Collect products listed in the online shop product search results.
 3. Collect online shop product search responses.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t="str">
        <f ca="1">IFERROR(__xludf.DUMMYFUNCTION("""COMPUTED_VALUE"""),"BR2603")</f>
        <v>BR2603</v>
      </c>
      <c r="C168" s="107" t="str">
        <f ca="1">IFERROR(__xludf.DUMMYFUNCTION("""COMPUTED_VALUE"""),"Record special content related activity")</f>
        <v>Record special content related activity</v>
      </c>
      <c r="D168" s="107" t="str">
        <f ca="1">IFERROR(__xludf.DUMMYFUNCTION("""COMPUTED_VALUE""")," 1. Collect online (other than online shop) special content presentations, per format and channel.
 2. Collect advertisements promoted in the online shop, per presentation format.
 3. Collect articles listed in the online shop product search results.
 4. "&amp;"At least the following events are logged per channel for statistical and customer profiling purposes:
	• Method used to find the content (promoted, search, etc.).
	• Advert click-through to online shop
	• Display teaser (banner, teaser, online shop search"&amp;" results/internet search, etc.)
	• Display full content
	• Follow link in article to products search
	• Add/remove article linked product from the user favourites, or wish lists
	• Add/remove article linked product from the shopping cart
	• Purchase artic"&amp;"le linked product (online payment processed)
	• Add/remove article from the user library
 5. Reconcile all collected data for each article.
 6. Maintain article statistics per channel.
 7. Maintain product statistics per article category, meta-tag and sea"&amp;"rch term.")</f>
        <v xml:space="preserve"> 1. Collect online (other than online shop) special content presentations, per format and channel.
 2. Collect advertisements promoted in the online shop, per presentation format.
 3. Collect articles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t="str">
        <f ca="1">IFERROR(__xludf.DUMMYFUNCTION("""COMPUTED_VALUE"""),"BR2604")</f>
        <v>BR2604</v>
      </c>
      <c r="C169" s="107" t="str">
        <f ca="1">IFERROR(__xludf.DUMMYFUNCTION("""COMPUTED_VALUE"""),"Identify online shop visitors")</f>
        <v>Identify online shop visitors</v>
      </c>
      <c r="D169" s="107" t="str">
        <f ca="1">IFERROR(__xludf.DUMMYFUNCTION("""COMPUTED_VALUE""")," 1. Apply acceptable cookie and other methods to uniquely identify and track the activity and preferences of unique anonymous users over time, across sessions.
 2. Use logged in user details to track the activity and preferences of each user (customer and"&amp;" business) over time, across sessions.
 3. Where a user is a logged in customer, attribute the activity to that customer.")</f>
        <v xml:space="preserve"> 1. Apply acceptable cookie and other methods to uniquely identify and track the activity and preferences of unique anonymous users over time, across sessions.
 2. Use logged in user details to track the activity and preferences of each user (customer and business) over time, across sessions.
 3. Where a user is a logged in customer, attribute the activity to that customer.</v>
      </c>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t="str">
        <f ca="1">IFERROR(__xludf.DUMMYFUNCTION("""COMPUTED_VALUE"""),"BR2605")</f>
        <v>BR2605</v>
      </c>
      <c r="C170" s="107" t="str">
        <f ca="1">IFERROR(__xludf.DUMMYFUNCTION("""COMPUTED_VALUE"""),"Compile and track website activity per user")</f>
        <v>Compile and track website activity per user</v>
      </c>
      <c r="D170" s="107" t="str">
        <f ca="1">IFERROR(__xludf.DUMMYFUNCTION("""COMPUTED_VALUE""")," 1. Track clicks per link, button and page for both anonymous and logged-in users.
 2. Track time spent on pages
 3. Compile hourly/daily statistics per link, button, menu item, promoted item and page.
 4. Record and automatically alert online shop admini"&amp;"strators of broken links and other online shop errors.")</f>
        <v xml:space="preserve"> 1. Track clicks per link, button and page for both anonymous and logged-in users.
 2. Track time spent on pages
 3. Compile hourly/daily statistics per link, button, menu item, promoted item and page.
 4. Record and automatically alert online shop administrators of broken links and other online shop errors.</v>
      </c>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t="str">
        <f ca="1">IFERROR(__xludf.DUMMYFUNCTION("""COMPUTED_VALUE"""),"BR2606")</f>
        <v>BR2606</v>
      </c>
      <c r="C171" s="107" t="str">
        <f ca="1">IFERROR(__xludf.DUMMYFUNCTION("""COMPUTED_VALUE"""),"Track meta-tag activity")</f>
        <v>Track meta-tag activity</v>
      </c>
      <c r="D171" s="107" t="str">
        <f ca="1">IFERROR(__xludf.DUMMYFUNCTION("""COMPUTED_VALUE""")," 1. Using advertising, product and article statistics, identify the following:
	• Frequency of meta-tag and synonym use over time
	• Frequency of meta-tag and synonym use per campaign and special event
	• Frequency of meta-tag hierarchy and dimension use "&amp;"over time
	• Frequency of meta-tag hierarchy and dimension use per campaign and special event
	• Match of meta-tags to search terms")</f>
        <v xml:space="preserve"> 1. Using advertising, product and article statistics, identify the following:
	• Frequency of meta-tag and synonym use over time
	• Frequency of meta-tag and synonym use per campaign and special event
	• Frequency of meta-tag hierarchy and dimension use over time
	• Frequency of meta-tag hierarchy and dimension use per campaign and special event
	• Match of meta-tags to search terms</v>
      </c>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t="str">
        <f ca="1">IFERROR(__xludf.DUMMYFUNCTION("""COMPUTED_VALUE"""),"BR2607")</f>
        <v>BR2607</v>
      </c>
      <c r="C172" s="107" t="str">
        <f ca="1">IFERROR(__xludf.DUMMYFUNCTION("""COMPUTED_VALUE"""),"Compile and track search term activity")</f>
        <v>Compile and track search term activity</v>
      </c>
      <c r="D172" s="107" t="str">
        <f ca="1">IFERROR(__xludf.DUMMYFUNCTION("""COMPUTED_VALUE""")," 1. Using advertising, product and article statistics, identify the following:
	• Frequency of search-term and word use over time
	• Frequency of search-term and word use per campaign and special event
	• Search terms/words with no matching meta-tags
	• S"&amp;"earch terms that returned no results
	• Search terms that did/not result in a product view
	• Search terms that did/not result in a product purchase")</f>
        <v xml:space="preserve"> 1. Using advertising, product and article statistics, identify the following:
	• Frequency of search-term and word use over time
	• Frequency of search-term and word use per campaign and special event
	• Search terms/words with no matching meta-tags
	• Search terms that returned no results
	• Search terms that did/not result in a product view
	• Search terms that did/not result in a product purchase</v>
      </c>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t="str">
        <f ca="1">IFERROR(__xludf.DUMMYFUNCTION("""COMPUTED_VALUE"""),"BR2608")</f>
        <v>BR2608</v>
      </c>
      <c r="C173" s="107" t="str">
        <f ca="1">IFERROR(__xludf.DUMMYFUNCTION("""COMPUTED_VALUE"""),"Track customer preferences")</f>
        <v>Track customer preferences</v>
      </c>
      <c r="D173" s="107" t="str">
        <f ca="1">IFERROR(__xludf.DUMMYFUNCTION("""COMPUTED_VALUE""")," 1. Track meta-tags and search terms used by each customer, in order to identify and prioritise the meta-tags currently relevant to each customer.
 2. Track products visited, bookmarked, purchased and returned by each customer, in order to identify and pr"&amp;"ioritise the meta-tags and products currently relevant to each customer.
 3. Track articles visited and bookmarked by each customer, in order to identify and prioritise the meta-tags currently relevant (most used) to each customer.
 4. Also see the Online"&amp;" Shop Recommended Content section")</f>
        <v xml:space="preserve"> 1. Track meta-tags and search terms used by each customer, in order to identify and prioritise the meta-tags currently relevant to each customer.
 2. Track products visited, bookmarked, purchased and returned by each customer, in order to identify and prioritise the meta-tags and products currently relevant to each customer.
 3. Track articles visited and bookmarked by each customer, in order to identify and prioritise the meta-tags currently relevant (most used) to each customer.
 4. Also see the Online Shop Recommended Content section</v>
      </c>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t="str">
        <f ca="1">IFERROR(__xludf.DUMMYFUNCTION("""COMPUTED_VALUE"""),"BR2609")</f>
        <v>BR2609</v>
      </c>
      <c r="C174" s="107" t="str">
        <f ca="1">IFERROR(__xludf.DUMMYFUNCTION("""COMPUTED_VALUE"""),"Record customer order events")</f>
        <v>Record customer order events</v>
      </c>
      <c r="D174" s="107" t="str">
        <f ca="1">IFERROR(__xludf.DUMMYFUNCTION("""COMPUTED_VALUE""")," 1. Record the significant customer order lifecycle events across time, to include:
	• Basket size and value
	• Product quantity, unit price and total price
 2. Record the significant customer order lifecycle events per advertisement, campaign and special"&amp;" event (include same metrics as above).
 3. Record the significant customer order lifecycle events per supplier (include same metrics as above).")</f>
        <v xml:space="preserve"> 1. Record the significant customer order lifecycle events across time, to include:
	• Basket size and value
	• Product quantity, unit price and total price
 2. Record the significant customer order lifecycle events per advertisement, campaign and special event (include same metrics as above).
 3. Record the significant customer order lifecycle events per supplier (include same metrics as above).</v>
      </c>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t="str">
        <f ca="1">IFERROR(__xludf.DUMMYFUNCTION("""COMPUTED_VALUE"""),"BR2610")</f>
        <v>BR2610</v>
      </c>
      <c r="C175" s="107" t="str">
        <f ca="1">IFERROR(__xludf.DUMMYFUNCTION("""COMPUTED_VALUE"""),"Record customer return request events")</f>
        <v>Record customer return request events</v>
      </c>
      <c r="D175" s="107" t="str">
        <f ca="1">IFERROR(__xludf.DUMMYFUNCTION("""COMPUTED_VALUE""")," 1. Record the significant customer return request lifecycle events across time, to include:
	• Order basket size and value
	• Return basket size and value
	• Purchased product quantity, unit price and total price
	• Returned product quantity, unit price "&amp;"and total price
 2. Record the significant customer return request lifecycle events per advertisement, campaign and special event (include same metrics as above).
 3. Record the significant customer return request lifecycle events per supplier (include sa"&amp;"me metrics as above).")</f>
        <v xml:space="preserve"> 1. Record the significant customer return request lifecycle events across time, to include:
	• Order basket size and value
	• Return basket size and value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t="str">
        <f ca="1">IFERROR(__xludf.DUMMYFUNCTION("""COMPUTED_VALUE"""),"BR2611")</f>
        <v>BR2611</v>
      </c>
      <c r="C176" s="107" t="str">
        <f ca="1">IFERROR(__xludf.DUMMYFUNCTION("""COMPUTED_VALUE"""),"Record supplier order fulfilment events")</f>
        <v>Record supplier order fulfilment events</v>
      </c>
      <c r="D176" s="107" t="str">
        <f ca="1">IFERROR(__xludf.DUMMYFUNCTION("""COMPUTED_VALUE""")," 1. Record the significant supplier order lifecycle events across time, to include:
	• Basket size and value
	• Ordered product quantity, unit price and total price
	• Confirmed product quantity, unit price and total price
	• Fulfilled product quantity, u"&amp;"nit price and total price
 2. Record the significant supplier order lifecycle events per advertisement, campaign and special event (include same metrics as above).
 3. Record the significant customer order and return lifecycle events per supplier (include"&amp;" same metrics as above), as detailed in the following requirements:
	• Record customer order events
	• Record customer return request events")</f>
        <v xml:space="preserve"> 1. Record the significant supplier order lifecycle events across time, to include:
	• Basket size and value
	• Ordered product quantity, unit price and total price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t="str">
        <f ca="1">IFERROR(__xludf.DUMMYFUNCTION("""COMPUTED_VALUE"""),"27 Supplier Orders Fulfilment")</f>
        <v>27 Supplier Orders Fulfilment</v>
      </c>
      <c r="B177" s="106" t="str">
        <f ca="1">IFERROR(__xludf.DUMMYFUNCTION("""COMPUTED_VALUE"""),"ReqID")</f>
        <v>ReqID</v>
      </c>
      <c r="C177" s="107" t="str">
        <f ca="1">IFERROR(__xludf.DUMMYFUNCTION("""COMPUTED_VALUE"""),"Requirement")</f>
        <v>Requirement</v>
      </c>
      <c r="D177" s="107" t="str">
        <f ca="1">IFERROR(__xludf.DUMMYFUNCTION("""COMPUTED_VALUE"""),"Description")</f>
        <v>Description</v>
      </c>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t="str">
        <f ca="1">IFERROR(__xludf.DUMMYFUNCTION("""COMPUTED_VALUE"""),"BR2701")</f>
        <v>BR2701</v>
      </c>
      <c r="C178" s="107" t="str">
        <f ca="1">IFERROR(__xludf.DUMMYFUNCTION("""COMPUTED_VALUE"""),"Integrate online shop with each supplier")</f>
        <v>Integrate online shop with each supplier</v>
      </c>
      <c r="D178" s="107" t="str">
        <f ca="1">IFERROR(__xludf.DUMMYFUNCTION("""COMPUTED_VALUE""")," 1. As Shoprite adheres to the GS1 standard for EDI, it is recommended that the GS1 EDI standard be adopted for interfacing documents with suppliers.
 2. For Transpharm, any suitable existing interfaces for submitting orders may be used.
 3. Integrate the"&amp;" online shop with the supplier ordering system, in order to:
	• Place a supplier order
	• Receive the confirmation for a new/updated supplier order (with their internal order reference)
	• Update or cancel a supplier order
	• Receive the confirmation for "&amp;"an updated/cancelled supplier order
	• Receive a fulfilment status updates for a supplier order
	• Submit the courier waybill details to the supplier for a picked supplier order
 4. Integrate the online shop with the supplier stock management solution, in"&amp;" order to:
	• Receive status updates on the availability of product / packs
 5. Also see the relevant requirements in the following sections:
	• Customer Orders Management
	• B2C Co Parcel Packing and Dispatch")</f>
        <v xml:space="preserve"> 1. As Shoprite adheres to the GS1 standard for EDI, it is recommended that the GS1 EDI standard be adopted for interfacing documents with suppliers.
 2. For Transpharm, any suitable existing interfaces for submitting orders may be used.
 3. Integrate the online shop with the supplier ordering system, in order to: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t="str">
        <f ca="1">IFERROR(__xludf.DUMMYFUNCTION("""COMPUTED_VALUE"""),"BR2702")</f>
        <v>BR2702</v>
      </c>
      <c r="C179" s="107" t="str">
        <f ca="1">IFERROR(__xludf.DUMMYFUNCTION("""COMPUTED_VALUE"""),"A supplier manages the fulfilment of a supplier order across their distribution centres and depots")</f>
        <v>A supplier manages the fulfilment of a supplier order across their distribution centres and depots</v>
      </c>
      <c r="D179" s="107" t="str">
        <f ca="1">IFERROR(__xludf.DUMMYFUNCTION("""COMPUTED_VALUE""")," 1. The supplier centrally receives and manages all supplier orders to be fulfilled.
 2. A supplier internal order must automatically be created for each received new supplier order.
	• Use the received product barcode to identify a product pack to alloca"&amp;"te to the supplier's internal order
	• Record the supplier order number as external reference on the internal order
	• Automatically assess stock availability and confirm the stock availability, along with the internal order number
 3. The supplier centra"&amp;"lly allocates each received supplier order to the appropriate warehouse to fulfil, to be based on:
	• Stock availability in each warehouse
	• Warehouse closest to the delivery address (reduced courier cost/time)
 4. As the location where an supplier order"&amp;" is being fulfilled is managed transparently by the supplier, they may transfer the order to a new fulfilment location.
	• A status update for the supplier order must be sent to the business, to notify them of the new location where the order is being ful"&amp;"filled.
 5. The existing supplier internal order must automatically be updated for each received supplier order update (update, cancel).
	• Use the received product barcode to identify a product pack to allocate to the supplier's internal order
	• Update "&amp;"the product quantities to match the updated supplier order
	• Automatically assess stock availability and confirm the stock availability
	• Changes to a supplier order that is already packed may be refused.
 6. The supplier centrally manages and notifies "&amp;"their allocated warehouse with any changes to an allocated supplier order update, cancel).
 7. The fulfilment status of each supplier order must be centrally managed, in order to automatically report the progress of the supplier order back to the business"&amp;".
 8. Also see the relevant requirements in the Customer Orders Management section.")</f>
        <v xml:space="preserve"> 1. The supplier centrally receives and manages all supplier orders to be fulfilled.
 2. A supplier internal order must automatically be created for each received new supplier order.
	• Use the received product barcode to identify a product pack to allocate to the supplier's internal order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t="str">
        <f ca="1">IFERROR(__xludf.DUMMYFUNCTION("""COMPUTED_VALUE"""),"BR2703")</f>
        <v>BR2703</v>
      </c>
      <c r="C180" s="107" t="str">
        <f ca="1">IFERROR(__xludf.DUMMYFUNCTION("""COMPUTED_VALUE"""),"Fulfil supplier orders on behalf of the business")</f>
        <v>Fulfil supplier orders on behalf of the business</v>
      </c>
      <c r="D180" s="107" t="str">
        <f ca="1">IFERROR(__xludf.DUMMYFUNCTION("""COMPUTED_VALUE""")," 1. The supplier fulfilment department must implement procedures and related checks to ensure supplier documentation is not packed with the supplied products.
 2. The supplier fulfilment department must use the business supplied functionality to retrieve "&amp;"and print the customer statement and waybill label for the packed order, as detailed in the View and print the customer documentation for a supplier from the online shop requirement.
 3. Pack the supplier statement in the package with the products (not th"&amp;"e supplier's invoice).
 4. Apply the printed waybill label to the sealed order package (not the supplier's own waybill label).
 5. Also see the relevant requirements in the Customer Orders Management section.")</f>
        <v xml:space="preserve"> 1. The supplier fulfilment department must implement procedures and related checks to ensure supplier documentation is not packed with the supplied products.
 2. The supplier fulfilment department must use the business supplied functionality to retrieve and print the customer statement and waybill label for the packed order, as detailed in the View and print the customer documentation for a supplier from the online shop requirement.
 3. Pack the supplier statement in the package with the products (not the supplier's invoice).
 4. Apply the printed waybill label to the sealed order package (not the supplier's own waybill label).
 5. Also see the relevant requirements in the Customer Orders Management section.</v>
      </c>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t="str">
        <f ca="1">IFERROR(__xludf.DUMMYFUNCTION("""COMPUTED_VALUE"""),"BR2704")</f>
        <v>BR2704</v>
      </c>
      <c r="C181" s="107" t="str">
        <f ca="1">IFERROR(__xludf.DUMMYFUNCTION("""COMPUTED_VALUE"""),"View and print the customer documentation for a supplier from the online shop")</f>
        <v>View and print the customer documentation for a supplier from the online shop</v>
      </c>
      <c r="D181" s="107" t="str">
        <f ca="1">IFERROR(__xludf.DUMMYFUNCTION("""COMPUTED_VALUE""")," 1. Provide the following via the online shop, to be used by the fulfilment department of the supplier, to generate the documentation to be included in the fulfilled order:
 2. Present a page, prompting the user to scan their order barcode.
 3. On submitt"&amp;"ing the supplier barcode/reference, retrieve and display the matching supplier order, indicating only lines confirmed as packed.
 4. Provide the ability to present and then print a customer statement matching the products confirmed as packed for the suppl"&amp;"ier order, to contain at least the following:
	• The words: ""Customer Statement"" and ""Packed on behalf of""
	• Business branding, name, address and contact details
	• Customer full name and delivery address
	• Customer Order Reference
	• Supplier Order"&amp;" Reference (number and barcode)
	• Supplier's internal order number (number and barcode)
	• Date-time statement is printed
	• List of packed products confirmed as packed for the given supplier order
	• Total VAT for supplied products
	• Total Sales Value "&amp;"for supplied products
 5. Print the following details for each applicable product or pack in the list of packed products on the customer statement (include only products confirmed packed for that supplier order):
	• Supplier's Product Number
	• Product de"&amp;"scription from the supplier order
	• Quantity picked
 6. Provide the ability to present and print a waybill label for the supplier order, to contain at least the following details:
	• Provided waybill number (number and barcode)
	• Delivery contact detail"&amp;"s and address
	• Business name
	• Origin address of the package
 7. Also see the following:
	• Back-office User Registration section
	• Online Shop - Present an online shop for logged-in back-office users requirement
	• Online Shop - Back-office User Prof"&amp;"ile requirement")</f>
        <v xml:space="preserve"> 1. Provide the following via the online shop, to be used by the fulfilment department of the supplier, to generate the documentation to be included in the fulfilled order:
 2. Present a page, prompting the user to scan their order barcode.
 3. On submitting the supplier barcode/reference, retrieve and display the matching supplier order, indicating only lines confirmed as packed.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t="str">
        <f ca="1">IFERROR(__xludf.DUMMYFUNCTION("""COMPUTED_VALUE"""),"28 Establish B2C Co as Business")</f>
        <v>28 Establish B2C Co as Business</v>
      </c>
      <c r="B182" s="106" t="str">
        <f ca="1">IFERROR(__xludf.DUMMYFUNCTION("""COMPUTED_VALUE"""),"ReqID")</f>
        <v>ReqID</v>
      </c>
      <c r="C182" s="107" t="str">
        <f ca="1">IFERROR(__xludf.DUMMYFUNCTION("""COMPUTED_VALUE"""),"Requirement")</f>
        <v>Requirement</v>
      </c>
      <c r="D182" s="107" t="str">
        <f ca="1">IFERROR(__xludf.DUMMYFUNCTION("""COMPUTED_VALUE"""),"Description")</f>
        <v>Description</v>
      </c>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t="str">
        <f ca="1">IFERROR(__xludf.DUMMYFUNCTION("""COMPUTED_VALUE"""),"BR2801")</f>
        <v>BR2801</v>
      </c>
      <c r="C183" s="107" t="str">
        <f ca="1">IFERROR(__xludf.DUMMYFUNCTION("""COMPUTED_VALUE"""),"Register the B2C as legal entity")</f>
        <v>Register the B2C as legal entity</v>
      </c>
      <c r="D183" s="107" t="str">
        <f ca="1">IFERROR(__xludf.DUMMYFUNCTION("""COMPUTED_VALUE""")," 1. Define and agree the name under which B2C Co will trade, with input from Shoprite (Directors, Marketing and Legal).
 2. Identify, agree and appoint the directors of B2C Co under direction from Shoprite (Directors and Legal).
 3. Register B2C Co as a b"&amp;"usiness entity in South Africa with the Companies and Intellectual Property Commission (CIPC).
 4. Register the B2C Co as business with SARS for Tax and VAT purposes.")</f>
        <v xml:space="preserve"> 1. Define and agree the name under which B2C Co will trade, with input from Shoprite (Directors, Marketing and Legal).
 2. Identify, agree and appoint the directors of B2C Co under direction from Shoprite (Directors and Legal).
 3. Register B2C Co as a business entity in South Africa with the Companies and Intellectual Property Commission (CIPC).
 4. Register the B2C Co as business with SARS for Tax and VAT purposes.</v>
      </c>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t="str">
        <f ca="1">IFERROR(__xludf.DUMMYFUNCTION("""COMPUTED_VALUE"""),"BR2802")</f>
        <v>BR2802</v>
      </c>
      <c r="C184" s="107" t="str">
        <f ca="1">IFERROR(__xludf.DUMMYFUNCTION("""COMPUTED_VALUE"""),"Register the B2C legal entity with a trading bank account")</f>
        <v>Register the B2C legal entity with a trading bank account</v>
      </c>
      <c r="D184" s="107" t="str">
        <f ca="1">IFERROR(__xludf.DUMMYFUNCTION("""COMPUTED_VALUE""")," 1. Register an online trading retail business account for B2C Co.")</f>
        <v xml:space="preserve"> 1. Register an online trading retail business account for B2C Co.</v>
      </c>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t="str">
        <f ca="1">IFERROR(__xludf.DUMMYFUNCTION("""COMPUTED_VALUE"""),"BR2803")</f>
        <v>BR2803</v>
      </c>
      <c r="C185" s="107" t="str">
        <f ca="1">IFERROR(__xludf.DUMMYFUNCTION("""COMPUTED_VALUE"""),"Configure B2C Co as company in the Shoprite financial systems")</f>
        <v>Configure B2C Co as company in the Shoprite financial systems</v>
      </c>
      <c r="D185" s="107" t="str">
        <f ca="1">IFERROR(__xludf.DUMMYFUNCTION("""COMPUTED_VALUE""")," 1. Configure B2C co as new business in the Shoprite Finance (SAP Finance) system, with the company and tax registration details.
 2. Configure the B2C trading chart of account in the Shoprite financial systems.
 3. Assign access to manage the B2C Co char"&amp;"t of accounts to the Shoprite Pharmacy divisional financial manager and their financial administrators - initially from the Transpharm finance office.
 4. Configure the B2C Co banking in the Shoprite financial system.
 5. Configure the B2C Co for tax in t"&amp;"he Shoprite financial system.")</f>
        <v xml:space="preserve"> 1. Configure B2C co as new business in the Shoprite Finance (SAP Finance) system, with the company and tax registration details.
 2. Configure the B2C trading chart of account in the Shoprite financial systems.
 3. Assign access to manage the B2C Co chart of accounts to the Shoprite Pharmacy divisional financial manager and their financial administrators - initially from the Transpharm finance office.
 4. Configure the B2C Co banking in the Shoprite financial system.
 5. Configure the B2C Co for tax in the Shoprite financial system.</v>
      </c>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t="str">
        <f ca="1">IFERROR(__xludf.DUMMYFUNCTION("""COMPUTED_VALUE"""),"BR2804")</f>
        <v>BR2804</v>
      </c>
      <c r="C186" s="107" t="str">
        <f ca="1">IFERROR(__xludf.DUMMYFUNCTION("""COMPUTED_VALUE"""),"Configure B2C Co as company for trading in the Shoprite retail system")</f>
        <v>Configure B2C Co as company for trading in the Shoprite retail system</v>
      </c>
      <c r="D186" s="107" t="str">
        <f ca="1">IFERROR(__xludf.DUMMYFUNCTION("""COMPUTED_VALUE""")," 1. Configure B2C Co in the Shoprite retail system for trading against the configured chart of accounts in the Shoprite financial system.
 2. Configure the B2C Co online site for trading in the Shoprite retail and any related systems.
 3. The B2C Co will "&amp;"not keep trading stock, as all orders will be fulfilled directly by its suppliers.
 4. Provide the designated buyer access to the B2C Co range and pricing in the Shoprite retail system.
 5. Also see the following sections:
	• Product Classification Struct"&amp;"ures
	• Product and Service Suppliers
	• Product and Service Catalogue
	• Product Pricing")</f>
        <v xml:space="preserve"> 1. Configure B2C Co in the Shoprite retail system for trading against the configured chart of accounts in the Shoprite financial system.
 2. Configure the B2C Co online site for trading in the Shoprite retail and any related systems.
 3. The B2C Co will not keep trading stock, as all orders will be fulfilled directly by its suppliers.
 4. Provide the designated buyer access to the B2C Co range and pricing in the Shoprite retail system.
 5. Also see the following sections:
	• Product Classification Structures
	• Product and Service Suppliers
	• Product and Service Catalogue
	• Product Pricing</v>
      </c>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t="str">
        <f ca="1">IFERROR(__xludf.DUMMYFUNCTION("""COMPUTED_VALUE"""),"BR2805")</f>
        <v>BR2805</v>
      </c>
      <c r="C187" s="107" t="str">
        <f ca="1">IFERROR(__xludf.DUMMYFUNCTION("""COMPUTED_VALUE"""),"Configure B2C Co as company for trading in the Shoprite customer-facing systems")</f>
        <v>Configure B2C Co as company for trading in the Shoprite customer-facing systems</v>
      </c>
      <c r="D187" s="107" t="str">
        <f ca="1">IFERROR(__xludf.DUMMYFUNCTION("""COMPUTED_VALUE""")," 1. Configure B2C Co in the Shoprite customer-facing systems for trading against the configured chart of accounts in the Shoprite financial system and Shoprite retail system.
 2. Configure the B2C Co online site for trading against the Shoprite retail sys"&amp;"tem and Shoprite financial system.
 3. Provide the designated B2C staff training and access to the B2C Co configurations in the customer-facing systems as required to perform their duties in those systems.
 4. Also see the following sections:
	• Product C"&amp;"lassification Structures
	• Product and Service Catalogue
	• Product Pricing
	• B2C Co Marketing
	• Advertising
	• Special Content (Articles)
	• Content Enrichment")</f>
        <v xml:space="preserve"> 1. Configure B2C Co in the Shoprite customer-facing systems for trading against the configured chart of accounts in the Shoprite financial system and Shoprite retail system.
 2. Configure the B2C Co online site for trading against the Shoprite retail system and Shoprite financial system.
 3. Provide the designated B2C staff training and access to the B2C Co configurations in the customer-facing systems as required to perform their duties in those systems.
 4. Also see the following sections:
	• Product Classification Structures
	• Product and Service Catalogue
	• Product Pricing
	• B2C Co Marketing
	• Advertising
	• Special Content (Articles)
	• Content Enrichment</v>
      </c>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t="str">
        <f ca="1">IFERROR(__xludf.DUMMYFUNCTION("""COMPUTED_VALUE"""),"BR2806")</f>
        <v>BR2806</v>
      </c>
      <c r="C188" s="107" t="str">
        <f ca="1">IFERROR(__xludf.DUMMYFUNCTION("""COMPUTED_VALUE"""),"Interface B2C sales payment transaction audit information from the B2C shop to the Shoprite financial system")</f>
        <v>Interface B2C sales payment transaction audit information from the B2C shop to the Shoprite financial system</v>
      </c>
      <c r="D188" s="107" t="str">
        <f ca="1">IFERROR(__xludf.DUMMYFUNCTION("""COMPUTED_VALUE""")," 1. Sales transactions from the online store must automatically be interfaced to the Shoprite financial system.")</f>
        <v xml:space="preserve"> 1. Sales transactions from the online store must automatically be interfaced to the Shoprite financial system.</v>
      </c>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t="str">
        <f ca="1">IFERROR(__xludf.DUMMYFUNCTION("""COMPUTED_VALUE"""),"BR2807")</f>
        <v>BR2807</v>
      </c>
      <c r="C189" s="107" t="str">
        <f ca="1">IFERROR(__xludf.DUMMYFUNCTION("""COMPUTED_VALUE"""),"Configure B2C Co in the Shoprite HR systems")</f>
        <v>Configure B2C Co in the Shoprite HR systems</v>
      </c>
      <c r="D189" s="107" t="str">
        <f ca="1">IFERROR(__xludf.DUMMYFUNCTION("""COMPUTED_VALUE""")," 1. Approve and configure the basic B2C Co organisation structure in the Shoprite HR system, associated to the B2C Co chart of accounts in the Shoprite financial system for payroll and related purposes.
 2. Configure the B2C Co online site as location for"&amp;" staff in the Shoprite HR system.")</f>
        <v xml:space="preserve"> 1. Approve and configure the basic B2C Co organisation structure in the Shoprite HR system, associated to the B2C Co chart of accounts in the Shoprite financial system for payroll and related purposes.
 2. Configure the B2C Co online site as location for staff in the Shoprite HR system.</v>
      </c>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t="str">
        <f ca="1">IFERROR(__xludf.DUMMYFUNCTION("""COMPUTED_VALUE"""),"29 Establish IT Support for B2C Co")</f>
        <v>29 Establish IT Support for B2C Co</v>
      </c>
      <c r="B190" s="106" t="str">
        <f ca="1">IFERROR(__xludf.DUMMYFUNCTION("""COMPUTED_VALUE"""),"ReqID")</f>
        <v>ReqID</v>
      </c>
      <c r="C190" s="107" t="str">
        <f ca="1">IFERROR(__xludf.DUMMYFUNCTION("""COMPUTED_VALUE"""),"Requirement")</f>
        <v>Requirement</v>
      </c>
      <c r="D190" s="107" t="str">
        <f ca="1">IFERROR(__xludf.DUMMYFUNCTION("""COMPUTED_VALUE"""),"Description")</f>
        <v>Description</v>
      </c>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t="str">
        <f ca="1">IFERROR(__xludf.DUMMYFUNCTION("""COMPUTED_VALUE"""),"BR2901")</f>
        <v>BR2901</v>
      </c>
      <c r="C191" s="107" t="str">
        <f ca="1">IFERROR(__xludf.DUMMYFUNCTION("""COMPUTED_VALUE"""),"Configure B2C Co in the Shoprite IT systems")</f>
        <v>Configure B2C Co in the Shoprite IT systems</v>
      </c>
      <c r="D191" s="107" t="str">
        <f ca="1">IFERROR(__xludf.DUMMYFUNCTION("""COMPUTED_VALUE""")," 1. Configure B2C Co business and trading site in the Shoprite site management systems.
 2. Configure the B2C Co business and trading site in the Shoprite IT operational systems.
 3. Register a domain for the B2C Co online store.
 4. Register the B2C Co d"&amp;"omain for email use with the Shoprite systems and allocate email addresses to the key staff.")</f>
        <v xml:space="preserve"> 1. Configure B2C Co business and trading site in the Shoprite site management systems.
 2. Configure the B2C Co business and trading site in the Shoprite IT operational systems.
 3. Register a domain for the B2C Co online store.
 4. Register the B2C Co domain for email use with the Shoprite systems and allocate email addresses to the key staff.</v>
      </c>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t="str">
        <f ca="1">IFERROR(__xludf.DUMMYFUNCTION("""COMPUTED_VALUE"""),"30 Customer Retention Enhancements (next phase)")</f>
        <v>30 Customer Retention Enhancements (next phase)</v>
      </c>
      <c r="B192" s="106" t="str">
        <f ca="1">IFERROR(__xludf.DUMMYFUNCTION("""COMPUTED_VALUE"""),"ReqID")</f>
        <v>ReqID</v>
      </c>
      <c r="C192" s="107" t="str">
        <f ca="1">IFERROR(__xludf.DUMMYFUNCTION("""COMPUTED_VALUE"""),"Requirement")</f>
        <v>Requirement</v>
      </c>
      <c r="D192" s="107" t="str">
        <f ca="1">IFERROR(__xludf.DUMMYFUNCTION("""COMPUTED_VALUE"""),"Description")</f>
        <v>Description</v>
      </c>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t="str">
        <f ca="1">IFERROR(__xludf.DUMMYFUNCTION("""COMPUTED_VALUE"""),"BR3001")</f>
        <v>BR3001</v>
      </c>
      <c r="C193" s="107" t="str">
        <f ca="1">IFERROR(__xludf.DUMMYFUNCTION("""COMPUTED_VALUE"""),"Maintain a Discount Vouchers System")</f>
        <v>Maintain a Discount Vouchers System</v>
      </c>
      <c r="D193" s="107" t="str">
        <f ca="1">IFERROR(__xludf.DUMMYFUNCTION("""COMPUTED_VALUE""")," 1. Maintain a record of all discount vouchers.
 2. Track the use of each voucher by a signed-ibn customer.
 3. A voucher may only be used once by a customer.")</f>
        <v xml:space="preserve"> 1. Maintain a record of all discount vouchers.
 2. Track the use of each voucher by a signed-ibn customer.
 3. A voucher may only be used once by a customer.</v>
      </c>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t="str">
        <f ca="1">IFERROR(__xludf.DUMMYFUNCTION("""COMPUTED_VALUE"""),"BR3002")</f>
        <v>BR3002</v>
      </c>
      <c r="C194" s="107" t="str">
        <f ca="1">IFERROR(__xludf.DUMMYFUNCTION("""COMPUTED_VALUE"""),"Maintain sales promotion discount vouchers")</f>
        <v>Maintain sales promotion discount vouchers</v>
      </c>
      <c r="D194" s="107" t="str">
        <f ca="1">IFERROR(__xludf.DUMMYFUNCTION("""COMPUTED_VALUE""")," 1. A sales promotion discount voucher may be used for the following purposes:
	• Thank you to new customer, to get them to return.
	• A customer who made a big purchase.
	• A customer who has not made any purchases for a while.
 2. Any customer may use t"&amp;"his type of voucher.
 3. A customer is identified to be notified of this type of voucher, based on the following criteria:
	• Frequency of purchase in the recent number (selectable) of months.
	• Total value (in a range) of purchases in the recent number "&amp;"of months.
	• Age of last (selectable) purchase.
 4. The voucher value may be manually assigned as follows:
	• % of the total basket value of next purchase
 5. The voucher has a start and expiry date.
 6. These vouchers are communicated directly to only t"&amp;"he identified customer via email/SMS.
 7. These vouchers are advertised in social media.")</f>
        <v xml:space="preserve"> 1. A sales promotion discount voucher may be used for the following purposes:
	• Thank you to new customer, to get them to return.
	• A customer who made a big purchase.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t="str">
        <f ca="1">IFERROR(__xludf.DUMMYFUNCTION("""COMPUTED_VALUE"""),"BR3003")</f>
        <v>BR3003</v>
      </c>
      <c r="C195" s="107" t="str">
        <f ca="1">IFERROR(__xludf.DUMMYFUNCTION("""COMPUTED_VALUE"""),"Maintain customer-specific discount vouchers")</f>
        <v>Maintain customer-specific discount vouchers</v>
      </c>
      <c r="D195" s="107" t="str">
        <f ca="1">IFERROR(__xludf.DUMMYFUNCTION("""COMPUTED_VALUE""")," 1. A customer discount voucher may be used for the following purposes:
	• Thank you to new customer, to get them to return.
	• A customer who made a big purchase.
	• A customer who has not made any purchases for a while.
 2. A customer is identified to r"&amp;"eceive a voucher, based on the following criteria:
	• Frequency of purchase in the recent number (selectable) of months.
	• Total value (in a range) of purchases in the recent number of months.
	• Age of last (selectable) purchase.
 3. A customer discount"&amp;" voucher value may be assigned as follows:
	• % of the total basket value of next purchase
 4. A personal voucher is active immediately and has an expiry date.
 5. A personal discount voucher is communicated to the customer via email/SMS.")</f>
        <v xml:space="preserve"> 1. A customer discount voucher may be used for the following purposes:
	• Thank you to new customer, to get them to return.
	• A customer who made a big purchase.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t="str">
        <f ca="1">IFERROR(__xludf.DUMMYFUNCTION("""COMPUTED_VALUE"""),"BR3004")</f>
        <v>BR3004</v>
      </c>
      <c r="C196" s="107" t="str">
        <f ca="1">IFERROR(__xludf.DUMMYFUNCTION("""COMPUTED_VALUE"""),"Maintain product-specific discount vouchers")</f>
        <v>Maintain product-specific discount vouchers</v>
      </c>
      <c r="D196" s="107" t="str">
        <f ca="1">IFERROR(__xludf.DUMMYFUNCTION("""COMPUTED_VALUE""")," 1. A product discount voucher may be used for the following purposes:
	• Promote a specific product (supplier promotion)
 2. A customer is identified to be notified of this type of voucher, based on the following criteria:
	• Frequency of purchase in the"&amp;" recent number (selectable) of months.
	• Total value (in a range) of purchases in the recent number of months.
	• Age of last (selectable) purchase.
 3. The voucher value may be assigned as follows:
	• % of the value of the next purchase of a specific pr"&amp;"oduct
 4. The voucher may limit the quantity of a given product qualifying for the discount (future).
 5. The voucher has a start and expiry date.
 6. These vouchers are communicated directly to only the identified customer via email/SMS.
 7. These vouche"&amp;"rs are advertised in social media.")</f>
        <v xml:space="preserve"> 1. A product discount voucher may be used for the following purposes:
	• Promote a specific product (supplier promotion)
 2. A customer is identified to be notified of this type of voucher, based on the following criteria: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t="str">
        <f ca="1">IFERROR(__xludf.DUMMYFUNCTION("""COMPUTED_VALUE"""),"BR3005")</f>
        <v>BR3005</v>
      </c>
      <c r="C197" s="107" t="str">
        <f ca="1">IFERROR(__xludf.DUMMYFUNCTION("""COMPUTED_VALUE"""),"Use Discount Vouchers at checkout")</f>
        <v>Use Discount Vouchers at checkout</v>
      </c>
      <c r="D197" s="107" t="str">
        <f ca="1">IFERROR(__xludf.DUMMYFUNCTION("""COMPUTED_VALUE""")," 1. A signed-in customer may apply a single discount voucher at checkout.
 2. A discount is automatically added as line item on the cart, with the total recalculated.")</f>
        <v xml:space="preserve"> 1. A signed-in customer may apply a single discount voucher at checkout.
 2. A discount is automatically added as line item on the cart, with the total recalculated.</v>
      </c>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t="str">
        <f ca="1">IFERROR(__xludf.DUMMYFUNCTION("""COMPUTED_VALUE"""),"31 B2C Co Parcel Packing and Dispatch")</f>
        <v>31 B2C Co Parcel Packing and Dispatch</v>
      </c>
      <c r="B198" s="106" t="str">
        <f ca="1">IFERROR(__xludf.DUMMYFUNCTION("""COMPUTED_VALUE"""),"ReqID")</f>
        <v>ReqID</v>
      </c>
      <c r="C198" s="107" t="str">
        <f ca="1">IFERROR(__xludf.DUMMYFUNCTION("""COMPUTED_VALUE"""),"Requirement")</f>
        <v>Requirement</v>
      </c>
      <c r="D198" s="107" t="str">
        <f ca="1">IFERROR(__xludf.DUMMYFUNCTION("""COMPUTED_VALUE"""),"Description")</f>
        <v>Description</v>
      </c>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t="str">
        <f ca="1">IFERROR(__xludf.DUMMYFUNCTION("""COMPUTED_VALUE"""),"BR3101")</f>
        <v>BR3101</v>
      </c>
      <c r="C199" s="107" t="str">
        <f ca="1">IFERROR(__xludf.DUMMYFUNCTION("""COMPUTED_VALUE"""),"Transpharm prepares orders for B2C Co")</f>
        <v>Transpharm prepares orders for B2C Co</v>
      </c>
      <c r="D199" s="107" t="str">
        <f ca="1">IFERROR(__xludf.DUMMYFUNCTION("""COMPUTED_VALUE""")," 1. Transpharm will fulfil all B2C orders at their Pretoria warehouse.
 2. Transpharm will pick and pack all B2C Co orders in open boxes, consolidated per B2C order.
 3. Transpharm will pack the packed open parcels in totes, for easy processing by the B2C"&amp;" Co parcel packing service.")</f>
        <v xml:space="preserve"> 1. Transpharm will fulfil all B2C orders at their Pretoria warehouse.
 2. Transpharm will pick and pack all B2C Co orders in open boxes, consolidated per B2C order.
 3. Transpharm will pack the packed open parcels in totes, for easy processing by the B2C Co parcel packing service.</v>
      </c>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t="str">
        <f ca="1">IFERROR(__xludf.DUMMYFUNCTION("""COMPUTED_VALUE"""),"BR3102")</f>
        <v>BR3102</v>
      </c>
      <c r="C200" s="107" t="str">
        <f ca="1">IFERROR(__xludf.DUMMYFUNCTION("""COMPUTED_VALUE"""),"B2C Co packs customer parcels for prepared Transpharm orders")</f>
        <v>B2C Co packs customer parcels for prepared Transpharm orders</v>
      </c>
      <c r="D200" s="107" t="str">
        <f ca="1">IFERROR(__xludf.DUMMYFUNCTION("""COMPUTED_VALUE""")," 1. The B2C Co parcel packing service will operate from a different physical premise to Transpharm, but located close by/next to the Transpharm dispatch,
 2. The B2C Co parcel packing service will check the content of each order box.
	• Check physical pro"&amp;"ducts against printed Customer Order.
	• Register the order as received, by scanning a Transpharm waybill label barcode.
	• Pack the parcel protective material (paper, or bubble-wrap).
	• Remove Transpharm documentation from the box.
	• Insert Printer Cus"&amp;"tomer Invoice/statement in the box.
	• Print and apply shipping label.
	• Seal parcel
 3. The B2C Co parcel packing service will prepare the courier shipment.
	• Record parcel as ready for dispatch, by scanning the waybill label barcode.
	• Automatically "&amp;"register each ready-for-dispatch parcel as part of a shipment, interfaced to the national courier for collection.
	• Print a shipment manifest, for use at time of dispatch.
 4. The processed Transpharm totes will be stored at the B2C Co parcel packing fac"&amp;"ility.
 5. Transpharm will collect the stored empty totes.")</f>
        <v xml:space="preserve"> 1. The B2C Co parcel packing service will operate from a different physical premise to Transpharm, but located close by/next to the Transpharm dispatch,
 2. The B2C Co parcel packing service will check the content of each order box.
	• Check physical products against printed Customer Order.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t="str">
        <f ca="1">IFERROR(__xludf.DUMMYFUNCTION("""COMPUTED_VALUE"""),"BR3103")</f>
        <v>BR3103</v>
      </c>
      <c r="C201" s="107" t="str">
        <f ca="1">IFERROR(__xludf.DUMMYFUNCTION("""COMPUTED_VALUE"""),"B2C Co dispatches own packed customer parcels")</f>
        <v>B2C Co dispatches own packed customer parcels</v>
      </c>
      <c r="D201" s="107" t="str">
        <f ca="1">IFERROR(__xludf.DUMMYFUNCTION("""COMPUTED_VALUE""")," 1. The B2C Co parcel packing service will register the shipment as dispatched (to the courier.
	• Stage the parcels for dispatch in a dispatch cage/holding area.
	• Confirm all parcels present for dispatch against the shipping manifest.
	• Register the s"&amp;"hipment as dispatched, by scanning the shipping document barcode.
")</f>
        <v xml:space="preserve"> 1. The B2C Co parcel packing service will register the shipment as dispatched (to the courier.
	• Stage the parcels for dispatch in a dispatch cage/holding area.
	• Confirm all parcels present for dispatch against the shipping manifest.
	• Register the shipment as dispatched, by scanning the shipping document barcode.
</v>
      </c>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D500">
    <cfRule type="expression" dxfId="5" priority="1">
      <formula>(LEN($A1)&gt;0)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27.88671875" customWidth="1"/>
    <col min="4" max="4" width="57.88671875" customWidth="1"/>
    <col min="5" max="5" width="6.33203125" customWidth="1"/>
  </cols>
  <sheetData>
    <row r="1" spans="1:26" x14ac:dyDescent="0.25">
      <c r="A1" s="103" t="str">
        <f ca="1">IFERROR(__xludf.DUMMYFUNCTION("if(iserror(Mindmap!$A$2),""no data"", query(Requirements!$C1:$X2200,""Select N,O,P,T,U where H=""&amp; Preferences!$E$13&amp;""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108" t="str">
        <f ca="1">IFERROR(__xludf.DUMMYFUNCTION("""COMPUTED_VALUE"""),"New / Exist")</f>
        <v>New / Exist</v>
      </c>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Operational Reports")</f>
        <v>1 Operational Reports</v>
      </c>
      <c r="B2" s="106" t="str">
        <f ca="1">IFERROR(__xludf.DUMMYFUNCTION("""COMPUTED_VALUE"""),"ReqID")</f>
        <v>ReqID</v>
      </c>
      <c r="C2" s="107" t="str">
        <f ca="1">IFERROR(__xludf.DUMMYFUNCTION("""COMPUTED_VALUE"""),"Requirement")</f>
        <v>Requirement</v>
      </c>
      <c r="D2" s="107" t="str">
        <f ca="1">IFERROR(__xludf.DUMMYFUNCTION("""COMPUTED_VALUE"""),"Description")</f>
        <v>Description</v>
      </c>
      <c r="E2" s="109" t="str">
        <f ca="1">IFERROR(__xludf.DUMMYFUNCTION("""COMPUTED_VALUE"""),"New / Exist")</f>
        <v>New / Exist</v>
      </c>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IFERROR(__xludf.DUMMYFUNCTION("""COMPUTED_VALUE"""),"IR0101")</f>
        <v>IR0101</v>
      </c>
      <c r="C3" s="107" t="str">
        <f ca="1">IFERROR(__xludf.DUMMYFUNCTION("""COMPUTED_VALUE"""),"Provide an operational dashboard")</f>
        <v>Provide an operational dashboard</v>
      </c>
      <c r="D3" s="107" t="str">
        <f ca="1">IFERROR(__xludf.DUMMYFUNCTION("""COMPUTED_VALUE""")," 1. Provide an operational dashboard for use by the following roles:
	• Promotions Manager
	• Orders Manager
	• Contact Centre
	• Customer Payments
 2. Each area's dashboard must:
	• Highlight the exceptions relevant to that business area
	• Provide hourl"&amp;"y/daily performance statistics")</f>
        <v xml:space="preserve"> 1. Provide an operational dashboard for use by the following roles:
	• Promotions Manager
	• Orders Manager
	• Contact Centre
	• Customer Payments
 2. Each area's dashboard must:
	• Highlight the exceptions relevant to that business area
	• Provide hourly/daily performance statistics</v>
      </c>
      <c r="E3" s="109" t="str">
        <f ca="1">IFERROR(__xludf.DUMMYFUNCTION("""COMPUTED_VALUE"""),"New")</f>
        <v>New</v>
      </c>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IFERROR(__xludf.DUMMYFUNCTION("""COMPUTED_VALUE"""),"IR0102")</f>
        <v>IR0102</v>
      </c>
      <c r="C4" s="107" t="str">
        <f ca="1">IFERROR(__xludf.DUMMYFUNCTION("""COMPUTED_VALUE"""),"Provide operational performance and exception reports")</f>
        <v>Provide operational performance and exception reports</v>
      </c>
      <c r="D4" s="107" t="str">
        <f ca="1">IFERROR(__xludf.DUMMYFUNCTION("""COMPUTED_VALUE""")," 1. Provide operational performance and exception reporting for use by the following roles:
	• Promotions Manager
	• Product Manager
	• Orders Manager
	• Fulfilment Manager
	• Contact Centre agents and supervisor
	• Customer Payments Manager
	• Finance")</f>
        <v xml:space="preserve"> 1. Provide operational performance and exception reporting for use by the following roles:
	• Promotions Manager
	• Product Manager
	• Orders Manager
	• Fulfilment Manager
	• Contact Centre agents and supervisor
	• Customer Payments Manager
	• Finance</v>
      </c>
      <c r="E4" s="109" t="str">
        <f ca="1">IFERROR(__xludf.DUMMYFUNCTION("""COMPUTED_VALUE"""),"New")</f>
        <v>New</v>
      </c>
      <c r="F4" s="42"/>
      <c r="G4" s="42"/>
      <c r="H4" s="42"/>
      <c r="I4" s="42"/>
      <c r="J4" s="42"/>
      <c r="K4" s="42"/>
      <c r="L4" s="42"/>
      <c r="M4" s="42"/>
      <c r="N4" s="42"/>
      <c r="O4" s="42"/>
      <c r="P4" s="42"/>
      <c r="Q4" s="42"/>
      <c r="R4" s="42"/>
      <c r="S4" s="42"/>
      <c r="T4" s="42"/>
      <c r="U4" s="42"/>
      <c r="V4" s="42"/>
      <c r="W4" s="42"/>
      <c r="X4" s="42"/>
      <c r="Y4" s="42"/>
      <c r="Z4" s="42"/>
    </row>
    <row r="5" spans="1:26" x14ac:dyDescent="0.25">
      <c r="A5" s="103"/>
      <c r="B5" s="106" t="str">
        <f ca="1">IFERROR(__xludf.DUMMYFUNCTION("""COMPUTED_VALUE"""),"IR0103")</f>
        <v>IR0103</v>
      </c>
      <c r="C5" s="107" t="str">
        <f ca="1">IFERROR(__xludf.DUMMYFUNCTION("""COMPUTED_VALUE"""),"Report to suppliers on their product performance")</f>
        <v>Report to suppliers on their product performance</v>
      </c>
      <c r="D5" s="107" t="str">
        <f ca="1">IFERROR(__xludf.DUMMYFUNCTION("""COMPUTED_VALUE""")," 1. Report to suppliers on their product performance, to cover the following:
	• Supplier product availability
	• Supplier product sales over time by category
	• Supplier product sales per meta-tag dimension
	• Supplier product sales per supplier advertis"&amp;"ement and campaign
 2. Report to suppliers on key product metrics related to their contracted service levels, as detailed in the Product and Service Suppliers section")</f>
        <v xml:space="preserve"> 1. Report to suppliers on their product performance, to cover the following:
	• Supplier product availability
	• Supplier product sales over time by category
	• Supplier product sales per meta-tag dimension
	• Supplier product sales per supplier advertisement and campaign
 2. Report to suppliers on key product metrics related to their contracted service levels, as detailed in the Product and Service Suppliers section</v>
      </c>
      <c r="E5" s="109" t="str">
        <f ca="1">IFERROR(__xludf.DUMMYFUNCTION("""COMPUTED_VALUE"""),"New")</f>
        <v>New</v>
      </c>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IFERROR(__xludf.DUMMYFUNCTION("""COMPUTED_VALUE"""),"IR0104")</f>
        <v>IR0104</v>
      </c>
      <c r="C6" s="107" t="str">
        <f ca="1">IFERROR(__xludf.DUMMYFUNCTION("""COMPUTED_VALUE"""),"Report to suppliers on their fulfilment performance")</f>
        <v>Report to suppliers on their fulfilment performance</v>
      </c>
      <c r="D6" s="107" t="str">
        <f ca="1">IFERROR(__xludf.DUMMYFUNCTION("""COMPUTED_VALUE""")," 1. Report to suppliers on their fulfilment performance, to cover the following:
	• Supplier orders over time by product category
	• Supplier orders over time per supplier advertisement and campaign
	• Supplier order availability, order confirmation and f"&amp;"ulfilment over time (including durations per satus)
 2. Report to suppliers on key fulfilment metrics related to their contracted service levels, as detailed in the Product and Service Suppliers section")</f>
        <v xml:space="preserve"> 1. Report to suppliers on their fulfilment performance, to cover the following:
	• Supplier orders over time by product category
	• Supplier orders over time per supplier advertisement and campaign
	• Supplier order availability, order confirmation and fulfilment over time (including durations per satus)
 2. Report to suppliers on key fulfilment metrics related to their contracted service levels, as detailed in the Product and Service Suppliers section</v>
      </c>
      <c r="E6" s="109" t="str">
        <f ca="1">IFERROR(__xludf.DUMMYFUNCTION("""COMPUTED_VALUE"""),"New")</f>
        <v>New</v>
      </c>
      <c r="F6" s="42"/>
      <c r="G6" s="42"/>
      <c r="H6" s="42"/>
      <c r="I6" s="42"/>
      <c r="J6" s="42"/>
      <c r="K6" s="42"/>
      <c r="L6" s="42"/>
      <c r="M6" s="42"/>
      <c r="N6" s="42"/>
      <c r="O6" s="42"/>
      <c r="P6" s="42"/>
      <c r="Q6" s="42"/>
      <c r="R6" s="42"/>
      <c r="S6" s="42"/>
      <c r="T6" s="42"/>
      <c r="U6" s="42"/>
      <c r="V6" s="42"/>
      <c r="W6" s="42"/>
      <c r="X6" s="42"/>
      <c r="Y6" s="42"/>
      <c r="Z6" s="42"/>
    </row>
    <row r="7" spans="1:26" x14ac:dyDescent="0.25">
      <c r="A7" s="103"/>
      <c r="B7" s="106" t="str">
        <f ca="1">IFERROR(__xludf.DUMMYFUNCTION("""COMPUTED_VALUE"""),"IR0105")</f>
        <v>IR0105</v>
      </c>
      <c r="C7" s="107" t="str">
        <f ca="1">IFERROR(__xludf.DUMMYFUNCTION("""COMPUTED_VALUE"""),"Report on advertisement activity")</f>
        <v>Report on advertisement activity</v>
      </c>
      <c r="D7" s="107" t="str">
        <f ca="1">IFERROR(__xludf.DUMMYFUNCTION("""COMPUTED_VALUE""")," 1. Report on advertisement activity across at least the following dimensions:
	• Channel
	• Advertisement format
	• Campaign or special event
	• Supplier
	• Product category
	• Product meta-tag dimension
	• Life stage of customer's children
	• Confirmed "&amp;"sales value and margin (ranges)
	• Time (hour, day, week, month, year, season)
	• Customer geographic area/location
 2. Include at least the following metrics for each advertisement:
	• Views
	• Clicks
	• Product ordered (quantity, sales price)
	• Product"&amp;" added to favourites or wish-list (quantity, sales price)
	• Product purchased (quantity, sales price)")</f>
        <v xml:space="preserve"> 1. Report on advertisement activity across at least the following dimensions:
	• Channel
	• Advertisement format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E7" s="109" t="str">
        <f ca="1">IFERROR(__xludf.DUMMYFUNCTION("""COMPUTED_VALUE"""),"New")</f>
        <v>New</v>
      </c>
      <c r="F7" s="42"/>
      <c r="G7" s="42"/>
      <c r="H7" s="42"/>
      <c r="I7" s="42"/>
      <c r="J7" s="42"/>
      <c r="K7" s="42"/>
      <c r="L7" s="42"/>
      <c r="M7" s="42"/>
      <c r="N7" s="42"/>
      <c r="O7" s="42"/>
      <c r="P7" s="42"/>
      <c r="Q7" s="42"/>
      <c r="R7" s="42"/>
      <c r="S7" s="42"/>
      <c r="T7" s="42"/>
      <c r="U7" s="42"/>
      <c r="V7" s="42"/>
      <c r="W7" s="42"/>
      <c r="X7" s="42"/>
      <c r="Y7" s="42"/>
      <c r="Z7" s="42"/>
    </row>
    <row r="8" spans="1:26" x14ac:dyDescent="0.25">
      <c r="A8" s="103"/>
      <c r="B8" s="106" t="str">
        <f ca="1">IFERROR(__xludf.DUMMYFUNCTION("""COMPUTED_VALUE"""),"IR0106")</f>
        <v>IR0106</v>
      </c>
      <c r="C8" s="107" t="str">
        <f ca="1">IFERROR(__xludf.DUMMYFUNCTION("""COMPUTED_VALUE"""),"Report on article activity")</f>
        <v>Report on article activity</v>
      </c>
      <c r="D8" s="107" t="str">
        <f ca="1">IFERROR(__xludf.DUMMYFUNCTION("""COMPUTED_VALUE""")," 1. Report on article activity across at least the following dimensions:
	• Channel
	• Article format
	• Current campaign or special event
	• Article meta-tags and dimensions
	• Life stage of customer's children
	• Confirmed sales value and margin (ranges"&amp;")
	• Time (hour, day, week, month, year, season)
	• Customer geographic area/location
 2. Include at least the following metrics for each article:
	• Views
	• Clicks
	• Article added to library
	• Article linked product ordered (quantity, sales price)
	• "&amp;"Article linked product added to favourites or wish-list (quantity, sales price)
	• Article linked product purchased (quantity, sales price)")</f>
        <v xml:space="preserve"> 1. Report on article activity across at least the following dimensions:
	• Channel
	• Article format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E8" s="109" t="str">
        <f ca="1">IFERROR(__xludf.DUMMYFUNCTION("""COMPUTED_VALUE"""),"New")</f>
        <v>New</v>
      </c>
      <c r="F8" s="42"/>
      <c r="G8" s="42"/>
      <c r="H8" s="42"/>
      <c r="I8" s="42"/>
      <c r="J8" s="42"/>
      <c r="K8" s="42"/>
      <c r="L8" s="42"/>
      <c r="M8" s="42"/>
      <c r="N8" s="42"/>
      <c r="O8" s="42"/>
      <c r="P8" s="42"/>
      <c r="Q8" s="42"/>
      <c r="R8" s="42"/>
      <c r="S8" s="42"/>
      <c r="T8" s="42"/>
      <c r="U8" s="42"/>
      <c r="V8" s="42"/>
      <c r="W8" s="42"/>
      <c r="X8" s="42"/>
      <c r="Y8" s="42"/>
      <c r="Z8" s="42"/>
    </row>
    <row r="9" spans="1:26" x14ac:dyDescent="0.25">
      <c r="A9" s="103" t="str">
        <f ca="1">IFERROR(__xludf.DUMMYFUNCTION("""COMPUTED_VALUE"""),"2 Analytical Reports")</f>
        <v>2 Analytical Reports</v>
      </c>
      <c r="B9" s="106" t="str">
        <f ca="1">IFERROR(__xludf.DUMMYFUNCTION("""COMPUTED_VALUE"""),"ReqID")</f>
        <v>ReqID</v>
      </c>
      <c r="C9" s="107" t="str">
        <f ca="1">IFERROR(__xludf.DUMMYFUNCTION("""COMPUTED_VALUE"""),"Requirement")</f>
        <v>Requirement</v>
      </c>
      <c r="D9" s="107" t="str">
        <f ca="1">IFERROR(__xludf.DUMMYFUNCTION("""COMPUTED_VALUE"""),"Description")</f>
        <v>Description</v>
      </c>
      <c r="E9" s="109" t="str">
        <f ca="1">IFERROR(__xludf.DUMMYFUNCTION("""COMPUTED_VALUE"""),"New / Exist")</f>
        <v>New / Exist</v>
      </c>
      <c r="F9" s="42"/>
      <c r="G9" s="42"/>
      <c r="H9" s="42"/>
      <c r="I9" s="42"/>
      <c r="J9" s="42"/>
      <c r="K9" s="42"/>
      <c r="L9" s="42"/>
      <c r="M9" s="42"/>
      <c r="N9" s="42"/>
      <c r="O9" s="42"/>
      <c r="P9" s="42"/>
      <c r="Q9" s="42"/>
      <c r="R9" s="42"/>
      <c r="S9" s="42"/>
      <c r="T9" s="42"/>
      <c r="U9" s="42"/>
      <c r="V9" s="42"/>
      <c r="W9" s="42"/>
      <c r="X9" s="42"/>
      <c r="Y9" s="42"/>
      <c r="Z9" s="42"/>
    </row>
    <row r="10" spans="1:26" x14ac:dyDescent="0.25">
      <c r="A10" s="103"/>
      <c r="B10" s="106" t="str">
        <f ca="1">IFERROR(__xludf.DUMMYFUNCTION("""COMPUTED_VALUE"""),"IR0201")</f>
        <v>IR0201</v>
      </c>
      <c r="C10" s="107" t="str">
        <f ca="1">IFERROR(__xludf.DUMMYFUNCTION("""COMPUTED_VALUE"""),"Provide business performance reports")</f>
        <v>Provide business performance reports</v>
      </c>
      <c r="D10" s="107" t="str">
        <f ca="1">IFERROR(__xludf.DUMMYFUNCTION("""COMPUTED_VALUE""")," 1. Provide performance (summary) reporting for use by the following areas in the business:
	• Senior Management (overall)
	• Marketing
	• Promotion Management
	• Product Management
	• Orders Management
	• Operations Management (end-to-end)
	• Contact Cen"&amp;"tre
	• Finance - Banking and Payments
	• Finance - Suppliers")</f>
        <v xml:space="preserve"> 1. Provide performance (summary) reporting for use by the following areas in the business:
	• Senior Management (overall)
	• Marketing
	• Promotion Management
	• Product Management
	• Orders Management
	• Operations Management (end-to-end)
	• Contact Centre
	• Finance - Banking and Payments
	• Finance - Suppliers</v>
      </c>
      <c r="E10" s="109" t="str">
        <f ca="1">IFERROR(__xludf.DUMMYFUNCTION("""COMPUTED_VALUE"""),"New")</f>
        <v>New</v>
      </c>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t="str">
        <f ca="1">IFERROR(__xludf.DUMMYFUNCTION("""COMPUTED_VALUE"""),"IR0202")</f>
        <v>IR0202</v>
      </c>
      <c r="C11" s="107" t="str">
        <f ca="1">IFERROR(__xludf.DUMMYFUNCTION("""COMPUTED_VALUE"""),"Report on marketing campaign income and expenses")</f>
        <v>Report on marketing campaign income and expenses</v>
      </c>
      <c r="D11" s="107" t="str">
        <f ca="1">IFERROR(__xludf.DUMMYFUNCTION("""COMPUTED_VALUE""")," 1. Utilise online shop and financial data to report on the effectiveness of campaigns and advertisements at least across the following dimensions:
	• Channel
	• Supplier
	• Campaign or Special event")</f>
        <v xml:space="preserve"> 1. Utilise online shop and financial data to report on the effectiveness of campaigns and advertisements at least across the following dimensions:
	• Channel
	• Supplier
	• Campaign or Special event</v>
      </c>
      <c r="E11" s="109" t="str">
        <f ca="1">IFERROR(__xludf.DUMMYFUNCTION("""COMPUTED_VALUE"""),"New")</f>
        <v>New</v>
      </c>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t="str">
        <f ca="1">IFERROR(__xludf.DUMMYFUNCTION("""COMPUTED_VALUE"""),"IR0203")</f>
        <v>IR0203</v>
      </c>
      <c r="C12" s="107" t="str">
        <f ca="1">IFERROR(__xludf.DUMMYFUNCTION("""COMPUTED_VALUE"""),"Report on the use of presented content")</f>
        <v>Report on the use of presented content</v>
      </c>
      <c r="D12" s="107" t="str">
        <f ca="1">IFERROR(__xludf.DUMMYFUNCTION("""COMPUTED_VALUE""")," 1. Report on the best and worst performing (sales) products and product categories across the following:
	• Advertisements
	• Products
	• Promotions
	• Articles
	• Campaign or special event
	• Supplier
 2. Report on the best and worst performing (sales) "&amp;"meta-tags and search terms across the following:
	• Advertisements
	• Products
	• Promotions
	• Articles
	• Supplier
	• Campaign or special event
 3. Report on the best and worst performing (sales) promoted products across the following:
	• Category and m"&amp;"eta-tag priority
	• Product priority
	• Also-bought
	• Similar products
	• Supplier
	• Campaign or special event
")</f>
        <v xml:space="preserve"> 1. Report on the best and worst performing (sales) products and product categories across the following:
	• Advertisements
	• Products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E12" s="109" t="str">
        <f ca="1">IFERROR(__xludf.DUMMYFUNCTION("""COMPUTED_VALUE"""),"New")</f>
        <v>New</v>
      </c>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c r="B13" s="106"/>
      <c r="C13" s="107"/>
      <c r="D13" s="107"/>
      <c r="E13" s="109"/>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c r="B14" s="106"/>
      <c r="C14" s="107"/>
      <c r="D14" s="107"/>
      <c r="E14" s="109"/>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c r="B15" s="106"/>
      <c r="C15" s="107"/>
      <c r="D15" s="107"/>
      <c r="E15" s="109"/>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c r="C16" s="107"/>
      <c r="D16" s="107"/>
      <c r="E16" s="109"/>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c r="C17" s="107"/>
      <c r="D17" s="107"/>
      <c r="E17" s="109"/>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c r="C18" s="107"/>
      <c r="D18" s="107"/>
      <c r="E18" s="109"/>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c r="B19" s="106"/>
      <c r="C19" s="107"/>
      <c r="D19" s="107"/>
      <c r="E19" s="109"/>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c r="C20" s="107"/>
      <c r="D20" s="107"/>
      <c r="E20" s="109"/>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c r="B21" s="106"/>
      <c r="C21" s="107"/>
      <c r="D21" s="107"/>
      <c r="E21" s="109"/>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c r="B22" s="106"/>
      <c r="C22" s="107"/>
      <c r="D22" s="107"/>
      <c r="E22" s="109"/>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c r="C23" s="107"/>
      <c r="D23" s="107"/>
      <c r="E23" s="109"/>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c r="C24" s="107"/>
      <c r="D24" s="107"/>
      <c r="E24" s="109"/>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c r="B25" s="106"/>
      <c r="C25" s="107"/>
      <c r="D25" s="107"/>
      <c r="E25" s="109"/>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c r="C26" s="107"/>
      <c r="D26" s="107"/>
      <c r="E26" s="109"/>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c r="B27" s="106"/>
      <c r="C27" s="107"/>
      <c r="D27" s="107"/>
      <c r="E27" s="109"/>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c r="C28" s="107"/>
      <c r="D28" s="107"/>
      <c r="E28" s="109"/>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c r="C29" s="107"/>
      <c r="D29" s="107"/>
      <c r="E29" s="109"/>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c r="B30" s="106"/>
      <c r="C30" s="107"/>
      <c r="D30" s="107"/>
      <c r="E30" s="109"/>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c r="C31" s="107"/>
      <c r="D31" s="107"/>
      <c r="E31" s="109"/>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c r="C32" s="107"/>
      <c r="D32" s="107"/>
      <c r="E32" s="109"/>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c r="C33" s="107"/>
      <c r="D33" s="107"/>
      <c r="E33" s="109"/>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c r="C34" s="107"/>
      <c r="D34" s="107"/>
      <c r="E34" s="109"/>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c r="B35" s="106"/>
      <c r="C35" s="107"/>
      <c r="D35" s="107"/>
      <c r="E35" s="109"/>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c r="C36" s="107"/>
      <c r="D36" s="107"/>
      <c r="E36" s="109"/>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c r="C37" s="107"/>
      <c r="D37" s="107"/>
      <c r="E37" s="109"/>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c r="C38" s="107"/>
      <c r="D38" s="107"/>
      <c r="E38" s="109"/>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c r="C39" s="107"/>
      <c r="D39" s="107"/>
      <c r="E39" s="109"/>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c r="C40" s="107"/>
      <c r="D40" s="107"/>
      <c r="E40" s="109"/>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c r="C41" s="107"/>
      <c r="D41" s="107"/>
      <c r="E41" s="109"/>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c r="B42" s="106"/>
      <c r="C42" s="107"/>
      <c r="D42" s="107"/>
      <c r="E42" s="109"/>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c r="B43" s="106"/>
      <c r="C43" s="107"/>
      <c r="D43" s="107"/>
      <c r="E43" s="109"/>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c r="C44" s="107"/>
      <c r="D44" s="107"/>
      <c r="E44" s="109"/>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c r="C45" s="107"/>
      <c r="D45" s="107"/>
      <c r="E45" s="109"/>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c r="C46" s="107"/>
      <c r="D46" s="107"/>
      <c r="E46" s="109"/>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c r="C47" s="107"/>
      <c r="D47" s="107"/>
      <c r="E47" s="109"/>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c r="C48" s="107"/>
      <c r="D48" s="107"/>
      <c r="E48" s="109"/>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c r="C49" s="107"/>
      <c r="D49" s="107"/>
      <c r="E49" s="109"/>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c r="B50" s="106"/>
      <c r="C50" s="107"/>
      <c r="D50" s="107"/>
      <c r="E50" s="109"/>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c r="B51" s="106"/>
      <c r="C51" s="107"/>
      <c r="D51" s="107"/>
      <c r="E51" s="109"/>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c r="C52" s="107"/>
      <c r="D52" s="107"/>
      <c r="E52" s="109"/>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c r="C53" s="107"/>
      <c r="D53" s="107"/>
      <c r="E53" s="109"/>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c r="C54" s="107"/>
      <c r="D54" s="107"/>
      <c r="E54" s="109"/>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c r="C55" s="107"/>
      <c r="D55" s="107"/>
      <c r="E55" s="109"/>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c r="C56" s="107"/>
      <c r="D56" s="107"/>
      <c r="E56" s="109"/>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c r="C57" s="107"/>
      <c r="D57" s="107"/>
      <c r="E57" s="109"/>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c r="C58" s="107"/>
      <c r="D58" s="107"/>
      <c r="E58" s="109"/>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c r="C59" s="107"/>
      <c r="D59" s="107"/>
      <c r="E59" s="109"/>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c r="C60" s="107"/>
      <c r="D60" s="107"/>
      <c r="E60" s="109"/>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c r="C61" s="107"/>
      <c r="D61" s="107"/>
      <c r="E61" s="109"/>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c r="C62" s="107"/>
      <c r="D62" s="107"/>
      <c r="E62" s="109"/>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c r="C63" s="107"/>
      <c r="D63" s="107"/>
      <c r="E63" s="109"/>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c r="B64" s="106"/>
      <c r="C64" s="107"/>
      <c r="D64" s="107"/>
      <c r="E64" s="109"/>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c r="C65" s="107"/>
      <c r="D65" s="107"/>
      <c r="E65" s="109"/>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c r="C66" s="107"/>
      <c r="D66" s="107"/>
      <c r="E66" s="109"/>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c r="C67" s="107"/>
      <c r="D67" s="107"/>
      <c r="E67" s="109"/>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c r="C68" s="107"/>
      <c r="D68" s="107"/>
      <c r="E68" s="109"/>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c r="C69" s="107"/>
      <c r="D69" s="107"/>
      <c r="E69" s="109"/>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c r="C70" s="107"/>
      <c r="D70" s="107"/>
      <c r="E70" s="109"/>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c r="C71" s="107"/>
      <c r="D71" s="107"/>
      <c r="E71" s="109"/>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c r="B72" s="106"/>
      <c r="C72" s="107"/>
      <c r="D72" s="107"/>
      <c r="E72" s="109"/>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c r="C73" s="107"/>
      <c r="D73" s="107"/>
      <c r="E73" s="109"/>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c r="C74" s="107"/>
      <c r="D74" s="107"/>
      <c r="E74" s="109"/>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c r="B75" s="106"/>
      <c r="C75" s="107"/>
      <c r="D75" s="107"/>
      <c r="E75" s="109"/>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c r="C76" s="107"/>
      <c r="D76" s="107"/>
      <c r="E76" s="109"/>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c r="C77" s="107"/>
      <c r="D77" s="107"/>
      <c r="E77" s="109"/>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c r="B78" s="106"/>
      <c r="C78" s="107"/>
      <c r="D78" s="107"/>
      <c r="E78" s="109"/>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c r="C79" s="107"/>
      <c r="D79" s="107"/>
      <c r="E79" s="109"/>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c r="C80" s="107"/>
      <c r="D80" s="107"/>
      <c r="E80" s="109"/>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c r="C81" s="107"/>
      <c r="D81" s="107"/>
      <c r="E81" s="109"/>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c r="B82" s="106"/>
      <c r="C82" s="107"/>
      <c r="D82" s="107"/>
      <c r="E82" s="109"/>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c r="C83" s="107"/>
      <c r="D83" s="107"/>
      <c r="E83" s="109"/>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c r="C84" s="107"/>
      <c r="D84" s="107"/>
      <c r="E84" s="109"/>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c r="C85" s="107"/>
      <c r="D85" s="107"/>
      <c r="E85" s="109"/>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c r="C86" s="107"/>
      <c r="D86" s="107"/>
      <c r="E86" s="109"/>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c r="C87" s="107"/>
      <c r="D87" s="107"/>
      <c r="E87" s="109"/>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c r="C88" s="107"/>
      <c r="D88" s="107"/>
      <c r="E88" s="109"/>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c r="C89" s="107"/>
      <c r="D89" s="107"/>
      <c r="E89" s="109"/>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c r="C90" s="107"/>
      <c r="D90" s="107"/>
      <c r="E90" s="109"/>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c r="C91" s="107"/>
      <c r="D91" s="107"/>
      <c r="E91" s="109"/>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c r="C92" s="107"/>
      <c r="D92" s="107"/>
      <c r="E92" s="109"/>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c r="C93" s="107"/>
      <c r="D93" s="107"/>
      <c r="E93" s="109"/>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c r="B94" s="106"/>
      <c r="C94" s="107"/>
      <c r="D94" s="107"/>
      <c r="E94" s="109"/>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c r="C95" s="107"/>
      <c r="D95" s="107"/>
      <c r="E95" s="109"/>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c r="C96" s="107"/>
      <c r="D96" s="107"/>
      <c r="E96" s="109"/>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c r="C97" s="107"/>
      <c r="D97" s="107"/>
      <c r="E97" s="109"/>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c r="C98" s="107"/>
      <c r="D98" s="107"/>
      <c r="E98" s="109"/>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c r="C99" s="107"/>
      <c r="D99" s="107"/>
      <c r="E99" s="109"/>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c r="C100" s="107"/>
      <c r="D100" s="107"/>
      <c r="E100" s="109"/>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c r="C101" s="107"/>
      <c r="D101" s="107"/>
      <c r="E101" s="109"/>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c r="C102" s="107"/>
      <c r="D102" s="107"/>
      <c r="E102" s="109"/>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c r="C103" s="107"/>
      <c r="D103" s="107"/>
      <c r="E103" s="109"/>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c r="B104" s="106"/>
      <c r="C104" s="107"/>
      <c r="D104" s="107"/>
      <c r="E104" s="109"/>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c r="C105" s="107"/>
      <c r="D105" s="107"/>
      <c r="E105" s="109"/>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c r="C106" s="107"/>
      <c r="D106" s="107"/>
      <c r="E106" s="109"/>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c r="C107" s="107"/>
      <c r="D107" s="107"/>
      <c r="E107" s="109"/>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c r="C108" s="107"/>
      <c r="D108" s="107"/>
      <c r="E108" s="109"/>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c r="C109" s="107"/>
      <c r="D109" s="107"/>
      <c r="E109" s="109"/>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c r="C110" s="107"/>
      <c r="D110" s="107"/>
      <c r="E110" s="109"/>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c r="C111" s="107"/>
      <c r="D111" s="107"/>
      <c r="E111" s="109"/>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c r="C112" s="107"/>
      <c r="D112" s="107"/>
      <c r="E112" s="109"/>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c r="C113" s="107"/>
      <c r="D113" s="107"/>
      <c r="E113" s="109"/>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c r="C114" s="107"/>
      <c r="D114" s="107"/>
      <c r="E114" s="109"/>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c r="C115" s="107"/>
      <c r="D115" s="107"/>
      <c r="E115" s="109"/>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c r="C116" s="107"/>
      <c r="D116" s="107"/>
      <c r="E116" s="109"/>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c r="C117" s="107"/>
      <c r="D117" s="107"/>
      <c r="E117" s="109"/>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c r="C118" s="107"/>
      <c r="D118" s="107"/>
      <c r="E118" s="109"/>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c r="B119" s="106"/>
      <c r="C119" s="107"/>
      <c r="D119" s="107"/>
      <c r="E119" s="109"/>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c r="C120" s="107"/>
      <c r="D120" s="107"/>
      <c r="E120" s="109"/>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c r="C121" s="107"/>
      <c r="D121" s="107"/>
      <c r="E121" s="109"/>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c r="C122" s="107"/>
      <c r="D122" s="107"/>
      <c r="E122" s="109"/>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c r="C123" s="107"/>
      <c r="D123" s="107"/>
      <c r="E123" s="109"/>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c r="C124" s="107"/>
      <c r="D124" s="107"/>
      <c r="E124" s="109"/>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c r="B125" s="106"/>
      <c r="C125" s="107"/>
      <c r="D125" s="107"/>
      <c r="E125" s="109"/>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c r="C126" s="107"/>
      <c r="D126" s="107"/>
      <c r="E126" s="109"/>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c r="C127" s="107"/>
      <c r="D127" s="107"/>
      <c r="E127" s="109"/>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c r="C128" s="107"/>
      <c r="D128" s="107"/>
      <c r="E128" s="109"/>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c r="C129" s="107"/>
      <c r="D129" s="107"/>
      <c r="E129" s="109"/>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c r="B130" s="106"/>
      <c r="C130" s="107"/>
      <c r="D130" s="107"/>
      <c r="E130" s="109"/>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c r="C131" s="107"/>
      <c r="D131" s="107"/>
      <c r="E131" s="109"/>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c r="C132" s="107"/>
      <c r="D132" s="107"/>
      <c r="E132" s="109"/>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c r="C133" s="107"/>
      <c r="D133" s="107"/>
      <c r="E133" s="109"/>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c r="C134" s="107"/>
      <c r="D134" s="107"/>
      <c r="E134" s="109"/>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c r="B135" s="106"/>
      <c r="C135" s="107"/>
      <c r="D135" s="107"/>
      <c r="E135" s="109"/>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c r="C136" s="107"/>
      <c r="D136" s="107"/>
      <c r="E136" s="109"/>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c r="C137" s="107"/>
      <c r="D137" s="107"/>
      <c r="E137" s="109"/>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c r="C138" s="107"/>
      <c r="D138" s="107"/>
      <c r="E138" s="109"/>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c r="C139" s="107"/>
      <c r="D139" s="107"/>
      <c r="E139" s="109"/>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c r="C140" s="107"/>
      <c r="D140" s="107"/>
      <c r="E140" s="109"/>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c r="C141" s="107"/>
      <c r="D141" s="107"/>
      <c r="E141" s="109"/>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c r="B142" s="106"/>
      <c r="C142" s="107"/>
      <c r="D142" s="107"/>
      <c r="E142" s="109"/>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c r="C143" s="107"/>
      <c r="D143" s="107"/>
      <c r="E143" s="109"/>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c r="C144" s="107"/>
      <c r="D144" s="107"/>
      <c r="E144" s="109"/>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c r="C145" s="107"/>
      <c r="D145" s="107"/>
      <c r="E145" s="109"/>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c r="C146" s="107"/>
      <c r="D146" s="107"/>
      <c r="E146" s="109"/>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c r="B147" s="106"/>
      <c r="C147" s="107"/>
      <c r="D147" s="107"/>
      <c r="E147" s="109"/>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c r="C148" s="107"/>
      <c r="D148" s="107"/>
      <c r="E148" s="109"/>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c r="C149" s="107"/>
      <c r="D149" s="107"/>
      <c r="E149" s="109"/>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c r="C150" s="107"/>
      <c r="D150" s="107"/>
      <c r="E150" s="109"/>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c r="C151" s="107"/>
      <c r="D151" s="107"/>
      <c r="E151" s="109"/>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c r="C152" s="107"/>
      <c r="D152" s="107"/>
      <c r="E152" s="109"/>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c r="C153" s="107"/>
      <c r="D153" s="107"/>
      <c r="E153" s="109"/>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c r="C154" s="107"/>
      <c r="D154" s="107"/>
      <c r="E154" s="109"/>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c r="B155" s="106"/>
      <c r="C155" s="107"/>
      <c r="D155" s="107"/>
      <c r="E155" s="109"/>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c r="C156" s="107"/>
      <c r="D156" s="107"/>
      <c r="E156" s="109"/>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c r="C157" s="107"/>
      <c r="D157" s="107"/>
      <c r="E157" s="109"/>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c r="C158" s="107"/>
      <c r="D158" s="107"/>
      <c r="E158" s="109"/>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c r="C159" s="107"/>
      <c r="D159" s="107"/>
      <c r="E159" s="109"/>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c r="C160" s="107"/>
      <c r="D160" s="107"/>
      <c r="E160" s="109"/>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c r="C161" s="107"/>
      <c r="D161" s="107"/>
      <c r="E161" s="109"/>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c r="B162" s="106"/>
      <c r="C162" s="107"/>
      <c r="D162" s="107"/>
      <c r="E162" s="109"/>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c r="C163" s="107"/>
      <c r="D163" s="107"/>
      <c r="E163" s="109"/>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c r="C164" s="107"/>
      <c r="D164" s="107"/>
      <c r="E164" s="109"/>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c r="B165" s="106"/>
      <c r="C165" s="107"/>
      <c r="D165" s="107"/>
      <c r="E165" s="109"/>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c r="C166" s="107"/>
      <c r="D166" s="107"/>
      <c r="E166" s="109"/>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c r="C167" s="107"/>
      <c r="D167" s="107"/>
      <c r="E167" s="109"/>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c r="C168" s="107"/>
      <c r="D168" s="107"/>
      <c r="E168" s="109"/>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c r="C169" s="107"/>
      <c r="D169" s="107"/>
      <c r="E169" s="109"/>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c r="C170" s="107"/>
      <c r="D170" s="107"/>
      <c r="E170" s="109"/>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c r="C171" s="107"/>
      <c r="D171" s="107"/>
      <c r="E171" s="109"/>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c r="C172" s="107"/>
      <c r="D172" s="107"/>
      <c r="E172" s="109"/>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c r="C173" s="107"/>
      <c r="D173" s="107"/>
      <c r="E173" s="109"/>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c r="C174" s="107"/>
      <c r="D174" s="107"/>
      <c r="E174" s="109"/>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c r="C175" s="107"/>
      <c r="D175" s="107"/>
      <c r="E175" s="109"/>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c r="C176" s="107"/>
      <c r="D176" s="107"/>
      <c r="E176" s="109"/>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c r="B177" s="106"/>
      <c r="C177" s="107"/>
      <c r="D177" s="107"/>
      <c r="E177" s="109"/>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c r="C178" s="107"/>
      <c r="D178" s="107"/>
      <c r="E178" s="109"/>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c r="C179" s="107"/>
      <c r="D179" s="107"/>
      <c r="E179" s="109"/>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c r="C180" s="107"/>
      <c r="D180" s="107"/>
      <c r="E180" s="109"/>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c r="C181" s="107"/>
      <c r="D181" s="107"/>
      <c r="E181" s="109"/>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c r="B182" s="106"/>
      <c r="C182" s="107"/>
      <c r="D182" s="107"/>
      <c r="E182" s="109"/>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c r="C183" s="107"/>
      <c r="D183" s="107"/>
      <c r="E183" s="109"/>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c r="C184" s="107"/>
      <c r="D184" s="107"/>
      <c r="E184" s="109"/>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c r="C185" s="107"/>
      <c r="D185" s="107"/>
      <c r="E185" s="109"/>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c r="C186" s="107"/>
      <c r="D186" s="107"/>
      <c r="E186" s="109"/>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c r="C187" s="107"/>
      <c r="D187" s="107"/>
      <c r="E187" s="109"/>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c r="C188" s="107"/>
      <c r="D188" s="107"/>
      <c r="E188" s="109"/>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c r="C189" s="107"/>
      <c r="D189" s="107"/>
      <c r="E189" s="109"/>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c r="B190" s="106"/>
      <c r="C190" s="107"/>
      <c r="D190" s="107"/>
      <c r="E190" s="109"/>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c r="C191" s="107"/>
      <c r="D191" s="107"/>
      <c r="E191" s="109"/>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c r="B192" s="106"/>
      <c r="C192" s="107"/>
      <c r="D192" s="107"/>
      <c r="E192" s="109"/>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c r="C193" s="107"/>
      <c r="D193" s="107"/>
      <c r="E193" s="109"/>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c r="C194" s="107"/>
      <c r="D194" s="107"/>
      <c r="E194" s="109"/>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c r="C195" s="107"/>
      <c r="D195" s="107"/>
      <c r="E195" s="109"/>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c r="C196" s="107"/>
      <c r="D196" s="107"/>
      <c r="E196" s="109"/>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c r="C197" s="107"/>
      <c r="D197" s="107"/>
      <c r="E197" s="109"/>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c r="B198" s="106"/>
      <c r="C198" s="107"/>
      <c r="D198" s="107"/>
      <c r="E198" s="109"/>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c r="C199" s="107"/>
      <c r="D199" s="107"/>
      <c r="E199" s="109"/>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c r="C200" s="107"/>
      <c r="D200" s="107"/>
      <c r="E200" s="109"/>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c r="C201" s="107"/>
      <c r="D201" s="107"/>
      <c r="E201" s="109"/>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109"/>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109"/>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109"/>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109"/>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109"/>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109"/>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109"/>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109"/>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109"/>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109"/>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109"/>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109"/>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109"/>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109"/>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109"/>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109"/>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109"/>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109"/>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109"/>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109"/>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109"/>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109"/>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109"/>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109"/>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109"/>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109"/>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109"/>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109"/>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109"/>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109"/>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109"/>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109"/>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109"/>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109"/>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109"/>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109"/>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109"/>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109"/>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109"/>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109"/>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109"/>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109"/>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109"/>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109"/>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109"/>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109"/>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109"/>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109"/>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109"/>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109"/>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109"/>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109"/>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109"/>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109"/>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109"/>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109"/>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109"/>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109"/>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109"/>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109"/>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109"/>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109"/>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109"/>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109"/>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109"/>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109"/>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109"/>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109"/>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109"/>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109"/>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109"/>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109"/>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109"/>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109"/>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109"/>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109"/>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109"/>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109"/>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109"/>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109"/>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109"/>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109"/>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109"/>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109"/>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109"/>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109"/>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109"/>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109"/>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109"/>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109"/>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109"/>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109"/>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109"/>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109"/>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109"/>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109"/>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109"/>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109"/>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109"/>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109"/>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109"/>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109"/>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109"/>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109"/>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109"/>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109"/>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109"/>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109"/>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109"/>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109"/>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109"/>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109"/>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109"/>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109"/>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109"/>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109"/>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109"/>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109"/>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109"/>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109"/>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109"/>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109"/>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109"/>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109"/>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109"/>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109"/>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109"/>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109"/>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109"/>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109"/>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109"/>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109"/>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109"/>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109"/>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109"/>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109"/>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109"/>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109"/>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109"/>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109"/>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109"/>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109"/>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109"/>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109"/>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109"/>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109"/>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109"/>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109"/>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109"/>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109"/>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109"/>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109"/>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109"/>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109"/>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109"/>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109"/>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109"/>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109"/>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109"/>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109"/>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109"/>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109"/>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109"/>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109"/>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109"/>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109"/>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109"/>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109"/>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109"/>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109"/>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109"/>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109"/>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109"/>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109"/>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109"/>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109"/>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109"/>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109"/>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109"/>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109"/>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109"/>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109"/>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109"/>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109"/>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109"/>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109"/>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109"/>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109"/>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109"/>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109"/>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109"/>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109"/>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109"/>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109"/>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109"/>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109"/>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109"/>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109"/>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109"/>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109"/>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109"/>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109"/>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109"/>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109"/>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109"/>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109"/>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109"/>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109"/>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109"/>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109"/>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109"/>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109"/>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109"/>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109"/>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109"/>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109"/>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109"/>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109"/>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109"/>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109"/>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109"/>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109"/>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109"/>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109"/>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109"/>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109"/>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109"/>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109"/>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109"/>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109"/>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109"/>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109"/>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109"/>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109"/>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109"/>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109"/>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109"/>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109"/>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109"/>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109"/>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109"/>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109"/>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109"/>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109"/>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109"/>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109"/>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109"/>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109"/>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109"/>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109"/>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109"/>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109"/>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109"/>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109"/>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109"/>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109"/>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109"/>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109"/>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109"/>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109"/>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109"/>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109"/>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109"/>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109"/>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109"/>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109"/>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109"/>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109"/>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109"/>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109"/>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109"/>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109"/>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109"/>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109"/>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109"/>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109"/>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109"/>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109"/>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109"/>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109"/>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109"/>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109"/>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109"/>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109"/>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109"/>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109"/>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109"/>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109"/>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109"/>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109"/>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109"/>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109"/>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109"/>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109"/>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109"/>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109"/>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109"/>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109"/>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109"/>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E500">
    <cfRule type="expression" dxfId="4" priority="1">
      <formula>(LEN($A1)&gt;0)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21" customWidth="1"/>
    <col min="4" max="4" width="72.88671875" customWidth="1"/>
  </cols>
  <sheetData>
    <row r="1" spans="1:26" x14ac:dyDescent="0.25">
      <c r="A1" s="103" t="str">
        <f ca="1">IFERROR(__xludf.DUMMYFUNCTION("if(iserror(Mindmap!$A$2),""no data"", query(Requirements!$C1:$X2200,""Select N,O,P,T where H=""&amp; Preferences!$E$15&amp;""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42"/>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Regulatory and Compliance")</f>
        <v>1 Regulatory and Compliance</v>
      </c>
      <c r="B2" s="106" t="str">
        <f ca="1">IFERROR(__xludf.DUMMYFUNCTION("""COMPUTED_VALUE"""),"ReqID")</f>
        <v>ReqID</v>
      </c>
      <c r="C2" s="107" t="str">
        <f ca="1">IFERROR(__xludf.DUMMYFUNCTION("""COMPUTED_VALUE"""),"Requirement")</f>
        <v>Requirement</v>
      </c>
      <c r="D2" s="107" t="str">
        <f ca="1">IFERROR(__xludf.DUMMYFUNCTION("""COMPUTED_VALUE"""),"Description")</f>
        <v>Description</v>
      </c>
      <c r="E2" s="42"/>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IFERROR(__xludf.DUMMYFUNCTION("""COMPUTED_VALUE"""),"NF0101")</f>
        <v>NF0101</v>
      </c>
      <c r="C3" s="107" t="str">
        <f ca="1">IFERROR(__xludf.DUMMYFUNCTION("""COMPUTED_VALUE"""),"Pharmaceutical regulations")</f>
        <v>Pharmaceutical regulations</v>
      </c>
      <c r="D3" s="107" t="str">
        <f ca="1">IFERROR(__xludf.DUMMYFUNCTION("""COMPUTED_VALUE""")," 1. The business may not sell pharmaceutical products to the public, as it is not a registered pharmacy.")</f>
        <v xml:space="preserve"> 1. The business may not sell pharmaceutical products to the public, as it is not a registered pharmacy.</v>
      </c>
      <c r="E3" s="42"/>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IFERROR(__xludf.DUMMYFUNCTION("""COMPUTED_VALUE"""),"NF0102")</f>
        <v>NF0102</v>
      </c>
      <c r="C4" s="107" t="str">
        <f ca="1">IFERROR(__xludf.DUMMYFUNCTION("""COMPUTED_VALUE"""),"Information Privacy regulations")</f>
        <v>Information Privacy regulations</v>
      </c>
      <c r="D4" s="107" t="str">
        <f ca="1">IFERROR(__xludf.DUMMYFUNCTION("""COMPUTED_VALUE""")," 1. Customer information must be protected, as required by the POPIa regulations, to protect customer data in transit and at rest.
 2. Customer information may only be shared in the Shoprite group as required by the POPIa act, to be allowed based on expli"&amp;"cit customer consent.
 3. Customer information may only be shared with Shoprite service providers and partners as required by the POPIa act, to be allowed based on explicit customer consent.")</f>
        <v xml:space="preserve"> 1. Customer information must be protected, as required by the POPIa regulations, to protect customer data in transit and at rest.
 2. Customer information may only be shared in the Shoprite group as required by the POPIa act, to be allowed based on explicit customer consent.
 3. Customer information may only be shared with Shoprite service providers and partners as required by the POPIa act, to be allowed based on explicit customer consent.</v>
      </c>
      <c r="E4" s="42"/>
      <c r="F4" s="42"/>
      <c r="G4" s="42"/>
      <c r="H4" s="42"/>
      <c r="I4" s="42"/>
      <c r="J4" s="42"/>
      <c r="K4" s="42"/>
      <c r="L4" s="42"/>
      <c r="M4" s="42"/>
      <c r="N4" s="42"/>
      <c r="O4" s="42"/>
      <c r="P4" s="42"/>
      <c r="Q4" s="42"/>
      <c r="R4" s="42"/>
      <c r="S4" s="42"/>
      <c r="T4" s="42"/>
      <c r="U4" s="42"/>
      <c r="V4" s="42"/>
      <c r="W4" s="42"/>
      <c r="X4" s="42"/>
      <c r="Y4" s="42"/>
      <c r="Z4" s="42"/>
    </row>
    <row r="5" spans="1:26" x14ac:dyDescent="0.25">
      <c r="A5" s="103" t="str">
        <f ca="1">IFERROR(__xludf.DUMMYFUNCTION("""COMPUTED_VALUE"""),"2 Operational")</f>
        <v>2 Operational</v>
      </c>
      <c r="B5" s="106" t="str">
        <f ca="1">IFERROR(__xludf.DUMMYFUNCTION("""COMPUTED_VALUE"""),"ReqID")</f>
        <v>ReqID</v>
      </c>
      <c r="C5" s="107" t="str">
        <f ca="1">IFERROR(__xludf.DUMMYFUNCTION("""COMPUTED_VALUE"""),"Requirement")</f>
        <v>Requirement</v>
      </c>
      <c r="D5" s="107" t="str">
        <f ca="1">IFERROR(__xludf.DUMMYFUNCTION("""COMPUTED_VALUE"""),"Description")</f>
        <v>Description</v>
      </c>
      <c r="E5" s="42"/>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IFERROR(__xludf.DUMMYFUNCTION("""COMPUTED_VALUE"""),"NF0201")</f>
        <v>NF0201</v>
      </c>
      <c r="C6" s="107" t="str">
        <f ca="1">IFERROR(__xludf.DUMMYFUNCTION("""COMPUTED_VALUE"""),"Geographic Use")</f>
        <v>Geographic Use</v>
      </c>
      <c r="D6" s="107" t="str">
        <f ca="1">IFERROR(__xludf.DUMMYFUNCTION("""COMPUTED_VALUE""")," 1. The online store will (initially) be available to only customers in South Africa.")</f>
        <v xml:space="preserve"> 1. The online store will (initially) be available to only customers in South Africa.</v>
      </c>
      <c r="E6" s="42"/>
      <c r="F6" s="42"/>
      <c r="G6" s="42"/>
      <c r="H6" s="42"/>
      <c r="I6" s="42"/>
      <c r="J6" s="42"/>
      <c r="K6" s="42"/>
      <c r="L6" s="42"/>
      <c r="M6" s="42"/>
      <c r="N6" s="42"/>
      <c r="O6" s="42"/>
      <c r="P6" s="42"/>
      <c r="Q6" s="42"/>
      <c r="R6" s="42"/>
      <c r="S6" s="42"/>
      <c r="T6" s="42"/>
      <c r="U6" s="42"/>
      <c r="V6" s="42"/>
      <c r="W6" s="42"/>
      <c r="X6" s="42"/>
      <c r="Y6" s="42"/>
      <c r="Z6" s="42"/>
    </row>
    <row r="7" spans="1:26" x14ac:dyDescent="0.25">
      <c r="A7" s="103" t="str">
        <f ca="1">IFERROR(__xludf.DUMMYFUNCTION("""COMPUTED_VALUE"""),"3 Performance")</f>
        <v>3 Performance</v>
      </c>
      <c r="B7" s="106" t="str">
        <f ca="1">IFERROR(__xludf.DUMMYFUNCTION("""COMPUTED_VALUE"""),"ReqID")</f>
        <v>ReqID</v>
      </c>
      <c r="C7" s="107" t="str">
        <f ca="1">IFERROR(__xludf.DUMMYFUNCTION("""COMPUTED_VALUE"""),"Requirement")</f>
        <v>Requirement</v>
      </c>
      <c r="D7" s="107" t="str">
        <f ca="1">IFERROR(__xludf.DUMMYFUNCTION("""COMPUTED_VALUE"""),"Description")</f>
        <v>Description</v>
      </c>
      <c r="E7" s="42"/>
      <c r="F7" s="42"/>
      <c r="G7" s="42"/>
      <c r="H7" s="42"/>
      <c r="I7" s="42"/>
      <c r="J7" s="42"/>
      <c r="K7" s="42"/>
      <c r="L7" s="42"/>
      <c r="M7" s="42"/>
      <c r="N7" s="42"/>
      <c r="O7" s="42"/>
      <c r="P7" s="42"/>
      <c r="Q7" s="42"/>
      <c r="R7" s="42"/>
      <c r="S7" s="42"/>
      <c r="T7" s="42"/>
      <c r="U7" s="42"/>
      <c r="V7" s="42"/>
      <c r="W7" s="42"/>
      <c r="X7" s="42"/>
      <c r="Y7" s="42"/>
      <c r="Z7" s="42"/>
    </row>
    <row r="8" spans="1:26" x14ac:dyDescent="0.25">
      <c r="A8" s="103"/>
      <c r="B8" s="106" t="str">
        <f ca="1">IFERROR(__xludf.DUMMYFUNCTION("""COMPUTED_VALUE"""),"NF0301")</f>
        <v>NF0301</v>
      </c>
      <c r="C8" s="107" t="str">
        <f ca="1">IFERROR(__xludf.DUMMYFUNCTION("""COMPUTED_VALUE"""),"Response time")</f>
        <v>Response time</v>
      </c>
      <c r="D8" s="107" t="str">
        <f ca="1">IFERROR(__xludf.DUMMYFUNCTION("""COMPUTED_VALUE""")," 1. Under normal usage conditions, pages must load within 7 seconds.
 2. Under heavy load conditions, pages must load within 15 seconds.
 3. Under normal usage conditions, when redirecting between the online shop and the payment gateway, pages must load w"&amp;"ithin 5 seconds.
 4. Under heavy load conditions, when redirecting between the online shop and the payment gateway, pages must load within 10 seconds (might be timeout sensitive).")</f>
        <v xml:space="preserve"> 1. Under normal usage conditions, pages must load within 7 seconds.
 2. Under heavy load conditions, pages must load within 15 seconds.
 3. Under normal usage conditions, when redirecting between the online shop and the payment gateway, pages must load within 5 seconds.
 4. Under heavy load conditions, when redirecting between the online shop and the payment gateway, pages must load within 10 seconds (might be timeout sensitive).</v>
      </c>
      <c r="E8" s="42"/>
      <c r="F8" s="42"/>
      <c r="G8" s="42"/>
      <c r="H8" s="42"/>
      <c r="I8" s="42"/>
      <c r="J8" s="42"/>
      <c r="K8" s="42"/>
      <c r="L8" s="42"/>
      <c r="M8" s="42"/>
      <c r="N8" s="42"/>
      <c r="O8" s="42"/>
      <c r="P8" s="42"/>
      <c r="Q8" s="42"/>
      <c r="R8" s="42"/>
      <c r="S8" s="42"/>
      <c r="T8" s="42"/>
      <c r="U8" s="42"/>
      <c r="V8" s="42"/>
      <c r="W8" s="42"/>
      <c r="X8" s="42"/>
      <c r="Y8" s="42"/>
      <c r="Z8" s="42"/>
    </row>
    <row r="9" spans="1:26" x14ac:dyDescent="0.25">
      <c r="A9" s="103"/>
      <c r="B9" s="106" t="str">
        <f ca="1">IFERROR(__xludf.DUMMYFUNCTION("""COMPUTED_VALUE"""),"NF0302")</f>
        <v>NF0302</v>
      </c>
      <c r="C9" s="107" t="str">
        <f ca="1">IFERROR(__xludf.DUMMYFUNCTION("""COMPUTED_VALUE"""),"Throughput")</f>
        <v>Throughput</v>
      </c>
      <c r="D9" s="107" t="str">
        <f ca="1">IFERROR(__xludf.DUMMYFUNCTION("""COMPUTED_VALUE""")," 1. Throughput (e.g. transactions per second)
 2. The payment gateway must cater for at least 10 transactions per second.")</f>
        <v xml:space="preserve"> 1. Throughput (e.g. transactions per second)
 2. The payment gateway must cater for at least 10 transactions per second.</v>
      </c>
      <c r="E9" s="42"/>
      <c r="F9" s="42"/>
      <c r="G9" s="42"/>
      <c r="H9" s="42"/>
      <c r="I9" s="42"/>
      <c r="J9" s="42"/>
      <c r="K9" s="42"/>
      <c r="L9" s="42"/>
      <c r="M9" s="42"/>
      <c r="N9" s="42"/>
      <c r="O9" s="42"/>
      <c r="P9" s="42"/>
      <c r="Q9" s="42"/>
      <c r="R9" s="42"/>
      <c r="S9" s="42"/>
      <c r="T9" s="42"/>
      <c r="U9" s="42"/>
      <c r="V9" s="42"/>
      <c r="W9" s="42"/>
      <c r="X9" s="42"/>
      <c r="Y9" s="42"/>
      <c r="Z9" s="42"/>
    </row>
    <row r="10" spans="1:26" x14ac:dyDescent="0.25">
      <c r="A10" s="103"/>
      <c r="B10" s="106" t="str">
        <f ca="1">IFERROR(__xludf.DUMMYFUNCTION("""COMPUTED_VALUE"""),"NF0303")</f>
        <v>NF0303</v>
      </c>
      <c r="C10" s="107" t="str">
        <f ca="1">IFERROR(__xludf.DUMMYFUNCTION("""COMPUTED_VALUE"""),"Capacity")</f>
        <v>Capacity</v>
      </c>
      <c r="D10" s="107" t="str">
        <f ca="1">IFERROR(__xludf.DUMMYFUNCTION("""COMPUTED_VALUE""")," 1. Under normal usage conditions, the online shop must cater for at least the following number of concurrent users:
	• 50 anonymous
	• 10 customers
	• 10 back-office users
 2. Under normal usage conditions, online shop must cater for at least the followi"&amp;"ng number of transactions (per second):
	• 10 searches
	• 20 shopping cart additions/removals
	• 10 payment transactions
 3. Under load conditions, it must be possible to scale the capacity dynamically by adding processing and storage resources (e.g. Blac"&amp;"k Friday).")</f>
        <v xml:space="preserve"> 1. Under normal usage conditions, the online shop must cater for at least the following number of concurrent users:
	• 50 anonymous
	• 10 customers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t="str">
        <f ca="1">IFERROR(__xludf.DUMMYFUNCTION("""COMPUTED_VALUE"""),"NF0304")</f>
        <v>NF0304</v>
      </c>
      <c r="C11" s="107" t="str">
        <f ca="1">IFERROR(__xludf.DUMMYFUNCTION("""COMPUTED_VALUE"""),"Degradation")</f>
        <v>Degradation</v>
      </c>
      <c r="D11" s="107" t="str">
        <f ca="1">IFERROR(__xludf.DUMMYFUNCTION("""COMPUTED_VALUE""")," 1. Under load, the online shop must reduce the number of products returned in a search.
 2. The online shop must queue paid for customer orders for processing.")</f>
        <v xml:space="preserve"> 1. Under load, the online shop must reduce the number of products returned in a search.
 2. The online shop must queue paid for customer orders for processing.</v>
      </c>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t="str">
        <f ca="1">IFERROR(__xludf.DUMMYFUNCTION("""COMPUTED_VALUE"""),"NF0305")</f>
        <v>NF0305</v>
      </c>
      <c r="C12" s="107" t="str">
        <f ca="1">IFERROR(__xludf.DUMMYFUNCTION("""COMPUTED_VALUE"""),"Backup")</f>
        <v>Backup</v>
      </c>
      <c r="D12" s="107" t="str">
        <f ca="1">IFERROR(__xludf.DUMMYFUNCTION("""COMPUTED_VALUE""")," 1. Transactions must be backed up within 5 minutes.
 2. New and changed customer profiles must be backed up within 1 hour.
 3. Product and promotion changes must be backed up at least daily.
 4. Advertisement changes must be backed up at least daily.")</f>
        <v xml:space="preserve"> 1. Transactions must be backed up within 5 minutes.
 2. New and changed customer profiles must be backed up within 1 hour.
 3. Product and promotion changes must be backed up at least daily.
 4. Advertisement changes must be backed up at least daily.</v>
      </c>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t="str">
        <f ca="1">IFERROR(__xludf.DUMMYFUNCTION("""COMPUTED_VALUE"""),"4 Reliability, Availability and Integrity")</f>
        <v>4 Reliability, Availability and Integrity</v>
      </c>
      <c r="B13" s="106" t="str">
        <f ca="1">IFERROR(__xludf.DUMMYFUNCTION("""COMPUTED_VALUE"""),"ReqID")</f>
        <v>ReqID</v>
      </c>
      <c r="C13" s="107" t="str">
        <f ca="1">IFERROR(__xludf.DUMMYFUNCTION("""COMPUTED_VALUE"""),"Requirement")</f>
        <v>Requirement</v>
      </c>
      <c r="D13" s="107" t="str">
        <f ca="1">IFERROR(__xludf.DUMMYFUNCTION("""COMPUTED_VALUE"""),"Description")</f>
        <v>Description</v>
      </c>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c r="B14" s="106" t="str">
        <f ca="1">IFERROR(__xludf.DUMMYFUNCTION("""COMPUTED_VALUE"""),"NF0401")</f>
        <v>NF0401</v>
      </c>
      <c r="C14" s="107" t="str">
        <f ca="1">IFERROR(__xludf.DUMMYFUNCTION("""COMPUTED_VALUE"""),"Reliability")</f>
        <v>Reliability</v>
      </c>
      <c r="D14" s="107" t="str">
        <f ca="1">IFERROR(__xludf.DUMMYFUNCTION("""COMPUTED_VALUE""")," 1. The online shop must always record a full transaction, never a partial transaction.
 2. Confirmation that a change has been applied must always only be reflected/reported one the change has been applied in full.")</f>
        <v xml:space="preserve"> 1. The online shop must always record a full transaction, never a partial transaction.
 2. Confirmation that a change has been applied must always only be reflected/reported one the change has been applied in full.</v>
      </c>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c r="B15" s="106" t="str">
        <f ca="1">IFERROR(__xludf.DUMMYFUNCTION("""COMPUTED_VALUE"""),"NF0402")</f>
        <v>NF0402</v>
      </c>
      <c r="C15" s="107" t="str">
        <f ca="1">IFERROR(__xludf.DUMMYFUNCTION("""COMPUTED_VALUE"""),"Availability")</f>
        <v>Availability</v>
      </c>
      <c r="D15" s="107" t="str">
        <f ca="1">IFERROR(__xludf.DUMMYFUNCTION("""COMPUTED_VALUE""")," 1. The online shop must be available to process to be used from at least 4am until 2am, but preferably 24x7x365..
 2. The online shop may be down for scheduled maintenance during non-peak times of the night, for no longer than 4 hours at a time.
 3. Also"&amp;" refer to the Response times requirement in the Performance section.
 4. Availability Requirements: Specify % of time available ( xx.xx%), hours of use, maintenance access, degraded mode operations etc.
 5. Mean Time Between Failures (MTBF) – this is usua"&amp;"lly specified in hours, but it could also be specified in terms of days, months, or years.
 6. Mean Time To Repair (MTTR) – how long is the system allowed to be out of operation after it has failed?")</f>
        <v xml:space="preserve"> 1. The online shop must be available to process to be used from at least 4am until 2am, but preferably 24x7x365..
 2. The online shop may be down for scheduled maintenance during non-peak times of the night, for no longer than 4 hours at a time.
 3. Also refer to the Response times requirement in the Performance section.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t="str">
        <f ca="1">IFERROR(__xludf.DUMMYFUNCTION("""COMPUTED_VALUE"""),"NF0403")</f>
        <v>NF0403</v>
      </c>
      <c r="C16" s="107" t="str">
        <f ca="1">IFERROR(__xludf.DUMMYFUNCTION("""COMPUTED_VALUE"""),"Storage")</f>
        <v>Storage</v>
      </c>
      <c r="D16" s="107" t="str">
        <f ca="1">IFERROR(__xludf.DUMMYFUNCTION("""COMPUTED_VALUE""")," 1. New storage will be required for the following:
	• Online shop infrastructure
	• Users and customers
	• Products and their enrichment
	• Advertisements
	• Articles
	• Shopping carts
	• Online transactions
	• Customer Orders
	• Customer Returns, Return"&amp;" requests
	• Supplier Orders, Order Confirmations
	• Customer messages
	• Payment transactions
	• Temporary storage for supplier ad courier integration
 2. Additional storage will be required for the following:
	• Transpharm call centre infrastructure, wh"&amp;"ere the new call centre will be hosted (up-scale over time)
	• Financial accounting
	• Financial transactions
 3. Articles may be retained indefinitely, or a number of years.")</f>
        <v xml:space="preserve"> 1. New storage will be required for the following:
	• Online shop infrastructure
	• Users and customers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t="str">
        <f ca="1">IFERROR(__xludf.DUMMYFUNCTION("""COMPUTED_VALUE"""),"NF0404")</f>
        <v>NF0404</v>
      </c>
      <c r="C17" s="107" t="str">
        <f ca="1">IFERROR(__xludf.DUMMYFUNCTION("""COMPUTED_VALUE"""),"Usability and Channel requirements")</f>
        <v>Usability and Channel requirements</v>
      </c>
      <c r="D17" s="107" t="str">
        <f ca="1">IFERROR(__xludf.DUMMYFUNCTION("""COMPUTED_VALUE""")," 1. Initially, the online shop will only be available as a website.
 2. Communication with customers may be added via WhatsApp.
 3. The online shop must use language that is easy to understand for its intended audience and demographics.")</f>
        <v xml:space="preserve"> 1. Initially, the online shop will only be available as a website.
 2. Communication with customers may be added via WhatsApp.
 3. The online shop must use language that is easy to understand for its intended audience and demographics.</v>
      </c>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t="str">
        <f ca="1">IFERROR(__xludf.DUMMYFUNCTION("""COMPUTED_VALUE"""),"NF0405")</f>
        <v>NF0405</v>
      </c>
      <c r="C18" s="107" t="str">
        <f ca="1">IFERROR(__xludf.DUMMYFUNCTION("""COMPUTED_VALUE"""),"Styling")</f>
        <v>Styling</v>
      </c>
      <c r="D18" s="107" t="str">
        <f ca="1">IFERROR(__xludf.DUMMYFUNCTION("""COMPUTED_VALUE""")," 1. The online shop must be clearly branded to differentiate the business.
 2. The online store must apply modern styling standards, methods and technologies to ensure it is:
	• Easy and intuitive to use
	• Quick to load
	• Responsive to different display"&amp;" form factors (phone, tablet, pc)")</f>
        <v xml:space="preserve"> 1. The online shop must be clearly branded to differentiate the business.
 2. The online store must apply modern styling standards, methods and technologies to ensure it is:
	• Easy and intuitive to use
	• Quick to load
	• Responsive to different display form factors (phone, tablet, pc)</v>
      </c>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t="str">
        <f ca="1">IFERROR(__xludf.DUMMYFUNCTION("""COMPUTED_VALUE"""),"5 Security")</f>
        <v>5 Security</v>
      </c>
      <c r="B19" s="106" t="str">
        <f ca="1">IFERROR(__xludf.DUMMYFUNCTION("""COMPUTED_VALUE"""),"ReqID")</f>
        <v>ReqID</v>
      </c>
      <c r="C19" s="107" t="str">
        <f ca="1">IFERROR(__xludf.DUMMYFUNCTION("""COMPUTED_VALUE"""),"Requirement")</f>
        <v>Requirement</v>
      </c>
      <c r="D19" s="107" t="str">
        <f ca="1">IFERROR(__xludf.DUMMYFUNCTION("""COMPUTED_VALUE"""),"Description")</f>
        <v>Description</v>
      </c>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t="str">
        <f ca="1">IFERROR(__xludf.DUMMYFUNCTION("""COMPUTED_VALUE"""),"NF0501")</f>
        <v>NF0501</v>
      </c>
      <c r="C20" s="107" t="str">
        <f ca="1">IFERROR(__xludf.DUMMYFUNCTION("""COMPUTED_VALUE"""),"Access Control")</f>
        <v>Access Control</v>
      </c>
      <c r="D20" s="107" t="str">
        <f ca="1">IFERROR(__xludf.DUMMYFUNCTION("""COMPUTED_VALUE""")," 1. User access to the online shop must be controlled using username and password.
 2. Consider using two-factor authentication for selected customer profile actions.
 3. Encrypt customer data in transit and at rest, to ensure compliance to Shoprite and r"&amp;"egulatory information protection standards.
 4. Limit access to customer details by back-office role, as well as on the system and storage levels.")</f>
        <v xml:space="preserve"> 1. User access to the online shop must be controlled using username and password.
 2. Consider using two-factor authentication for selected customer profile actions.
 3. Encrypt customer data in transit and at rest, to ensure compliance to Shoprite and regulatory information protection standards.
 4. Limit access to customer details by back-office role, as well as on the system and storage levels.</v>
      </c>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c r="B21" s="106" t="str">
        <f ca="1">IFERROR(__xludf.DUMMYFUNCTION("""COMPUTED_VALUE"""),"NF0502")</f>
        <v>NF0502</v>
      </c>
      <c r="C21" s="107" t="str">
        <f ca="1">IFERROR(__xludf.DUMMYFUNCTION("""COMPUTED_VALUE"""),"Hacking Protection")</f>
        <v>Hacking Protection</v>
      </c>
      <c r="D21" s="107" t="str">
        <f ca="1">IFERROR(__xludf.DUMMYFUNCTION("""COMPUTED_VALUE""")," 1. Apply security measures to protect the online shop and customer data from impersonation, hacking/exploitation and denial of service attacks.
")</f>
        <v xml:space="preserve"> 1. Apply security measures to protect the online shop and customer data from impersonation, hacking/exploitation and denial of service attacks.
</v>
      </c>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c r="B22" s="106"/>
      <c r="C22" s="107"/>
      <c r="D22" s="107"/>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c r="C23" s="107"/>
      <c r="D23" s="107"/>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c r="C24" s="107"/>
      <c r="D24" s="107"/>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c r="B25" s="106"/>
      <c r="C25" s="107"/>
      <c r="D25" s="107"/>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c r="C26" s="107"/>
      <c r="D26" s="107"/>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c r="B27" s="106"/>
      <c r="C27" s="107"/>
      <c r="D27" s="107"/>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c r="C28" s="107"/>
      <c r="D28" s="107"/>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c r="C29" s="107"/>
      <c r="D29" s="107"/>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c r="B30" s="106"/>
      <c r="C30" s="107"/>
      <c r="D30" s="107"/>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c r="C31" s="107"/>
      <c r="D31" s="107"/>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c r="C32" s="107"/>
      <c r="D32" s="107"/>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c r="C33" s="107"/>
      <c r="D33" s="107"/>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c r="C34" s="107"/>
      <c r="D34" s="107"/>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c r="B35" s="106"/>
      <c r="C35" s="107"/>
      <c r="D35" s="107"/>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c r="C36" s="107"/>
      <c r="D36" s="107"/>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c r="C37" s="107"/>
      <c r="D37" s="107"/>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c r="C38" s="107"/>
      <c r="D38" s="107"/>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c r="C39" s="107"/>
      <c r="D39" s="107"/>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c r="C40" s="107"/>
      <c r="D40" s="107"/>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c r="C41" s="107"/>
      <c r="D41" s="107"/>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c r="B42" s="106"/>
      <c r="C42" s="107"/>
      <c r="D42" s="107"/>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c r="B43" s="106"/>
      <c r="C43" s="107"/>
      <c r="D43" s="107"/>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c r="C44" s="107"/>
      <c r="D44" s="107"/>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c r="C45" s="107"/>
      <c r="D45" s="107"/>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c r="C46" s="107"/>
      <c r="D46" s="107"/>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c r="C47" s="107"/>
      <c r="D47" s="107"/>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c r="C48" s="107"/>
      <c r="D48" s="107"/>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c r="C49" s="107"/>
      <c r="D49" s="107"/>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c r="B50" s="106"/>
      <c r="C50" s="107"/>
      <c r="D50" s="107"/>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c r="B51" s="106"/>
      <c r="C51" s="107"/>
      <c r="D51" s="107"/>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c r="C52" s="107"/>
      <c r="D52" s="107"/>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c r="C53" s="107"/>
      <c r="D53" s="107"/>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c r="C54" s="107"/>
      <c r="D54" s="107"/>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c r="C55" s="107"/>
      <c r="D55" s="107"/>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c r="C56" s="107"/>
      <c r="D56" s="107"/>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c r="C57" s="107"/>
      <c r="D57" s="107"/>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c r="C58" s="107"/>
      <c r="D58" s="107"/>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c r="C59" s="107"/>
      <c r="D59" s="107"/>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c r="C60" s="107"/>
      <c r="D60" s="107"/>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c r="C61" s="107"/>
      <c r="D61" s="107"/>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c r="C62" s="107"/>
      <c r="D62" s="107"/>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c r="C63" s="107"/>
      <c r="D63" s="107"/>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c r="B64" s="106"/>
      <c r="C64" s="107"/>
      <c r="D64" s="107"/>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c r="C65" s="107"/>
      <c r="D65" s="107"/>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c r="C66" s="107"/>
      <c r="D66" s="107"/>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c r="C67" s="107"/>
      <c r="D67" s="107"/>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c r="C68" s="107"/>
      <c r="D68" s="107"/>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c r="C69" s="107"/>
      <c r="D69" s="107"/>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c r="C70" s="107"/>
      <c r="D70" s="107"/>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c r="C71" s="107"/>
      <c r="D71" s="107"/>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c r="B72" s="106"/>
      <c r="C72" s="107"/>
      <c r="D72" s="107"/>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c r="C73" s="107"/>
      <c r="D73" s="107"/>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c r="C74" s="107"/>
      <c r="D74" s="107"/>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c r="B75" s="106"/>
      <c r="C75" s="107"/>
      <c r="D75" s="107"/>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c r="C76" s="107"/>
      <c r="D76" s="107"/>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c r="C77" s="107"/>
      <c r="D77" s="107"/>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c r="B78" s="106"/>
      <c r="C78" s="107"/>
      <c r="D78" s="107"/>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c r="C79" s="107"/>
      <c r="D79" s="107"/>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c r="C80" s="107"/>
      <c r="D80" s="107"/>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c r="C81" s="107"/>
      <c r="D81" s="107"/>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c r="B82" s="106"/>
      <c r="C82" s="107"/>
      <c r="D82" s="107"/>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c r="C83" s="107"/>
      <c r="D83" s="107"/>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c r="C84" s="107"/>
      <c r="D84" s="107"/>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c r="C85" s="107"/>
      <c r="D85" s="107"/>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c r="C86" s="107"/>
      <c r="D86" s="107"/>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c r="C87" s="107"/>
      <c r="D87" s="107"/>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c r="C88" s="107"/>
      <c r="D88" s="107"/>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c r="C89" s="107"/>
      <c r="D89" s="107"/>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c r="C90" s="107"/>
      <c r="D90" s="107"/>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c r="C91" s="107"/>
      <c r="D91" s="107"/>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c r="C92" s="107"/>
      <c r="D92" s="107"/>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c r="C93" s="107"/>
      <c r="D93" s="107"/>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c r="B94" s="106"/>
      <c r="C94" s="107"/>
      <c r="D94" s="107"/>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c r="C95" s="107"/>
      <c r="D95" s="107"/>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c r="C96" s="107"/>
      <c r="D96" s="107"/>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c r="C97" s="107"/>
      <c r="D97" s="107"/>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c r="C98" s="107"/>
      <c r="D98" s="107"/>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c r="C99" s="107"/>
      <c r="D99" s="107"/>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c r="C100" s="107"/>
      <c r="D100" s="107"/>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c r="C101" s="107"/>
      <c r="D101" s="107"/>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c r="C102" s="107"/>
      <c r="D102" s="107"/>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c r="C103" s="107"/>
      <c r="D103" s="107"/>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c r="B104" s="106"/>
      <c r="C104" s="107"/>
      <c r="D104" s="107"/>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c r="C105" s="107"/>
      <c r="D105" s="107"/>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c r="C106" s="107"/>
      <c r="D106" s="107"/>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c r="C107" s="107"/>
      <c r="D107" s="107"/>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c r="C108" s="107"/>
      <c r="D108" s="107"/>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c r="C109" s="107"/>
      <c r="D109" s="107"/>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c r="C110" s="107"/>
      <c r="D110" s="107"/>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c r="C111" s="107"/>
      <c r="D111" s="107"/>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c r="C112" s="107"/>
      <c r="D112" s="107"/>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c r="C113" s="107"/>
      <c r="D113" s="107"/>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c r="C114" s="107"/>
      <c r="D114" s="107"/>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c r="C115" s="107"/>
      <c r="D115" s="107"/>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c r="C116" s="107"/>
      <c r="D116" s="107"/>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c r="C117" s="107"/>
      <c r="D117" s="107"/>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c r="C118" s="107"/>
      <c r="D118" s="107"/>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c r="B119" s="106"/>
      <c r="C119" s="107"/>
      <c r="D119" s="107"/>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c r="C120" s="107"/>
      <c r="D120" s="107"/>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c r="C121" s="107"/>
      <c r="D121" s="107"/>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c r="C122" s="107"/>
      <c r="D122" s="107"/>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c r="C123" s="107"/>
      <c r="D123" s="107"/>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c r="C124" s="107"/>
      <c r="D124" s="107"/>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c r="B125" s="106"/>
      <c r="C125" s="107"/>
      <c r="D125" s="107"/>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c r="C126" s="107"/>
      <c r="D126" s="107"/>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c r="C127" s="107"/>
      <c r="D127" s="107"/>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c r="C128" s="107"/>
      <c r="D128" s="107"/>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c r="C129" s="107"/>
      <c r="D129" s="107"/>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c r="B130" s="106"/>
      <c r="C130" s="107"/>
      <c r="D130" s="107"/>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c r="C131" s="107"/>
      <c r="D131" s="107"/>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c r="C132" s="107"/>
      <c r="D132" s="107"/>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c r="C133" s="107"/>
      <c r="D133" s="107"/>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c r="C134" s="107"/>
      <c r="D134" s="107"/>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c r="B135" s="106"/>
      <c r="C135" s="107"/>
      <c r="D135" s="107"/>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c r="C136" s="107"/>
      <c r="D136" s="107"/>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c r="C137" s="107"/>
      <c r="D137" s="107"/>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c r="C138" s="107"/>
      <c r="D138" s="107"/>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c r="C139" s="107"/>
      <c r="D139" s="107"/>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c r="C140" s="107"/>
      <c r="D140" s="107"/>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c r="C141" s="107"/>
      <c r="D141" s="107"/>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c r="B142" s="106"/>
      <c r="C142" s="107"/>
      <c r="D142" s="107"/>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c r="C143" s="107"/>
      <c r="D143" s="107"/>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c r="C144" s="107"/>
      <c r="D144" s="107"/>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c r="C145" s="107"/>
      <c r="D145" s="107"/>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c r="C146" s="107"/>
      <c r="D146" s="107"/>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c r="B147" s="106"/>
      <c r="C147" s="107"/>
      <c r="D147" s="107"/>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c r="C148" s="107"/>
      <c r="D148" s="107"/>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c r="C149" s="107"/>
      <c r="D149" s="107"/>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c r="C150" s="107"/>
      <c r="D150" s="107"/>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c r="C151" s="107"/>
      <c r="D151" s="107"/>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c r="C152" s="107"/>
      <c r="D152" s="107"/>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c r="C153" s="107"/>
      <c r="D153" s="107"/>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c r="C154" s="107"/>
      <c r="D154" s="107"/>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c r="B155" s="106"/>
      <c r="C155" s="107"/>
      <c r="D155" s="107"/>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c r="C156" s="107"/>
      <c r="D156" s="107"/>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c r="C157" s="107"/>
      <c r="D157" s="107"/>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c r="C158" s="107"/>
      <c r="D158" s="107"/>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c r="C159" s="107"/>
      <c r="D159" s="107"/>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c r="C160" s="107"/>
      <c r="D160" s="107"/>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c r="C161" s="107"/>
      <c r="D161" s="107"/>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c r="B162" s="106"/>
      <c r="C162" s="107"/>
      <c r="D162" s="107"/>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c r="C163" s="107"/>
      <c r="D163" s="107"/>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c r="C164" s="107"/>
      <c r="D164" s="107"/>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c r="B165" s="106"/>
      <c r="C165" s="107"/>
      <c r="D165" s="107"/>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c r="C166" s="107"/>
      <c r="D166" s="107"/>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c r="C167" s="107"/>
      <c r="D167" s="107"/>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c r="C168" s="107"/>
      <c r="D168" s="107"/>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c r="C169" s="107"/>
      <c r="D169" s="107"/>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c r="C170" s="107"/>
      <c r="D170" s="107"/>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c r="C171" s="107"/>
      <c r="D171" s="107"/>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c r="C172" s="107"/>
      <c r="D172" s="107"/>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c r="C173" s="107"/>
      <c r="D173" s="107"/>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c r="C174" s="107"/>
      <c r="D174" s="107"/>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c r="C175" s="107"/>
      <c r="D175" s="107"/>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c r="C176" s="107"/>
      <c r="D176" s="107"/>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c r="B177" s="106"/>
      <c r="C177" s="107"/>
      <c r="D177" s="107"/>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c r="C178" s="107"/>
      <c r="D178" s="107"/>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c r="C179" s="107"/>
      <c r="D179" s="107"/>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c r="C180" s="107"/>
      <c r="D180" s="107"/>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c r="C181" s="107"/>
      <c r="D181" s="107"/>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c r="B182" s="106"/>
      <c r="C182" s="107"/>
      <c r="D182" s="107"/>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c r="C183" s="107"/>
      <c r="D183" s="107"/>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c r="C184" s="107"/>
      <c r="D184" s="107"/>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c r="C185" s="107"/>
      <c r="D185" s="107"/>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c r="C186" s="107"/>
      <c r="D186" s="107"/>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c r="C187" s="107"/>
      <c r="D187" s="107"/>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c r="C188" s="107"/>
      <c r="D188" s="107"/>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c r="C189" s="107"/>
      <c r="D189" s="107"/>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c r="B190" s="106"/>
      <c r="C190" s="107"/>
      <c r="D190" s="107"/>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c r="C191" s="107"/>
      <c r="D191" s="107"/>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c r="B192" s="106"/>
      <c r="C192" s="107"/>
      <c r="D192" s="107"/>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c r="C193" s="107"/>
      <c r="D193" s="107"/>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c r="C194" s="107"/>
      <c r="D194" s="107"/>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c r="C195" s="107"/>
      <c r="D195" s="107"/>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c r="C196" s="107"/>
      <c r="D196" s="107"/>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c r="C197" s="107"/>
      <c r="D197" s="107"/>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c r="B198" s="106"/>
      <c r="C198" s="107"/>
      <c r="D198" s="107"/>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c r="C199" s="107"/>
      <c r="D199" s="107"/>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c r="C200" s="107"/>
      <c r="D200" s="107"/>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c r="C201" s="107"/>
      <c r="D201" s="107"/>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D500">
    <cfRule type="expression" dxfId="3" priority="1">
      <formula>(LEN($A1)&gt;0)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61" customWidth="1"/>
    <col min="4" max="4" width="57.88671875" customWidth="1"/>
  </cols>
  <sheetData>
    <row r="1" spans="1:26" x14ac:dyDescent="0.25">
      <c r="A1" s="103" t="str">
        <f ca="1">IFERROR(__xludf.DUMMYFUNCTION("if(iserror(Mindmap!$A$2),""no data"", query(Requirements!$C1:$X2200,""Select N,O,P,T where H=""&amp; Preferences!$E$14&amp;""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42"/>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Customer Data Security")</f>
        <v>1 Customer Data Security</v>
      </c>
      <c r="B2" s="106" t="str">
        <f ca="1">IFERROR(__xludf.DUMMYFUNCTION("""COMPUTED_VALUE"""),"ReqID")</f>
        <v>ReqID</v>
      </c>
      <c r="C2" s="107" t="str">
        <f ca="1">IFERROR(__xludf.DUMMYFUNCTION("""COMPUTED_VALUE"""),"Requirement")</f>
        <v>Requirement</v>
      </c>
      <c r="D2" s="107" t="str">
        <f ca="1">IFERROR(__xludf.DUMMYFUNCTION("""COMPUTED_VALUE"""),"Description")</f>
        <v>Description</v>
      </c>
      <c r="E2" s="42"/>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IFERROR(__xludf.DUMMYFUNCTION("""COMPUTED_VALUE"""),"DR0101")</f>
        <v>DR0101</v>
      </c>
      <c r="C3" s="107" t="str">
        <f ca="1">IFERROR(__xludf.DUMMYFUNCTION("""COMPUTED_VALUE"""),"Securely store customer profile")</f>
        <v>Securely store customer profile</v>
      </c>
      <c r="D3" s="107" t="str">
        <f ca="1">IFERROR(__xludf.DUMMYFUNCTION("""COMPUTED_VALUE""")," 1. Customer profile data must be stored securely.
 2. Customer transaction data must be stored securely.
 3. Customer transaction data may only be shared with partners of the business if explicit consent from the customer is recorded.")</f>
        <v xml:space="preserve"> 1. Customer profile data must be stored securely.
 2. Customer transaction data must be stored securely.
 3. Customer transaction data may only be shared with partners of the business if explicit consent from the customer is recorded.</v>
      </c>
      <c r="E3" s="42"/>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IFERROR(__xludf.DUMMYFUNCTION("""COMPUTED_VALUE"""),"DR0102")</f>
        <v>DR0102</v>
      </c>
      <c r="C4" s="107" t="str">
        <f ca="1">IFERROR(__xludf.DUMMYFUNCTION("""COMPUTED_VALUE"""),"Archive old customer profiles")</f>
        <v>Archive old customer profiles</v>
      </c>
      <c r="D4" s="107" t="str">
        <f ca="1">IFERROR(__xludf.DUMMYFUNCTION("""COMPUTED_VALUE""")," 1. The customer profile of resigned, or abandoned users must be anonymised for use in statistical analysis only.
 2. The full profile must be removed from operational use.")</f>
        <v xml:space="preserve"> 1. The customer profile of resigned, or abandoned users must be anonymised for use in statistical analysis only.
 2. The full profile must be removed from operational use.</v>
      </c>
      <c r="E4" s="42"/>
      <c r="F4" s="42"/>
      <c r="G4" s="42"/>
      <c r="H4" s="42"/>
      <c r="I4" s="42"/>
      <c r="J4" s="42"/>
      <c r="K4" s="42"/>
      <c r="L4" s="42"/>
      <c r="M4" s="42"/>
      <c r="N4" s="42"/>
      <c r="O4" s="42"/>
      <c r="P4" s="42"/>
      <c r="Q4" s="42"/>
      <c r="R4" s="42"/>
      <c r="S4" s="42"/>
      <c r="T4" s="42"/>
      <c r="U4" s="42"/>
      <c r="V4" s="42"/>
      <c r="W4" s="42"/>
      <c r="X4" s="42"/>
      <c r="Y4" s="42"/>
      <c r="Z4" s="42"/>
    </row>
    <row r="5" spans="1:26" x14ac:dyDescent="0.25">
      <c r="A5" s="103" t="str">
        <f ca="1">IFERROR(__xludf.DUMMYFUNCTION("""COMPUTED_VALUE"""),"2 Customer Data Sharing")</f>
        <v>2 Customer Data Sharing</v>
      </c>
      <c r="B5" s="106" t="str">
        <f ca="1">IFERROR(__xludf.DUMMYFUNCTION("""COMPUTED_VALUE"""),"ReqID")</f>
        <v>ReqID</v>
      </c>
      <c r="C5" s="107" t="str">
        <f ca="1">IFERROR(__xludf.DUMMYFUNCTION("""COMPUTED_VALUE"""),"Requirement")</f>
        <v>Requirement</v>
      </c>
      <c r="D5" s="107" t="str">
        <f ca="1">IFERROR(__xludf.DUMMYFUNCTION("""COMPUTED_VALUE"""),"Description")</f>
        <v>Description</v>
      </c>
      <c r="E5" s="42"/>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IFERROR(__xludf.DUMMYFUNCTION("""COMPUTED_VALUE"""),"DR0201")</f>
        <v>DR0201</v>
      </c>
      <c r="C6" s="107" t="str">
        <f ca="1">IFERROR(__xludf.DUMMYFUNCTION("""COMPUTED_VALUE"""),"Adhere to customer consent to share")</f>
        <v>Adhere to customer consent to share</v>
      </c>
      <c r="D6" s="107" t="str">
        <f ca="1">IFERROR(__xludf.DUMMYFUNCTION("""COMPUTED_VALUE""")," 1. The online store terms and conditions must explicitly state the legal entities that will have access to a customer's data.
 2. Explicit mention must be made of the privacy of their children's details.
")</f>
        <v xml:space="preserve"> 1. The online store terms and conditions must explicitly state the legal entities that will have access to a customer's data.
 2. Explicit mention must be made of the privacy of their children's details.
</v>
      </c>
      <c r="E6" s="42"/>
      <c r="F6" s="42"/>
      <c r="G6" s="42"/>
      <c r="H6" s="42"/>
      <c r="I6" s="42"/>
      <c r="J6" s="42"/>
      <c r="K6" s="42"/>
      <c r="L6" s="42"/>
      <c r="M6" s="42"/>
      <c r="N6" s="42"/>
      <c r="O6" s="42"/>
      <c r="P6" s="42"/>
      <c r="Q6" s="42"/>
      <c r="R6" s="42"/>
      <c r="S6" s="42"/>
      <c r="T6" s="42"/>
      <c r="U6" s="42"/>
      <c r="V6" s="42"/>
      <c r="W6" s="42"/>
      <c r="X6" s="42"/>
      <c r="Y6" s="42"/>
      <c r="Z6" s="42"/>
    </row>
    <row r="7" spans="1:26" x14ac:dyDescent="0.25">
      <c r="A7" s="103"/>
      <c r="B7" s="106"/>
      <c r="C7" s="107"/>
      <c r="D7" s="107"/>
      <c r="E7" s="42"/>
      <c r="F7" s="42"/>
      <c r="G7" s="42"/>
      <c r="H7" s="42"/>
      <c r="I7" s="42"/>
      <c r="J7" s="42"/>
      <c r="K7" s="42"/>
      <c r="L7" s="42"/>
      <c r="M7" s="42"/>
      <c r="N7" s="42"/>
      <c r="O7" s="42"/>
      <c r="P7" s="42"/>
      <c r="Q7" s="42"/>
      <c r="R7" s="42"/>
      <c r="S7" s="42"/>
      <c r="T7" s="42"/>
      <c r="U7" s="42"/>
      <c r="V7" s="42"/>
      <c r="W7" s="42"/>
      <c r="X7" s="42"/>
      <c r="Y7" s="42"/>
      <c r="Z7" s="42"/>
    </row>
    <row r="8" spans="1:26" x14ac:dyDescent="0.25">
      <c r="A8" s="103"/>
      <c r="B8" s="106"/>
      <c r="C8" s="107"/>
      <c r="D8" s="107"/>
      <c r="E8" s="42"/>
      <c r="F8" s="42"/>
      <c r="G8" s="42"/>
      <c r="H8" s="42"/>
      <c r="I8" s="42"/>
      <c r="J8" s="42"/>
      <c r="K8" s="42"/>
      <c r="L8" s="42"/>
      <c r="M8" s="42"/>
      <c r="N8" s="42"/>
      <c r="O8" s="42"/>
      <c r="P8" s="42"/>
      <c r="Q8" s="42"/>
      <c r="R8" s="42"/>
      <c r="S8" s="42"/>
      <c r="T8" s="42"/>
      <c r="U8" s="42"/>
      <c r="V8" s="42"/>
      <c r="W8" s="42"/>
      <c r="X8" s="42"/>
      <c r="Y8" s="42"/>
      <c r="Z8" s="42"/>
    </row>
    <row r="9" spans="1:26" x14ac:dyDescent="0.25">
      <c r="A9" s="103"/>
      <c r="B9" s="106"/>
      <c r="C9" s="107"/>
      <c r="D9" s="107"/>
      <c r="E9" s="42"/>
      <c r="F9" s="42"/>
      <c r="G9" s="42"/>
      <c r="H9" s="42"/>
      <c r="I9" s="42"/>
      <c r="J9" s="42"/>
      <c r="K9" s="42"/>
      <c r="L9" s="42"/>
      <c r="M9" s="42"/>
      <c r="N9" s="42"/>
      <c r="O9" s="42"/>
      <c r="P9" s="42"/>
      <c r="Q9" s="42"/>
      <c r="R9" s="42"/>
      <c r="S9" s="42"/>
      <c r="T9" s="42"/>
      <c r="U9" s="42"/>
      <c r="V9" s="42"/>
      <c r="W9" s="42"/>
      <c r="X9" s="42"/>
      <c r="Y9" s="42"/>
      <c r="Z9" s="42"/>
    </row>
    <row r="10" spans="1:26" x14ac:dyDescent="0.25">
      <c r="A10" s="103"/>
      <c r="B10" s="106"/>
      <c r="C10" s="107"/>
      <c r="D10" s="107"/>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c r="C11" s="107"/>
      <c r="D11" s="107"/>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c r="C12" s="107"/>
      <c r="D12" s="107"/>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c r="B13" s="106"/>
      <c r="C13" s="107"/>
      <c r="D13" s="107"/>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c r="B14" s="106"/>
      <c r="C14" s="107"/>
      <c r="D14" s="107"/>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c r="B15" s="106"/>
      <c r="C15" s="107"/>
      <c r="D15" s="107"/>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c r="C16" s="107"/>
      <c r="D16" s="107"/>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c r="C17" s="107"/>
      <c r="D17" s="107"/>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c r="C18" s="107"/>
      <c r="D18" s="107"/>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c r="B19" s="106"/>
      <c r="C19" s="107"/>
      <c r="D19" s="107"/>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c r="C20" s="107"/>
      <c r="D20" s="107"/>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c r="B21" s="106"/>
      <c r="C21" s="107"/>
      <c r="D21" s="107"/>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c r="B22" s="106"/>
      <c r="C22" s="107"/>
      <c r="D22" s="107"/>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c r="C23" s="107"/>
      <c r="D23" s="107"/>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c r="C24" s="107"/>
      <c r="D24" s="107"/>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c r="B25" s="106"/>
      <c r="C25" s="107"/>
      <c r="D25" s="107"/>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c r="C26" s="107"/>
      <c r="D26" s="107"/>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c r="B27" s="106"/>
      <c r="C27" s="107"/>
      <c r="D27" s="107"/>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c r="C28" s="107"/>
      <c r="D28" s="107"/>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c r="C29" s="107"/>
      <c r="D29" s="107"/>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c r="B30" s="106"/>
      <c r="C30" s="107"/>
      <c r="D30" s="107"/>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c r="C31" s="107"/>
      <c r="D31" s="107"/>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c r="C32" s="107"/>
      <c r="D32" s="107"/>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c r="C33" s="107"/>
      <c r="D33" s="107"/>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c r="C34" s="107"/>
      <c r="D34" s="107"/>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c r="B35" s="106"/>
      <c r="C35" s="107"/>
      <c r="D35" s="107"/>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c r="C36" s="107"/>
      <c r="D36" s="107"/>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c r="C37" s="107"/>
      <c r="D37" s="107"/>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c r="C38" s="107"/>
      <c r="D38" s="107"/>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c r="C39" s="107"/>
      <c r="D39" s="107"/>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c r="C40" s="107"/>
      <c r="D40" s="107"/>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c r="C41" s="107"/>
      <c r="D41" s="107"/>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c r="B42" s="106"/>
      <c r="C42" s="107"/>
      <c r="D42" s="107"/>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c r="B43" s="106"/>
      <c r="C43" s="107"/>
      <c r="D43" s="107"/>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c r="C44" s="107"/>
      <c r="D44" s="107"/>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c r="C45" s="107"/>
      <c r="D45" s="107"/>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c r="C46" s="107"/>
      <c r="D46" s="107"/>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c r="C47" s="107"/>
      <c r="D47" s="107"/>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c r="C48" s="107"/>
      <c r="D48" s="107"/>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c r="C49" s="107"/>
      <c r="D49" s="107"/>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c r="B50" s="106"/>
      <c r="C50" s="107"/>
      <c r="D50" s="107"/>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c r="B51" s="106"/>
      <c r="C51" s="107"/>
      <c r="D51" s="107"/>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c r="C52" s="107"/>
      <c r="D52" s="107"/>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c r="C53" s="107"/>
      <c r="D53" s="107"/>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c r="C54" s="107"/>
      <c r="D54" s="107"/>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c r="C55" s="107"/>
      <c r="D55" s="107"/>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c r="C56" s="107"/>
      <c r="D56" s="107"/>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c r="C57" s="107"/>
      <c r="D57" s="107"/>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c r="C58" s="107"/>
      <c r="D58" s="107"/>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c r="C59" s="107"/>
      <c r="D59" s="107"/>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c r="C60" s="107"/>
      <c r="D60" s="107"/>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c r="C61" s="107"/>
      <c r="D61" s="107"/>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c r="C62" s="107"/>
      <c r="D62" s="107"/>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c r="C63" s="107"/>
      <c r="D63" s="107"/>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c r="B64" s="106"/>
      <c r="C64" s="107"/>
      <c r="D64" s="107"/>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c r="C65" s="107"/>
      <c r="D65" s="107"/>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c r="C66" s="107"/>
      <c r="D66" s="107"/>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c r="C67" s="107"/>
      <c r="D67" s="107"/>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c r="C68" s="107"/>
      <c r="D68" s="107"/>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c r="C69" s="107"/>
      <c r="D69" s="107"/>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c r="C70" s="107"/>
      <c r="D70" s="107"/>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c r="C71" s="107"/>
      <c r="D71" s="107"/>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c r="B72" s="106"/>
      <c r="C72" s="107"/>
      <c r="D72" s="107"/>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c r="C73" s="107"/>
      <c r="D73" s="107"/>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c r="C74" s="107"/>
      <c r="D74" s="107"/>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c r="B75" s="106"/>
      <c r="C75" s="107"/>
      <c r="D75" s="107"/>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c r="C76" s="107"/>
      <c r="D76" s="107"/>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c r="C77" s="107"/>
      <c r="D77" s="107"/>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c r="B78" s="106"/>
      <c r="C78" s="107"/>
      <c r="D78" s="107"/>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c r="C79" s="107"/>
      <c r="D79" s="107"/>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c r="C80" s="107"/>
      <c r="D80" s="107"/>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c r="C81" s="107"/>
      <c r="D81" s="107"/>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c r="B82" s="106"/>
      <c r="C82" s="107"/>
      <c r="D82" s="107"/>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c r="C83" s="107"/>
      <c r="D83" s="107"/>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c r="C84" s="107"/>
      <c r="D84" s="107"/>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c r="C85" s="107"/>
      <c r="D85" s="107"/>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c r="C86" s="107"/>
      <c r="D86" s="107"/>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c r="C87" s="107"/>
      <c r="D87" s="107"/>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c r="C88" s="107"/>
      <c r="D88" s="107"/>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c r="C89" s="107"/>
      <c r="D89" s="107"/>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c r="C90" s="107"/>
      <c r="D90" s="107"/>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c r="C91" s="107"/>
      <c r="D91" s="107"/>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c r="C92" s="107"/>
      <c r="D92" s="107"/>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c r="C93" s="107"/>
      <c r="D93" s="107"/>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c r="B94" s="106"/>
      <c r="C94" s="107"/>
      <c r="D94" s="107"/>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c r="C95" s="107"/>
      <c r="D95" s="107"/>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c r="C96" s="107"/>
      <c r="D96" s="107"/>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c r="C97" s="107"/>
      <c r="D97" s="107"/>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c r="C98" s="107"/>
      <c r="D98" s="107"/>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c r="C99" s="107"/>
      <c r="D99" s="107"/>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c r="C100" s="107"/>
      <c r="D100" s="107"/>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c r="C101" s="107"/>
      <c r="D101" s="107"/>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c r="C102" s="107"/>
      <c r="D102" s="107"/>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c r="C103" s="107"/>
      <c r="D103" s="107"/>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c r="B104" s="106"/>
      <c r="C104" s="107"/>
      <c r="D104" s="107"/>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c r="C105" s="107"/>
      <c r="D105" s="107"/>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c r="C106" s="107"/>
      <c r="D106" s="107"/>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c r="C107" s="107"/>
      <c r="D107" s="107"/>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c r="C108" s="107"/>
      <c r="D108" s="107"/>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c r="C109" s="107"/>
      <c r="D109" s="107"/>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c r="C110" s="107"/>
      <c r="D110" s="107"/>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c r="C111" s="107"/>
      <c r="D111" s="107"/>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c r="C112" s="107"/>
      <c r="D112" s="107"/>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c r="C113" s="107"/>
      <c r="D113" s="107"/>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c r="C114" s="107"/>
      <c r="D114" s="107"/>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c r="C115" s="107"/>
      <c r="D115" s="107"/>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c r="C116" s="107"/>
      <c r="D116" s="107"/>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c r="C117" s="107"/>
      <c r="D117" s="107"/>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c r="C118" s="107"/>
      <c r="D118" s="107"/>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c r="B119" s="106"/>
      <c r="C119" s="107"/>
      <c r="D119" s="107"/>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c r="C120" s="107"/>
      <c r="D120" s="107"/>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c r="C121" s="107"/>
      <c r="D121" s="107"/>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c r="C122" s="107"/>
      <c r="D122" s="107"/>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c r="C123" s="107"/>
      <c r="D123" s="107"/>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c r="C124" s="107"/>
      <c r="D124" s="107"/>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c r="B125" s="106"/>
      <c r="C125" s="107"/>
      <c r="D125" s="107"/>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c r="C126" s="107"/>
      <c r="D126" s="107"/>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c r="C127" s="107"/>
      <c r="D127" s="107"/>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c r="C128" s="107"/>
      <c r="D128" s="107"/>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c r="C129" s="107"/>
      <c r="D129" s="107"/>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c r="B130" s="106"/>
      <c r="C130" s="107"/>
      <c r="D130" s="107"/>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c r="C131" s="107"/>
      <c r="D131" s="107"/>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c r="C132" s="107"/>
      <c r="D132" s="107"/>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c r="C133" s="107"/>
      <c r="D133" s="107"/>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c r="C134" s="107"/>
      <c r="D134" s="107"/>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c r="B135" s="106"/>
      <c r="C135" s="107"/>
      <c r="D135" s="107"/>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c r="C136" s="107"/>
      <c r="D136" s="107"/>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c r="C137" s="107"/>
      <c r="D137" s="107"/>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c r="C138" s="107"/>
      <c r="D138" s="107"/>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c r="C139" s="107"/>
      <c r="D139" s="107"/>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c r="C140" s="107"/>
      <c r="D140" s="107"/>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c r="C141" s="107"/>
      <c r="D141" s="107"/>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c r="B142" s="106"/>
      <c r="C142" s="107"/>
      <c r="D142" s="107"/>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c r="C143" s="107"/>
      <c r="D143" s="107"/>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c r="C144" s="107"/>
      <c r="D144" s="107"/>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c r="C145" s="107"/>
      <c r="D145" s="107"/>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c r="C146" s="107"/>
      <c r="D146" s="107"/>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c r="B147" s="106"/>
      <c r="C147" s="107"/>
      <c r="D147" s="107"/>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c r="C148" s="107"/>
      <c r="D148" s="107"/>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c r="C149" s="107"/>
      <c r="D149" s="107"/>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c r="C150" s="107"/>
      <c r="D150" s="107"/>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c r="C151" s="107"/>
      <c r="D151" s="107"/>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c r="C152" s="107"/>
      <c r="D152" s="107"/>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c r="C153" s="107"/>
      <c r="D153" s="107"/>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c r="C154" s="107"/>
      <c r="D154" s="107"/>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c r="B155" s="106"/>
      <c r="C155" s="107"/>
      <c r="D155" s="107"/>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c r="C156" s="107"/>
      <c r="D156" s="107"/>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c r="C157" s="107"/>
      <c r="D157" s="107"/>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c r="C158" s="107"/>
      <c r="D158" s="107"/>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c r="C159" s="107"/>
      <c r="D159" s="107"/>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c r="C160" s="107"/>
      <c r="D160" s="107"/>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c r="C161" s="107"/>
      <c r="D161" s="107"/>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c r="B162" s="106"/>
      <c r="C162" s="107"/>
      <c r="D162" s="107"/>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c r="C163" s="107"/>
      <c r="D163" s="107"/>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c r="C164" s="107"/>
      <c r="D164" s="107"/>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c r="B165" s="106"/>
      <c r="C165" s="107"/>
      <c r="D165" s="107"/>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c r="C166" s="107"/>
      <c r="D166" s="107"/>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c r="C167" s="107"/>
      <c r="D167" s="107"/>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c r="C168" s="107"/>
      <c r="D168" s="107"/>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c r="C169" s="107"/>
      <c r="D169" s="107"/>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c r="C170" s="107"/>
      <c r="D170" s="107"/>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c r="C171" s="107"/>
      <c r="D171" s="107"/>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c r="C172" s="107"/>
      <c r="D172" s="107"/>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c r="C173" s="107"/>
      <c r="D173" s="107"/>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c r="C174" s="107"/>
      <c r="D174" s="107"/>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c r="C175" s="107"/>
      <c r="D175" s="107"/>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c r="C176" s="107"/>
      <c r="D176" s="107"/>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c r="B177" s="106"/>
      <c r="C177" s="107"/>
      <c r="D177" s="107"/>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c r="C178" s="107"/>
      <c r="D178" s="107"/>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c r="C179" s="107"/>
      <c r="D179" s="107"/>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c r="C180" s="107"/>
      <c r="D180" s="107"/>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c r="C181" s="107"/>
      <c r="D181" s="107"/>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c r="B182" s="106"/>
      <c r="C182" s="107"/>
      <c r="D182" s="107"/>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c r="C183" s="107"/>
      <c r="D183" s="107"/>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c r="C184" s="107"/>
      <c r="D184" s="107"/>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c r="C185" s="107"/>
      <c r="D185" s="107"/>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c r="C186" s="107"/>
      <c r="D186" s="107"/>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c r="C187" s="107"/>
      <c r="D187" s="107"/>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c r="C188" s="107"/>
      <c r="D188" s="107"/>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c r="C189" s="107"/>
      <c r="D189" s="107"/>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c r="B190" s="106"/>
      <c r="C190" s="107"/>
      <c r="D190" s="107"/>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c r="C191" s="107"/>
      <c r="D191" s="107"/>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c r="B192" s="106"/>
      <c r="C192" s="107"/>
      <c r="D192" s="107"/>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c r="C193" s="107"/>
      <c r="D193" s="107"/>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c r="C194" s="107"/>
      <c r="D194" s="107"/>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c r="C195" s="107"/>
      <c r="D195" s="107"/>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c r="C196" s="107"/>
      <c r="D196" s="107"/>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c r="C197" s="107"/>
      <c r="D197" s="107"/>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c r="B198" s="106"/>
      <c r="C198" s="107"/>
      <c r="D198" s="107"/>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c r="C199" s="107"/>
      <c r="D199" s="107"/>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c r="C200" s="107"/>
      <c r="D200" s="107"/>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c r="C201" s="107"/>
      <c r="D201" s="107"/>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D500">
    <cfRule type="expression" dxfId="2" priority="1">
      <formula>(LEN($A1)&gt;0)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61" customWidth="1"/>
    <col min="4" max="4" width="57.88671875" customWidth="1"/>
  </cols>
  <sheetData>
    <row r="1" spans="1:26" x14ac:dyDescent="0.25">
      <c r="A1" s="103" t="str">
        <f ca="1">IFERROR(__xludf.DUMMYFUNCTION("if(iserror(Mindmap!$A$2),""no data"", query(Requirements!$C1:$X2200,""Select N,O,P,T where H=""&amp; Preferences!$E$16&amp;""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42"/>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Business")</f>
        <v>1 Business</v>
      </c>
      <c r="B2" s="106" t="str">
        <f ca="1">IFERROR(__xludf.DUMMYFUNCTION("""COMPUTED_VALUE"""),"ReqID")</f>
        <v>ReqID</v>
      </c>
      <c r="C2" s="107" t="str">
        <f ca="1">IFERROR(__xludf.DUMMYFUNCTION("""COMPUTED_VALUE"""),"1 Business")</f>
        <v>1 Business</v>
      </c>
      <c r="D2" s="107" t="str">
        <f ca="1">IFERROR(__xludf.DUMMYFUNCTION("""COMPUTED_VALUE"""),"Description")</f>
        <v>Description</v>
      </c>
      <c r="E2" s="42"/>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IFERROR(__xludf.DUMMYFUNCTION("""COMPUTED_VALUE"""),"T0101")</f>
        <v>T0101</v>
      </c>
      <c r="C3" s="107" t="str">
        <f ca="1">IFERROR(__xludf.DUMMYFUNCTION("""COMPUTED_VALUE"""),"Business / B2C Co")</f>
        <v>Business / B2C Co</v>
      </c>
      <c r="D3" s="107" t="str">
        <f ca="1">IFERROR(__xludf.DUMMYFUNCTION("""COMPUTED_VALUE"""),"The new subsidiary legal business entity to be registered and operated under Transpharm (or a subsidiary of Transpharm), to serve the identified target market in South Africa.")</f>
        <v>The new subsidiary legal business entity to be registered and operated under Transpharm (or a subsidiary of Transpharm), to serve the identified target market in South Africa.</v>
      </c>
      <c r="E3" s="42"/>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IFERROR(__xludf.DUMMYFUNCTION("""COMPUTED_VALUE"""),"T0102")</f>
        <v>T0102</v>
      </c>
      <c r="C4" s="107" t="str">
        <f ca="1">IFERROR(__xludf.DUMMYFUNCTION("""COMPUTED_VALUE"""),"Supplier")</f>
        <v>Supplier</v>
      </c>
      <c r="D4" s="107" t="str">
        <f ca="1">IFERROR(__xludf.DUMMYFUNCTION("""COMPUTED_VALUE"""),"A supplier of products to/via B2C Co for sale to consumers.")</f>
        <v>A supplier of products to/via B2C Co for sale to consumers.</v>
      </c>
      <c r="E4" s="42"/>
      <c r="F4" s="42"/>
      <c r="G4" s="42"/>
      <c r="H4" s="42"/>
      <c r="I4" s="42"/>
      <c r="J4" s="42"/>
      <c r="K4" s="42"/>
      <c r="L4" s="42"/>
      <c r="M4" s="42"/>
      <c r="N4" s="42"/>
      <c r="O4" s="42"/>
      <c r="P4" s="42"/>
      <c r="Q4" s="42"/>
      <c r="R4" s="42"/>
      <c r="S4" s="42"/>
      <c r="T4" s="42"/>
      <c r="U4" s="42"/>
      <c r="V4" s="42"/>
      <c r="W4" s="42"/>
      <c r="X4" s="42"/>
      <c r="Y4" s="42"/>
      <c r="Z4" s="42"/>
    </row>
    <row r="5" spans="1:26" x14ac:dyDescent="0.25">
      <c r="A5" s="103"/>
      <c r="B5" s="106" t="str">
        <f ca="1">IFERROR(__xludf.DUMMYFUNCTION("""COMPUTED_VALUE"""),"T0103")</f>
        <v>T0103</v>
      </c>
      <c r="C5" s="107" t="str">
        <f ca="1">IFERROR(__xludf.DUMMYFUNCTION("""COMPUTED_VALUE"""),"Marketing")</f>
        <v>Marketing</v>
      </c>
      <c r="D5" s="107" t="str">
        <f ca="1">IFERROR(__xludf.DUMMYFUNCTION("""COMPUTED_VALUE"""),"The business capability for B2C Co to market and advertise end-to end on the B2C Co website and multiple other channels.")</f>
        <v>The business capability for B2C Co to market and advertise end-to end on the B2C Co website and multiple other channels.</v>
      </c>
      <c r="E5" s="42"/>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IFERROR(__xludf.DUMMYFUNCTION("""COMPUTED_VALUE"""),"T0104")</f>
        <v>T0104</v>
      </c>
      <c r="C6" s="107" t="str">
        <f ca="1">IFERROR(__xludf.DUMMYFUNCTION("""COMPUTED_VALUE"""),"Online shop")</f>
        <v>Online shop</v>
      </c>
      <c r="D6" s="107" t="str">
        <f ca="1">IFERROR(__xludf.DUMMYFUNCTION("""COMPUTED_VALUE"""),"The B2C Co online shopping website via which a customer purchases products and in future possibly services.")</f>
        <v>The B2C Co online shopping website via which a customer purchases products and in future possibly services.</v>
      </c>
      <c r="E6" s="42"/>
      <c r="F6" s="42"/>
      <c r="G6" s="42"/>
      <c r="H6" s="42"/>
      <c r="I6" s="42"/>
      <c r="J6" s="42"/>
      <c r="K6" s="42"/>
      <c r="L6" s="42"/>
      <c r="M6" s="42"/>
      <c r="N6" s="42"/>
      <c r="O6" s="42"/>
      <c r="P6" s="42"/>
      <c r="Q6" s="42"/>
      <c r="R6" s="42"/>
      <c r="S6" s="42"/>
      <c r="T6" s="42"/>
      <c r="U6" s="42"/>
      <c r="V6" s="42"/>
      <c r="W6" s="42"/>
      <c r="X6" s="42"/>
      <c r="Y6" s="42"/>
      <c r="Z6" s="42"/>
    </row>
    <row r="7" spans="1:26" x14ac:dyDescent="0.25">
      <c r="A7" s="103"/>
      <c r="B7" s="106" t="str">
        <f ca="1">IFERROR(__xludf.DUMMYFUNCTION("""COMPUTED_VALUE"""),"T0105")</f>
        <v>T0105</v>
      </c>
      <c r="C7" s="107" t="str">
        <f ca="1">IFERROR(__xludf.DUMMYFUNCTION("""COMPUTED_VALUE"""),"Website")</f>
        <v>Website</v>
      </c>
      <c r="D7" s="107" t="str">
        <f ca="1">IFERROR(__xludf.DUMMYFUNCTION("""COMPUTED_VALUE"""),"Alternate reference to the online shop.")</f>
        <v>Alternate reference to the online shop.</v>
      </c>
      <c r="E7" s="42"/>
      <c r="F7" s="42"/>
      <c r="G7" s="42"/>
      <c r="H7" s="42"/>
      <c r="I7" s="42"/>
      <c r="J7" s="42"/>
      <c r="K7" s="42"/>
      <c r="L7" s="42"/>
      <c r="M7" s="42"/>
      <c r="N7" s="42"/>
      <c r="O7" s="42"/>
      <c r="P7" s="42"/>
      <c r="Q7" s="42"/>
      <c r="R7" s="42"/>
      <c r="S7" s="42"/>
      <c r="T7" s="42"/>
      <c r="U7" s="42"/>
      <c r="V7" s="42"/>
      <c r="W7" s="42"/>
      <c r="X7" s="42"/>
      <c r="Y7" s="42"/>
      <c r="Z7" s="42"/>
    </row>
    <row r="8" spans="1:26" x14ac:dyDescent="0.25">
      <c r="A8" s="103" t="str">
        <f ca="1">IFERROR(__xludf.DUMMYFUNCTION("""COMPUTED_VALUE"""),"2 Marketing")</f>
        <v>2 Marketing</v>
      </c>
      <c r="B8" s="106" t="str">
        <f ca="1">IFERROR(__xludf.DUMMYFUNCTION("""COMPUTED_VALUE"""),"ReqID")</f>
        <v>ReqID</v>
      </c>
      <c r="C8" s="107" t="str">
        <f ca="1">IFERROR(__xludf.DUMMYFUNCTION("""COMPUTED_VALUE"""),"2 Marketing")</f>
        <v>2 Marketing</v>
      </c>
      <c r="D8" s="107" t="str">
        <f ca="1">IFERROR(__xludf.DUMMYFUNCTION("""COMPUTED_VALUE"""),"Description")</f>
        <v>Description</v>
      </c>
      <c r="E8" s="42"/>
      <c r="F8" s="42"/>
      <c r="G8" s="42"/>
      <c r="H8" s="42"/>
      <c r="I8" s="42"/>
      <c r="J8" s="42"/>
      <c r="K8" s="42"/>
      <c r="L8" s="42"/>
      <c r="M8" s="42"/>
      <c r="N8" s="42"/>
      <c r="O8" s="42"/>
      <c r="P8" s="42"/>
      <c r="Q8" s="42"/>
      <c r="R8" s="42"/>
      <c r="S8" s="42"/>
      <c r="T8" s="42"/>
      <c r="U8" s="42"/>
      <c r="V8" s="42"/>
      <c r="W8" s="42"/>
      <c r="X8" s="42"/>
      <c r="Y8" s="42"/>
      <c r="Z8" s="42"/>
    </row>
    <row r="9" spans="1:26" x14ac:dyDescent="0.25">
      <c r="A9" s="103"/>
      <c r="B9" s="106" t="str">
        <f ca="1">IFERROR(__xludf.DUMMYFUNCTION("""COMPUTED_VALUE"""),"T0201")</f>
        <v>T0201</v>
      </c>
      <c r="C9" s="107" t="str">
        <f ca="1">IFERROR(__xludf.DUMMYFUNCTION("""COMPUTED_VALUE"""),"baby")</f>
        <v>baby</v>
      </c>
      <c r="D9" s="107" t="str">
        <f ca="1">IFERROR(__xludf.DUMMYFUNCTION("""COMPUTED_VALUE"""),"For the purposes of the business, this covers includes the unborn child, as well as the infant and toddler stages of a business.")</f>
        <v>For the purposes of the business, this covers includes the unborn child, as well as the infant and toddler stages of a business.</v>
      </c>
      <c r="E9" s="42"/>
      <c r="F9" s="42"/>
      <c r="G9" s="42"/>
      <c r="H9" s="42"/>
      <c r="I9" s="42"/>
      <c r="J9" s="42"/>
      <c r="K9" s="42"/>
      <c r="L9" s="42"/>
      <c r="M9" s="42"/>
      <c r="N9" s="42"/>
      <c r="O9" s="42"/>
      <c r="P9" s="42"/>
      <c r="Q9" s="42"/>
      <c r="R9" s="42"/>
      <c r="S9" s="42"/>
      <c r="T9" s="42"/>
      <c r="U9" s="42"/>
      <c r="V9" s="42"/>
      <c r="W9" s="42"/>
      <c r="X9" s="42"/>
      <c r="Y9" s="42"/>
      <c r="Z9" s="42"/>
    </row>
    <row r="10" spans="1:26" x14ac:dyDescent="0.25">
      <c r="A10" s="103"/>
      <c r="B10" s="106" t="str">
        <f ca="1">IFERROR(__xludf.DUMMYFUNCTION("""COMPUTED_VALUE"""),"T0202")</f>
        <v>T0202</v>
      </c>
      <c r="C10" s="107" t="str">
        <f ca="1">IFERROR(__xludf.DUMMYFUNCTION("""COMPUTED_VALUE"""),"baby development")</f>
        <v>baby development</v>
      </c>
      <c r="D10" s="107" t="str">
        <f ca="1">IFERROR(__xludf.DUMMYFUNCTION("""COMPUTED_VALUE"""),"The stages of development of a baby, from pregnancy through to being a toddler.
Reference: https://en.wikipedia.org/wiki/Toddler#Developmental_milestones")</f>
        <v>The stages of development of a baby, from pregnancy through to being a toddler.
Reference: https://en.wikipedia.org/wiki/Toddler#Developmental_milestones</v>
      </c>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t="str">
        <f ca="1">IFERROR(__xludf.DUMMYFUNCTION("""COMPUTED_VALUE"""),"T0203")</f>
        <v>T0203</v>
      </c>
      <c r="C11" s="107" t="str">
        <f ca="1">IFERROR(__xludf.DUMMYFUNCTION("""COMPUTED_VALUE"""),"newborn")</f>
        <v>newborn</v>
      </c>
      <c r="D11" s="107" t="str">
        <f ca="1">IFERROR(__xludf.DUMMYFUNCTION("""COMPUTED_VALUE"""),"A newborn is, in colloquial use, an infant who is only hours, days, or up to one month old.")</f>
        <v>A newborn is, in colloquial use, an infant who is only hours, days, or up to one month old.</v>
      </c>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t="str">
        <f ca="1">IFERROR(__xludf.DUMMYFUNCTION("""COMPUTED_VALUE"""),"T0204")</f>
        <v>T0204</v>
      </c>
      <c r="C12" s="107" t="str">
        <f ca="1">IFERROR(__xludf.DUMMYFUNCTION("""COMPUTED_VALUE"""),"infant")</f>
        <v>infant</v>
      </c>
      <c r="D12" s="107" t="str">
        <f ca="1">IFERROR(__xludf.DUMMYFUNCTION("""COMPUTED_VALUE"""),"An infant is the more formal or specialised synonym for ""baby"", the very young offspring of a human.
Reference: https://en.wikipedia.org/wiki/Infant")</f>
        <v>An infant is the more formal or specialised synonym for "baby", the very young offspring of a human.
Reference: https://en.wikipedia.org/wiki/Infant</v>
      </c>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c r="B13" s="106" t="str">
        <f ca="1">IFERROR(__xludf.DUMMYFUNCTION("""COMPUTED_VALUE"""),"T0205")</f>
        <v>T0205</v>
      </c>
      <c r="C13" s="107" t="str">
        <f ca="1">IFERROR(__xludf.DUMMYFUNCTION("""COMPUTED_VALUE"""),"toddler")</f>
        <v>toddler</v>
      </c>
      <c r="D13" s="107" t="str">
        <f ca="1">IFERROR(__xludf.DUMMYFUNCTION("""COMPUTED_VALUE"""),"A toddler is a child approximately 12 to 36 months old. The toddler years are a time of great cognitive, emotional and social development. The word is derived from ""to toddle"", which means to walk unsteadily, like a child of this age.
Reference: https:/"&amp;"/en.wikipedia.org/wiki/Toddler")</f>
        <v>A toddler is a child approximately 12 to 36 months old. The toddler years are a time of great cognitive, emotional and social development. The word is derived from "to toddle", which means to walk unsteadily, like a child of this age.
Reference: https://en.wikipedia.org/wiki/Toddler</v>
      </c>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t="str">
        <f ca="1">IFERROR(__xludf.DUMMYFUNCTION("""COMPUTED_VALUE"""),"3 Customer")</f>
        <v>3 Customer</v>
      </c>
      <c r="B14" s="106" t="str">
        <f ca="1">IFERROR(__xludf.DUMMYFUNCTION("""COMPUTED_VALUE"""),"ReqID")</f>
        <v>ReqID</v>
      </c>
      <c r="C14" s="107" t="str">
        <f ca="1">IFERROR(__xludf.DUMMYFUNCTION("""COMPUTED_VALUE"""),"3 Customer")</f>
        <v>3 Customer</v>
      </c>
      <c r="D14" s="107" t="str">
        <f ca="1">IFERROR(__xludf.DUMMYFUNCTION("""COMPUTED_VALUE"""),"Description")</f>
        <v>Description</v>
      </c>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c r="B15" s="106" t="str">
        <f ca="1">IFERROR(__xludf.DUMMYFUNCTION("""COMPUTED_VALUE"""),"T0301")</f>
        <v>T0301</v>
      </c>
      <c r="C15" s="107" t="str">
        <f ca="1">IFERROR(__xludf.DUMMYFUNCTION("""COMPUTED_VALUE"""),"Customer")</f>
        <v>Customer</v>
      </c>
      <c r="D15" s="107" t="str">
        <f ca="1">IFERROR(__xludf.DUMMYFUNCTION("""COMPUTED_VALUE"""),"A person registered with the online shop, for the purpose to purchase the products and use the related services offered via the online shop.")</f>
        <v>A person registered with the online shop, for the purpose to purchase the products and use the related services offered via the online shop.</v>
      </c>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t="str">
        <f ca="1">IFERROR(__xludf.DUMMYFUNCTION("""COMPUTED_VALUE"""),"T0302")</f>
        <v>T0302</v>
      </c>
      <c r="C16" s="107" t="str">
        <f ca="1">IFERROR(__xludf.DUMMYFUNCTION("""COMPUTED_VALUE"""),"Visitor")</f>
        <v>Visitor</v>
      </c>
      <c r="D16" s="107" t="str">
        <f ca="1">IFERROR(__xludf.DUMMYFUNCTION("""COMPUTED_VALUE"""),"A customer or member of the public that uses the B2C Co online shop without being logged in (not identified).")</f>
        <v>A customer or member of the public that uses the B2C Co online shop without being logged in (not identified).</v>
      </c>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t="str">
        <f ca="1">IFERROR(__xludf.DUMMYFUNCTION("""COMPUTED_VALUE"""),"T0303")</f>
        <v>T0303</v>
      </c>
      <c r="C17" s="107" t="str">
        <f ca="1">IFERROR(__xludf.DUMMYFUNCTION("""COMPUTED_VALUE"""),"Customer - Direct")</f>
        <v>Customer - Direct</v>
      </c>
      <c r="D17" s="107" t="str">
        <f ca="1">IFERROR(__xludf.DUMMYFUNCTION("""COMPUTED_VALUE"""),"A customer or potential customer that contacts the B2C Co contact centre.")</f>
        <v>A customer or potential customer that contacts the B2C Co contact centre.</v>
      </c>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t="str">
        <f ca="1">IFERROR(__xludf.DUMMYFUNCTION("""COMPUTED_VALUE"""),"T0304")</f>
        <v>T0304</v>
      </c>
      <c r="C18" s="107" t="str">
        <f ca="1">IFERROR(__xludf.DUMMYFUNCTION("""COMPUTED_VALUE"""),"Customer - Anonymous")</f>
        <v>Customer - Anonymous</v>
      </c>
      <c r="D18" s="107" t="str">
        <f ca="1">IFERROR(__xludf.DUMMYFUNCTION("""COMPUTED_VALUE"""),"This is an alternate reference to Visitor.")</f>
        <v>This is an alternate reference to Visitor.</v>
      </c>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c r="B19" s="106" t="str">
        <f ca="1">IFERROR(__xludf.DUMMYFUNCTION("""COMPUTED_VALUE"""),"T0305")</f>
        <v>T0305</v>
      </c>
      <c r="C19" s="107" t="str">
        <f ca="1">IFERROR(__xludf.DUMMYFUNCTION("""COMPUTED_VALUE"""),"Customer - Website")</f>
        <v>Customer - Website</v>
      </c>
      <c r="D19" s="107" t="str">
        <f ca="1">IFERROR(__xludf.DUMMYFUNCTION("""COMPUTED_VALUE"""),"A customer that uses the B2C Co online shop and who is logged in (identified).")</f>
        <v>A customer that uses the B2C Co online shop and who is logged in (identified).</v>
      </c>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t="str">
        <f ca="1">IFERROR(__xludf.DUMMYFUNCTION("""COMPUTED_VALUE"""),"T0306")</f>
        <v>T0306</v>
      </c>
      <c r="C20" s="107" t="str">
        <f ca="1">IFERROR(__xludf.DUMMYFUNCTION("""COMPUTED_VALUE"""),"Favourites-list")</f>
        <v>Favourites-list</v>
      </c>
      <c r="D20" s="107" t="str">
        <f ca="1">IFERROR(__xludf.DUMMYFUNCTION("""COMPUTED_VALUE"""),"List of products wanted to be ordered on a regular basis.")</f>
        <v>List of products wanted to be ordered on a regular basis.</v>
      </c>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c r="B21" s="106" t="str">
        <f ca="1">IFERROR(__xludf.DUMMYFUNCTION("""COMPUTED_VALUE"""),"T0307")</f>
        <v>T0307</v>
      </c>
      <c r="C21" s="107" t="str">
        <f ca="1">IFERROR(__xludf.DUMMYFUNCTION("""COMPUTED_VALUE"""),"Wish-list")</f>
        <v>Wish-list</v>
      </c>
      <c r="D21" s="107" t="str">
        <f ca="1">IFERROR(__xludf.DUMMYFUNCTION("""COMPUTED_VALUE"""),"List of products to be ordered once-off at a future date/out of stock.")</f>
        <v>List of products to be ordered once-off at a future date/out of stock.</v>
      </c>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t="str">
        <f ca="1">IFERROR(__xludf.DUMMYFUNCTION("""COMPUTED_VALUE"""),"4 Advertisement")</f>
        <v>4 Advertisement</v>
      </c>
      <c r="B22" s="106" t="str">
        <f ca="1">IFERROR(__xludf.DUMMYFUNCTION("""COMPUTED_VALUE"""),"ReqID")</f>
        <v>ReqID</v>
      </c>
      <c r="C22" s="107" t="str">
        <f ca="1">IFERROR(__xludf.DUMMYFUNCTION("""COMPUTED_VALUE"""),"4 Advertisement")</f>
        <v>4 Advertisement</v>
      </c>
      <c r="D22" s="107" t="str">
        <f ca="1">IFERROR(__xludf.DUMMYFUNCTION("""COMPUTED_VALUE"""),"Description")</f>
        <v>Description</v>
      </c>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t="str">
        <f ca="1">IFERROR(__xludf.DUMMYFUNCTION("""COMPUTED_VALUE"""),"T0401")</f>
        <v>T0401</v>
      </c>
      <c r="C23" s="107" t="str">
        <f ca="1">IFERROR(__xludf.DUMMYFUNCTION("""COMPUTED_VALUE"""),"Advertisement")</f>
        <v>Advertisement</v>
      </c>
      <c r="D23" s="107" t="str">
        <f ca="1">IFERROR(__xludf.DUMMYFUNCTION("""COMPUTED_VALUE"""),"A promotion of a product or event")</f>
        <v>A promotion of a product or event</v>
      </c>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t="str">
        <f ca="1">IFERROR(__xludf.DUMMYFUNCTION("""COMPUTED_VALUE"""),"T0402")</f>
        <v>T0402</v>
      </c>
      <c r="C24" s="107" t="str">
        <f ca="1">IFERROR(__xludf.DUMMYFUNCTION("""COMPUTED_VALUE"""),"Online shop advertisement")</f>
        <v>Online shop advertisement</v>
      </c>
      <c r="D24" s="107" t="str">
        <f ca="1">IFERROR(__xludf.DUMMYFUNCTION("""COMPUTED_VALUE"""),"An advertisement presented on the online shop.")</f>
        <v>An advertisement presented on the online shop.</v>
      </c>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c r="B25" s="106" t="str">
        <f ca="1">IFERROR(__xludf.DUMMYFUNCTION("""COMPUTED_VALUE"""),"T0403")</f>
        <v>T0403</v>
      </c>
      <c r="C25" s="107" t="str">
        <f ca="1">IFERROR(__xludf.DUMMYFUNCTION("""COMPUTED_VALUE"""),"Online advertisement")</f>
        <v>Online advertisement</v>
      </c>
      <c r="D25" s="107" t="str">
        <f ca="1">IFERROR(__xludf.DUMMYFUNCTION("""COMPUTED_VALUE"""),"An advertisement published to an online marketing channel other than the online shop.")</f>
        <v>An advertisement published to an online marketing channel other than the online shop.</v>
      </c>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t="str">
        <f ca="1">IFERROR(__xludf.DUMMYFUNCTION("""COMPUTED_VALUE"""),"T0404")</f>
        <v>T0404</v>
      </c>
      <c r="C26" s="107" t="str">
        <f ca="1">IFERROR(__xludf.DUMMYFUNCTION("""COMPUTED_VALUE"""),"Promotion")</f>
        <v>Promotion</v>
      </c>
      <c r="D26" s="107" t="str">
        <f ca="1">IFERROR(__xludf.DUMMYFUNCTION("""COMPUTED_VALUE"""),"Description")</f>
        <v>Description</v>
      </c>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t="str">
        <f ca="1">IFERROR(__xludf.DUMMYFUNCTION("""COMPUTED_VALUE"""),"5 Product")</f>
        <v>5 Product</v>
      </c>
      <c r="B27" s="106" t="str">
        <f ca="1">IFERROR(__xludf.DUMMYFUNCTION("""COMPUTED_VALUE"""),"ReqID")</f>
        <v>ReqID</v>
      </c>
      <c r="C27" s="107" t="str">
        <f ca="1">IFERROR(__xludf.DUMMYFUNCTION("""COMPUTED_VALUE"""),"5 Product")</f>
        <v>5 Product</v>
      </c>
      <c r="D27" s="107" t="str">
        <f ca="1">IFERROR(__xludf.DUMMYFUNCTION("""COMPUTED_VALUE"""),"Description")</f>
        <v>Description</v>
      </c>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t="str">
        <f ca="1">IFERROR(__xludf.DUMMYFUNCTION("""COMPUTED_VALUE"""),"T0501")</f>
        <v>T0501</v>
      </c>
      <c r="C28" s="107" t="str">
        <f ca="1">IFERROR(__xludf.DUMMYFUNCTION("""COMPUTED_VALUE"""),"B2C Co advertised product")</f>
        <v>B2C Co advertised product</v>
      </c>
      <c r="D28" s="107" t="str">
        <f ca="1">IFERROR(__xludf.DUMMYFUNCTION("""COMPUTED_VALUE"""),"A product for which there is an advertisement defined. It may be published online, or on the website.")</f>
        <v>A product for which there is an advertisement defined. It may be published online, or on the website.</v>
      </c>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t="str">
        <f ca="1">IFERROR(__xludf.DUMMYFUNCTION("""COMPUTED_VALUE"""),"T0502")</f>
        <v>T0502</v>
      </c>
      <c r="C29" s="107" t="str">
        <f ca="1">IFERROR(__xludf.DUMMYFUNCTION("""COMPUTED_VALUE"""),"Web advertised product")</f>
        <v>Web advertised product</v>
      </c>
      <c r="D29" s="107" t="str">
        <f ca="1">IFERROR(__xludf.DUMMYFUNCTION("""COMPUTED_VALUE"""),"A product for which there is an advertisement defined and which is presented on the website.")</f>
        <v>A product for which there is an advertisement defined and which is presented on the website.</v>
      </c>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c r="B30" s="106" t="str">
        <f ca="1">IFERROR(__xludf.DUMMYFUNCTION("""COMPUTED_VALUE"""),"T0503")</f>
        <v>T0503</v>
      </c>
      <c r="C30" s="107" t="str">
        <f ca="1">IFERROR(__xludf.DUMMYFUNCTION("""COMPUTED_VALUE"""),"Promoted brand")</f>
        <v>Promoted brand</v>
      </c>
      <c r="D30" s="107" t="str">
        <f ca="1">IFERROR(__xludf.DUMMYFUNCTION("""COMPUTED_VALUE"""),"A brand for which the supplier has a promotion agreement with B2C Co. The brand and related products are given a higher rank in the website search results.")</f>
        <v>A brand for which the supplier has a promotion agreement with B2C Co. The brand and related products are given a higher rank in the website search results.</v>
      </c>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t="str">
        <f ca="1">IFERROR(__xludf.DUMMYFUNCTION("""COMPUTED_VALUE"""),"T0504")</f>
        <v>T0504</v>
      </c>
      <c r="C31" s="107" t="str">
        <f ca="1">IFERROR(__xludf.DUMMYFUNCTION("""COMPUTED_VALUE"""),"Promoted product")</f>
        <v>Promoted product</v>
      </c>
      <c r="D31" s="107" t="str">
        <f ca="1">IFERROR(__xludf.DUMMYFUNCTION("""COMPUTED_VALUE"""),"A product for which the supplier has a promotion agreement with B2C Co. The product is given a higher rank in the website search results.")</f>
        <v>A product for which the supplier has a promotion agreement with B2C Co. The product is given a higher rank in the website search results.</v>
      </c>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t="str">
        <f ca="1">IFERROR(__xludf.DUMMYFUNCTION("""COMPUTED_VALUE"""),"T0505")</f>
        <v>T0505</v>
      </c>
      <c r="C32" s="107" t="str">
        <f ca="1">IFERROR(__xludf.DUMMYFUNCTION("""COMPUTED_VALUE"""),"Frequently-bough product")</f>
        <v>Frequently-bough product</v>
      </c>
      <c r="D32" s="107" t="str">
        <f ca="1">IFERROR(__xludf.DUMMYFUNCTION("""COMPUTED_VALUE"""),"A product often listed in a purchase (purchased shopping cart) that also contains the product currently being viewed/purchased on the website.")</f>
        <v>A product often listed in a purchase (purchased shopping cart) that also contains the product currently being viewed/purchased on the website.</v>
      </c>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t="str">
        <f ca="1">IFERROR(__xludf.DUMMYFUNCTION("""COMPUTED_VALUE"""),"T0506")</f>
        <v>T0506</v>
      </c>
      <c r="C33" s="107" t="str">
        <f ca="1">IFERROR(__xludf.DUMMYFUNCTION("""COMPUTED_VALUE"""),"Similar product")</f>
        <v>Similar product</v>
      </c>
      <c r="D33" s="107" t="str">
        <f ca="1">IFERROR(__xludf.DUMMYFUNCTION("""COMPUTED_VALUE"""),"A product with the same meta-tags as the product currently being viewed on the website.")</f>
        <v>A product with the same meta-tags as the product currently being viewed on the website.</v>
      </c>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t="str">
        <f ca="1">IFERROR(__xludf.DUMMYFUNCTION("""COMPUTED_VALUE"""),"T0507")</f>
        <v>T0507</v>
      </c>
      <c r="C34" s="107" t="str">
        <f ca="1">IFERROR(__xludf.DUMMYFUNCTION("""COMPUTED_VALUE"""),"UOM")</f>
        <v>UOM</v>
      </c>
      <c r="D34" s="107" t="str">
        <f ca="1">IFERROR(__xludf.DUMMYFUNCTION("""COMPUTED_VALUE"""),"Unit of Measure For a physical product, this represents a specific quantity (quantity/volume) that can be ordered or sold.")</f>
        <v>Unit of Measure For a physical product, this represents a specific quantity (quantity/volume) that can be ordered or sold.</v>
      </c>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c r="B35" s="106" t="str">
        <f ca="1">IFERROR(__xludf.DUMMYFUNCTION("""COMPUTED_VALUE"""),"T0508")</f>
        <v>T0508</v>
      </c>
      <c r="C35" s="107" t="str">
        <f ca="1">IFERROR(__xludf.DUMMYFUNCTION("""COMPUTED_VALUE"""),"Each")</f>
        <v>Each</v>
      </c>
      <c r="D35" s="107" t="str">
        <f ca="1">IFERROR(__xludf.DUMMYFUNCTION("""COMPUTED_VALUE"""),"The smallest individual product unit that can be sold (e.g. tin of baby formula).")</f>
        <v>The smallest individual product unit that can be sold (e.g. tin of baby formula).</v>
      </c>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t="str">
        <f ca="1">IFERROR(__xludf.DUMMYFUNCTION("""COMPUTED_VALUE"""),"T0509")</f>
        <v>T0509</v>
      </c>
      <c r="C36" s="107" t="str">
        <f ca="1">IFERROR(__xludf.DUMMYFUNCTION("""COMPUTED_VALUE"""),"BMC")</f>
        <v>BMC</v>
      </c>
      <c r="D36" s="107" t="str">
        <f ca="1">IFERROR(__xludf.DUMMYFUNCTION("""COMPUTED_VALUE"""),"Base Merchandise Category This is the most-detail level grouping of similar products.")</f>
        <v>Base Merchandise Category This is the most-detail level grouping of similar products.</v>
      </c>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t="str">
        <f ca="1">IFERROR(__xludf.DUMMYFUNCTION("""COMPUTED_VALUE"""),"T0510")</f>
        <v>T0510</v>
      </c>
      <c r="C37" s="107" t="str">
        <f ca="1">IFERROR(__xludf.DUMMYFUNCTION("""COMPUTED_VALUE"""),"Proposed Selling Price (excl)")</f>
        <v>Proposed Selling Price (excl)</v>
      </c>
      <c r="D37" s="107" t="str">
        <f ca="1">IFERROR(__xludf.DUMMYFUNCTION("""COMPUTED_VALUE"""),"The selling price for a product/service before VAT and rounding rules are applied.")</f>
        <v>The selling price for a product/service before VAT and rounding rules are applied.</v>
      </c>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t="str">
        <f ca="1">IFERROR(__xludf.DUMMYFUNCTION("""COMPUTED_VALUE"""),"T0511")</f>
        <v>T0511</v>
      </c>
      <c r="C38" s="107" t="str">
        <f ca="1">IFERROR(__xludf.DUMMYFUNCTION("""COMPUTED_VALUE"""),"Proposed Selling Price (incl)")</f>
        <v>Proposed Selling Price (incl)</v>
      </c>
      <c r="D38" s="107" t="str">
        <f ca="1">IFERROR(__xludf.DUMMYFUNCTION("""COMPUTED_VALUE"""),"The proposed selling price for a product/service with VAT applied, but not rounding rules.")</f>
        <v>The proposed selling price for a product/service with VAT applied, but not rounding rules.</v>
      </c>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t="str">
        <f ca="1">IFERROR(__xludf.DUMMYFUNCTION("""COMPUTED_VALUE"""),"T0512")</f>
        <v>T0512</v>
      </c>
      <c r="C39" s="107" t="str">
        <f ca="1">IFERROR(__xludf.DUMMYFUNCTION("""COMPUTED_VALUE"""),"Selling Price (incl)")</f>
        <v>Selling Price (incl)</v>
      </c>
      <c r="D39" s="107" t="str">
        <f ca="1">IFERROR(__xludf.DUMMYFUNCTION("""COMPUTED_VALUE"""),"The proposed selling price (incl) for a product/service with the price rounding rules applied.")</f>
        <v>The proposed selling price (incl) for a product/service with the price rounding rules applied.</v>
      </c>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t="str">
        <f ca="1">IFERROR(__xludf.DUMMYFUNCTION("""COMPUTED_VALUE"""),"T0513")</f>
        <v>T0513</v>
      </c>
      <c r="C40" s="107" t="str">
        <f ca="1">IFERROR(__xludf.DUMMYFUNCTION("""COMPUTED_VALUE"""),"Selling Price (excl)")</f>
        <v>Selling Price (excl)</v>
      </c>
      <c r="D40" s="107" t="str">
        <f ca="1">IFERROR(__xludf.DUMMYFUNCTION("""COMPUTED_VALUE"""),"The selling price (incl) of a product/service, with the applicable VAT deducted.")</f>
        <v>The selling price (incl) of a product/service, with the applicable VAT deducted.</v>
      </c>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t="str">
        <f ca="1">IFERROR(__xludf.DUMMYFUNCTION("""COMPUTED_VALUE"""),"T0514")</f>
        <v>T0514</v>
      </c>
      <c r="C41" s="107" t="str">
        <f ca="1">IFERROR(__xludf.DUMMYFUNCTION("""COMPUTED_VALUE"""),"Promotional Price")</f>
        <v>Promotional Price</v>
      </c>
      <c r="D41" s="107" t="str">
        <f ca="1">IFERROR(__xludf.DUMMYFUNCTION("""COMPUTED_VALUE"""),"A temporary price (VAT inclusive) at which a product/service is to be sold, while that promotion is valid.")</f>
        <v>A temporary price (VAT inclusive) at which a product/service is to be sold, while that promotion is valid.</v>
      </c>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c r="B42" s="106" t="str">
        <f ca="1">IFERROR(__xludf.DUMMYFUNCTION("""COMPUTED_VALUE"""),"T0515")</f>
        <v>T0515</v>
      </c>
      <c r="C42" s="107" t="str">
        <f ca="1">IFERROR(__xludf.DUMMYFUNCTION("""COMPUTED_VALUE"""),"Price Of The Day / Ruling Price")</f>
        <v>Price Of The Day / Ruling Price</v>
      </c>
      <c r="D42" s="107" t="str">
        <f ca="1">IFERROR(__xludf.DUMMYFUNCTION("""COMPUTED_VALUE"""),"The effective selling price for a product/service at a given time and date, derived by overriding the selling price (incl) with the latest-starting promotional price.")</f>
        <v>The effective selling price for a product/service at a given time and date, derived by overriding the selling price (incl) with the latest-starting promotional price.</v>
      </c>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t="str">
        <f ca="1">IFERROR(__xludf.DUMMYFUNCTION("""COMPUTED_VALUE"""),"6 Special Content")</f>
        <v>6 Special Content</v>
      </c>
      <c r="B43" s="106" t="str">
        <f ca="1">IFERROR(__xludf.DUMMYFUNCTION("""COMPUTED_VALUE"""),"ReqID")</f>
        <v>ReqID</v>
      </c>
      <c r="C43" s="107" t="str">
        <f ca="1">IFERROR(__xludf.DUMMYFUNCTION("""COMPUTED_VALUE"""),"6 Special Content")</f>
        <v>6 Special Content</v>
      </c>
      <c r="D43" s="107" t="str">
        <f ca="1">IFERROR(__xludf.DUMMYFUNCTION("""COMPUTED_VALUE"""),"Description")</f>
        <v>Description</v>
      </c>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t="str">
        <f ca="1">IFERROR(__xludf.DUMMYFUNCTION("""COMPUTED_VALUE"""),"T0601")</f>
        <v>T0601</v>
      </c>
      <c r="C44" s="107" t="str">
        <f ca="1">IFERROR(__xludf.DUMMYFUNCTION("""COMPUTED_VALUE"""),"Special Content")</f>
        <v>Special Content</v>
      </c>
      <c r="D44" s="107" t="str">
        <f ca="1">IFERROR(__xludf.DUMMYFUNCTION("""COMPUTED_VALUE"""),"Content being presented on the website as value-add information for customers. It may be in the form of an article, or a checklist.
All special content has publishing and customer-relevance criteria assigned, used to ensure it is presented to relevant cus"&amp;"tomers.")</f>
        <v>Content being presented on the website as value-add information for customers. It may be in the form of an article, or a checklist.
All special content has publishing and customer-relevance criteria assigned, used to ensure it is presented to relevant customers.</v>
      </c>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t="str">
        <f ca="1">IFERROR(__xludf.DUMMYFUNCTION("""COMPUTED_VALUE"""),"T0602")</f>
        <v>T0602</v>
      </c>
      <c r="C45" s="107" t="str">
        <f ca="1">IFERROR(__xludf.DUMMYFUNCTION("""COMPUTED_VALUE"""),"Article")</f>
        <v>Article</v>
      </c>
      <c r="D45" s="107" t="str">
        <f ca="1">IFERROR(__xludf.DUMMYFUNCTION("""COMPUTED_VALUE"""),"An article contains formatted text and images that support the article topic.")</f>
        <v>An article contains formatted text and images that support the article topic.</v>
      </c>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t="str">
        <f ca="1">IFERROR(__xludf.DUMMYFUNCTION("""COMPUTED_VALUE"""),"T0603")</f>
        <v>T0603</v>
      </c>
      <c r="C46" s="107" t="str">
        <f ca="1">IFERROR(__xludf.DUMMYFUNCTION("""COMPUTED_VALUE"""),"Checklist")</f>
        <v>Checklist</v>
      </c>
      <c r="D46" s="107" t="str">
        <f ca="1">IFERROR(__xludf.DUMMYFUNCTION("""COMPUTED_VALUE"""),"A checklist is an article that also contains a specific list of products, product types and/or tasks that are relevant to that article.")</f>
        <v>A checklist is an article that also contains a specific list of products, product types and/or tasks that are relevant to that article.</v>
      </c>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t="str">
        <f ca="1">IFERROR(__xludf.DUMMYFUNCTION("""COMPUTED_VALUE"""),"T0604")</f>
        <v>T0604</v>
      </c>
      <c r="C47" s="107" t="str">
        <f ca="1">IFERROR(__xludf.DUMMYFUNCTION("""COMPUTED_VALUE"""),"Checklist task item")</f>
        <v>Checklist task item</v>
      </c>
      <c r="D47" s="107" t="str">
        <f ca="1">IFERROR(__xludf.DUMMYFUNCTION("""COMPUTED_VALUE"""),"A checklist item with a subject and supporting explanatory text.")</f>
        <v>A checklist item with a subject and supporting explanatory text.</v>
      </c>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t="str">
        <f ca="1">IFERROR(__xludf.DUMMYFUNCTION("""COMPUTED_VALUE"""),"T0605")</f>
        <v>T0605</v>
      </c>
      <c r="C48" s="107" t="str">
        <f ca="1">IFERROR(__xludf.DUMMYFUNCTION("""COMPUTED_VALUE"""),"Checklist article item")</f>
        <v>Checklist article item</v>
      </c>
      <c r="D48" s="107" t="str">
        <f ca="1">IFERROR(__xludf.DUMMYFUNCTION("""COMPUTED_VALUE"""),"A checklist task item with a link to a specific product.")</f>
        <v>A checklist task item with a link to a specific product.</v>
      </c>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t="str">
        <f ca="1">IFERROR(__xludf.DUMMYFUNCTION("""COMPUTED_VALUE"""),"T0606")</f>
        <v>T0606</v>
      </c>
      <c r="C49" s="107" t="str">
        <f ca="1">IFERROR(__xludf.DUMMYFUNCTION("""COMPUTED_VALUE"""),"Checklist article type item")</f>
        <v>Checklist article type item</v>
      </c>
      <c r="D49" s="107" t="str">
        <f ca="1">IFERROR(__xludf.DUMMYFUNCTION("""COMPUTED_VALUE"""),"A checklist task item with a link to perform a pre-defined search.")</f>
        <v>A checklist task item with a link to perform a pre-defined search.</v>
      </c>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t="str">
        <f ca="1">IFERROR(__xludf.DUMMYFUNCTION("""COMPUTED_VALUE"""),"7 Technology")</f>
        <v>7 Technology</v>
      </c>
      <c r="B50" s="106" t="str">
        <f ca="1">IFERROR(__xludf.DUMMYFUNCTION("""COMPUTED_VALUE"""),"ReqID")</f>
        <v>ReqID</v>
      </c>
      <c r="C50" s="107" t="str">
        <f ca="1">IFERROR(__xludf.DUMMYFUNCTION("""COMPUTED_VALUE"""),"7 Technology")</f>
        <v>7 Technology</v>
      </c>
      <c r="D50" s="107" t="str">
        <f ca="1">IFERROR(__xludf.DUMMYFUNCTION("""COMPUTED_VALUE"""),"Description")</f>
        <v>Description</v>
      </c>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c r="B51" s="106" t="str">
        <f ca="1">IFERROR(__xludf.DUMMYFUNCTION("""COMPUTED_VALUE"""),"T0701")</f>
        <v>T0701</v>
      </c>
      <c r="C51" s="107" t="str">
        <f ca="1">IFERROR(__xludf.DUMMYFUNCTION("""COMPUTED_VALUE"""),"CTI")</f>
        <v>CTI</v>
      </c>
      <c r="D51" s="107" t="str">
        <f ca="1">IFERROR(__xludf.DUMMYFUNCTION("""COMPUTED_VALUE"""),"Computer technology integration
Computer telephony integration, also called computer–telephone integration or CTI, is a common name for any technology that allows interactions on a telephone and a computer to be integrated or coordinated.
Reference: https"&amp;"://en.wikipedia.org/wiki/Computer_telephony_integration")</f>
        <v>Computer technology integration
Computer telephony integration, also called computer–telephone integration or CTI, is a common name for any technology that allows interactions on a telephone and a computer to be integrated or coordinated.
Reference: https://en.wikipedia.org/wiki/Computer_telephony_integration</v>
      </c>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t="str">
        <f ca="1">IFERROR(__xludf.DUMMYFUNCTION("""COMPUTED_VALUE"""),"T0702")</f>
        <v>T0702</v>
      </c>
      <c r="C52" s="107" t="str">
        <f ca="1">IFERROR(__xludf.DUMMYFUNCTION("""COMPUTED_VALUE"""),"EDI")</f>
        <v>EDI</v>
      </c>
      <c r="D52" s="107" t="str">
        <f ca="1">IFERROR(__xludf.DUMMYFUNCTION("""COMPUTED_VALUE"""),"Electronic data interchange
Electronic data interchange is the concept of businesses electronically communicating information that was traditionally communicated on paper, such as purchase orders and invoices. Technical standards for EDI exist to facilita"&amp;"te parties transacting such instruments without having to make special arrangements.
Reference: https://en.wikipedia.org/wiki/Electronic_data_interchange")</f>
        <v>Electronic data interchange
Electronic data interchange is the concept of businesses electronically communicating information that was traditionally communicated on paper, such as purchase orders and invoices. Technical standards for EDI exist to facilitate parties transacting such instruments without having to make special arrangements.
Reference: https://en.wikipedia.org/wiki/Electronic_data_interchange</v>
      </c>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t="str">
        <f ca="1">IFERROR(__xludf.DUMMYFUNCTION("""COMPUTED_VALUE"""),"T0703")</f>
        <v>T0703</v>
      </c>
      <c r="C53" s="107" t="str">
        <f ca="1">IFERROR(__xludf.DUMMYFUNCTION("""COMPUTED_VALUE"""),"Faceted Search")</f>
        <v>Faceted Search</v>
      </c>
      <c r="D53" s="107" t="str">
        <f ca="1">IFERROR(__xludf.DUMMYFUNCTION("""COMPUTED_VALUE"""),"Faceted search is a technique which involves augmenting traditional search techniques with a faceted navigation system, allowing users to narrow down search results by applying multiple filters based on faceted classification of the items.
Reference: http"&amp;"s://en.wikipedia.org/wiki/Faceted_search
")</f>
        <v xml:space="preserve">Faceted search is a technique which involves augmenting traditional search techniques with a faceted navigation system, allowing users to narrow down search results by applying multiple filters based on faceted classification of the items.
Reference: https://en.wikipedia.org/wiki/Faceted_search
</v>
      </c>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c r="C54" s="107"/>
      <c r="D54" s="107"/>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c r="C55" s="107"/>
      <c r="D55" s="107"/>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c r="C56" s="107"/>
      <c r="D56" s="107"/>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c r="C57" s="107"/>
      <c r="D57" s="107"/>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c r="C58" s="107"/>
      <c r="D58" s="107"/>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c r="C59" s="107"/>
      <c r="D59" s="107"/>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c r="C60" s="107"/>
      <c r="D60" s="107"/>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c r="C61" s="107"/>
      <c r="D61" s="107"/>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c r="C62" s="107"/>
      <c r="D62" s="107"/>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c r="C63" s="107"/>
      <c r="D63" s="107"/>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c r="B64" s="106"/>
      <c r="C64" s="107"/>
      <c r="D64" s="107"/>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c r="C65" s="107"/>
      <c r="D65" s="107"/>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c r="C66" s="107"/>
      <c r="D66" s="107"/>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c r="C67" s="107"/>
      <c r="D67" s="107"/>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c r="C68" s="107"/>
      <c r="D68" s="107"/>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c r="C69" s="107"/>
      <c r="D69" s="107"/>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c r="C70" s="107"/>
      <c r="D70" s="107"/>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c r="C71" s="107"/>
      <c r="D71" s="107"/>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c r="B72" s="106"/>
      <c r="C72" s="107"/>
      <c r="D72" s="107"/>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c r="C73" s="107"/>
      <c r="D73" s="107"/>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c r="C74" s="107"/>
      <c r="D74" s="107"/>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c r="B75" s="106"/>
      <c r="C75" s="107"/>
      <c r="D75" s="107"/>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c r="C76" s="107"/>
      <c r="D76" s="107"/>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c r="C77" s="107"/>
      <c r="D77" s="107"/>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c r="B78" s="106"/>
      <c r="C78" s="107"/>
      <c r="D78" s="107"/>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c r="C79" s="107"/>
      <c r="D79" s="107"/>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c r="C80" s="107"/>
      <c r="D80" s="107"/>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c r="C81" s="107"/>
      <c r="D81" s="107"/>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c r="B82" s="106"/>
      <c r="C82" s="107"/>
      <c r="D82" s="107"/>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c r="C83" s="107"/>
      <c r="D83" s="107"/>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c r="C84" s="107"/>
      <c r="D84" s="107"/>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c r="C85" s="107"/>
      <c r="D85" s="107"/>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c r="C86" s="107"/>
      <c r="D86" s="107"/>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c r="C87" s="107"/>
      <c r="D87" s="107"/>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c r="C88" s="107"/>
      <c r="D88" s="107"/>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c r="C89" s="107"/>
      <c r="D89" s="107"/>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c r="C90" s="107"/>
      <c r="D90" s="107"/>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c r="C91" s="107"/>
      <c r="D91" s="107"/>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c r="C92" s="107"/>
      <c r="D92" s="107"/>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c r="C93" s="107"/>
      <c r="D93" s="107"/>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c r="B94" s="106"/>
      <c r="C94" s="107"/>
      <c r="D94" s="107"/>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c r="C95" s="107"/>
      <c r="D95" s="107"/>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c r="C96" s="107"/>
      <c r="D96" s="107"/>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c r="C97" s="107"/>
      <c r="D97" s="107"/>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c r="C98" s="107"/>
      <c r="D98" s="107"/>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c r="C99" s="107"/>
      <c r="D99" s="107"/>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c r="C100" s="107"/>
      <c r="D100" s="107"/>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c r="C101" s="107"/>
      <c r="D101" s="107"/>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c r="C102" s="107"/>
      <c r="D102" s="107"/>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c r="C103" s="107"/>
      <c r="D103" s="107"/>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c r="B104" s="106"/>
      <c r="C104" s="107"/>
      <c r="D104" s="107"/>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c r="C105" s="107"/>
      <c r="D105" s="107"/>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c r="C106" s="107"/>
      <c r="D106" s="107"/>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c r="C107" s="107"/>
      <c r="D107" s="107"/>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c r="C108" s="107"/>
      <c r="D108" s="107"/>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c r="C109" s="107"/>
      <c r="D109" s="107"/>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c r="C110" s="107"/>
      <c r="D110" s="107"/>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c r="C111" s="107"/>
      <c r="D111" s="107"/>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c r="C112" s="107"/>
      <c r="D112" s="107"/>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c r="C113" s="107"/>
      <c r="D113" s="107"/>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c r="C114" s="107"/>
      <c r="D114" s="107"/>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c r="C115" s="107"/>
      <c r="D115" s="107"/>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c r="C116" s="107"/>
      <c r="D116" s="107"/>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c r="C117" s="107"/>
      <c r="D117" s="107"/>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c r="C118" s="107"/>
      <c r="D118" s="107"/>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c r="B119" s="106"/>
      <c r="C119" s="107"/>
      <c r="D119" s="107"/>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c r="C120" s="107"/>
      <c r="D120" s="107"/>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c r="C121" s="107"/>
      <c r="D121" s="107"/>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c r="C122" s="107"/>
      <c r="D122" s="107"/>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c r="C123" s="107"/>
      <c r="D123" s="107"/>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c r="C124" s="107"/>
      <c r="D124" s="107"/>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c r="B125" s="106"/>
      <c r="C125" s="107"/>
      <c r="D125" s="107"/>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c r="C126" s="107"/>
      <c r="D126" s="107"/>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c r="C127" s="107"/>
      <c r="D127" s="107"/>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c r="C128" s="107"/>
      <c r="D128" s="107"/>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c r="C129" s="107"/>
      <c r="D129" s="107"/>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c r="B130" s="106"/>
      <c r="C130" s="107"/>
      <c r="D130" s="107"/>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c r="C131" s="107"/>
      <c r="D131" s="107"/>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c r="C132" s="107"/>
      <c r="D132" s="107"/>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c r="C133" s="107"/>
      <c r="D133" s="107"/>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c r="C134" s="107"/>
      <c r="D134" s="107"/>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c r="B135" s="106"/>
      <c r="C135" s="107"/>
      <c r="D135" s="107"/>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c r="C136" s="107"/>
      <c r="D136" s="107"/>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c r="C137" s="107"/>
      <c r="D137" s="107"/>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c r="C138" s="107"/>
      <c r="D138" s="107"/>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c r="C139" s="107"/>
      <c r="D139" s="107"/>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c r="C140" s="107"/>
      <c r="D140" s="107"/>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c r="C141" s="107"/>
      <c r="D141" s="107"/>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c r="B142" s="106"/>
      <c r="C142" s="107"/>
      <c r="D142" s="107"/>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c r="C143" s="107"/>
      <c r="D143" s="107"/>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c r="C144" s="107"/>
      <c r="D144" s="107"/>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c r="C145" s="107"/>
      <c r="D145" s="107"/>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c r="C146" s="107"/>
      <c r="D146" s="107"/>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c r="B147" s="106"/>
      <c r="C147" s="107"/>
      <c r="D147" s="107"/>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c r="C148" s="107"/>
      <c r="D148" s="107"/>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c r="C149" s="107"/>
      <c r="D149" s="107"/>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c r="C150" s="107"/>
      <c r="D150" s="107"/>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c r="C151" s="107"/>
      <c r="D151" s="107"/>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c r="C152" s="107"/>
      <c r="D152" s="107"/>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c r="C153" s="107"/>
      <c r="D153" s="107"/>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c r="C154" s="107"/>
      <c r="D154" s="107"/>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c r="B155" s="106"/>
      <c r="C155" s="107"/>
      <c r="D155" s="107"/>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c r="C156" s="107"/>
      <c r="D156" s="107"/>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c r="C157" s="107"/>
      <c r="D157" s="107"/>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c r="C158" s="107"/>
      <c r="D158" s="107"/>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c r="C159" s="107"/>
      <c r="D159" s="107"/>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c r="C160" s="107"/>
      <c r="D160" s="107"/>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c r="C161" s="107"/>
      <c r="D161" s="107"/>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c r="B162" s="106"/>
      <c r="C162" s="107"/>
      <c r="D162" s="107"/>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c r="C163" s="107"/>
      <c r="D163" s="107"/>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c r="C164" s="107"/>
      <c r="D164" s="107"/>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c r="B165" s="106"/>
      <c r="C165" s="107"/>
      <c r="D165" s="107"/>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c r="C166" s="107"/>
      <c r="D166" s="107"/>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c r="C167" s="107"/>
      <c r="D167" s="107"/>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c r="C168" s="107"/>
      <c r="D168" s="107"/>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c r="C169" s="107"/>
      <c r="D169" s="107"/>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c r="C170" s="107"/>
      <c r="D170" s="107"/>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c r="C171" s="107"/>
      <c r="D171" s="107"/>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c r="C172" s="107"/>
      <c r="D172" s="107"/>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c r="C173" s="107"/>
      <c r="D173" s="107"/>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c r="C174" s="107"/>
      <c r="D174" s="107"/>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c r="C175" s="107"/>
      <c r="D175" s="107"/>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c r="C176" s="107"/>
      <c r="D176" s="107"/>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c r="B177" s="106"/>
      <c r="C177" s="107"/>
      <c r="D177" s="107"/>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c r="C178" s="107"/>
      <c r="D178" s="107"/>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c r="C179" s="107"/>
      <c r="D179" s="107"/>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c r="C180" s="107"/>
      <c r="D180" s="107"/>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c r="C181" s="107"/>
      <c r="D181" s="107"/>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c r="B182" s="106"/>
      <c r="C182" s="107"/>
      <c r="D182" s="107"/>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c r="C183" s="107"/>
      <c r="D183" s="107"/>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c r="C184" s="107"/>
      <c r="D184" s="107"/>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c r="C185" s="107"/>
      <c r="D185" s="107"/>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c r="C186" s="107"/>
      <c r="D186" s="107"/>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c r="C187" s="107"/>
      <c r="D187" s="107"/>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c r="C188" s="107"/>
      <c r="D188" s="107"/>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c r="C189" s="107"/>
      <c r="D189" s="107"/>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c r="B190" s="106"/>
      <c r="C190" s="107"/>
      <c r="D190" s="107"/>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c r="C191" s="107"/>
      <c r="D191" s="107"/>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c r="B192" s="106"/>
      <c r="C192" s="107"/>
      <c r="D192" s="107"/>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c r="C193" s="107"/>
      <c r="D193" s="107"/>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c r="C194" s="107"/>
      <c r="D194" s="107"/>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c r="C195" s="107"/>
      <c r="D195" s="107"/>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c r="C196" s="107"/>
      <c r="D196" s="107"/>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c r="C197" s="107"/>
      <c r="D197" s="107"/>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c r="B198" s="106"/>
      <c r="C198" s="107"/>
      <c r="D198" s="107"/>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c r="C199" s="107"/>
      <c r="D199" s="107"/>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c r="C200" s="107"/>
      <c r="D200" s="107"/>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c r="C201" s="107"/>
      <c r="D201" s="107"/>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D500">
    <cfRule type="expression" dxfId="1" priority="1">
      <formula>(LEN($A1)&gt;0)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4140625" defaultRowHeight="15.75" customHeight="1" x14ac:dyDescent="0.25"/>
  <cols>
    <col min="1" max="1" width="46" customWidth="1"/>
    <col min="2" max="2" width="11.5546875" customWidth="1"/>
    <col min="3" max="3" width="21.109375" customWidth="1"/>
    <col min="4" max="4" width="57.88671875" customWidth="1"/>
  </cols>
  <sheetData>
    <row r="1" spans="1:26" x14ac:dyDescent="0.25">
      <c r="A1" s="103" t="str">
        <f ca="1">IFERROR(__xludf.DUMMYFUNCTION("if(iserror(Mindmap!$A$2),""no data"", query(Requirements!$C1:$X2200,""Select N,O,P,T where H=""&amp; Preferences!$E$17&amp;"" and (C=2 or C=3)""))"),"Requirement Subject")</f>
        <v>Requirement Subject</v>
      </c>
      <c r="B1" s="104" t="str">
        <f ca="1">IFERROR(__xludf.DUMMYFUNCTION("""COMPUTED_VALUE"""),"ReqID")</f>
        <v>ReqID</v>
      </c>
      <c r="C1" s="105" t="str">
        <f ca="1">IFERROR(__xludf.DUMMYFUNCTION("""COMPUTED_VALUE"""),"Requirement")</f>
        <v>Requirement</v>
      </c>
      <c r="D1" s="105" t="str">
        <f ca="1">IFERROR(__xludf.DUMMYFUNCTION("""COMPUTED_VALUE"""),"Description")</f>
        <v>Description</v>
      </c>
      <c r="E1" s="42"/>
      <c r="F1" s="42"/>
      <c r="G1" s="42"/>
      <c r="H1" s="42"/>
      <c r="I1" s="42"/>
      <c r="J1" s="42"/>
      <c r="K1" s="42"/>
      <c r="L1" s="42"/>
      <c r="M1" s="42"/>
      <c r="N1" s="42"/>
      <c r="O1" s="42"/>
      <c r="P1" s="42"/>
      <c r="Q1" s="42"/>
      <c r="R1" s="42"/>
      <c r="S1" s="42"/>
      <c r="T1" s="42"/>
      <c r="U1" s="42"/>
      <c r="V1" s="42"/>
      <c r="W1" s="42"/>
      <c r="X1" s="42"/>
      <c r="Y1" s="42"/>
      <c r="Z1" s="42"/>
    </row>
    <row r="2" spans="1:26" x14ac:dyDescent="0.25">
      <c r="A2" s="103" t="str">
        <f ca="1">IFERROR(__xludf.DUMMYFUNCTION("""COMPUTED_VALUE"""),"1 Constraints, Assumptions, Issues, Risks")</f>
        <v>1 Constraints, Assumptions, Issues, Risks</v>
      </c>
      <c r="B2" s="106" t="str">
        <f ca="1">IFERROR(__xludf.DUMMYFUNCTION("""COMPUTED_VALUE"""),"ReqID")</f>
        <v>ReqID</v>
      </c>
      <c r="C2" s="107"/>
      <c r="D2" s="107" t="str">
        <f ca="1">IFERROR(__xludf.DUMMYFUNCTION("""COMPUTED_VALUE"""),"Description")</f>
        <v>Description</v>
      </c>
      <c r="E2" s="42"/>
      <c r="F2" s="42"/>
      <c r="G2" s="42"/>
      <c r="H2" s="42"/>
      <c r="I2" s="42"/>
      <c r="J2" s="42"/>
      <c r="K2" s="42"/>
      <c r="L2" s="42"/>
      <c r="M2" s="42"/>
      <c r="N2" s="42"/>
      <c r="O2" s="42"/>
      <c r="P2" s="42"/>
      <c r="Q2" s="42"/>
      <c r="R2" s="42"/>
      <c r="S2" s="42"/>
      <c r="T2" s="42"/>
      <c r="U2" s="42"/>
      <c r="V2" s="42"/>
      <c r="W2" s="42"/>
      <c r="X2" s="42"/>
      <c r="Y2" s="42"/>
      <c r="Z2" s="42"/>
    </row>
    <row r="3" spans="1:26" x14ac:dyDescent="0.25">
      <c r="A3" s="103"/>
      <c r="B3" s="106" t="str">
        <f ca="1">IFERROR(__xludf.DUMMYFUNCTION("""COMPUTED_VALUE"""),"DR0101")</f>
        <v>DR0101</v>
      </c>
      <c r="C3" s="107" t="str">
        <f ca="1">IFERROR(__xludf.DUMMYFUNCTION("""COMPUTED_VALUE"""),"Constraints")</f>
        <v>Constraints</v>
      </c>
      <c r="D3" s="107" t="str">
        <f ca="1">IFERROR(__xludf.DUMMYFUNCTION("""COMPUTED_VALUE""")," 1. The ability to deliver the solution is subject to the availability of the resources of the Shoprite IT and related software service providers required to deliver the solution.
 2. The business solution will only implement capabilities that are availab"&amp;"le in the chosen IT systems and technologies.
 3. Communication with suppliers will be automated by using systems integration technologies that meet Shoprite standards.
 4. Communication with couriers will be automated by using systems integration technol"&amp;"ogies that meet Shoprite standards.")</f>
        <v xml:space="preserve"> 1. The ability to deliver the solution is subject to the availability of the resources of the Shoprite IT and related software service providers required to deliver the solution.
 2. The business solution will only implement capabilities that are available in the chosen IT systems and technologies.
 3. Communication with suppliers will be automated by using systems integration technologies that meet Shoprite standards.
 4. Communication with couriers will be automated by using systems integration technologies that meet Shoprite standards.</v>
      </c>
      <c r="E3" s="42"/>
      <c r="F3" s="42"/>
      <c r="G3" s="42"/>
      <c r="H3" s="42"/>
      <c r="I3" s="42"/>
      <c r="J3" s="42"/>
      <c r="K3" s="42"/>
      <c r="L3" s="42"/>
      <c r="M3" s="42"/>
      <c r="N3" s="42"/>
      <c r="O3" s="42"/>
      <c r="P3" s="42"/>
      <c r="Q3" s="42"/>
      <c r="R3" s="42"/>
      <c r="S3" s="42"/>
      <c r="T3" s="42"/>
      <c r="U3" s="42"/>
      <c r="V3" s="42"/>
      <c r="W3" s="42"/>
      <c r="X3" s="42"/>
      <c r="Y3" s="42"/>
      <c r="Z3" s="42"/>
    </row>
    <row r="4" spans="1:26" x14ac:dyDescent="0.25">
      <c r="A4" s="103"/>
      <c r="B4" s="106" t="str">
        <f ca="1">IFERROR(__xludf.DUMMYFUNCTION("""COMPUTED_VALUE"""),"DR0102")</f>
        <v>DR0102</v>
      </c>
      <c r="C4" s="107" t="str">
        <f ca="1">IFERROR(__xludf.DUMMYFUNCTION("""COMPUTED_VALUE"""),"Assumptions")</f>
        <v>Assumptions</v>
      </c>
      <c r="D4" s="107" t="str">
        <f ca="1">IFERROR(__xludf.DUMMYFUNCTION("""COMPUTED_VALUE""")," 1. Each B2C Co product will be supplied by a specific supplier (not multiple sources).")</f>
        <v xml:space="preserve"> 1. Each B2C Co product will be supplied by a specific supplier (not multiple sources).</v>
      </c>
      <c r="E4" s="42"/>
      <c r="F4" s="42"/>
      <c r="G4" s="42"/>
      <c r="H4" s="42"/>
      <c r="I4" s="42"/>
      <c r="J4" s="42"/>
      <c r="K4" s="42"/>
      <c r="L4" s="42"/>
      <c r="M4" s="42"/>
      <c r="N4" s="42"/>
      <c r="O4" s="42"/>
      <c r="P4" s="42"/>
      <c r="Q4" s="42"/>
      <c r="R4" s="42"/>
      <c r="S4" s="42"/>
      <c r="T4" s="42"/>
      <c r="U4" s="42"/>
      <c r="V4" s="42"/>
      <c r="W4" s="42"/>
      <c r="X4" s="42"/>
      <c r="Y4" s="42"/>
      <c r="Z4" s="42"/>
    </row>
    <row r="5" spans="1:26" x14ac:dyDescent="0.25">
      <c r="A5" s="103"/>
      <c r="B5" s="106" t="str">
        <f ca="1">IFERROR(__xludf.DUMMYFUNCTION("""COMPUTED_VALUE"""),"DR0103")</f>
        <v>DR0103</v>
      </c>
      <c r="C5" s="107" t="str">
        <f ca="1">IFERROR(__xludf.DUMMYFUNCTION("""COMPUTED_VALUE"""),"Issues")</f>
        <v>Issues</v>
      </c>
      <c r="D5" s="107" t="str">
        <f ca="1">IFERROR(__xludf.DUMMYFUNCTION("""COMPUTED_VALUE""")," 1. To limit/prevent possible market cannibalisation of the market, the envisaged brand and how it fits into the bigger Shoprite strategic roadmap will have to be agreed with Shoprite senior management.
 2. In order to provide a minimum viable solution in"&amp;" as short a time as possible, the capabilities and functions required for the business solution will have to be prioritised (extending capabilities and functions in an agreed roadmap and maturing over time).
 3. In order to be able to deliver the solution"&amp;", budget allocation and delivery prioritisation will have to be agreed with Shoprite senior management.")</f>
        <v xml:space="preserve"> 1. To limit/prevent possible market cannibalisation of the market, the envisaged brand and how it fits into the bigger Shoprite strategic roadmap will have to be agreed with Shoprite senior management.
 2. In order to provide a minimum viable solution in as short a time as possible, the capabilities and functions required for the business solution will have to be prioritised (extending capabilities and functions in an agreed roadmap and maturing over time).
 3. In order to be able to deliver the solution, budget allocation and delivery prioritisation will have to be agreed with Shoprite senior management.</v>
      </c>
      <c r="E5" s="42"/>
      <c r="F5" s="42"/>
      <c r="G5" s="42"/>
      <c r="H5" s="42"/>
      <c r="I5" s="42"/>
      <c r="J5" s="42"/>
      <c r="K5" s="42"/>
      <c r="L5" s="42"/>
      <c r="M5" s="42"/>
      <c r="N5" s="42"/>
      <c r="O5" s="42"/>
      <c r="P5" s="42"/>
      <c r="Q5" s="42"/>
      <c r="R5" s="42"/>
      <c r="S5" s="42"/>
      <c r="T5" s="42"/>
      <c r="U5" s="42"/>
      <c r="V5" s="42"/>
      <c r="W5" s="42"/>
      <c r="X5" s="42"/>
      <c r="Y5" s="42"/>
      <c r="Z5" s="42"/>
    </row>
    <row r="6" spans="1:26" x14ac:dyDescent="0.25">
      <c r="A6" s="103"/>
      <c r="B6" s="106" t="str">
        <f ca="1">IFERROR(__xludf.DUMMYFUNCTION("""COMPUTED_VALUE"""),"DR0104")</f>
        <v>DR0104</v>
      </c>
      <c r="C6" s="107" t="str">
        <f ca="1">IFERROR(__xludf.DUMMYFUNCTION("""COMPUTED_VALUE"""),"Risks")</f>
        <v>Risks</v>
      </c>
      <c r="D6" s="107" t="str">
        <f ca="1">IFERROR(__xludf.DUMMYFUNCTION("""COMPUTED_VALUE""")," 1. The initiative may be merged into a bigger Shoprite initiative focused on the same/similar market.
 2. The initiative may be delayed due to it not being prioritised for the 20201 financial year.")</f>
        <v xml:space="preserve"> 1. The initiative may be merged into a bigger Shoprite initiative focused on the same/similar market.
 2. The initiative may be delayed due to it not being prioritised for the 20201 financial year.</v>
      </c>
      <c r="E6" s="42"/>
      <c r="F6" s="42"/>
      <c r="G6" s="42"/>
      <c r="H6" s="42"/>
      <c r="I6" s="42"/>
      <c r="J6" s="42"/>
      <c r="K6" s="42"/>
      <c r="L6" s="42"/>
      <c r="M6" s="42"/>
      <c r="N6" s="42"/>
      <c r="O6" s="42"/>
      <c r="P6" s="42"/>
      <c r="Q6" s="42"/>
      <c r="R6" s="42"/>
      <c r="S6" s="42"/>
      <c r="T6" s="42"/>
      <c r="U6" s="42"/>
      <c r="V6" s="42"/>
      <c r="W6" s="42"/>
      <c r="X6" s="42"/>
      <c r="Y6" s="42"/>
      <c r="Z6" s="42"/>
    </row>
    <row r="7" spans="1:26" x14ac:dyDescent="0.25">
      <c r="A7" s="103"/>
      <c r="B7" s="106" t="str">
        <f ca="1">IFERROR(__xludf.DUMMYFUNCTION("""COMPUTED_VALUE"""),"DR0105")</f>
        <v>DR0105</v>
      </c>
      <c r="C7" s="107" t="str">
        <f ca="1">IFERROR(__xludf.DUMMYFUNCTION("""COMPUTED_VALUE"""),"Organisational Change")</f>
        <v>Organisational Change</v>
      </c>
      <c r="D7" s="107" t="str">
        <f ca="1">IFERROR(__xludf.DUMMYFUNCTION("""COMPUTED_VALUE""")," 1. This is a new business being established, to operate in South Africa.
 2. Initially, the business will be supported by existing Transpharm staff in the following areas:
	• Contact centre
	• Buying
	• Marketing
	• Operations
	• Finance
	• HR
 3. The fo"&amp;"llowing key positions will require dedicated staff:
	• Buyer
	• Marketing
")</f>
        <v xml:space="preserve"> 1. This is a new business being established, to operate in South Africa.
 2. Initially, the business will be supported by existing Transpharm staff in the following areas:
	• Contact centre
	• Buying
	• Marketing
	• Operations
	• Finance
	• HR
 3. The following key positions will require dedicated staff:
	• Buyer
	• Marketing
</v>
      </c>
      <c r="E7" s="42"/>
      <c r="F7" s="42"/>
      <c r="G7" s="42"/>
      <c r="H7" s="42"/>
      <c r="I7" s="42"/>
      <c r="J7" s="42"/>
      <c r="K7" s="42"/>
      <c r="L7" s="42"/>
      <c r="M7" s="42"/>
      <c r="N7" s="42"/>
      <c r="O7" s="42"/>
      <c r="P7" s="42"/>
      <c r="Q7" s="42"/>
      <c r="R7" s="42"/>
      <c r="S7" s="42"/>
      <c r="T7" s="42"/>
      <c r="U7" s="42"/>
      <c r="V7" s="42"/>
      <c r="W7" s="42"/>
      <c r="X7" s="42"/>
      <c r="Y7" s="42"/>
      <c r="Z7" s="42"/>
    </row>
    <row r="8" spans="1:26" x14ac:dyDescent="0.25">
      <c r="A8" s="103"/>
      <c r="B8" s="106"/>
      <c r="C8" s="107"/>
      <c r="D8" s="107"/>
      <c r="E8" s="42"/>
      <c r="F8" s="42"/>
      <c r="G8" s="42"/>
      <c r="H8" s="42"/>
      <c r="I8" s="42"/>
      <c r="J8" s="42"/>
      <c r="K8" s="42"/>
      <c r="L8" s="42"/>
      <c r="M8" s="42"/>
      <c r="N8" s="42"/>
      <c r="O8" s="42"/>
      <c r="P8" s="42"/>
      <c r="Q8" s="42"/>
      <c r="R8" s="42"/>
      <c r="S8" s="42"/>
      <c r="T8" s="42"/>
      <c r="U8" s="42"/>
      <c r="V8" s="42"/>
      <c r="W8" s="42"/>
      <c r="X8" s="42"/>
      <c r="Y8" s="42"/>
      <c r="Z8" s="42"/>
    </row>
    <row r="9" spans="1:26" x14ac:dyDescent="0.25">
      <c r="A9" s="103"/>
      <c r="B9" s="106"/>
      <c r="C9" s="107"/>
      <c r="D9" s="107"/>
      <c r="E9" s="42"/>
      <c r="F9" s="42"/>
      <c r="G9" s="42"/>
      <c r="H9" s="42"/>
      <c r="I9" s="42"/>
      <c r="J9" s="42"/>
      <c r="K9" s="42"/>
      <c r="L9" s="42"/>
      <c r="M9" s="42"/>
      <c r="N9" s="42"/>
      <c r="O9" s="42"/>
      <c r="P9" s="42"/>
      <c r="Q9" s="42"/>
      <c r="R9" s="42"/>
      <c r="S9" s="42"/>
      <c r="T9" s="42"/>
      <c r="U9" s="42"/>
      <c r="V9" s="42"/>
      <c r="W9" s="42"/>
      <c r="X9" s="42"/>
      <c r="Y9" s="42"/>
      <c r="Z9" s="42"/>
    </row>
    <row r="10" spans="1:26" x14ac:dyDescent="0.25">
      <c r="A10" s="103"/>
      <c r="B10" s="106"/>
      <c r="C10" s="107"/>
      <c r="D10" s="107"/>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103"/>
      <c r="B11" s="106"/>
      <c r="C11" s="107"/>
      <c r="D11" s="107"/>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103"/>
      <c r="B12" s="106"/>
      <c r="C12" s="107"/>
      <c r="D12" s="107"/>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103"/>
      <c r="B13" s="106"/>
      <c r="C13" s="107"/>
      <c r="D13" s="107"/>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103"/>
      <c r="B14" s="106"/>
      <c r="C14" s="107"/>
      <c r="D14" s="107"/>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103"/>
      <c r="B15" s="106"/>
      <c r="C15" s="107"/>
      <c r="D15" s="107"/>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103"/>
      <c r="B16" s="106"/>
      <c r="C16" s="107"/>
      <c r="D16" s="107"/>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103"/>
      <c r="B17" s="106"/>
      <c r="C17" s="107"/>
      <c r="D17" s="107"/>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03"/>
      <c r="B18" s="106"/>
      <c r="C18" s="107"/>
      <c r="D18" s="107"/>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103"/>
      <c r="B19" s="106"/>
      <c r="C19" s="107"/>
      <c r="D19" s="107"/>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103"/>
      <c r="B20" s="106"/>
      <c r="C20" s="107"/>
      <c r="D20" s="107"/>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103"/>
      <c r="B21" s="106"/>
      <c r="C21" s="107"/>
      <c r="D21" s="107"/>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03"/>
      <c r="B22" s="106"/>
      <c r="C22" s="107"/>
      <c r="D22" s="107"/>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03"/>
      <c r="B23" s="106"/>
      <c r="C23" s="107"/>
      <c r="D23" s="107"/>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103"/>
      <c r="B24" s="106"/>
      <c r="C24" s="107"/>
      <c r="D24" s="107"/>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103"/>
      <c r="B25" s="106"/>
      <c r="C25" s="107"/>
      <c r="D25" s="107"/>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103"/>
      <c r="B26" s="106"/>
      <c r="C26" s="107"/>
      <c r="D26" s="107"/>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103"/>
      <c r="B27" s="106"/>
      <c r="C27" s="107"/>
      <c r="D27" s="107"/>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103"/>
      <c r="B28" s="106"/>
      <c r="C28" s="107"/>
      <c r="D28" s="107"/>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103"/>
      <c r="B29" s="106"/>
      <c r="C29" s="107"/>
      <c r="D29" s="107"/>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03"/>
      <c r="B30" s="106"/>
      <c r="C30" s="107"/>
      <c r="D30" s="107"/>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103"/>
      <c r="B31" s="106"/>
      <c r="C31" s="107"/>
      <c r="D31" s="107"/>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103"/>
      <c r="B32" s="106"/>
      <c r="C32" s="107"/>
      <c r="D32" s="107"/>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103"/>
      <c r="B33" s="106"/>
      <c r="C33" s="107"/>
      <c r="D33" s="107"/>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03"/>
      <c r="B34" s="106"/>
      <c r="C34" s="107"/>
      <c r="D34" s="107"/>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103"/>
      <c r="B35" s="106"/>
      <c r="C35" s="107"/>
      <c r="D35" s="107"/>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103"/>
      <c r="B36" s="106"/>
      <c r="C36" s="107"/>
      <c r="D36" s="107"/>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103"/>
      <c r="B37" s="106"/>
      <c r="C37" s="107"/>
      <c r="D37" s="107"/>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03"/>
      <c r="B38" s="106"/>
      <c r="C38" s="107"/>
      <c r="D38" s="107"/>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103"/>
      <c r="B39" s="106"/>
      <c r="C39" s="107"/>
      <c r="D39" s="107"/>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03"/>
      <c r="B40" s="106"/>
      <c r="C40" s="107"/>
      <c r="D40" s="107"/>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103"/>
      <c r="B41" s="106"/>
      <c r="C41" s="107"/>
      <c r="D41" s="107"/>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103"/>
      <c r="B42" s="106"/>
      <c r="C42" s="107"/>
      <c r="D42" s="107"/>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103"/>
      <c r="B43" s="106"/>
      <c r="C43" s="107"/>
      <c r="D43" s="107"/>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03"/>
      <c r="B44" s="106"/>
      <c r="C44" s="107"/>
      <c r="D44" s="107"/>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103"/>
      <c r="B45" s="106"/>
      <c r="C45" s="107"/>
      <c r="D45" s="107"/>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103"/>
      <c r="B46" s="106"/>
      <c r="C46" s="107"/>
      <c r="D46" s="107"/>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103"/>
      <c r="B47" s="106"/>
      <c r="C47" s="107"/>
      <c r="D47" s="107"/>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03"/>
      <c r="B48" s="106"/>
      <c r="C48" s="107"/>
      <c r="D48" s="107"/>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103"/>
      <c r="B49" s="106"/>
      <c r="C49" s="107"/>
      <c r="D49" s="107"/>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103"/>
      <c r="B50" s="106"/>
      <c r="C50" s="107"/>
      <c r="D50" s="107"/>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103"/>
      <c r="B51" s="106"/>
      <c r="C51" s="107"/>
      <c r="D51" s="107"/>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103"/>
      <c r="B52" s="106"/>
      <c r="C52" s="107"/>
      <c r="D52" s="107"/>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103"/>
      <c r="B53" s="106"/>
      <c r="C53" s="107"/>
      <c r="D53" s="107"/>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103"/>
      <c r="B54" s="106"/>
      <c r="C54" s="107"/>
      <c r="D54" s="107"/>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103"/>
      <c r="B55" s="106"/>
      <c r="C55" s="107"/>
      <c r="D55" s="107"/>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103"/>
      <c r="B56" s="106"/>
      <c r="C56" s="107"/>
      <c r="D56" s="107"/>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103"/>
      <c r="B57" s="106"/>
      <c r="C57" s="107"/>
      <c r="D57" s="107"/>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103"/>
      <c r="B58" s="106"/>
      <c r="C58" s="107"/>
      <c r="D58" s="107"/>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103"/>
      <c r="B59" s="106"/>
      <c r="C59" s="107"/>
      <c r="D59" s="107"/>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103"/>
      <c r="B60" s="106"/>
      <c r="C60" s="107"/>
      <c r="D60" s="107"/>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103"/>
      <c r="B61" s="106"/>
      <c r="C61" s="107"/>
      <c r="D61" s="107"/>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103"/>
      <c r="B62" s="106"/>
      <c r="C62" s="107"/>
      <c r="D62" s="107"/>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103"/>
      <c r="B63" s="106"/>
      <c r="C63" s="107"/>
      <c r="D63" s="107"/>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103"/>
      <c r="B64" s="106"/>
      <c r="C64" s="107"/>
      <c r="D64" s="107"/>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103"/>
      <c r="B65" s="106"/>
      <c r="C65" s="107"/>
      <c r="D65" s="107"/>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103"/>
      <c r="B66" s="106"/>
      <c r="C66" s="107"/>
      <c r="D66" s="107"/>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103"/>
      <c r="B67" s="106"/>
      <c r="C67" s="107"/>
      <c r="D67" s="107"/>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103"/>
      <c r="B68" s="106"/>
      <c r="C68" s="107"/>
      <c r="D68" s="107"/>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103"/>
      <c r="B69" s="106"/>
      <c r="C69" s="107"/>
      <c r="D69" s="107"/>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103"/>
      <c r="B70" s="106"/>
      <c r="C70" s="107"/>
      <c r="D70" s="107"/>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103"/>
      <c r="B71" s="106"/>
      <c r="C71" s="107"/>
      <c r="D71" s="107"/>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103"/>
      <c r="B72" s="106"/>
      <c r="C72" s="107"/>
      <c r="D72" s="107"/>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103"/>
      <c r="B73" s="106"/>
      <c r="C73" s="107"/>
      <c r="D73" s="107"/>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103"/>
      <c r="B74" s="106"/>
      <c r="C74" s="107"/>
      <c r="D74" s="107"/>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103"/>
      <c r="B75" s="106"/>
      <c r="C75" s="107"/>
      <c r="D75" s="107"/>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103"/>
      <c r="B76" s="106"/>
      <c r="C76" s="107"/>
      <c r="D76" s="107"/>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103"/>
      <c r="B77" s="106"/>
      <c r="C77" s="107"/>
      <c r="D77" s="107"/>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103"/>
      <c r="B78" s="106"/>
      <c r="C78" s="107"/>
      <c r="D78" s="107"/>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103"/>
      <c r="B79" s="106"/>
      <c r="C79" s="107"/>
      <c r="D79" s="107"/>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103"/>
      <c r="B80" s="106"/>
      <c r="C80" s="107"/>
      <c r="D80" s="107"/>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103"/>
      <c r="B81" s="106"/>
      <c r="C81" s="107"/>
      <c r="D81" s="107"/>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103"/>
      <c r="B82" s="106"/>
      <c r="C82" s="107"/>
      <c r="D82" s="107"/>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103"/>
      <c r="B83" s="106"/>
      <c r="C83" s="107"/>
      <c r="D83" s="107"/>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103"/>
      <c r="B84" s="106"/>
      <c r="C84" s="107"/>
      <c r="D84" s="107"/>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103"/>
      <c r="B85" s="106"/>
      <c r="C85" s="107"/>
      <c r="D85" s="107"/>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103"/>
      <c r="B86" s="106"/>
      <c r="C86" s="107"/>
      <c r="D86" s="107"/>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103"/>
      <c r="B87" s="106"/>
      <c r="C87" s="107"/>
      <c r="D87" s="107"/>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103"/>
      <c r="B88" s="106"/>
      <c r="C88" s="107"/>
      <c r="D88" s="107"/>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103"/>
      <c r="B89" s="106"/>
      <c r="C89" s="107"/>
      <c r="D89" s="107"/>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103"/>
      <c r="B90" s="106"/>
      <c r="C90" s="107"/>
      <c r="D90" s="107"/>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03"/>
      <c r="B91" s="106"/>
      <c r="C91" s="107"/>
      <c r="D91" s="107"/>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103"/>
      <c r="B92" s="106"/>
      <c r="C92" s="107"/>
      <c r="D92" s="107"/>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103"/>
      <c r="B93" s="106"/>
      <c r="C93" s="107"/>
      <c r="D93" s="107"/>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103"/>
      <c r="B94" s="106"/>
      <c r="C94" s="107"/>
      <c r="D94" s="107"/>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103"/>
      <c r="B95" s="106"/>
      <c r="C95" s="107"/>
      <c r="D95" s="107"/>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103"/>
      <c r="B96" s="106"/>
      <c r="C96" s="107"/>
      <c r="D96" s="107"/>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103"/>
      <c r="B97" s="106"/>
      <c r="C97" s="107"/>
      <c r="D97" s="107"/>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103"/>
      <c r="B98" s="106"/>
      <c r="C98" s="107"/>
      <c r="D98" s="107"/>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103"/>
      <c r="B99" s="106"/>
      <c r="C99" s="107"/>
      <c r="D99" s="107"/>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103"/>
      <c r="B100" s="106"/>
      <c r="C100" s="107"/>
      <c r="D100" s="107"/>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103"/>
      <c r="B101" s="106"/>
      <c r="C101" s="107"/>
      <c r="D101" s="107"/>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103"/>
      <c r="B102" s="106"/>
      <c r="C102" s="107"/>
      <c r="D102" s="107"/>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103"/>
      <c r="B103" s="106"/>
      <c r="C103" s="107"/>
      <c r="D103" s="107"/>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103"/>
      <c r="B104" s="106"/>
      <c r="C104" s="107"/>
      <c r="D104" s="107"/>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103"/>
      <c r="B105" s="106"/>
      <c r="C105" s="107"/>
      <c r="D105" s="107"/>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103"/>
      <c r="B106" s="106"/>
      <c r="C106" s="107"/>
      <c r="D106" s="107"/>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103"/>
      <c r="B107" s="106"/>
      <c r="C107" s="107"/>
      <c r="D107" s="107"/>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103"/>
      <c r="B108" s="106"/>
      <c r="C108" s="107"/>
      <c r="D108" s="107"/>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103"/>
      <c r="B109" s="106"/>
      <c r="C109" s="107"/>
      <c r="D109" s="107"/>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103"/>
      <c r="B110" s="106"/>
      <c r="C110" s="107"/>
      <c r="D110" s="107"/>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103"/>
      <c r="B111" s="106"/>
      <c r="C111" s="107"/>
      <c r="D111" s="107"/>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103"/>
      <c r="B112" s="106"/>
      <c r="C112" s="107"/>
      <c r="D112" s="107"/>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103"/>
      <c r="B113" s="106"/>
      <c r="C113" s="107"/>
      <c r="D113" s="107"/>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103"/>
      <c r="B114" s="106"/>
      <c r="C114" s="107"/>
      <c r="D114" s="107"/>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103"/>
      <c r="B115" s="106"/>
      <c r="C115" s="107"/>
      <c r="D115" s="107"/>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103"/>
      <c r="B116" s="106"/>
      <c r="C116" s="107"/>
      <c r="D116" s="107"/>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103"/>
      <c r="B117" s="106"/>
      <c r="C117" s="107"/>
      <c r="D117" s="107"/>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103"/>
      <c r="B118" s="106"/>
      <c r="C118" s="107"/>
      <c r="D118" s="107"/>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103"/>
      <c r="B119" s="106"/>
      <c r="C119" s="107"/>
      <c r="D119" s="107"/>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103"/>
      <c r="B120" s="106"/>
      <c r="C120" s="107"/>
      <c r="D120" s="107"/>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103"/>
      <c r="B121" s="106"/>
      <c r="C121" s="107"/>
      <c r="D121" s="107"/>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103"/>
      <c r="B122" s="106"/>
      <c r="C122" s="107"/>
      <c r="D122" s="107"/>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103"/>
      <c r="B123" s="106"/>
      <c r="C123" s="107"/>
      <c r="D123" s="107"/>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103"/>
      <c r="B124" s="106"/>
      <c r="C124" s="107"/>
      <c r="D124" s="107"/>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103"/>
      <c r="B125" s="106"/>
      <c r="C125" s="107"/>
      <c r="D125" s="107"/>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103"/>
      <c r="B126" s="106"/>
      <c r="C126" s="107"/>
      <c r="D126" s="107"/>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103"/>
      <c r="B127" s="106"/>
      <c r="C127" s="107"/>
      <c r="D127" s="107"/>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103"/>
      <c r="B128" s="106"/>
      <c r="C128" s="107"/>
      <c r="D128" s="107"/>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103"/>
      <c r="B129" s="106"/>
      <c r="C129" s="107"/>
      <c r="D129" s="107"/>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103"/>
      <c r="B130" s="106"/>
      <c r="C130" s="107"/>
      <c r="D130" s="107"/>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103"/>
      <c r="B131" s="106"/>
      <c r="C131" s="107"/>
      <c r="D131" s="107"/>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103"/>
      <c r="B132" s="106"/>
      <c r="C132" s="107"/>
      <c r="D132" s="107"/>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103"/>
      <c r="B133" s="106"/>
      <c r="C133" s="107"/>
      <c r="D133" s="107"/>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103"/>
      <c r="B134" s="106"/>
      <c r="C134" s="107"/>
      <c r="D134" s="107"/>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103"/>
      <c r="B135" s="106"/>
      <c r="C135" s="107"/>
      <c r="D135" s="107"/>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03"/>
      <c r="B136" s="106"/>
      <c r="C136" s="107"/>
      <c r="D136" s="107"/>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103"/>
      <c r="B137" s="106"/>
      <c r="C137" s="107"/>
      <c r="D137" s="107"/>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103"/>
      <c r="B138" s="106"/>
      <c r="C138" s="107"/>
      <c r="D138" s="107"/>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103"/>
      <c r="B139" s="106"/>
      <c r="C139" s="107"/>
      <c r="D139" s="107"/>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103"/>
      <c r="B140" s="106"/>
      <c r="C140" s="107"/>
      <c r="D140" s="107"/>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103"/>
      <c r="B141" s="106"/>
      <c r="C141" s="107"/>
      <c r="D141" s="107"/>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103"/>
      <c r="B142" s="106"/>
      <c r="C142" s="107"/>
      <c r="D142" s="107"/>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103"/>
      <c r="B143" s="106"/>
      <c r="C143" s="107"/>
      <c r="D143" s="107"/>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103"/>
      <c r="B144" s="106"/>
      <c r="C144" s="107"/>
      <c r="D144" s="107"/>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103"/>
      <c r="B145" s="106"/>
      <c r="C145" s="107"/>
      <c r="D145" s="107"/>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103"/>
      <c r="B146" s="106"/>
      <c r="C146" s="107"/>
      <c r="D146" s="107"/>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103"/>
      <c r="B147" s="106"/>
      <c r="C147" s="107"/>
      <c r="D147" s="107"/>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103"/>
      <c r="B148" s="106"/>
      <c r="C148" s="107"/>
      <c r="D148" s="107"/>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103"/>
      <c r="B149" s="106"/>
      <c r="C149" s="107"/>
      <c r="D149" s="107"/>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103"/>
      <c r="B150" s="106"/>
      <c r="C150" s="107"/>
      <c r="D150" s="107"/>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103"/>
      <c r="B151" s="106"/>
      <c r="C151" s="107"/>
      <c r="D151" s="107"/>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103"/>
      <c r="B152" s="106"/>
      <c r="C152" s="107"/>
      <c r="D152" s="107"/>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103"/>
      <c r="B153" s="106"/>
      <c r="C153" s="107"/>
      <c r="D153" s="107"/>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103"/>
      <c r="B154" s="106"/>
      <c r="C154" s="107"/>
      <c r="D154" s="107"/>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103"/>
      <c r="B155" s="106"/>
      <c r="C155" s="107"/>
      <c r="D155" s="107"/>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103"/>
      <c r="B156" s="106"/>
      <c r="C156" s="107"/>
      <c r="D156" s="107"/>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103"/>
      <c r="B157" s="106"/>
      <c r="C157" s="107"/>
      <c r="D157" s="107"/>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103"/>
      <c r="B158" s="106"/>
      <c r="C158" s="107"/>
      <c r="D158" s="107"/>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103"/>
      <c r="B159" s="106"/>
      <c r="C159" s="107"/>
      <c r="D159" s="107"/>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103"/>
      <c r="B160" s="106"/>
      <c r="C160" s="107"/>
      <c r="D160" s="107"/>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103"/>
      <c r="B161" s="106"/>
      <c r="C161" s="107"/>
      <c r="D161" s="107"/>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103"/>
      <c r="B162" s="106"/>
      <c r="C162" s="107"/>
      <c r="D162" s="107"/>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103"/>
      <c r="B163" s="106"/>
      <c r="C163" s="107"/>
      <c r="D163" s="107"/>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103"/>
      <c r="B164" s="106"/>
      <c r="C164" s="107"/>
      <c r="D164" s="107"/>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103"/>
      <c r="B165" s="106"/>
      <c r="C165" s="107"/>
      <c r="D165" s="107"/>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103"/>
      <c r="B166" s="106"/>
      <c r="C166" s="107"/>
      <c r="D166" s="107"/>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103"/>
      <c r="B167" s="106"/>
      <c r="C167" s="107"/>
      <c r="D167" s="107"/>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103"/>
      <c r="B168" s="106"/>
      <c r="C168" s="107"/>
      <c r="D168" s="107"/>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103"/>
      <c r="B169" s="106"/>
      <c r="C169" s="107"/>
      <c r="D169" s="107"/>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103"/>
      <c r="B170" s="106"/>
      <c r="C170" s="107"/>
      <c r="D170" s="107"/>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103"/>
      <c r="B171" s="106"/>
      <c r="C171" s="107"/>
      <c r="D171" s="107"/>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103"/>
      <c r="B172" s="106"/>
      <c r="C172" s="107"/>
      <c r="D172" s="107"/>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103"/>
      <c r="B173" s="106"/>
      <c r="C173" s="107"/>
      <c r="D173" s="107"/>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103"/>
      <c r="B174" s="106"/>
      <c r="C174" s="107"/>
      <c r="D174" s="107"/>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103"/>
      <c r="B175" s="106"/>
      <c r="C175" s="107"/>
      <c r="D175" s="107"/>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103"/>
      <c r="B176" s="106"/>
      <c r="C176" s="107"/>
      <c r="D176" s="107"/>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103"/>
      <c r="B177" s="106"/>
      <c r="C177" s="107"/>
      <c r="D177" s="107"/>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103"/>
      <c r="B178" s="106"/>
      <c r="C178" s="107"/>
      <c r="D178" s="107"/>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103"/>
      <c r="B179" s="106"/>
      <c r="C179" s="107"/>
      <c r="D179" s="107"/>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103"/>
      <c r="B180" s="106"/>
      <c r="C180" s="107"/>
      <c r="D180" s="107"/>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103"/>
      <c r="B181" s="106"/>
      <c r="C181" s="107"/>
      <c r="D181" s="107"/>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103"/>
      <c r="B182" s="106"/>
      <c r="C182" s="107"/>
      <c r="D182" s="107"/>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103"/>
      <c r="B183" s="106"/>
      <c r="C183" s="107"/>
      <c r="D183" s="107"/>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103"/>
      <c r="B184" s="106"/>
      <c r="C184" s="107"/>
      <c r="D184" s="107"/>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103"/>
      <c r="B185" s="106"/>
      <c r="C185" s="107"/>
      <c r="D185" s="107"/>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103"/>
      <c r="B186" s="106"/>
      <c r="C186" s="107"/>
      <c r="D186" s="107"/>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103"/>
      <c r="B187" s="106"/>
      <c r="C187" s="107"/>
      <c r="D187" s="107"/>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103"/>
      <c r="B188" s="106"/>
      <c r="C188" s="107"/>
      <c r="D188" s="107"/>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103"/>
      <c r="B189" s="106"/>
      <c r="C189" s="107"/>
      <c r="D189" s="107"/>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103"/>
      <c r="B190" s="106"/>
      <c r="C190" s="107"/>
      <c r="D190" s="107"/>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103"/>
      <c r="B191" s="106"/>
      <c r="C191" s="107"/>
      <c r="D191" s="107"/>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103"/>
      <c r="B192" s="106"/>
      <c r="C192" s="107"/>
      <c r="D192" s="107"/>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103"/>
      <c r="B193" s="106"/>
      <c r="C193" s="107"/>
      <c r="D193" s="107"/>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103"/>
      <c r="B194" s="106"/>
      <c r="C194" s="107"/>
      <c r="D194" s="107"/>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103"/>
      <c r="B195" s="106"/>
      <c r="C195" s="107"/>
      <c r="D195" s="107"/>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103"/>
      <c r="B196" s="106"/>
      <c r="C196" s="107"/>
      <c r="D196" s="107"/>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103"/>
      <c r="B197" s="106"/>
      <c r="C197" s="107"/>
      <c r="D197" s="107"/>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103"/>
      <c r="B198" s="106"/>
      <c r="C198" s="107"/>
      <c r="D198" s="107"/>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103"/>
      <c r="B199" s="106"/>
      <c r="C199" s="107"/>
      <c r="D199" s="107"/>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103"/>
      <c r="B200" s="106"/>
      <c r="C200" s="107"/>
      <c r="D200" s="107"/>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103"/>
      <c r="B201" s="106"/>
      <c r="C201" s="107"/>
      <c r="D201" s="107"/>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103"/>
      <c r="B202" s="106"/>
      <c r="C202" s="107"/>
      <c r="D202" s="107"/>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103"/>
      <c r="B203" s="106"/>
      <c r="C203" s="107"/>
      <c r="D203" s="107"/>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103"/>
      <c r="B204" s="106"/>
      <c r="C204" s="107"/>
      <c r="D204" s="107"/>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103"/>
      <c r="B205" s="106"/>
      <c r="C205" s="107"/>
      <c r="D205" s="107"/>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103"/>
      <c r="B206" s="106"/>
      <c r="C206" s="107"/>
      <c r="D206" s="107"/>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103"/>
      <c r="B207" s="106"/>
      <c r="C207" s="107"/>
      <c r="D207" s="107"/>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103"/>
      <c r="B208" s="106"/>
      <c r="C208" s="107"/>
      <c r="D208" s="107"/>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103"/>
      <c r="B209" s="106"/>
      <c r="C209" s="107"/>
      <c r="D209" s="107"/>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103"/>
      <c r="B210" s="106"/>
      <c r="C210" s="107"/>
      <c r="D210" s="107"/>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103"/>
      <c r="B211" s="106"/>
      <c r="C211" s="107"/>
      <c r="D211" s="107"/>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103"/>
      <c r="B212" s="106"/>
      <c r="C212" s="107"/>
      <c r="D212" s="107"/>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103"/>
      <c r="B213" s="106"/>
      <c r="C213" s="107"/>
      <c r="D213" s="107"/>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103"/>
      <c r="B214" s="106"/>
      <c r="C214" s="107"/>
      <c r="D214" s="107"/>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103"/>
      <c r="B215" s="106"/>
      <c r="C215" s="107"/>
      <c r="D215" s="107"/>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103"/>
      <c r="B216" s="106"/>
      <c r="C216" s="107"/>
      <c r="D216" s="107"/>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103"/>
      <c r="B217" s="106"/>
      <c r="C217" s="107"/>
      <c r="D217" s="107"/>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103"/>
      <c r="B218" s="106"/>
      <c r="C218" s="107"/>
      <c r="D218" s="107"/>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103"/>
      <c r="B219" s="106"/>
      <c r="C219" s="107"/>
      <c r="D219" s="107"/>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103"/>
      <c r="B220" s="106"/>
      <c r="C220" s="107"/>
      <c r="D220" s="107"/>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103"/>
      <c r="B221" s="106"/>
      <c r="C221" s="107"/>
      <c r="D221" s="107"/>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103"/>
      <c r="B222" s="106"/>
      <c r="C222" s="107"/>
      <c r="D222" s="107"/>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103"/>
      <c r="B223" s="106"/>
      <c r="C223" s="107"/>
      <c r="D223" s="107"/>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103"/>
      <c r="B224" s="106"/>
      <c r="C224" s="107"/>
      <c r="D224" s="107"/>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103"/>
      <c r="B225" s="106"/>
      <c r="C225" s="107"/>
      <c r="D225" s="107"/>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103"/>
      <c r="B226" s="106"/>
      <c r="C226" s="107"/>
      <c r="D226" s="107"/>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103"/>
      <c r="B227" s="106"/>
      <c r="C227" s="107"/>
      <c r="D227" s="107"/>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103"/>
      <c r="B228" s="106"/>
      <c r="C228" s="107"/>
      <c r="D228" s="107"/>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103"/>
      <c r="B229" s="106"/>
      <c r="C229" s="107"/>
      <c r="D229" s="107"/>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103"/>
      <c r="B230" s="106"/>
      <c r="C230" s="107"/>
      <c r="D230" s="107"/>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103"/>
      <c r="B231" s="106"/>
      <c r="C231" s="107"/>
      <c r="D231" s="107"/>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103"/>
      <c r="B232" s="106"/>
      <c r="C232" s="107"/>
      <c r="D232" s="107"/>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103"/>
      <c r="B233" s="106"/>
      <c r="C233" s="107"/>
      <c r="D233" s="107"/>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103"/>
      <c r="B234" s="106"/>
      <c r="C234" s="107"/>
      <c r="D234" s="107"/>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103"/>
      <c r="B235" s="106"/>
      <c r="C235" s="107"/>
      <c r="D235" s="107"/>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103"/>
      <c r="B236" s="106"/>
      <c r="C236" s="107"/>
      <c r="D236" s="107"/>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103"/>
      <c r="B237" s="106"/>
      <c r="C237" s="107"/>
      <c r="D237" s="107"/>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103"/>
      <c r="B238" s="106"/>
      <c r="C238" s="107"/>
      <c r="D238" s="107"/>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103"/>
      <c r="B239" s="106"/>
      <c r="C239" s="107"/>
      <c r="D239" s="107"/>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103"/>
      <c r="B240" s="106"/>
      <c r="C240" s="107"/>
      <c r="D240" s="107"/>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103"/>
      <c r="B241" s="106"/>
      <c r="C241" s="107"/>
      <c r="D241" s="107"/>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103"/>
      <c r="B242" s="106"/>
      <c r="C242" s="107"/>
      <c r="D242" s="107"/>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103"/>
      <c r="B243" s="106"/>
      <c r="C243" s="107"/>
      <c r="D243" s="107"/>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103"/>
      <c r="B244" s="106"/>
      <c r="C244" s="107"/>
      <c r="D244" s="107"/>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103"/>
      <c r="B245" s="106"/>
      <c r="C245" s="107"/>
      <c r="D245" s="107"/>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103"/>
      <c r="B246" s="106"/>
      <c r="C246" s="107"/>
      <c r="D246" s="107"/>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103"/>
      <c r="B247" s="106"/>
      <c r="C247" s="107"/>
      <c r="D247" s="107"/>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103"/>
      <c r="B248" s="106"/>
      <c r="C248" s="107"/>
      <c r="D248" s="107"/>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103"/>
      <c r="B249" s="106"/>
      <c r="C249" s="107"/>
      <c r="D249" s="107"/>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103"/>
      <c r="B250" s="106"/>
      <c r="C250" s="107"/>
      <c r="D250" s="107"/>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103"/>
      <c r="B251" s="106"/>
      <c r="C251" s="107"/>
      <c r="D251" s="107"/>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103"/>
      <c r="B252" s="106"/>
      <c r="C252" s="107"/>
      <c r="D252" s="107"/>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103"/>
      <c r="B253" s="106"/>
      <c r="C253" s="107"/>
      <c r="D253" s="107"/>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103"/>
      <c r="B254" s="106"/>
      <c r="C254" s="107"/>
      <c r="D254" s="107"/>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103"/>
      <c r="B255" s="106"/>
      <c r="C255" s="107"/>
      <c r="D255" s="107"/>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103"/>
      <c r="B256" s="106"/>
      <c r="C256" s="107"/>
      <c r="D256" s="107"/>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103"/>
      <c r="B257" s="106"/>
      <c r="C257" s="107"/>
      <c r="D257" s="107"/>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103"/>
      <c r="B258" s="106"/>
      <c r="C258" s="107"/>
      <c r="D258" s="107"/>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103"/>
      <c r="B259" s="106"/>
      <c r="C259" s="107"/>
      <c r="D259" s="107"/>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103"/>
      <c r="B260" s="106"/>
      <c r="C260" s="107"/>
      <c r="D260" s="107"/>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103"/>
      <c r="B261" s="106"/>
      <c r="C261" s="107"/>
      <c r="D261" s="107"/>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103"/>
      <c r="B262" s="106"/>
      <c r="C262" s="107"/>
      <c r="D262" s="107"/>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103"/>
      <c r="B263" s="106"/>
      <c r="C263" s="107"/>
      <c r="D263" s="107"/>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103"/>
      <c r="B264" s="106"/>
      <c r="C264" s="107"/>
      <c r="D264" s="107"/>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103"/>
      <c r="B265" s="106"/>
      <c r="C265" s="107"/>
      <c r="D265" s="107"/>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103"/>
      <c r="B266" s="106"/>
      <c r="C266" s="107"/>
      <c r="D266" s="107"/>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103"/>
      <c r="B267" s="106"/>
      <c r="C267" s="107"/>
      <c r="D267" s="107"/>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103"/>
      <c r="B268" s="106"/>
      <c r="C268" s="107"/>
      <c r="D268" s="107"/>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103"/>
      <c r="B269" s="106"/>
      <c r="C269" s="107"/>
      <c r="D269" s="107"/>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103"/>
      <c r="B270" s="106"/>
      <c r="C270" s="107"/>
      <c r="D270" s="107"/>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103"/>
      <c r="B271" s="106"/>
      <c r="C271" s="107"/>
      <c r="D271" s="107"/>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103"/>
      <c r="B272" s="106"/>
      <c r="C272" s="107"/>
      <c r="D272" s="107"/>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103"/>
      <c r="B273" s="106"/>
      <c r="C273" s="107"/>
      <c r="D273" s="107"/>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103"/>
      <c r="B274" s="106"/>
      <c r="C274" s="107"/>
      <c r="D274" s="107"/>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103"/>
      <c r="B275" s="106"/>
      <c r="C275" s="107"/>
      <c r="D275" s="107"/>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103"/>
      <c r="B276" s="106"/>
      <c r="C276" s="107"/>
      <c r="D276" s="107"/>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103"/>
      <c r="B277" s="106"/>
      <c r="C277" s="107"/>
      <c r="D277" s="107"/>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103"/>
      <c r="B278" s="106"/>
      <c r="C278" s="107"/>
      <c r="D278" s="107"/>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103"/>
      <c r="B279" s="106"/>
      <c r="C279" s="107"/>
      <c r="D279" s="107"/>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03"/>
      <c r="B280" s="106"/>
      <c r="C280" s="107"/>
      <c r="D280" s="107"/>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103"/>
      <c r="B281" s="106"/>
      <c r="C281" s="107"/>
      <c r="D281" s="107"/>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103"/>
      <c r="B282" s="106"/>
      <c r="C282" s="107"/>
      <c r="D282" s="107"/>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103"/>
      <c r="B283" s="106"/>
      <c r="C283" s="107"/>
      <c r="D283" s="107"/>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103"/>
      <c r="B284" s="106"/>
      <c r="C284" s="107"/>
      <c r="D284" s="107"/>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103"/>
      <c r="B285" s="106"/>
      <c r="C285" s="107"/>
      <c r="D285" s="107"/>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103"/>
      <c r="B286" s="106"/>
      <c r="C286" s="107"/>
      <c r="D286" s="107"/>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103"/>
      <c r="B287" s="106"/>
      <c r="C287" s="107"/>
      <c r="D287" s="107"/>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103"/>
      <c r="B288" s="106"/>
      <c r="C288" s="107"/>
      <c r="D288" s="107"/>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103"/>
      <c r="B289" s="106"/>
      <c r="C289" s="107"/>
      <c r="D289" s="107"/>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103"/>
      <c r="B290" s="106"/>
      <c r="C290" s="107"/>
      <c r="D290" s="107"/>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103"/>
      <c r="B291" s="106"/>
      <c r="C291" s="107"/>
      <c r="D291" s="107"/>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103"/>
      <c r="B292" s="106"/>
      <c r="C292" s="107"/>
      <c r="D292" s="107"/>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103"/>
      <c r="B293" s="106"/>
      <c r="C293" s="107"/>
      <c r="D293" s="107"/>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103"/>
      <c r="B294" s="106"/>
      <c r="C294" s="107"/>
      <c r="D294" s="107"/>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103"/>
      <c r="B295" s="106"/>
      <c r="C295" s="107"/>
      <c r="D295" s="107"/>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103"/>
      <c r="B296" s="106"/>
      <c r="C296" s="107"/>
      <c r="D296" s="107"/>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103"/>
      <c r="B297" s="106"/>
      <c r="C297" s="107"/>
      <c r="D297" s="107"/>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103"/>
      <c r="B298" s="106"/>
      <c r="C298" s="107"/>
      <c r="D298" s="107"/>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103"/>
      <c r="B299" s="106"/>
      <c r="C299" s="107"/>
      <c r="D299" s="107"/>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103"/>
      <c r="B300" s="106"/>
      <c r="C300" s="107"/>
      <c r="D300" s="107"/>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103"/>
      <c r="B301" s="106"/>
      <c r="C301" s="107"/>
      <c r="D301" s="107"/>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103"/>
      <c r="B302" s="106"/>
      <c r="C302" s="107"/>
      <c r="D302" s="107"/>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103"/>
      <c r="B303" s="106"/>
      <c r="C303" s="107"/>
      <c r="D303" s="107"/>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103"/>
      <c r="B304" s="106"/>
      <c r="C304" s="107"/>
      <c r="D304" s="107"/>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103"/>
      <c r="B305" s="106"/>
      <c r="C305" s="107"/>
      <c r="D305" s="107"/>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103"/>
      <c r="B306" s="106"/>
      <c r="C306" s="107"/>
      <c r="D306" s="107"/>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103"/>
      <c r="B307" s="106"/>
      <c r="C307" s="107"/>
      <c r="D307" s="107"/>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103"/>
      <c r="B308" s="106"/>
      <c r="C308" s="107"/>
      <c r="D308" s="107"/>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103"/>
      <c r="B309" s="106"/>
      <c r="C309" s="107"/>
      <c r="D309" s="107"/>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103"/>
      <c r="B310" s="106"/>
      <c r="C310" s="107"/>
      <c r="D310" s="107"/>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103"/>
      <c r="B311" s="106"/>
      <c r="C311" s="107"/>
      <c r="D311" s="107"/>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103"/>
      <c r="B312" s="106"/>
      <c r="C312" s="107"/>
      <c r="D312" s="107"/>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103"/>
      <c r="B313" s="106"/>
      <c r="C313" s="107"/>
      <c r="D313" s="107"/>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103"/>
      <c r="B314" s="106"/>
      <c r="C314" s="107"/>
      <c r="D314" s="107"/>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103"/>
      <c r="B315" s="106"/>
      <c r="C315" s="107"/>
      <c r="D315" s="107"/>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103"/>
      <c r="B316" s="106"/>
      <c r="C316" s="107"/>
      <c r="D316" s="107"/>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103"/>
      <c r="B317" s="106"/>
      <c r="C317" s="107"/>
      <c r="D317" s="107"/>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103"/>
      <c r="B318" s="106"/>
      <c r="C318" s="107"/>
      <c r="D318" s="107"/>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103"/>
      <c r="B319" s="106"/>
      <c r="C319" s="107"/>
      <c r="D319" s="107"/>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103"/>
      <c r="B320" s="106"/>
      <c r="C320" s="107"/>
      <c r="D320" s="107"/>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103"/>
      <c r="B321" s="106"/>
      <c r="C321" s="107"/>
      <c r="D321" s="107"/>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103"/>
      <c r="B322" s="106"/>
      <c r="C322" s="107"/>
      <c r="D322" s="107"/>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103"/>
      <c r="B323" s="106"/>
      <c r="C323" s="107"/>
      <c r="D323" s="107"/>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103"/>
      <c r="B324" s="106"/>
      <c r="C324" s="107"/>
      <c r="D324" s="107"/>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103"/>
      <c r="B325" s="106"/>
      <c r="C325" s="107"/>
      <c r="D325" s="107"/>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103"/>
      <c r="B326" s="106"/>
      <c r="C326" s="107"/>
      <c r="D326" s="107"/>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103"/>
      <c r="B327" s="106"/>
      <c r="C327" s="107"/>
      <c r="D327" s="107"/>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103"/>
      <c r="B328" s="106"/>
      <c r="C328" s="107"/>
      <c r="D328" s="107"/>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103"/>
      <c r="B329" s="106"/>
      <c r="C329" s="107"/>
      <c r="D329" s="107"/>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103"/>
      <c r="B330" s="106"/>
      <c r="C330" s="107"/>
      <c r="D330" s="107"/>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103"/>
      <c r="B331" s="106"/>
      <c r="C331" s="107"/>
      <c r="D331" s="107"/>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103"/>
      <c r="B332" s="106"/>
      <c r="C332" s="107"/>
      <c r="D332" s="107"/>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103"/>
      <c r="B333" s="106"/>
      <c r="C333" s="107"/>
      <c r="D333" s="107"/>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103"/>
      <c r="B334" s="106"/>
      <c r="C334" s="107"/>
      <c r="D334" s="107"/>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103"/>
      <c r="B335" s="106"/>
      <c r="C335" s="107"/>
      <c r="D335" s="107"/>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103"/>
      <c r="B336" s="106"/>
      <c r="C336" s="107"/>
      <c r="D336" s="107"/>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103"/>
      <c r="B337" s="106"/>
      <c r="C337" s="107"/>
      <c r="D337" s="107"/>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103"/>
      <c r="B338" s="106"/>
      <c r="C338" s="107"/>
      <c r="D338" s="107"/>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103"/>
      <c r="B339" s="106"/>
      <c r="C339" s="107"/>
      <c r="D339" s="107"/>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103"/>
      <c r="B340" s="106"/>
      <c r="C340" s="107"/>
      <c r="D340" s="107"/>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103"/>
      <c r="B341" s="106"/>
      <c r="C341" s="107"/>
      <c r="D341" s="107"/>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03"/>
      <c r="B342" s="106"/>
      <c r="C342" s="107"/>
      <c r="D342" s="107"/>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103"/>
      <c r="B343" s="106"/>
      <c r="C343" s="107"/>
      <c r="D343" s="107"/>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103"/>
      <c r="B344" s="106"/>
      <c r="C344" s="107"/>
      <c r="D344" s="107"/>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103"/>
      <c r="B345" s="106"/>
      <c r="C345" s="107"/>
      <c r="D345" s="107"/>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103"/>
      <c r="B346" s="106"/>
      <c r="C346" s="107"/>
      <c r="D346" s="107"/>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103"/>
      <c r="B347" s="106"/>
      <c r="C347" s="107"/>
      <c r="D347" s="107"/>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103"/>
      <c r="B348" s="106"/>
      <c r="C348" s="107"/>
      <c r="D348" s="107"/>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103"/>
      <c r="B349" s="106"/>
      <c r="C349" s="107"/>
      <c r="D349" s="107"/>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103"/>
      <c r="B350" s="106"/>
      <c r="C350" s="107"/>
      <c r="D350" s="107"/>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103"/>
      <c r="B351" s="106"/>
      <c r="C351" s="107"/>
      <c r="D351" s="107"/>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103"/>
      <c r="B352" s="106"/>
      <c r="C352" s="107"/>
      <c r="D352" s="107"/>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103"/>
      <c r="B353" s="106"/>
      <c r="C353" s="107"/>
      <c r="D353" s="107"/>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103"/>
      <c r="B354" s="106"/>
      <c r="C354" s="107"/>
      <c r="D354" s="107"/>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103"/>
      <c r="B355" s="106"/>
      <c r="C355" s="107"/>
      <c r="D355" s="107"/>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103"/>
      <c r="B356" s="106"/>
      <c r="C356" s="107"/>
      <c r="D356" s="107"/>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103"/>
      <c r="B357" s="106"/>
      <c r="C357" s="107"/>
      <c r="D357" s="107"/>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103"/>
      <c r="B358" s="106"/>
      <c r="C358" s="107"/>
      <c r="D358" s="107"/>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103"/>
      <c r="B359" s="106"/>
      <c r="C359" s="107"/>
      <c r="D359" s="107"/>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103"/>
      <c r="B360" s="106"/>
      <c r="C360" s="107"/>
      <c r="D360" s="107"/>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103"/>
      <c r="B361" s="106"/>
      <c r="C361" s="107"/>
      <c r="D361" s="107"/>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103"/>
      <c r="B362" s="106"/>
      <c r="C362" s="107"/>
      <c r="D362" s="107"/>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103"/>
      <c r="B363" s="106"/>
      <c r="C363" s="107"/>
      <c r="D363" s="107"/>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103"/>
      <c r="B364" s="106"/>
      <c r="C364" s="107"/>
      <c r="D364" s="107"/>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103"/>
      <c r="B365" s="106"/>
      <c r="C365" s="107"/>
      <c r="D365" s="107"/>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103"/>
      <c r="B366" s="106"/>
      <c r="C366" s="107"/>
      <c r="D366" s="107"/>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103"/>
      <c r="B367" s="106"/>
      <c r="C367" s="107"/>
      <c r="D367" s="107"/>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103"/>
      <c r="B368" s="106"/>
      <c r="C368" s="107"/>
      <c r="D368" s="107"/>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103"/>
      <c r="B369" s="106"/>
      <c r="C369" s="107"/>
      <c r="D369" s="107"/>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103"/>
      <c r="B370" s="106"/>
      <c r="C370" s="107"/>
      <c r="D370" s="107"/>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103"/>
      <c r="B371" s="106"/>
      <c r="C371" s="107"/>
      <c r="D371" s="107"/>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103"/>
      <c r="B372" s="106"/>
      <c r="C372" s="107"/>
      <c r="D372" s="107"/>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103"/>
      <c r="B373" s="106"/>
      <c r="C373" s="107"/>
      <c r="D373" s="107"/>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103"/>
      <c r="B374" s="106"/>
      <c r="C374" s="107"/>
      <c r="D374" s="107"/>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103"/>
      <c r="B375" s="106"/>
      <c r="C375" s="107"/>
      <c r="D375" s="107"/>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103"/>
      <c r="B376" s="106"/>
      <c r="C376" s="107"/>
      <c r="D376" s="107"/>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103"/>
      <c r="B377" s="106"/>
      <c r="C377" s="107"/>
      <c r="D377" s="107"/>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103"/>
      <c r="B378" s="106"/>
      <c r="C378" s="107"/>
      <c r="D378" s="107"/>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103"/>
      <c r="B379" s="106"/>
      <c r="C379" s="107"/>
      <c r="D379" s="107"/>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103"/>
      <c r="B380" s="106"/>
      <c r="C380" s="107"/>
      <c r="D380" s="107"/>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103"/>
      <c r="B381" s="106"/>
      <c r="C381" s="107"/>
      <c r="D381" s="107"/>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103"/>
      <c r="B382" s="106"/>
      <c r="C382" s="107"/>
      <c r="D382" s="107"/>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103"/>
      <c r="B383" s="106"/>
      <c r="C383" s="107"/>
      <c r="D383" s="107"/>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103"/>
      <c r="B384" s="106"/>
      <c r="C384" s="107"/>
      <c r="D384" s="107"/>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103"/>
      <c r="B385" s="106"/>
      <c r="C385" s="107"/>
      <c r="D385" s="107"/>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103"/>
      <c r="B386" s="106"/>
      <c r="C386" s="107"/>
      <c r="D386" s="107"/>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103"/>
      <c r="B387" s="106"/>
      <c r="C387" s="107"/>
      <c r="D387" s="107"/>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103"/>
      <c r="B388" s="106"/>
      <c r="C388" s="107"/>
      <c r="D388" s="107"/>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103"/>
      <c r="B389" s="106"/>
      <c r="C389" s="107"/>
      <c r="D389" s="107"/>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103"/>
      <c r="B390" s="106"/>
      <c r="C390" s="107"/>
      <c r="D390" s="107"/>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103"/>
      <c r="B391" s="106"/>
      <c r="C391" s="107"/>
      <c r="D391" s="107"/>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103"/>
      <c r="B392" s="106"/>
      <c r="C392" s="107"/>
      <c r="D392" s="107"/>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103"/>
      <c r="B393" s="106"/>
      <c r="C393" s="107"/>
      <c r="D393" s="107"/>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103"/>
      <c r="B394" s="106"/>
      <c r="C394" s="107"/>
      <c r="D394" s="107"/>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103"/>
      <c r="B395" s="106"/>
      <c r="C395" s="107"/>
      <c r="D395" s="107"/>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103"/>
      <c r="B396" s="106"/>
      <c r="C396" s="107"/>
      <c r="D396" s="107"/>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103"/>
      <c r="B397" s="106"/>
      <c r="C397" s="107"/>
      <c r="D397" s="107"/>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103"/>
      <c r="B398" s="106"/>
      <c r="C398" s="107"/>
      <c r="D398" s="107"/>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103"/>
      <c r="B399" s="106"/>
      <c r="C399" s="107"/>
      <c r="D399" s="107"/>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103"/>
      <c r="B400" s="106"/>
      <c r="C400" s="107"/>
      <c r="D400" s="107"/>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103"/>
      <c r="B401" s="106"/>
      <c r="C401" s="107"/>
      <c r="D401" s="107"/>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103"/>
      <c r="B402" s="106"/>
      <c r="C402" s="107"/>
      <c r="D402" s="107"/>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103"/>
      <c r="B403" s="106"/>
      <c r="C403" s="107"/>
      <c r="D403" s="107"/>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103"/>
      <c r="B404" s="106"/>
      <c r="C404" s="107"/>
      <c r="D404" s="107"/>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103"/>
      <c r="B405" s="106"/>
      <c r="C405" s="107"/>
      <c r="D405" s="107"/>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103"/>
      <c r="B406" s="106"/>
      <c r="C406" s="107"/>
      <c r="D406" s="107"/>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103"/>
      <c r="B407" s="106"/>
      <c r="C407" s="107"/>
      <c r="D407" s="107"/>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103"/>
      <c r="B408" s="106"/>
      <c r="C408" s="107"/>
      <c r="D408" s="107"/>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103"/>
      <c r="B409" s="106"/>
      <c r="C409" s="107"/>
      <c r="D409" s="107"/>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103"/>
      <c r="B410" s="106"/>
      <c r="C410" s="107"/>
      <c r="D410" s="107"/>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103"/>
      <c r="B411" s="106"/>
      <c r="C411" s="107"/>
      <c r="D411" s="107"/>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103"/>
      <c r="B412" s="106"/>
      <c r="C412" s="107"/>
      <c r="D412" s="107"/>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103"/>
      <c r="B413" s="106"/>
      <c r="C413" s="107"/>
      <c r="D413" s="107"/>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103"/>
      <c r="B414" s="106"/>
      <c r="C414" s="107"/>
      <c r="D414" s="107"/>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103"/>
      <c r="B415" s="106"/>
      <c r="C415" s="107"/>
      <c r="D415" s="107"/>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103"/>
      <c r="B416" s="106"/>
      <c r="C416" s="107"/>
      <c r="D416" s="107"/>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103"/>
      <c r="B417" s="106"/>
      <c r="C417" s="107"/>
      <c r="D417" s="107"/>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103"/>
      <c r="B418" s="106"/>
      <c r="C418" s="107"/>
      <c r="D418" s="107"/>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103"/>
      <c r="B419" s="106"/>
      <c r="C419" s="107"/>
      <c r="D419" s="107"/>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103"/>
      <c r="B420" s="106"/>
      <c r="C420" s="107"/>
      <c r="D420" s="107"/>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103"/>
      <c r="B421" s="106"/>
      <c r="C421" s="107"/>
      <c r="D421" s="107"/>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103"/>
      <c r="B422" s="106"/>
      <c r="C422" s="107"/>
      <c r="D422" s="107"/>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103"/>
      <c r="B423" s="106"/>
      <c r="C423" s="107"/>
      <c r="D423" s="107"/>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103"/>
      <c r="B424" s="106"/>
      <c r="C424" s="107"/>
      <c r="D424" s="107"/>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103"/>
      <c r="B425" s="106"/>
      <c r="C425" s="107"/>
      <c r="D425" s="107"/>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103"/>
      <c r="B426" s="106"/>
      <c r="C426" s="107"/>
      <c r="D426" s="107"/>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103"/>
      <c r="B427" s="106"/>
      <c r="C427" s="107"/>
      <c r="D427" s="107"/>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103"/>
      <c r="B428" s="106"/>
      <c r="C428" s="107"/>
      <c r="D428" s="107"/>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103"/>
      <c r="B429" s="106"/>
      <c r="C429" s="107"/>
      <c r="D429" s="107"/>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103"/>
      <c r="B430" s="106"/>
      <c r="C430" s="107"/>
      <c r="D430" s="107"/>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103"/>
      <c r="B431" s="106"/>
      <c r="C431" s="107"/>
      <c r="D431" s="107"/>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103"/>
      <c r="B432" s="106"/>
      <c r="C432" s="107"/>
      <c r="D432" s="107"/>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103"/>
      <c r="B433" s="106"/>
      <c r="C433" s="107"/>
      <c r="D433" s="107"/>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103"/>
      <c r="B434" s="106"/>
      <c r="C434" s="107"/>
      <c r="D434" s="107"/>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103"/>
      <c r="B435" s="106"/>
      <c r="C435" s="107"/>
      <c r="D435" s="107"/>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103"/>
      <c r="B436" s="106"/>
      <c r="C436" s="107"/>
      <c r="D436" s="107"/>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103"/>
      <c r="B437" s="106"/>
      <c r="C437" s="107"/>
      <c r="D437" s="107"/>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103"/>
      <c r="B438" s="106"/>
      <c r="C438" s="107"/>
      <c r="D438" s="107"/>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103"/>
      <c r="B439" s="106"/>
      <c r="C439" s="107"/>
      <c r="D439" s="107"/>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103"/>
      <c r="B440" s="106"/>
      <c r="C440" s="107"/>
      <c r="D440" s="107"/>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103"/>
      <c r="B441" s="106"/>
      <c r="C441" s="107"/>
      <c r="D441" s="107"/>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103"/>
      <c r="B442" s="106"/>
      <c r="C442" s="107"/>
      <c r="D442" s="107"/>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103"/>
      <c r="B443" s="106"/>
      <c r="C443" s="107"/>
      <c r="D443" s="107"/>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103"/>
      <c r="B444" s="106"/>
      <c r="C444" s="107"/>
      <c r="D444" s="107"/>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103"/>
      <c r="B445" s="106"/>
      <c r="C445" s="107"/>
      <c r="D445" s="107"/>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103"/>
      <c r="B446" s="106"/>
      <c r="C446" s="107"/>
      <c r="D446" s="107"/>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103"/>
      <c r="B447" s="106"/>
      <c r="C447" s="107"/>
      <c r="D447" s="107"/>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103"/>
      <c r="B448" s="106"/>
      <c r="C448" s="107"/>
      <c r="D448" s="107"/>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103"/>
      <c r="B449" s="106"/>
      <c r="C449" s="107"/>
      <c r="D449" s="107"/>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103"/>
      <c r="B450" s="106"/>
      <c r="C450" s="107"/>
      <c r="D450" s="107"/>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103"/>
      <c r="B451" s="106"/>
      <c r="C451" s="107"/>
      <c r="D451" s="107"/>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103"/>
      <c r="B452" s="106"/>
      <c r="C452" s="107"/>
      <c r="D452" s="107"/>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103"/>
      <c r="B453" s="106"/>
      <c r="C453" s="107"/>
      <c r="D453" s="107"/>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103"/>
      <c r="B454" s="106"/>
      <c r="C454" s="107"/>
      <c r="D454" s="107"/>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103"/>
      <c r="B455" s="106"/>
      <c r="C455" s="107"/>
      <c r="D455" s="107"/>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103"/>
      <c r="B456" s="106"/>
      <c r="C456" s="107"/>
      <c r="D456" s="107"/>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103"/>
      <c r="B457" s="106"/>
      <c r="C457" s="107"/>
      <c r="D457" s="107"/>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103"/>
      <c r="B458" s="106"/>
      <c r="C458" s="107"/>
      <c r="D458" s="107"/>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103"/>
      <c r="B459" s="106"/>
      <c r="C459" s="107"/>
      <c r="D459" s="107"/>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103"/>
      <c r="B460" s="106"/>
      <c r="C460" s="107"/>
      <c r="D460" s="107"/>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103"/>
      <c r="B461" s="106"/>
      <c r="C461" s="107"/>
      <c r="D461" s="107"/>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103"/>
      <c r="B462" s="106"/>
      <c r="C462" s="107"/>
      <c r="D462" s="107"/>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103"/>
      <c r="B463" s="106"/>
      <c r="C463" s="107"/>
      <c r="D463" s="107"/>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103"/>
      <c r="B464" s="106"/>
      <c r="C464" s="107"/>
      <c r="D464" s="107"/>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103"/>
      <c r="B465" s="106"/>
      <c r="C465" s="107"/>
      <c r="D465" s="107"/>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103"/>
      <c r="B466" s="106"/>
      <c r="C466" s="107"/>
      <c r="D466" s="107"/>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103"/>
      <c r="B467" s="106"/>
      <c r="C467" s="107"/>
      <c r="D467" s="107"/>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103"/>
      <c r="B468" s="106"/>
      <c r="C468" s="107"/>
      <c r="D468" s="107"/>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103"/>
      <c r="B469" s="106"/>
      <c r="C469" s="107"/>
      <c r="D469" s="107"/>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103"/>
      <c r="B470" s="106"/>
      <c r="C470" s="107"/>
      <c r="D470" s="107"/>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103"/>
      <c r="B471" s="106"/>
      <c r="C471" s="107"/>
      <c r="D471" s="107"/>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103"/>
      <c r="B472" s="106"/>
      <c r="C472" s="107"/>
      <c r="D472" s="107"/>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103"/>
      <c r="B473" s="106"/>
      <c r="C473" s="107"/>
      <c r="D473" s="107"/>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103"/>
      <c r="B474" s="106"/>
      <c r="C474" s="107"/>
      <c r="D474" s="107"/>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103"/>
      <c r="B475" s="106"/>
      <c r="C475" s="107"/>
      <c r="D475" s="107"/>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103"/>
      <c r="B476" s="106"/>
      <c r="C476" s="107"/>
      <c r="D476" s="107"/>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103"/>
      <c r="B477" s="106"/>
      <c r="C477" s="107"/>
      <c r="D477" s="107"/>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103"/>
      <c r="B478" s="106"/>
      <c r="C478" s="107"/>
      <c r="D478" s="107"/>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103"/>
      <c r="B479" s="106"/>
      <c r="C479" s="107"/>
      <c r="D479" s="107"/>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103"/>
      <c r="B480" s="106"/>
      <c r="C480" s="107"/>
      <c r="D480" s="107"/>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103"/>
      <c r="B481" s="106"/>
      <c r="C481" s="107"/>
      <c r="D481" s="107"/>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103"/>
      <c r="B482" s="106"/>
      <c r="C482" s="107"/>
      <c r="D482" s="107"/>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103"/>
      <c r="B483" s="106"/>
      <c r="C483" s="107"/>
      <c r="D483" s="107"/>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103"/>
      <c r="B484" s="106"/>
      <c r="C484" s="107"/>
      <c r="D484" s="107"/>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103"/>
      <c r="B485" s="106"/>
      <c r="C485" s="107"/>
      <c r="D485" s="107"/>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103"/>
      <c r="B486" s="106"/>
      <c r="C486" s="107"/>
      <c r="D486" s="107"/>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103"/>
      <c r="B487" s="106"/>
      <c r="C487" s="107"/>
      <c r="D487" s="107"/>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103"/>
      <c r="B488" s="106"/>
      <c r="C488" s="107"/>
      <c r="D488" s="107"/>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103"/>
      <c r="B489" s="106"/>
      <c r="C489" s="107"/>
      <c r="D489" s="107"/>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103"/>
      <c r="B490" s="106"/>
      <c r="C490" s="107"/>
      <c r="D490" s="107"/>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103"/>
      <c r="B491" s="106"/>
      <c r="C491" s="107"/>
      <c r="D491" s="107"/>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103"/>
      <c r="B492" s="106"/>
      <c r="C492" s="107"/>
      <c r="D492" s="107"/>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103"/>
      <c r="B493" s="106"/>
      <c r="C493" s="107"/>
      <c r="D493" s="107"/>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103"/>
      <c r="B494" s="106"/>
      <c r="C494" s="107"/>
      <c r="D494" s="107"/>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103"/>
      <c r="B495" s="106"/>
      <c r="C495" s="107"/>
      <c r="D495" s="107"/>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103"/>
      <c r="B496" s="106"/>
      <c r="C496" s="107"/>
      <c r="D496" s="107"/>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103"/>
      <c r="B497" s="106"/>
      <c r="C497" s="107"/>
      <c r="D497" s="107"/>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103"/>
      <c r="B498" s="106"/>
      <c r="C498" s="107"/>
      <c r="D498" s="107"/>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103"/>
      <c r="B499" s="106"/>
      <c r="C499" s="107"/>
      <c r="D499" s="107"/>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103"/>
      <c r="B500" s="106"/>
      <c r="C500" s="107"/>
      <c r="D500" s="107"/>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103"/>
      <c r="B501" s="42"/>
      <c r="C501" s="35"/>
      <c r="D501" s="35"/>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103"/>
      <c r="B502" s="42"/>
      <c r="C502" s="35"/>
      <c r="D502" s="35"/>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103"/>
      <c r="B503" s="42"/>
      <c r="C503" s="35"/>
      <c r="D503" s="35"/>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103"/>
      <c r="B504" s="42"/>
      <c r="C504" s="35"/>
      <c r="D504" s="35"/>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103"/>
      <c r="B505" s="42"/>
      <c r="C505" s="35"/>
      <c r="D505" s="35"/>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103"/>
      <c r="B506" s="42"/>
      <c r="C506" s="35"/>
      <c r="D506" s="35"/>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103"/>
      <c r="B507" s="42"/>
      <c r="C507" s="35"/>
      <c r="D507" s="35"/>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103"/>
      <c r="B508" s="42"/>
      <c r="C508" s="35"/>
      <c r="D508" s="35"/>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103"/>
      <c r="B509" s="42"/>
      <c r="C509" s="35"/>
      <c r="D509" s="35"/>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103"/>
      <c r="B510" s="42"/>
      <c r="C510" s="35"/>
      <c r="D510" s="35"/>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103"/>
      <c r="B511" s="42"/>
      <c r="C511" s="35"/>
      <c r="D511" s="35"/>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103"/>
      <c r="B512" s="42"/>
      <c r="C512" s="35"/>
      <c r="D512" s="35"/>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103"/>
      <c r="B513" s="42"/>
      <c r="C513" s="35"/>
      <c r="D513" s="35"/>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103"/>
      <c r="B514" s="42"/>
      <c r="C514" s="35"/>
      <c r="D514" s="35"/>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103"/>
      <c r="B515" s="42"/>
      <c r="C515" s="35"/>
      <c r="D515" s="35"/>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103"/>
      <c r="B516" s="42"/>
      <c r="C516" s="35"/>
      <c r="D516" s="35"/>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103"/>
      <c r="B517" s="42"/>
      <c r="C517" s="35"/>
      <c r="D517" s="35"/>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103"/>
      <c r="B518" s="42"/>
      <c r="C518" s="35"/>
      <c r="D518" s="35"/>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103"/>
      <c r="B519" s="42"/>
      <c r="C519" s="35"/>
      <c r="D519" s="35"/>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103"/>
      <c r="B520" s="42"/>
      <c r="C520" s="35"/>
      <c r="D520" s="35"/>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103"/>
      <c r="B521" s="42"/>
      <c r="C521" s="35"/>
      <c r="D521" s="35"/>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103"/>
      <c r="B522" s="42"/>
      <c r="C522" s="35"/>
      <c r="D522" s="35"/>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103"/>
      <c r="B523" s="42"/>
      <c r="C523" s="35"/>
      <c r="D523" s="35"/>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103"/>
      <c r="B524" s="42"/>
      <c r="C524" s="35"/>
      <c r="D524" s="35"/>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103"/>
      <c r="B525" s="42"/>
      <c r="C525" s="35"/>
      <c r="D525" s="35"/>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103"/>
      <c r="B526" s="42"/>
      <c r="C526" s="35"/>
      <c r="D526" s="35"/>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103"/>
      <c r="B527" s="42"/>
      <c r="C527" s="35"/>
      <c r="D527" s="35"/>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103"/>
      <c r="B528" s="42"/>
      <c r="C528" s="35"/>
      <c r="D528" s="35"/>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103"/>
      <c r="B529" s="42"/>
      <c r="C529" s="35"/>
      <c r="D529" s="35"/>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103"/>
      <c r="B530" s="42"/>
      <c r="C530" s="35"/>
      <c r="D530" s="35"/>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103"/>
      <c r="B531" s="42"/>
      <c r="C531" s="35"/>
      <c r="D531" s="35"/>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103"/>
      <c r="B532" s="42"/>
      <c r="C532" s="35"/>
      <c r="D532" s="35"/>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103"/>
      <c r="B533" s="42"/>
      <c r="C533" s="35"/>
      <c r="D533" s="35"/>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103"/>
      <c r="B534" s="42"/>
      <c r="C534" s="35"/>
      <c r="D534" s="35"/>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103"/>
      <c r="B535" s="42"/>
      <c r="C535" s="35"/>
      <c r="D535" s="35"/>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103"/>
      <c r="B536" s="42"/>
      <c r="C536" s="35"/>
      <c r="D536" s="35"/>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103"/>
      <c r="B537" s="42"/>
      <c r="C537" s="35"/>
      <c r="D537" s="35"/>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103"/>
      <c r="B538" s="42"/>
      <c r="C538" s="35"/>
      <c r="D538" s="35"/>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103"/>
      <c r="B539" s="42"/>
      <c r="C539" s="35"/>
      <c r="D539" s="35"/>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103"/>
      <c r="B540" s="42"/>
      <c r="C540" s="35"/>
      <c r="D540" s="35"/>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103"/>
      <c r="B541" s="42"/>
      <c r="C541" s="35"/>
      <c r="D541" s="35"/>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103"/>
      <c r="B542" s="42"/>
      <c r="C542" s="35"/>
      <c r="D542" s="35"/>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103"/>
      <c r="B543" s="42"/>
      <c r="C543" s="35"/>
      <c r="D543" s="35"/>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103"/>
      <c r="B544" s="42"/>
      <c r="C544" s="35"/>
      <c r="D544" s="35"/>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103"/>
      <c r="B545" s="42"/>
      <c r="C545" s="35"/>
      <c r="D545" s="35"/>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103"/>
      <c r="B546" s="42"/>
      <c r="C546" s="35"/>
      <c r="D546" s="35"/>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103"/>
      <c r="B547" s="42"/>
      <c r="C547" s="35"/>
      <c r="D547" s="35"/>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103"/>
      <c r="B548" s="42"/>
      <c r="C548" s="35"/>
      <c r="D548" s="35"/>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103"/>
      <c r="B549" s="42"/>
      <c r="C549" s="35"/>
      <c r="D549" s="35"/>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103"/>
      <c r="B550" s="42"/>
      <c r="C550" s="35"/>
      <c r="D550" s="35"/>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103"/>
      <c r="B551" s="42"/>
      <c r="C551" s="35"/>
      <c r="D551" s="35"/>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103"/>
      <c r="B552" s="42"/>
      <c r="C552" s="35"/>
      <c r="D552" s="35"/>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103"/>
      <c r="B553" s="42"/>
      <c r="C553" s="35"/>
      <c r="D553" s="35"/>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103"/>
      <c r="B554" s="42"/>
      <c r="C554" s="35"/>
      <c r="D554" s="35"/>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103"/>
      <c r="B555" s="42"/>
      <c r="C555" s="35"/>
      <c r="D555" s="35"/>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103"/>
      <c r="B556" s="42"/>
      <c r="C556" s="35"/>
      <c r="D556" s="35"/>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103"/>
      <c r="B557" s="42"/>
      <c r="C557" s="35"/>
      <c r="D557" s="35"/>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103"/>
      <c r="B558" s="42"/>
      <c r="C558" s="35"/>
      <c r="D558" s="35"/>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103"/>
      <c r="B559" s="42"/>
      <c r="C559" s="35"/>
      <c r="D559" s="35"/>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103"/>
      <c r="B560" s="42"/>
      <c r="C560" s="35"/>
      <c r="D560" s="35"/>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103"/>
      <c r="B561" s="42"/>
      <c r="C561" s="35"/>
      <c r="D561" s="35"/>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103"/>
      <c r="B562" s="42"/>
      <c r="C562" s="35"/>
      <c r="D562" s="35"/>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103"/>
      <c r="B563" s="42"/>
      <c r="C563" s="35"/>
      <c r="D563" s="35"/>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103"/>
      <c r="B564" s="42"/>
      <c r="C564" s="35"/>
      <c r="D564" s="35"/>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103"/>
      <c r="B565" s="42"/>
      <c r="C565" s="35"/>
      <c r="D565" s="35"/>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103"/>
      <c r="B566" s="42"/>
      <c r="C566" s="35"/>
      <c r="D566" s="35"/>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103"/>
      <c r="B567" s="42"/>
      <c r="C567" s="35"/>
      <c r="D567" s="35"/>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103"/>
      <c r="B568" s="42"/>
      <c r="C568" s="35"/>
      <c r="D568" s="35"/>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103"/>
      <c r="B569" s="42"/>
      <c r="C569" s="35"/>
      <c r="D569" s="35"/>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103"/>
      <c r="B570" s="42"/>
      <c r="C570" s="35"/>
      <c r="D570" s="35"/>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103"/>
      <c r="B571" s="42"/>
      <c r="C571" s="35"/>
      <c r="D571" s="35"/>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103"/>
      <c r="B572" s="42"/>
      <c r="C572" s="35"/>
      <c r="D572" s="35"/>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103"/>
      <c r="B573" s="42"/>
      <c r="C573" s="35"/>
      <c r="D573" s="35"/>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103"/>
      <c r="B574" s="42"/>
      <c r="C574" s="35"/>
      <c r="D574" s="35"/>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103"/>
      <c r="B575" s="42"/>
      <c r="C575" s="35"/>
      <c r="D575" s="35"/>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103"/>
      <c r="B576" s="42"/>
      <c r="C576" s="35"/>
      <c r="D576" s="35"/>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103"/>
      <c r="B577" s="42"/>
      <c r="C577" s="35"/>
      <c r="D577" s="35"/>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103"/>
      <c r="B578" s="42"/>
      <c r="C578" s="35"/>
      <c r="D578" s="35"/>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103"/>
      <c r="B579" s="42"/>
      <c r="C579" s="35"/>
      <c r="D579" s="35"/>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103"/>
      <c r="B580" s="42"/>
      <c r="C580" s="35"/>
      <c r="D580" s="35"/>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103"/>
      <c r="B581" s="42"/>
      <c r="C581" s="35"/>
      <c r="D581" s="35"/>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103"/>
      <c r="B582" s="42"/>
      <c r="C582" s="35"/>
      <c r="D582" s="35"/>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103"/>
      <c r="B583" s="42"/>
      <c r="C583" s="35"/>
      <c r="D583" s="35"/>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103"/>
      <c r="B584" s="42"/>
      <c r="C584" s="35"/>
      <c r="D584" s="35"/>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103"/>
      <c r="B585" s="42"/>
      <c r="C585" s="35"/>
      <c r="D585" s="35"/>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103"/>
      <c r="B586" s="42"/>
      <c r="C586" s="35"/>
      <c r="D586" s="35"/>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103"/>
      <c r="B587" s="42"/>
      <c r="C587" s="35"/>
      <c r="D587" s="35"/>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103"/>
      <c r="B588" s="42"/>
      <c r="C588" s="35"/>
      <c r="D588" s="35"/>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103"/>
      <c r="B589" s="42"/>
      <c r="C589" s="35"/>
      <c r="D589" s="35"/>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103"/>
      <c r="B590" s="42"/>
      <c r="C590" s="35"/>
      <c r="D590" s="35"/>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103"/>
      <c r="B591" s="42"/>
      <c r="C591" s="35"/>
      <c r="D591" s="35"/>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103"/>
      <c r="B592" s="42"/>
      <c r="C592" s="35"/>
      <c r="D592" s="35"/>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103"/>
      <c r="B593" s="42"/>
      <c r="C593" s="35"/>
      <c r="D593" s="35"/>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103"/>
      <c r="B594" s="42"/>
      <c r="C594" s="35"/>
      <c r="D594" s="35"/>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103"/>
      <c r="B595" s="42"/>
      <c r="C595" s="35"/>
      <c r="D595" s="35"/>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103"/>
      <c r="B596" s="42"/>
      <c r="C596" s="35"/>
      <c r="D596" s="35"/>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103"/>
      <c r="B597" s="42"/>
      <c r="C597" s="35"/>
      <c r="D597" s="35"/>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103"/>
      <c r="B598" s="42"/>
      <c r="C598" s="35"/>
      <c r="D598" s="35"/>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103"/>
      <c r="B599" s="42"/>
      <c r="C599" s="35"/>
      <c r="D599" s="35"/>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103"/>
      <c r="B600" s="42"/>
      <c r="C600" s="35"/>
      <c r="D600" s="35"/>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103"/>
      <c r="B601" s="42"/>
      <c r="C601" s="35"/>
      <c r="D601" s="35"/>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103"/>
      <c r="B602" s="42"/>
      <c r="C602" s="35"/>
      <c r="D602" s="35"/>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103"/>
      <c r="B603" s="42"/>
      <c r="C603" s="35"/>
      <c r="D603" s="35"/>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103"/>
      <c r="B604" s="42"/>
      <c r="C604" s="35"/>
      <c r="D604" s="35"/>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103"/>
      <c r="B605" s="42"/>
      <c r="C605" s="35"/>
      <c r="D605" s="35"/>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103"/>
      <c r="B606" s="42"/>
      <c r="C606" s="35"/>
      <c r="D606" s="35"/>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103"/>
      <c r="B607" s="42"/>
      <c r="C607" s="35"/>
      <c r="D607" s="35"/>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103"/>
      <c r="B608" s="42"/>
      <c r="C608" s="35"/>
      <c r="D608" s="35"/>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103"/>
      <c r="B609" s="42"/>
      <c r="C609" s="35"/>
      <c r="D609" s="35"/>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103"/>
      <c r="B610" s="42"/>
      <c r="C610" s="35"/>
      <c r="D610" s="35"/>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103"/>
      <c r="B611" s="42"/>
      <c r="C611" s="35"/>
      <c r="D611" s="35"/>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103"/>
      <c r="B612" s="42"/>
      <c r="C612" s="35"/>
      <c r="D612" s="35"/>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103"/>
      <c r="B613" s="42"/>
      <c r="C613" s="35"/>
      <c r="D613" s="35"/>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103"/>
      <c r="B614" s="42"/>
      <c r="C614" s="35"/>
      <c r="D614" s="35"/>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103"/>
      <c r="B615" s="42"/>
      <c r="C615" s="35"/>
      <c r="D615" s="35"/>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103"/>
      <c r="B616" s="42"/>
      <c r="C616" s="35"/>
      <c r="D616" s="35"/>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103"/>
      <c r="B617" s="42"/>
      <c r="C617" s="35"/>
      <c r="D617" s="35"/>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103"/>
      <c r="B618" s="42"/>
      <c r="C618" s="35"/>
      <c r="D618" s="35"/>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103"/>
      <c r="B619" s="42"/>
      <c r="C619" s="35"/>
      <c r="D619" s="35"/>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103"/>
      <c r="B620" s="42"/>
      <c r="C620" s="35"/>
      <c r="D620" s="35"/>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103"/>
      <c r="B621" s="42"/>
      <c r="C621" s="35"/>
      <c r="D621" s="35"/>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103"/>
      <c r="B622" s="42"/>
      <c r="C622" s="35"/>
      <c r="D622" s="35"/>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103"/>
      <c r="B623" s="42"/>
      <c r="C623" s="35"/>
      <c r="D623" s="35"/>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103"/>
      <c r="B624" s="42"/>
      <c r="C624" s="35"/>
      <c r="D624" s="35"/>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103"/>
      <c r="B625" s="42"/>
      <c r="C625" s="35"/>
      <c r="D625" s="35"/>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103"/>
      <c r="B626" s="42"/>
      <c r="C626" s="35"/>
      <c r="D626" s="35"/>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103"/>
      <c r="B627" s="42"/>
      <c r="C627" s="35"/>
      <c r="D627" s="35"/>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103"/>
      <c r="B628" s="42"/>
      <c r="C628" s="35"/>
      <c r="D628" s="35"/>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103"/>
      <c r="B629" s="42"/>
      <c r="C629" s="35"/>
      <c r="D629" s="35"/>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103"/>
      <c r="B630" s="42"/>
      <c r="C630" s="35"/>
      <c r="D630" s="35"/>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103"/>
      <c r="B631" s="42"/>
      <c r="C631" s="35"/>
      <c r="D631" s="35"/>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103"/>
      <c r="B632" s="42"/>
      <c r="C632" s="35"/>
      <c r="D632" s="35"/>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103"/>
      <c r="B633" s="42"/>
      <c r="C633" s="35"/>
      <c r="D633" s="35"/>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103"/>
      <c r="B634" s="42"/>
      <c r="C634" s="35"/>
      <c r="D634" s="35"/>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103"/>
      <c r="B635" s="42"/>
      <c r="C635" s="35"/>
      <c r="D635" s="35"/>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103"/>
      <c r="B636" s="42"/>
      <c r="C636" s="35"/>
      <c r="D636" s="35"/>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103"/>
      <c r="B637" s="42"/>
      <c r="C637" s="35"/>
      <c r="D637" s="35"/>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103"/>
      <c r="B638" s="42"/>
      <c r="C638" s="35"/>
      <c r="D638" s="35"/>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103"/>
      <c r="B639" s="42"/>
      <c r="C639" s="35"/>
      <c r="D639" s="35"/>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103"/>
      <c r="B640" s="42"/>
      <c r="C640" s="35"/>
      <c r="D640" s="35"/>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103"/>
      <c r="B641" s="42"/>
      <c r="C641" s="35"/>
      <c r="D641" s="35"/>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103"/>
      <c r="B642" s="42"/>
      <c r="C642" s="35"/>
      <c r="D642" s="35"/>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103"/>
      <c r="B643" s="42"/>
      <c r="C643" s="35"/>
      <c r="D643" s="35"/>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103"/>
      <c r="B644" s="42"/>
      <c r="C644" s="35"/>
      <c r="D644" s="35"/>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103"/>
      <c r="B645" s="42"/>
      <c r="C645" s="35"/>
      <c r="D645" s="35"/>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103"/>
      <c r="B646" s="42"/>
      <c r="C646" s="35"/>
      <c r="D646" s="35"/>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103"/>
      <c r="B647" s="42"/>
      <c r="C647" s="35"/>
      <c r="D647" s="35"/>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103"/>
      <c r="B648" s="42"/>
      <c r="C648" s="35"/>
      <c r="D648" s="35"/>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103"/>
      <c r="B649" s="42"/>
      <c r="C649" s="35"/>
      <c r="D649" s="35"/>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103"/>
      <c r="B650" s="42"/>
      <c r="C650" s="35"/>
      <c r="D650" s="35"/>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103"/>
      <c r="B651" s="42"/>
      <c r="C651" s="35"/>
      <c r="D651" s="35"/>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103"/>
      <c r="B652" s="42"/>
      <c r="C652" s="35"/>
      <c r="D652" s="35"/>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103"/>
      <c r="B653" s="42"/>
      <c r="C653" s="35"/>
      <c r="D653" s="35"/>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103"/>
      <c r="B654" s="42"/>
      <c r="C654" s="35"/>
      <c r="D654" s="35"/>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103"/>
      <c r="B655" s="42"/>
      <c r="C655" s="35"/>
      <c r="D655" s="35"/>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103"/>
      <c r="B656" s="42"/>
      <c r="C656" s="35"/>
      <c r="D656" s="35"/>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103"/>
      <c r="B657" s="42"/>
      <c r="C657" s="35"/>
      <c r="D657" s="35"/>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103"/>
      <c r="B658" s="42"/>
      <c r="C658" s="35"/>
      <c r="D658" s="35"/>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103"/>
      <c r="B659" s="42"/>
      <c r="C659" s="35"/>
      <c r="D659" s="35"/>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103"/>
      <c r="B660" s="42"/>
      <c r="C660" s="35"/>
      <c r="D660" s="35"/>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103"/>
      <c r="B661" s="42"/>
      <c r="C661" s="35"/>
      <c r="D661" s="35"/>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103"/>
      <c r="B662" s="42"/>
      <c r="C662" s="35"/>
      <c r="D662" s="35"/>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103"/>
      <c r="B663" s="42"/>
      <c r="C663" s="35"/>
      <c r="D663" s="35"/>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103"/>
      <c r="B664" s="42"/>
      <c r="C664" s="35"/>
      <c r="D664" s="35"/>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103"/>
      <c r="B665" s="42"/>
      <c r="C665" s="35"/>
      <c r="D665" s="35"/>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103"/>
      <c r="B666" s="42"/>
      <c r="C666" s="35"/>
      <c r="D666" s="35"/>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103"/>
      <c r="B667" s="42"/>
      <c r="C667" s="35"/>
      <c r="D667" s="35"/>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103"/>
      <c r="B668" s="42"/>
      <c r="C668" s="35"/>
      <c r="D668" s="35"/>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103"/>
      <c r="B669" s="42"/>
      <c r="C669" s="35"/>
      <c r="D669" s="35"/>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103"/>
      <c r="B670" s="42"/>
      <c r="C670" s="35"/>
      <c r="D670" s="35"/>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103"/>
      <c r="B671" s="42"/>
      <c r="C671" s="35"/>
      <c r="D671" s="35"/>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103"/>
      <c r="B672" s="42"/>
      <c r="C672" s="35"/>
      <c r="D672" s="35"/>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103"/>
      <c r="B673" s="42"/>
      <c r="C673" s="35"/>
      <c r="D673" s="35"/>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103"/>
      <c r="B674" s="42"/>
      <c r="C674" s="35"/>
      <c r="D674" s="35"/>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103"/>
      <c r="B675" s="42"/>
      <c r="C675" s="35"/>
      <c r="D675" s="35"/>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103"/>
      <c r="B676" s="42"/>
      <c r="C676" s="35"/>
      <c r="D676" s="35"/>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103"/>
      <c r="B677" s="42"/>
      <c r="C677" s="35"/>
      <c r="D677" s="35"/>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103"/>
      <c r="B678" s="42"/>
      <c r="C678" s="35"/>
      <c r="D678" s="35"/>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103"/>
      <c r="B679" s="42"/>
      <c r="C679" s="35"/>
      <c r="D679" s="35"/>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103"/>
      <c r="B680" s="42"/>
      <c r="C680" s="35"/>
      <c r="D680" s="35"/>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103"/>
      <c r="B681" s="42"/>
      <c r="C681" s="35"/>
      <c r="D681" s="35"/>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103"/>
      <c r="B682" s="42"/>
      <c r="C682" s="35"/>
      <c r="D682" s="35"/>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103"/>
      <c r="B683" s="42"/>
      <c r="C683" s="35"/>
      <c r="D683" s="35"/>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103"/>
      <c r="B684" s="42"/>
      <c r="C684" s="35"/>
      <c r="D684" s="35"/>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103"/>
      <c r="B685" s="42"/>
      <c r="C685" s="35"/>
      <c r="D685" s="35"/>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103"/>
      <c r="B686" s="42"/>
      <c r="C686" s="35"/>
      <c r="D686" s="35"/>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103"/>
      <c r="B687" s="42"/>
      <c r="C687" s="35"/>
      <c r="D687" s="35"/>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103"/>
      <c r="B688" s="42"/>
      <c r="C688" s="35"/>
      <c r="D688" s="35"/>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103"/>
      <c r="B689" s="42"/>
      <c r="C689" s="35"/>
      <c r="D689" s="35"/>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103"/>
      <c r="B690" s="42"/>
      <c r="C690" s="35"/>
      <c r="D690" s="35"/>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103"/>
      <c r="B691" s="42"/>
      <c r="C691" s="35"/>
      <c r="D691" s="35"/>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103"/>
      <c r="B692" s="42"/>
      <c r="C692" s="35"/>
      <c r="D692" s="35"/>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103"/>
      <c r="B693" s="42"/>
      <c r="C693" s="35"/>
      <c r="D693" s="35"/>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103"/>
      <c r="B694" s="42"/>
      <c r="C694" s="35"/>
      <c r="D694" s="35"/>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103"/>
      <c r="B695" s="42"/>
      <c r="C695" s="35"/>
      <c r="D695" s="35"/>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103"/>
      <c r="B696" s="42"/>
      <c r="C696" s="35"/>
      <c r="D696" s="35"/>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103"/>
      <c r="B697" s="42"/>
      <c r="C697" s="35"/>
      <c r="D697" s="35"/>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103"/>
      <c r="B698" s="42"/>
      <c r="C698" s="35"/>
      <c r="D698" s="35"/>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103"/>
      <c r="B699" s="42"/>
      <c r="C699" s="35"/>
      <c r="D699" s="35"/>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103"/>
      <c r="B700" s="42"/>
      <c r="C700" s="35"/>
      <c r="D700" s="35"/>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103"/>
      <c r="B701" s="42"/>
      <c r="C701" s="35"/>
      <c r="D701" s="35"/>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103"/>
      <c r="B702" s="42"/>
      <c r="C702" s="35"/>
      <c r="D702" s="35"/>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103"/>
      <c r="B703" s="42"/>
      <c r="C703" s="35"/>
      <c r="D703" s="35"/>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103"/>
      <c r="B704" s="42"/>
      <c r="C704" s="35"/>
      <c r="D704" s="35"/>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103"/>
      <c r="B705" s="42"/>
      <c r="C705" s="35"/>
      <c r="D705" s="35"/>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103"/>
      <c r="B706" s="42"/>
      <c r="C706" s="35"/>
      <c r="D706" s="35"/>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103"/>
      <c r="B707" s="42"/>
      <c r="C707" s="35"/>
      <c r="D707" s="35"/>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103"/>
      <c r="B708" s="42"/>
      <c r="C708" s="35"/>
      <c r="D708" s="35"/>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103"/>
      <c r="B709" s="42"/>
      <c r="C709" s="35"/>
      <c r="D709" s="35"/>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103"/>
      <c r="B710" s="42"/>
      <c r="C710" s="35"/>
      <c r="D710" s="35"/>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103"/>
      <c r="B711" s="42"/>
      <c r="C711" s="35"/>
      <c r="D711" s="35"/>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103"/>
      <c r="B712" s="42"/>
      <c r="C712" s="35"/>
      <c r="D712" s="35"/>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103"/>
      <c r="B713" s="42"/>
      <c r="C713" s="35"/>
      <c r="D713" s="35"/>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103"/>
      <c r="B714" s="42"/>
      <c r="C714" s="35"/>
      <c r="D714" s="35"/>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103"/>
      <c r="B715" s="42"/>
      <c r="C715" s="35"/>
      <c r="D715" s="35"/>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103"/>
      <c r="B716" s="42"/>
      <c r="C716" s="35"/>
      <c r="D716" s="35"/>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103"/>
      <c r="B717" s="42"/>
      <c r="C717" s="35"/>
      <c r="D717" s="35"/>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103"/>
      <c r="B718" s="42"/>
      <c r="C718" s="35"/>
      <c r="D718" s="35"/>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103"/>
      <c r="B719" s="42"/>
      <c r="C719" s="35"/>
      <c r="D719" s="35"/>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103"/>
      <c r="B720" s="42"/>
      <c r="C720" s="35"/>
      <c r="D720" s="35"/>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103"/>
      <c r="B721" s="42"/>
      <c r="C721" s="35"/>
      <c r="D721" s="35"/>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103"/>
      <c r="B722" s="42"/>
      <c r="C722" s="35"/>
      <c r="D722" s="35"/>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103"/>
      <c r="B723" s="42"/>
      <c r="C723" s="35"/>
      <c r="D723" s="35"/>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103"/>
      <c r="B724" s="42"/>
      <c r="C724" s="35"/>
      <c r="D724" s="35"/>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103"/>
      <c r="B725" s="42"/>
      <c r="C725" s="35"/>
      <c r="D725" s="35"/>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103"/>
      <c r="B726" s="42"/>
      <c r="C726" s="35"/>
      <c r="D726" s="35"/>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103"/>
      <c r="B727" s="42"/>
      <c r="C727" s="35"/>
      <c r="D727" s="35"/>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103"/>
      <c r="B728" s="42"/>
      <c r="C728" s="35"/>
      <c r="D728" s="35"/>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103"/>
      <c r="B729" s="42"/>
      <c r="C729" s="35"/>
      <c r="D729" s="35"/>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103"/>
      <c r="B730" s="42"/>
      <c r="C730" s="35"/>
      <c r="D730" s="35"/>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103"/>
      <c r="B731" s="42"/>
      <c r="C731" s="35"/>
      <c r="D731" s="35"/>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103"/>
      <c r="B732" s="42"/>
      <c r="C732" s="35"/>
      <c r="D732" s="35"/>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103"/>
      <c r="B733" s="42"/>
      <c r="C733" s="35"/>
      <c r="D733" s="35"/>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103"/>
      <c r="B734" s="42"/>
      <c r="C734" s="35"/>
      <c r="D734" s="35"/>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103"/>
      <c r="B735" s="42"/>
      <c r="C735" s="35"/>
      <c r="D735" s="35"/>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103"/>
      <c r="B736" s="42"/>
      <c r="C736" s="35"/>
      <c r="D736" s="35"/>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103"/>
      <c r="B737" s="42"/>
      <c r="C737" s="35"/>
      <c r="D737" s="35"/>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103"/>
      <c r="B738" s="42"/>
      <c r="C738" s="35"/>
      <c r="D738" s="35"/>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103"/>
      <c r="B739" s="42"/>
      <c r="C739" s="35"/>
      <c r="D739" s="35"/>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103"/>
      <c r="B740" s="42"/>
      <c r="C740" s="35"/>
      <c r="D740" s="35"/>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103"/>
      <c r="B741" s="42"/>
      <c r="C741" s="35"/>
      <c r="D741" s="35"/>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103"/>
      <c r="B742" s="42"/>
      <c r="C742" s="35"/>
      <c r="D742" s="35"/>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103"/>
      <c r="B743" s="42"/>
      <c r="C743" s="35"/>
      <c r="D743" s="35"/>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103"/>
      <c r="B744" s="42"/>
      <c r="C744" s="35"/>
      <c r="D744" s="35"/>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103"/>
      <c r="B745" s="42"/>
      <c r="C745" s="35"/>
      <c r="D745" s="35"/>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103"/>
      <c r="B746" s="42"/>
      <c r="C746" s="35"/>
      <c r="D746" s="35"/>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103"/>
      <c r="B747" s="42"/>
      <c r="C747" s="35"/>
      <c r="D747" s="35"/>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103"/>
      <c r="B748" s="42"/>
      <c r="C748" s="35"/>
      <c r="D748" s="35"/>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103"/>
      <c r="B749" s="42"/>
      <c r="C749" s="35"/>
      <c r="D749" s="35"/>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103"/>
      <c r="B750" s="42"/>
      <c r="C750" s="35"/>
      <c r="D750" s="35"/>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103"/>
      <c r="B751" s="42"/>
      <c r="C751" s="35"/>
      <c r="D751" s="35"/>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103"/>
      <c r="B752" s="42"/>
      <c r="C752" s="35"/>
      <c r="D752" s="35"/>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103"/>
      <c r="B753" s="42"/>
      <c r="C753" s="35"/>
      <c r="D753" s="35"/>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103"/>
      <c r="B754" s="42"/>
      <c r="C754" s="35"/>
      <c r="D754" s="35"/>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103"/>
      <c r="B755" s="42"/>
      <c r="C755" s="35"/>
      <c r="D755" s="35"/>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103"/>
      <c r="B756" s="42"/>
      <c r="C756" s="35"/>
      <c r="D756" s="35"/>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103"/>
      <c r="B757" s="42"/>
      <c r="C757" s="35"/>
      <c r="D757" s="35"/>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103"/>
      <c r="B758" s="42"/>
      <c r="C758" s="35"/>
      <c r="D758" s="35"/>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103"/>
      <c r="B759" s="42"/>
      <c r="C759" s="35"/>
      <c r="D759" s="35"/>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103"/>
      <c r="B760" s="42"/>
      <c r="C760" s="35"/>
      <c r="D760" s="35"/>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103"/>
      <c r="B761" s="42"/>
      <c r="C761" s="35"/>
      <c r="D761" s="35"/>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103"/>
      <c r="B762" s="42"/>
      <c r="C762" s="35"/>
      <c r="D762" s="35"/>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103"/>
      <c r="B763" s="42"/>
      <c r="C763" s="35"/>
      <c r="D763" s="35"/>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103"/>
      <c r="B764" s="42"/>
      <c r="C764" s="35"/>
      <c r="D764" s="35"/>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103"/>
      <c r="B765" s="42"/>
      <c r="C765" s="35"/>
      <c r="D765" s="35"/>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103"/>
      <c r="B766" s="42"/>
      <c r="C766" s="35"/>
      <c r="D766" s="35"/>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103"/>
      <c r="B767" s="42"/>
      <c r="C767" s="35"/>
      <c r="D767" s="35"/>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103"/>
      <c r="B768" s="42"/>
      <c r="C768" s="35"/>
      <c r="D768" s="35"/>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103"/>
      <c r="B769" s="42"/>
      <c r="C769" s="35"/>
      <c r="D769" s="35"/>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103"/>
      <c r="B770" s="42"/>
      <c r="C770" s="35"/>
      <c r="D770" s="35"/>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103"/>
      <c r="B771" s="42"/>
      <c r="C771" s="35"/>
      <c r="D771" s="35"/>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103"/>
      <c r="B772" s="42"/>
      <c r="C772" s="35"/>
      <c r="D772" s="35"/>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103"/>
      <c r="B773" s="42"/>
      <c r="C773" s="35"/>
      <c r="D773" s="35"/>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103"/>
      <c r="B774" s="42"/>
      <c r="C774" s="35"/>
      <c r="D774" s="35"/>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103"/>
      <c r="B775" s="42"/>
      <c r="C775" s="35"/>
      <c r="D775" s="35"/>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103"/>
      <c r="B776" s="42"/>
      <c r="C776" s="35"/>
      <c r="D776" s="35"/>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103"/>
      <c r="B777" s="42"/>
      <c r="C777" s="35"/>
      <c r="D777" s="35"/>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103"/>
      <c r="B778" s="42"/>
      <c r="C778" s="35"/>
      <c r="D778" s="35"/>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103"/>
      <c r="B779" s="42"/>
      <c r="C779" s="35"/>
      <c r="D779" s="35"/>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103"/>
      <c r="B780" s="42"/>
      <c r="C780" s="35"/>
      <c r="D780" s="35"/>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103"/>
      <c r="B781" s="42"/>
      <c r="C781" s="35"/>
      <c r="D781" s="35"/>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103"/>
      <c r="B782" s="42"/>
      <c r="C782" s="35"/>
      <c r="D782" s="35"/>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103"/>
      <c r="B783" s="42"/>
      <c r="C783" s="35"/>
      <c r="D783" s="35"/>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103"/>
      <c r="B784" s="42"/>
      <c r="C784" s="35"/>
      <c r="D784" s="35"/>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103"/>
      <c r="B785" s="42"/>
      <c r="C785" s="35"/>
      <c r="D785" s="35"/>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103"/>
      <c r="B786" s="42"/>
      <c r="C786" s="35"/>
      <c r="D786" s="35"/>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103"/>
      <c r="B787" s="42"/>
      <c r="C787" s="35"/>
      <c r="D787" s="35"/>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103"/>
      <c r="B788" s="42"/>
      <c r="C788" s="35"/>
      <c r="D788" s="35"/>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103"/>
      <c r="B789" s="42"/>
      <c r="C789" s="35"/>
      <c r="D789" s="35"/>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103"/>
      <c r="B790" s="42"/>
      <c r="C790" s="35"/>
      <c r="D790" s="35"/>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103"/>
      <c r="B791" s="42"/>
      <c r="C791" s="35"/>
      <c r="D791" s="35"/>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103"/>
      <c r="B792" s="42"/>
      <c r="C792" s="35"/>
      <c r="D792" s="35"/>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103"/>
      <c r="B793" s="42"/>
      <c r="C793" s="35"/>
      <c r="D793" s="35"/>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103"/>
      <c r="B794" s="42"/>
      <c r="C794" s="35"/>
      <c r="D794" s="35"/>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103"/>
      <c r="B795" s="42"/>
      <c r="C795" s="35"/>
      <c r="D795" s="35"/>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103"/>
      <c r="B796" s="42"/>
      <c r="C796" s="35"/>
      <c r="D796" s="35"/>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103"/>
      <c r="B797" s="42"/>
      <c r="C797" s="35"/>
      <c r="D797" s="35"/>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103"/>
      <c r="B798" s="42"/>
      <c r="C798" s="35"/>
      <c r="D798" s="35"/>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103"/>
      <c r="B799" s="42"/>
      <c r="C799" s="35"/>
      <c r="D799" s="35"/>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103"/>
      <c r="B800" s="42"/>
      <c r="C800" s="35"/>
      <c r="D800" s="35"/>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103"/>
      <c r="B801" s="42"/>
      <c r="C801" s="35"/>
      <c r="D801" s="35"/>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103"/>
      <c r="B802" s="42"/>
      <c r="C802" s="35"/>
      <c r="D802" s="35"/>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103"/>
      <c r="B803" s="42"/>
      <c r="C803" s="35"/>
      <c r="D803" s="35"/>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103"/>
      <c r="B804" s="42"/>
      <c r="C804" s="35"/>
      <c r="D804" s="35"/>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103"/>
      <c r="B805" s="42"/>
      <c r="C805" s="35"/>
      <c r="D805" s="35"/>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103"/>
      <c r="B806" s="42"/>
      <c r="C806" s="35"/>
      <c r="D806" s="35"/>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103"/>
      <c r="B807" s="42"/>
      <c r="C807" s="35"/>
      <c r="D807" s="35"/>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103"/>
      <c r="B808" s="42"/>
      <c r="C808" s="35"/>
      <c r="D808" s="35"/>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103"/>
      <c r="B809" s="42"/>
      <c r="C809" s="35"/>
      <c r="D809" s="35"/>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103"/>
      <c r="B810" s="42"/>
      <c r="C810" s="35"/>
      <c r="D810" s="35"/>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103"/>
      <c r="B811" s="42"/>
      <c r="C811" s="35"/>
      <c r="D811" s="35"/>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103"/>
      <c r="B812" s="42"/>
      <c r="C812" s="35"/>
      <c r="D812" s="35"/>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103"/>
      <c r="B813" s="42"/>
      <c r="C813" s="35"/>
      <c r="D813" s="35"/>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103"/>
      <c r="B814" s="42"/>
      <c r="C814" s="35"/>
      <c r="D814" s="35"/>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103"/>
      <c r="B815" s="42"/>
      <c r="C815" s="35"/>
      <c r="D815" s="35"/>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103"/>
      <c r="B816" s="42"/>
      <c r="C816" s="35"/>
      <c r="D816" s="35"/>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103"/>
      <c r="B817" s="42"/>
      <c r="C817" s="35"/>
      <c r="D817" s="35"/>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103"/>
      <c r="B818" s="42"/>
      <c r="C818" s="35"/>
      <c r="D818" s="35"/>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103"/>
      <c r="B819" s="42"/>
      <c r="C819" s="35"/>
      <c r="D819" s="35"/>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103"/>
      <c r="B820" s="42"/>
      <c r="C820" s="35"/>
      <c r="D820" s="35"/>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103"/>
      <c r="B821" s="42"/>
      <c r="C821" s="35"/>
      <c r="D821" s="35"/>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103"/>
      <c r="B822" s="42"/>
      <c r="C822" s="35"/>
      <c r="D822" s="35"/>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103"/>
      <c r="B823" s="42"/>
      <c r="C823" s="35"/>
      <c r="D823" s="35"/>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103"/>
      <c r="B824" s="42"/>
      <c r="C824" s="35"/>
      <c r="D824" s="35"/>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103"/>
      <c r="B825" s="42"/>
      <c r="C825" s="35"/>
      <c r="D825" s="35"/>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103"/>
      <c r="B826" s="42"/>
      <c r="C826" s="35"/>
      <c r="D826" s="35"/>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103"/>
      <c r="B827" s="42"/>
      <c r="C827" s="35"/>
      <c r="D827" s="35"/>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103"/>
      <c r="B828" s="42"/>
      <c r="C828" s="35"/>
      <c r="D828" s="35"/>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103"/>
      <c r="B829" s="42"/>
      <c r="C829" s="35"/>
      <c r="D829" s="35"/>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103"/>
      <c r="B830" s="42"/>
      <c r="C830" s="35"/>
      <c r="D830" s="35"/>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103"/>
      <c r="B831" s="42"/>
      <c r="C831" s="35"/>
      <c r="D831" s="35"/>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103"/>
      <c r="B832" s="42"/>
      <c r="C832" s="35"/>
      <c r="D832" s="35"/>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103"/>
      <c r="B833" s="42"/>
      <c r="C833" s="35"/>
      <c r="D833" s="35"/>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103"/>
      <c r="B834" s="42"/>
      <c r="C834" s="35"/>
      <c r="D834" s="35"/>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103"/>
      <c r="B835" s="42"/>
      <c r="C835" s="35"/>
      <c r="D835" s="35"/>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103"/>
      <c r="B836" s="42"/>
      <c r="C836" s="35"/>
      <c r="D836" s="35"/>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103"/>
      <c r="B837" s="42"/>
      <c r="C837" s="35"/>
      <c r="D837" s="35"/>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103"/>
      <c r="B838" s="42"/>
      <c r="C838" s="35"/>
      <c r="D838" s="35"/>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103"/>
      <c r="B839" s="42"/>
      <c r="C839" s="35"/>
      <c r="D839" s="35"/>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103"/>
      <c r="B840" s="42"/>
      <c r="C840" s="35"/>
      <c r="D840" s="35"/>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103"/>
      <c r="B841" s="42"/>
      <c r="C841" s="35"/>
      <c r="D841" s="35"/>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103"/>
      <c r="B842" s="42"/>
      <c r="C842" s="35"/>
      <c r="D842" s="35"/>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103"/>
      <c r="B843" s="42"/>
      <c r="C843" s="35"/>
      <c r="D843" s="35"/>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103"/>
      <c r="B844" s="42"/>
      <c r="C844" s="35"/>
      <c r="D844" s="35"/>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103"/>
      <c r="B845" s="42"/>
      <c r="C845" s="35"/>
      <c r="D845" s="35"/>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103"/>
      <c r="B846" s="42"/>
      <c r="C846" s="35"/>
      <c r="D846" s="35"/>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103"/>
      <c r="B847" s="42"/>
      <c r="C847" s="35"/>
      <c r="D847" s="35"/>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103"/>
      <c r="B848" s="42"/>
      <c r="C848" s="35"/>
      <c r="D848" s="35"/>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103"/>
      <c r="B849" s="42"/>
      <c r="C849" s="35"/>
      <c r="D849" s="35"/>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103"/>
      <c r="B850" s="42"/>
      <c r="C850" s="35"/>
      <c r="D850" s="35"/>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103"/>
      <c r="B851" s="42"/>
      <c r="C851" s="35"/>
      <c r="D851" s="35"/>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103"/>
      <c r="B852" s="42"/>
      <c r="C852" s="35"/>
      <c r="D852" s="35"/>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103"/>
      <c r="B853" s="42"/>
      <c r="C853" s="35"/>
      <c r="D853" s="35"/>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103"/>
      <c r="B854" s="42"/>
      <c r="C854" s="35"/>
      <c r="D854" s="35"/>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103"/>
      <c r="B855" s="42"/>
      <c r="C855" s="35"/>
      <c r="D855" s="35"/>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103"/>
      <c r="B856" s="42"/>
      <c r="C856" s="35"/>
      <c r="D856" s="35"/>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103"/>
      <c r="B857" s="42"/>
      <c r="C857" s="35"/>
      <c r="D857" s="35"/>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103"/>
      <c r="B858" s="42"/>
      <c r="C858" s="35"/>
      <c r="D858" s="35"/>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103"/>
      <c r="B859" s="42"/>
      <c r="C859" s="35"/>
      <c r="D859" s="35"/>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103"/>
      <c r="B860" s="42"/>
      <c r="C860" s="35"/>
      <c r="D860" s="35"/>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103"/>
      <c r="B861" s="42"/>
      <c r="C861" s="35"/>
      <c r="D861" s="35"/>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103"/>
      <c r="B862" s="42"/>
      <c r="C862" s="35"/>
      <c r="D862" s="35"/>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103"/>
      <c r="B863" s="42"/>
      <c r="C863" s="35"/>
      <c r="D863" s="35"/>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103"/>
      <c r="B864" s="42"/>
      <c r="C864" s="35"/>
      <c r="D864" s="35"/>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103"/>
      <c r="B865" s="42"/>
      <c r="C865" s="35"/>
      <c r="D865" s="35"/>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103"/>
      <c r="B866" s="42"/>
      <c r="C866" s="35"/>
      <c r="D866" s="35"/>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103"/>
      <c r="B867" s="42"/>
      <c r="C867" s="35"/>
      <c r="D867" s="35"/>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103"/>
      <c r="B868" s="42"/>
      <c r="C868" s="35"/>
      <c r="D868" s="35"/>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103"/>
      <c r="B869" s="42"/>
      <c r="C869" s="35"/>
      <c r="D869" s="35"/>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103"/>
      <c r="B870" s="42"/>
      <c r="C870" s="35"/>
      <c r="D870" s="35"/>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103"/>
      <c r="B871" s="42"/>
      <c r="C871" s="35"/>
      <c r="D871" s="35"/>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103"/>
      <c r="B872" s="42"/>
      <c r="C872" s="35"/>
      <c r="D872" s="35"/>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103"/>
      <c r="B873" s="42"/>
      <c r="C873" s="35"/>
      <c r="D873" s="35"/>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103"/>
      <c r="B874" s="42"/>
      <c r="C874" s="35"/>
      <c r="D874" s="35"/>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103"/>
      <c r="B875" s="42"/>
      <c r="C875" s="35"/>
      <c r="D875" s="35"/>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103"/>
      <c r="B876" s="42"/>
      <c r="C876" s="35"/>
      <c r="D876" s="35"/>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103"/>
      <c r="B877" s="42"/>
      <c r="C877" s="35"/>
      <c r="D877" s="35"/>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103"/>
      <c r="B878" s="42"/>
      <c r="C878" s="35"/>
      <c r="D878" s="35"/>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103"/>
      <c r="B879" s="42"/>
      <c r="C879" s="35"/>
      <c r="D879" s="35"/>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103"/>
      <c r="B880" s="42"/>
      <c r="C880" s="35"/>
      <c r="D880" s="35"/>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103"/>
      <c r="B881" s="42"/>
      <c r="C881" s="35"/>
      <c r="D881" s="35"/>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103"/>
      <c r="B882" s="42"/>
      <c r="C882" s="35"/>
      <c r="D882" s="35"/>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103"/>
      <c r="B883" s="42"/>
      <c r="C883" s="35"/>
      <c r="D883" s="35"/>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103"/>
      <c r="B884" s="42"/>
      <c r="C884" s="35"/>
      <c r="D884" s="35"/>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103"/>
      <c r="B885" s="42"/>
      <c r="C885" s="35"/>
      <c r="D885" s="35"/>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103"/>
      <c r="B886" s="42"/>
      <c r="C886" s="35"/>
      <c r="D886" s="35"/>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103"/>
      <c r="B887" s="42"/>
      <c r="C887" s="35"/>
      <c r="D887" s="35"/>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103"/>
      <c r="B888" s="42"/>
      <c r="C888" s="35"/>
      <c r="D888" s="35"/>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103"/>
      <c r="B889" s="42"/>
      <c r="C889" s="35"/>
      <c r="D889" s="35"/>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103"/>
      <c r="B890" s="42"/>
      <c r="C890" s="35"/>
      <c r="D890" s="35"/>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103"/>
      <c r="B891" s="42"/>
      <c r="C891" s="35"/>
      <c r="D891" s="35"/>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103"/>
      <c r="B892" s="42"/>
      <c r="C892" s="35"/>
      <c r="D892" s="35"/>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103"/>
      <c r="B893" s="42"/>
      <c r="C893" s="35"/>
      <c r="D893" s="35"/>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103"/>
      <c r="B894" s="42"/>
      <c r="C894" s="35"/>
      <c r="D894" s="35"/>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103"/>
      <c r="B895" s="42"/>
      <c r="C895" s="35"/>
      <c r="D895" s="35"/>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103"/>
      <c r="B896" s="42"/>
      <c r="C896" s="35"/>
      <c r="D896" s="35"/>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103"/>
      <c r="B897" s="42"/>
      <c r="C897" s="35"/>
      <c r="D897" s="35"/>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103"/>
      <c r="B898" s="42"/>
      <c r="C898" s="35"/>
      <c r="D898" s="35"/>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103"/>
      <c r="B899" s="42"/>
      <c r="C899" s="35"/>
      <c r="D899" s="35"/>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103"/>
      <c r="B900" s="42"/>
      <c r="C900" s="35"/>
      <c r="D900" s="35"/>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103"/>
      <c r="B901" s="42"/>
      <c r="C901" s="35"/>
      <c r="D901" s="35"/>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103"/>
      <c r="B902" s="42"/>
      <c r="C902" s="35"/>
      <c r="D902" s="35"/>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103"/>
      <c r="B903" s="42"/>
      <c r="C903" s="35"/>
      <c r="D903" s="35"/>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103"/>
      <c r="B904" s="42"/>
      <c r="C904" s="35"/>
      <c r="D904" s="35"/>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103"/>
      <c r="B905" s="42"/>
      <c r="C905" s="35"/>
      <c r="D905" s="35"/>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103"/>
      <c r="B906" s="42"/>
      <c r="C906" s="35"/>
      <c r="D906" s="35"/>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103"/>
      <c r="B907" s="42"/>
      <c r="C907" s="35"/>
      <c r="D907" s="35"/>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103"/>
      <c r="B908" s="42"/>
      <c r="C908" s="35"/>
      <c r="D908" s="35"/>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103"/>
      <c r="B909" s="42"/>
      <c r="C909" s="35"/>
      <c r="D909" s="35"/>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103"/>
      <c r="B910" s="42"/>
      <c r="C910" s="35"/>
      <c r="D910" s="35"/>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103"/>
      <c r="B911" s="42"/>
      <c r="C911" s="35"/>
      <c r="D911" s="35"/>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103"/>
      <c r="B912" s="42"/>
      <c r="C912" s="35"/>
      <c r="D912" s="35"/>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103"/>
      <c r="B913" s="42"/>
      <c r="C913" s="35"/>
      <c r="D913" s="35"/>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103"/>
      <c r="B914" s="42"/>
      <c r="C914" s="35"/>
      <c r="D914" s="35"/>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103"/>
      <c r="B915" s="42"/>
      <c r="C915" s="35"/>
      <c r="D915" s="35"/>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103"/>
      <c r="B916" s="42"/>
      <c r="C916" s="35"/>
      <c r="D916" s="35"/>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103"/>
      <c r="B917" s="42"/>
      <c r="C917" s="35"/>
      <c r="D917" s="35"/>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103"/>
      <c r="B918" s="42"/>
      <c r="C918" s="35"/>
      <c r="D918" s="35"/>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103"/>
      <c r="B919" s="42"/>
      <c r="C919" s="35"/>
      <c r="D919" s="35"/>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103"/>
      <c r="B920" s="42"/>
      <c r="C920" s="35"/>
      <c r="D920" s="35"/>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103"/>
      <c r="B921" s="42"/>
      <c r="C921" s="35"/>
      <c r="D921" s="35"/>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103"/>
      <c r="B922" s="42"/>
      <c r="C922" s="35"/>
      <c r="D922" s="35"/>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103"/>
      <c r="B923" s="42"/>
      <c r="C923" s="35"/>
      <c r="D923" s="35"/>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103"/>
      <c r="B924" s="42"/>
      <c r="C924" s="35"/>
      <c r="D924" s="35"/>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103"/>
      <c r="B925" s="42"/>
      <c r="C925" s="35"/>
      <c r="D925" s="35"/>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103"/>
      <c r="B926" s="42"/>
      <c r="C926" s="35"/>
      <c r="D926" s="35"/>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103"/>
      <c r="B927" s="42"/>
      <c r="C927" s="35"/>
      <c r="D927" s="35"/>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103"/>
      <c r="B928" s="42"/>
      <c r="C928" s="35"/>
      <c r="D928" s="35"/>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103"/>
      <c r="B929" s="42"/>
      <c r="C929" s="35"/>
      <c r="D929" s="35"/>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103"/>
      <c r="B930" s="42"/>
      <c r="C930" s="35"/>
      <c r="D930" s="35"/>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103"/>
      <c r="B931" s="42"/>
      <c r="C931" s="35"/>
      <c r="D931" s="35"/>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103"/>
      <c r="B932" s="42"/>
      <c r="C932" s="35"/>
      <c r="D932" s="35"/>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103"/>
      <c r="B933" s="42"/>
      <c r="C933" s="35"/>
      <c r="D933" s="35"/>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103"/>
      <c r="B934" s="42"/>
      <c r="C934" s="35"/>
      <c r="D934" s="35"/>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103"/>
      <c r="B935" s="42"/>
      <c r="C935" s="35"/>
      <c r="D935" s="35"/>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103"/>
      <c r="B936" s="42"/>
      <c r="C936" s="35"/>
      <c r="D936" s="35"/>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103"/>
      <c r="B937" s="42"/>
      <c r="C937" s="35"/>
      <c r="D937" s="35"/>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103"/>
      <c r="B938" s="42"/>
      <c r="C938" s="35"/>
      <c r="D938" s="35"/>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103"/>
      <c r="B939" s="42"/>
      <c r="C939" s="35"/>
      <c r="D939" s="35"/>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103"/>
      <c r="B940" s="42"/>
      <c r="C940" s="35"/>
      <c r="D940" s="35"/>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103"/>
      <c r="B941" s="42"/>
      <c r="C941" s="35"/>
      <c r="D941" s="35"/>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103"/>
      <c r="B942" s="42"/>
      <c r="C942" s="35"/>
      <c r="D942" s="35"/>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103"/>
      <c r="B943" s="42"/>
      <c r="C943" s="35"/>
      <c r="D943" s="35"/>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103"/>
      <c r="B944" s="42"/>
      <c r="C944" s="35"/>
      <c r="D944" s="35"/>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103"/>
      <c r="B945" s="42"/>
      <c r="C945" s="35"/>
      <c r="D945" s="35"/>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103"/>
      <c r="B946" s="42"/>
      <c r="C946" s="35"/>
      <c r="D946" s="35"/>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103"/>
      <c r="B947" s="42"/>
      <c r="C947" s="35"/>
      <c r="D947" s="35"/>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103"/>
      <c r="B948" s="42"/>
      <c r="C948" s="35"/>
      <c r="D948" s="35"/>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103"/>
      <c r="B949" s="42"/>
      <c r="C949" s="35"/>
      <c r="D949" s="35"/>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103"/>
      <c r="B950" s="42"/>
      <c r="C950" s="35"/>
      <c r="D950" s="35"/>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103"/>
      <c r="B951" s="42"/>
      <c r="C951" s="35"/>
      <c r="D951" s="35"/>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103"/>
      <c r="B952" s="42"/>
      <c r="C952" s="35"/>
      <c r="D952" s="35"/>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103"/>
      <c r="B953" s="42"/>
      <c r="C953" s="35"/>
      <c r="D953" s="35"/>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103"/>
      <c r="B954" s="42"/>
      <c r="C954" s="35"/>
      <c r="D954" s="35"/>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103"/>
      <c r="B955" s="42"/>
      <c r="C955" s="35"/>
      <c r="D955" s="35"/>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103"/>
      <c r="B956" s="42"/>
      <c r="C956" s="35"/>
      <c r="D956" s="35"/>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103"/>
      <c r="B957" s="42"/>
      <c r="C957" s="35"/>
      <c r="D957" s="35"/>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103"/>
      <c r="B958" s="42"/>
      <c r="C958" s="35"/>
      <c r="D958" s="35"/>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103"/>
      <c r="B959" s="42"/>
      <c r="C959" s="35"/>
      <c r="D959" s="35"/>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103"/>
      <c r="B960" s="42"/>
      <c r="C960" s="35"/>
      <c r="D960" s="35"/>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103"/>
      <c r="B961" s="42"/>
      <c r="C961" s="35"/>
      <c r="D961" s="35"/>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103"/>
      <c r="B962" s="42"/>
      <c r="C962" s="35"/>
      <c r="D962" s="35"/>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103"/>
      <c r="B963" s="42"/>
      <c r="C963" s="35"/>
      <c r="D963" s="35"/>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103"/>
      <c r="B964" s="42"/>
      <c r="C964" s="35"/>
      <c r="D964" s="35"/>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103"/>
      <c r="B965" s="42"/>
      <c r="C965" s="35"/>
      <c r="D965" s="35"/>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103"/>
      <c r="B966" s="42"/>
      <c r="C966" s="35"/>
      <c r="D966" s="35"/>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103"/>
      <c r="B967" s="42"/>
      <c r="C967" s="35"/>
      <c r="D967" s="35"/>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103"/>
      <c r="B968" s="42"/>
      <c r="C968" s="35"/>
      <c r="D968" s="35"/>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103"/>
      <c r="B969" s="42"/>
      <c r="C969" s="35"/>
      <c r="D969" s="35"/>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103"/>
      <c r="B970" s="42"/>
      <c r="C970" s="35"/>
      <c r="D970" s="35"/>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103"/>
      <c r="B971" s="42"/>
      <c r="C971" s="35"/>
      <c r="D971" s="35"/>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103"/>
      <c r="B972" s="42"/>
      <c r="C972" s="35"/>
      <c r="D972" s="35"/>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103"/>
      <c r="B973" s="42"/>
      <c r="C973" s="35"/>
      <c r="D973" s="35"/>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103"/>
      <c r="B974" s="42"/>
      <c r="C974" s="35"/>
      <c r="D974" s="35"/>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103"/>
      <c r="B975" s="42"/>
      <c r="C975" s="35"/>
      <c r="D975" s="35"/>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103"/>
      <c r="B976" s="42"/>
      <c r="C976" s="35"/>
      <c r="D976" s="35"/>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103"/>
      <c r="B977" s="42"/>
      <c r="C977" s="35"/>
      <c r="D977" s="35"/>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103"/>
      <c r="B978" s="42"/>
      <c r="C978" s="35"/>
      <c r="D978" s="35"/>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103"/>
      <c r="B979" s="42"/>
      <c r="C979" s="35"/>
      <c r="D979" s="35"/>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103"/>
      <c r="B980" s="42"/>
      <c r="C980" s="35"/>
      <c r="D980" s="35"/>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103"/>
      <c r="B981" s="42"/>
      <c r="C981" s="35"/>
      <c r="D981" s="35"/>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103"/>
      <c r="B982" s="42"/>
      <c r="C982" s="35"/>
      <c r="D982" s="35"/>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103"/>
      <c r="B983" s="42"/>
      <c r="C983" s="35"/>
      <c r="D983" s="35"/>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103"/>
      <c r="B984" s="42"/>
      <c r="C984" s="35"/>
      <c r="D984" s="35"/>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103"/>
      <c r="B985" s="42"/>
      <c r="C985" s="35"/>
      <c r="D985" s="35"/>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103"/>
      <c r="B986" s="42"/>
      <c r="C986" s="35"/>
      <c r="D986" s="35"/>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103"/>
      <c r="B987" s="42"/>
      <c r="C987" s="35"/>
      <c r="D987" s="35"/>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103"/>
      <c r="B988" s="42"/>
      <c r="C988" s="35"/>
      <c r="D988" s="35"/>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103"/>
      <c r="B989" s="42"/>
      <c r="C989" s="35"/>
      <c r="D989" s="35"/>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103"/>
      <c r="B990" s="42"/>
      <c r="C990" s="35"/>
      <c r="D990" s="35"/>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103"/>
      <c r="B991" s="42"/>
      <c r="C991" s="35"/>
      <c r="D991" s="35"/>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103"/>
      <c r="B992" s="42"/>
      <c r="C992" s="35"/>
      <c r="D992" s="35"/>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103"/>
      <c r="B993" s="42"/>
      <c r="C993" s="35"/>
      <c r="D993" s="35"/>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103"/>
      <c r="B994" s="42"/>
      <c r="C994" s="35"/>
      <c r="D994" s="35"/>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103"/>
      <c r="B995" s="42"/>
      <c r="C995" s="35"/>
      <c r="D995" s="35"/>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103"/>
      <c r="B996" s="42"/>
      <c r="C996" s="35"/>
      <c r="D996" s="35"/>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103"/>
      <c r="B997" s="42"/>
      <c r="C997" s="35"/>
      <c r="D997" s="35"/>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103"/>
      <c r="B998" s="42"/>
      <c r="C998" s="35"/>
      <c r="D998" s="35"/>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103"/>
      <c r="B999" s="42"/>
      <c r="C999" s="35"/>
      <c r="D999" s="35"/>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103"/>
      <c r="B1000" s="42"/>
      <c r="C1000" s="35"/>
      <c r="D1000" s="35"/>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conditionalFormatting sqref="B1:D500">
    <cfRule type="expression" dxfId="0" priority="1">
      <formula>(LEN($A1)&gt;0)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2700"/>
  <sheetViews>
    <sheetView workbookViewId="0">
      <pane xSplit="6" ySplit="1" topLeftCell="G2" activePane="bottomRight" state="frozen"/>
      <selection pane="topRight" activeCell="G1" sqref="G1"/>
      <selection pane="bottomLeft" activeCell="A2" sqref="A2"/>
      <selection pane="bottomRight" activeCell="G2" sqref="G2"/>
    </sheetView>
  </sheetViews>
  <sheetFormatPr defaultColWidth="14.44140625" defaultRowHeight="15.75" customHeight="1" x14ac:dyDescent="0.25"/>
  <cols>
    <col min="1" max="1" width="12" customWidth="1"/>
    <col min="2" max="2" width="62.44140625" customWidth="1"/>
    <col min="3" max="3" width="3.109375" customWidth="1"/>
    <col min="4" max="5" width="6.6640625" customWidth="1"/>
    <col min="6" max="6" width="6.88671875" customWidth="1"/>
    <col min="7" max="7" width="3.88671875" customWidth="1"/>
    <col min="8" max="8" width="4.44140625" customWidth="1"/>
    <col min="9" max="10" width="6.6640625" customWidth="1"/>
    <col min="11" max="11" width="5.88671875" customWidth="1"/>
    <col min="12" max="12" width="9.88671875" customWidth="1"/>
    <col min="13" max="13" width="36.5546875" customWidth="1"/>
    <col min="14" max="14" width="42.33203125" customWidth="1"/>
    <col min="15" max="15" width="7.6640625" customWidth="1"/>
    <col min="16" max="16" width="43.88671875" customWidth="1"/>
    <col min="17" max="17" width="4" customWidth="1"/>
    <col min="18" max="20" width="43.88671875" customWidth="1"/>
    <col min="21" max="21" width="6" customWidth="1"/>
  </cols>
  <sheetData>
    <row r="1" spans="1:28" x14ac:dyDescent="0.25">
      <c r="A1" s="110" t="s">
        <v>337</v>
      </c>
      <c r="B1" s="111" t="s">
        <v>338</v>
      </c>
      <c r="C1" s="110" t="s">
        <v>3</v>
      </c>
      <c r="D1" s="110" t="s">
        <v>22</v>
      </c>
      <c r="E1" s="110" t="s">
        <v>22</v>
      </c>
      <c r="F1" s="110" t="s">
        <v>339</v>
      </c>
      <c r="G1" s="110" t="s">
        <v>340</v>
      </c>
      <c r="H1" s="110" t="s">
        <v>341</v>
      </c>
      <c r="I1" s="110" t="s">
        <v>342</v>
      </c>
      <c r="J1" s="110" t="s">
        <v>343</v>
      </c>
      <c r="K1" s="110" t="s">
        <v>4</v>
      </c>
      <c r="L1" s="110" t="s">
        <v>344</v>
      </c>
      <c r="M1" s="112" t="s">
        <v>345</v>
      </c>
      <c r="N1" s="112" t="s">
        <v>346</v>
      </c>
      <c r="O1" s="112" t="s">
        <v>347</v>
      </c>
      <c r="P1" s="112" t="s">
        <v>10</v>
      </c>
      <c r="Q1" s="112" t="s">
        <v>348</v>
      </c>
      <c r="R1" s="112" t="s">
        <v>349</v>
      </c>
      <c r="S1" s="112" t="s">
        <v>350</v>
      </c>
      <c r="T1" s="112" t="s">
        <v>351</v>
      </c>
      <c r="U1" s="113" t="s">
        <v>16</v>
      </c>
      <c r="V1" s="50"/>
      <c r="W1" s="42"/>
      <c r="X1" s="42"/>
      <c r="Y1" s="42"/>
      <c r="Z1" s="42"/>
      <c r="AA1" s="42"/>
      <c r="AB1" s="42"/>
    </row>
    <row r="2" spans="1:28" x14ac:dyDescent="0.25">
      <c r="A2" s="114" t="str">
        <f t="array" ref="A2:A2200">IF(LEN(Mindmap!$A2:$A2200)=0,"",LEFT(Mindmap!$A2:$A2700,SEARCH(" ",Mindmap!$A2:$A2700)-1))</f>
        <v/>
      </c>
      <c r="B2" s="115" t="str">
        <f t="array" ref="B2:B2200">IF(LEN(Mindmap!$A2:$A2200)=0,"",MID(Mindmap!$A2:$A2700,LEN($A2:$A2700)+2,999))</f>
        <v/>
      </c>
      <c r="C2" s="114" t="str">
        <f t="array" ref="C2:C2200">IF(LEN($A2:$A2200)=0,"",LEN($A2:$A2700)+1-LEN(SUBSTITUTE($A2:$A2700&amp;".",".","")))</f>
        <v/>
      </c>
      <c r="D2" s="116" t="str">
        <f t="array" ref="D2:D2200">IF(LEN($A2:$A2200)=0,"",CHOOSE($C2:$C2700,"H","RS","R","RD","RL","RL"))</f>
        <v/>
      </c>
      <c r="E2" s="117" t="str">
        <f t="shared" ref="E2:E2200" si="0">IF(LEN(D2)&gt;0,D2,IF(E1="R","RD",E1))</f>
        <v>T</v>
      </c>
      <c r="F2" s="41" t="str">
        <f t="array" ref="F2:G2200">IF(LEN($A2:$A2200)=0,"",IF(0+$C2:$C2700=1,VLOOKUP($B2:$B2700,Preferences!$B$11:$F$19,COLUMN(Preferences!$D$1:$E$1)-1,0),""))</f>
        <v/>
      </c>
      <c r="G2" s="41" t="str">
        <v/>
      </c>
      <c r="H2" s="117">
        <f t="shared" ref="H2:H2200" si="1">IF(LEN(G2)=0,IF(H1="X",H1,SUM(H1)),G2)</f>
        <v>0</v>
      </c>
      <c r="I2" s="117">
        <f t="shared" ref="I2:I2200" si="2">IF(H2="X","", IF(D2="H",0, IF(D2="RS",I1+1,SUM(I1))))</f>
        <v>0</v>
      </c>
      <c r="J2" s="117">
        <f t="shared" ref="J2:J2200" si="3">IF(LEN(I2)=0,"", IF(D2="RS",I2, IF(D2="R",J1+0.01,SUM(J1))))</f>
        <v>0</v>
      </c>
      <c r="K2" s="117" t="str">
        <f t="shared" ref="K2:K2200" si="4">IF(C2=0,"", IF(LEN(F2)=0,K1,F2))</f>
        <v>Prefix</v>
      </c>
      <c r="L2" s="116" t="str">
        <f t="array" ref="L2:L2200">IF(C2:C2200&lt;3, J2:J2700,K2:K2700&amp;SUBSTITUTE(TEXT(J2:J2700,"00.00"),".",""))</f>
        <v>Prefix0000</v>
      </c>
      <c r="M2" s="118" t="str">
        <f t="array" ref="M2:M2200">IF($C2:$C2200&lt;&gt;1,"",$B2:$B2700)</f>
        <v/>
      </c>
      <c r="N2" s="118" t="str">
        <f t="array" ref="N2:N2200">IF($C2:$C2200&lt;&gt;2,"",$B2:$B2700)</f>
        <v/>
      </c>
      <c r="O2" s="118" t="str">
        <f t="array" ref="O2:O2200">IF(C2:C2200&lt;&gt;3,IF(C2:C2700=2,O$1,""),L2:L2700)</f>
        <v/>
      </c>
      <c r="P2" s="118" t="str">
        <f t="array" ref="P2:P2200">IF(C2:C2200&lt;&gt;3,
        IF(C2:C2700=2,
                IF(VLOOKUP($H2:$H2700, Preferences!$E$11:$G$19,3,0)="y",$N2:$N2700,VLOOKUP($H2:$H2700, Preferences!$E$11:$G$19,2,0)),""),TRIM(MID($B2:$B2700,SEARCH(" ",$B2:$B2700&amp;" ")+1,999))
)</f>
        <v/>
      </c>
      <c r="Q2" s="118" t="str">
        <f t="array" ref="Q2:Q2200">IF(LEN($A2:$A2200)=0,"",IF($K2:$K2700="T","",IF($E2:$E2700&lt;&gt;"RD","",SUBSTITUTE(RIGHT($A2:$A2700,2),"."," ")&amp;". ")))</f>
        <v/>
      </c>
      <c r="R2" s="118" t="str">
        <f t="array" ref="R2:R2200">IF($C2:$C2200&lt;&gt;4,"",$B2:$B2700)</f>
        <v/>
      </c>
      <c r="S2" s="118" t="str">
        <f t="array" ref="S2:S2200">IF($C2:$C2200&lt;5,"",$B2:$B2700)</f>
        <v/>
      </c>
      <c r="T2" s="119" t="str">
        <f>IF($C2&lt;4,IF($C2=3,T3,IF($C2=2,T$1,"")),Q2&amp;R2&amp;IF(LEN(S2)=0,"",Preferences!$C$2&amp;S2)&amp;IF(J3=J2,IF(LEN(R2&amp;S2)=0,"","
")&amp;T3,""))</f>
        <v/>
      </c>
      <c r="U2" s="120" t="str">
        <f t="array" ref="U2:U2200">IF(LEN($A2:$A2200)=0,"",IF($H2:$H2700&lt;&gt;Preferences!$E$13,"",IF($C2:$C2700=3,"New",IF($C2:$C2700=2,U$1,""))))</f>
        <v/>
      </c>
      <c r="V2" s="42"/>
      <c r="W2" s="42"/>
      <c r="X2" s="42"/>
      <c r="Y2" s="42"/>
      <c r="Z2" s="42"/>
      <c r="AA2" s="42"/>
      <c r="AB2" s="42"/>
    </row>
    <row r="3" spans="1:28" x14ac:dyDescent="0.25">
      <c r="A3" s="42" t="str">
        <v>1</v>
      </c>
      <c r="B3" s="121" t="str">
        <v>Functional Requirements</v>
      </c>
      <c r="C3" s="41">
        <v>1</v>
      </c>
      <c r="D3" s="41" t="str">
        <v>H</v>
      </c>
      <c r="E3" s="117" t="str">
        <f t="shared" si="0"/>
        <v>H</v>
      </c>
      <c r="F3" s="41" t="str">
        <v>BR</v>
      </c>
      <c r="G3" s="41" t="str">
        <v>BR</v>
      </c>
      <c r="H3" s="117" t="str">
        <f t="shared" si="1"/>
        <v>BR</v>
      </c>
      <c r="I3" s="117">
        <f t="shared" si="2"/>
        <v>0</v>
      </c>
      <c r="J3" s="117">
        <f t="shared" si="3"/>
        <v>0</v>
      </c>
      <c r="K3" s="117" t="str">
        <f t="shared" si="4"/>
        <v>BR</v>
      </c>
      <c r="L3" s="42">
        <v>0</v>
      </c>
      <c r="M3" s="121" t="str">
        <v>Functional Requirements</v>
      </c>
      <c r="N3" s="121" t="str">
        <v/>
      </c>
      <c r="O3" s="121" t="str">
        <v/>
      </c>
      <c r="P3" s="121" t="str">
        <v/>
      </c>
      <c r="Q3" s="121" t="str">
        <v/>
      </c>
      <c r="R3" s="121" t="str">
        <v/>
      </c>
      <c r="S3" s="121" t="str">
        <v/>
      </c>
      <c r="T3" s="119" t="str">
        <f>IF($C3&lt;4,IF($C3=3,T4,IF($C3=2,T$1,"")),Q3&amp;R3&amp;IF(LEN(S3)=0,"",Preferences!$C$2&amp;S3)&amp;IF(J4=J3,IF(LEN(R3&amp;S3)=0,"","
")&amp;T4,""))</f>
        <v/>
      </c>
      <c r="U3" s="122" t="str">
        <v/>
      </c>
      <c r="V3" s="42"/>
      <c r="W3" s="42"/>
      <c r="X3" s="42"/>
      <c r="Y3" s="42"/>
      <c r="Z3" s="42"/>
      <c r="AA3" s="42"/>
      <c r="AB3" s="42"/>
    </row>
    <row r="4" spans="1:28" x14ac:dyDescent="0.25">
      <c r="A4" s="42" t="str">
        <v>1.1</v>
      </c>
      <c r="B4" s="121" t="str">
        <v>1 Product Classification Structures</v>
      </c>
      <c r="C4" s="41">
        <v>2</v>
      </c>
      <c r="D4" s="41" t="str">
        <v>RS</v>
      </c>
      <c r="E4" s="117" t="str">
        <f t="shared" si="0"/>
        <v>RS</v>
      </c>
      <c r="F4" s="41" t="str">
        <v/>
      </c>
      <c r="G4" s="41" t="str">
        <v/>
      </c>
      <c r="H4" s="117">
        <f t="shared" si="1"/>
        <v>0</v>
      </c>
      <c r="I4" s="117">
        <f t="shared" si="2"/>
        <v>1</v>
      </c>
      <c r="J4" s="117">
        <f t="shared" si="3"/>
        <v>1</v>
      </c>
      <c r="K4" s="117" t="str">
        <f t="shared" si="4"/>
        <v>BR</v>
      </c>
      <c r="L4" s="42">
        <v>1</v>
      </c>
      <c r="M4" s="121" t="str">
        <v/>
      </c>
      <c r="N4" s="121" t="str">
        <v>1 Product Classification Structures</v>
      </c>
      <c r="O4" s="121" t="str">
        <v>ReqID</v>
      </c>
      <c r="P4" s="121" t="e">
        <v>#N/A</v>
      </c>
      <c r="Q4" s="121" t="str">
        <v/>
      </c>
      <c r="R4" s="121" t="str">
        <v/>
      </c>
      <c r="S4" s="121" t="str">
        <v/>
      </c>
      <c r="T4" s="119" t="str">
        <f>IF($C4&lt;4,IF($C4=3,T5,IF($C4=2,T$1,"")),Q4&amp;R4&amp;IF(LEN(S4)=0,"",Preferences!$C$2&amp;S4)&amp;IF(J5=J4,IF(LEN(R4&amp;S4)=0,"","
")&amp;T5,""))</f>
        <v>Description</v>
      </c>
      <c r="U4" s="122" t="str">
        <v/>
      </c>
      <c r="V4" s="42"/>
      <c r="W4" s="42"/>
      <c r="X4" s="42"/>
      <c r="Y4" s="42"/>
      <c r="Z4" s="42"/>
      <c r="AA4" s="42"/>
      <c r="AB4" s="42"/>
    </row>
    <row r="5" spans="1:28" x14ac:dyDescent="0.25">
      <c r="A5" s="42" t="str">
        <v>1.1.1</v>
      </c>
      <c r="B5" s="121" t="str">
        <v>1.1 Maintain a B2C Co products and services catalogue</v>
      </c>
      <c r="C5" s="41">
        <v>3</v>
      </c>
      <c r="D5" s="41" t="str">
        <v>R</v>
      </c>
      <c r="E5" s="117" t="str">
        <f t="shared" si="0"/>
        <v>R</v>
      </c>
      <c r="F5" s="41" t="str">
        <v/>
      </c>
      <c r="G5" s="41" t="str">
        <v/>
      </c>
      <c r="H5" s="117">
        <f t="shared" si="1"/>
        <v>0</v>
      </c>
      <c r="I5" s="117">
        <f t="shared" si="2"/>
        <v>1</v>
      </c>
      <c r="J5" s="117">
        <f t="shared" si="3"/>
        <v>1.01</v>
      </c>
      <c r="K5" s="117" t="str">
        <f t="shared" si="4"/>
        <v>BR</v>
      </c>
      <c r="L5" s="42" t="str">
        <v>BR0101</v>
      </c>
      <c r="M5" s="121" t="str">
        <v/>
      </c>
      <c r="N5" s="121" t="str">
        <v/>
      </c>
      <c r="O5" s="121" t="str">
        <v>BR0101</v>
      </c>
      <c r="P5" s="121" t="str">
        <v>Maintain a B2C Co products and services catalogue</v>
      </c>
      <c r="Q5" s="121" t="str">
        <v/>
      </c>
      <c r="R5" s="121" t="str">
        <v/>
      </c>
      <c r="S5" s="121" t="str">
        <v/>
      </c>
      <c r="T5" s="119" t="str">
        <f>IF($C5&lt;4,IF($C5=3,T6,IF($C5=2,T$1,"")),Q5&amp;R5&amp;IF(LEN(S5)=0,"",Preferences!$C$2&amp;S5)&amp;IF(J6=J5,IF(LEN(R5&amp;S5)=0,"","
")&amp;T6,""))</f>
        <v xml:space="preserve"> 1. Maintain a product and services categorisation hierarchy (product categories) for use by B2C Co to organise the types of products and services it will sell.
 2. Maintain the B2C Co product hierarchy in the Shoprite retail system (SAP Retail), using the existing Shoprite classification hierarchy levels and structure.</v>
      </c>
      <c r="U5" s="122" t="str">
        <v/>
      </c>
      <c r="V5" s="42"/>
      <c r="W5" s="42"/>
      <c r="X5" s="42"/>
      <c r="Y5" s="42"/>
      <c r="Z5" s="42"/>
      <c r="AA5" s="42"/>
      <c r="AB5" s="42"/>
    </row>
    <row r="6" spans="1:28" x14ac:dyDescent="0.25">
      <c r="A6" s="42" t="str">
        <v>1.1.1.1</v>
      </c>
      <c r="B6" s="121" t="str">
        <v>Maintain a product and services categorisation hierarchy (product categories) for use by B2C Co to organise the types of products and services it will sell.</v>
      </c>
      <c r="C6" s="41">
        <v>4</v>
      </c>
      <c r="D6" s="41" t="str">
        <v>RD</v>
      </c>
      <c r="E6" s="117" t="str">
        <f t="shared" si="0"/>
        <v>RD</v>
      </c>
      <c r="F6" s="41" t="str">
        <v/>
      </c>
      <c r="G6" s="41" t="str">
        <v/>
      </c>
      <c r="H6" s="117">
        <f t="shared" si="1"/>
        <v>0</v>
      </c>
      <c r="I6" s="117">
        <f t="shared" si="2"/>
        <v>1</v>
      </c>
      <c r="J6" s="117">
        <f t="shared" si="3"/>
        <v>1.01</v>
      </c>
      <c r="K6" s="117" t="str">
        <f t="shared" si="4"/>
        <v>BR</v>
      </c>
      <c r="L6" s="42" t="str">
        <v>BR0101</v>
      </c>
      <c r="M6" s="121" t="str">
        <v/>
      </c>
      <c r="N6" s="121" t="str">
        <v/>
      </c>
      <c r="O6" s="121" t="str">
        <v/>
      </c>
      <c r="P6" s="121" t="str">
        <v/>
      </c>
      <c r="Q6" s="121" t="str">
        <v xml:space="preserve"> 1. </v>
      </c>
      <c r="R6" s="121" t="str">
        <v>Maintain a product and services categorisation hierarchy (product categories) for use by B2C Co to organise the types of products and services it will sell.</v>
      </c>
      <c r="S6" s="121" t="str">
        <v/>
      </c>
      <c r="T6" s="119" t="str">
        <f>IF($C6&lt;4,IF($C6=3,T7,IF($C6=2,T$1,"")),Q6&amp;R6&amp;IF(LEN(S6)=0,"",Preferences!$C$2&amp;S6)&amp;IF(J7=J6,IF(LEN(R6&amp;S6)=0,"","
")&amp;T7,""))</f>
        <v xml:space="preserve"> 1. Maintain a product and services categorisation hierarchy (product categories) for use by B2C Co to organise the types of products and services it will sell.
 2. Maintain the B2C Co product hierarchy in the Shoprite retail system (SAP Retail), using the existing Shoprite classification hierarchy levels and structure.</v>
      </c>
      <c r="U6" s="122" t="str">
        <v/>
      </c>
      <c r="V6" s="42"/>
      <c r="W6" s="42"/>
      <c r="X6" s="42"/>
      <c r="Y6" s="42"/>
      <c r="Z6" s="42"/>
      <c r="AA6" s="42"/>
      <c r="AB6" s="42"/>
    </row>
    <row r="7" spans="1:28" x14ac:dyDescent="0.25">
      <c r="A7" s="42" t="str">
        <v>1.1.1.2</v>
      </c>
      <c r="B7" s="121" t="str">
        <v>Maintain the B2C Co product hierarchy in the Shoprite retail system (SAP Retail), using the existing Shoprite classification hierarchy levels and structure.</v>
      </c>
      <c r="C7" s="41">
        <v>4</v>
      </c>
      <c r="D7" s="41" t="str">
        <v>RD</v>
      </c>
      <c r="E7" s="117" t="str">
        <f t="shared" si="0"/>
        <v>RD</v>
      </c>
      <c r="F7" s="41" t="str">
        <v/>
      </c>
      <c r="G7" s="41" t="str">
        <v/>
      </c>
      <c r="H7" s="117">
        <f t="shared" si="1"/>
        <v>0</v>
      </c>
      <c r="I7" s="117">
        <f t="shared" si="2"/>
        <v>1</v>
      </c>
      <c r="J7" s="117">
        <f t="shared" si="3"/>
        <v>1.01</v>
      </c>
      <c r="K7" s="117" t="str">
        <f t="shared" si="4"/>
        <v>BR</v>
      </c>
      <c r="L7" s="42" t="str">
        <v>BR0101</v>
      </c>
      <c r="M7" s="121" t="str">
        <v/>
      </c>
      <c r="N7" s="121" t="str">
        <v/>
      </c>
      <c r="O7" s="121" t="str">
        <v/>
      </c>
      <c r="P7" s="121" t="str">
        <v/>
      </c>
      <c r="Q7" s="121" t="str">
        <v xml:space="preserve"> 2. </v>
      </c>
      <c r="R7" s="121" t="str">
        <v>Maintain the B2C Co product hierarchy in the Shoprite retail system (SAP Retail), using the existing Shoprite classification hierarchy levels and structure.</v>
      </c>
      <c r="S7" s="121" t="str">
        <v/>
      </c>
      <c r="T7" s="119" t="str">
        <f>IF($C7&lt;4,IF($C7=3,T8,IF($C7=2,T$1,"")),Q7&amp;R7&amp;IF(LEN(S7)=0,"",Preferences!$C$2&amp;S7)&amp;IF(J8=J7,IF(LEN(R7&amp;S7)=0,"","
")&amp;T8,""))</f>
        <v xml:space="preserve"> 2. Maintain the B2C Co product hierarchy in the Shoprite retail system (SAP Retail), using the existing Shoprite classification hierarchy levels and structure.</v>
      </c>
      <c r="U7" s="122" t="str">
        <v/>
      </c>
      <c r="V7" s="42"/>
      <c r="W7" s="42"/>
      <c r="X7" s="42"/>
      <c r="Y7" s="42"/>
      <c r="Z7" s="42"/>
      <c r="AA7" s="42"/>
      <c r="AB7" s="42"/>
    </row>
    <row r="8" spans="1:28" x14ac:dyDescent="0.25">
      <c r="A8" s="42" t="str">
        <v>1.1.2</v>
      </c>
      <c r="B8" s="121" t="str">
        <v>1.2 Maintain content meta-tag hierarchy structures for B2C Co products and services</v>
      </c>
      <c r="C8" s="41">
        <v>3</v>
      </c>
      <c r="D8" s="41" t="str">
        <v>R</v>
      </c>
      <c r="E8" s="117" t="str">
        <f t="shared" si="0"/>
        <v>R</v>
      </c>
      <c r="F8" s="41" t="str">
        <v/>
      </c>
      <c r="G8" s="41" t="str">
        <v/>
      </c>
      <c r="H8" s="117">
        <f t="shared" si="1"/>
        <v>0</v>
      </c>
      <c r="I8" s="117">
        <f t="shared" si="2"/>
        <v>1</v>
      </c>
      <c r="J8" s="117">
        <f t="shared" si="3"/>
        <v>1.02</v>
      </c>
      <c r="K8" s="117" t="str">
        <f t="shared" si="4"/>
        <v>BR</v>
      </c>
      <c r="L8" s="42" t="str">
        <v>BR0102</v>
      </c>
      <c r="M8" s="121" t="str">
        <v/>
      </c>
      <c r="N8" s="121" t="str">
        <v/>
      </c>
      <c r="O8" s="121" t="str">
        <v>BR0102</v>
      </c>
      <c r="P8" s="121" t="str">
        <v>Maintain content meta-tag hierarchy structures for B2C Co products and services</v>
      </c>
      <c r="Q8" s="121" t="str">
        <v/>
      </c>
      <c r="R8" s="121" t="str">
        <v/>
      </c>
      <c r="S8" s="121" t="str">
        <v/>
      </c>
      <c r="T8" s="119" t="str">
        <f>IF($C8&lt;4,IF($C8=3,T9,IF($C8=2,T$1,"")),Q8&amp;R8&amp;IF(LEN(S8)=0,"",Preferences!$C$2&amp;S8)&amp;IF(J9=J8,IF(LEN(R8&amp;S8)=0,"","
")&amp;T9,""))</f>
        <v xml:space="preserve"> 1. Maintain hierarchy structures for tagging content, to cover at least the following:
	• Seasons
	• Special Events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8" s="122" t="str">
        <v/>
      </c>
      <c r="V8" s="42"/>
      <c r="W8" s="42"/>
      <c r="X8" s="42"/>
      <c r="Y8" s="42"/>
      <c r="Z8" s="42"/>
      <c r="AA8" s="42"/>
      <c r="AB8" s="42"/>
    </row>
    <row r="9" spans="1:28" x14ac:dyDescent="0.25">
      <c r="A9" s="42" t="str">
        <v>1.1.2.1</v>
      </c>
      <c r="B9" s="121" t="str">
        <v>Maintain hierarchy structures for tagging content, to cover at least the following:</v>
      </c>
      <c r="C9" s="41">
        <v>4</v>
      </c>
      <c r="D9" s="41" t="str">
        <v>RD</v>
      </c>
      <c r="E9" s="117" t="str">
        <f t="shared" si="0"/>
        <v>RD</v>
      </c>
      <c r="F9" s="41" t="str">
        <v/>
      </c>
      <c r="G9" s="41" t="str">
        <v/>
      </c>
      <c r="H9" s="117">
        <f t="shared" si="1"/>
        <v>0</v>
      </c>
      <c r="I9" s="117">
        <f t="shared" si="2"/>
        <v>1</v>
      </c>
      <c r="J9" s="117">
        <f t="shared" si="3"/>
        <v>1.02</v>
      </c>
      <c r="K9" s="117" t="str">
        <f t="shared" si="4"/>
        <v>BR</v>
      </c>
      <c r="L9" s="42" t="str">
        <v>BR0102</v>
      </c>
      <c r="M9" s="121" t="str">
        <v/>
      </c>
      <c r="N9" s="121" t="str">
        <v/>
      </c>
      <c r="O9" s="121" t="str">
        <v/>
      </c>
      <c r="P9" s="121" t="str">
        <v/>
      </c>
      <c r="Q9" s="121" t="str">
        <v xml:space="preserve"> 1. </v>
      </c>
      <c r="R9" s="121" t="str">
        <v>Maintain hierarchy structures for tagging content, to cover at least the following:</v>
      </c>
      <c r="S9" s="121" t="str">
        <v/>
      </c>
      <c r="T9" s="119" t="str">
        <f>IF($C9&lt;4,IF($C9=3,T10,IF($C9=2,T$1,"")),Q9&amp;R9&amp;IF(LEN(S9)=0,"",Preferences!$C$2&amp;S9)&amp;IF(J10=J9,IF(LEN(R9&amp;S9)=0,"","
")&amp;T10,""))</f>
        <v xml:space="preserve"> 1. Maintain hierarchy structures for tagging content, to cover at least the following:
	• Seasons
	• Special Events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9" s="122" t="str">
        <v/>
      </c>
      <c r="V9" s="42"/>
      <c r="W9" s="42"/>
      <c r="X9" s="42"/>
      <c r="Y9" s="42"/>
      <c r="Z9" s="42"/>
      <c r="AA9" s="42"/>
      <c r="AB9" s="42"/>
    </row>
    <row r="10" spans="1:28" x14ac:dyDescent="0.25">
      <c r="A10" s="42" t="str">
        <v>1.1.2.1.1</v>
      </c>
      <c r="B10" s="121" t="str">
        <v>Seasons</v>
      </c>
      <c r="C10" s="41">
        <v>5</v>
      </c>
      <c r="D10" s="41" t="str">
        <v>RL</v>
      </c>
      <c r="E10" s="117" t="str">
        <f t="shared" si="0"/>
        <v>RL</v>
      </c>
      <c r="F10" s="41" t="str">
        <v/>
      </c>
      <c r="G10" s="41" t="str">
        <v/>
      </c>
      <c r="H10" s="117">
        <f t="shared" si="1"/>
        <v>0</v>
      </c>
      <c r="I10" s="117">
        <f t="shared" si="2"/>
        <v>1</v>
      </c>
      <c r="J10" s="117">
        <f t="shared" si="3"/>
        <v>1.02</v>
      </c>
      <c r="K10" s="117" t="str">
        <f t="shared" si="4"/>
        <v>BR</v>
      </c>
      <c r="L10" s="42" t="str">
        <v>BR0102</v>
      </c>
      <c r="M10" s="121" t="str">
        <v/>
      </c>
      <c r="N10" s="121" t="str">
        <v/>
      </c>
      <c r="O10" s="121" t="str">
        <v/>
      </c>
      <c r="P10" s="121" t="str">
        <v/>
      </c>
      <c r="Q10" s="121" t="str">
        <v/>
      </c>
      <c r="R10" s="121" t="str">
        <v/>
      </c>
      <c r="S10" s="121" t="str">
        <v>Seasons</v>
      </c>
      <c r="T10" s="119" t="str">
        <f>IF($C10&lt;4,IF($C10=3,T11,IF($C10=2,T$1,"")),Q10&amp;R10&amp;IF(LEN(S10)=0,"",Preferences!$C$2&amp;S10)&amp;IF(J11=J10,IF(LEN(R10&amp;S10)=0,"","
")&amp;T11,""))</f>
        <v xml:space="preserve">	• Seasons
	• Special Events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0" s="122" t="str">
        <v/>
      </c>
      <c r="V10" s="42"/>
      <c r="W10" s="42"/>
      <c r="X10" s="42"/>
      <c r="Y10" s="42"/>
      <c r="Z10" s="42"/>
      <c r="AA10" s="42"/>
      <c r="AB10" s="42"/>
    </row>
    <row r="11" spans="1:28" x14ac:dyDescent="0.25">
      <c r="A11" s="42" t="str">
        <v>1.1.2.1.2</v>
      </c>
      <c r="B11" s="121" t="str">
        <v>Special Events</v>
      </c>
      <c r="C11" s="41">
        <v>5</v>
      </c>
      <c r="D11" s="41" t="str">
        <v>RL</v>
      </c>
      <c r="E11" s="117" t="str">
        <f t="shared" si="0"/>
        <v>RL</v>
      </c>
      <c r="F11" s="41" t="str">
        <v/>
      </c>
      <c r="G11" s="41" t="str">
        <v/>
      </c>
      <c r="H11" s="117">
        <f t="shared" si="1"/>
        <v>0</v>
      </c>
      <c r="I11" s="117">
        <f t="shared" si="2"/>
        <v>1</v>
      </c>
      <c r="J11" s="117">
        <f t="shared" si="3"/>
        <v>1.02</v>
      </c>
      <c r="K11" s="117" t="str">
        <f t="shared" si="4"/>
        <v>BR</v>
      </c>
      <c r="L11" s="42" t="str">
        <v>BR0102</v>
      </c>
      <c r="M11" s="121" t="str">
        <v/>
      </c>
      <c r="N11" s="121" t="str">
        <v/>
      </c>
      <c r="O11" s="121" t="str">
        <v/>
      </c>
      <c r="P11" s="121" t="str">
        <v/>
      </c>
      <c r="Q11" s="121" t="str">
        <v/>
      </c>
      <c r="R11" s="121" t="str">
        <v/>
      </c>
      <c r="S11" s="121" t="str">
        <v>Special Events</v>
      </c>
      <c r="T11" s="119" t="str">
        <f>IF($C11&lt;4,IF($C11=3,T12,IF($C11=2,T$1,"")),Q11&amp;R11&amp;IF(LEN(S11)=0,"",Preferences!$C$2&amp;S11)&amp;IF(J12=J11,IF(LEN(R11&amp;S11)=0,"","
")&amp;T12,""))</f>
        <v xml:space="preserve">	• Special Events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1" s="122" t="str">
        <v/>
      </c>
      <c r="V11" s="42"/>
      <c r="W11" s="42"/>
      <c r="X11" s="42"/>
      <c r="Y11" s="42"/>
      <c r="Z11" s="42"/>
      <c r="AA11" s="42"/>
      <c r="AB11" s="42"/>
    </row>
    <row r="12" spans="1:28" x14ac:dyDescent="0.25">
      <c r="A12" s="42" t="str">
        <v>1.1.2.1.3</v>
      </c>
      <c r="B12" s="121" t="str">
        <v>Product Property-Types (e.g. wheels, legs, wired/cordless)</v>
      </c>
      <c r="C12" s="41">
        <v>5</v>
      </c>
      <c r="D12" s="41" t="str">
        <v>RL</v>
      </c>
      <c r="E12" s="117" t="str">
        <f t="shared" si="0"/>
        <v>RL</v>
      </c>
      <c r="F12" s="41" t="str">
        <v/>
      </c>
      <c r="G12" s="41" t="str">
        <v/>
      </c>
      <c r="H12" s="117">
        <f t="shared" si="1"/>
        <v>0</v>
      </c>
      <c r="I12" s="117">
        <f t="shared" si="2"/>
        <v>1</v>
      </c>
      <c r="J12" s="117">
        <f t="shared" si="3"/>
        <v>1.02</v>
      </c>
      <c r="K12" s="117" t="str">
        <f t="shared" si="4"/>
        <v>BR</v>
      </c>
      <c r="L12" s="42" t="str">
        <v>BR0102</v>
      </c>
      <c r="M12" s="121" t="str">
        <v/>
      </c>
      <c r="N12" s="121" t="str">
        <v/>
      </c>
      <c r="O12" s="121" t="str">
        <v/>
      </c>
      <c r="P12" s="121" t="str">
        <v/>
      </c>
      <c r="Q12" s="121" t="str">
        <v/>
      </c>
      <c r="R12" s="121" t="str">
        <v/>
      </c>
      <c r="S12" s="121" t="str">
        <v>Product Property-Types (e.g. wheels, legs, wired/cordless)</v>
      </c>
      <c r="T12" s="119" t="str">
        <f>IF($C12&lt;4,IF($C12=3,T13,IF($C12=2,T$1,"")),Q12&amp;R12&amp;IF(LEN(S12)=0,"",Preferences!$C$2&amp;S12)&amp;IF(J13=J12,IF(LEN(R12&amp;S12)=0,"","
")&amp;T13,""))</f>
        <v xml:space="preserve">	• Product Property-Types (e.g. wheels, legs, wired/cordless)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2" s="122" t="str">
        <v/>
      </c>
      <c r="V12" s="42"/>
      <c r="W12" s="42"/>
      <c r="X12" s="42"/>
      <c r="Y12" s="42"/>
      <c r="Z12" s="42"/>
      <c r="AA12" s="42"/>
      <c r="AB12" s="42"/>
    </row>
    <row r="13" spans="1:28" x14ac:dyDescent="0.25">
      <c r="A13" s="42" t="str">
        <v>1.1.2.1.4</v>
      </c>
      <c r="B13" s="121" t="str">
        <v>Product Materials (e.g. material, plastic, wood, metal)</v>
      </c>
      <c r="C13" s="41">
        <v>5</v>
      </c>
      <c r="D13" s="41" t="str">
        <v>RL</v>
      </c>
      <c r="E13" s="117" t="str">
        <f t="shared" si="0"/>
        <v>RL</v>
      </c>
      <c r="F13" s="41" t="str">
        <v/>
      </c>
      <c r="G13" s="41" t="str">
        <v/>
      </c>
      <c r="H13" s="117">
        <f t="shared" si="1"/>
        <v>0</v>
      </c>
      <c r="I13" s="117">
        <f t="shared" si="2"/>
        <v>1</v>
      </c>
      <c r="J13" s="117">
        <f t="shared" si="3"/>
        <v>1.02</v>
      </c>
      <c r="K13" s="117" t="str">
        <f t="shared" si="4"/>
        <v>BR</v>
      </c>
      <c r="L13" s="42" t="str">
        <v>BR0102</v>
      </c>
      <c r="M13" s="121" t="str">
        <v/>
      </c>
      <c r="N13" s="121" t="str">
        <v/>
      </c>
      <c r="O13" s="121" t="str">
        <v/>
      </c>
      <c r="P13" s="121" t="str">
        <v/>
      </c>
      <c r="Q13" s="121" t="str">
        <v/>
      </c>
      <c r="R13" s="121" t="str">
        <v/>
      </c>
      <c r="S13" s="121" t="str">
        <v>Product Materials (e.g. material, plastic, wood, metal)</v>
      </c>
      <c r="T13" s="119" t="str">
        <f>IF($C13&lt;4,IF($C13=3,T14,IF($C13=2,T$1,"")),Q13&amp;R13&amp;IF(LEN(S13)=0,"",Preferences!$C$2&amp;S13)&amp;IF(J14=J13,IF(LEN(R13&amp;S13)=0,"","
")&amp;T14,""))</f>
        <v xml:space="preserve">	• Product Materials (e.g. material, plastic, wood, metal)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3" s="122" t="str">
        <v/>
      </c>
      <c r="V13" s="42"/>
      <c r="W13" s="42"/>
      <c r="X13" s="42"/>
      <c r="Y13" s="42"/>
      <c r="Z13" s="42"/>
      <c r="AA13" s="42"/>
      <c r="AB13" s="42"/>
    </row>
    <row r="14" spans="1:28" x14ac:dyDescent="0.25">
      <c r="A14" s="42" t="str">
        <v>1.1.2.1.5</v>
      </c>
      <c r="B14" s="121" t="str">
        <v>Collections of products related to a specific buying objective (e.g. "feeding your new infant")</v>
      </c>
      <c r="C14" s="41">
        <v>5</v>
      </c>
      <c r="D14" s="41" t="str">
        <v>RL</v>
      </c>
      <c r="E14" s="117" t="str">
        <f t="shared" si="0"/>
        <v>RL</v>
      </c>
      <c r="F14" s="41" t="str">
        <v/>
      </c>
      <c r="G14" s="41" t="str">
        <v/>
      </c>
      <c r="H14" s="117">
        <f t="shared" si="1"/>
        <v>0</v>
      </c>
      <c r="I14" s="117">
        <f t="shared" si="2"/>
        <v>1</v>
      </c>
      <c r="J14" s="117">
        <f t="shared" si="3"/>
        <v>1.02</v>
      </c>
      <c r="K14" s="117" t="str">
        <f t="shared" si="4"/>
        <v>BR</v>
      </c>
      <c r="L14" s="42" t="str">
        <v>BR0102</v>
      </c>
      <c r="M14" s="121" t="str">
        <v/>
      </c>
      <c r="N14" s="121" t="str">
        <v/>
      </c>
      <c r="O14" s="121" t="str">
        <v/>
      </c>
      <c r="P14" s="121" t="str">
        <v/>
      </c>
      <c r="Q14" s="121" t="str">
        <v/>
      </c>
      <c r="R14" s="121" t="str">
        <v/>
      </c>
      <c r="S14" s="121" t="str">
        <v>Collections of products related to a specific buying objective (e.g. "feeding your new infant")</v>
      </c>
      <c r="T14" s="119" t="str">
        <f>IF($C14&lt;4,IF($C14=3,T15,IF($C14=2,T$1,"")),Q14&amp;R14&amp;IF(LEN(S14)=0,"",Preferences!$C$2&amp;S14)&amp;IF(J15=J14,IF(LEN(R14&amp;S14)=0,"","
")&amp;T15,""))</f>
        <v xml:space="preserve">	• Collections of products related to a specific buying objective (e.g. "feeding your new infant")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4" s="122" t="str">
        <v/>
      </c>
      <c r="V14" s="42"/>
      <c r="W14" s="42"/>
      <c r="X14" s="42"/>
      <c r="Y14" s="42"/>
      <c r="Z14" s="42"/>
      <c r="AA14" s="42"/>
      <c r="AB14" s="42"/>
    </row>
    <row r="15" spans="1:28" x14ac:dyDescent="0.25">
      <c r="A15" s="42" t="str">
        <v>1.1.2.1.6</v>
      </c>
      <c r="B15" s="121" t="str">
        <v>Child age group (0-6 months, 7-12 months, 1-2 years, 2-3 years, etc.)</v>
      </c>
      <c r="C15" s="41">
        <v>5</v>
      </c>
      <c r="D15" s="41" t="str">
        <v>RL</v>
      </c>
      <c r="E15" s="117" t="str">
        <f t="shared" si="0"/>
        <v>RL</v>
      </c>
      <c r="F15" s="41" t="str">
        <v/>
      </c>
      <c r="G15" s="41" t="str">
        <v/>
      </c>
      <c r="H15" s="117">
        <f t="shared" si="1"/>
        <v>0</v>
      </c>
      <c r="I15" s="117">
        <f t="shared" si="2"/>
        <v>1</v>
      </c>
      <c r="J15" s="117">
        <f t="shared" si="3"/>
        <v>1.02</v>
      </c>
      <c r="K15" s="117" t="str">
        <f t="shared" si="4"/>
        <v>BR</v>
      </c>
      <c r="L15" s="42" t="str">
        <v>BR0102</v>
      </c>
      <c r="M15" s="121" t="str">
        <v/>
      </c>
      <c r="N15" s="121" t="str">
        <v/>
      </c>
      <c r="O15" s="121" t="str">
        <v/>
      </c>
      <c r="P15" s="121" t="str">
        <v/>
      </c>
      <c r="Q15" s="121" t="str">
        <v/>
      </c>
      <c r="R15" s="121" t="str">
        <v/>
      </c>
      <c r="S15" s="121" t="str">
        <v>Child age group (0-6 months, 7-12 months, 1-2 years, 2-3 years, etc.)</v>
      </c>
      <c r="T15" s="119" t="str">
        <f>IF($C15&lt;4,IF($C15=3,T16,IF($C15=2,T$1,"")),Q15&amp;R15&amp;IF(LEN(S15)=0,"",Preferences!$C$2&amp;S15)&amp;IF(J16=J15,IF(LEN(R15&amp;S15)=0,"","
")&amp;T16,""))</f>
        <v xml:space="preserve">	• Child age group (0-6 months, 7-12 months, 1-2 years, 2-3 years, etc.)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5" s="122" t="str">
        <v/>
      </c>
      <c r="V15" s="42"/>
      <c r="W15" s="42"/>
      <c r="X15" s="42"/>
      <c r="Y15" s="42"/>
      <c r="Z15" s="42"/>
      <c r="AA15" s="42"/>
      <c r="AB15" s="42"/>
    </row>
    <row r="16" spans="1:28" x14ac:dyDescent="0.25">
      <c r="A16" s="42" t="str">
        <v>1.1.2.1.7</v>
      </c>
      <c r="B16" s="121" t="str">
        <v>Child gender (unisex/any, female/girl, male/boy)</v>
      </c>
      <c r="C16" s="41">
        <v>5</v>
      </c>
      <c r="D16" s="41" t="str">
        <v>RL</v>
      </c>
      <c r="E16" s="117" t="str">
        <f t="shared" si="0"/>
        <v>RL</v>
      </c>
      <c r="F16" s="41" t="str">
        <v/>
      </c>
      <c r="G16" s="41" t="str">
        <v/>
      </c>
      <c r="H16" s="117">
        <f t="shared" si="1"/>
        <v>0</v>
      </c>
      <c r="I16" s="117">
        <f t="shared" si="2"/>
        <v>1</v>
      </c>
      <c r="J16" s="117">
        <f t="shared" si="3"/>
        <v>1.02</v>
      </c>
      <c r="K16" s="117" t="str">
        <f t="shared" si="4"/>
        <v>BR</v>
      </c>
      <c r="L16" s="42" t="str">
        <v>BR0102</v>
      </c>
      <c r="M16" s="121" t="str">
        <v/>
      </c>
      <c r="N16" s="121" t="str">
        <v/>
      </c>
      <c r="O16" s="121" t="str">
        <v/>
      </c>
      <c r="P16" s="121" t="str">
        <v/>
      </c>
      <c r="Q16" s="121" t="str">
        <v/>
      </c>
      <c r="R16" s="121" t="str">
        <v/>
      </c>
      <c r="S16" s="121" t="str">
        <v>Child gender (unisex/any, female/girl, male/boy)</v>
      </c>
      <c r="T16" s="119" t="str">
        <f>IF($C16&lt;4,IF($C16=3,T17,IF($C16=2,T$1,"")),Q16&amp;R16&amp;IF(LEN(S16)=0,"",Preferences!$C$2&amp;S16)&amp;IF(J17=J16,IF(LEN(R16&amp;S16)=0,"","
")&amp;T17,""))</f>
        <v xml:space="preserve">	• Child gender (unisex/any, female/girl, male/boy)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6" s="122" t="str">
        <v/>
      </c>
      <c r="V16" s="42"/>
      <c r="W16" s="42"/>
      <c r="X16" s="42"/>
      <c r="Y16" s="42"/>
      <c r="Z16" s="42"/>
      <c r="AA16" s="42"/>
      <c r="AB16" s="42"/>
    </row>
    <row r="17" spans="1:28" x14ac:dyDescent="0.25">
      <c r="A17" s="42" t="str">
        <v>1.1.2.1.8</v>
      </c>
      <c r="B17" s="121" t="str">
        <v>Child development group (Infant, toddler, etc.)</v>
      </c>
      <c r="C17" s="41">
        <v>5</v>
      </c>
      <c r="D17" s="41" t="str">
        <v>RL</v>
      </c>
      <c r="E17" s="117" t="str">
        <f t="shared" si="0"/>
        <v>RL</v>
      </c>
      <c r="F17" s="41" t="str">
        <v/>
      </c>
      <c r="G17" s="41" t="str">
        <v/>
      </c>
      <c r="H17" s="117">
        <f t="shared" si="1"/>
        <v>0</v>
      </c>
      <c r="I17" s="117">
        <f t="shared" si="2"/>
        <v>1</v>
      </c>
      <c r="J17" s="117">
        <f t="shared" si="3"/>
        <v>1.02</v>
      </c>
      <c r="K17" s="117" t="str">
        <f t="shared" si="4"/>
        <v>BR</v>
      </c>
      <c r="L17" s="42" t="str">
        <v>BR0102</v>
      </c>
      <c r="M17" s="121" t="str">
        <v/>
      </c>
      <c r="N17" s="121" t="str">
        <v/>
      </c>
      <c r="O17" s="121" t="str">
        <v/>
      </c>
      <c r="P17" s="121" t="str">
        <v/>
      </c>
      <c r="Q17" s="121" t="str">
        <v/>
      </c>
      <c r="R17" s="121" t="str">
        <v/>
      </c>
      <c r="S17" s="121" t="str">
        <v>Child development group (Infant, toddler, etc.)</v>
      </c>
      <c r="T17" s="119" t="str">
        <f>IF($C17&lt;4,IF($C17=3,T18,IF($C17=2,T$1,"")),Q17&amp;R17&amp;IF(LEN(S17)=0,"",Preferences!$C$2&amp;S17)&amp;IF(J18=J17,IF(LEN(R17&amp;S17)=0,"","
")&amp;T18,""))</f>
        <v xml:space="preserve">	• Child development group (Infant, toddler, etc.)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7" s="122" t="str">
        <v/>
      </c>
      <c r="V17" s="42"/>
      <c r="W17" s="42"/>
      <c r="X17" s="42"/>
      <c r="Y17" s="42"/>
      <c r="Z17" s="42"/>
      <c r="AA17" s="42"/>
      <c r="AB17" s="42"/>
    </row>
    <row r="18" spans="1:28" x14ac:dyDescent="0.25">
      <c r="A18" s="42" t="str">
        <v>1.1.2.2</v>
      </c>
      <c r="B18" s="121" t="str">
        <v>Develop and maintain a tag hierarchy methodology, to ensure tag consistency.</v>
      </c>
      <c r="C18" s="41">
        <v>4</v>
      </c>
      <c r="D18" s="41" t="str">
        <v>RD</v>
      </c>
      <c r="E18" s="117" t="str">
        <f t="shared" si="0"/>
        <v>RD</v>
      </c>
      <c r="F18" s="41" t="str">
        <v/>
      </c>
      <c r="G18" s="41" t="str">
        <v/>
      </c>
      <c r="H18" s="117">
        <f t="shared" si="1"/>
        <v>0</v>
      </c>
      <c r="I18" s="117">
        <f t="shared" si="2"/>
        <v>1</v>
      </c>
      <c r="J18" s="117">
        <f t="shared" si="3"/>
        <v>1.02</v>
      </c>
      <c r="K18" s="117" t="str">
        <f t="shared" si="4"/>
        <v>BR</v>
      </c>
      <c r="L18" s="42" t="str">
        <v>BR0102</v>
      </c>
      <c r="M18" s="121" t="str">
        <v/>
      </c>
      <c r="N18" s="121" t="str">
        <v/>
      </c>
      <c r="O18" s="121" t="str">
        <v/>
      </c>
      <c r="P18" s="121" t="str">
        <v/>
      </c>
      <c r="Q18" s="121" t="str">
        <v xml:space="preserve"> 2. </v>
      </c>
      <c r="R18" s="121" t="str">
        <v>Develop and maintain a tag hierarchy methodology, to ensure tag consistency.</v>
      </c>
      <c r="S18" s="121" t="str">
        <v/>
      </c>
      <c r="T18" s="119" t="str">
        <f>IF($C18&lt;4,IF($C18=3,T19,IF($C18=2,T$1,"")),Q18&amp;R18&amp;IF(LEN(S18)=0,"",Preferences!$C$2&amp;S18)&amp;IF(J19=J18,IF(LEN(R18&amp;S18)=0,"","
")&amp;T19,""))</f>
        <v xml:space="preserve"> 2. Develop and maintain a tag hierarchy methodology, to ensure tag consistency.
 3. Maintain a synonym relationship for tag terms (e.g. stroller, walker, carry-cot)
 4. One/more content meta-tags may be applied to:
	• Products
	• Advertisements
	• Special Content
 5. Cater for an Article category and subcategory hierarchy.</v>
      </c>
      <c r="U18" s="122" t="str">
        <v/>
      </c>
      <c r="V18" s="42"/>
      <c r="W18" s="42"/>
      <c r="X18" s="42"/>
      <c r="Y18" s="42"/>
      <c r="Z18" s="42"/>
      <c r="AA18" s="42"/>
      <c r="AB18" s="42"/>
    </row>
    <row r="19" spans="1:28" x14ac:dyDescent="0.25">
      <c r="A19" s="42" t="str">
        <v>1.1.2.3</v>
      </c>
      <c r="B19" s="121" t="str">
        <v>Maintain a synonym relationship for tag terms (e.g. stroller, walker, carry-cot)</v>
      </c>
      <c r="C19" s="41">
        <v>4</v>
      </c>
      <c r="D19" s="41" t="str">
        <v>RD</v>
      </c>
      <c r="E19" s="117" t="str">
        <f t="shared" si="0"/>
        <v>RD</v>
      </c>
      <c r="F19" s="41" t="str">
        <v/>
      </c>
      <c r="G19" s="41" t="str">
        <v/>
      </c>
      <c r="H19" s="117">
        <f t="shared" si="1"/>
        <v>0</v>
      </c>
      <c r="I19" s="117">
        <f t="shared" si="2"/>
        <v>1</v>
      </c>
      <c r="J19" s="117">
        <f t="shared" si="3"/>
        <v>1.02</v>
      </c>
      <c r="K19" s="117" t="str">
        <f t="shared" si="4"/>
        <v>BR</v>
      </c>
      <c r="L19" s="42" t="str">
        <v>BR0102</v>
      </c>
      <c r="M19" s="121" t="str">
        <v/>
      </c>
      <c r="N19" s="121" t="str">
        <v/>
      </c>
      <c r="O19" s="121" t="str">
        <v/>
      </c>
      <c r="P19" s="121" t="str">
        <v/>
      </c>
      <c r="Q19" s="121" t="str">
        <v xml:space="preserve"> 3. </v>
      </c>
      <c r="R19" s="121" t="str">
        <v>Maintain a synonym relationship for tag terms (e.g. stroller, walker, carry-cot)</v>
      </c>
      <c r="S19" s="121" t="str">
        <v/>
      </c>
      <c r="T19" s="119" t="str">
        <f>IF($C19&lt;4,IF($C19=3,T20,IF($C19=2,T$1,"")),Q19&amp;R19&amp;IF(LEN(S19)=0,"",Preferences!$C$2&amp;S19)&amp;IF(J20=J19,IF(LEN(R19&amp;S19)=0,"","
")&amp;T20,""))</f>
        <v xml:space="preserve"> 3. Maintain a synonym relationship for tag terms (e.g. stroller, walker, carry-cot)
 4. One/more content meta-tags may be applied to:
	• Products
	• Advertisements
	• Special Content
 5. Cater for an Article category and subcategory hierarchy.</v>
      </c>
      <c r="U19" s="122" t="str">
        <v/>
      </c>
      <c r="V19" s="42"/>
      <c r="W19" s="42"/>
      <c r="X19" s="42"/>
      <c r="Y19" s="42"/>
      <c r="Z19" s="42"/>
      <c r="AA19" s="42"/>
      <c r="AB19" s="42"/>
    </row>
    <row r="20" spans="1:28" x14ac:dyDescent="0.25">
      <c r="A20" s="42" t="str">
        <v>1.1.2.4</v>
      </c>
      <c r="B20" s="121" t="str">
        <v>One/more content meta-tags may be applied to:</v>
      </c>
      <c r="C20" s="41">
        <v>4</v>
      </c>
      <c r="D20" s="41" t="str">
        <v>RD</v>
      </c>
      <c r="E20" s="117" t="str">
        <f t="shared" si="0"/>
        <v>RD</v>
      </c>
      <c r="F20" s="41" t="str">
        <v/>
      </c>
      <c r="G20" s="41" t="str">
        <v/>
      </c>
      <c r="H20" s="117">
        <f t="shared" si="1"/>
        <v>0</v>
      </c>
      <c r="I20" s="117">
        <f t="shared" si="2"/>
        <v>1</v>
      </c>
      <c r="J20" s="117">
        <f t="shared" si="3"/>
        <v>1.02</v>
      </c>
      <c r="K20" s="117" t="str">
        <f t="shared" si="4"/>
        <v>BR</v>
      </c>
      <c r="L20" s="42" t="str">
        <v>BR0102</v>
      </c>
      <c r="M20" s="121" t="str">
        <v/>
      </c>
      <c r="N20" s="121" t="str">
        <v/>
      </c>
      <c r="O20" s="121" t="str">
        <v/>
      </c>
      <c r="P20" s="121" t="str">
        <v/>
      </c>
      <c r="Q20" s="121" t="str">
        <v xml:space="preserve"> 4. </v>
      </c>
      <c r="R20" s="121" t="str">
        <v>One/more content meta-tags may be applied to:</v>
      </c>
      <c r="S20" s="121" t="str">
        <v/>
      </c>
      <c r="T20" s="119" t="str">
        <f>IF($C20&lt;4,IF($C20=3,T21,IF($C20=2,T$1,"")),Q20&amp;R20&amp;IF(LEN(S20)=0,"",Preferences!$C$2&amp;S20)&amp;IF(J21=J20,IF(LEN(R20&amp;S20)=0,"","
")&amp;T21,""))</f>
        <v xml:space="preserve"> 4. One/more content meta-tags may be applied to:
	• Products
	• Advertisements
	• Special Content
 5. Cater for an Article category and subcategory hierarchy.</v>
      </c>
      <c r="U20" s="122" t="str">
        <v/>
      </c>
      <c r="V20" s="42"/>
      <c r="W20" s="42"/>
      <c r="X20" s="42"/>
      <c r="Y20" s="42"/>
      <c r="Z20" s="42"/>
      <c r="AA20" s="42"/>
      <c r="AB20" s="42"/>
    </row>
    <row r="21" spans="1:28" x14ac:dyDescent="0.25">
      <c r="A21" s="42" t="str">
        <v>1.1.2.4.1</v>
      </c>
      <c r="B21" s="121" t="str">
        <v>Products</v>
      </c>
      <c r="C21" s="41">
        <v>5</v>
      </c>
      <c r="D21" s="41" t="str">
        <v>RL</v>
      </c>
      <c r="E21" s="117" t="str">
        <f t="shared" si="0"/>
        <v>RL</v>
      </c>
      <c r="F21" s="41" t="str">
        <v/>
      </c>
      <c r="G21" s="41" t="str">
        <v/>
      </c>
      <c r="H21" s="117">
        <f t="shared" si="1"/>
        <v>0</v>
      </c>
      <c r="I21" s="117">
        <f t="shared" si="2"/>
        <v>1</v>
      </c>
      <c r="J21" s="117">
        <f t="shared" si="3"/>
        <v>1.02</v>
      </c>
      <c r="K21" s="117" t="str">
        <f t="shared" si="4"/>
        <v>BR</v>
      </c>
      <c r="L21" s="42" t="str">
        <v>BR0102</v>
      </c>
      <c r="M21" s="121" t="str">
        <v/>
      </c>
      <c r="N21" s="121" t="str">
        <v/>
      </c>
      <c r="O21" s="121" t="str">
        <v/>
      </c>
      <c r="P21" s="121" t="str">
        <v/>
      </c>
      <c r="Q21" s="121" t="str">
        <v/>
      </c>
      <c r="R21" s="121" t="str">
        <v/>
      </c>
      <c r="S21" s="121" t="str">
        <v>Products</v>
      </c>
      <c r="T21" s="119" t="str">
        <f>IF($C21&lt;4,IF($C21=3,T22,IF($C21=2,T$1,"")),Q21&amp;R21&amp;IF(LEN(S21)=0,"",Preferences!$C$2&amp;S21)&amp;IF(J22=J21,IF(LEN(R21&amp;S21)=0,"","
")&amp;T22,""))</f>
        <v xml:space="preserve">	• Products
	• Advertisements
	• Special Content
 5. Cater for an Article category and subcategory hierarchy.</v>
      </c>
      <c r="U21" s="122" t="str">
        <v/>
      </c>
      <c r="V21" s="42"/>
      <c r="W21" s="42"/>
      <c r="X21" s="42"/>
      <c r="Y21" s="42"/>
      <c r="Z21" s="42"/>
      <c r="AA21" s="42"/>
      <c r="AB21" s="42"/>
    </row>
    <row r="22" spans="1:28" x14ac:dyDescent="0.25">
      <c r="A22" s="42" t="str">
        <v>1.1.2.4.2</v>
      </c>
      <c r="B22" s="121" t="str">
        <v>Advertisements</v>
      </c>
      <c r="C22" s="41">
        <v>5</v>
      </c>
      <c r="D22" s="41" t="str">
        <v>RL</v>
      </c>
      <c r="E22" s="117" t="str">
        <f t="shared" si="0"/>
        <v>RL</v>
      </c>
      <c r="F22" s="41" t="str">
        <v/>
      </c>
      <c r="G22" s="41" t="str">
        <v/>
      </c>
      <c r="H22" s="117">
        <f t="shared" si="1"/>
        <v>0</v>
      </c>
      <c r="I22" s="117">
        <f t="shared" si="2"/>
        <v>1</v>
      </c>
      <c r="J22" s="117">
        <f t="shared" si="3"/>
        <v>1.02</v>
      </c>
      <c r="K22" s="117" t="str">
        <f t="shared" si="4"/>
        <v>BR</v>
      </c>
      <c r="L22" s="42" t="str">
        <v>BR0102</v>
      </c>
      <c r="M22" s="121" t="str">
        <v/>
      </c>
      <c r="N22" s="121" t="str">
        <v/>
      </c>
      <c r="O22" s="121" t="str">
        <v/>
      </c>
      <c r="P22" s="121" t="str">
        <v/>
      </c>
      <c r="Q22" s="121" t="str">
        <v/>
      </c>
      <c r="R22" s="121" t="str">
        <v/>
      </c>
      <c r="S22" s="121" t="str">
        <v>Advertisements</v>
      </c>
      <c r="T22" s="119" t="str">
        <f>IF($C22&lt;4,IF($C22=3,T23,IF($C22=2,T$1,"")),Q22&amp;R22&amp;IF(LEN(S22)=0,"",Preferences!$C$2&amp;S22)&amp;IF(J23=J22,IF(LEN(R22&amp;S22)=0,"","
")&amp;T23,""))</f>
        <v xml:space="preserve">	• Advertisements
	• Special Content
 5. Cater for an Article category and subcategory hierarchy.</v>
      </c>
      <c r="U22" s="122" t="str">
        <v/>
      </c>
      <c r="V22" s="42"/>
      <c r="W22" s="42"/>
      <c r="X22" s="42"/>
      <c r="Y22" s="42"/>
      <c r="Z22" s="42"/>
      <c r="AA22" s="42"/>
      <c r="AB22" s="42"/>
    </row>
    <row r="23" spans="1:28" x14ac:dyDescent="0.25">
      <c r="A23" s="42" t="str">
        <v>1.1.2.4.3</v>
      </c>
      <c r="B23" s="121" t="str">
        <v>Special Content</v>
      </c>
      <c r="C23" s="41">
        <v>5</v>
      </c>
      <c r="D23" s="41" t="str">
        <v>RL</v>
      </c>
      <c r="E23" s="117" t="str">
        <f t="shared" si="0"/>
        <v>RL</v>
      </c>
      <c r="F23" s="41" t="str">
        <v/>
      </c>
      <c r="G23" s="41" t="str">
        <v/>
      </c>
      <c r="H23" s="117">
        <f t="shared" si="1"/>
        <v>0</v>
      </c>
      <c r="I23" s="117">
        <f t="shared" si="2"/>
        <v>1</v>
      </c>
      <c r="J23" s="117">
        <f t="shared" si="3"/>
        <v>1.02</v>
      </c>
      <c r="K23" s="117" t="str">
        <f t="shared" si="4"/>
        <v>BR</v>
      </c>
      <c r="L23" s="42" t="str">
        <v>BR0102</v>
      </c>
      <c r="M23" s="121" t="str">
        <v/>
      </c>
      <c r="N23" s="121" t="str">
        <v/>
      </c>
      <c r="O23" s="121" t="str">
        <v/>
      </c>
      <c r="P23" s="121" t="str">
        <v/>
      </c>
      <c r="Q23" s="121" t="str">
        <v/>
      </c>
      <c r="R23" s="121" t="str">
        <v/>
      </c>
      <c r="S23" s="121" t="str">
        <v>Special Content</v>
      </c>
      <c r="T23" s="119" t="str">
        <f>IF($C23&lt;4,IF($C23=3,T24,IF($C23=2,T$1,"")),Q23&amp;R23&amp;IF(LEN(S23)=0,"",Preferences!$C$2&amp;S23)&amp;IF(J24=J23,IF(LEN(R23&amp;S23)=0,"","
")&amp;T24,""))</f>
        <v xml:space="preserve">	• Special Content
 5. Cater for an Article category and subcategory hierarchy.</v>
      </c>
      <c r="U23" s="122" t="str">
        <v/>
      </c>
      <c r="V23" s="42"/>
      <c r="W23" s="42"/>
      <c r="X23" s="42"/>
      <c r="Y23" s="42"/>
      <c r="Z23" s="42"/>
      <c r="AA23" s="42"/>
      <c r="AB23" s="42"/>
    </row>
    <row r="24" spans="1:28" x14ac:dyDescent="0.25">
      <c r="A24" s="42" t="str">
        <v>1.1.2.5</v>
      </c>
      <c r="B24" s="121" t="str">
        <v>Cater for an Article category and subcategory hierarchy.</v>
      </c>
      <c r="C24" s="41">
        <v>4</v>
      </c>
      <c r="D24" s="41" t="str">
        <v>RD</v>
      </c>
      <c r="E24" s="117" t="str">
        <f t="shared" si="0"/>
        <v>RD</v>
      </c>
      <c r="F24" s="41" t="str">
        <v/>
      </c>
      <c r="G24" s="41" t="str">
        <v/>
      </c>
      <c r="H24" s="117">
        <f t="shared" si="1"/>
        <v>0</v>
      </c>
      <c r="I24" s="117">
        <f t="shared" si="2"/>
        <v>1</v>
      </c>
      <c r="J24" s="117">
        <f t="shared" si="3"/>
        <v>1.02</v>
      </c>
      <c r="K24" s="117" t="str">
        <f t="shared" si="4"/>
        <v>BR</v>
      </c>
      <c r="L24" s="42" t="str">
        <v>BR0102</v>
      </c>
      <c r="M24" s="121" t="str">
        <v/>
      </c>
      <c r="N24" s="121" t="str">
        <v/>
      </c>
      <c r="O24" s="121" t="str">
        <v/>
      </c>
      <c r="P24" s="121" t="str">
        <v/>
      </c>
      <c r="Q24" s="121" t="str">
        <v xml:space="preserve"> 5. </v>
      </c>
      <c r="R24" s="121" t="str">
        <v>Cater for an Article category and subcategory hierarchy.</v>
      </c>
      <c r="S24" s="121" t="str">
        <v/>
      </c>
      <c r="T24" s="119" t="str">
        <f>IF($C24&lt;4,IF($C24=3,T25,IF($C24=2,T$1,"")),Q24&amp;R24&amp;IF(LEN(S24)=0,"",Preferences!$C$2&amp;S24)&amp;IF(J25=J24,IF(LEN(R24&amp;S24)=0,"","
")&amp;T25,""))</f>
        <v xml:space="preserve"> 5. Cater for an Article category and subcategory hierarchy.</v>
      </c>
      <c r="U24" s="122" t="str">
        <v/>
      </c>
      <c r="V24" s="42"/>
      <c r="W24" s="42"/>
      <c r="X24" s="42"/>
      <c r="Y24" s="42"/>
      <c r="Z24" s="42"/>
      <c r="AA24" s="42"/>
      <c r="AB24" s="42"/>
    </row>
    <row r="25" spans="1:28" x14ac:dyDescent="0.25">
      <c r="A25" s="42" t="str">
        <v>1.2</v>
      </c>
      <c r="B25" s="121" t="str">
        <v>2 Product and Service Suppliers</v>
      </c>
      <c r="C25" s="41">
        <v>2</v>
      </c>
      <c r="D25" s="41" t="str">
        <v>RS</v>
      </c>
      <c r="E25" s="117" t="str">
        <f t="shared" si="0"/>
        <v>RS</v>
      </c>
      <c r="F25" s="41" t="str">
        <v/>
      </c>
      <c r="G25" s="41" t="str">
        <v/>
      </c>
      <c r="H25" s="117">
        <f t="shared" si="1"/>
        <v>0</v>
      </c>
      <c r="I25" s="117">
        <f t="shared" si="2"/>
        <v>2</v>
      </c>
      <c r="J25" s="117">
        <f t="shared" si="3"/>
        <v>2</v>
      </c>
      <c r="K25" s="117" t="str">
        <f t="shared" si="4"/>
        <v>BR</v>
      </c>
      <c r="L25" s="42">
        <v>2</v>
      </c>
      <c r="M25" s="121" t="str">
        <v/>
      </c>
      <c r="N25" s="121" t="str">
        <v>2 Product and Service Suppliers</v>
      </c>
      <c r="O25" s="121" t="str">
        <v>ReqID</v>
      </c>
      <c r="P25" s="121" t="e">
        <v>#N/A</v>
      </c>
      <c r="Q25" s="121" t="str">
        <v/>
      </c>
      <c r="R25" s="121" t="str">
        <v/>
      </c>
      <c r="S25" s="121" t="str">
        <v/>
      </c>
      <c r="T25" s="119" t="str">
        <f>IF($C25&lt;4,IF($C25=3,T26,IF($C25=2,T$1,"")),Q25&amp;R25&amp;IF(LEN(S25)=0,"",Preferences!$C$2&amp;S25)&amp;IF(J26=J25,IF(LEN(R25&amp;S25)=0,"","
")&amp;T26,""))</f>
        <v>Description</v>
      </c>
      <c r="U25" s="122" t="str">
        <v/>
      </c>
      <c r="V25" s="42"/>
      <c r="W25" s="42"/>
      <c r="X25" s="42"/>
      <c r="Y25" s="42"/>
      <c r="Z25" s="42"/>
      <c r="AA25" s="42"/>
      <c r="AB25" s="42"/>
    </row>
    <row r="26" spans="1:28" x14ac:dyDescent="0.25">
      <c r="A26" s="42" t="str">
        <v>1.2.1</v>
      </c>
      <c r="B26" s="121" t="str">
        <v>2.1 Take-on a B2C Co product supplier</v>
      </c>
      <c r="C26" s="41">
        <v>3</v>
      </c>
      <c r="D26" s="41" t="str">
        <v>R</v>
      </c>
      <c r="E26" s="117" t="str">
        <f t="shared" si="0"/>
        <v>R</v>
      </c>
      <c r="F26" s="41" t="str">
        <v/>
      </c>
      <c r="G26" s="41" t="str">
        <v/>
      </c>
      <c r="H26" s="117">
        <f t="shared" si="1"/>
        <v>0</v>
      </c>
      <c r="I26" s="117">
        <f t="shared" si="2"/>
        <v>2</v>
      </c>
      <c r="J26" s="117">
        <f t="shared" si="3"/>
        <v>2.0099999999999998</v>
      </c>
      <c r="K26" s="117" t="str">
        <f t="shared" si="4"/>
        <v>BR</v>
      </c>
      <c r="L26" s="42" t="str">
        <v>BR0201</v>
      </c>
      <c r="M26" s="121" t="str">
        <v/>
      </c>
      <c r="N26" s="121" t="str">
        <v/>
      </c>
      <c r="O26" s="121" t="str">
        <v>BR0201</v>
      </c>
      <c r="P26" s="121" t="str">
        <v>Take-on a B2C Co product supplier</v>
      </c>
      <c r="Q26" s="121" t="str">
        <v/>
      </c>
      <c r="R26" s="121" t="str">
        <v/>
      </c>
      <c r="S26" s="121" t="str">
        <v/>
      </c>
      <c r="T26" s="119" t="str">
        <f>IF($C26&lt;4,IF($C26=3,T27,IF($C26=2,T$1,"")),Q26&amp;R26&amp;IF(LEN(S26)=0,"",Preferences!$C$2&amp;S26)&amp;IF(J27=J26,IF(LEN(R26&amp;S26)=0,"","
")&amp;T27,""))</f>
        <v xml:space="preserve"> 1. Initially, B2C Co will focus on selling only products.
 2. Contract the supplier, to meet the B2C Co service conditions for the given product.
 3. Configure the supplier in the Shoprite financial system (SAP Finance)
 4. Configure the supplier in the Shoprite retail system (SAP Retail), as supplier to the B2C Co online business.</v>
      </c>
      <c r="U26" s="122" t="str">
        <v/>
      </c>
      <c r="V26" s="42"/>
      <c r="W26" s="42"/>
      <c r="X26" s="42"/>
      <c r="Y26" s="42"/>
      <c r="Z26" s="42"/>
      <c r="AA26" s="42"/>
      <c r="AB26" s="42"/>
    </row>
    <row r="27" spans="1:28" x14ac:dyDescent="0.25">
      <c r="A27" s="42" t="str">
        <v>1.2.1.1</v>
      </c>
      <c r="B27" s="121" t="str">
        <v>Initially, B2C Co will focus on selling only products.</v>
      </c>
      <c r="C27" s="41">
        <v>4</v>
      </c>
      <c r="D27" s="41" t="str">
        <v>RD</v>
      </c>
      <c r="E27" s="117" t="str">
        <f t="shared" si="0"/>
        <v>RD</v>
      </c>
      <c r="F27" s="41" t="str">
        <v/>
      </c>
      <c r="G27" s="41" t="str">
        <v/>
      </c>
      <c r="H27" s="117">
        <f t="shared" si="1"/>
        <v>0</v>
      </c>
      <c r="I27" s="117">
        <f t="shared" si="2"/>
        <v>2</v>
      </c>
      <c r="J27" s="117">
        <f t="shared" si="3"/>
        <v>2.0099999999999998</v>
      </c>
      <c r="K27" s="117" t="str">
        <f t="shared" si="4"/>
        <v>BR</v>
      </c>
      <c r="L27" s="42" t="str">
        <v>BR0201</v>
      </c>
      <c r="M27" s="121" t="str">
        <v/>
      </c>
      <c r="N27" s="121" t="str">
        <v/>
      </c>
      <c r="O27" s="121" t="str">
        <v/>
      </c>
      <c r="P27" s="121" t="str">
        <v/>
      </c>
      <c r="Q27" s="121" t="str">
        <v xml:space="preserve"> 1. </v>
      </c>
      <c r="R27" s="121" t="str">
        <v>Initially, B2C Co will focus on selling only products.</v>
      </c>
      <c r="S27" s="121" t="str">
        <v/>
      </c>
      <c r="T27" s="119" t="str">
        <f>IF($C27&lt;4,IF($C27=3,T28,IF($C27=2,T$1,"")),Q27&amp;R27&amp;IF(LEN(S27)=0,"",Preferences!$C$2&amp;S27)&amp;IF(J28=J27,IF(LEN(R27&amp;S27)=0,"","
")&amp;T28,""))</f>
        <v xml:space="preserve"> 1. Initially, B2C Co will focus on selling only products.
 2. Contract the supplier, to meet the B2C Co service conditions for the given product.
 3. Configure the supplier in the Shoprite financial system (SAP Finance)
 4. Configure the supplier in the Shoprite retail system (SAP Retail), as supplier to the B2C Co online business.</v>
      </c>
      <c r="U27" s="122" t="str">
        <v/>
      </c>
      <c r="V27" s="42"/>
      <c r="W27" s="42"/>
      <c r="X27" s="42"/>
      <c r="Y27" s="42"/>
      <c r="Z27" s="42"/>
      <c r="AA27" s="42"/>
      <c r="AB27" s="42"/>
    </row>
    <row r="28" spans="1:28" x14ac:dyDescent="0.25">
      <c r="A28" s="42" t="str">
        <v>1.2.1.2</v>
      </c>
      <c r="B28" s="121" t="str">
        <v>Contract the supplier, to meet the B2C Co service conditions for the given product.</v>
      </c>
      <c r="C28" s="41">
        <v>4</v>
      </c>
      <c r="D28" s="41" t="str">
        <v>RD</v>
      </c>
      <c r="E28" s="117" t="str">
        <f t="shared" si="0"/>
        <v>RD</v>
      </c>
      <c r="F28" s="41" t="str">
        <v/>
      </c>
      <c r="G28" s="41" t="str">
        <v/>
      </c>
      <c r="H28" s="117">
        <f t="shared" si="1"/>
        <v>0</v>
      </c>
      <c r="I28" s="117">
        <f t="shared" si="2"/>
        <v>2</v>
      </c>
      <c r="J28" s="117">
        <f t="shared" si="3"/>
        <v>2.0099999999999998</v>
      </c>
      <c r="K28" s="117" t="str">
        <f t="shared" si="4"/>
        <v>BR</v>
      </c>
      <c r="L28" s="42" t="str">
        <v>BR0201</v>
      </c>
      <c r="M28" s="121" t="str">
        <v/>
      </c>
      <c r="N28" s="121" t="str">
        <v/>
      </c>
      <c r="O28" s="121" t="str">
        <v/>
      </c>
      <c r="P28" s="121" t="str">
        <v/>
      </c>
      <c r="Q28" s="121" t="str">
        <v xml:space="preserve"> 2. </v>
      </c>
      <c r="R28" s="121" t="str">
        <v>Contract the supplier, to meet the B2C Co service conditions for the given product.</v>
      </c>
      <c r="S28" s="121" t="str">
        <v/>
      </c>
      <c r="T28" s="119" t="str">
        <f>IF($C28&lt;4,IF($C28=3,T29,IF($C28=2,T$1,"")),Q28&amp;R28&amp;IF(LEN(S28)=0,"",Preferences!$C$2&amp;S28)&amp;IF(J29=J28,IF(LEN(R28&amp;S28)=0,"","
")&amp;T29,""))</f>
        <v xml:space="preserve"> 2. Contract the supplier, to meet the B2C Co service conditions for the given product.
 3. Configure the supplier in the Shoprite financial system (SAP Finance)
 4. Configure the supplier in the Shoprite retail system (SAP Retail), as supplier to the B2C Co online business.</v>
      </c>
      <c r="U28" s="122" t="str">
        <v/>
      </c>
      <c r="V28" s="42"/>
      <c r="W28" s="42"/>
      <c r="X28" s="42"/>
      <c r="Y28" s="42"/>
      <c r="Z28" s="42"/>
      <c r="AA28" s="42"/>
      <c r="AB28" s="42"/>
    </row>
    <row r="29" spans="1:28" x14ac:dyDescent="0.25">
      <c r="A29" s="42" t="str">
        <v>1.2.1.3</v>
      </c>
      <c r="B29" s="121" t="str">
        <v>Configure the supplier in the Shoprite financial system (SAP Finance)</v>
      </c>
      <c r="C29" s="41">
        <v>4</v>
      </c>
      <c r="D29" s="41" t="str">
        <v>RD</v>
      </c>
      <c r="E29" s="117" t="str">
        <f t="shared" si="0"/>
        <v>RD</v>
      </c>
      <c r="F29" s="41" t="str">
        <v/>
      </c>
      <c r="G29" s="41" t="str">
        <v/>
      </c>
      <c r="H29" s="117">
        <f t="shared" si="1"/>
        <v>0</v>
      </c>
      <c r="I29" s="117">
        <f t="shared" si="2"/>
        <v>2</v>
      </c>
      <c r="J29" s="117">
        <f t="shared" si="3"/>
        <v>2.0099999999999998</v>
      </c>
      <c r="K29" s="117" t="str">
        <f t="shared" si="4"/>
        <v>BR</v>
      </c>
      <c r="L29" s="42" t="str">
        <v>BR0201</v>
      </c>
      <c r="M29" s="121" t="str">
        <v/>
      </c>
      <c r="N29" s="121" t="str">
        <v/>
      </c>
      <c r="O29" s="121" t="str">
        <v/>
      </c>
      <c r="P29" s="121" t="str">
        <v/>
      </c>
      <c r="Q29" s="121" t="str">
        <v xml:space="preserve"> 3. </v>
      </c>
      <c r="R29" s="121" t="str">
        <v>Configure the supplier in the Shoprite financial system (SAP Finance)</v>
      </c>
      <c r="S29" s="121" t="str">
        <v/>
      </c>
      <c r="T29" s="119" t="str">
        <f>IF($C29&lt;4,IF($C29=3,T30,IF($C29=2,T$1,"")),Q29&amp;R29&amp;IF(LEN(S29)=0,"",Preferences!$C$2&amp;S29)&amp;IF(J30=J29,IF(LEN(R29&amp;S29)=0,"","
")&amp;T30,""))</f>
        <v xml:space="preserve"> 3. Configure the supplier in the Shoprite financial system (SAP Finance)
 4. Configure the supplier in the Shoprite retail system (SAP Retail), as supplier to the B2C Co online business.</v>
      </c>
      <c r="U29" s="122" t="str">
        <v/>
      </c>
      <c r="V29" s="42"/>
      <c r="W29" s="42"/>
      <c r="X29" s="42"/>
      <c r="Y29" s="42"/>
      <c r="Z29" s="42"/>
      <c r="AA29" s="42"/>
      <c r="AB29" s="42"/>
    </row>
    <row r="30" spans="1:28" x14ac:dyDescent="0.25">
      <c r="A30" s="42" t="str">
        <v>1.2.1.4</v>
      </c>
      <c r="B30" s="121" t="str">
        <v>Configure the supplier in the Shoprite retail system (SAP Retail), as supplier to the B2C Co online business.</v>
      </c>
      <c r="C30" s="41">
        <v>4</v>
      </c>
      <c r="D30" s="41" t="str">
        <v>RD</v>
      </c>
      <c r="E30" s="117" t="str">
        <f t="shared" si="0"/>
        <v>RD</v>
      </c>
      <c r="F30" s="41" t="str">
        <v/>
      </c>
      <c r="G30" s="41" t="str">
        <v/>
      </c>
      <c r="H30" s="117">
        <f t="shared" si="1"/>
        <v>0</v>
      </c>
      <c r="I30" s="117">
        <f t="shared" si="2"/>
        <v>2</v>
      </c>
      <c r="J30" s="117">
        <f t="shared" si="3"/>
        <v>2.0099999999999998</v>
      </c>
      <c r="K30" s="117" t="str">
        <f t="shared" si="4"/>
        <v>BR</v>
      </c>
      <c r="L30" s="42" t="str">
        <v>BR0201</v>
      </c>
      <c r="M30" s="121" t="str">
        <v/>
      </c>
      <c r="N30" s="121" t="str">
        <v/>
      </c>
      <c r="O30" s="121" t="str">
        <v/>
      </c>
      <c r="P30" s="121" t="str">
        <v/>
      </c>
      <c r="Q30" s="121" t="str">
        <v xml:space="preserve"> 4. </v>
      </c>
      <c r="R30" s="121" t="str">
        <v>Configure the supplier in the Shoprite retail system (SAP Retail), as supplier to the B2C Co online business.</v>
      </c>
      <c r="S30" s="121" t="str">
        <v/>
      </c>
      <c r="T30" s="119" t="str">
        <f>IF($C30&lt;4,IF($C30=3,T31,IF($C30=2,T$1,"")),Q30&amp;R30&amp;IF(LEN(S30)=0,"",Preferences!$C$2&amp;S30)&amp;IF(J31=J30,IF(LEN(R30&amp;S30)=0,"","
")&amp;T31,""))</f>
        <v xml:space="preserve"> 4. Configure the supplier in the Shoprite retail system (SAP Retail), as supplier to the B2C Co online business.</v>
      </c>
      <c r="U30" s="122" t="str">
        <v/>
      </c>
      <c r="V30" s="42"/>
      <c r="W30" s="42"/>
      <c r="X30" s="42"/>
      <c r="Y30" s="42"/>
      <c r="Z30" s="42"/>
      <c r="AA30" s="42"/>
      <c r="AB30" s="42"/>
    </row>
    <row r="31" spans="1:28" x14ac:dyDescent="0.25">
      <c r="A31" s="42" t="str">
        <v>1.2.2</v>
      </c>
      <c r="B31" s="121" t="str">
        <v>2.2 B2C Co suppliers provide up-to-date product and service details</v>
      </c>
      <c r="C31" s="41">
        <v>3</v>
      </c>
      <c r="D31" s="41" t="str">
        <v>R</v>
      </c>
      <c r="E31" s="117" t="str">
        <f t="shared" si="0"/>
        <v>R</v>
      </c>
      <c r="F31" s="41" t="str">
        <v/>
      </c>
      <c r="G31" s="41" t="str">
        <v/>
      </c>
      <c r="H31" s="117">
        <f t="shared" si="1"/>
        <v>0</v>
      </c>
      <c r="I31" s="117">
        <f t="shared" si="2"/>
        <v>2</v>
      </c>
      <c r="J31" s="117">
        <f t="shared" si="3"/>
        <v>2.0199999999999996</v>
      </c>
      <c r="K31" s="117" t="str">
        <f t="shared" si="4"/>
        <v>BR</v>
      </c>
      <c r="L31" s="42" t="str">
        <v>BR0202</v>
      </c>
      <c r="M31" s="121" t="str">
        <v/>
      </c>
      <c r="N31" s="121" t="str">
        <v/>
      </c>
      <c r="O31" s="121" t="str">
        <v>BR0202</v>
      </c>
      <c r="P31" s="121" t="str">
        <v>B2C Co suppliers provide up-to-date product and service details</v>
      </c>
      <c r="Q31" s="121" t="str">
        <v/>
      </c>
      <c r="R31" s="121" t="str">
        <v/>
      </c>
      <c r="S31" s="121" t="str">
        <v/>
      </c>
      <c r="T31" s="119" t="str">
        <f>IF($C31&lt;4,IF($C31=3,T32,IF($C31=2,T$1,"")),Q31&amp;R31&amp;IF(LEN(S31)=0,"",Preferences!$C$2&amp;S31)&amp;IF(J32=J31,IF(LEN(R31&amp;S31)=0,"","
")&amp;T32,""))</f>
        <v xml:space="preserve"> 1. B2C Co suppliers provide up-to-date product and service details, to include at least the following:
	• Product barcode unknown (when supplier order is placed)
	• Product temporarily out-of-stock / back-in-stock must always submitted to B2C Co (real-time)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1" s="122" t="str">
        <v/>
      </c>
      <c r="V31" s="42"/>
      <c r="W31" s="42"/>
      <c r="X31" s="42"/>
      <c r="Y31" s="42"/>
      <c r="Z31" s="42"/>
      <c r="AA31" s="42"/>
      <c r="AB31" s="42"/>
    </row>
    <row r="32" spans="1:28" x14ac:dyDescent="0.25">
      <c r="A32" s="42" t="str">
        <v>1.2.2.1</v>
      </c>
      <c r="B32" s="121" t="str">
        <v>B2C Co suppliers provide up-to-date product and service details, to include at least the following:</v>
      </c>
      <c r="C32" s="41">
        <v>4</v>
      </c>
      <c r="D32" s="41" t="str">
        <v>RD</v>
      </c>
      <c r="E32" s="117" t="str">
        <f t="shared" si="0"/>
        <v>RD</v>
      </c>
      <c r="F32" s="41" t="str">
        <v/>
      </c>
      <c r="G32" s="41" t="str">
        <v/>
      </c>
      <c r="H32" s="117">
        <f t="shared" si="1"/>
        <v>0</v>
      </c>
      <c r="I32" s="117">
        <f t="shared" si="2"/>
        <v>2</v>
      </c>
      <c r="J32" s="117">
        <f t="shared" si="3"/>
        <v>2.0199999999999996</v>
      </c>
      <c r="K32" s="117" t="str">
        <f t="shared" si="4"/>
        <v>BR</v>
      </c>
      <c r="L32" s="42" t="str">
        <v>BR0202</v>
      </c>
      <c r="M32" s="121" t="str">
        <v/>
      </c>
      <c r="N32" s="121" t="str">
        <v/>
      </c>
      <c r="O32" s="121" t="str">
        <v/>
      </c>
      <c r="P32" s="121" t="str">
        <v/>
      </c>
      <c r="Q32" s="121" t="str">
        <v xml:space="preserve"> 1. </v>
      </c>
      <c r="R32" s="121" t="str">
        <v>B2C Co suppliers provide up-to-date product and service details, to include at least the following:</v>
      </c>
      <c r="S32" s="121" t="str">
        <v/>
      </c>
      <c r="T32" s="119" t="str">
        <f>IF($C32&lt;4,IF($C32=3,T33,IF($C32=2,T$1,"")),Q32&amp;R32&amp;IF(LEN(S32)=0,"",Preferences!$C$2&amp;S32)&amp;IF(J33=J32,IF(LEN(R32&amp;S32)=0,"","
")&amp;T33,""))</f>
        <v xml:space="preserve"> 1. B2C Co suppliers provide up-to-date product and service details, to include at least the following:
	• Product barcode unknown (when supplier order is placed)
	• Product temporarily out-of-stock / back-in-stock must always submitted to B2C Co (real-time)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2" s="122" t="str">
        <v/>
      </c>
      <c r="V32" s="42"/>
      <c r="W32" s="42"/>
      <c r="X32" s="42"/>
      <c r="Y32" s="42"/>
      <c r="Z32" s="42"/>
      <c r="AA32" s="42"/>
      <c r="AB32" s="42"/>
    </row>
    <row r="33" spans="1:28" x14ac:dyDescent="0.25">
      <c r="A33" s="42" t="str">
        <v>1.2.2.1.1</v>
      </c>
      <c r="B33" s="121" t="str">
        <v>Product barcode unknown (when supplier order is placed)</v>
      </c>
      <c r="C33" s="41">
        <v>5</v>
      </c>
      <c r="D33" s="41" t="str">
        <v>RL</v>
      </c>
      <c r="E33" s="117" t="str">
        <f t="shared" si="0"/>
        <v>RL</v>
      </c>
      <c r="F33" s="41" t="str">
        <v/>
      </c>
      <c r="G33" s="41" t="str">
        <v/>
      </c>
      <c r="H33" s="117">
        <f t="shared" si="1"/>
        <v>0</v>
      </c>
      <c r="I33" s="117">
        <f t="shared" si="2"/>
        <v>2</v>
      </c>
      <c r="J33" s="117">
        <f t="shared" si="3"/>
        <v>2.0199999999999996</v>
      </c>
      <c r="K33" s="117" t="str">
        <f t="shared" si="4"/>
        <v>BR</v>
      </c>
      <c r="L33" s="42" t="str">
        <v>BR0202</v>
      </c>
      <c r="M33" s="121" t="str">
        <v/>
      </c>
      <c r="N33" s="121" t="str">
        <v/>
      </c>
      <c r="O33" s="121" t="str">
        <v/>
      </c>
      <c r="P33" s="121" t="str">
        <v/>
      </c>
      <c r="Q33" s="121" t="str">
        <v/>
      </c>
      <c r="R33" s="121" t="str">
        <v/>
      </c>
      <c r="S33" s="121" t="str">
        <v>Product barcode unknown (when supplier order is placed)</v>
      </c>
      <c r="T33" s="119" t="str">
        <f>IF($C33&lt;4,IF($C33=3,T34,IF($C33=2,T$1,"")),Q33&amp;R33&amp;IF(LEN(S33)=0,"",Preferences!$C$2&amp;S33)&amp;IF(J34=J33,IF(LEN(R33&amp;S33)=0,"","
")&amp;T34,""))</f>
        <v xml:space="preserve">	• Product barcode unknown (when supplier order is placed)
	• Product temporarily out-of-stock / back-in-stock must always submitted to B2C Co (real-time)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3" s="122" t="str">
        <v/>
      </c>
      <c r="V33" s="42"/>
      <c r="W33" s="42"/>
      <c r="X33" s="42"/>
      <c r="Y33" s="42"/>
      <c r="Z33" s="42"/>
      <c r="AA33" s="42"/>
      <c r="AB33" s="42"/>
    </row>
    <row r="34" spans="1:28" x14ac:dyDescent="0.25">
      <c r="A34" s="42" t="str">
        <v>1.2.2.1.2</v>
      </c>
      <c r="B34" s="121" t="str">
        <v>Product temporarily out-of-stock / back-in-stock must always submitted to B2C Co (real-time)</v>
      </c>
      <c r="C34" s="41">
        <v>5</v>
      </c>
      <c r="D34" s="41" t="str">
        <v>RL</v>
      </c>
      <c r="E34" s="117" t="str">
        <f t="shared" si="0"/>
        <v>RL</v>
      </c>
      <c r="F34" s="41" t="str">
        <v/>
      </c>
      <c r="G34" s="41" t="str">
        <v/>
      </c>
      <c r="H34" s="117">
        <f t="shared" si="1"/>
        <v>0</v>
      </c>
      <c r="I34" s="117">
        <f t="shared" si="2"/>
        <v>2</v>
      </c>
      <c r="J34" s="117">
        <f t="shared" si="3"/>
        <v>2.0199999999999996</v>
      </c>
      <c r="K34" s="117" t="str">
        <f t="shared" si="4"/>
        <v>BR</v>
      </c>
      <c r="L34" s="42" t="str">
        <v>BR0202</v>
      </c>
      <c r="M34" s="121" t="str">
        <v/>
      </c>
      <c r="N34" s="121" t="str">
        <v/>
      </c>
      <c r="O34" s="121" t="str">
        <v/>
      </c>
      <c r="P34" s="121" t="str">
        <v/>
      </c>
      <c r="Q34" s="121" t="str">
        <v/>
      </c>
      <c r="R34" s="121" t="str">
        <v/>
      </c>
      <c r="S34" s="121" t="str">
        <v>Product temporarily out-of-stock / back-in-stock must always submitted to B2C Co (real-time)</v>
      </c>
      <c r="T34" s="119" t="str">
        <f>IF($C34&lt;4,IF($C34=3,T35,IF($C34=2,T$1,"")),Q34&amp;R34&amp;IF(LEN(S34)=0,"",Preferences!$C$2&amp;S34)&amp;IF(J35=J34,IF(LEN(R34&amp;S34)=0,"","
")&amp;T35,""))</f>
        <v xml:space="preserve">	• Product temporarily out-of-stock / back-in-stock must always submitted to B2C Co (real-time)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4" s="122" t="str">
        <v/>
      </c>
      <c r="V34" s="42"/>
      <c r="W34" s="42"/>
      <c r="X34" s="42"/>
      <c r="Y34" s="42"/>
      <c r="Z34" s="42"/>
      <c r="AA34" s="42"/>
      <c r="AB34" s="42"/>
    </row>
    <row r="35" spans="1:28" x14ac:dyDescent="0.25">
      <c r="A35" s="42" t="str">
        <v>1.2.2.1.3</v>
      </c>
      <c r="B35" s="121" t="str">
        <v>Product unavailable/available again must always be submitted to B2C Co (real-time)</v>
      </c>
      <c r="C35" s="41">
        <v>5</v>
      </c>
      <c r="D35" s="41" t="str">
        <v>RL</v>
      </c>
      <c r="E35" s="117" t="str">
        <f t="shared" si="0"/>
        <v>RL</v>
      </c>
      <c r="F35" s="41" t="str">
        <v/>
      </c>
      <c r="G35" s="41" t="str">
        <v/>
      </c>
      <c r="H35" s="117">
        <f t="shared" si="1"/>
        <v>0</v>
      </c>
      <c r="I35" s="117">
        <f t="shared" si="2"/>
        <v>2</v>
      </c>
      <c r="J35" s="117">
        <f t="shared" si="3"/>
        <v>2.0199999999999996</v>
      </c>
      <c r="K35" s="117" t="str">
        <f t="shared" si="4"/>
        <v>BR</v>
      </c>
      <c r="L35" s="42" t="str">
        <v>BR0202</v>
      </c>
      <c r="M35" s="121" t="str">
        <v/>
      </c>
      <c r="N35" s="121" t="str">
        <v/>
      </c>
      <c r="O35" s="121" t="str">
        <v/>
      </c>
      <c r="P35" s="121" t="str">
        <v/>
      </c>
      <c r="Q35" s="121" t="str">
        <v/>
      </c>
      <c r="R35" s="121" t="str">
        <v/>
      </c>
      <c r="S35" s="121" t="str">
        <v>Product unavailable/available again must always be submitted to B2C Co (real-time)</v>
      </c>
      <c r="T35" s="119" t="str">
        <f>IF($C35&lt;4,IF($C35=3,T36,IF($C35=2,T$1,"")),Q35&amp;R35&amp;IF(LEN(S35)=0,"",Preferences!$C$2&amp;S35)&amp;IF(J36=J35,IF(LEN(R35&amp;S35)=0,"","
")&amp;T36,""))</f>
        <v xml:space="preserve">	• Product unavailable/available again must always be submitted to B2C Co (real-time)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5" s="122" t="str">
        <v/>
      </c>
      <c r="V35" s="42"/>
      <c r="W35" s="42"/>
      <c r="X35" s="42"/>
      <c r="Y35" s="42"/>
      <c r="Z35" s="42"/>
      <c r="AA35" s="42"/>
      <c r="AB35" s="42"/>
    </row>
    <row r="36" spans="1:28" x14ac:dyDescent="0.25">
      <c r="A36" s="42" t="str">
        <v>1.2.2.1.4</v>
      </c>
      <c r="B36" s="121" t="str">
        <v>Product recall / recall lifted must always be reported to B2C Co (real-time), with batch identification details</v>
      </c>
      <c r="C36" s="41">
        <v>5</v>
      </c>
      <c r="D36" s="41" t="str">
        <v>RL</v>
      </c>
      <c r="E36" s="117" t="str">
        <f t="shared" si="0"/>
        <v>RL</v>
      </c>
      <c r="F36" s="41" t="str">
        <v/>
      </c>
      <c r="G36" s="41" t="str">
        <v/>
      </c>
      <c r="H36" s="117">
        <f t="shared" si="1"/>
        <v>0</v>
      </c>
      <c r="I36" s="117">
        <f t="shared" si="2"/>
        <v>2</v>
      </c>
      <c r="J36" s="117">
        <f t="shared" si="3"/>
        <v>2.0199999999999996</v>
      </c>
      <c r="K36" s="117" t="str">
        <f t="shared" si="4"/>
        <v>BR</v>
      </c>
      <c r="L36" s="42" t="str">
        <v>BR0202</v>
      </c>
      <c r="M36" s="121" t="str">
        <v/>
      </c>
      <c r="N36" s="121" t="str">
        <v/>
      </c>
      <c r="O36" s="121" t="str">
        <v/>
      </c>
      <c r="P36" s="121" t="str">
        <v/>
      </c>
      <c r="Q36" s="121" t="str">
        <v/>
      </c>
      <c r="R36" s="121" t="str">
        <v/>
      </c>
      <c r="S36" s="121" t="str">
        <v>Product recall / recall lifted must always be reported to B2C Co (real-time), with batch identification details</v>
      </c>
      <c r="T36" s="119" t="str">
        <f>IF($C36&lt;4,IF($C36=3,T37,IF($C36=2,T$1,"")),Q36&amp;R36&amp;IF(LEN(S36)=0,"",Preferences!$C$2&amp;S36)&amp;IF(J37=J36,IF(LEN(R36&amp;S36)=0,"","
")&amp;T37,""))</f>
        <v xml:space="preserve">	• Product recall / recall lifted must always be reported to B2C Co (real-time), with batch identification details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6" s="122" t="str">
        <v/>
      </c>
      <c r="V36" s="42"/>
      <c r="W36" s="42"/>
      <c r="X36" s="42"/>
      <c r="Y36" s="42"/>
      <c r="Z36" s="42"/>
      <c r="AA36" s="42"/>
      <c r="AB36" s="42"/>
    </row>
    <row r="37" spans="1:28" x14ac:dyDescent="0.25">
      <c r="A37" s="42" t="str">
        <v>1.2.2.2</v>
      </c>
      <c r="B37" s="121" t="str">
        <v>The supplier must report at least the following supplier order fulfilment statuses to the business:</v>
      </c>
      <c r="C37" s="41">
        <v>4</v>
      </c>
      <c r="D37" s="41" t="str">
        <v>RD</v>
      </c>
      <c r="E37" s="117" t="str">
        <f t="shared" si="0"/>
        <v>RD</v>
      </c>
      <c r="F37" s="41" t="str">
        <v/>
      </c>
      <c r="G37" s="41" t="str">
        <v/>
      </c>
      <c r="H37" s="117">
        <f t="shared" si="1"/>
        <v>0</v>
      </c>
      <c r="I37" s="117">
        <f t="shared" si="2"/>
        <v>2</v>
      </c>
      <c r="J37" s="117">
        <f t="shared" si="3"/>
        <v>2.0199999999999996</v>
      </c>
      <c r="K37" s="117" t="str">
        <f t="shared" si="4"/>
        <v>BR</v>
      </c>
      <c r="L37" s="42" t="str">
        <v>BR0202</v>
      </c>
      <c r="M37" s="121" t="str">
        <v/>
      </c>
      <c r="N37" s="121" t="str">
        <v/>
      </c>
      <c r="O37" s="121" t="str">
        <v/>
      </c>
      <c r="P37" s="121" t="str">
        <v/>
      </c>
      <c r="Q37" s="121" t="str">
        <v xml:space="preserve"> 2. </v>
      </c>
      <c r="R37" s="121" t="str">
        <v>The supplier must report at least the following supplier order fulfilment statuses to the business:</v>
      </c>
      <c r="S37" s="121" t="str">
        <v/>
      </c>
      <c r="T37" s="119" t="str">
        <f>IF($C37&lt;4,IF($C37=3,T38,IF($C37=2,T$1,"")),Q37&amp;R37&amp;IF(LEN(S37)=0,"",Preferences!$C$2&amp;S37)&amp;IF(J38=J37,IF(LEN(R37&amp;S37)=0,"","
")&amp;T38,""))</f>
        <v xml:space="preserve"> 2. The supplier must report at least the following supplier order fulfilment statuses to the business: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7" s="122" t="str">
        <v/>
      </c>
      <c r="V37" s="42"/>
      <c r="W37" s="42"/>
      <c r="X37" s="42"/>
      <c r="Y37" s="42"/>
      <c r="Z37" s="42"/>
      <c r="AA37" s="42"/>
      <c r="AB37" s="42"/>
    </row>
    <row r="38" spans="1:28" x14ac:dyDescent="0.25">
      <c r="A38" s="42" t="str">
        <v>1.2.2.2.1</v>
      </c>
      <c r="B38" s="121" t="str">
        <v>Order acknowledgement</v>
      </c>
      <c r="C38" s="41">
        <v>5</v>
      </c>
      <c r="D38" s="41" t="str">
        <v>RL</v>
      </c>
      <c r="E38" s="117" t="str">
        <f t="shared" si="0"/>
        <v>RL</v>
      </c>
      <c r="F38" s="41" t="str">
        <v/>
      </c>
      <c r="G38" s="41" t="str">
        <v/>
      </c>
      <c r="H38" s="117">
        <f t="shared" si="1"/>
        <v>0</v>
      </c>
      <c r="I38" s="117">
        <f t="shared" si="2"/>
        <v>2</v>
      </c>
      <c r="J38" s="117">
        <f t="shared" si="3"/>
        <v>2.0199999999999996</v>
      </c>
      <c r="K38" s="117" t="str">
        <f t="shared" si="4"/>
        <v>BR</v>
      </c>
      <c r="L38" s="42" t="str">
        <v>BR0202</v>
      </c>
      <c r="M38" s="121" t="str">
        <v/>
      </c>
      <c r="N38" s="121" t="str">
        <v/>
      </c>
      <c r="O38" s="121" t="str">
        <v/>
      </c>
      <c r="P38" s="121" t="str">
        <v/>
      </c>
      <c r="Q38" s="121" t="str">
        <v/>
      </c>
      <c r="R38" s="121" t="str">
        <v/>
      </c>
      <c r="S38" s="121" t="str">
        <v>Order acknowledgement</v>
      </c>
      <c r="T38" s="119" t="str">
        <f>IF($C38&lt;4,IF($C38=3,T39,IF($C38=2,T$1,"")),Q38&amp;R38&amp;IF(LEN(S38)=0,"",Preferences!$C$2&amp;S38)&amp;IF(J39=J38,IF(LEN(R38&amp;S38)=0,"","
")&amp;T39,""))</f>
        <v xml:space="preserve">	• Order acknowledgement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8" s="122" t="str">
        <v/>
      </c>
      <c r="V38" s="42"/>
      <c r="W38" s="42"/>
      <c r="X38" s="42"/>
      <c r="Y38" s="42"/>
      <c r="Z38" s="42"/>
      <c r="AA38" s="42"/>
      <c r="AB38" s="42"/>
    </row>
    <row r="39" spans="1:28" x14ac:dyDescent="0.25">
      <c r="A39" s="42" t="str">
        <v>1.2.2.2.2</v>
      </c>
      <c r="B39" s="121" t="str">
        <v>Order ready to despatch (ready to be collected by courier)</v>
      </c>
      <c r="C39" s="41">
        <v>5</v>
      </c>
      <c r="D39" s="41" t="str">
        <v>RL</v>
      </c>
      <c r="E39" s="117" t="str">
        <f t="shared" si="0"/>
        <v>RL</v>
      </c>
      <c r="F39" s="41" t="str">
        <v/>
      </c>
      <c r="G39" s="41" t="str">
        <v/>
      </c>
      <c r="H39" s="117">
        <f t="shared" si="1"/>
        <v>0</v>
      </c>
      <c r="I39" s="117">
        <f t="shared" si="2"/>
        <v>2</v>
      </c>
      <c r="J39" s="117">
        <f t="shared" si="3"/>
        <v>2.0199999999999996</v>
      </c>
      <c r="K39" s="117" t="str">
        <f t="shared" si="4"/>
        <v>BR</v>
      </c>
      <c r="L39" s="42" t="str">
        <v>BR0202</v>
      </c>
      <c r="M39" s="121" t="str">
        <v/>
      </c>
      <c r="N39" s="121" t="str">
        <v/>
      </c>
      <c r="O39" s="121" t="str">
        <v/>
      </c>
      <c r="P39" s="121" t="str">
        <v/>
      </c>
      <c r="Q39" s="121" t="str">
        <v/>
      </c>
      <c r="R39" s="121" t="str">
        <v/>
      </c>
      <c r="S39" s="121" t="str">
        <v>Order ready to despatch (ready to be collected by courier)</v>
      </c>
      <c r="T39" s="119" t="str">
        <f>IF($C39&lt;4,IF($C39=3,T40,IF($C39=2,T$1,"")),Q39&amp;R39&amp;IF(LEN(S39)=0,"",Preferences!$C$2&amp;S39)&amp;IF(J40=J39,IF(LEN(R39&amp;S39)=0,"","
")&amp;T40,""))</f>
        <v xml:space="preserve">	• Order ready to despatch (ready to be collected by courier)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39" s="122" t="str">
        <v/>
      </c>
      <c r="V39" s="42"/>
      <c r="W39" s="42"/>
      <c r="X39" s="42"/>
      <c r="Y39" s="42"/>
      <c r="Z39" s="42"/>
      <c r="AA39" s="42"/>
      <c r="AB39" s="42"/>
    </row>
    <row r="40" spans="1:28" x14ac:dyDescent="0.25">
      <c r="A40" s="42" t="str">
        <v>1.2.2.2.3</v>
      </c>
      <c r="B40" s="121" t="str">
        <v>Order despatched</v>
      </c>
      <c r="C40" s="41">
        <v>5</v>
      </c>
      <c r="D40" s="41" t="str">
        <v>RL</v>
      </c>
      <c r="E40" s="117" t="str">
        <f t="shared" si="0"/>
        <v>RL</v>
      </c>
      <c r="F40" s="41" t="str">
        <v/>
      </c>
      <c r="G40" s="41" t="str">
        <v/>
      </c>
      <c r="H40" s="117">
        <f t="shared" si="1"/>
        <v>0</v>
      </c>
      <c r="I40" s="117">
        <f t="shared" si="2"/>
        <v>2</v>
      </c>
      <c r="J40" s="117">
        <f t="shared" si="3"/>
        <v>2.0199999999999996</v>
      </c>
      <c r="K40" s="117" t="str">
        <f t="shared" si="4"/>
        <v>BR</v>
      </c>
      <c r="L40" s="42" t="str">
        <v>BR0202</v>
      </c>
      <c r="M40" s="121" t="str">
        <v/>
      </c>
      <c r="N40" s="121" t="str">
        <v/>
      </c>
      <c r="O40" s="121" t="str">
        <v/>
      </c>
      <c r="P40" s="121" t="str">
        <v/>
      </c>
      <c r="Q40" s="121" t="str">
        <v/>
      </c>
      <c r="R40" s="121" t="str">
        <v/>
      </c>
      <c r="S40" s="121" t="str">
        <v>Order despatched</v>
      </c>
      <c r="T40" s="119" t="str">
        <f>IF($C40&lt;4,IF($C40=3,T41,IF($C40=2,T$1,"")),Q40&amp;R40&amp;IF(LEN(S40)=0,"",Preferences!$C$2&amp;S40)&amp;IF(J41=J40,IF(LEN(R40&amp;S40)=0,"","
")&amp;T41,""))</f>
        <v xml:space="preserve">	• Order despatched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0" s="122" t="str">
        <v/>
      </c>
      <c r="V40" s="42"/>
      <c r="W40" s="42"/>
      <c r="X40" s="42"/>
      <c r="Y40" s="42"/>
      <c r="Z40" s="42"/>
      <c r="AA40" s="42"/>
      <c r="AB40" s="42"/>
    </row>
    <row r="41" spans="1:28" x14ac:dyDescent="0.25">
      <c r="A41" s="42" t="str">
        <v>1.2.2.3</v>
      </c>
      <c r="B41" s="121" t="str">
        <v>The supplier must report at least the following supplier return fulfilment statuses to the business:</v>
      </c>
      <c r="C41" s="41">
        <v>4</v>
      </c>
      <c r="D41" s="41" t="str">
        <v>RD</v>
      </c>
      <c r="E41" s="117" t="str">
        <f t="shared" si="0"/>
        <v>RD</v>
      </c>
      <c r="F41" s="41" t="str">
        <v/>
      </c>
      <c r="G41" s="41" t="str">
        <v/>
      </c>
      <c r="H41" s="117">
        <f t="shared" si="1"/>
        <v>0</v>
      </c>
      <c r="I41" s="117">
        <f t="shared" si="2"/>
        <v>2</v>
      </c>
      <c r="J41" s="117">
        <f t="shared" si="3"/>
        <v>2.0199999999999996</v>
      </c>
      <c r="K41" s="117" t="str">
        <f t="shared" si="4"/>
        <v>BR</v>
      </c>
      <c r="L41" s="42" t="str">
        <v>BR0202</v>
      </c>
      <c r="M41" s="121" t="str">
        <v/>
      </c>
      <c r="N41" s="121" t="str">
        <v/>
      </c>
      <c r="O41" s="121" t="str">
        <v/>
      </c>
      <c r="P41" s="121" t="str">
        <v/>
      </c>
      <c r="Q41" s="121" t="str">
        <v xml:space="preserve"> 3. </v>
      </c>
      <c r="R41" s="121" t="str">
        <v>The supplier must report at least the following supplier return fulfilment statuses to the business:</v>
      </c>
      <c r="S41" s="121" t="str">
        <v/>
      </c>
      <c r="T41" s="119" t="str">
        <f>IF($C41&lt;4,IF($C41=3,T42,IF($C41=2,T$1,"")),Q41&amp;R41&amp;IF(LEN(S41)=0,"",Preferences!$C$2&amp;S41)&amp;IF(J42=J41,IF(LEN(R41&amp;S41)=0,"","
")&amp;T42,""))</f>
        <v xml:space="preserve"> 3. The supplier must report at least the following supplier return fulfilment statuses to the business: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1" s="122" t="str">
        <v/>
      </c>
      <c r="V41" s="42"/>
      <c r="W41" s="42"/>
      <c r="X41" s="42"/>
      <c r="Y41" s="42"/>
      <c r="Z41" s="42"/>
      <c r="AA41" s="42"/>
      <c r="AB41" s="42"/>
    </row>
    <row r="42" spans="1:28" x14ac:dyDescent="0.25">
      <c r="A42" s="42" t="str">
        <v>1.2.2.3.1</v>
      </c>
      <c r="B42" s="121" t="str">
        <v>Return acknowledgement [tbd]</v>
      </c>
      <c r="C42" s="41">
        <v>5</v>
      </c>
      <c r="D42" s="41" t="str">
        <v>RL</v>
      </c>
      <c r="E42" s="117" t="str">
        <f t="shared" si="0"/>
        <v>RL</v>
      </c>
      <c r="F42" s="41" t="str">
        <v/>
      </c>
      <c r="G42" s="41" t="str">
        <v/>
      </c>
      <c r="H42" s="117">
        <f t="shared" si="1"/>
        <v>0</v>
      </c>
      <c r="I42" s="117">
        <f t="shared" si="2"/>
        <v>2</v>
      </c>
      <c r="J42" s="117">
        <f t="shared" si="3"/>
        <v>2.0199999999999996</v>
      </c>
      <c r="K42" s="117" t="str">
        <f t="shared" si="4"/>
        <v>BR</v>
      </c>
      <c r="L42" s="42" t="str">
        <v>BR0202</v>
      </c>
      <c r="M42" s="121" t="str">
        <v/>
      </c>
      <c r="N42" s="121" t="str">
        <v/>
      </c>
      <c r="O42" s="121" t="str">
        <v/>
      </c>
      <c r="P42" s="121" t="str">
        <v/>
      </c>
      <c r="Q42" s="121" t="str">
        <v/>
      </c>
      <c r="R42" s="121" t="str">
        <v/>
      </c>
      <c r="S42" s="121" t="str">
        <v>Return acknowledgement [tbd]</v>
      </c>
      <c r="T42" s="119" t="str">
        <f>IF($C42&lt;4,IF($C42=3,T43,IF($C42=2,T$1,"")),Q42&amp;R42&amp;IF(LEN(S42)=0,"",Preferences!$C$2&amp;S42)&amp;IF(J43=J42,IF(LEN(R42&amp;S42)=0,"","
")&amp;T43,""))</f>
        <v xml:space="preserve">	• Return acknowledgement [tbd]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2" s="122" t="str">
        <v/>
      </c>
      <c r="V42" s="42"/>
      <c r="W42" s="42"/>
      <c r="X42" s="42"/>
      <c r="Y42" s="42"/>
      <c r="Z42" s="42"/>
      <c r="AA42" s="42"/>
      <c r="AB42" s="42"/>
    </row>
    <row r="43" spans="1:28" x14ac:dyDescent="0.25">
      <c r="A43" s="42" t="str">
        <v>1.2.2.3.2</v>
      </c>
      <c r="B43" s="121" t="str">
        <v>Return received</v>
      </c>
      <c r="C43" s="41">
        <v>5</v>
      </c>
      <c r="D43" s="41" t="str">
        <v>RL</v>
      </c>
      <c r="E43" s="117" t="str">
        <f t="shared" si="0"/>
        <v>RL</v>
      </c>
      <c r="F43" s="41" t="str">
        <v/>
      </c>
      <c r="G43" s="41" t="str">
        <v/>
      </c>
      <c r="H43" s="117">
        <f t="shared" si="1"/>
        <v>0</v>
      </c>
      <c r="I43" s="117">
        <f t="shared" si="2"/>
        <v>2</v>
      </c>
      <c r="J43" s="117">
        <f t="shared" si="3"/>
        <v>2.0199999999999996</v>
      </c>
      <c r="K43" s="117" t="str">
        <f t="shared" si="4"/>
        <v>BR</v>
      </c>
      <c r="L43" s="42" t="str">
        <v>BR0202</v>
      </c>
      <c r="M43" s="121" t="str">
        <v/>
      </c>
      <c r="N43" s="121" t="str">
        <v/>
      </c>
      <c r="O43" s="121" t="str">
        <v/>
      </c>
      <c r="P43" s="121" t="str">
        <v/>
      </c>
      <c r="Q43" s="121" t="str">
        <v/>
      </c>
      <c r="R43" s="121" t="str">
        <v/>
      </c>
      <c r="S43" s="121" t="str">
        <v>Return received</v>
      </c>
      <c r="T43" s="119" t="str">
        <f>IF($C43&lt;4,IF($C43=3,T44,IF($C43=2,T$1,"")),Q43&amp;R43&amp;IF(LEN(S43)=0,"",Preferences!$C$2&amp;S43)&amp;IF(J44=J43,IF(LEN(R43&amp;S43)=0,"","
")&amp;T44,""))</f>
        <v xml:space="preserve">	• Return received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3" s="122" t="str">
        <v/>
      </c>
      <c r="V43" s="42"/>
      <c r="W43" s="42"/>
      <c r="X43" s="42"/>
      <c r="Y43" s="42"/>
      <c r="Z43" s="42"/>
      <c r="AA43" s="42"/>
      <c r="AB43" s="42"/>
    </row>
    <row r="44" spans="1:28" x14ac:dyDescent="0.25">
      <c r="A44" s="42" t="str">
        <v>1.2.2.4</v>
      </c>
      <c r="B44" s="121" t="str">
        <v>A courier must report at least the following delivery statuses to the business:</v>
      </c>
      <c r="C44" s="41">
        <v>4</v>
      </c>
      <c r="D44" s="41" t="str">
        <v>RD</v>
      </c>
      <c r="E44" s="117" t="str">
        <f t="shared" si="0"/>
        <v>RD</v>
      </c>
      <c r="F44" s="41" t="str">
        <v/>
      </c>
      <c r="G44" s="41" t="str">
        <v/>
      </c>
      <c r="H44" s="117">
        <f t="shared" si="1"/>
        <v>0</v>
      </c>
      <c r="I44" s="117">
        <f t="shared" si="2"/>
        <v>2</v>
      </c>
      <c r="J44" s="117">
        <f t="shared" si="3"/>
        <v>2.0199999999999996</v>
      </c>
      <c r="K44" s="117" t="str">
        <f t="shared" si="4"/>
        <v>BR</v>
      </c>
      <c r="L44" s="42" t="str">
        <v>BR0202</v>
      </c>
      <c r="M44" s="121" t="str">
        <v/>
      </c>
      <c r="N44" s="121" t="str">
        <v/>
      </c>
      <c r="O44" s="121" t="str">
        <v/>
      </c>
      <c r="P44" s="121" t="str">
        <v/>
      </c>
      <c r="Q44" s="121" t="str">
        <v xml:space="preserve"> 4. </v>
      </c>
      <c r="R44" s="121" t="str">
        <v>A courier must report at least the following delivery statuses to the business:</v>
      </c>
      <c r="S44" s="121" t="str">
        <v/>
      </c>
      <c r="T44" s="119" t="str">
        <f>IF($C44&lt;4,IF($C44=3,T45,IF($C44=2,T$1,"")),Q44&amp;R44&amp;IF(LEN(S44)=0,"",Preferences!$C$2&amp;S44)&amp;IF(J45=J44,IF(LEN(R44&amp;S44)=0,"","
")&amp;T45,""))</f>
        <v xml:space="preserve"> 4. A courier must report at least the following delivery statuses to the business: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4" s="122" t="str">
        <v/>
      </c>
      <c r="V44" s="42"/>
      <c r="W44" s="42"/>
      <c r="X44" s="42"/>
      <c r="Y44" s="42"/>
      <c r="Z44" s="42"/>
      <c r="AA44" s="42"/>
      <c r="AB44" s="42"/>
    </row>
    <row r="45" spans="1:28" x14ac:dyDescent="0.25">
      <c r="A45" s="42" t="str">
        <v>1.2.2.4.1</v>
      </c>
      <c r="B45" s="121" t="str">
        <v>Order registered (with courier waybill reference number)</v>
      </c>
      <c r="C45" s="41">
        <v>5</v>
      </c>
      <c r="D45" s="41" t="str">
        <v>RL</v>
      </c>
      <c r="E45" s="117" t="str">
        <f t="shared" si="0"/>
        <v>RL</v>
      </c>
      <c r="F45" s="41" t="str">
        <v/>
      </c>
      <c r="G45" s="41" t="str">
        <v/>
      </c>
      <c r="H45" s="117">
        <f t="shared" si="1"/>
        <v>0</v>
      </c>
      <c r="I45" s="117">
        <f t="shared" si="2"/>
        <v>2</v>
      </c>
      <c r="J45" s="117">
        <f t="shared" si="3"/>
        <v>2.0199999999999996</v>
      </c>
      <c r="K45" s="117" t="str">
        <f t="shared" si="4"/>
        <v>BR</v>
      </c>
      <c r="L45" s="42" t="str">
        <v>BR0202</v>
      </c>
      <c r="M45" s="121" t="str">
        <v/>
      </c>
      <c r="N45" s="121" t="str">
        <v/>
      </c>
      <c r="O45" s="121" t="str">
        <v/>
      </c>
      <c r="P45" s="121" t="str">
        <v/>
      </c>
      <c r="Q45" s="121" t="str">
        <v/>
      </c>
      <c r="R45" s="121" t="str">
        <v/>
      </c>
      <c r="S45" s="121" t="str">
        <v>Order registered (with courier waybill reference number)</v>
      </c>
      <c r="T45" s="119" t="str">
        <f>IF($C45&lt;4,IF($C45=3,T46,IF($C45=2,T$1,"")),Q45&amp;R45&amp;IF(LEN(S45)=0,"",Preferences!$C$2&amp;S45)&amp;IF(J46=J45,IF(LEN(R45&amp;S45)=0,"","
")&amp;T46,""))</f>
        <v xml:space="preserve">	• Order registered (with courier waybill reference number)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5" s="122" t="str">
        <v/>
      </c>
      <c r="V45" s="42"/>
      <c r="W45" s="42"/>
      <c r="X45" s="42"/>
      <c r="Y45" s="42"/>
      <c r="Z45" s="42"/>
      <c r="AA45" s="42"/>
      <c r="AB45" s="42"/>
    </row>
    <row r="46" spans="1:28" x14ac:dyDescent="0.25">
      <c r="A46" s="42" t="str">
        <v>1.2.2.4.2</v>
      </c>
      <c r="B46" s="121" t="str">
        <v>Order collected (from supplier)</v>
      </c>
      <c r="C46" s="41">
        <v>5</v>
      </c>
      <c r="D46" s="41" t="str">
        <v>RL</v>
      </c>
      <c r="E46" s="117" t="str">
        <f t="shared" si="0"/>
        <v>RL</v>
      </c>
      <c r="F46" s="41" t="str">
        <v/>
      </c>
      <c r="G46" s="41" t="str">
        <v/>
      </c>
      <c r="H46" s="117">
        <f t="shared" si="1"/>
        <v>0</v>
      </c>
      <c r="I46" s="117">
        <f t="shared" si="2"/>
        <v>2</v>
      </c>
      <c r="J46" s="117">
        <f t="shared" si="3"/>
        <v>2.0199999999999996</v>
      </c>
      <c r="K46" s="117" t="str">
        <f t="shared" si="4"/>
        <v>BR</v>
      </c>
      <c r="L46" s="42" t="str">
        <v>BR0202</v>
      </c>
      <c r="M46" s="121" t="str">
        <v/>
      </c>
      <c r="N46" s="121" t="str">
        <v/>
      </c>
      <c r="O46" s="121" t="str">
        <v/>
      </c>
      <c r="P46" s="121" t="str">
        <v/>
      </c>
      <c r="Q46" s="121" t="str">
        <v/>
      </c>
      <c r="R46" s="121" t="str">
        <v/>
      </c>
      <c r="S46" s="121" t="str">
        <v>Order collected (from supplier)</v>
      </c>
      <c r="T46" s="119" t="str">
        <f>IF($C46&lt;4,IF($C46=3,T47,IF($C46=2,T$1,"")),Q46&amp;R46&amp;IF(LEN(S46)=0,"",Preferences!$C$2&amp;S46)&amp;IF(J47=J46,IF(LEN(R46&amp;S46)=0,"","
")&amp;T47,""))</f>
        <v xml:space="preserve">	• Order collected (from supplier)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6" s="122" t="str">
        <v/>
      </c>
      <c r="V46" s="42"/>
      <c r="W46" s="42"/>
      <c r="X46" s="42"/>
      <c r="Y46" s="42"/>
      <c r="Z46" s="42"/>
      <c r="AA46" s="42"/>
      <c r="AB46" s="42"/>
    </row>
    <row r="47" spans="1:28" x14ac:dyDescent="0.25">
      <c r="A47" s="42" t="str">
        <v>1.2.2.4.3</v>
      </c>
      <c r="B47" s="121" t="str">
        <v>Order despatched</v>
      </c>
      <c r="C47" s="41">
        <v>5</v>
      </c>
      <c r="D47" s="41" t="str">
        <v>RL</v>
      </c>
      <c r="E47" s="117" t="str">
        <f t="shared" si="0"/>
        <v>RL</v>
      </c>
      <c r="F47" s="41" t="str">
        <v/>
      </c>
      <c r="G47" s="41" t="str">
        <v/>
      </c>
      <c r="H47" s="117">
        <f t="shared" si="1"/>
        <v>0</v>
      </c>
      <c r="I47" s="117">
        <f t="shared" si="2"/>
        <v>2</v>
      </c>
      <c r="J47" s="117">
        <f t="shared" si="3"/>
        <v>2.0199999999999996</v>
      </c>
      <c r="K47" s="117" t="str">
        <f t="shared" si="4"/>
        <v>BR</v>
      </c>
      <c r="L47" s="42" t="str">
        <v>BR0202</v>
      </c>
      <c r="M47" s="121" t="str">
        <v/>
      </c>
      <c r="N47" s="121" t="str">
        <v/>
      </c>
      <c r="O47" s="121" t="str">
        <v/>
      </c>
      <c r="P47" s="121" t="str">
        <v/>
      </c>
      <c r="Q47" s="121" t="str">
        <v/>
      </c>
      <c r="R47" s="121" t="str">
        <v/>
      </c>
      <c r="S47" s="121" t="str">
        <v>Order despatched</v>
      </c>
      <c r="T47" s="119" t="str">
        <f>IF($C47&lt;4,IF($C47=3,T48,IF($C47=2,T$1,"")),Q47&amp;R47&amp;IF(LEN(S47)=0,"",Preferences!$C$2&amp;S47)&amp;IF(J48=J47,IF(LEN(R47&amp;S47)=0,"","
")&amp;T48,""))</f>
        <v xml:space="preserve">	• Order despatched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7" s="122" t="str">
        <v/>
      </c>
      <c r="V47" s="42"/>
      <c r="W47" s="42"/>
      <c r="X47" s="42"/>
      <c r="Y47" s="42"/>
      <c r="Z47" s="42"/>
      <c r="AA47" s="42"/>
      <c r="AB47" s="42"/>
    </row>
    <row r="48" spans="1:28" x14ac:dyDescent="0.25">
      <c r="A48" s="42" t="str">
        <v>1.2.2.4.4</v>
      </c>
      <c r="B48" s="121" t="str">
        <v>Order delivered (to customer)</v>
      </c>
      <c r="C48" s="41">
        <v>5</v>
      </c>
      <c r="D48" s="41" t="str">
        <v>RL</v>
      </c>
      <c r="E48" s="117" t="str">
        <f t="shared" si="0"/>
        <v>RL</v>
      </c>
      <c r="F48" s="41" t="str">
        <v/>
      </c>
      <c r="G48" s="41" t="str">
        <v/>
      </c>
      <c r="H48" s="117">
        <f t="shared" si="1"/>
        <v>0</v>
      </c>
      <c r="I48" s="117">
        <f t="shared" si="2"/>
        <v>2</v>
      </c>
      <c r="J48" s="117">
        <f t="shared" si="3"/>
        <v>2.0199999999999996</v>
      </c>
      <c r="K48" s="117" t="str">
        <f t="shared" si="4"/>
        <v>BR</v>
      </c>
      <c r="L48" s="42" t="str">
        <v>BR0202</v>
      </c>
      <c r="M48" s="121" t="str">
        <v/>
      </c>
      <c r="N48" s="121" t="str">
        <v/>
      </c>
      <c r="O48" s="121" t="str">
        <v/>
      </c>
      <c r="P48" s="121" t="str">
        <v/>
      </c>
      <c r="Q48" s="121" t="str">
        <v/>
      </c>
      <c r="R48" s="121" t="str">
        <v/>
      </c>
      <c r="S48" s="121" t="str">
        <v>Order delivered (to customer)</v>
      </c>
      <c r="T48" s="119" t="str">
        <f>IF($C48&lt;4,IF($C48=3,T49,IF($C48=2,T$1,"")),Q48&amp;R48&amp;IF(LEN(S48)=0,"",Preferences!$C$2&amp;S48)&amp;IF(J49=J48,IF(LEN(R48&amp;S48)=0,"","
")&amp;T49,""))</f>
        <v xml:space="preserve">	• Order delivered (to customer)
	• Order could not be delivered
	• Order undeliverable (to be returned)
 5. A courier must report at least the following return statuses to the business:
	• Return registered (with courier waybill reference number)
	• Return collected (from supplier)
	• Return delivered (to supplier)</v>
      </c>
      <c r="U48" s="122" t="str">
        <v/>
      </c>
      <c r="V48" s="42"/>
      <c r="W48" s="42"/>
      <c r="X48" s="42"/>
      <c r="Y48" s="42"/>
      <c r="Z48" s="42"/>
      <c r="AA48" s="42"/>
      <c r="AB48" s="42"/>
    </row>
    <row r="49" spans="1:28" x14ac:dyDescent="0.25">
      <c r="A49" s="42" t="str">
        <v>1.2.2.4.5</v>
      </c>
      <c r="B49" s="121" t="str">
        <v>Order could not be delivered</v>
      </c>
      <c r="C49" s="41">
        <v>5</v>
      </c>
      <c r="D49" s="41" t="str">
        <v>RL</v>
      </c>
      <c r="E49" s="117" t="str">
        <f t="shared" si="0"/>
        <v>RL</v>
      </c>
      <c r="F49" s="41" t="str">
        <v/>
      </c>
      <c r="G49" s="41" t="str">
        <v/>
      </c>
      <c r="H49" s="117">
        <f t="shared" si="1"/>
        <v>0</v>
      </c>
      <c r="I49" s="117">
        <f t="shared" si="2"/>
        <v>2</v>
      </c>
      <c r="J49" s="117">
        <f t="shared" si="3"/>
        <v>2.0199999999999996</v>
      </c>
      <c r="K49" s="117" t="str">
        <f t="shared" si="4"/>
        <v>BR</v>
      </c>
      <c r="L49" s="42" t="str">
        <v>BR0202</v>
      </c>
      <c r="M49" s="121" t="str">
        <v/>
      </c>
      <c r="N49" s="121" t="str">
        <v/>
      </c>
      <c r="O49" s="121" t="str">
        <v/>
      </c>
      <c r="P49" s="121" t="str">
        <v/>
      </c>
      <c r="Q49" s="121" t="str">
        <v/>
      </c>
      <c r="R49" s="121" t="str">
        <v/>
      </c>
      <c r="S49" s="121" t="str">
        <v>Order could not be delivered</v>
      </c>
      <c r="T49" s="119" t="str">
        <f>IF($C49&lt;4,IF($C49=3,T50,IF($C49=2,T$1,"")),Q49&amp;R49&amp;IF(LEN(S49)=0,"",Preferences!$C$2&amp;S49)&amp;IF(J50=J49,IF(LEN(R49&amp;S49)=0,"","
")&amp;T50,""))</f>
        <v xml:space="preserve">	• Order could not be delivered
	• Order undeliverable (to be returned)
 5. A courier must report at least the following return statuses to the business:
	• Return registered (with courier waybill reference number)
	• Return collected (from supplier)
	• Return delivered (to supplier)</v>
      </c>
      <c r="U49" s="122" t="str">
        <v/>
      </c>
      <c r="V49" s="42"/>
      <c r="W49" s="42"/>
      <c r="X49" s="42"/>
      <c r="Y49" s="42"/>
      <c r="Z49" s="42"/>
      <c r="AA49" s="42"/>
      <c r="AB49" s="42"/>
    </row>
    <row r="50" spans="1:28" x14ac:dyDescent="0.25">
      <c r="A50" s="42" t="str">
        <v>1.2.2.4.6</v>
      </c>
      <c r="B50" s="121" t="str">
        <v>Order undeliverable (to be returned)</v>
      </c>
      <c r="C50" s="41">
        <v>5</v>
      </c>
      <c r="D50" s="41" t="str">
        <v>RL</v>
      </c>
      <c r="E50" s="117" t="str">
        <f t="shared" si="0"/>
        <v>RL</v>
      </c>
      <c r="F50" s="41" t="str">
        <v/>
      </c>
      <c r="G50" s="41" t="str">
        <v/>
      </c>
      <c r="H50" s="117">
        <f t="shared" si="1"/>
        <v>0</v>
      </c>
      <c r="I50" s="117">
        <f t="shared" si="2"/>
        <v>2</v>
      </c>
      <c r="J50" s="117">
        <f t="shared" si="3"/>
        <v>2.0199999999999996</v>
      </c>
      <c r="K50" s="117" t="str">
        <f t="shared" si="4"/>
        <v>BR</v>
      </c>
      <c r="L50" s="42" t="str">
        <v>BR0202</v>
      </c>
      <c r="M50" s="121" t="str">
        <v/>
      </c>
      <c r="N50" s="121" t="str">
        <v/>
      </c>
      <c r="O50" s="121" t="str">
        <v/>
      </c>
      <c r="P50" s="121" t="str">
        <v/>
      </c>
      <c r="Q50" s="121" t="str">
        <v/>
      </c>
      <c r="R50" s="121" t="str">
        <v/>
      </c>
      <c r="S50" s="121" t="str">
        <v>Order undeliverable (to be returned)</v>
      </c>
      <c r="T50" s="119" t="str">
        <f>IF($C50&lt;4,IF($C50=3,T51,IF($C50=2,T$1,"")),Q50&amp;R50&amp;IF(LEN(S50)=0,"",Preferences!$C$2&amp;S50)&amp;IF(J51=J50,IF(LEN(R50&amp;S50)=0,"","
")&amp;T51,""))</f>
        <v xml:space="preserve">	• Order undeliverable (to be returned)
 5. A courier must report at least the following return statuses to the business:
	• Return registered (with courier waybill reference number)
	• Return collected (from supplier)
	• Return delivered (to supplier)</v>
      </c>
      <c r="U50" s="122" t="str">
        <v/>
      </c>
      <c r="V50" s="42"/>
      <c r="W50" s="42"/>
      <c r="X50" s="42"/>
      <c r="Y50" s="42"/>
      <c r="Z50" s="42"/>
      <c r="AA50" s="42"/>
      <c r="AB50" s="42"/>
    </row>
    <row r="51" spans="1:28" x14ac:dyDescent="0.25">
      <c r="A51" s="42" t="str">
        <v>1.2.2.5</v>
      </c>
      <c r="B51" s="121" t="str">
        <v>A courier must report at least the following return statuses to the business:</v>
      </c>
      <c r="C51" s="41">
        <v>4</v>
      </c>
      <c r="D51" s="41" t="str">
        <v>RD</v>
      </c>
      <c r="E51" s="117" t="str">
        <f t="shared" si="0"/>
        <v>RD</v>
      </c>
      <c r="F51" s="41" t="str">
        <v/>
      </c>
      <c r="G51" s="41" t="str">
        <v/>
      </c>
      <c r="H51" s="117">
        <f t="shared" si="1"/>
        <v>0</v>
      </c>
      <c r="I51" s="117">
        <f t="shared" si="2"/>
        <v>2</v>
      </c>
      <c r="J51" s="117">
        <f t="shared" si="3"/>
        <v>2.0199999999999996</v>
      </c>
      <c r="K51" s="117" t="str">
        <f t="shared" si="4"/>
        <v>BR</v>
      </c>
      <c r="L51" s="42" t="str">
        <v>BR0202</v>
      </c>
      <c r="M51" s="121" t="str">
        <v/>
      </c>
      <c r="N51" s="121" t="str">
        <v/>
      </c>
      <c r="O51" s="121" t="str">
        <v/>
      </c>
      <c r="P51" s="121" t="str">
        <v/>
      </c>
      <c r="Q51" s="121" t="str">
        <v xml:space="preserve"> 5. </v>
      </c>
      <c r="R51" s="121" t="str">
        <v>A courier must report at least the following return statuses to the business:</v>
      </c>
      <c r="S51" s="121" t="str">
        <v/>
      </c>
      <c r="T51" s="119" t="str">
        <f>IF($C51&lt;4,IF($C51=3,T52,IF($C51=2,T$1,"")),Q51&amp;R51&amp;IF(LEN(S51)=0,"",Preferences!$C$2&amp;S51)&amp;IF(J52=J51,IF(LEN(R51&amp;S51)=0,"","
")&amp;T52,""))</f>
        <v xml:space="preserve"> 5. A courier must report at least the following return statuses to the business:
	• Return registered (with courier waybill reference number)
	• Return collected (from supplier)
	• Return delivered (to supplier)</v>
      </c>
      <c r="U51" s="122" t="str">
        <v/>
      </c>
      <c r="V51" s="42"/>
      <c r="W51" s="42"/>
      <c r="X51" s="42"/>
      <c r="Y51" s="42"/>
      <c r="Z51" s="42"/>
      <c r="AA51" s="42"/>
      <c r="AB51" s="42"/>
    </row>
    <row r="52" spans="1:28" x14ac:dyDescent="0.25">
      <c r="A52" s="42" t="str">
        <v>1.2.2.5.1</v>
      </c>
      <c r="B52" s="121" t="str">
        <v>Return registered (with courier waybill reference number)</v>
      </c>
      <c r="C52" s="41">
        <v>5</v>
      </c>
      <c r="D52" s="41" t="str">
        <v>RL</v>
      </c>
      <c r="E52" s="117" t="str">
        <f t="shared" si="0"/>
        <v>RL</v>
      </c>
      <c r="F52" s="41" t="str">
        <v/>
      </c>
      <c r="G52" s="41" t="str">
        <v/>
      </c>
      <c r="H52" s="117">
        <f t="shared" si="1"/>
        <v>0</v>
      </c>
      <c r="I52" s="117">
        <f t="shared" si="2"/>
        <v>2</v>
      </c>
      <c r="J52" s="117">
        <f t="shared" si="3"/>
        <v>2.0199999999999996</v>
      </c>
      <c r="K52" s="117" t="str">
        <f t="shared" si="4"/>
        <v>BR</v>
      </c>
      <c r="L52" s="42" t="str">
        <v>BR0202</v>
      </c>
      <c r="M52" s="121" t="str">
        <v/>
      </c>
      <c r="N52" s="121" t="str">
        <v/>
      </c>
      <c r="O52" s="121" t="str">
        <v/>
      </c>
      <c r="P52" s="121" t="str">
        <v/>
      </c>
      <c r="Q52" s="121" t="str">
        <v/>
      </c>
      <c r="R52" s="121" t="str">
        <v/>
      </c>
      <c r="S52" s="121" t="str">
        <v>Return registered (with courier waybill reference number)</v>
      </c>
      <c r="T52" s="119" t="str">
        <f>IF($C52&lt;4,IF($C52=3,T53,IF($C52=2,T$1,"")),Q52&amp;R52&amp;IF(LEN(S52)=0,"",Preferences!$C$2&amp;S52)&amp;IF(J53=J52,IF(LEN(R52&amp;S52)=0,"","
")&amp;T53,""))</f>
        <v xml:space="preserve">	• Return registered (with courier waybill reference number)
	• Return collected (from supplier)
	• Return delivered (to supplier)</v>
      </c>
      <c r="U52" s="122" t="str">
        <v/>
      </c>
      <c r="V52" s="42"/>
      <c r="W52" s="42"/>
      <c r="X52" s="42"/>
      <c r="Y52" s="42"/>
      <c r="Z52" s="42"/>
      <c r="AA52" s="42"/>
      <c r="AB52" s="42"/>
    </row>
    <row r="53" spans="1:28" x14ac:dyDescent="0.25">
      <c r="A53" s="42" t="str">
        <v>1.2.2.5.2</v>
      </c>
      <c r="B53" s="121" t="str">
        <v>Return collected (from supplier)</v>
      </c>
      <c r="C53" s="41">
        <v>5</v>
      </c>
      <c r="D53" s="41" t="str">
        <v>RL</v>
      </c>
      <c r="E53" s="117" t="str">
        <f t="shared" si="0"/>
        <v>RL</v>
      </c>
      <c r="F53" s="41" t="str">
        <v/>
      </c>
      <c r="G53" s="41" t="str">
        <v/>
      </c>
      <c r="H53" s="117">
        <f t="shared" si="1"/>
        <v>0</v>
      </c>
      <c r="I53" s="117">
        <f t="shared" si="2"/>
        <v>2</v>
      </c>
      <c r="J53" s="117">
        <f t="shared" si="3"/>
        <v>2.0199999999999996</v>
      </c>
      <c r="K53" s="117" t="str">
        <f t="shared" si="4"/>
        <v>BR</v>
      </c>
      <c r="L53" s="42" t="str">
        <v>BR0202</v>
      </c>
      <c r="M53" s="121" t="str">
        <v/>
      </c>
      <c r="N53" s="121" t="str">
        <v/>
      </c>
      <c r="O53" s="121" t="str">
        <v/>
      </c>
      <c r="P53" s="121" t="str">
        <v/>
      </c>
      <c r="Q53" s="121" t="str">
        <v/>
      </c>
      <c r="R53" s="121" t="str">
        <v/>
      </c>
      <c r="S53" s="121" t="str">
        <v>Return collected (from supplier)</v>
      </c>
      <c r="T53" s="119" t="str">
        <f>IF($C53&lt;4,IF($C53=3,T54,IF($C53=2,T$1,"")),Q53&amp;R53&amp;IF(LEN(S53)=0,"",Preferences!$C$2&amp;S53)&amp;IF(J54=J53,IF(LEN(R53&amp;S53)=0,"","
")&amp;T54,""))</f>
        <v xml:space="preserve">	• Return collected (from supplier)
	• Return delivered (to supplier)</v>
      </c>
      <c r="U53" s="122" t="str">
        <v/>
      </c>
      <c r="V53" s="42"/>
      <c r="W53" s="42"/>
      <c r="X53" s="42"/>
      <c r="Y53" s="42"/>
      <c r="Z53" s="42"/>
      <c r="AA53" s="42"/>
      <c r="AB53" s="42"/>
    </row>
    <row r="54" spans="1:28" x14ac:dyDescent="0.25">
      <c r="A54" s="42" t="str">
        <v>1.2.2.5.3</v>
      </c>
      <c r="B54" s="121" t="str">
        <v>Return delivered (to supplier)</v>
      </c>
      <c r="C54" s="41">
        <v>5</v>
      </c>
      <c r="D54" s="41" t="str">
        <v>RL</v>
      </c>
      <c r="E54" s="117" t="str">
        <f t="shared" si="0"/>
        <v>RL</v>
      </c>
      <c r="F54" s="41" t="str">
        <v/>
      </c>
      <c r="G54" s="41" t="str">
        <v/>
      </c>
      <c r="H54" s="117">
        <f t="shared" si="1"/>
        <v>0</v>
      </c>
      <c r="I54" s="117">
        <f t="shared" si="2"/>
        <v>2</v>
      </c>
      <c r="J54" s="117">
        <f t="shared" si="3"/>
        <v>2.0199999999999996</v>
      </c>
      <c r="K54" s="117" t="str">
        <f t="shared" si="4"/>
        <v>BR</v>
      </c>
      <c r="L54" s="42" t="str">
        <v>BR0202</v>
      </c>
      <c r="M54" s="121" t="str">
        <v/>
      </c>
      <c r="N54" s="121" t="str">
        <v/>
      </c>
      <c r="O54" s="121" t="str">
        <v/>
      </c>
      <c r="P54" s="121" t="str">
        <v/>
      </c>
      <c r="Q54" s="121" t="str">
        <v/>
      </c>
      <c r="R54" s="121" t="str">
        <v/>
      </c>
      <c r="S54" s="121" t="str">
        <v>Return delivered (to supplier)</v>
      </c>
      <c r="T54" s="119" t="str">
        <f>IF($C54&lt;4,IF($C54=3,T55,IF($C54=2,T$1,"")),Q54&amp;R54&amp;IF(LEN(S54)=0,"",Preferences!$C$2&amp;S54)&amp;IF(J55=J54,IF(LEN(R54&amp;S54)=0,"","
")&amp;T55,""))</f>
        <v xml:space="preserve">	• Return delivered (to supplier)</v>
      </c>
      <c r="U54" s="122" t="str">
        <v/>
      </c>
      <c r="V54" s="42"/>
      <c r="W54" s="42"/>
      <c r="X54" s="42"/>
      <c r="Y54" s="42"/>
      <c r="Z54" s="42"/>
      <c r="AA54" s="42"/>
      <c r="AB54" s="42"/>
    </row>
    <row r="55" spans="1:28" x14ac:dyDescent="0.25">
      <c r="A55" s="42" t="str">
        <v>1.2.3</v>
      </c>
      <c r="B55" s="121" t="str">
        <v>2.3 B2C Co a product suppliers fulfil to B2C Co service requirements</v>
      </c>
      <c r="C55" s="41">
        <v>3</v>
      </c>
      <c r="D55" s="41" t="str">
        <v>R</v>
      </c>
      <c r="E55" s="117" t="str">
        <f t="shared" si="0"/>
        <v>R</v>
      </c>
      <c r="F55" s="41" t="str">
        <v/>
      </c>
      <c r="G55" s="41" t="str">
        <v/>
      </c>
      <c r="H55" s="117">
        <f t="shared" si="1"/>
        <v>0</v>
      </c>
      <c r="I55" s="117">
        <f t="shared" si="2"/>
        <v>2</v>
      </c>
      <c r="J55" s="117">
        <f t="shared" si="3"/>
        <v>2.0299999999999994</v>
      </c>
      <c r="K55" s="117" t="str">
        <f t="shared" si="4"/>
        <v>BR</v>
      </c>
      <c r="L55" s="42" t="str">
        <v>BR0203</v>
      </c>
      <c r="M55" s="121" t="str">
        <v/>
      </c>
      <c r="N55" s="121" t="str">
        <v/>
      </c>
      <c r="O55" s="121" t="str">
        <v>BR0203</v>
      </c>
      <c r="P55" s="121" t="str">
        <v>B2C Co a product suppliers fulfil to B2C Co service requirements</v>
      </c>
      <c r="Q55" s="121" t="str">
        <v/>
      </c>
      <c r="R55" s="121" t="str">
        <v/>
      </c>
      <c r="S55" s="121" t="str">
        <v/>
      </c>
      <c r="T55" s="119" t="str">
        <f>IF($C55&lt;4,IF($C55=3,T56,IF($C55=2,T$1,"")),Q55&amp;R55&amp;IF(LEN(S55)=0,"",Preferences!$C$2&amp;S55)&amp;IF(J56=J55,IF(LEN(R55&amp;S55)=0,"","
")&amp;T56,""))</f>
        <v xml:space="preserve"> 1. B2C Co a product suppliers fulfil orders to B2C Co service requirements:
 2. All orders are packed using B2C Co packaging, documentation and labels
 3. All orders are delivered to customers using the designated B2C Co courier.
 4. Changed fulfilment lead-time information must always be submitted to B2C Co (daily)</v>
      </c>
      <c r="U55" s="122" t="str">
        <v/>
      </c>
      <c r="V55" s="42"/>
      <c r="W55" s="42"/>
      <c r="X55" s="42"/>
      <c r="Y55" s="42"/>
      <c r="Z55" s="42"/>
      <c r="AA55" s="42"/>
      <c r="AB55" s="42"/>
    </row>
    <row r="56" spans="1:28" x14ac:dyDescent="0.25">
      <c r="A56" s="42" t="str">
        <v>1.2.3.1</v>
      </c>
      <c r="B56" s="121" t="str">
        <v>B2C Co a product suppliers fulfil orders to B2C Co service requirements:</v>
      </c>
      <c r="C56" s="41">
        <v>4</v>
      </c>
      <c r="D56" s="41" t="str">
        <v>RD</v>
      </c>
      <c r="E56" s="117" t="str">
        <f t="shared" si="0"/>
        <v>RD</v>
      </c>
      <c r="F56" s="41" t="str">
        <v/>
      </c>
      <c r="G56" s="41" t="str">
        <v/>
      </c>
      <c r="H56" s="117">
        <f t="shared" si="1"/>
        <v>0</v>
      </c>
      <c r="I56" s="117">
        <f t="shared" si="2"/>
        <v>2</v>
      </c>
      <c r="J56" s="117">
        <f t="shared" si="3"/>
        <v>2.0299999999999994</v>
      </c>
      <c r="K56" s="117" t="str">
        <f t="shared" si="4"/>
        <v>BR</v>
      </c>
      <c r="L56" s="42" t="str">
        <v>BR0203</v>
      </c>
      <c r="M56" s="121" t="str">
        <v/>
      </c>
      <c r="N56" s="121" t="str">
        <v/>
      </c>
      <c r="O56" s="121" t="str">
        <v/>
      </c>
      <c r="P56" s="121" t="str">
        <v/>
      </c>
      <c r="Q56" s="121" t="str">
        <v xml:space="preserve"> 1. </v>
      </c>
      <c r="R56" s="121" t="str">
        <v>B2C Co a product suppliers fulfil orders to B2C Co service requirements:</v>
      </c>
      <c r="S56" s="121" t="str">
        <v/>
      </c>
      <c r="T56" s="119" t="str">
        <f>IF($C56&lt;4,IF($C56=3,T57,IF($C56=2,T$1,"")),Q56&amp;R56&amp;IF(LEN(S56)=0,"",Preferences!$C$2&amp;S56)&amp;IF(J57=J56,IF(LEN(R56&amp;S56)=0,"","
")&amp;T57,""))</f>
        <v xml:space="preserve"> 1. B2C Co a product suppliers fulfil orders to B2C Co service requirements:
 2. All orders are packed using B2C Co packaging, documentation and labels
 3. All orders are delivered to customers using the designated B2C Co courier.
 4. Changed fulfilment lead-time information must always be submitted to B2C Co (daily)</v>
      </c>
      <c r="U56" s="122" t="str">
        <v/>
      </c>
      <c r="V56" s="42"/>
      <c r="W56" s="42"/>
      <c r="X56" s="42"/>
      <c r="Y56" s="42"/>
      <c r="Z56" s="42"/>
      <c r="AA56" s="42"/>
      <c r="AB56" s="42"/>
    </row>
    <row r="57" spans="1:28" x14ac:dyDescent="0.25">
      <c r="A57" s="42" t="str">
        <v>1.2.3.2</v>
      </c>
      <c r="B57" s="121" t="str">
        <v>All orders are packed using B2C Co packaging, documentation and labels</v>
      </c>
      <c r="C57" s="41">
        <v>4</v>
      </c>
      <c r="D57" s="41" t="str">
        <v>RD</v>
      </c>
      <c r="E57" s="117" t="str">
        <f t="shared" si="0"/>
        <v>RD</v>
      </c>
      <c r="F57" s="41" t="str">
        <v/>
      </c>
      <c r="G57" s="41" t="str">
        <v/>
      </c>
      <c r="H57" s="117">
        <f t="shared" si="1"/>
        <v>0</v>
      </c>
      <c r="I57" s="117">
        <f t="shared" si="2"/>
        <v>2</v>
      </c>
      <c r="J57" s="117">
        <f t="shared" si="3"/>
        <v>2.0299999999999994</v>
      </c>
      <c r="K57" s="117" t="str">
        <f t="shared" si="4"/>
        <v>BR</v>
      </c>
      <c r="L57" s="42" t="str">
        <v>BR0203</v>
      </c>
      <c r="M57" s="121" t="str">
        <v/>
      </c>
      <c r="N57" s="121" t="str">
        <v/>
      </c>
      <c r="O57" s="121" t="str">
        <v/>
      </c>
      <c r="P57" s="121" t="str">
        <v/>
      </c>
      <c r="Q57" s="121" t="str">
        <v xml:space="preserve"> 2. </v>
      </c>
      <c r="R57" s="121" t="str">
        <v>All orders are packed using B2C Co packaging, documentation and labels</v>
      </c>
      <c r="S57" s="121" t="str">
        <v/>
      </c>
      <c r="T57" s="119" t="str">
        <f>IF($C57&lt;4,IF($C57=3,T58,IF($C57=2,T$1,"")),Q57&amp;R57&amp;IF(LEN(S57)=0,"",Preferences!$C$2&amp;S57)&amp;IF(J58=J57,IF(LEN(R57&amp;S57)=0,"","
")&amp;T58,""))</f>
        <v xml:space="preserve"> 2. All orders are packed using B2C Co packaging, documentation and labels
 3. All orders are delivered to customers using the designated B2C Co courier.
 4. Changed fulfilment lead-time information must always be submitted to B2C Co (daily)</v>
      </c>
      <c r="U57" s="122" t="str">
        <v/>
      </c>
      <c r="V57" s="42"/>
      <c r="W57" s="42"/>
      <c r="X57" s="42"/>
      <c r="Y57" s="42"/>
      <c r="Z57" s="42"/>
      <c r="AA57" s="42"/>
      <c r="AB57" s="42"/>
    </row>
    <row r="58" spans="1:28" x14ac:dyDescent="0.25">
      <c r="A58" s="42" t="str">
        <v>1.2.3.3</v>
      </c>
      <c r="B58" s="121" t="str">
        <v>All orders are delivered to customers using the designated B2C Co courier.</v>
      </c>
      <c r="C58" s="41">
        <v>4</v>
      </c>
      <c r="D58" s="41" t="str">
        <v>RD</v>
      </c>
      <c r="E58" s="117" t="str">
        <f t="shared" si="0"/>
        <v>RD</v>
      </c>
      <c r="F58" s="41" t="str">
        <v/>
      </c>
      <c r="G58" s="41" t="str">
        <v/>
      </c>
      <c r="H58" s="117">
        <f t="shared" si="1"/>
        <v>0</v>
      </c>
      <c r="I58" s="117">
        <f t="shared" si="2"/>
        <v>2</v>
      </c>
      <c r="J58" s="117">
        <f t="shared" si="3"/>
        <v>2.0299999999999994</v>
      </c>
      <c r="K58" s="117" t="str">
        <f t="shared" si="4"/>
        <v>BR</v>
      </c>
      <c r="L58" s="42" t="str">
        <v>BR0203</v>
      </c>
      <c r="M58" s="121" t="str">
        <v/>
      </c>
      <c r="N58" s="121" t="str">
        <v/>
      </c>
      <c r="O58" s="121" t="str">
        <v/>
      </c>
      <c r="P58" s="121" t="str">
        <v/>
      </c>
      <c r="Q58" s="121" t="str">
        <v xml:space="preserve"> 3. </v>
      </c>
      <c r="R58" s="121" t="str">
        <v>All orders are delivered to customers using the designated B2C Co courier.</v>
      </c>
      <c r="S58" s="121" t="str">
        <v/>
      </c>
      <c r="T58" s="119" t="str">
        <f>IF($C58&lt;4,IF($C58=3,T59,IF($C58=2,T$1,"")),Q58&amp;R58&amp;IF(LEN(S58)=0,"",Preferences!$C$2&amp;S58)&amp;IF(J59=J58,IF(LEN(R58&amp;S58)=0,"","
")&amp;T59,""))</f>
        <v xml:space="preserve"> 3. All orders are delivered to customers using the designated B2C Co courier.
 4. Changed fulfilment lead-time information must always be submitted to B2C Co (daily)</v>
      </c>
      <c r="U58" s="122" t="str">
        <v/>
      </c>
      <c r="V58" s="42"/>
      <c r="W58" s="42"/>
      <c r="X58" s="42"/>
      <c r="Y58" s="42"/>
      <c r="Z58" s="42"/>
      <c r="AA58" s="42"/>
      <c r="AB58" s="42"/>
    </row>
    <row r="59" spans="1:28" x14ac:dyDescent="0.25">
      <c r="A59" s="42" t="str">
        <v>1.2.3.4</v>
      </c>
      <c r="B59" s="121" t="str">
        <v>Changed fulfilment lead-time information must always be submitted to B2C Co (daily)</v>
      </c>
      <c r="C59" s="41">
        <v>4</v>
      </c>
      <c r="D59" s="41" t="str">
        <v>RD</v>
      </c>
      <c r="E59" s="117" t="str">
        <f t="shared" si="0"/>
        <v>RD</v>
      </c>
      <c r="F59" s="41" t="str">
        <v/>
      </c>
      <c r="G59" s="41" t="str">
        <v/>
      </c>
      <c r="H59" s="117">
        <f t="shared" si="1"/>
        <v>0</v>
      </c>
      <c r="I59" s="117">
        <f t="shared" si="2"/>
        <v>2</v>
      </c>
      <c r="J59" s="117">
        <f t="shared" si="3"/>
        <v>2.0299999999999994</v>
      </c>
      <c r="K59" s="117" t="str">
        <f t="shared" si="4"/>
        <v>BR</v>
      </c>
      <c r="L59" s="42" t="str">
        <v>BR0203</v>
      </c>
      <c r="M59" s="121" t="str">
        <v/>
      </c>
      <c r="N59" s="121" t="str">
        <v/>
      </c>
      <c r="O59" s="121" t="str">
        <v/>
      </c>
      <c r="P59" s="121" t="str">
        <v/>
      </c>
      <c r="Q59" s="121" t="str">
        <v xml:space="preserve"> 4. </v>
      </c>
      <c r="R59" s="121" t="str">
        <v>Changed fulfilment lead-time information must always be submitted to B2C Co (daily)</v>
      </c>
      <c r="S59" s="121" t="str">
        <v/>
      </c>
      <c r="T59" s="119" t="str">
        <f>IF($C59&lt;4,IF($C59=3,T60,IF($C59=2,T$1,"")),Q59&amp;R59&amp;IF(LEN(S59)=0,"",Preferences!$C$2&amp;S59)&amp;IF(J60=J59,IF(LEN(R59&amp;S59)=0,"","
")&amp;T60,""))</f>
        <v xml:space="preserve"> 4. Changed fulfilment lead-time information must always be submitted to B2C Co (daily)</v>
      </c>
      <c r="U59" s="122" t="str">
        <v/>
      </c>
      <c r="V59" s="42"/>
      <c r="W59" s="42"/>
      <c r="X59" s="42"/>
      <c r="Y59" s="42"/>
      <c r="Z59" s="42"/>
      <c r="AA59" s="42"/>
      <c r="AB59" s="42"/>
    </row>
    <row r="60" spans="1:28" x14ac:dyDescent="0.25">
      <c r="A60" s="42" t="str">
        <v>1.2.4</v>
      </c>
      <c r="B60" s="121" t="str">
        <v>2.4 Sell online products in various promotional formats</v>
      </c>
      <c r="C60" s="41">
        <v>3</v>
      </c>
      <c r="D60" s="41" t="str">
        <v>R</v>
      </c>
      <c r="E60" s="117" t="str">
        <f t="shared" si="0"/>
        <v>R</v>
      </c>
      <c r="F60" s="41" t="str">
        <v/>
      </c>
      <c r="G60" s="41" t="str">
        <v/>
      </c>
      <c r="H60" s="117">
        <f t="shared" si="1"/>
        <v>0</v>
      </c>
      <c r="I60" s="117">
        <f t="shared" si="2"/>
        <v>2</v>
      </c>
      <c r="J60" s="117">
        <f t="shared" si="3"/>
        <v>2.0399999999999991</v>
      </c>
      <c r="K60" s="117" t="str">
        <f t="shared" si="4"/>
        <v>BR</v>
      </c>
      <c r="L60" s="42" t="str">
        <v>BR0204</v>
      </c>
      <c r="M60" s="121" t="str">
        <v/>
      </c>
      <c r="N60" s="121" t="str">
        <v/>
      </c>
      <c r="O60" s="121" t="str">
        <v>BR0204</v>
      </c>
      <c r="P60" s="121" t="str">
        <v>Sell online products in various promotional formats</v>
      </c>
      <c r="Q60" s="121" t="str">
        <v/>
      </c>
      <c r="R60" s="121" t="str">
        <v/>
      </c>
      <c r="S60" s="121" t="str">
        <v/>
      </c>
      <c r="T60" s="119" t="str">
        <f>IF($C60&lt;4,IF($C60=3,T61,IF($C60=2,T$1,"")),Q60&amp;R60&amp;IF(LEN(S60)=0,"",Preferences!$C$2&amp;S60)&amp;IF(J61=J60,IF(LEN(R60&amp;S60)=0,"","
")&amp;T61,""))</f>
        <v xml:space="preserve"> 1. Products may be managed and sold in any of the following formats:
	• Any product pack size, as listed in the B2C Co product list (e.g. single and 4-pack).
	• Promotional item consisting of a single product, usually sold as a limited-stock, or limited-time offer.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0" s="122" t="str">
        <v/>
      </c>
      <c r="V60" s="42"/>
      <c r="W60" s="42"/>
      <c r="X60" s="42"/>
      <c r="Y60" s="42"/>
      <c r="Z60" s="42"/>
      <c r="AA60" s="42"/>
      <c r="AB60" s="42"/>
    </row>
    <row r="61" spans="1:28" x14ac:dyDescent="0.25">
      <c r="A61" s="42" t="str">
        <v>1.2.4.1</v>
      </c>
      <c r="B61" s="121" t="str">
        <v>Products may be managed and sold in any of the following formats:</v>
      </c>
      <c r="C61" s="41">
        <v>4</v>
      </c>
      <c r="D61" s="41" t="str">
        <v>RD</v>
      </c>
      <c r="E61" s="117" t="str">
        <f t="shared" si="0"/>
        <v>RD</v>
      </c>
      <c r="F61" s="41" t="str">
        <v/>
      </c>
      <c r="G61" s="41" t="str">
        <v/>
      </c>
      <c r="H61" s="117">
        <f t="shared" si="1"/>
        <v>0</v>
      </c>
      <c r="I61" s="117">
        <f t="shared" si="2"/>
        <v>2</v>
      </c>
      <c r="J61" s="117">
        <f t="shared" si="3"/>
        <v>2.0399999999999991</v>
      </c>
      <c r="K61" s="117" t="str">
        <f t="shared" si="4"/>
        <v>BR</v>
      </c>
      <c r="L61" s="42" t="str">
        <v>BR0204</v>
      </c>
      <c r="M61" s="121" t="str">
        <v/>
      </c>
      <c r="N61" s="121" t="str">
        <v/>
      </c>
      <c r="O61" s="121" t="str">
        <v/>
      </c>
      <c r="P61" s="121" t="str">
        <v/>
      </c>
      <c r="Q61" s="121" t="str">
        <v xml:space="preserve"> 1. </v>
      </c>
      <c r="R61" s="121" t="str">
        <v>Products may be managed and sold in any of the following formats:</v>
      </c>
      <c r="S61" s="121" t="str">
        <v/>
      </c>
      <c r="T61" s="119" t="str">
        <f>IF($C61&lt;4,IF($C61=3,T62,IF($C61=2,T$1,"")),Q61&amp;R61&amp;IF(LEN(S61)=0,"",Preferences!$C$2&amp;S61)&amp;IF(J62=J61,IF(LEN(R61&amp;S61)=0,"","
")&amp;T62,""))</f>
        <v xml:space="preserve"> 1. Products may be managed and sold in any of the following formats:
	• Any product pack size, as listed in the B2C Co product list (e.g. single and 4-pack).
	• Promotional item consisting of a single product, usually sold as a limited-stock, or limited-time offer.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1" s="122" t="str">
        <v/>
      </c>
      <c r="V61" s="42"/>
      <c r="W61" s="42"/>
      <c r="X61" s="42"/>
      <c r="Y61" s="42"/>
      <c r="Z61" s="42"/>
      <c r="AA61" s="42"/>
      <c r="AB61" s="42"/>
    </row>
    <row r="62" spans="1:28" x14ac:dyDescent="0.25">
      <c r="A62" s="42" t="str">
        <v>1.2.4.1.1</v>
      </c>
      <c r="B62" s="121" t="str">
        <v>Any product pack size, as listed in the B2C Co product list (e.g. single and 4-pack).</v>
      </c>
      <c r="C62" s="41">
        <v>5</v>
      </c>
      <c r="D62" s="41" t="str">
        <v>RL</v>
      </c>
      <c r="E62" s="117" t="str">
        <f t="shared" si="0"/>
        <v>RL</v>
      </c>
      <c r="F62" s="41" t="str">
        <v/>
      </c>
      <c r="G62" s="41" t="str">
        <v/>
      </c>
      <c r="H62" s="117">
        <f t="shared" si="1"/>
        <v>0</v>
      </c>
      <c r="I62" s="117">
        <f t="shared" si="2"/>
        <v>2</v>
      </c>
      <c r="J62" s="117">
        <f t="shared" si="3"/>
        <v>2.0399999999999991</v>
      </c>
      <c r="K62" s="117" t="str">
        <f t="shared" si="4"/>
        <v>BR</v>
      </c>
      <c r="L62" s="42" t="str">
        <v>BR0204</v>
      </c>
      <c r="M62" s="121" t="str">
        <v/>
      </c>
      <c r="N62" s="121" t="str">
        <v/>
      </c>
      <c r="O62" s="121" t="str">
        <v/>
      </c>
      <c r="P62" s="121" t="str">
        <v/>
      </c>
      <c r="Q62" s="121" t="str">
        <v/>
      </c>
      <c r="R62" s="121" t="str">
        <v/>
      </c>
      <c r="S62" s="121" t="str">
        <v>Any product pack size, as listed in the B2C Co product list (e.g. single and 4-pack).</v>
      </c>
      <c r="T62" s="119" t="str">
        <f>IF($C62&lt;4,IF($C62=3,T63,IF($C62=2,T$1,"")),Q62&amp;R62&amp;IF(LEN(S62)=0,"",Preferences!$C$2&amp;S62)&amp;IF(J63=J62,IF(LEN(R62&amp;S62)=0,"","
")&amp;T63,""))</f>
        <v xml:space="preserve">	• Any product pack size, as listed in the B2C Co product list (e.g. single and 4-pack).
	• Promotional item consisting of a single product, usually sold as a limited-stock, or limited-time offer.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2" s="122" t="str">
        <v/>
      </c>
      <c r="V62" s="42"/>
      <c r="W62" s="42"/>
      <c r="X62" s="42"/>
      <c r="Y62" s="42"/>
      <c r="Z62" s="42"/>
      <c r="AA62" s="42"/>
      <c r="AB62" s="42"/>
    </row>
    <row r="63" spans="1:28" x14ac:dyDescent="0.25">
      <c r="A63" s="42" t="str">
        <v>1.2.4.1.2</v>
      </c>
      <c r="B63" s="121" t="str">
        <v>Promotional item consisting of a single product, usually sold as a limited-stock, or limited-time offer.</v>
      </c>
      <c r="C63" s="41">
        <v>5</v>
      </c>
      <c r="D63" s="41" t="str">
        <v>RL</v>
      </c>
      <c r="E63" s="117" t="str">
        <f t="shared" si="0"/>
        <v>RL</v>
      </c>
      <c r="F63" s="41" t="str">
        <v/>
      </c>
      <c r="G63" s="41" t="str">
        <v/>
      </c>
      <c r="H63" s="117">
        <f t="shared" si="1"/>
        <v>0</v>
      </c>
      <c r="I63" s="117">
        <f t="shared" si="2"/>
        <v>2</v>
      </c>
      <c r="J63" s="117">
        <f t="shared" si="3"/>
        <v>2.0399999999999991</v>
      </c>
      <c r="K63" s="117" t="str">
        <f t="shared" si="4"/>
        <v>BR</v>
      </c>
      <c r="L63" s="42" t="str">
        <v>BR0204</v>
      </c>
      <c r="M63" s="121" t="str">
        <v/>
      </c>
      <c r="N63" s="121" t="str">
        <v/>
      </c>
      <c r="O63" s="121" t="str">
        <v/>
      </c>
      <c r="P63" s="121" t="str">
        <v/>
      </c>
      <c r="Q63" s="121" t="str">
        <v/>
      </c>
      <c r="R63" s="121" t="str">
        <v/>
      </c>
      <c r="S63" s="121" t="str">
        <v>Promotional item consisting of a single product, usually sold as a limited-stock, or limited-time offer.</v>
      </c>
      <c r="T63" s="119" t="str">
        <f>IF($C63&lt;4,IF($C63=3,T64,IF($C63=2,T$1,"")),Q63&amp;R63&amp;IF(LEN(S63)=0,"",Preferences!$C$2&amp;S63)&amp;IF(J64=J63,IF(LEN(R63&amp;S63)=0,"","
")&amp;T64,""))</f>
        <v xml:space="preserve">	• Promotional item consisting of a single product, usually sold as a limited-stock, or limited-time offer.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3" s="122" t="str">
        <v/>
      </c>
      <c r="V63" s="42"/>
      <c r="W63" s="42"/>
      <c r="X63" s="42"/>
      <c r="Y63" s="42"/>
      <c r="Z63" s="42"/>
      <c r="AA63" s="42"/>
      <c r="AB63" s="42"/>
    </row>
    <row r="64" spans="1:28" x14ac:dyDescent="0.25">
      <c r="A64" s="42" t="str">
        <v>1.2.4.1.3</v>
      </c>
      <c r="B64" s="121" t="str">
        <v>Combination of multiple products to sold together, usually sold as a limited-stock, or limited-time offer.</v>
      </c>
      <c r="C64" s="41">
        <v>5</v>
      </c>
      <c r="D64" s="41" t="str">
        <v>RL</v>
      </c>
      <c r="E64" s="117" t="str">
        <f t="shared" si="0"/>
        <v>RL</v>
      </c>
      <c r="F64" s="41" t="str">
        <v/>
      </c>
      <c r="G64" s="41" t="str">
        <v/>
      </c>
      <c r="H64" s="117">
        <f t="shared" si="1"/>
        <v>0</v>
      </c>
      <c r="I64" s="117">
        <f t="shared" si="2"/>
        <v>2</v>
      </c>
      <c r="J64" s="117">
        <f t="shared" si="3"/>
        <v>2.0399999999999991</v>
      </c>
      <c r="K64" s="117" t="str">
        <f t="shared" si="4"/>
        <v>BR</v>
      </c>
      <c r="L64" s="42" t="str">
        <v>BR0204</v>
      </c>
      <c r="M64" s="121" t="str">
        <v/>
      </c>
      <c r="N64" s="121" t="str">
        <v/>
      </c>
      <c r="O64" s="121" t="str">
        <v/>
      </c>
      <c r="P64" s="121" t="str">
        <v/>
      </c>
      <c r="Q64" s="121" t="str">
        <v/>
      </c>
      <c r="R64" s="121" t="str">
        <v/>
      </c>
      <c r="S64" s="121" t="str">
        <v>Combination of multiple products to sold together, usually sold as a limited-stock, or limited-time offer.</v>
      </c>
      <c r="T64" s="119" t="str">
        <f>IF($C64&lt;4,IF($C64=3,T65,IF($C64=2,T$1,"")),Q64&amp;R64&amp;IF(LEN(S64)=0,"",Preferences!$C$2&amp;S64)&amp;IF(J65=J64,IF(LEN(R64&amp;S64)=0,"","
")&amp;T65,""))</f>
        <v xml:space="preserve">	• Combination of multiple products to sold together, usually sold as a limited-stock, or limited-time offer.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4" s="122" t="str">
        <v/>
      </c>
      <c r="V64" s="42"/>
      <c r="W64" s="42"/>
      <c r="X64" s="42"/>
      <c r="Y64" s="42"/>
      <c r="Z64" s="42"/>
      <c r="AA64" s="42"/>
      <c r="AB64" s="42"/>
    </row>
    <row r="65" spans="1:28" x14ac:dyDescent="0.25">
      <c r="A65" s="42" t="str">
        <v>1.2.4.1.3.1</v>
      </c>
      <c r="B65" s="121" t="str">
        <v>The items in this type of promotion are fulfilled as separate products.</v>
      </c>
      <c r="C65" s="41">
        <v>6</v>
      </c>
      <c r="D65" s="41" t="str">
        <v>RL</v>
      </c>
      <c r="E65" s="117" t="str">
        <f t="shared" si="0"/>
        <v>RL</v>
      </c>
      <c r="F65" s="41" t="str">
        <v/>
      </c>
      <c r="G65" s="41" t="str">
        <v/>
      </c>
      <c r="H65" s="117">
        <f t="shared" si="1"/>
        <v>0</v>
      </c>
      <c r="I65" s="117">
        <f t="shared" si="2"/>
        <v>2</v>
      </c>
      <c r="J65" s="117">
        <f t="shared" si="3"/>
        <v>2.0399999999999991</v>
      </c>
      <c r="K65" s="117" t="str">
        <f t="shared" si="4"/>
        <v>BR</v>
      </c>
      <c r="L65" s="42" t="str">
        <v>BR0204</v>
      </c>
      <c r="M65" s="121" t="str">
        <v/>
      </c>
      <c r="N65" s="121" t="str">
        <v/>
      </c>
      <c r="O65" s="121" t="str">
        <v/>
      </c>
      <c r="P65" s="121" t="str">
        <v/>
      </c>
      <c r="Q65" s="121" t="str">
        <v/>
      </c>
      <c r="R65" s="121" t="str">
        <v/>
      </c>
      <c r="S65" s="121" t="str">
        <v>The items in this type of promotion are fulfilled as separate products.</v>
      </c>
      <c r="T65" s="119" t="str">
        <f>IF($C65&lt;4,IF($C65=3,T66,IF($C65=2,T$1,"")),Q65&amp;R65&amp;IF(LEN(S65)=0,"",Preferences!$C$2&amp;S65)&amp;IF(J66=J65,IF(LEN(R65&amp;S65)=0,"","
")&amp;T66,""))</f>
        <v xml:space="preserve">	• The items in this type of promotion are fulfilled as separate products.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5" s="122" t="str">
        <v/>
      </c>
      <c r="V65" s="42"/>
      <c r="W65" s="42"/>
      <c r="X65" s="42"/>
      <c r="Y65" s="42"/>
      <c r="Z65" s="42"/>
      <c r="AA65" s="42"/>
      <c r="AB65" s="42"/>
    </row>
    <row r="66" spans="1:28" x14ac:dyDescent="0.25">
      <c r="A66" s="42" t="str">
        <v>1.2.4.1.4</v>
      </c>
      <c r="B66" s="121" t="str">
        <v>Where a promotional pack is supplied as a unit by a supplier, that item must be listed and managed as a distinct product (e.g. big tin of baby formula wrapped/banded with a small tin).</v>
      </c>
      <c r="C66" s="41">
        <v>5</v>
      </c>
      <c r="D66" s="41" t="str">
        <v>RL</v>
      </c>
      <c r="E66" s="117" t="str">
        <f t="shared" si="0"/>
        <v>RL</v>
      </c>
      <c r="F66" s="41" t="str">
        <v/>
      </c>
      <c r="G66" s="41" t="str">
        <v/>
      </c>
      <c r="H66" s="117">
        <f t="shared" si="1"/>
        <v>0</v>
      </c>
      <c r="I66" s="117">
        <f t="shared" si="2"/>
        <v>2</v>
      </c>
      <c r="J66" s="117">
        <f t="shared" si="3"/>
        <v>2.0399999999999991</v>
      </c>
      <c r="K66" s="117" t="str">
        <f t="shared" si="4"/>
        <v>BR</v>
      </c>
      <c r="L66" s="42" t="str">
        <v>BR0204</v>
      </c>
      <c r="M66" s="121" t="str">
        <v/>
      </c>
      <c r="N66" s="121" t="str">
        <v/>
      </c>
      <c r="O66" s="121" t="str">
        <v/>
      </c>
      <c r="P66" s="121" t="str">
        <v/>
      </c>
      <c r="Q66" s="121" t="str">
        <v/>
      </c>
      <c r="R66" s="121" t="str">
        <v/>
      </c>
      <c r="S66" s="121" t="str">
        <v>Where a promotional pack is supplied as a unit by a supplier, that item must be listed and managed as a distinct product (e.g. big tin of baby formula wrapped/banded with a small tin).</v>
      </c>
      <c r="T66" s="119" t="str">
        <f>IF($C66&lt;4,IF($C66=3,T67,IF($C66=2,T$1,"")),Q66&amp;R66&amp;IF(LEN(S66)=0,"",Preferences!$C$2&amp;S66)&amp;IF(J67=J66,IF(LEN(R66&amp;S66)=0,"","
")&amp;T67,""))</f>
        <v xml:space="preserve">	• Where a promotional pack is supplied as a unit by a supplier, that item must be listed and managed as a distinct product (e.g. big tin of baby formula wrapped/banded with a small tin).
	• The items in this type of promotion are fulfilled together as a supplier promotion item.
 2. Important: For the purpose of this document, any reference to product implies any of these formats.</v>
      </c>
      <c r="U66" s="122" t="str">
        <v/>
      </c>
      <c r="V66" s="42"/>
      <c r="W66" s="42"/>
      <c r="X66" s="42"/>
      <c r="Y66" s="42"/>
      <c r="Z66" s="42"/>
      <c r="AA66" s="42"/>
      <c r="AB66" s="42"/>
    </row>
    <row r="67" spans="1:28" x14ac:dyDescent="0.25">
      <c r="A67" s="42" t="str">
        <v>1.2.4.1.4.1</v>
      </c>
      <c r="B67" s="121" t="str">
        <v>The items in this type of promotion are fulfilled together as a supplier promotion item.</v>
      </c>
      <c r="C67" s="41">
        <v>6</v>
      </c>
      <c r="D67" s="41" t="str">
        <v>RL</v>
      </c>
      <c r="E67" s="117" t="str">
        <f t="shared" si="0"/>
        <v>RL</v>
      </c>
      <c r="F67" s="41" t="str">
        <v/>
      </c>
      <c r="G67" s="41" t="str">
        <v/>
      </c>
      <c r="H67" s="117">
        <f t="shared" si="1"/>
        <v>0</v>
      </c>
      <c r="I67" s="117">
        <f t="shared" si="2"/>
        <v>2</v>
      </c>
      <c r="J67" s="117">
        <f t="shared" si="3"/>
        <v>2.0399999999999991</v>
      </c>
      <c r="K67" s="117" t="str">
        <f t="shared" si="4"/>
        <v>BR</v>
      </c>
      <c r="L67" s="42" t="str">
        <v>BR0204</v>
      </c>
      <c r="M67" s="121" t="str">
        <v/>
      </c>
      <c r="N67" s="121" t="str">
        <v/>
      </c>
      <c r="O67" s="121" t="str">
        <v/>
      </c>
      <c r="P67" s="121" t="str">
        <v/>
      </c>
      <c r="Q67" s="121" t="str">
        <v/>
      </c>
      <c r="R67" s="121" t="str">
        <v/>
      </c>
      <c r="S67" s="121" t="str">
        <v>The items in this type of promotion are fulfilled together as a supplier promotion item.</v>
      </c>
      <c r="T67" s="119" t="str">
        <f>IF($C67&lt;4,IF($C67=3,T68,IF($C67=2,T$1,"")),Q67&amp;R67&amp;IF(LEN(S67)=0,"",Preferences!$C$2&amp;S67)&amp;IF(J68=J67,IF(LEN(R67&amp;S67)=0,"","
")&amp;T68,""))</f>
        <v xml:space="preserve">	• The items in this type of promotion are fulfilled together as a supplier promotion item.
 2. Important: For the purpose of this document, any reference to product implies any of these formats.</v>
      </c>
      <c r="U67" s="122" t="str">
        <v/>
      </c>
      <c r="V67" s="42"/>
      <c r="W67" s="42"/>
      <c r="X67" s="42"/>
      <c r="Y67" s="42"/>
      <c r="Z67" s="42"/>
      <c r="AA67" s="42"/>
      <c r="AB67" s="42"/>
    </row>
    <row r="68" spans="1:28" x14ac:dyDescent="0.25">
      <c r="A68" s="42" t="str">
        <v>1.2.4.2</v>
      </c>
      <c r="B68" s="121" t="str">
        <v>Important: For the purpose of this document, any reference to product implies any of these formats.</v>
      </c>
      <c r="C68" s="41">
        <v>4</v>
      </c>
      <c r="D68" s="41" t="str">
        <v>RD</v>
      </c>
      <c r="E68" s="117" t="str">
        <f t="shared" si="0"/>
        <v>RD</v>
      </c>
      <c r="F68" s="41" t="str">
        <v/>
      </c>
      <c r="G68" s="41" t="str">
        <v/>
      </c>
      <c r="H68" s="117">
        <f t="shared" si="1"/>
        <v>0</v>
      </c>
      <c r="I68" s="117">
        <f t="shared" si="2"/>
        <v>2</v>
      </c>
      <c r="J68" s="117">
        <f t="shared" si="3"/>
        <v>2.0399999999999991</v>
      </c>
      <c r="K68" s="117" t="str">
        <f t="shared" si="4"/>
        <v>BR</v>
      </c>
      <c r="L68" s="42" t="str">
        <v>BR0204</v>
      </c>
      <c r="M68" s="121" t="str">
        <v/>
      </c>
      <c r="N68" s="121" t="str">
        <v/>
      </c>
      <c r="O68" s="121" t="str">
        <v/>
      </c>
      <c r="P68" s="121" t="str">
        <v/>
      </c>
      <c r="Q68" s="121" t="str">
        <v xml:space="preserve"> 2. </v>
      </c>
      <c r="R68" s="121" t="str">
        <v>Important: For the purpose of this document, any reference to product implies any of these formats.</v>
      </c>
      <c r="S68" s="121" t="str">
        <v/>
      </c>
      <c r="T68" s="119" t="str">
        <f>IF($C68&lt;4,IF($C68=3,T69,IF($C68=2,T$1,"")),Q68&amp;R68&amp;IF(LEN(S68)=0,"",Preferences!$C$2&amp;S68)&amp;IF(J69=J68,IF(LEN(R68&amp;S68)=0,"","
")&amp;T69,""))</f>
        <v xml:space="preserve"> 2. Important: For the purpose of this document, any reference to product implies any of these formats.</v>
      </c>
      <c r="U68" s="122" t="str">
        <v/>
      </c>
      <c r="V68" s="42"/>
      <c r="W68" s="42"/>
      <c r="X68" s="42"/>
      <c r="Y68" s="42"/>
      <c r="Z68" s="42"/>
      <c r="AA68" s="42"/>
      <c r="AB68" s="42"/>
    </row>
    <row r="69" spans="1:28" x14ac:dyDescent="0.25">
      <c r="A69" s="42" t="str">
        <v>1.3</v>
      </c>
      <c r="B69" s="121" t="str">
        <v>3 Product and Service Catalogue</v>
      </c>
      <c r="C69" s="41">
        <v>2</v>
      </c>
      <c r="D69" s="41" t="str">
        <v>RS</v>
      </c>
      <c r="E69" s="117" t="str">
        <f t="shared" si="0"/>
        <v>RS</v>
      </c>
      <c r="F69" s="41" t="str">
        <v/>
      </c>
      <c r="G69" s="41" t="str">
        <v/>
      </c>
      <c r="H69" s="117">
        <f t="shared" si="1"/>
        <v>0</v>
      </c>
      <c r="I69" s="117">
        <f t="shared" si="2"/>
        <v>3</v>
      </c>
      <c r="J69" s="117">
        <f t="shared" si="3"/>
        <v>3</v>
      </c>
      <c r="K69" s="117" t="str">
        <f t="shared" si="4"/>
        <v>BR</v>
      </c>
      <c r="L69" s="42">
        <v>3</v>
      </c>
      <c r="M69" s="121" t="str">
        <v/>
      </c>
      <c r="N69" s="121" t="str">
        <v>3 Product and Service Catalogue</v>
      </c>
      <c r="O69" s="121" t="str">
        <v>ReqID</v>
      </c>
      <c r="P69" s="121" t="e">
        <v>#N/A</v>
      </c>
      <c r="Q69" s="121" t="str">
        <v/>
      </c>
      <c r="R69" s="121" t="str">
        <v/>
      </c>
      <c r="S69" s="121" t="str">
        <v/>
      </c>
      <c r="T69" s="119" t="str">
        <f>IF($C69&lt;4,IF($C69=3,T70,IF($C69=2,T$1,"")),Q69&amp;R69&amp;IF(LEN(S69)=0,"",Preferences!$C$2&amp;S69)&amp;IF(J70=J69,IF(LEN(R69&amp;S69)=0,"","
")&amp;T70,""))</f>
        <v>Description</v>
      </c>
      <c r="U69" s="122" t="str">
        <v/>
      </c>
      <c r="V69" s="42"/>
      <c r="W69" s="42"/>
      <c r="X69" s="42"/>
      <c r="Y69" s="42"/>
      <c r="Z69" s="42"/>
      <c r="AA69" s="42"/>
      <c r="AB69" s="42"/>
    </row>
    <row r="70" spans="1:28" x14ac:dyDescent="0.25">
      <c r="A70" s="42" t="str">
        <v>1.3.1</v>
      </c>
      <c r="B70" s="121" t="str">
        <v>3.1 Register products for online sale</v>
      </c>
      <c r="C70" s="41">
        <v>3</v>
      </c>
      <c r="D70" s="41" t="str">
        <v>R</v>
      </c>
      <c r="E70" s="117" t="str">
        <f t="shared" si="0"/>
        <v>R</v>
      </c>
      <c r="F70" s="41" t="str">
        <v/>
      </c>
      <c r="G70" s="41" t="str">
        <v/>
      </c>
      <c r="H70" s="117">
        <f t="shared" si="1"/>
        <v>0</v>
      </c>
      <c r="I70" s="117">
        <f t="shared" si="2"/>
        <v>3</v>
      </c>
      <c r="J70" s="117">
        <f t="shared" si="3"/>
        <v>3.01</v>
      </c>
      <c r="K70" s="117" t="str">
        <f t="shared" si="4"/>
        <v>BR</v>
      </c>
      <c r="L70" s="42" t="str">
        <v>BR0301</v>
      </c>
      <c r="M70" s="121" t="str">
        <v/>
      </c>
      <c r="N70" s="121" t="str">
        <v/>
      </c>
      <c r="O70" s="121" t="str">
        <v>BR0301</v>
      </c>
      <c r="P70" s="121" t="str">
        <v>Register products for online sale</v>
      </c>
      <c r="Q70" s="121" t="str">
        <v/>
      </c>
      <c r="R70" s="121" t="str">
        <v/>
      </c>
      <c r="S70" s="121" t="str">
        <v/>
      </c>
      <c r="T70" s="119" t="str">
        <f>IF($C70&lt;4,IF($C70=3,T71,IF($C70=2,T$1,"")),Q70&amp;R70&amp;IF(LEN(S70)=0,"",Preferences!$C$2&amp;S70)&amp;IF(J71=J70,IF(LEN(R70&amp;S70)=0,"","
")&amp;T71,""))</f>
        <v xml:space="preserve"> 1. All B2C Co products must be listed in the Shoprite Retail system (SAP Retail), using the standard Shoprite product listing procedure (not bulk).
 2. List the B2C Co products with the applicable B2C Co vendor as the supplier.
 3. For each B2C Co product, configure the following: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0" s="122" t="str">
        <v/>
      </c>
      <c r="V70" s="42"/>
      <c r="W70" s="42"/>
      <c r="X70" s="42"/>
      <c r="Y70" s="42"/>
      <c r="Z70" s="42"/>
      <c r="AA70" s="42"/>
      <c r="AB70" s="42"/>
    </row>
    <row r="71" spans="1:28" x14ac:dyDescent="0.25">
      <c r="A71" s="42" t="str">
        <v>1.3.1.1</v>
      </c>
      <c r="B71" s="121" t="str">
        <v>All B2C Co products must be listed in the Shoprite Retail system (SAP Retail), using the standard Shoprite product listing procedure (not bulk).</v>
      </c>
      <c r="C71" s="41">
        <v>4</v>
      </c>
      <c r="D71" s="41" t="str">
        <v>RD</v>
      </c>
      <c r="E71" s="117" t="str">
        <f t="shared" si="0"/>
        <v>RD</v>
      </c>
      <c r="F71" s="41" t="str">
        <v/>
      </c>
      <c r="G71" s="41" t="str">
        <v/>
      </c>
      <c r="H71" s="117">
        <f t="shared" si="1"/>
        <v>0</v>
      </c>
      <c r="I71" s="117">
        <f t="shared" si="2"/>
        <v>3</v>
      </c>
      <c r="J71" s="117">
        <f t="shared" si="3"/>
        <v>3.01</v>
      </c>
      <c r="K71" s="117" t="str">
        <f t="shared" si="4"/>
        <v>BR</v>
      </c>
      <c r="L71" s="42" t="str">
        <v>BR0301</v>
      </c>
      <c r="M71" s="121" t="str">
        <v/>
      </c>
      <c r="N71" s="121" t="str">
        <v/>
      </c>
      <c r="O71" s="121" t="str">
        <v/>
      </c>
      <c r="P71" s="121" t="str">
        <v/>
      </c>
      <c r="Q71" s="121" t="str">
        <v xml:space="preserve"> 1. </v>
      </c>
      <c r="R71" s="121" t="str">
        <v>All B2C Co products must be listed in the Shoprite Retail system (SAP Retail), using the standard Shoprite product listing procedure (not bulk).</v>
      </c>
      <c r="S71" s="121" t="str">
        <v/>
      </c>
      <c r="T71" s="119" t="str">
        <f>IF($C71&lt;4,IF($C71=3,T72,IF($C71=2,T$1,"")),Q71&amp;R71&amp;IF(LEN(S71)=0,"",Preferences!$C$2&amp;S71)&amp;IF(J72=J71,IF(LEN(R71&amp;S71)=0,"","
")&amp;T72,""))</f>
        <v xml:space="preserve"> 1. All B2C Co products must be listed in the Shoprite Retail system (SAP Retail), using the standard Shoprite product listing procedure (not bulk).
 2. List the B2C Co products with the applicable B2C Co vendor as the supplier.
 3. For each B2C Co product, configure the following: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1" s="122" t="str">
        <v/>
      </c>
      <c r="V71" s="42"/>
      <c r="W71" s="42"/>
      <c r="X71" s="42"/>
      <c r="Y71" s="42"/>
      <c r="Z71" s="42"/>
      <c r="AA71" s="42"/>
      <c r="AB71" s="42"/>
    </row>
    <row r="72" spans="1:28" x14ac:dyDescent="0.25">
      <c r="A72" s="42" t="str">
        <v>1.3.1.2</v>
      </c>
      <c r="B72" s="121" t="str">
        <v>List the B2C Co products with the applicable B2C Co vendor as the supplier.</v>
      </c>
      <c r="C72" s="41">
        <v>4</v>
      </c>
      <c r="D72" s="41" t="str">
        <v>RD</v>
      </c>
      <c r="E72" s="117" t="str">
        <f t="shared" si="0"/>
        <v>RD</v>
      </c>
      <c r="F72" s="41" t="str">
        <v/>
      </c>
      <c r="G72" s="41" t="str">
        <v/>
      </c>
      <c r="H72" s="117">
        <f t="shared" si="1"/>
        <v>0</v>
      </c>
      <c r="I72" s="117">
        <f t="shared" si="2"/>
        <v>3</v>
      </c>
      <c r="J72" s="117">
        <f t="shared" si="3"/>
        <v>3.01</v>
      </c>
      <c r="K72" s="117" t="str">
        <f t="shared" si="4"/>
        <v>BR</v>
      </c>
      <c r="L72" s="42" t="str">
        <v>BR0301</v>
      </c>
      <c r="M72" s="121" t="str">
        <v/>
      </c>
      <c r="N72" s="121" t="str">
        <v/>
      </c>
      <c r="O72" s="121" t="str">
        <v/>
      </c>
      <c r="P72" s="121" t="str">
        <v/>
      </c>
      <c r="Q72" s="121" t="str">
        <v xml:space="preserve"> 2. </v>
      </c>
      <c r="R72" s="121" t="str">
        <v>List the B2C Co products with the applicable B2C Co vendor as the supplier.</v>
      </c>
      <c r="S72" s="121" t="str">
        <v/>
      </c>
      <c r="T72" s="119" t="str">
        <f>IF($C72&lt;4,IF($C72=3,T73,IF($C72=2,T$1,"")),Q72&amp;R72&amp;IF(LEN(S72)=0,"",Preferences!$C$2&amp;S72)&amp;IF(J73=J72,IF(LEN(R72&amp;S72)=0,"","
")&amp;T73,""))</f>
        <v xml:space="preserve"> 2. List the B2C Co products with the applicable B2C Co vendor as the supplier.
 3. For each B2C Co product, configure the following: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2" s="122" t="str">
        <v/>
      </c>
      <c r="V72" s="42"/>
      <c r="W72" s="42"/>
      <c r="X72" s="42"/>
      <c r="Y72" s="42"/>
      <c r="Z72" s="42"/>
      <c r="AA72" s="42"/>
      <c r="AB72" s="42"/>
    </row>
    <row r="73" spans="1:28" x14ac:dyDescent="0.25">
      <c r="A73" s="42" t="str">
        <v>1.3.1.3</v>
      </c>
      <c r="B73" s="121" t="str">
        <v>For each B2C Co product, configure the following:</v>
      </c>
      <c r="C73" s="41">
        <v>4</v>
      </c>
      <c r="D73" s="41" t="str">
        <v>RD</v>
      </c>
      <c r="E73" s="117" t="str">
        <f t="shared" si="0"/>
        <v>RD</v>
      </c>
      <c r="F73" s="41" t="str">
        <v/>
      </c>
      <c r="G73" s="41" t="str">
        <v/>
      </c>
      <c r="H73" s="117">
        <f t="shared" si="1"/>
        <v>0</v>
      </c>
      <c r="I73" s="117">
        <f t="shared" si="2"/>
        <v>3</v>
      </c>
      <c r="J73" s="117">
        <f t="shared" si="3"/>
        <v>3.01</v>
      </c>
      <c r="K73" s="117" t="str">
        <f t="shared" si="4"/>
        <v>BR</v>
      </c>
      <c r="L73" s="42" t="str">
        <v>BR0301</v>
      </c>
      <c r="M73" s="121" t="str">
        <v/>
      </c>
      <c r="N73" s="121" t="str">
        <v/>
      </c>
      <c r="O73" s="121" t="str">
        <v/>
      </c>
      <c r="P73" s="121" t="str">
        <v/>
      </c>
      <c r="Q73" s="121" t="str">
        <v xml:space="preserve"> 3. </v>
      </c>
      <c r="R73" s="121" t="str">
        <v>For each B2C Co product, configure the following:</v>
      </c>
      <c r="S73" s="121" t="str">
        <v/>
      </c>
      <c r="T73" s="119" t="str">
        <f>IF($C73&lt;4,IF($C73=3,T74,IF($C73=2,T$1,"")),Q73&amp;R73&amp;IF(LEN(S73)=0,"",Preferences!$C$2&amp;S73)&amp;IF(J74=J73,IF(LEN(R73&amp;S73)=0,"","
")&amp;T74,""))</f>
        <v xml:space="preserve"> 3. For each B2C Co product, configure the following: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3" s="122" t="str">
        <v/>
      </c>
      <c r="V73" s="42"/>
      <c r="W73" s="42"/>
      <c r="X73" s="42"/>
      <c r="Y73" s="42"/>
      <c r="Z73" s="42"/>
      <c r="AA73" s="42"/>
      <c r="AB73" s="42"/>
    </row>
    <row r="74" spans="1:28" x14ac:dyDescent="0.25">
      <c r="A74" s="42" t="str">
        <v>1.3.1.3.1</v>
      </c>
      <c r="B74" s="121" t="str">
        <v>Ordering lead-time for the supplier</v>
      </c>
      <c r="C74" s="41">
        <v>5</v>
      </c>
      <c r="D74" s="41" t="str">
        <v>RL</v>
      </c>
      <c r="E74" s="117" t="str">
        <f t="shared" si="0"/>
        <v>RL</v>
      </c>
      <c r="F74" s="41" t="str">
        <v/>
      </c>
      <c r="G74" s="41" t="str">
        <v/>
      </c>
      <c r="H74" s="117">
        <f t="shared" si="1"/>
        <v>0</v>
      </c>
      <c r="I74" s="117">
        <f t="shared" si="2"/>
        <v>3</v>
      </c>
      <c r="J74" s="117">
        <f t="shared" si="3"/>
        <v>3.01</v>
      </c>
      <c r="K74" s="117" t="str">
        <f t="shared" si="4"/>
        <v>BR</v>
      </c>
      <c r="L74" s="42" t="str">
        <v>BR0301</v>
      </c>
      <c r="M74" s="121" t="str">
        <v/>
      </c>
      <c r="N74" s="121" t="str">
        <v/>
      </c>
      <c r="O74" s="121" t="str">
        <v/>
      </c>
      <c r="P74" s="121" t="str">
        <v/>
      </c>
      <c r="Q74" s="121" t="str">
        <v/>
      </c>
      <c r="R74" s="121" t="str">
        <v/>
      </c>
      <c r="S74" s="121" t="str">
        <v>Ordering lead-time for the supplier</v>
      </c>
      <c r="T74" s="119" t="str">
        <f>IF($C74&lt;4,IF($C74=3,T75,IF($C74=2,T$1,"")),Q74&amp;R74&amp;IF(LEN(S74)=0,"",Preferences!$C$2&amp;S74)&amp;IF(J75=J74,IF(LEN(R74&amp;S74)=0,"","
")&amp;T75,""))</f>
        <v xml:space="preserve">	• Ordering lead-time for the supplier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4" s="122" t="str">
        <v/>
      </c>
      <c r="V74" s="42"/>
      <c r="W74" s="42"/>
      <c r="X74" s="42"/>
      <c r="Y74" s="42"/>
      <c r="Z74" s="42"/>
      <c r="AA74" s="42"/>
      <c r="AB74" s="42"/>
    </row>
    <row r="75" spans="1:28" x14ac:dyDescent="0.25">
      <c r="A75" s="42" t="str">
        <v>1.3.1.3.2</v>
      </c>
      <c r="B75" s="121" t="str">
        <v>An ordering pack size for each pack (quantity) that can be ordered from the supplier.</v>
      </c>
      <c r="C75" s="41">
        <v>5</v>
      </c>
      <c r="D75" s="41" t="str">
        <v>RL</v>
      </c>
      <c r="E75" s="117" t="str">
        <f t="shared" si="0"/>
        <v>RL</v>
      </c>
      <c r="F75" s="41" t="str">
        <v/>
      </c>
      <c r="G75" s="41" t="str">
        <v/>
      </c>
      <c r="H75" s="117">
        <f t="shared" si="1"/>
        <v>0</v>
      </c>
      <c r="I75" s="117">
        <f t="shared" si="2"/>
        <v>3</v>
      </c>
      <c r="J75" s="117">
        <f t="shared" si="3"/>
        <v>3.01</v>
      </c>
      <c r="K75" s="117" t="str">
        <f t="shared" si="4"/>
        <v>BR</v>
      </c>
      <c r="L75" s="42" t="str">
        <v>BR0301</v>
      </c>
      <c r="M75" s="121" t="str">
        <v/>
      </c>
      <c r="N75" s="121" t="str">
        <v/>
      </c>
      <c r="O75" s="121" t="str">
        <v/>
      </c>
      <c r="P75" s="121" t="str">
        <v/>
      </c>
      <c r="Q75" s="121" t="str">
        <v/>
      </c>
      <c r="R75" s="121" t="str">
        <v/>
      </c>
      <c r="S75" s="121" t="str">
        <v>An ordering pack size for each pack (quantity) that can be ordered from the supplier.</v>
      </c>
      <c r="T75" s="119" t="str">
        <f>IF($C75&lt;4,IF($C75=3,T76,IF($C75=2,T$1,"")),Q75&amp;R75&amp;IF(LEN(S75)=0,"",Preferences!$C$2&amp;S75)&amp;IF(J76=J75,IF(LEN(R75&amp;S75)=0,"","
")&amp;T76,""))</f>
        <v xml:space="preserve">	• An ordering pack size for each pack (quantity) that can be ordered from the supplier.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5" s="122" t="str">
        <v/>
      </c>
      <c r="V75" s="42"/>
      <c r="W75" s="42"/>
      <c r="X75" s="42"/>
      <c r="Y75" s="42"/>
      <c r="Z75" s="42"/>
      <c r="AA75" s="42"/>
      <c r="AB75" s="42"/>
    </row>
    <row r="76" spans="1:28" x14ac:dyDescent="0.25">
      <c r="A76" s="42" t="str">
        <v>1.3.1.3.3</v>
      </c>
      <c r="B76" s="121" t="str">
        <v>A selling pack size to match each pack size that can be ordered from the supplier, with at least an each for a product.</v>
      </c>
      <c r="C76" s="41">
        <v>5</v>
      </c>
      <c r="D76" s="41" t="str">
        <v>RL</v>
      </c>
      <c r="E76" s="117" t="str">
        <f t="shared" si="0"/>
        <v>RL</v>
      </c>
      <c r="F76" s="41" t="str">
        <v/>
      </c>
      <c r="G76" s="41" t="str">
        <v/>
      </c>
      <c r="H76" s="117">
        <f t="shared" si="1"/>
        <v>0</v>
      </c>
      <c r="I76" s="117">
        <f t="shared" si="2"/>
        <v>3</v>
      </c>
      <c r="J76" s="117">
        <f t="shared" si="3"/>
        <v>3.01</v>
      </c>
      <c r="K76" s="117" t="str">
        <f t="shared" si="4"/>
        <v>BR</v>
      </c>
      <c r="L76" s="42" t="str">
        <v>BR0301</v>
      </c>
      <c r="M76" s="121" t="str">
        <v/>
      </c>
      <c r="N76" s="121" t="str">
        <v/>
      </c>
      <c r="O76" s="121" t="str">
        <v/>
      </c>
      <c r="P76" s="121" t="str">
        <v/>
      </c>
      <c r="Q76" s="121" t="str">
        <v/>
      </c>
      <c r="R76" s="121" t="str">
        <v/>
      </c>
      <c r="S76" s="121" t="str">
        <v>A selling pack size to match each pack size that can be ordered from the supplier, with at least an each for a product.</v>
      </c>
      <c r="T76" s="119" t="str">
        <f>IF($C76&lt;4,IF($C76=3,T77,IF($C76=2,T$1,"")),Q76&amp;R76&amp;IF(LEN(S76)=0,"",Preferences!$C$2&amp;S76)&amp;IF(J77=J76,IF(LEN(R76&amp;S76)=0,"","
")&amp;T77,""))</f>
        <v xml:space="preserve">	• A selling pack size to match each pack size that can be ordered from the supplier, with at least an each for a product.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6" s="122" t="str">
        <v/>
      </c>
      <c r="V76" s="42"/>
      <c r="W76" s="42"/>
      <c r="X76" s="42"/>
      <c r="Y76" s="42"/>
      <c r="Z76" s="42"/>
      <c r="AA76" s="42"/>
      <c r="AB76" s="42"/>
    </row>
    <row r="77" spans="1:28" x14ac:dyDescent="0.25">
      <c r="A77" s="42" t="str">
        <v>1.3.1.3.4</v>
      </c>
      <c r="B77" s="121" t="str">
        <v>Consignment (no stock held) as product stock type</v>
      </c>
      <c r="C77" s="41">
        <v>5</v>
      </c>
      <c r="D77" s="41" t="str">
        <v>RL</v>
      </c>
      <c r="E77" s="117" t="str">
        <f t="shared" si="0"/>
        <v>RL</v>
      </c>
      <c r="F77" s="41" t="str">
        <v/>
      </c>
      <c r="G77" s="41" t="str">
        <v/>
      </c>
      <c r="H77" s="117">
        <f t="shared" si="1"/>
        <v>0</v>
      </c>
      <c r="I77" s="117">
        <f t="shared" si="2"/>
        <v>3</v>
      </c>
      <c r="J77" s="117">
        <f t="shared" si="3"/>
        <v>3.01</v>
      </c>
      <c r="K77" s="117" t="str">
        <f t="shared" si="4"/>
        <v>BR</v>
      </c>
      <c r="L77" s="42" t="str">
        <v>BR0301</v>
      </c>
      <c r="M77" s="121" t="str">
        <v/>
      </c>
      <c r="N77" s="121" t="str">
        <v/>
      </c>
      <c r="O77" s="121" t="str">
        <v/>
      </c>
      <c r="P77" s="121" t="str">
        <v/>
      </c>
      <c r="Q77" s="121" t="str">
        <v/>
      </c>
      <c r="R77" s="121" t="str">
        <v/>
      </c>
      <c r="S77" s="121" t="str">
        <v>Consignment (no stock held) as product stock type</v>
      </c>
      <c r="T77" s="119" t="str">
        <f>IF($C77&lt;4,IF($C77=3,T78,IF($C77=2,T$1,"")),Q77&amp;R77&amp;IF(LEN(S77)=0,"",Preferences!$C$2&amp;S77)&amp;IF(J78=J77,IF(LEN(R77&amp;S77)=0,"","
")&amp;T78,""))</f>
        <v xml:space="preserve">	• Consignment (no stock held) as product stock type
	• For a department or BMC category, or a specific product sellable pack, a maximum quantity per sale may optionally be specified.
 4. Where a B2C Co product already exists in the Shoprite catalogue (same product pack barcode), the existing product will be retained.</v>
      </c>
      <c r="U77" s="122" t="str">
        <v/>
      </c>
      <c r="V77" s="42"/>
      <c r="W77" s="42"/>
      <c r="X77" s="42"/>
      <c r="Y77" s="42"/>
      <c r="Z77" s="42"/>
      <c r="AA77" s="42"/>
      <c r="AB77" s="42"/>
    </row>
    <row r="78" spans="1:28" x14ac:dyDescent="0.25">
      <c r="A78" s="42" t="str">
        <v>1.3.1.3.5</v>
      </c>
      <c r="B78" s="121" t="str">
        <v>For a department or BMC category, or a specific product sellable pack, a maximum quantity per sale may optionally be specified.</v>
      </c>
      <c r="C78" s="41">
        <v>5</v>
      </c>
      <c r="D78" s="41" t="str">
        <v>RL</v>
      </c>
      <c r="E78" s="117" t="str">
        <f t="shared" si="0"/>
        <v>RL</v>
      </c>
      <c r="F78" s="41" t="str">
        <v/>
      </c>
      <c r="G78" s="41" t="str">
        <v/>
      </c>
      <c r="H78" s="117">
        <f t="shared" si="1"/>
        <v>0</v>
      </c>
      <c r="I78" s="117">
        <f t="shared" si="2"/>
        <v>3</v>
      </c>
      <c r="J78" s="117">
        <f t="shared" si="3"/>
        <v>3.01</v>
      </c>
      <c r="K78" s="117" t="str">
        <f t="shared" si="4"/>
        <v>BR</v>
      </c>
      <c r="L78" s="42" t="str">
        <v>BR0301</v>
      </c>
      <c r="M78" s="121" t="str">
        <v/>
      </c>
      <c r="N78" s="121" t="str">
        <v/>
      </c>
      <c r="O78" s="121" t="str">
        <v/>
      </c>
      <c r="P78" s="121" t="str">
        <v/>
      </c>
      <c r="Q78" s="121" t="str">
        <v/>
      </c>
      <c r="R78" s="121" t="str">
        <v/>
      </c>
      <c r="S78" s="121" t="str">
        <v>For a department or BMC category, or a specific product sellable pack, a maximum quantity per sale may optionally be specified.</v>
      </c>
      <c r="T78" s="119" t="str">
        <f>IF($C78&lt;4,IF($C78=3,T79,IF($C78=2,T$1,"")),Q78&amp;R78&amp;IF(LEN(S78)=0,"",Preferences!$C$2&amp;S78)&amp;IF(J79=J78,IF(LEN(R78&amp;S78)=0,"","
")&amp;T79,""))</f>
        <v xml:space="preserve">	• For a department or BMC category, or a specific product sellable pack, a maximum quantity per sale may optionally be specified.
 4. Where a B2C Co product already exists in the Shoprite catalogue (same product pack barcode), the existing product will be retained.</v>
      </c>
      <c r="U78" s="122" t="str">
        <v/>
      </c>
      <c r="V78" s="42"/>
      <c r="W78" s="42"/>
      <c r="X78" s="42"/>
      <c r="Y78" s="42"/>
      <c r="Z78" s="42"/>
      <c r="AA78" s="42"/>
      <c r="AB78" s="42"/>
    </row>
    <row r="79" spans="1:28" x14ac:dyDescent="0.25">
      <c r="A79" s="42" t="str">
        <v>1.3.1.4</v>
      </c>
      <c r="B79" s="121" t="str">
        <v>Where a B2C Co product already exists in the Shoprite catalogue (same product pack barcode), the existing product will be retained.</v>
      </c>
      <c r="C79" s="41">
        <v>4</v>
      </c>
      <c r="D79" s="41" t="str">
        <v>RD</v>
      </c>
      <c r="E79" s="117" t="str">
        <f t="shared" si="0"/>
        <v>RD</v>
      </c>
      <c r="F79" s="41" t="str">
        <v/>
      </c>
      <c r="G79" s="41" t="str">
        <v/>
      </c>
      <c r="H79" s="117">
        <f t="shared" si="1"/>
        <v>0</v>
      </c>
      <c r="I79" s="117">
        <f t="shared" si="2"/>
        <v>3</v>
      </c>
      <c r="J79" s="117">
        <f t="shared" si="3"/>
        <v>3.01</v>
      </c>
      <c r="K79" s="117" t="str">
        <f t="shared" si="4"/>
        <v>BR</v>
      </c>
      <c r="L79" s="42" t="str">
        <v>BR0301</v>
      </c>
      <c r="M79" s="121" t="str">
        <v/>
      </c>
      <c r="N79" s="121" t="str">
        <v/>
      </c>
      <c r="O79" s="121" t="str">
        <v/>
      </c>
      <c r="P79" s="121" t="str">
        <v/>
      </c>
      <c r="Q79" s="121" t="str">
        <v xml:space="preserve"> 4. </v>
      </c>
      <c r="R79" s="121" t="str">
        <v>Where a B2C Co product already exists in the Shoprite catalogue (same product pack barcode), the existing product will be retained.</v>
      </c>
      <c r="S79" s="121" t="str">
        <v/>
      </c>
      <c r="T79" s="119" t="str">
        <f>IF($C79&lt;4,IF($C79=3,T80,IF($C79=2,T$1,"")),Q79&amp;R79&amp;IF(LEN(S79)=0,"",Preferences!$C$2&amp;S79)&amp;IF(J80=J79,IF(LEN(R79&amp;S79)=0,"","
")&amp;T80,""))</f>
        <v xml:space="preserve"> 4. Where a B2C Co product already exists in the Shoprite catalogue (same product pack barcode), the existing product will be retained.</v>
      </c>
      <c r="U79" s="122" t="str">
        <v/>
      </c>
      <c r="V79" s="42"/>
      <c r="W79" s="42"/>
      <c r="X79" s="42"/>
      <c r="Y79" s="42"/>
      <c r="Z79" s="42"/>
      <c r="AA79" s="42"/>
      <c r="AB79" s="42"/>
    </row>
    <row r="80" spans="1:28" x14ac:dyDescent="0.25">
      <c r="A80" s="42" t="str">
        <v>1.3.2</v>
      </c>
      <c r="B80" s="121" t="str">
        <v>3.2 Maintain products for online sale</v>
      </c>
      <c r="C80" s="41">
        <v>3</v>
      </c>
      <c r="D80" s="41" t="str">
        <v>R</v>
      </c>
      <c r="E80" s="117" t="str">
        <f t="shared" si="0"/>
        <v>R</v>
      </c>
      <c r="F80" s="41" t="str">
        <v/>
      </c>
      <c r="G80" s="41" t="str">
        <v/>
      </c>
      <c r="H80" s="117">
        <f t="shared" si="1"/>
        <v>0</v>
      </c>
      <c r="I80" s="117">
        <f t="shared" si="2"/>
        <v>3</v>
      </c>
      <c r="J80" s="117">
        <f t="shared" si="3"/>
        <v>3.0199999999999996</v>
      </c>
      <c r="K80" s="117" t="str">
        <f t="shared" si="4"/>
        <v>BR</v>
      </c>
      <c r="L80" s="42" t="str">
        <v>BR0302</v>
      </c>
      <c r="M80" s="121" t="str">
        <v/>
      </c>
      <c r="N80" s="121" t="str">
        <v/>
      </c>
      <c r="O80" s="121" t="str">
        <v>BR0302</v>
      </c>
      <c r="P80" s="121" t="str">
        <v>Maintain products for online sale</v>
      </c>
      <c r="Q80" s="121" t="str">
        <v/>
      </c>
      <c r="R80" s="121" t="str">
        <v/>
      </c>
      <c r="S80" s="121" t="str">
        <v/>
      </c>
      <c r="T80" s="119" t="str">
        <f>IF($C80&lt;4,IF($C80=3,T81,IF($C80=2,T$1,"")),Q80&amp;R80&amp;IF(LEN(S80)=0,"",Preferences!$C$2&amp;S80)&amp;IF(J81=J80,IF(LEN(R80&amp;S80)=0,"","
")&amp;T81,""))</f>
        <v xml:space="preserve"> 1. Maintain a Medirite Online non-trading site in the Shoprite retail environment, to which the B2C Co products are ranged for selling via the B2C Co online channel(s).
 2. The availability of product for ordering and selling by B2C Co online will be managed in the Shoprite retail system.
 3. Maintain the supplier fulfilment lead-time for each product, using the information provided by the product supplier (e.g. In Stock, 3 days).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0" s="122" t="str">
        <v/>
      </c>
      <c r="V80" s="42"/>
      <c r="W80" s="42"/>
      <c r="X80" s="42"/>
      <c r="Y80" s="42"/>
      <c r="Z80" s="42"/>
      <c r="AA80" s="42"/>
      <c r="AB80" s="42"/>
    </row>
    <row r="81" spans="1:28" x14ac:dyDescent="0.25">
      <c r="A81" s="42" t="str">
        <v>1.3.2.1</v>
      </c>
      <c r="B81" s="121" t="str">
        <v>Maintain a Medirite Online non-trading site in the Shoprite retail environment, to which the B2C Co products are ranged for selling via the B2C Co online channel(s).</v>
      </c>
      <c r="C81" s="41">
        <v>4</v>
      </c>
      <c r="D81" s="41" t="str">
        <v>RD</v>
      </c>
      <c r="E81" s="117" t="str">
        <f t="shared" si="0"/>
        <v>RD</v>
      </c>
      <c r="F81" s="41" t="str">
        <v/>
      </c>
      <c r="G81" s="41" t="str">
        <v/>
      </c>
      <c r="H81" s="117">
        <f t="shared" si="1"/>
        <v>0</v>
      </c>
      <c r="I81" s="117">
        <f t="shared" si="2"/>
        <v>3</v>
      </c>
      <c r="J81" s="117">
        <f t="shared" si="3"/>
        <v>3.0199999999999996</v>
      </c>
      <c r="K81" s="117" t="str">
        <f t="shared" si="4"/>
        <v>BR</v>
      </c>
      <c r="L81" s="42" t="str">
        <v>BR0302</v>
      </c>
      <c r="M81" s="121" t="str">
        <v/>
      </c>
      <c r="N81" s="121" t="str">
        <v/>
      </c>
      <c r="O81" s="121" t="str">
        <v/>
      </c>
      <c r="P81" s="121" t="str">
        <v/>
      </c>
      <c r="Q81" s="121" t="str">
        <v xml:space="preserve"> 1. </v>
      </c>
      <c r="R81" s="121" t="str">
        <v>Maintain a Medirite Online non-trading site in the Shoprite retail environment, to which the B2C Co products are ranged for selling via the B2C Co online channel(s).</v>
      </c>
      <c r="S81" s="121" t="str">
        <v/>
      </c>
      <c r="T81" s="119" t="str">
        <f>IF($C81&lt;4,IF($C81=3,T82,IF($C81=2,T$1,"")),Q81&amp;R81&amp;IF(LEN(S81)=0,"",Preferences!$C$2&amp;S81)&amp;IF(J82=J81,IF(LEN(R81&amp;S81)=0,"","
")&amp;T82,""))</f>
        <v xml:space="preserve"> 1. Maintain a Medirite Online non-trading site in the Shoprite retail environment, to which the B2C Co products are ranged for selling via the B2C Co online channel(s).
 2. The availability of product for ordering and selling by B2C Co online will be managed in the Shoprite retail system.
 3. Maintain the supplier fulfilment lead-time for each product, using the information provided by the product supplier (e.g. In Stock, 3 days).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1" s="122" t="str">
        <v/>
      </c>
      <c r="V81" s="42"/>
      <c r="W81" s="42"/>
      <c r="X81" s="42"/>
      <c r="Y81" s="42"/>
      <c r="Z81" s="42"/>
      <c r="AA81" s="42"/>
      <c r="AB81" s="42"/>
    </row>
    <row r="82" spans="1:28" x14ac:dyDescent="0.25">
      <c r="A82" s="42" t="str">
        <v>1.3.2.2</v>
      </c>
      <c r="B82" s="121" t="str">
        <v>The availability of product for ordering and selling by B2C Co online will be managed in the Shoprite retail system.</v>
      </c>
      <c r="C82" s="41">
        <v>4</v>
      </c>
      <c r="D82" s="41" t="str">
        <v>RD</v>
      </c>
      <c r="E82" s="117" t="str">
        <f t="shared" si="0"/>
        <v>RD</v>
      </c>
      <c r="F82" s="41" t="str">
        <v/>
      </c>
      <c r="G82" s="41" t="str">
        <v/>
      </c>
      <c r="H82" s="117">
        <f t="shared" si="1"/>
        <v>0</v>
      </c>
      <c r="I82" s="117">
        <f t="shared" si="2"/>
        <v>3</v>
      </c>
      <c r="J82" s="117">
        <f t="shared" si="3"/>
        <v>3.0199999999999996</v>
      </c>
      <c r="K82" s="117" t="str">
        <f t="shared" si="4"/>
        <v>BR</v>
      </c>
      <c r="L82" s="42" t="str">
        <v>BR0302</v>
      </c>
      <c r="M82" s="121" t="str">
        <v/>
      </c>
      <c r="N82" s="121" t="str">
        <v/>
      </c>
      <c r="O82" s="121" t="str">
        <v/>
      </c>
      <c r="P82" s="121" t="str">
        <v/>
      </c>
      <c r="Q82" s="121" t="str">
        <v xml:space="preserve"> 2. </v>
      </c>
      <c r="R82" s="121" t="str">
        <v>The availability of product for ordering and selling by B2C Co online will be managed in the Shoprite retail system.</v>
      </c>
      <c r="S82" s="121" t="str">
        <v/>
      </c>
      <c r="T82" s="119" t="str">
        <f>IF($C82&lt;4,IF($C82=3,T83,IF($C82=2,T$1,"")),Q82&amp;R82&amp;IF(LEN(S82)=0,"",Preferences!$C$2&amp;S82)&amp;IF(J83=J82,IF(LEN(R82&amp;S82)=0,"","
")&amp;T83,""))</f>
        <v xml:space="preserve"> 2. The availability of product for ordering and selling by B2C Co online will be managed in the Shoprite retail system.
 3. Maintain the supplier fulfilment lead-time for each product, using the information provided by the product supplier (e.g. In Stock, 3 days).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2" s="122" t="str">
        <v/>
      </c>
      <c r="V82" s="42"/>
      <c r="W82" s="42"/>
      <c r="X82" s="42"/>
      <c r="Y82" s="42"/>
      <c r="Z82" s="42"/>
      <c r="AA82" s="42"/>
      <c r="AB82" s="42"/>
    </row>
    <row r="83" spans="1:28" x14ac:dyDescent="0.25">
      <c r="A83" s="42" t="str">
        <v>1.3.2.3</v>
      </c>
      <c r="B83" s="121" t="str">
        <v>Maintain the supplier fulfilment lead-time for each product, using the information provided by the product supplier (e.g. In Stock, 3 days).</v>
      </c>
      <c r="C83" s="41">
        <v>4</v>
      </c>
      <c r="D83" s="41" t="str">
        <v>RD</v>
      </c>
      <c r="E83" s="117" t="str">
        <f t="shared" si="0"/>
        <v>RD</v>
      </c>
      <c r="F83" s="41" t="str">
        <v/>
      </c>
      <c r="G83" s="41" t="str">
        <v/>
      </c>
      <c r="H83" s="117">
        <f t="shared" si="1"/>
        <v>0</v>
      </c>
      <c r="I83" s="117">
        <f t="shared" si="2"/>
        <v>3</v>
      </c>
      <c r="J83" s="117">
        <f t="shared" si="3"/>
        <v>3.0199999999999996</v>
      </c>
      <c r="K83" s="117" t="str">
        <f t="shared" si="4"/>
        <v>BR</v>
      </c>
      <c r="L83" s="42" t="str">
        <v>BR0302</v>
      </c>
      <c r="M83" s="121" t="str">
        <v/>
      </c>
      <c r="N83" s="121" t="str">
        <v/>
      </c>
      <c r="O83" s="121" t="str">
        <v/>
      </c>
      <c r="P83" s="121" t="str">
        <v/>
      </c>
      <c r="Q83" s="121" t="str">
        <v xml:space="preserve"> 3. </v>
      </c>
      <c r="R83" s="121" t="str">
        <v>Maintain the supplier fulfilment lead-time for each product, using the information provided by the product supplier (e.g. In Stock, 3 days).</v>
      </c>
      <c r="S83" s="121" t="str">
        <v/>
      </c>
      <c r="T83" s="119" t="str">
        <f>IF($C83&lt;4,IF($C83=3,T84,IF($C83=2,T$1,"")),Q83&amp;R83&amp;IF(LEN(S83)=0,"",Preferences!$C$2&amp;S83)&amp;IF(J84=J83,IF(LEN(R83&amp;S83)=0,"","
")&amp;T84,""))</f>
        <v xml:space="preserve"> 3. Maintain the supplier fulfilment lead-time for each product, using the information provided by the product supplier (e.g. In Stock, 3 days).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3" s="122" t="str">
        <v/>
      </c>
      <c r="V83" s="42"/>
      <c r="W83" s="42"/>
      <c r="X83" s="42"/>
      <c r="Y83" s="42"/>
      <c r="Z83" s="42"/>
      <c r="AA83" s="42"/>
      <c r="AB83" s="42"/>
    </row>
    <row r="84" spans="1:28" x14ac:dyDescent="0.25">
      <c r="A84" s="42" t="str">
        <v>1.3.2.4</v>
      </c>
      <c r="B84" s="121" t="str">
        <v>Maintain the courier lead-time for each product, using the information provided by the courier (e.g. 1 day).</v>
      </c>
      <c r="C84" s="41">
        <v>4</v>
      </c>
      <c r="D84" s="41" t="str">
        <v>RD</v>
      </c>
      <c r="E84" s="117" t="str">
        <f t="shared" si="0"/>
        <v>RD</v>
      </c>
      <c r="F84" s="41" t="str">
        <v/>
      </c>
      <c r="G84" s="41" t="str">
        <v/>
      </c>
      <c r="H84" s="117">
        <f t="shared" si="1"/>
        <v>0</v>
      </c>
      <c r="I84" s="117">
        <f t="shared" si="2"/>
        <v>3</v>
      </c>
      <c r="J84" s="117">
        <f t="shared" si="3"/>
        <v>3.0199999999999996</v>
      </c>
      <c r="K84" s="117" t="str">
        <f t="shared" si="4"/>
        <v>BR</v>
      </c>
      <c r="L84" s="42" t="str">
        <v>BR0302</v>
      </c>
      <c r="M84" s="121" t="str">
        <v/>
      </c>
      <c r="N84" s="121" t="str">
        <v/>
      </c>
      <c r="O84" s="121" t="str">
        <v/>
      </c>
      <c r="P84" s="121" t="str">
        <v/>
      </c>
      <c r="Q84" s="121" t="str">
        <v xml:space="preserve"> 4. </v>
      </c>
      <c r="R84" s="121" t="str">
        <v>Maintain the courier lead-time for each product, using the information provided by the courier (e.g. 1 day).</v>
      </c>
      <c r="S84" s="121" t="str">
        <v/>
      </c>
      <c r="T84" s="119" t="str">
        <f>IF($C84&lt;4,IF($C84=3,T85,IF($C84=2,T$1,"")),Q84&amp;R84&amp;IF(LEN(S84)=0,"",Preferences!$C$2&amp;S84)&amp;IF(J85=J84,IF(LEN(R84&amp;S84)=0,"","
")&amp;T85,""))</f>
        <v xml:space="preserve"> 4. Maintain the courier lead-time for each product, using the information provided by the courier (e.g. 1 day).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4" s="122" t="str">
        <v/>
      </c>
      <c r="V84" s="42"/>
      <c r="W84" s="42"/>
      <c r="X84" s="42"/>
      <c r="Y84" s="42"/>
      <c r="Z84" s="42"/>
      <c r="AA84" s="42"/>
      <c r="AB84" s="42"/>
    </row>
    <row r="85" spans="1:28" x14ac:dyDescent="0.25">
      <c r="A85" s="42" t="str">
        <v>1.3.2.5</v>
      </c>
      <c r="B85" s="121" t="str">
        <v>Maintain the total order-to-delivery lead-time for each product, as the sum of the fulfilment and courier lead times, for display on the online shop ("usually delivered within").</v>
      </c>
      <c r="C85" s="41">
        <v>4</v>
      </c>
      <c r="D85" s="41" t="str">
        <v>RD</v>
      </c>
      <c r="E85" s="117" t="str">
        <f t="shared" si="0"/>
        <v>RD</v>
      </c>
      <c r="F85" s="41" t="str">
        <v/>
      </c>
      <c r="G85" s="41" t="str">
        <v/>
      </c>
      <c r="H85" s="117">
        <f t="shared" si="1"/>
        <v>0</v>
      </c>
      <c r="I85" s="117">
        <f t="shared" si="2"/>
        <v>3</v>
      </c>
      <c r="J85" s="117">
        <f t="shared" si="3"/>
        <v>3.0199999999999996</v>
      </c>
      <c r="K85" s="117" t="str">
        <f t="shared" si="4"/>
        <v>BR</v>
      </c>
      <c r="L85" s="42" t="str">
        <v>BR0302</v>
      </c>
      <c r="M85" s="121" t="str">
        <v/>
      </c>
      <c r="N85" s="121" t="str">
        <v/>
      </c>
      <c r="O85" s="121" t="str">
        <v/>
      </c>
      <c r="P85" s="121" t="str">
        <v/>
      </c>
      <c r="Q85" s="121" t="str">
        <v xml:space="preserve"> 5. </v>
      </c>
      <c r="R85" s="121" t="str">
        <v>Maintain the total order-to-delivery lead-time for each product, as the sum of the fulfilment and courier lead times, for display on the online shop ("usually delivered within").</v>
      </c>
      <c r="S85" s="121" t="str">
        <v/>
      </c>
      <c r="T85" s="119" t="str">
        <f>IF($C85&lt;4,IF($C85=3,T86,IF($C85=2,T$1,"")),Q85&amp;R85&amp;IF(LEN(S85)=0,"",Preferences!$C$2&amp;S85)&amp;IF(J86=J85,IF(LEN(R85&amp;S85)=0,"","
")&amp;T86,""))</f>
        <v xml:space="preserve"> 5. Maintain the total order-to-delivery lead-time for each product, as the sum of the fulfilment and courier lead times, for display on the online shop ("usually delivered within").
 6. The B2C Co specific products will not be ranged for sell by other Shoprite brands.
 7. Maintain the product meta-data, as detailed in the Enrich product meta-data for online use requirement of the Content Enrichment section.</v>
      </c>
      <c r="U85" s="122" t="str">
        <v/>
      </c>
      <c r="V85" s="42"/>
      <c r="W85" s="42"/>
      <c r="X85" s="42"/>
      <c r="Y85" s="42"/>
      <c r="Z85" s="42"/>
      <c r="AA85" s="42"/>
      <c r="AB85" s="42"/>
    </row>
    <row r="86" spans="1:28" x14ac:dyDescent="0.25">
      <c r="A86" s="42" t="str">
        <v>1.3.2.6</v>
      </c>
      <c r="B86" s="121" t="str">
        <v>The B2C Co specific products will not be ranged for sell by other Shoprite brands.</v>
      </c>
      <c r="C86" s="41">
        <v>4</v>
      </c>
      <c r="D86" s="41" t="str">
        <v>RD</v>
      </c>
      <c r="E86" s="117" t="str">
        <f t="shared" si="0"/>
        <v>RD</v>
      </c>
      <c r="F86" s="41" t="str">
        <v/>
      </c>
      <c r="G86" s="41" t="str">
        <v/>
      </c>
      <c r="H86" s="117">
        <f t="shared" si="1"/>
        <v>0</v>
      </c>
      <c r="I86" s="117">
        <f t="shared" si="2"/>
        <v>3</v>
      </c>
      <c r="J86" s="117">
        <f t="shared" si="3"/>
        <v>3.0199999999999996</v>
      </c>
      <c r="K86" s="117" t="str">
        <f t="shared" si="4"/>
        <v>BR</v>
      </c>
      <c r="L86" s="42" t="str">
        <v>BR0302</v>
      </c>
      <c r="M86" s="121" t="str">
        <v/>
      </c>
      <c r="N86" s="121" t="str">
        <v/>
      </c>
      <c r="O86" s="121" t="str">
        <v/>
      </c>
      <c r="P86" s="121" t="str">
        <v/>
      </c>
      <c r="Q86" s="121" t="str">
        <v xml:space="preserve"> 6. </v>
      </c>
      <c r="R86" s="121" t="str">
        <v>The B2C Co specific products will not be ranged for sell by other Shoprite brands.</v>
      </c>
      <c r="S86" s="121" t="str">
        <v/>
      </c>
      <c r="T86" s="119" t="str">
        <f>IF($C86&lt;4,IF($C86=3,T87,IF($C86=2,T$1,"")),Q86&amp;R86&amp;IF(LEN(S86)=0,"",Preferences!$C$2&amp;S86)&amp;IF(J87=J86,IF(LEN(R86&amp;S86)=0,"","
")&amp;T87,""))</f>
        <v xml:space="preserve"> 6. The B2C Co specific products will not be ranged for sell by other Shoprite brands.
 7. Maintain the product meta-data, as detailed in the Enrich product meta-data for online use requirement of the Content Enrichment section.</v>
      </c>
      <c r="U86" s="122" t="str">
        <v/>
      </c>
      <c r="V86" s="42"/>
      <c r="W86" s="42"/>
      <c r="X86" s="42"/>
      <c r="Y86" s="42"/>
      <c r="Z86" s="42"/>
      <c r="AA86" s="42"/>
      <c r="AB86" s="42"/>
    </row>
    <row r="87" spans="1:28" x14ac:dyDescent="0.25">
      <c r="A87" s="42" t="str">
        <v>1.3.2.7</v>
      </c>
      <c r="B87" s="121" t="str">
        <v>Maintain the product meta-data, as detailed in the Enrich product meta-data for online use requirement of the Content Enrichment section.</v>
      </c>
      <c r="C87" s="41">
        <v>4</v>
      </c>
      <c r="D87" s="41" t="str">
        <v>RD</v>
      </c>
      <c r="E87" s="117" t="str">
        <f t="shared" si="0"/>
        <v>RD</v>
      </c>
      <c r="F87" s="41" t="str">
        <v/>
      </c>
      <c r="G87" s="41" t="str">
        <v/>
      </c>
      <c r="H87" s="117">
        <f t="shared" si="1"/>
        <v>0</v>
      </c>
      <c r="I87" s="117">
        <f t="shared" si="2"/>
        <v>3</v>
      </c>
      <c r="J87" s="117">
        <f t="shared" si="3"/>
        <v>3.0199999999999996</v>
      </c>
      <c r="K87" s="117" t="str">
        <f t="shared" si="4"/>
        <v>BR</v>
      </c>
      <c r="L87" s="42" t="str">
        <v>BR0302</v>
      </c>
      <c r="M87" s="121" t="str">
        <v/>
      </c>
      <c r="N87" s="121" t="str">
        <v/>
      </c>
      <c r="O87" s="121" t="str">
        <v/>
      </c>
      <c r="P87" s="121" t="str">
        <v/>
      </c>
      <c r="Q87" s="121" t="str">
        <v xml:space="preserve"> 7. </v>
      </c>
      <c r="R87" s="121" t="str">
        <v>Maintain the product meta-data, as detailed in the Enrich product meta-data for online use requirement of the Content Enrichment section.</v>
      </c>
      <c r="S87" s="121" t="str">
        <v/>
      </c>
      <c r="T87" s="119" t="str">
        <f>IF($C87&lt;4,IF($C87=3,T88,IF($C87=2,T$1,"")),Q87&amp;R87&amp;IF(LEN(S87)=0,"",Preferences!$C$2&amp;S87)&amp;IF(J88=J87,IF(LEN(R87&amp;S87)=0,"","
")&amp;T88,""))</f>
        <v xml:space="preserve"> 7. Maintain the product meta-data, as detailed in the Enrich product meta-data for online use requirement of the Content Enrichment section.</v>
      </c>
      <c r="U87" s="122" t="str">
        <v/>
      </c>
      <c r="V87" s="42"/>
      <c r="W87" s="42"/>
      <c r="X87" s="42"/>
      <c r="Y87" s="42"/>
      <c r="Z87" s="42"/>
      <c r="AA87" s="42"/>
      <c r="AB87" s="42"/>
    </row>
    <row r="88" spans="1:28" x14ac:dyDescent="0.25">
      <c r="A88" s="42" t="str">
        <v>1.3.3</v>
      </c>
      <c r="B88" s="121" t="str">
        <v>3.3 Maintain online availability of products</v>
      </c>
      <c r="C88" s="41">
        <v>3</v>
      </c>
      <c r="D88" s="41" t="str">
        <v>R</v>
      </c>
      <c r="E88" s="117" t="str">
        <f t="shared" si="0"/>
        <v>R</v>
      </c>
      <c r="F88" s="41" t="str">
        <v/>
      </c>
      <c r="G88" s="41" t="str">
        <v/>
      </c>
      <c r="H88" s="117">
        <f t="shared" si="1"/>
        <v>0</v>
      </c>
      <c r="I88" s="117">
        <f t="shared" si="2"/>
        <v>3</v>
      </c>
      <c r="J88" s="117">
        <f t="shared" si="3"/>
        <v>3.0299999999999994</v>
      </c>
      <c r="K88" s="117" t="str">
        <f t="shared" si="4"/>
        <v>BR</v>
      </c>
      <c r="L88" s="42" t="str">
        <v>BR0303</v>
      </c>
      <c r="M88" s="121" t="str">
        <v/>
      </c>
      <c r="N88" s="121" t="str">
        <v/>
      </c>
      <c r="O88" s="121" t="str">
        <v>BR0303</v>
      </c>
      <c r="P88" s="121" t="str">
        <v>Maintain online availability of products</v>
      </c>
      <c r="Q88" s="121" t="str">
        <v/>
      </c>
      <c r="R88" s="121" t="str">
        <v/>
      </c>
      <c r="S88" s="121" t="str">
        <v/>
      </c>
      <c r="T88" s="119" t="str">
        <f>IF($C88&lt;4,IF($C88=3,T89,IF($C88=2,T$1,"")),Q88&amp;R88&amp;IF(LEN(S88)=0,"",Preferences!$C$2&amp;S88)&amp;IF(J89=J88,IF(LEN(R88&amp;S88)=0,"","
")&amp;T89,""))</f>
        <v xml:space="preserve"> 1. Withdraw discontinued products from both the sales and product master catalogue.
 2. Temporarily withdraw recalled products from the sales catalogue.
 3. Temporarily withdraw long-term out of stock products from the sales catalogue.</v>
      </c>
      <c r="U88" s="122" t="str">
        <v/>
      </c>
      <c r="V88" s="42"/>
      <c r="W88" s="42"/>
      <c r="X88" s="42"/>
      <c r="Y88" s="42"/>
      <c r="Z88" s="42"/>
      <c r="AA88" s="42"/>
      <c r="AB88" s="42"/>
    </row>
    <row r="89" spans="1:28" x14ac:dyDescent="0.25">
      <c r="A89" s="42" t="str">
        <v>1.3.3.1</v>
      </c>
      <c r="B89" s="121" t="str">
        <v>Withdraw discontinued products from both the sales and product master catalogue.</v>
      </c>
      <c r="C89" s="41">
        <v>4</v>
      </c>
      <c r="D89" s="41" t="str">
        <v>RD</v>
      </c>
      <c r="E89" s="117" t="str">
        <f t="shared" si="0"/>
        <v>RD</v>
      </c>
      <c r="F89" s="41" t="str">
        <v/>
      </c>
      <c r="G89" s="41" t="str">
        <v/>
      </c>
      <c r="H89" s="117">
        <f t="shared" si="1"/>
        <v>0</v>
      </c>
      <c r="I89" s="117">
        <f t="shared" si="2"/>
        <v>3</v>
      </c>
      <c r="J89" s="117">
        <f t="shared" si="3"/>
        <v>3.0299999999999994</v>
      </c>
      <c r="K89" s="117" t="str">
        <f t="shared" si="4"/>
        <v>BR</v>
      </c>
      <c r="L89" s="42" t="str">
        <v>BR0303</v>
      </c>
      <c r="M89" s="121" t="str">
        <v/>
      </c>
      <c r="N89" s="121" t="str">
        <v/>
      </c>
      <c r="O89" s="121" t="str">
        <v/>
      </c>
      <c r="P89" s="121" t="str">
        <v/>
      </c>
      <c r="Q89" s="121" t="str">
        <v xml:space="preserve"> 1. </v>
      </c>
      <c r="R89" s="121" t="str">
        <v>Withdraw discontinued products from both the sales and product master catalogue.</v>
      </c>
      <c r="S89" s="121" t="str">
        <v/>
      </c>
      <c r="T89" s="119" t="str">
        <f>IF($C89&lt;4,IF($C89=3,T90,IF($C89=2,T$1,"")),Q89&amp;R89&amp;IF(LEN(S89)=0,"",Preferences!$C$2&amp;S89)&amp;IF(J90=J89,IF(LEN(R89&amp;S89)=0,"","
")&amp;T90,""))</f>
        <v xml:space="preserve"> 1. Withdraw discontinued products from both the sales and product master catalogue.
 2. Temporarily withdraw recalled products from the sales catalogue.
 3. Temporarily withdraw long-term out of stock products from the sales catalogue.</v>
      </c>
      <c r="U89" s="122" t="str">
        <v/>
      </c>
      <c r="V89" s="42"/>
      <c r="W89" s="42"/>
      <c r="X89" s="42"/>
      <c r="Y89" s="42"/>
      <c r="Z89" s="42"/>
      <c r="AA89" s="42"/>
      <c r="AB89" s="42"/>
    </row>
    <row r="90" spans="1:28" x14ac:dyDescent="0.25">
      <c r="A90" s="42" t="str">
        <v>1.3.3.2</v>
      </c>
      <c r="B90" s="121" t="str">
        <v>Temporarily withdraw recalled products from the sales catalogue.</v>
      </c>
      <c r="C90" s="41">
        <v>4</v>
      </c>
      <c r="D90" s="41" t="str">
        <v>RD</v>
      </c>
      <c r="E90" s="117" t="str">
        <f t="shared" si="0"/>
        <v>RD</v>
      </c>
      <c r="F90" s="41" t="str">
        <v/>
      </c>
      <c r="G90" s="41" t="str">
        <v/>
      </c>
      <c r="H90" s="117">
        <f t="shared" si="1"/>
        <v>0</v>
      </c>
      <c r="I90" s="117">
        <f t="shared" si="2"/>
        <v>3</v>
      </c>
      <c r="J90" s="117">
        <f t="shared" si="3"/>
        <v>3.0299999999999994</v>
      </c>
      <c r="K90" s="117" t="str">
        <f t="shared" si="4"/>
        <v>BR</v>
      </c>
      <c r="L90" s="42" t="str">
        <v>BR0303</v>
      </c>
      <c r="M90" s="121" t="str">
        <v/>
      </c>
      <c r="N90" s="121" t="str">
        <v/>
      </c>
      <c r="O90" s="121" t="str">
        <v/>
      </c>
      <c r="P90" s="121" t="str">
        <v/>
      </c>
      <c r="Q90" s="121" t="str">
        <v xml:space="preserve"> 2. </v>
      </c>
      <c r="R90" s="121" t="str">
        <v>Temporarily withdraw recalled products from the sales catalogue.</v>
      </c>
      <c r="S90" s="121" t="str">
        <v/>
      </c>
      <c r="T90" s="119" t="str">
        <f>IF($C90&lt;4,IF($C90=3,T91,IF($C90=2,T$1,"")),Q90&amp;R90&amp;IF(LEN(S90)=0,"",Preferences!$C$2&amp;S90)&amp;IF(J91=J90,IF(LEN(R90&amp;S90)=0,"","
")&amp;T91,""))</f>
        <v xml:space="preserve"> 2. Temporarily withdraw recalled products from the sales catalogue.
 3. Temporarily withdraw long-term out of stock products from the sales catalogue.</v>
      </c>
      <c r="U90" s="122" t="str">
        <v/>
      </c>
      <c r="V90" s="42"/>
      <c r="W90" s="42"/>
      <c r="X90" s="42"/>
      <c r="Y90" s="42"/>
      <c r="Z90" s="42"/>
      <c r="AA90" s="42"/>
      <c r="AB90" s="42"/>
    </row>
    <row r="91" spans="1:28" x14ac:dyDescent="0.25">
      <c r="A91" s="42" t="str">
        <v>1.3.3.3</v>
      </c>
      <c r="B91" s="121" t="str">
        <v>Temporarily withdraw long-term out of stock products from the sales catalogue.</v>
      </c>
      <c r="C91" s="41">
        <v>4</v>
      </c>
      <c r="D91" s="41" t="str">
        <v>RD</v>
      </c>
      <c r="E91" s="117" t="str">
        <f t="shared" si="0"/>
        <v>RD</v>
      </c>
      <c r="F91" s="41" t="str">
        <v/>
      </c>
      <c r="G91" s="41" t="str">
        <v/>
      </c>
      <c r="H91" s="117">
        <f t="shared" si="1"/>
        <v>0</v>
      </c>
      <c r="I91" s="117">
        <f t="shared" si="2"/>
        <v>3</v>
      </c>
      <c r="J91" s="117">
        <f t="shared" si="3"/>
        <v>3.0299999999999994</v>
      </c>
      <c r="K91" s="117" t="str">
        <f t="shared" si="4"/>
        <v>BR</v>
      </c>
      <c r="L91" s="42" t="str">
        <v>BR0303</v>
      </c>
      <c r="M91" s="121" t="str">
        <v/>
      </c>
      <c r="N91" s="121" t="str">
        <v/>
      </c>
      <c r="O91" s="121" t="str">
        <v/>
      </c>
      <c r="P91" s="121" t="str">
        <v/>
      </c>
      <c r="Q91" s="121" t="str">
        <v xml:space="preserve"> 3. </v>
      </c>
      <c r="R91" s="121" t="str">
        <v>Temporarily withdraw long-term out of stock products from the sales catalogue.</v>
      </c>
      <c r="S91" s="121" t="str">
        <v/>
      </c>
      <c r="T91" s="119" t="str">
        <f>IF($C91&lt;4,IF($C91=3,T92,IF($C91=2,T$1,"")),Q91&amp;R91&amp;IF(LEN(S91)=0,"",Preferences!$C$2&amp;S91)&amp;IF(J92=J91,IF(LEN(R91&amp;S91)=0,"","
")&amp;T92,""))</f>
        <v xml:space="preserve"> 3. Temporarily withdraw long-term out of stock products from the sales catalogue.</v>
      </c>
      <c r="U91" s="122" t="str">
        <v/>
      </c>
      <c r="V91" s="42"/>
      <c r="W91" s="42"/>
      <c r="X91" s="42"/>
      <c r="Y91" s="42"/>
      <c r="Z91" s="42"/>
      <c r="AA91" s="42"/>
      <c r="AB91" s="42"/>
    </row>
    <row r="92" spans="1:28" x14ac:dyDescent="0.25">
      <c r="A92" s="42" t="str">
        <v>1.3.4</v>
      </c>
      <c r="B92" s="121" t="str">
        <v>3.4 Maintain up-to-date supplier availability of products</v>
      </c>
      <c r="C92" s="41">
        <v>3</v>
      </c>
      <c r="D92" s="41" t="str">
        <v>R</v>
      </c>
      <c r="E92" s="117" t="str">
        <f t="shared" si="0"/>
        <v>R</v>
      </c>
      <c r="F92" s="41" t="str">
        <v/>
      </c>
      <c r="G92" s="41" t="str">
        <v/>
      </c>
      <c r="H92" s="117">
        <f t="shared" si="1"/>
        <v>0</v>
      </c>
      <c r="I92" s="117">
        <f t="shared" si="2"/>
        <v>3</v>
      </c>
      <c r="J92" s="117">
        <f t="shared" si="3"/>
        <v>3.0399999999999991</v>
      </c>
      <c r="K92" s="117" t="str">
        <f t="shared" si="4"/>
        <v>BR</v>
      </c>
      <c r="L92" s="42" t="str">
        <v>BR0304</v>
      </c>
      <c r="M92" s="121" t="str">
        <v/>
      </c>
      <c r="N92" s="121" t="str">
        <v/>
      </c>
      <c r="O92" s="121" t="str">
        <v>BR0304</v>
      </c>
      <c r="P92" s="121" t="str">
        <v>Maintain up-to-date supplier availability of products</v>
      </c>
      <c r="Q92" s="121" t="str">
        <v/>
      </c>
      <c r="R92" s="121" t="str">
        <v/>
      </c>
      <c r="S92" s="121" t="str">
        <v/>
      </c>
      <c r="T92" s="119" t="str">
        <f>IF($C92&lt;4,IF($C92=3,T93,IF($C92=2,T$1,"")),Q92&amp;R92&amp;IF(LEN(S92)=0,"",Preferences!$C$2&amp;S92)&amp;IF(J93=J92,IF(LEN(R92&amp;S92)=0,"","
")&amp;T93,""))</f>
        <v xml:space="preserve"> 1. Interface to each supplier, to automatically reflect changes in product availability on at least a daily basis.
 2. Cater for the types of product status, as detailed in the B2C Co suppliers provide up-to-date product and service details requirement.</v>
      </c>
      <c r="U92" s="122" t="str">
        <v/>
      </c>
      <c r="V92" s="42"/>
      <c r="W92" s="42"/>
      <c r="X92" s="42"/>
      <c r="Y92" s="42"/>
      <c r="Z92" s="42"/>
      <c r="AA92" s="42"/>
      <c r="AB92" s="42"/>
    </row>
    <row r="93" spans="1:28" x14ac:dyDescent="0.25">
      <c r="A93" s="42" t="str">
        <v>1.3.4.1</v>
      </c>
      <c r="B93" s="121" t="str">
        <v>Interface to each supplier, to automatically reflect changes in product availability on at least a daily basis.</v>
      </c>
      <c r="C93" s="41">
        <v>4</v>
      </c>
      <c r="D93" s="41" t="str">
        <v>RD</v>
      </c>
      <c r="E93" s="117" t="str">
        <f t="shared" si="0"/>
        <v>RD</v>
      </c>
      <c r="F93" s="41" t="str">
        <v/>
      </c>
      <c r="G93" s="41" t="str">
        <v/>
      </c>
      <c r="H93" s="117">
        <f t="shared" si="1"/>
        <v>0</v>
      </c>
      <c r="I93" s="117">
        <f t="shared" si="2"/>
        <v>3</v>
      </c>
      <c r="J93" s="117">
        <f t="shared" si="3"/>
        <v>3.0399999999999991</v>
      </c>
      <c r="K93" s="117" t="str">
        <f t="shared" si="4"/>
        <v>BR</v>
      </c>
      <c r="L93" s="42" t="str">
        <v>BR0304</v>
      </c>
      <c r="M93" s="121" t="str">
        <v/>
      </c>
      <c r="N93" s="121" t="str">
        <v/>
      </c>
      <c r="O93" s="121" t="str">
        <v/>
      </c>
      <c r="P93" s="121" t="str">
        <v/>
      </c>
      <c r="Q93" s="121" t="str">
        <v xml:space="preserve"> 1. </v>
      </c>
      <c r="R93" s="121" t="str">
        <v>Interface to each supplier, to automatically reflect changes in product availability on at least a daily basis.</v>
      </c>
      <c r="S93" s="121" t="str">
        <v/>
      </c>
      <c r="T93" s="119" t="str">
        <f>IF($C93&lt;4,IF($C93=3,T94,IF($C93=2,T$1,"")),Q93&amp;R93&amp;IF(LEN(S93)=0,"",Preferences!$C$2&amp;S93)&amp;IF(J94=J93,IF(LEN(R93&amp;S93)=0,"","
")&amp;T94,""))</f>
        <v xml:space="preserve"> 1. Interface to each supplier, to automatically reflect changes in product availability on at least a daily basis.
 2. Cater for the types of product status, as detailed in the B2C Co suppliers provide up-to-date product and service details requirement.</v>
      </c>
      <c r="U93" s="122" t="str">
        <v/>
      </c>
      <c r="V93" s="42"/>
      <c r="W93" s="42"/>
      <c r="X93" s="42"/>
      <c r="Y93" s="42"/>
      <c r="Z93" s="42"/>
      <c r="AA93" s="42"/>
      <c r="AB93" s="42"/>
    </row>
    <row r="94" spans="1:28" x14ac:dyDescent="0.25">
      <c r="A94" s="42" t="str">
        <v>1.3.4.2</v>
      </c>
      <c r="B94" s="121" t="str">
        <v>Cater for the types of product status, as detailed in the B2C Co suppliers provide up-to-date product and service details requirement.</v>
      </c>
      <c r="C94" s="41">
        <v>4</v>
      </c>
      <c r="D94" s="41" t="str">
        <v>RD</v>
      </c>
      <c r="E94" s="117" t="str">
        <f t="shared" si="0"/>
        <v>RD</v>
      </c>
      <c r="F94" s="41" t="str">
        <v/>
      </c>
      <c r="G94" s="41" t="str">
        <v/>
      </c>
      <c r="H94" s="117">
        <f t="shared" si="1"/>
        <v>0</v>
      </c>
      <c r="I94" s="117">
        <f t="shared" si="2"/>
        <v>3</v>
      </c>
      <c r="J94" s="117">
        <f t="shared" si="3"/>
        <v>3.0399999999999991</v>
      </c>
      <c r="K94" s="117" t="str">
        <f t="shared" si="4"/>
        <v>BR</v>
      </c>
      <c r="L94" s="42" t="str">
        <v>BR0304</v>
      </c>
      <c r="M94" s="121" t="str">
        <v/>
      </c>
      <c r="N94" s="121" t="str">
        <v/>
      </c>
      <c r="O94" s="121" t="str">
        <v/>
      </c>
      <c r="P94" s="121" t="str">
        <v/>
      </c>
      <c r="Q94" s="121" t="str">
        <v xml:space="preserve"> 2. </v>
      </c>
      <c r="R94" s="121" t="str">
        <v>Cater for the types of product status, as detailed in the B2C Co suppliers provide up-to-date product and service details requirement.</v>
      </c>
      <c r="S94" s="121" t="str">
        <v/>
      </c>
      <c r="T94" s="119" t="str">
        <f>IF($C94&lt;4,IF($C94=3,T95,IF($C94=2,T$1,"")),Q94&amp;R94&amp;IF(LEN(S94)=0,"",Preferences!$C$2&amp;S94)&amp;IF(J95=J94,IF(LEN(R94&amp;S94)=0,"","
")&amp;T95,""))</f>
        <v xml:space="preserve"> 2. Cater for the types of product status, as detailed in the B2C Co suppliers provide up-to-date product and service details requirement.</v>
      </c>
      <c r="U94" s="122" t="str">
        <v/>
      </c>
      <c r="V94" s="42"/>
      <c r="W94" s="42"/>
      <c r="X94" s="42"/>
      <c r="Y94" s="42"/>
      <c r="Z94" s="42"/>
      <c r="AA94" s="42"/>
      <c r="AB94" s="42"/>
    </row>
    <row r="95" spans="1:28" x14ac:dyDescent="0.25">
      <c r="A95" s="42" t="str">
        <v>1.4</v>
      </c>
      <c r="B95" s="121" t="str">
        <v>4 Product Pricing</v>
      </c>
      <c r="C95" s="41">
        <v>2</v>
      </c>
      <c r="D95" s="41" t="str">
        <v>RS</v>
      </c>
      <c r="E95" s="117" t="str">
        <f t="shared" si="0"/>
        <v>RS</v>
      </c>
      <c r="F95" s="41" t="str">
        <v/>
      </c>
      <c r="G95" s="41" t="str">
        <v/>
      </c>
      <c r="H95" s="117">
        <f t="shared" si="1"/>
        <v>0</v>
      </c>
      <c r="I95" s="117">
        <f t="shared" si="2"/>
        <v>4</v>
      </c>
      <c r="J95" s="117">
        <f t="shared" si="3"/>
        <v>4</v>
      </c>
      <c r="K95" s="117" t="str">
        <f t="shared" si="4"/>
        <v>BR</v>
      </c>
      <c r="L95" s="42">
        <v>4</v>
      </c>
      <c r="M95" s="121" t="str">
        <v/>
      </c>
      <c r="N95" s="121" t="str">
        <v>4 Product Pricing</v>
      </c>
      <c r="O95" s="121" t="str">
        <v>ReqID</v>
      </c>
      <c r="P95" s="121" t="e">
        <v>#N/A</v>
      </c>
      <c r="Q95" s="121" t="str">
        <v/>
      </c>
      <c r="R95" s="121" t="str">
        <v/>
      </c>
      <c r="S95" s="121" t="str">
        <v/>
      </c>
      <c r="T95" s="119" t="str">
        <f>IF($C95&lt;4,IF($C95=3,T96,IF($C95=2,T$1,"")),Q95&amp;R95&amp;IF(LEN(S95)=0,"",Preferences!$C$2&amp;S95)&amp;IF(J96=J95,IF(LEN(R95&amp;S95)=0,"","
")&amp;T96,""))</f>
        <v>Description</v>
      </c>
      <c r="U95" s="122" t="str">
        <v/>
      </c>
      <c r="V95" s="42"/>
      <c r="W95" s="42"/>
      <c r="X95" s="42"/>
      <c r="Y95" s="42"/>
      <c r="Z95" s="42"/>
      <c r="AA95" s="42"/>
      <c r="AB95" s="42"/>
    </row>
    <row r="96" spans="1:28" x14ac:dyDescent="0.25">
      <c r="A96" s="42" t="str">
        <v>1.4.1</v>
      </c>
      <c r="B96" s="121" t="str">
        <v>4.1 Maintain a category margin</v>
      </c>
      <c r="C96" s="41">
        <v>3</v>
      </c>
      <c r="D96" s="41" t="str">
        <v>R</v>
      </c>
      <c r="E96" s="117" t="str">
        <f t="shared" si="0"/>
        <v>R</v>
      </c>
      <c r="F96" s="41" t="str">
        <v/>
      </c>
      <c r="G96" s="41" t="str">
        <v/>
      </c>
      <c r="H96" s="117">
        <f t="shared" si="1"/>
        <v>0</v>
      </c>
      <c r="I96" s="117">
        <f t="shared" si="2"/>
        <v>4</v>
      </c>
      <c r="J96" s="117">
        <f t="shared" si="3"/>
        <v>4.01</v>
      </c>
      <c r="K96" s="117" t="str">
        <f t="shared" si="4"/>
        <v>BR</v>
      </c>
      <c r="L96" s="42" t="str">
        <v>BR0401</v>
      </c>
      <c r="M96" s="121" t="str">
        <v/>
      </c>
      <c r="N96" s="121" t="str">
        <v/>
      </c>
      <c r="O96" s="121" t="str">
        <v>BR0401</v>
      </c>
      <c r="P96" s="121" t="str">
        <v>Maintain a category margin</v>
      </c>
      <c r="Q96" s="121" t="str">
        <v/>
      </c>
      <c r="R96" s="121" t="str">
        <v/>
      </c>
      <c r="S96" s="121" t="str">
        <v/>
      </c>
      <c r="T96" s="119" t="str">
        <f>IF($C96&lt;4,IF($C96=3,T97,IF($C96=2,T$1,"")),Q96&amp;R96&amp;IF(LEN(S96)=0,"",Preferences!$C$2&amp;S96)&amp;IF(J97=J96,IF(LEN(R96&amp;S96)=0,"","
")&amp;T97,""))</f>
        <v xml:space="preserve"> 1. Maintain a selling margin (%) on Department and BMC levels, to be applied to all products allocated in that category hierarchy.</v>
      </c>
      <c r="U96" s="122" t="str">
        <v/>
      </c>
      <c r="V96" s="42"/>
      <c r="W96" s="42"/>
      <c r="X96" s="42"/>
      <c r="Y96" s="42"/>
      <c r="Z96" s="42"/>
      <c r="AA96" s="42"/>
      <c r="AB96" s="42"/>
    </row>
    <row r="97" spans="1:28" x14ac:dyDescent="0.25">
      <c r="A97" s="42" t="str">
        <v>1.4.1.1</v>
      </c>
      <c r="B97" s="121" t="str">
        <v>Maintain a selling margin (%) on Department and BMC levels, to be applied to all products allocated in that category hierarchy.</v>
      </c>
      <c r="C97" s="41">
        <v>4</v>
      </c>
      <c r="D97" s="41" t="str">
        <v>RD</v>
      </c>
      <c r="E97" s="117" t="str">
        <f t="shared" si="0"/>
        <v>RD</v>
      </c>
      <c r="F97" s="41" t="str">
        <v/>
      </c>
      <c r="G97" s="41" t="str">
        <v/>
      </c>
      <c r="H97" s="117">
        <f t="shared" si="1"/>
        <v>0</v>
      </c>
      <c r="I97" s="117">
        <f t="shared" si="2"/>
        <v>4</v>
      </c>
      <c r="J97" s="117">
        <f t="shared" si="3"/>
        <v>4.01</v>
      </c>
      <c r="K97" s="117" t="str">
        <f t="shared" si="4"/>
        <v>BR</v>
      </c>
      <c r="L97" s="42" t="str">
        <v>BR0401</v>
      </c>
      <c r="M97" s="121" t="str">
        <v/>
      </c>
      <c r="N97" s="121" t="str">
        <v/>
      </c>
      <c r="O97" s="121" t="str">
        <v/>
      </c>
      <c r="P97" s="121" t="str">
        <v/>
      </c>
      <c r="Q97" s="121" t="str">
        <v xml:space="preserve"> 1. </v>
      </c>
      <c r="R97" s="121" t="str">
        <v>Maintain a selling margin (%) on Department and BMC levels, to be applied to all products allocated in that category hierarchy.</v>
      </c>
      <c r="S97" s="121" t="str">
        <v/>
      </c>
      <c r="T97" s="119" t="str">
        <f>IF($C97&lt;4,IF($C97=3,T98,IF($C97=2,T$1,"")),Q97&amp;R97&amp;IF(LEN(S97)=0,"",Preferences!$C$2&amp;S97)&amp;IF(J98=J97,IF(LEN(R97&amp;S97)=0,"","
")&amp;T98,""))</f>
        <v xml:space="preserve"> 1. Maintain a selling margin (%) on Department and BMC levels, to be applied to all products allocated in that category hierarchy.</v>
      </c>
      <c r="U97" s="122" t="str">
        <v/>
      </c>
      <c r="V97" s="42"/>
      <c r="W97" s="42"/>
      <c r="X97" s="42"/>
      <c r="Y97" s="42"/>
      <c r="Z97" s="42"/>
      <c r="AA97" s="42"/>
      <c r="AB97" s="42"/>
    </row>
    <row r="98" spans="1:28" x14ac:dyDescent="0.25">
      <c r="A98" s="42" t="str">
        <v>1.4.2</v>
      </c>
      <c r="B98" s="121" t="str">
        <v>4.2 Maintain a product margin</v>
      </c>
      <c r="C98" s="41">
        <v>3</v>
      </c>
      <c r="D98" s="41" t="str">
        <v>R</v>
      </c>
      <c r="E98" s="117" t="str">
        <f t="shared" si="0"/>
        <v>R</v>
      </c>
      <c r="F98" s="41" t="str">
        <v/>
      </c>
      <c r="G98" s="41" t="str">
        <v/>
      </c>
      <c r="H98" s="117">
        <f t="shared" si="1"/>
        <v>0</v>
      </c>
      <c r="I98" s="117">
        <f t="shared" si="2"/>
        <v>4</v>
      </c>
      <c r="J98" s="117">
        <f t="shared" si="3"/>
        <v>4.0199999999999996</v>
      </c>
      <c r="K98" s="117" t="str">
        <f t="shared" si="4"/>
        <v>BR</v>
      </c>
      <c r="L98" s="42" t="str">
        <v>BR0402</v>
      </c>
      <c r="M98" s="121" t="str">
        <v/>
      </c>
      <c r="N98" s="121" t="str">
        <v/>
      </c>
      <c r="O98" s="121" t="str">
        <v>BR0402</v>
      </c>
      <c r="P98" s="121" t="str">
        <v>Maintain a product margin</v>
      </c>
      <c r="Q98" s="121" t="str">
        <v/>
      </c>
      <c r="R98" s="121" t="str">
        <v/>
      </c>
      <c r="S98" s="121" t="str">
        <v/>
      </c>
      <c r="T98" s="119" t="str">
        <f>IF($C98&lt;4,IF($C98=3,T99,IF($C98=2,T$1,"")),Q98&amp;R98&amp;IF(LEN(S98)=0,"",Preferences!$C$2&amp;S98)&amp;IF(J99=J98,IF(LEN(R98&amp;S98)=0,"","
")&amp;T99,""))</f>
        <v xml:space="preserve"> 1. A selling margin (%) may be maintained for a specific product, to then take precedence over the margin specified for the category within which it is allocated.
 2. If a product margin is not specified, the category margin applies in the following order of priority:
	• BMC
	• Department</v>
      </c>
      <c r="U98" s="122" t="str">
        <v/>
      </c>
      <c r="V98" s="42"/>
      <c r="W98" s="42"/>
      <c r="X98" s="42"/>
      <c r="Y98" s="42"/>
      <c r="Z98" s="42"/>
      <c r="AA98" s="42"/>
      <c r="AB98" s="42"/>
    </row>
    <row r="99" spans="1:28" x14ac:dyDescent="0.25">
      <c r="A99" s="42" t="str">
        <v>1.4.2.1</v>
      </c>
      <c r="B99" s="121" t="str">
        <v>A selling margin (%) may be maintained for a specific product, to then take precedence over the margin specified for the category within which it is allocated.</v>
      </c>
      <c r="C99" s="41">
        <v>4</v>
      </c>
      <c r="D99" s="41" t="str">
        <v>RD</v>
      </c>
      <c r="E99" s="117" t="str">
        <f t="shared" si="0"/>
        <v>RD</v>
      </c>
      <c r="F99" s="41" t="str">
        <v/>
      </c>
      <c r="G99" s="41" t="str">
        <v/>
      </c>
      <c r="H99" s="117">
        <f t="shared" si="1"/>
        <v>0</v>
      </c>
      <c r="I99" s="117">
        <f t="shared" si="2"/>
        <v>4</v>
      </c>
      <c r="J99" s="117">
        <f t="shared" si="3"/>
        <v>4.0199999999999996</v>
      </c>
      <c r="K99" s="117" t="str">
        <f t="shared" si="4"/>
        <v>BR</v>
      </c>
      <c r="L99" s="42" t="str">
        <v>BR0402</v>
      </c>
      <c r="M99" s="121" t="str">
        <v/>
      </c>
      <c r="N99" s="121" t="str">
        <v/>
      </c>
      <c r="O99" s="121" t="str">
        <v/>
      </c>
      <c r="P99" s="121" t="str">
        <v/>
      </c>
      <c r="Q99" s="121" t="str">
        <v xml:space="preserve"> 1. </v>
      </c>
      <c r="R99" s="121" t="str">
        <v>A selling margin (%) may be maintained for a specific product, to then take precedence over the margin specified for the category within which it is allocated.</v>
      </c>
      <c r="S99" s="121" t="str">
        <v/>
      </c>
      <c r="T99" s="119" t="str">
        <f>IF($C99&lt;4,IF($C99=3,T100,IF($C99=2,T$1,"")),Q99&amp;R99&amp;IF(LEN(S99)=0,"",Preferences!$C$2&amp;S99)&amp;IF(J100=J99,IF(LEN(R99&amp;S99)=0,"","
")&amp;T100,""))</f>
        <v xml:space="preserve"> 1. A selling margin (%) may be maintained for a specific product, to then take precedence over the margin specified for the category within which it is allocated.
 2. If a product margin is not specified, the category margin applies in the following order of priority:
	• BMC
	• Department</v>
      </c>
      <c r="U99" s="122" t="str">
        <v/>
      </c>
      <c r="V99" s="42"/>
      <c r="W99" s="42"/>
      <c r="X99" s="42"/>
      <c r="Y99" s="42"/>
      <c r="Z99" s="42"/>
      <c r="AA99" s="42"/>
      <c r="AB99" s="42"/>
    </row>
    <row r="100" spans="1:28" x14ac:dyDescent="0.25">
      <c r="A100" s="42" t="str">
        <v>1.4.2.2</v>
      </c>
      <c r="B100" s="121" t="str">
        <v>If a product margin is not specified, the category margin applies in the following order of priority:</v>
      </c>
      <c r="C100" s="41">
        <v>4</v>
      </c>
      <c r="D100" s="41" t="str">
        <v>RD</v>
      </c>
      <c r="E100" s="117" t="str">
        <f t="shared" si="0"/>
        <v>RD</v>
      </c>
      <c r="F100" s="41" t="str">
        <v/>
      </c>
      <c r="G100" s="41" t="str">
        <v/>
      </c>
      <c r="H100" s="117">
        <f t="shared" si="1"/>
        <v>0</v>
      </c>
      <c r="I100" s="117">
        <f t="shared" si="2"/>
        <v>4</v>
      </c>
      <c r="J100" s="117">
        <f t="shared" si="3"/>
        <v>4.0199999999999996</v>
      </c>
      <c r="K100" s="117" t="str">
        <f t="shared" si="4"/>
        <v>BR</v>
      </c>
      <c r="L100" s="42" t="str">
        <v>BR0402</v>
      </c>
      <c r="M100" s="121" t="str">
        <v/>
      </c>
      <c r="N100" s="121" t="str">
        <v/>
      </c>
      <c r="O100" s="121" t="str">
        <v/>
      </c>
      <c r="P100" s="121" t="str">
        <v/>
      </c>
      <c r="Q100" s="121" t="str">
        <v xml:space="preserve"> 2. </v>
      </c>
      <c r="R100" s="121" t="str">
        <v>If a product margin is not specified, the category margin applies in the following order of priority:</v>
      </c>
      <c r="S100" s="121" t="str">
        <v/>
      </c>
      <c r="T100" s="119" t="str">
        <f>IF($C100&lt;4,IF($C100=3,T101,IF($C100=2,T$1,"")),Q100&amp;R100&amp;IF(LEN(S100)=0,"",Preferences!$C$2&amp;S100)&amp;IF(J101=J100,IF(LEN(R100&amp;S100)=0,"","
")&amp;T101,""))</f>
        <v xml:space="preserve"> 2. If a product margin is not specified, the category margin applies in the following order of priority:
	• BMC
	• Department</v>
      </c>
      <c r="U100" s="122" t="str">
        <v/>
      </c>
      <c r="V100" s="42"/>
      <c r="W100" s="42"/>
      <c r="X100" s="42"/>
      <c r="Y100" s="42"/>
      <c r="Z100" s="42"/>
      <c r="AA100" s="42"/>
      <c r="AB100" s="42"/>
    </row>
    <row r="101" spans="1:28" x14ac:dyDescent="0.25">
      <c r="A101" s="42" t="str">
        <v>1.4.2.2.1</v>
      </c>
      <c r="B101" s="121" t="str">
        <v>BMC</v>
      </c>
      <c r="C101" s="41">
        <v>5</v>
      </c>
      <c r="D101" s="41" t="str">
        <v>RL</v>
      </c>
      <c r="E101" s="117" t="str">
        <f t="shared" si="0"/>
        <v>RL</v>
      </c>
      <c r="F101" s="41" t="str">
        <v/>
      </c>
      <c r="G101" s="41" t="str">
        <v/>
      </c>
      <c r="H101" s="117">
        <f t="shared" si="1"/>
        <v>0</v>
      </c>
      <c r="I101" s="117">
        <f t="shared" si="2"/>
        <v>4</v>
      </c>
      <c r="J101" s="117">
        <f t="shared" si="3"/>
        <v>4.0199999999999996</v>
      </c>
      <c r="K101" s="117" t="str">
        <f t="shared" si="4"/>
        <v>BR</v>
      </c>
      <c r="L101" s="42" t="str">
        <v>BR0402</v>
      </c>
      <c r="M101" s="121" t="str">
        <v/>
      </c>
      <c r="N101" s="121" t="str">
        <v/>
      </c>
      <c r="O101" s="121" t="str">
        <v/>
      </c>
      <c r="P101" s="121" t="str">
        <v/>
      </c>
      <c r="Q101" s="121" t="str">
        <v/>
      </c>
      <c r="R101" s="121" t="str">
        <v/>
      </c>
      <c r="S101" s="121" t="str">
        <v>BMC</v>
      </c>
      <c r="T101" s="119" t="str">
        <f>IF($C101&lt;4,IF($C101=3,T102,IF($C101=2,T$1,"")),Q101&amp;R101&amp;IF(LEN(S101)=0,"",Preferences!$C$2&amp;S101)&amp;IF(J102=J101,IF(LEN(R101&amp;S101)=0,"","
")&amp;T102,""))</f>
        <v xml:space="preserve">	• BMC
	• Department</v>
      </c>
      <c r="U101" s="122" t="str">
        <v/>
      </c>
      <c r="V101" s="42"/>
      <c r="W101" s="42"/>
      <c r="X101" s="42"/>
      <c r="Y101" s="42"/>
      <c r="Z101" s="42"/>
      <c r="AA101" s="42"/>
      <c r="AB101" s="42"/>
    </row>
    <row r="102" spans="1:28" x14ac:dyDescent="0.25">
      <c r="A102" s="42" t="str">
        <v>1.4.2.2.2</v>
      </c>
      <c r="B102" s="121" t="str">
        <v>Department</v>
      </c>
      <c r="C102" s="41">
        <v>5</v>
      </c>
      <c r="D102" s="41" t="str">
        <v>RL</v>
      </c>
      <c r="E102" s="117" t="str">
        <f t="shared" si="0"/>
        <v>RL</v>
      </c>
      <c r="F102" s="41" t="str">
        <v/>
      </c>
      <c r="G102" s="41" t="str">
        <v/>
      </c>
      <c r="H102" s="117">
        <f t="shared" si="1"/>
        <v>0</v>
      </c>
      <c r="I102" s="117">
        <f t="shared" si="2"/>
        <v>4</v>
      </c>
      <c r="J102" s="117">
        <f t="shared" si="3"/>
        <v>4.0199999999999996</v>
      </c>
      <c r="K102" s="117" t="str">
        <f t="shared" si="4"/>
        <v>BR</v>
      </c>
      <c r="L102" s="42" t="str">
        <v>BR0402</v>
      </c>
      <c r="M102" s="121" t="str">
        <v/>
      </c>
      <c r="N102" s="121" t="str">
        <v/>
      </c>
      <c r="O102" s="121" t="str">
        <v/>
      </c>
      <c r="P102" s="121" t="str">
        <v/>
      </c>
      <c r="Q102" s="121" t="str">
        <v/>
      </c>
      <c r="R102" s="121" t="str">
        <v/>
      </c>
      <c r="S102" s="121" t="str">
        <v>Department</v>
      </c>
      <c r="T102" s="119" t="str">
        <f>IF($C102&lt;4,IF($C102=3,T103,IF($C102=2,T$1,"")),Q102&amp;R102&amp;IF(LEN(S102)=0,"",Preferences!$C$2&amp;S102)&amp;IF(J103=J102,IF(LEN(R102&amp;S102)=0,"","
")&amp;T103,""))</f>
        <v xml:space="preserve">	• Department</v>
      </c>
      <c r="U102" s="122" t="str">
        <v/>
      </c>
      <c r="V102" s="42"/>
      <c r="W102" s="42"/>
      <c r="X102" s="42"/>
      <c r="Y102" s="42"/>
      <c r="Z102" s="42"/>
      <c r="AA102" s="42"/>
      <c r="AB102" s="42"/>
    </row>
    <row r="103" spans="1:28" x14ac:dyDescent="0.25">
      <c r="A103" s="42" t="str">
        <v>1.4.3</v>
      </c>
      <c r="B103" s="121" t="str">
        <v>4.3 Maintain a product selling price</v>
      </c>
      <c r="C103" s="41">
        <v>3</v>
      </c>
      <c r="D103" s="41" t="str">
        <v>R</v>
      </c>
      <c r="E103" s="117" t="str">
        <f t="shared" si="0"/>
        <v>R</v>
      </c>
      <c r="F103" s="41" t="str">
        <v/>
      </c>
      <c r="G103" s="41" t="str">
        <v/>
      </c>
      <c r="H103" s="117">
        <f t="shared" si="1"/>
        <v>0</v>
      </c>
      <c r="I103" s="117">
        <f t="shared" si="2"/>
        <v>4</v>
      </c>
      <c r="J103" s="117">
        <f t="shared" si="3"/>
        <v>4.0299999999999994</v>
      </c>
      <c r="K103" s="117" t="str">
        <f t="shared" si="4"/>
        <v>BR</v>
      </c>
      <c r="L103" s="42" t="str">
        <v>BR0403</v>
      </c>
      <c r="M103" s="121" t="str">
        <v/>
      </c>
      <c r="N103" s="121" t="str">
        <v/>
      </c>
      <c r="O103" s="121" t="str">
        <v>BR0403</v>
      </c>
      <c r="P103" s="121" t="str">
        <v>Maintain a product selling price</v>
      </c>
      <c r="Q103" s="121" t="str">
        <v/>
      </c>
      <c r="R103" s="121" t="str">
        <v/>
      </c>
      <c r="S103" s="121" t="str">
        <v/>
      </c>
      <c r="T103" s="119" t="str">
        <f>IF($C103&lt;4,IF($C103=3,T104,IF($C103=2,T$1,"")),Q103&amp;R103&amp;IF(LEN(S103)=0,"",Preferences!$C$2&amp;S103)&amp;IF(J104=J103,IF(LEN(R103&amp;S103)=0,"","
")&amp;T104,""))</f>
        <v xml:space="preserve"> 1. The applicable margin of each product is used to calculate the proposed selling price (excl) for the product: moving average cost (MAC) + margin%.
 2. VAT is calculated and added to the proposed selling price (excl), to derive the proposed selling price (incl).
 3. Price rounding rules are applied to the proposed selling price (incl), to derive the selling price.
 4. The actual VAT and margin are then re-calculated from the selling price.</v>
      </c>
      <c r="U103" s="122" t="str">
        <v/>
      </c>
      <c r="V103" s="42"/>
      <c r="W103" s="42"/>
      <c r="X103" s="42"/>
      <c r="Y103" s="42"/>
      <c r="Z103" s="42"/>
      <c r="AA103" s="42"/>
      <c r="AB103" s="42"/>
    </row>
    <row r="104" spans="1:28" x14ac:dyDescent="0.25">
      <c r="A104" s="42" t="str">
        <v>1.4.3.1</v>
      </c>
      <c r="B104" s="121" t="str">
        <v>The applicable margin of each product is used to calculate the proposed selling price (excl) for the product: moving average cost (MAC) + margin%.</v>
      </c>
      <c r="C104" s="41">
        <v>4</v>
      </c>
      <c r="D104" s="41" t="str">
        <v>RD</v>
      </c>
      <c r="E104" s="117" t="str">
        <f t="shared" si="0"/>
        <v>RD</v>
      </c>
      <c r="F104" s="41" t="str">
        <v/>
      </c>
      <c r="G104" s="41" t="str">
        <v/>
      </c>
      <c r="H104" s="117">
        <f t="shared" si="1"/>
        <v>0</v>
      </c>
      <c r="I104" s="117">
        <f t="shared" si="2"/>
        <v>4</v>
      </c>
      <c r="J104" s="117">
        <f t="shared" si="3"/>
        <v>4.0299999999999994</v>
      </c>
      <c r="K104" s="117" t="str">
        <f t="shared" si="4"/>
        <v>BR</v>
      </c>
      <c r="L104" s="42" t="str">
        <v>BR0403</v>
      </c>
      <c r="M104" s="121" t="str">
        <v/>
      </c>
      <c r="N104" s="121" t="str">
        <v/>
      </c>
      <c r="O104" s="121" t="str">
        <v/>
      </c>
      <c r="P104" s="121" t="str">
        <v/>
      </c>
      <c r="Q104" s="121" t="str">
        <v xml:space="preserve"> 1. </v>
      </c>
      <c r="R104" s="121" t="str">
        <v>The applicable margin of each product is used to calculate the proposed selling price (excl) for the product: moving average cost (MAC) + margin%.</v>
      </c>
      <c r="S104" s="121" t="str">
        <v/>
      </c>
      <c r="T104" s="119" t="str">
        <f>IF($C104&lt;4,IF($C104=3,T105,IF($C104=2,T$1,"")),Q104&amp;R104&amp;IF(LEN(S104)=0,"",Preferences!$C$2&amp;S104)&amp;IF(J105=J104,IF(LEN(R104&amp;S104)=0,"","
")&amp;T105,""))</f>
        <v xml:space="preserve"> 1. The applicable margin of each product is used to calculate the proposed selling price (excl) for the product: moving average cost (MAC) + margin%.
 2. VAT is calculated and added to the proposed selling price (excl), to derive the proposed selling price (incl).
 3. Price rounding rules are applied to the proposed selling price (incl), to derive the selling price.
 4. The actual VAT and margin are then re-calculated from the selling price.</v>
      </c>
      <c r="U104" s="122" t="str">
        <v/>
      </c>
      <c r="V104" s="42"/>
      <c r="W104" s="42"/>
      <c r="X104" s="42"/>
      <c r="Y104" s="42"/>
      <c r="Z104" s="42"/>
      <c r="AA104" s="42"/>
      <c r="AB104" s="42"/>
    </row>
    <row r="105" spans="1:28" x14ac:dyDescent="0.25">
      <c r="A105" s="42" t="str">
        <v>1.4.3.2</v>
      </c>
      <c r="B105" s="121" t="str">
        <v>VAT is calculated and added to the proposed selling price (excl), to derive the proposed selling price (incl).</v>
      </c>
      <c r="C105" s="41">
        <v>4</v>
      </c>
      <c r="D105" s="41" t="str">
        <v>RD</v>
      </c>
      <c r="E105" s="117" t="str">
        <f t="shared" si="0"/>
        <v>RD</v>
      </c>
      <c r="F105" s="41" t="str">
        <v/>
      </c>
      <c r="G105" s="41" t="str">
        <v/>
      </c>
      <c r="H105" s="117">
        <f t="shared" si="1"/>
        <v>0</v>
      </c>
      <c r="I105" s="117">
        <f t="shared" si="2"/>
        <v>4</v>
      </c>
      <c r="J105" s="117">
        <f t="shared" si="3"/>
        <v>4.0299999999999994</v>
      </c>
      <c r="K105" s="117" t="str">
        <f t="shared" si="4"/>
        <v>BR</v>
      </c>
      <c r="L105" s="42" t="str">
        <v>BR0403</v>
      </c>
      <c r="M105" s="121" t="str">
        <v/>
      </c>
      <c r="N105" s="121" t="str">
        <v/>
      </c>
      <c r="O105" s="121" t="str">
        <v/>
      </c>
      <c r="P105" s="121" t="str">
        <v/>
      </c>
      <c r="Q105" s="121" t="str">
        <v xml:space="preserve"> 2. </v>
      </c>
      <c r="R105" s="121" t="str">
        <v>VAT is calculated and added to the proposed selling price (excl), to derive the proposed selling price (incl).</v>
      </c>
      <c r="S105" s="121" t="str">
        <v/>
      </c>
      <c r="T105" s="119" t="str">
        <f>IF($C105&lt;4,IF($C105=3,T106,IF($C105=2,T$1,"")),Q105&amp;R105&amp;IF(LEN(S105)=0,"",Preferences!$C$2&amp;S105)&amp;IF(J106=J105,IF(LEN(R105&amp;S105)=0,"","
")&amp;T106,""))</f>
        <v xml:space="preserve"> 2. VAT is calculated and added to the proposed selling price (excl), to derive the proposed selling price (incl).
 3. Price rounding rules are applied to the proposed selling price (incl), to derive the selling price.
 4. The actual VAT and margin are then re-calculated from the selling price.</v>
      </c>
      <c r="U105" s="122" t="str">
        <v/>
      </c>
      <c r="V105" s="42"/>
      <c r="W105" s="42"/>
      <c r="X105" s="42"/>
      <c r="Y105" s="42"/>
      <c r="Z105" s="42"/>
      <c r="AA105" s="42"/>
      <c r="AB105" s="42"/>
    </row>
    <row r="106" spans="1:28" x14ac:dyDescent="0.25">
      <c r="A106" s="42" t="str">
        <v>1.4.3.3</v>
      </c>
      <c r="B106" s="121" t="str">
        <v>Price rounding rules are applied to the proposed selling price (incl), to derive the selling price.</v>
      </c>
      <c r="C106" s="41">
        <v>4</v>
      </c>
      <c r="D106" s="41" t="str">
        <v>RD</v>
      </c>
      <c r="E106" s="117" t="str">
        <f t="shared" si="0"/>
        <v>RD</v>
      </c>
      <c r="F106" s="41" t="str">
        <v/>
      </c>
      <c r="G106" s="41" t="str">
        <v/>
      </c>
      <c r="H106" s="117">
        <f t="shared" si="1"/>
        <v>0</v>
      </c>
      <c r="I106" s="117">
        <f t="shared" si="2"/>
        <v>4</v>
      </c>
      <c r="J106" s="117">
        <f t="shared" si="3"/>
        <v>4.0299999999999994</v>
      </c>
      <c r="K106" s="117" t="str">
        <f t="shared" si="4"/>
        <v>BR</v>
      </c>
      <c r="L106" s="42" t="str">
        <v>BR0403</v>
      </c>
      <c r="M106" s="121" t="str">
        <v/>
      </c>
      <c r="N106" s="121" t="str">
        <v/>
      </c>
      <c r="O106" s="121" t="str">
        <v/>
      </c>
      <c r="P106" s="121" t="str">
        <v/>
      </c>
      <c r="Q106" s="121" t="str">
        <v xml:space="preserve"> 3. </v>
      </c>
      <c r="R106" s="121" t="str">
        <v>Price rounding rules are applied to the proposed selling price (incl), to derive the selling price.</v>
      </c>
      <c r="S106" s="121" t="str">
        <v/>
      </c>
      <c r="T106" s="119" t="str">
        <f>IF($C106&lt;4,IF($C106=3,T107,IF($C106=2,T$1,"")),Q106&amp;R106&amp;IF(LEN(S106)=0,"",Preferences!$C$2&amp;S106)&amp;IF(J107=J106,IF(LEN(R106&amp;S106)=0,"","
")&amp;T107,""))</f>
        <v xml:space="preserve"> 3. Price rounding rules are applied to the proposed selling price (incl), to derive the selling price.
 4. The actual VAT and margin are then re-calculated from the selling price.</v>
      </c>
      <c r="U106" s="122" t="str">
        <v/>
      </c>
      <c r="V106" s="42"/>
      <c r="W106" s="42"/>
      <c r="X106" s="42"/>
      <c r="Y106" s="42"/>
      <c r="Z106" s="42"/>
      <c r="AA106" s="42"/>
      <c r="AB106" s="42"/>
    </row>
    <row r="107" spans="1:28" x14ac:dyDescent="0.25">
      <c r="A107" s="42" t="str">
        <v>1.4.3.4</v>
      </c>
      <c r="B107" s="121" t="str">
        <v>The actual VAT and margin are then re-calculated from the selling price.</v>
      </c>
      <c r="C107" s="41">
        <v>4</v>
      </c>
      <c r="D107" s="41" t="str">
        <v>RD</v>
      </c>
      <c r="E107" s="117" t="str">
        <f t="shared" si="0"/>
        <v>RD</v>
      </c>
      <c r="F107" s="41" t="str">
        <v/>
      </c>
      <c r="G107" s="41" t="str">
        <v/>
      </c>
      <c r="H107" s="117">
        <f t="shared" si="1"/>
        <v>0</v>
      </c>
      <c r="I107" s="117">
        <f t="shared" si="2"/>
        <v>4</v>
      </c>
      <c r="J107" s="117">
        <f t="shared" si="3"/>
        <v>4.0299999999999994</v>
      </c>
      <c r="K107" s="117" t="str">
        <f t="shared" si="4"/>
        <v>BR</v>
      </c>
      <c r="L107" s="42" t="str">
        <v>BR0403</v>
      </c>
      <c r="M107" s="121" t="str">
        <v/>
      </c>
      <c r="N107" s="121" t="str">
        <v/>
      </c>
      <c r="O107" s="121" t="str">
        <v/>
      </c>
      <c r="P107" s="121" t="str">
        <v/>
      </c>
      <c r="Q107" s="121" t="str">
        <v xml:space="preserve"> 4. </v>
      </c>
      <c r="R107" s="121" t="str">
        <v>The actual VAT and margin are then re-calculated from the selling price.</v>
      </c>
      <c r="S107" s="121" t="str">
        <v/>
      </c>
      <c r="T107" s="119" t="str">
        <f>IF($C107&lt;4,IF($C107=3,T108,IF($C107=2,T$1,"")),Q107&amp;R107&amp;IF(LEN(S107)=0,"",Preferences!$C$2&amp;S107)&amp;IF(J108=J107,IF(LEN(R107&amp;S107)=0,"","
")&amp;T108,""))</f>
        <v xml:space="preserve"> 4. The actual VAT and margin are then re-calculated from the selling price.</v>
      </c>
      <c r="U107" s="122" t="str">
        <v/>
      </c>
      <c r="V107" s="42"/>
      <c r="W107" s="42"/>
      <c r="X107" s="42"/>
      <c r="Y107" s="42"/>
      <c r="Z107" s="42"/>
      <c r="AA107" s="42"/>
      <c r="AB107" s="42"/>
    </row>
    <row r="108" spans="1:28" x14ac:dyDescent="0.25">
      <c r="A108" s="42" t="str">
        <v>1.4.4</v>
      </c>
      <c r="B108" s="121" t="str">
        <v>4.4 Maintain product promotions</v>
      </c>
      <c r="C108" s="41">
        <v>3</v>
      </c>
      <c r="D108" s="41" t="str">
        <v>R</v>
      </c>
      <c r="E108" s="117" t="str">
        <f t="shared" si="0"/>
        <v>R</v>
      </c>
      <c r="F108" s="41" t="str">
        <v/>
      </c>
      <c r="G108" s="41" t="str">
        <v/>
      </c>
      <c r="H108" s="117">
        <f t="shared" si="1"/>
        <v>0</v>
      </c>
      <c r="I108" s="117">
        <f t="shared" si="2"/>
        <v>4</v>
      </c>
      <c r="J108" s="117">
        <f t="shared" si="3"/>
        <v>4.0399999999999991</v>
      </c>
      <c r="K108" s="117" t="str">
        <f t="shared" si="4"/>
        <v>BR</v>
      </c>
      <c r="L108" s="42" t="str">
        <v>BR0404</v>
      </c>
      <c r="M108" s="121" t="str">
        <v/>
      </c>
      <c r="N108" s="121" t="str">
        <v/>
      </c>
      <c r="O108" s="121" t="str">
        <v>BR0404</v>
      </c>
      <c r="P108" s="121" t="str">
        <v>Maintain product promotions</v>
      </c>
      <c r="Q108" s="121" t="str">
        <v/>
      </c>
      <c r="R108" s="121" t="str">
        <v/>
      </c>
      <c r="S108" s="121" t="str">
        <v/>
      </c>
      <c r="T108" s="119" t="str">
        <f>IF($C108&lt;4,IF($C108=3,T109,IF($C108=2,T$1,"")),Q108&amp;R108&amp;IF(LEN(S108)=0,"",Preferences!$C$2&amp;S108)&amp;IF(J109=J108,IF(LEN(R108&amp;S108)=0,"","
")&amp;T109,""))</f>
        <v xml:space="preserve"> 1. A promotional price may be maintained as either a margin, or selling price, with a set start and end date-time (cater for limited-time offers).
	• The same calculation rules apply as for the Maintain a product selling price requirement (above)
 2. A start and end date-time (hour) is set for the promotion.
 3. A promotion may optionally expire after a fixed number of units have been sold.
 4. A promotion may be associated to a marketing campaign and/or advertisement.</v>
      </c>
      <c r="U108" s="122" t="str">
        <v/>
      </c>
      <c r="V108" s="42"/>
      <c r="W108" s="42"/>
      <c r="X108" s="42"/>
      <c r="Y108" s="42"/>
      <c r="Z108" s="42"/>
      <c r="AA108" s="42"/>
      <c r="AB108" s="42"/>
    </row>
    <row r="109" spans="1:28" x14ac:dyDescent="0.25">
      <c r="A109" s="42" t="str">
        <v>1.4.4.1</v>
      </c>
      <c r="B109" s="121" t="str">
        <v>A promotional price may be maintained as either a margin, or selling price, with a set start and end date-time (cater for limited-time offers).</v>
      </c>
      <c r="C109" s="41">
        <v>4</v>
      </c>
      <c r="D109" s="41" t="str">
        <v>RD</v>
      </c>
      <c r="E109" s="117" t="str">
        <f t="shared" si="0"/>
        <v>RD</v>
      </c>
      <c r="F109" s="41" t="str">
        <v/>
      </c>
      <c r="G109" s="41" t="str">
        <v/>
      </c>
      <c r="H109" s="117">
        <f t="shared" si="1"/>
        <v>0</v>
      </c>
      <c r="I109" s="117">
        <f t="shared" si="2"/>
        <v>4</v>
      </c>
      <c r="J109" s="117">
        <f t="shared" si="3"/>
        <v>4.0399999999999991</v>
      </c>
      <c r="K109" s="117" t="str">
        <f t="shared" si="4"/>
        <v>BR</v>
      </c>
      <c r="L109" s="42" t="str">
        <v>BR0404</v>
      </c>
      <c r="M109" s="121" t="str">
        <v/>
      </c>
      <c r="N109" s="121" t="str">
        <v/>
      </c>
      <c r="O109" s="121" t="str">
        <v/>
      </c>
      <c r="P109" s="121" t="str">
        <v/>
      </c>
      <c r="Q109" s="121" t="str">
        <v xml:space="preserve"> 1. </v>
      </c>
      <c r="R109" s="121" t="str">
        <v>A promotional price may be maintained as either a margin, or selling price, with a set start and end date-time (cater for limited-time offers).</v>
      </c>
      <c r="S109" s="121" t="str">
        <v/>
      </c>
      <c r="T109" s="119" t="str">
        <f>IF($C109&lt;4,IF($C109=3,T110,IF($C109=2,T$1,"")),Q109&amp;R109&amp;IF(LEN(S109)=0,"",Preferences!$C$2&amp;S109)&amp;IF(J110=J109,IF(LEN(R109&amp;S109)=0,"","
")&amp;T110,""))</f>
        <v xml:space="preserve"> 1. A promotional price may be maintained as either a margin, or selling price, with a set start and end date-time (cater for limited-time offers).
	• The same calculation rules apply as for the Maintain a product selling price requirement (above)
 2. A start and end date-time (hour) is set for the promotion.
 3. A promotion may optionally expire after a fixed number of units have been sold.
 4. A promotion may be associated to a marketing campaign and/or advertisement.</v>
      </c>
      <c r="U109" s="122" t="str">
        <v/>
      </c>
      <c r="V109" s="42"/>
      <c r="W109" s="42"/>
      <c r="X109" s="42"/>
      <c r="Y109" s="42"/>
      <c r="Z109" s="42"/>
      <c r="AA109" s="42"/>
      <c r="AB109" s="42"/>
    </row>
    <row r="110" spans="1:28" x14ac:dyDescent="0.25">
      <c r="A110" s="42" t="str">
        <v>1.4.4.1.1</v>
      </c>
      <c r="B110" s="121" t="str">
        <v>The same calculation rules apply as for the Maintain a product selling price requirement (above)</v>
      </c>
      <c r="C110" s="41">
        <v>5</v>
      </c>
      <c r="D110" s="41" t="str">
        <v>RL</v>
      </c>
      <c r="E110" s="117" t="str">
        <f t="shared" si="0"/>
        <v>RL</v>
      </c>
      <c r="F110" s="41" t="str">
        <v/>
      </c>
      <c r="G110" s="41" t="str">
        <v/>
      </c>
      <c r="H110" s="117">
        <f t="shared" si="1"/>
        <v>0</v>
      </c>
      <c r="I110" s="117">
        <f t="shared" si="2"/>
        <v>4</v>
      </c>
      <c r="J110" s="117">
        <f t="shared" si="3"/>
        <v>4.0399999999999991</v>
      </c>
      <c r="K110" s="117" t="str">
        <f t="shared" si="4"/>
        <v>BR</v>
      </c>
      <c r="L110" s="42" t="str">
        <v>BR0404</v>
      </c>
      <c r="M110" s="121" t="str">
        <v/>
      </c>
      <c r="N110" s="121" t="str">
        <v/>
      </c>
      <c r="O110" s="121" t="str">
        <v/>
      </c>
      <c r="P110" s="121" t="str">
        <v/>
      </c>
      <c r="Q110" s="121" t="str">
        <v/>
      </c>
      <c r="R110" s="121" t="str">
        <v/>
      </c>
      <c r="S110" s="121" t="str">
        <v>The same calculation rules apply as for the Maintain a product selling price requirement (above)</v>
      </c>
      <c r="T110" s="119" t="str">
        <f>IF($C110&lt;4,IF($C110=3,T111,IF($C110=2,T$1,"")),Q110&amp;R110&amp;IF(LEN(S110)=0,"",Preferences!$C$2&amp;S110)&amp;IF(J111=J110,IF(LEN(R110&amp;S110)=0,"","
")&amp;T111,""))</f>
        <v xml:space="preserve">	• The same calculation rules apply as for the Maintain a product selling price requirement (above)
 2. A start and end date-time (hour) is set for the promotion.
 3. A promotion may optionally expire after a fixed number of units have been sold.
 4. A promotion may be associated to a marketing campaign and/or advertisement.</v>
      </c>
      <c r="U110" s="122" t="str">
        <v/>
      </c>
      <c r="V110" s="42"/>
      <c r="W110" s="42"/>
      <c r="X110" s="42"/>
      <c r="Y110" s="42"/>
      <c r="Z110" s="42"/>
      <c r="AA110" s="42"/>
      <c r="AB110" s="42"/>
    </row>
    <row r="111" spans="1:28" x14ac:dyDescent="0.25">
      <c r="A111" s="42" t="str">
        <v>1.4.4.2</v>
      </c>
      <c r="B111" s="121" t="str">
        <v>A start and end date-time (hour) is set for the promotion.</v>
      </c>
      <c r="C111" s="41">
        <v>4</v>
      </c>
      <c r="D111" s="41" t="str">
        <v>RD</v>
      </c>
      <c r="E111" s="117" t="str">
        <f t="shared" si="0"/>
        <v>RD</v>
      </c>
      <c r="F111" s="41" t="str">
        <v/>
      </c>
      <c r="G111" s="41" t="str">
        <v/>
      </c>
      <c r="H111" s="117">
        <f t="shared" si="1"/>
        <v>0</v>
      </c>
      <c r="I111" s="117">
        <f t="shared" si="2"/>
        <v>4</v>
      </c>
      <c r="J111" s="117">
        <f t="shared" si="3"/>
        <v>4.0399999999999991</v>
      </c>
      <c r="K111" s="117" t="str">
        <f t="shared" si="4"/>
        <v>BR</v>
      </c>
      <c r="L111" s="42" t="str">
        <v>BR0404</v>
      </c>
      <c r="M111" s="121" t="str">
        <v/>
      </c>
      <c r="N111" s="121" t="str">
        <v/>
      </c>
      <c r="O111" s="121" t="str">
        <v/>
      </c>
      <c r="P111" s="121" t="str">
        <v/>
      </c>
      <c r="Q111" s="121" t="str">
        <v xml:space="preserve"> 2. </v>
      </c>
      <c r="R111" s="121" t="str">
        <v>A start and end date-time (hour) is set for the promotion.</v>
      </c>
      <c r="S111" s="121" t="str">
        <v/>
      </c>
      <c r="T111" s="119" t="str">
        <f>IF($C111&lt;4,IF($C111=3,T112,IF($C111=2,T$1,"")),Q111&amp;R111&amp;IF(LEN(S111)=0,"",Preferences!$C$2&amp;S111)&amp;IF(J112=J111,IF(LEN(R111&amp;S111)=0,"","
")&amp;T112,""))</f>
        <v xml:space="preserve"> 2. A start and end date-time (hour) is set for the promotion.
 3. A promotion may optionally expire after a fixed number of units have been sold.
 4. A promotion may be associated to a marketing campaign and/or advertisement.</v>
      </c>
      <c r="U111" s="122" t="str">
        <v/>
      </c>
      <c r="V111" s="42"/>
      <c r="W111" s="42"/>
      <c r="X111" s="42"/>
      <c r="Y111" s="42"/>
      <c r="Z111" s="42"/>
      <c r="AA111" s="42"/>
      <c r="AB111" s="42"/>
    </row>
    <row r="112" spans="1:28" x14ac:dyDescent="0.25">
      <c r="A112" s="42" t="str">
        <v>1.4.4.3</v>
      </c>
      <c r="B112" s="121" t="str">
        <v>A promotion may optionally expire after a fixed number of units have been sold.</v>
      </c>
      <c r="C112" s="41">
        <v>4</v>
      </c>
      <c r="D112" s="41" t="str">
        <v>RD</v>
      </c>
      <c r="E112" s="117" t="str">
        <f t="shared" si="0"/>
        <v>RD</v>
      </c>
      <c r="F112" s="41" t="str">
        <v/>
      </c>
      <c r="G112" s="41" t="str">
        <v/>
      </c>
      <c r="H112" s="117">
        <f t="shared" si="1"/>
        <v>0</v>
      </c>
      <c r="I112" s="117">
        <f t="shared" si="2"/>
        <v>4</v>
      </c>
      <c r="J112" s="117">
        <f t="shared" si="3"/>
        <v>4.0399999999999991</v>
      </c>
      <c r="K112" s="117" t="str">
        <f t="shared" si="4"/>
        <v>BR</v>
      </c>
      <c r="L112" s="42" t="str">
        <v>BR0404</v>
      </c>
      <c r="M112" s="121" t="str">
        <v/>
      </c>
      <c r="N112" s="121" t="str">
        <v/>
      </c>
      <c r="O112" s="121" t="str">
        <v/>
      </c>
      <c r="P112" s="121" t="str">
        <v/>
      </c>
      <c r="Q112" s="121" t="str">
        <v xml:space="preserve"> 3. </v>
      </c>
      <c r="R112" s="121" t="str">
        <v>A promotion may optionally expire after a fixed number of units have been sold.</v>
      </c>
      <c r="S112" s="121" t="str">
        <v/>
      </c>
      <c r="T112" s="119" t="str">
        <f>IF($C112&lt;4,IF($C112=3,T113,IF($C112=2,T$1,"")),Q112&amp;R112&amp;IF(LEN(S112)=0,"",Preferences!$C$2&amp;S112)&amp;IF(J113=J112,IF(LEN(R112&amp;S112)=0,"","
")&amp;T113,""))</f>
        <v xml:space="preserve"> 3. A promotion may optionally expire after a fixed number of units have been sold.
 4. A promotion may be associated to a marketing campaign and/or advertisement.</v>
      </c>
      <c r="U112" s="122" t="str">
        <v/>
      </c>
      <c r="V112" s="42"/>
      <c r="W112" s="42"/>
      <c r="X112" s="42"/>
      <c r="Y112" s="42"/>
      <c r="Z112" s="42"/>
      <c r="AA112" s="42"/>
      <c r="AB112" s="42"/>
    </row>
    <row r="113" spans="1:28" x14ac:dyDescent="0.25">
      <c r="A113" s="42" t="str">
        <v>1.4.4.4</v>
      </c>
      <c r="B113" s="121" t="str">
        <v>A promotion may be associated to a marketing campaign and/or advertisement.</v>
      </c>
      <c r="C113" s="41">
        <v>4</v>
      </c>
      <c r="D113" s="41" t="str">
        <v>RD</v>
      </c>
      <c r="E113" s="117" t="str">
        <f t="shared" si="0"/>
        <v>RD</v>
      </c>
      <c r="F113" s="41" t="str">
        <v/>
      </c>
      <c r="G113" s="41" t="str">
        <v/>
      </c>
      <c r="H113" s="117">
        <f t="shared" si="1"/>
        <v>0</v>
      </c>
      <c r="I113" s="117">
        <f t="shared" si="2"/>
        <v>4</v>
      </c>
      <c r="J113" s="117">
        <f t="shared" si="3"/>
        <v>4.0399999999999991</v>
      </c>
      <c r="K113" s="117" t="str">
        <f t="shared" si="4"/>
        <v>BR</v>
      </c>
      <c r="L113" s="42" t="str">
        <v>BR0404</v>
      </c>
      <c r="M113" s="121" t="str">
        <v/>
      </c>
      <c r="N113" s="121" t="str">
        <v/>
      </c>
      <c r="O113" s="121" t="str">
        <v/>
      </c>
      <c r="P113" s="121" t="str">
        <v/>
      </c>
      <c r="Q113" s="121" t="str">
        <v xml:space="preserve"> 4. </v>
      </c>
      <c r="R113" s="121" t="str">
        <v>A promotion may be associated to a marketing campaign and/or advertisement.</v>
      </c>
      <c r="S113" s="121" t="str">
        <v/>
      </c>
      <c r="T113" s="119" t="str">
        <f>IF($C113&lt;4,IF($C113=3,T114,IF($C113=2,T$1,"")),Q113&amp;R113&amp;IF(LEN(S113)=0,"",Preferences!$C$2&amp;S113)&amp;IF(J114=J113,IF(LEN(R113&amp;S113)=0,"","
")&amp;T114,""))</f>
        <v xml:space="preserve"> 4. A promotion may be associated to a marketing campaign and/or advertisement.</v>
      </c>
      <c r="U113" s="122" t="str">
        <v/>
      </c>
      <c r="V113" s="42"/>
      <c r="W113" s="42"/>
      <c r="X113" s="42"/>
      <c r="Y113" s="42"/>
      <c r="Z113" s="42"/>
      <c r="AA113" s="42"/>
      <c r="AB113" s="42"/>
    </row>
    <row r="114" spans="1:28" x14ac:dyDescent="0.25">
      <c r="A114" s="42" t="str">
        <v>1.4.5</v>
      </c>
      <c r="B114" s="121" t="str">
        <v>4.5 Maintain a ruling price for each product</v>
      </c>
      <c r="C114" s="41">
        <v>3</v>
      </c>
      <c r="D114" s="41" t="str">
        <v>R</v>
      </c>
      <c r="E114" s="117" t="str">
        <f t="shared" si="0"/>
        <v>R</v>
      </c>
      <c r="F114" s="41" t="str">
        <v/>
      </c>
      <c r="G114" s="41" t="str">
        <v/>
      </c>
      <c r="H114" s="117">
        <f t="shared" si="1"/>
        <v>0</v>
      </c>
      <c r="I114" s="117">
        <f t="shared" si="2"/>
        <v>4</v>
      </c>
      <c r="J114" s="117">
        <f t="shared" si="3"/>
        <v>4.0499999999999989</v>
      </c>
      <c r="K114" s="117" t="str">
        <f t="shared" si="4"/>
        <v>BR</v>
      </c>
      <c r="L114" s="42" t="str">
        <v>BR0405</v>
      </c>
      <c r="M114" s="121" t="str">
        <v/>
      </c>
      <c r="N114" s="121" t="str">
        <v/>
      </c>
      <c r="O114" s="121" t="str">
        <v>BR0405</v>
      </c>
      <c r="P114" s="121" t="str">
        <v>Maintain a ruling price for each product</v>
      </c>
      <c r="Q114" s="121" t="str">
        <v/>
      </c>
      <c r="R114" s="121" t="str">
        <v/>
      </c>
      <c r="S114" s="121" t="str">
        <v/>
      </c>
      <c r="T114" s="119" t="str">
        <f>IF($C114&lt;4,IF($C114=3,T115,IF($C114=2,T$1,"")),Q114&amp;R114&amp;IF(LEN(S114)=0,"",Preferences!$C$2&amp;S114)&amp;IF(J115=J114,IF(LEN(R114&amp;S114)=0,"","
")&amp;T115,""))</f>
        <v xml:space="preserve"> 1. Determine and record the effective selling price for a product at a given date and time, derived by overriding the selling price (incl.) with the latest-starting promotional price for that product.
 2. When the effective promotion price expires, the ruling price for that product is immediately determined again.</v>
      </c>
      <c r="U114" s="122" t="str">
        <v/>
      </c>
      <c r="V114" s="42"/>
      <c r="W114" s="42"/>
      <c r="X114" s="42"/>
      <c r="Y114" s="42"/>
      <c r="Z114" s="42"/>
      <c r="AA114" s="42"/>
      <c r="AB114" s="42"/>
    </row>
    <row r="115" spans="1:28" x14ac:dyDescent="0.25">
      <c r="A115" s="42" t="str">
        <v>1.4.5.1</v>
      </c>
      <c r="B115" s="121" t="str">
        <v>Determine and record the effective selling price for a product at a given date and time, derived by overriding the selling price (incl.) with the latest-starting promotional price for that product.</v>
      </c>
      <c r="C115" s="41">
        <v>4</v>
      </c>
      <c r="D115" s="41" t="str">
        <v>RD</v>
      </c>
      <c r="E115" s="117" t="str">
        <f t="shared" si="0"/>
        <v>RD</v>
      </c>
      <c r="F115" s="41" t="str">
        <v/>
      </c>
      <c r="G115" s="41" t="str">
        <v/>
      </c>
      <c r="H115" s="117">
        <f t="shared" si="1"/>
        <v>0</v>
      </c>
      <c r="I115" s="117">
        <f t="shared" si="2"/>
        <v>4</v>
      </c>
      <c r="J115" s="117">
        <f t="shared" si="3"/>
        <v>4.0499999999999989</v>
      </c>
      <c r="K115" s="117" t="str">
        <f t="shared" si="4"/>
        <v>BR</v>
      </c>
      <c r="L115" s="42" t="str">
        <v>BR0405</v>
      </c>
      <c r="M115" s="121" t="str">
        <v/>
      </c>
      <c r="N115" s="121" t="str">
        <v/>
      </c>
      <c r="O115" s="121" t="str">
        <v/>
      </c>
      <c r="P115" s="121" t="str">
        <v/>
      </c>
      <c r="Q115" s="121" t="str">
        <v xml:space="preserve"> 1. </v>
      </c>
      <c r="R115" s="121" t="str">
        <v>Determine and record the effective selling price for a product at a given date and time, derived by overriding the selling price (incl.) with the latest-starting promotional price for that product.</v>
      </c>
      <c r="S115" s="121" t="str">
        <v/>
      </c>
      <c r="T115" s="119" t="str">
        <f>IF($C115&lt;4,IF($C115=3,T116,IF($C115=2,T$1,"")),Q115&amp;R115&amp;IF(LEN(S115)=0,"",Preferences!$C$2&amp;S115)&amp;IF(J116=J115,IF(LEN(R115&amp;S115)=0,"","
")&amp;T116,""))</f>
        <v xml:space="preserve"> 1. Determine and record the effective selling price for a product at a given date and time, derived by overriding the selling price (incl.) with the latest-starting promotional price for that product.
 2. When the effective promotion price expires, the ruling price for that product is immediately determined again.</v>
      </c>
      <c r="U115" s="122" t="str">
        <v/>
      </c>
      <c r="V115" s="42"/>
      <c r="W115" s="42"/>
      <c r="X115" s="42"/>
      <c r="Y115" s="42"/>
      <c r="Z115" s="42"/>
      <c r="AA115" s="42"/>
      <c r="AB115" s="42"/>
    </row>
    <row r="116" spans="1:28" x14ac:dyDescent="0.25">
      <c r="A116" s="42" t="str">
        <v>1.4.5.2</v>
      </c>
      <c r="B116" s="121" t="str">
        <v>When the effective promotion price expires, the ruling price for that product is immediately determined again.</v>
      </c>
      <c r="C116" s="41">
        <v>4</v>
      </c>
      <c r="D116" s="41" t="str">
        <v>RD</v>
      </c>
      <c r="E116" s="117" t="str">
        <f t="shared" si="0"/>
        <v>RD</v>
      </c>
      <c r="F116" s="41" t="str">
        <v/>
      </c>
      <c r="G116" s="41" t="str">
        <v/>
      </c>
      <c r="H116" s="117">
        <f t="shared" si="1"/>
        <v>0</v>
      </c>
      <c r="I116" s="117">
        <f t="shared" si="2"/>
        <v>4</v>
      </c>
      <c r="J116" s="117">
        <f t="shared" si="3"/>
        <v>4.0499999999999989</v>
      </c>
      <c r="K116" s="117" t="str">
        <f t="shared" si="4"/>
        <v>BR</v>
      </c>
      <c r="L116" s="42" t="str">
        <v>BR0405</v>
      </c>
      <c r="M116" s="121" t="str">
        <v/>
      </c>
      <c r="N116" s="121" t="str">
        <v/>
      </c>
      <c r="O116" s="121" t="str">
        <v/>
      </c>
      <c r="P116" s="121" t="str">
        <v/>
      </c>
      <c r="Q116" s="121" t="str">
        <v xml:space="preserve"> 2. </v>
      </c>
      <c r="R116" s="121" t="str">
        <v>When the effective promotion price expires, the ruling price for that product is immediately determined again.</v>
      </c>
      <c r="S116" s="121" t="str">
        <v/>
      </c>
      <c r="T116" s="119" t="str">
        <f>IF($C116&lt;4,IF($C116=3,T117,IF($C116=2,T$1,"")),Q116&amp;R116&amp;IF(LEN(S116)=0,"",Preferences!$C$2&amp;S116)&amp;IF(J117=J116,IF(LEN(R116&amp;S116)=0,"","
")&amp;T117,""))</f>
        <v xml:space="preserve"> 2. When the effective promotion price expires, the ruling price for that product is immediately determined again.</v>
      </c>
      <c r="U116" s="122" t="str">
        <v/>
      </c>
      <c r="V116" s="42"/>
      <c r="W116" s="42"/>
      <c r="X116" s="42"/>
      <c r="Y116" s="42"/>
      <c r="Z116" s="42"/>
      <c r="AA116" s="42"/>
      <c r="AB116" s="42"/>
    </row>
    <row r="117" spans="1:28" x14ac:dyDescent="0.25">
      <c r="A117" s="42" t="str">
        <v>1.5</v>
      </c>
      <c r="B117" s="121" t="str">
        <v>5 Marketing</v>
      </c>
      <c r="C117" s="41">
        <v>2</v>
      </c>
      <c r="D117" s="41" t="str">
        <v>RS</v>
      </c>
      <c r="E117" s="117" t="str">
        <f t="shared" si="0"/>
        <v>RS</v>
      </c>
      <c r="F117" s="41" t="str">
        <v/>
      </c>
      <c r="G117" s="41" t="str">
        <v/>
      </c>
      <c r="H117" s="117">
        <f t="shared" si="1"/>
        <v>0</v>
      </c>
      <c r="I117" s="117">
        <f t="shared" si="2"/>
        <v>5</v>
      </c>
      <c r="J117" s="117">
        <f t="shared" si="3"/>
        <v>5</v>
      </c>
      <c r="K117" s="117" t="str">
        <f t="shared" si="4"/>
        <v>BR</v>
      </c>
      <c r="L117" s="42">
        <v>5</v>
      </c>
      <c r="M117" s="121" t="str">
        <v/>
      </c>
      <c r="N117" s="121" t="str">
        <v>5 Marketing</v>
      </c>
      <c r="O117" s="121" t="str">
        <v>ReqID</v>
      </c>
      <c r="P117" s="121" t="e">
        <v>#N/A</v>
      </c>
      <c r="Q117" s="121" t="str">
        <v/>
      </c>
      <c r="R117" s="121" t="str">
        <v/>
      </c>
      <c r="S117" s="121" t="str">
        <v/>
      </c>
      <c r="T117" s="119" t="str">
        <f>IF($C117&lt;4,IF($C117=3,T118,IF($C117=2,T$1,"")),Q117&amp;R117&amp;IF(LEN(S117)=0,"",Preferences!$C$2&amp;S117)&amp;IF(J118=J117,IF(LEN(R117&amp;S117)=0,"","
")&amp;T118,""))</f>
        <v>Description</v>
      </c>
      <c r="U117" s="122" t="str">
        <v/>
      </c>
      <c r="V117" s="42"/>
      <c r="W117" s="42"/>
      <c r="X117" s="42"/>
      <c r="Y117" s="42"/>
      <c r="Z117" s="42"/>
      <c r="AA117" s="42"/>
      <c r="AB117" s="42"/>
    </row>
    <row r="118" spans="1:28" x14ac:dyDescent="0.25">
      <c r="A118" s="42" t="str">
        <v>1.5.1</v>
      </c>
      <c r="B118" s="121" t="str">
        <v>5.1 Maintain a B2C Co marketing strategy and related tactics</v>
      </c>
      <c r="C118" s="41">
        <v>3</v>
      </c>
      <c r="D118" s="41" t="str">
        <v>R</v>
      </c>
      <c r="E118" s="117" t="str">
        <f t="shared" si="0"/>
        <v>R</v>
      </c>
      <c r="F118" s="41" t="str">
        <v/>
      </c>
      <c r="G118" s="41" t="str">
        <v/>
      </c>
      <c r="H118" s="117">
        <f t="shared" si="1"/>
        <v>0</v>
      </c>
      <c r="I118" s="117">
        <f t="shared" si="2"/>
        <v>5</v>
      </c>
      <c r="J118" s="117">
        <f t="shared" si="3"/>
        <v>5.01</v>
      </c>
      <c r="K118" s="117" t="str">
        <f t="shared" si="4"/>
        <v>BR</v>
      </c>
      <c r="L118" s="42" t="str">
        <v>BR0501</v>
      </c>
      <c r="M118" s="121" t="str">
        <v/>
      </c>
      <c r="N118" s="121" t="str">
        <v/>
      </c>
      <c r="O118" s="121" t="str">
        <v>BR0501</v>
      </c>
      <c r="P118" s="121" t="str">
        <v>Maintain a B2C Co marketing strategy and related tactics</v>
      </c>
      <c r="Q118" s="121" t="str">
        <v/>
      </c>
      <c r="R118" s="121" t="str">
        <v/>
      </c>
      <c r="S118" s="121" t="str">
        <v/>
      </c>
      <c r="T118" s="119" t="str">
        <f>IF($C118&lt;4,IF($C118=3,T119,IF($C118=2,T$1,"")),Q118&amp;R118&amp;IF(LEN(S118)=0,"",Preferences!$C$2&amp;S118)&amp;IF(J119=J118,IF(LEN(R118&amp;S118)=0,"","
")&amp;T119,""))</f>
        <v xml:space="preserve"> 1. Maintain a B2C Co marketing strategy for each of the following phases of the business:
	• Leading up to the launch of the business
	• Soft-launch of the online shop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18" s="122" t="str">
        <v/>
      </c>
      <c r="V118" s="42"/>
      <c r="W118" s="42"/>
      <c r="X118" s="42"/>
      <c r="Y118" s="42"/>
      <c r="Z118" s="42"/>
      <c r="AA118" s="42"/>
      <c r="AB118" s="42"/>
    </row>
    <row r="119" spans="1:28" x14ac:dyDescent="0.25">
      <c r="A119" s="42" t="str">
        <v>1.5.1.1</v>
      </c>
      <c r="B119" s="121" t="str">
        <v>Maintain a B2C Co marketing strategy for each of the following phases of the business:</v>
      </c>
      <c r="C119" s="41">
        <v>4</v>
      </c>
      <c r="D119" s="41" t="str">
        <v>RD</v>
      </c>
      <c r="E119" s="117" t="str">
        <f t="shared" si="0"/>
        <v>RD</v>
      </c>
      <c r="F119" s="41" t="str">
        <v/>
      </c>
      <c r="G119" s="41" t="str">
        <v/>
      </c>
      <c r="H119" s="117">
        <f t="shared" si="1"/>
        <v>0</v>
      </c>
      <c r="I119" s="117">
        <f t="shared" si="2"/>
        <v>5</v>
      </c>
      <c r="J119" s="117">
        <f t="shared" si="3"/>
        <v>5.01</v>
      </c>
      <c r="K119" s="117" t="str">
        <f t="shared" si="4"/>
        <v>BR</v>
      </c>
      <c r="L119" s="42" t="str">
        <v>BR0501</v>
      </c>
      <c r="M119" s="121" t="str">
        <v/>
      </c>
      <c r="N119" s="121" t="str">
        <v/>
      </c>
      <c r="O119" s="121" t="str">
        <v/>
      </c>
      <c r="P119" s="121" t="str">
        <v/>
      </c>
      <c r="Q119" s="121" t="str">
        <v xml:space="preserve"> 1. </v>
      </c>
      <c r="R119" s="121" t="str">
        <v>Maintain a B2C Co marketing strategy for each of the following phases of the business:</v>
      </c>
      <c r="S119" s="121" t="str">
        <v/>
      </c>
      <c r="T119" s="119" t="str">
        <f>IF($C119&lt;4,IF($C119=3,T120,IF($C119=2,T$1,"")),Q119&amp;R119&amp;IF(LEN(S119)=0,"",Preferences!$C$2&amp;S119)&amp;IF(J120=J119,IF(LEN(R119&amp;S119)=0,"","
")&amp;T120,""))</f>
        <v xml:space="preserve"> 1. Maintain a B2C Co marketing strategy for each of the following phases of the business:
	• Leading up to the launch of the business
	• Soft-launch of the online shop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19" s="122" t="str">
        <v/>
      </c>
      <c r="V119" s="42"/>
      <c r="W119" s="42"/>
      <c r="X119" s="42"/>
      <c r="Y119" s="42"/>
      <c r="Z119" s="42"/>
      <c r="AA119" s="42"/>
      <c r="AB119" s="42"/>
    </row>
    <row r="120" spans="1:28" x14ac:dyDescent="0.25">
      <c r="A120" s="42" t="str">
        <v>1.5.1.1.1</v>
      </c>
      <c r="B120" s="121" t="str">
        <v>Leading up to the launch of the business</v>
      </c>
      <c r="C120" s="41">
        <v>5</v>
      </c>
      <c r="D120" s="41" t="str">
        <v>RL</v>
      </c>
      <c r="E120" s="117" t="str">
        <f t="shared" si="0"/>
        <v>RL</v>
      </c>
      <c r="F120" s="41" t="str">
        <v/>
      </c>
      <c r="G120" s="41" t="str">
        <v/>
      </c>
      <c r="H120" s="117">
        <f t="shared" si="1"/>
        <v>0</v>
      </c>
      <c r="I120" s="117">
        <f t="shared" si="2"/>
        <v>5</v>
      </c>
      <c r="J120" s="117">
        <f t="shared" si="3"/>
        <v>5.01</v>
      </c>
      <c r="K120" s="117" t="str">
        <f t="shared" si="4"/>
        <v>BR</v>
      </c>
      <c r="L120" s="42" t="str">
        <v>BR0501</v>
      </c>
      <c r="M120" s="121" t="str">
        <v/>
      </c>
      <c r="N120" s="121" t="str">
        <v/>
      </c>
      <c r="O120" s="121" t="str">
        <v/>
      </c>
      <c r="P120" s="121" t="str">
        <v/>
      </c>
      <c r="Q120" s="121" t="str">
        <v/>
      </c>
      <c r="R120" s="121" t="str">
        <v/>
      </c>
      <c r="S120" s="121" t="str">
        <v>Leading up to the launch of the business</v>
      </c>
      <c r="T120" s="119" t="str">
        <f>IF($C120&lt;4,IF($C120=3,T121,IF($C120=2,T$1,"")),Q120&amp;R120&amp;IF(LEN(S120)=0,"",Preferences!$C$2&amp;S120)&amp;IF(J121=J120,IF(LEN(R120&amp;S120)=0,"","
")&amp;T121,""))</f>
        <v xml:space="preserve">	• Leading up to the launch of the business
	• Soft-launch of the online shop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0" s="122" t="str">
        <v/>
      </c>
      <c r="V120" s="42"/>
      <c r="W120" s="42"/>
      <c r="X120" s="42"/>
      <c r="Y120" s="42"/>
      <c r="Z120" s="42"/>
      <c r="AA120" s="42"/>
      <c r="AB120" s="42"/>
    </row>
    <row r="121" spans="1:28" x14ac:dyDescent="0.25">
      <c r="A121" s="42" t="str">
        <v>1.5.1.1.2</v>
      </c>
      <c r="B121" s="121" t="str">
        <v>Soft-launch of the online shop</v>
      </c>
      <c r="C121" s="41">
        <v>5</v>
      </c>
      <c r="D121" s="41" t="str">
        <v>RL</v>
      </c>
      <c r="E121" s="117" t="str">
        <f t="shared" si="0"/>
        <v>RL</v>
      </c>
      <c r="F121" s="41" t="str">
        <v/>
      </c>
      <c r="G121" s="41" t="str">
        <v/>
      </c>
      <c r="H121" s="117">
        <f t="shared" si="1"/>
        <v>0</v>
      </c>
      <c r="I121" s="117">
        <f t="shared" si="2"/>
        <v>5</v>
      </c>
      <c r="J121" s="117">
        <f t="shared" si="3"/>
        <v>5.01</v>
      </c>
      <c r="K121" s="117" t="str">
        <f t="shared" si="4"/>
        <v>BR</v>
      </c>
      <c r="L121" s="42" t="str">
        <v>BR0501</v>
      </c>
      <c r="M121" s="121" t="str">
        <v/>
      </c>
      <c r="N121" s="121" t="str">
        <v/>
      </c>
      <c r="O121" s="121" t="str">
        <v/>
      </c>
      <c r="P121" s="121" t="str">
        <v/>
      </c>
      <c r="Q121" s="121" t="str">
        <v/>
      </c>
      <c r="R121" s="121" t="str">
        <v/>
      </c>
      <c r="S121" s="121" t="str">
        <v>Soft-launch of the online shop</v>
      </c>
      <c r="T121" s="119" t="str">
        <f>IF($C121&lt;4,IF($C121=3,T122,IF($C121=2,T$1,"")),Q121&amp;R121&amp;IF(LEN(S121)=0,"",Preferences!$C$2&amp;S121)&amp;IF(J122=J121,IF(LEN(R121&amp;S121)=0,"","
")&amp;T122,""))</f>
        <v xml:space="preserve">	• Soft-launch of the online shop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1" s="122" t="str">
        <v/>
      </c>
      <c r="V121" s="42"/>
      <c r="W121" s="42"/>
      <c r="X121" s="42"/>
      <c r="Y121" s="42"/>
      <c r="Z121" s="42"/>
      <c r="AA121" s="42"/>
      <c r="AB121" s="42"/>
    </row>
    <row r="122" spans="1:28" x14ac:dyDescent="0.25">
      <c r="A122" s="42" t="str">
        <v>1.5.1.1.3</v>
      </c>
      <c r="B122" s="121" t="str">
        <v>At time of opening the business online shop</v>
      </c>
      <c r="C122" s="41">
        <v>5</v>
      </c>
      <c r="D122" s="41" t="str">
        <v>RL</v>
      </c>
      <c r="E122" s="117" t="str">
        <f t="shared" si="0"/>
        <v>RL</v>
      </c>
      <c r="F122" s="41" t="str">
        <v/>
      </c>
      <c r="G122" s="41" t="str">
        <v/>
      </c>
      <c r="H122" s="117">
        <f t="shared" si="1"/>
        <v>0</v>
      </c>
      <c r="I122" s="117">
        <f t="shared" si="2"/>
        <v>5</v>
      </c>
      <c r="J122" s="117">
        <f t="shared" si="3"/>
        <v>5.01</v>
      </c>
      <c r="K122" s="117" t="str">
        <f t="shared" si="4"/>
        <v>BR</v>
      </c>
      <c r="L122" s="42" t="str">
        <v>BR0501</v>
      </c>
      <c r="M122" s="121" t="str">
        <v/>
      </c>
      <c r="N122" s="121" t="str">
        <v/>
      </c>
      <c r="O122" s="121" t="str">
        <v/>
      </c>
      <c r="P122" s="121" t="str">
        <v/>
      </c>
      <c r="Q122" s="121" t="str">
        <v/>
      </c>
      <c r="R122" s="121" t="str">
        <v/>
      </c>
      <c r="S122" s="121" t="str">
        <v>At time of opening the business online shop</v>
      </c>
      <c r="T122" s="119" t="str">
        <f>IF($C122&lt;4,IF($C122=3,T123,IF($C122=2,T$1,"")),Q122&amp;R122&amp;IF(LEN(S122)=0,"",Preferences!$C$2&amp;S122)&amp;IF(J123=J122,IF(LEN(R122&amp;S122)=0,"","
")&amp;T123,""))</f>
        <v xml:space="preserve">	• At time of opening the business online shop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2" s="122" t="str">
        <v/>
      </c>
      <c r="V122" s="42"/>
      <c r="W122" s="42"/>
      <c r="X122" s="42"/>
      <c r="Y122" s="42"/>
      <c r="Z122" s="42"/>
      <c r="AA122" s="42"/>
      <c r="AB122" s="42"/>
    </row>
    <row r="123" spans="1:28" x14ac:dyDescent="0.25">
      <c r="A123" s="42" t="str">
        <v>1.5.1.1.4</v>
      </c>
      <c r="B123" s="121" t="str">
        <v>Establishing the online business</v>
      </c>
      <c r="C123" s="41">
        <v>5</v>
      </c>
      <c r="D123" s="41" t="str">
        <v>RL</v>
      </c>
      <c r="E123" s="117" t="str">
        <f t="shared" si="0"/>
        <v>RL</v>
      </c>
      <c r="F123" s="41" t="str">
        <v/>
      </c>
      <c r="G123" s="41" t="str">
        <v/>
      </c>
      <c r="H123" s="117">
        <f t="shared" si="1"/>
        <v>0</v>
      </c>
      <c r="I123" s="117">
        <f t="shared" si="2"/>
        <v>5</v>
      </c>
      <c r="J123" s="117">
        <f t="shared" si="3"/>
        <v>5.01</v>
      </c>
      <c r="K123" s="117" t="str">
        <f t="shared" si="4"/>
        <v>BR</v>
      </c>
      <c r="L123" s="42" t="str">
        <v>BR0501</v>
      </c>
      <c r="M123" s="121" t="str">
        <v/>
      </c>
      <c r="N123" s="121" t="str">
        <v/>
      </c>
      <c r="O123" s="121" t="str">
        <v/>
      </c>
      <c r="P123" s="121" t="str">
        <v/>
      </c>
      <c r="Q123" s="121" t="str">
        <v/>
      </c>
      <c r="R123" s="121" t="str">
        <v/>
      </c>
      <c r="S123" s="121" t="str">
        <v>Establishing the online business</v>
      </c>
      <c r="T123" s="119" t="str">
        <f>IF($C123&lt;4,IF($C123=3,T124,IF($C123=2,T$1,"")),Q123&amp;R123&amp;IF(LEN(S123)=0,"",Preferences!$C$2&amp;S123)&amp;IF(J124=J123,IF(LEN(R123&amp;S123)=0,"","
")&amp;T124,""))</f>
        <v xml:space="preserve">	• Establishing the online business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3" s="122" t="str">
        <v/>
      </c>
      <c r="V123" s="42"/>
      <c r="W123" s="42"/>
      <c r="X123" s="42"/>
      <c r="Y123" s="42"/>
      <c r="Z123" s="42"/>
      <c r="AA123" s="42"/>
      <c r="AB123" s="42"/>
    </row>
    <row r="124" spans="1:28" x14ac:dyDescent="0.25">
      <c r="A124" s="42" t="str">
        <v>1.5.1.1.5</v>
      </c>
      <c r="B124" s="121" t="str">
        <v>Maturing the online business</v>
      </c>
      <c r="C124" s="41">
        <v>5</v>
      </c>
      <c r="D124" s="41" t="str">
        <v>RL</v>
      </c>
      <c r="E124" s="117" t="str">
        <f t="shared" si="0"/>
        <v>RL</v>
      </c>
      <c r="F124" s="41" t="str">
        <v/>
      </c>
      <c r="G124" s="41" t="str">
        <v/>
      </c>
      <c r="H124" s="117">
        <f t="shared" si="1"/>
        <v>0</v>
      </c>
      <c r="I124" s="117">
        <f t="shared" si="2"/>
        <v>5</v>
      </c>
      <c r="J124" s="117">
        <f t="shared" si="3"/>
        <v>5.01</v>
      </c>
      <c r="K124" s="117" t="str">
        <f t="shared" si="4"/>
        <v>BR</v>
      </c>
      <c r="L124" s="42" t="str">
        <v>BR0501</v>
      </c>
      <c r="M124" s="121" t="str">
        <v/>
      </c>
      <c r="N124" s="121" t="str">
        <v/>
      </c>
      <c r="O124" s="121" t="str">
        <v/>
      </c>
      <c r="P124" s="121" t="str">
        <v/>
      </c>
      <c r="Q124" s="121" t="str">
        <v/>
      </c>
      <c r="R124" s="121" t="str">
        <v/>
      </c>
      <c r="S124" s="121" t="str">
        <v>Maturing the online business</v>
      </c>
      <c r="T124" s="119" t="str">
        <f>IF($C124&lt;4,IF($C124=3,T125,IF($C124=2,T$1,"")),Q124&amp;R124&amp;IF(LEN(S124)=0,"",Preferences!$C$2&amp;S124)&amp;IF(J125=J124,IF(LEN(R124&amp;S124)=0,"","
")&amp;T125,""))</f>
        <v xml:space="preserve">	• Maturing the online business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4" s="122" t="str">
        <v/>
      </c>
      <c r="V124" s="42"/>
      <c r="W124" s="42"/>
      <c r="X124" s="42"/>
      <c r="Y124" s="42"/>
      <c r="Z124" s="42"/>
      <c r="AA124" s="42"/>
      <c r="AB124" s="42"/>
    </row>
    <row r="125" spans="1:28" x14ac:dyDescent="0.25">
      <c r="A125" s="42" t="str">
        <v>1.5.1.2</v>
      </c>
      <c r="B125" s="121" t="str">
        <v>Develop approaches to monitoring and adapting to market perceptions and needs:</v>
      </c>
      <c r="C125" s="41">
        <v>4</v>
      </c>
      <c r="D125" s="41" t="str">
        <v>RD</v>
      </c>
      <c r="E125" s="117" t="str">
        <f t="shared" si="0"/>
        <v>RD</v>
      </c>
      <c r="F125" s="41" t="str">
        <v/>
      </c>
      <c r="G125" s="41" t="str">
        <v/>
      </c>
      <c r="H125" s="117">
        <f t="shared" si="1"/>
        <v>0</v>
      </c>
      <c r="I125" s="117">
        <f t="shared" si="2"/>
        <v>5</v>
      </c>
      <c r="J125" s="117">
        <f t="shared" si="3"/>
        <v>5.01</v>
      </c>
      <c r="K125" s="117" t="str">
        <f t="shared" si="4"/>
        <v>BR</v>
      </c>
      <c r="L125" s="42" t="str">
        <v>BR0501</v>
      </c>
      <c r="M125" s="121" t="str">
        <v/>
      </c>
      <c r="N125" s="121" t="str">
        <v/>
      </c>
      <c r="O125" s="121" t="str">
        <v/>
      </c>
      <c r="P125" s="121" t="str">
        <v/>
      </c>
      <c r="Q125" s="121" t="str">
        <v xml:space="preserve"> 2. </v>
      </c>
      <c r="R125" s="121" t="str">
        <v>Develop approaches to monitoring and adapting to market perceptions and needs:</v>
      </c>
      <c r="S125" s="121" t="str">
        <v/>
      </c>
      <c r="T125" s="119" t="str">
        <f>IF($C125&lt;4,IF($C125=3,T126,IF($C125=2,T$1,"")),Q125&amp;R125&amp;IF(LEN(S125)=0,"",Preferences!$C$2&amp;S125)&amp;IF(J126=J125,IF(LEN(R125&amp;S125)=0,"","
")&amp;T126,""))</f>
        <v xml:space="preserve"> 2. Develop approaches to monitoring and adapting to market perceptions and needs: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5" s="122" t="str">
        <v/>
      </c>
      <c r="V125" s="42"/>
      <c r="W125" s="42"/>
      <c r="X125" s="42"/>
      <c r="Y125" s="42"/>
      <c r="Z125" s="42"/>
      <c r="AA125" s="42"/>
      <c r="AB125" s="42"/>
    </row>
    <row r="126" spans="1:28" x14ac:dyDescent="0.25">
      <c r="A126" s="42" t="str">
        <v>1.5.1.2.1</v>
      </c>
      <c r="B126" s="121" t="str">
        <v>Brand awareness, differentiation and image</v>
      </c>
      <c r="C126" s="41">
        <v>5</v>
      </c>
      <c r="D126" s="41" t="str">
        <v>RL</v>
      </c>
      <c r="E126" s="117" t="str">
        <f t="shared" si="0"/>
        <v>RL</v>
      </c>
      <c r="F126" s="41" t="str">
        <v/>
      </c>
      <c r="G126" s="41" t="str">
        <v/>
      </c>
      <c r="H126" s="117">
        <f t="shared" si="1"/>
        <v>0</v>
      </c>
      <c r="I126" s="117">
        <f t="shared" si="2"/>
        <v>5</v>
      </c>
      <c r="J126" s="117">
        <f t="shared" si="3"/>
        <v>5.01</v>
      </c>
      <c r="K126" s="117" t="str">
        <f t="shared" si="4"/>
        <v>BR</v>
      </c>
      <c r="L126" s="42" t="str">
        <v>BR0501</v>
      </c>
      <c r="M126" s="121" t="str">
        <v/>
      </c>
      <c r="N126" s="121" t="str">
        <v/>
      </c>
      <c r="O126" s="121" t="str">
        <v/>
      </c>
      <c r="P126" s="121" t="str">
        <v/>
      </c>
      <c r="Q126" s="121" t="str">
        <v/>
      </c>
      <c r="R126" s="121" t="str">
        <v/>
      </c>
      <c r="S126" s="121" t="str">
        <v>Brand awareness, differentiation and image</v>
      </c>
      <c r="T126" s="119" t="str">
        <f>IF($C126&lt;4,IF($C126=3,T127,IF($C126=2,T$1,"")),Q126&amp;R126&amp;IF(LEN(S126)=0,"",Preferences!$C$2&amp;S126)&amp;IF(J127=J126,IF(LEN(R126&amp;S126)=0,"","
")&amp;T127,""))</f>
        <v xml:space="preserve">	• Brand awareness, differentiation and image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6" s="122" t="str">
        <v/>
      </c>
      <c r="V126" s="42"/>
      <c r="W126" s="42"/>
      <c r="X126" s="42"/>
      <c r="Y126" s="42"/>
      <c r="Z126" s="42"/>
      <c r="AA126" s="42"/>
      <c r="AB126" s="42"/>
    </row>
    <row r="127" spans="1:28" x14ac:dyDescent="0.25">
      <c r="A127" s="42" t="str">
        <v>1.5.1.2.2</v>
      </c>
      <c r="B127" s="121" t="str">
        <v>Market and customer perceptions</v>
      </c>
      <c r="C127" s="41">
        <v>5</v>
      </c>
      <c r="D127" s="41" t="str">
        <v>RL</v>
      </c>
      <c r="E127" s="117" t="str">
        <f t="shared" si="0"/>
        <v>RL</v>
      </c>
      <c r="F127" s="41" t="str">
        <v/>
      </c>
      <c r="G127" s="41" t="str">
        <v/>
      </c>
      <c r="H127" s="117">
        <f t="shared" si="1"/>
        <v>0</v>
      </c>
      <c r="I127" s="117">
        <f t="shared" si="2"/>
        <v>5</v>
      </c>
      <c r="J127" s="117">
        <f t="shared" si="3"/>
        <v>5.01</v>
      </c>
      <c r="K127" s="117" t="str">
        <f t="shared" si="4"/>
        <v>BR</v>
      </c>
      <c r="L127" s="42" t="str">
        <v>BR0501</v>
      </c>
      <c r="M127" s="121" t="str">
        <v/>
      </c>
      <c r="N127" s="121" t="str">
        <v/>
      </c>
      <c r="O127" s="121" t="str">
        <v/>
      </c>
      <c r="P127" s="121" t="str">
        <v/>
      </c>
      <c r="Q127" s="121" t="str">
        <v/>
      </c>
      <c r="R127" s="121" t="str">
        <v/>
      </c>
      <c r="S127" s="121" t="str">
        <v>Market and customer perceptions</v>
      </c>
      <c r="T127" s="119" t="str">
        <f>IF($C127&lt;4,IF($C127=3,T128,IF($C127=2,T$1,"")),Q127&amp;R127&amp;IF(LEN(S127)=0,"",Preferences!$C$2&amp;S127)&amp;IF(J128=J127,IF(LEN(R127&amp;S127)=0,"","
")&amp;T128,""))</f>
        <v xml:space="preserve">	• Market and customer perceptions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7" s="122" t="str">
        <v/>
      </c>
      <c r="V127" s="42"/>
      <c r="W127" s="42"/>
      <c r="X127" s="42"/>
      <c r="Y127" s="42"/>
      <c r="Z127" s="42"/>
      <c r="AA127" s="42"/>
      <c r="AB127" s="42"/>
    </row>
    <row r="128" spans="1:28" x14ac:dyDescent="0.25">
      <c r="A128" s="42" t="str">
        <v>1.5.1.2.3</v>
      </c>
      <c r="B128" s="121" t="str">
        <v>Category and product need and perception testing</v>
      </c>
      <c r="C128" s="41">
        <v>5</v>
      </c>
      <c r="D128" s="41" t="str">
        <v>RL</v>
      </c>
      <c r="E128" s="117" t="str">
        <f t="shared" si="0"/>
        <v>RL</v>
      </c>
      <c r="F128" s="41" t="str">
        <v/>
      </c>
      <c r="G128" s="41" t="str">
        <v/>
      </c>
      <c r="H128" s="117">
        <f t="shared" si="1"/>
        <v>0</v>
      </c>
      <c r="I128" s="117">
        <f t="shared" si="2"/>
        <v>5</v>
      </c>
      <c r="J128" s="117">
        <f t="shared" si="3"/>
        <v>5.01</v>
      </c>
      <c r="K128" s="117" t="str">
        <f t="shared" si="4"/>
        <v>BR</v>
      </c>
      <c r="L128" s="42" t="str">
        <v>BR0501</v>
      </c>
      <c r="M128" s="121" t="str">
        <v/>
      </c>
      <c r="N128" s="121" t="str">
        <v/>
      </c>
      <c r="O128" s="121" t="str">
        <v/>
      </c>
      <c r="P128" s="121" t="str">
        <v/>
      </c>
      <c r="Q128" s="121" t="str">
        <v/>
      </c>
      <c r="R128" s="121" t="str">
        <v/>
      </c>
      <c r="S128" s="121" t="str">
        <v>Category and product need and perception testing</v>
      </c>
      <c r="T128" s="119" t="str">
        <f>IF($C128&lt;4,IF($C128=3,T129,IF($C128=2,T$1,"")),Q128&amp;R128&amp;IF(LEN(S128)=0,"",Preferences!$C$2&amp;S128)&amp;IF(J129=J128,IF(LEN(R128&amp;S128)=0,"","
")&amp;T129,""))</f>
        <v xml:space="preserve">	• Category and product need and perception testing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8" s="122" t="str">
        <v/>
      </c>
      <c r="V128" s="42"/>
      <c r="W128" s="42"/>
      <c r="X128" s="42"/>
      <c r="Y128" s="42"/>
      <c r="Z128" s="42"/>
      <c r="AA128" s="42"/>
      <c r="AB128" s="42"/>
    </row>
    <row r="129" spans="1:28" x14ac:dyDescent="0.25">
      <c r="A129" s="42" t="str">
        <v>1.5.1.2.4</v>
      </c>
      <c r="B129" s="121" t="str">
        <v>Online social commentary</v>
      </c>
      <c r="C129" s="41">
        <v>5</v>
      </c>
      <c r="D129" s="41" t="str">
        <v>RL</v>
      </c>
      <c r="E129" s="117" t="str">
        <f t="shared" si="0"/>
        <v>RL</v>
      </c>
      <c r="F129" s="41" t="str">
        <v/>
      </c>
      <c r="G129" s="41" t="str">
        <v/>
      </c>
      <c r="H129" s="117">
        <f t="shared" si="1"/>
        <v>0</v>
      </c>
      <c r="I129" s="117">
        <f t="shared" si="2"/>
        <v>5</v>
      </c>
      <c r="J129" s="117">
        <f t="shared" si="3"/>
        <v>5.01</v>
      </c>
      <c r="K129" s="117" t="str">
        <f t="shared" si="4"/>
        <v>BR</v>
      </c>
      <c r="L129" s="42" t="str">
        <v>BR0501</v>
      </c>
      <c r="M129" s="121" t="str">
        <v/>
      </c>
      <c r="N129" s="121" t="str">
        <v/>
      </c>
      <c r="O129" s="121" t="str">
        <v/>
      </c>
      <c r="P129" s="121" t="str">
        <v/>
      </c>
      <c r="Q129" s="121" t="str">
        <v/>
      </c>
      <c r="R129" s="121" t="str">
        <v/>
      </c>
      <c r="S129" s="121" t="str">
        <v>Online social commentary</v>
      </c>
      <c r="T129" s="119" t="str">
        <f>IF($C129&lt;4,IF($C129=3,T130,IF($C129=2,T$1,"")),Q129&amp;R129&amp;IF(LEN(S129)=0,"",Preferences!$C$2&amp;S129)&amp;IF(J130=J129,IF(LEN(R129&amp;S129)=0,"","
")&amp;T130,""))</f>
        <v xml:space="preserve">	• Online social commentary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29" s="122" t="str">
        <v/>
      </c>
      <c r="V129" s="42"/>
      <c r="W129" s="42"/>
      <c r="X129" s="42"/>
      <c r="Y129" s="42"/>
      <c r="Z129" s="42"/>
      <c r="AA129" s="42"/>
      <c r="AB129" s="42"/>
    </row>
    <row r="130" spans="1:28" x14ac:dyDescent="0.25">
      <c r="A130" s="42" t="str">
        <v>1.5.1.2.5</v>
      </c>
      <c r="B130" s="121" t="str">
        <v>Customer segmentation (e.g. LSM levels) and persona (e.g. expecting mother) development</v>
      </c>
      <c r="C130" s="41">
        <v>5</v>
      </c>
      <c r="D130" s="41" t="str">
        <v>RL</v>
      </c>
      <c r="E130" s="117" t="str">
        <f t="shared" si="0"/>
        <v>RL</v>
      </c>
      <c r="F130" s="41" t="str">
        <v/>
      </c>
      <c r="G130" s="41" t="str">
        <v/>
      </c>
      <c r="H130" s="117">
        <f t="shared" si="1"/>
        <v>0</v>
      </c>
      <c r="I130" s="117">
        <f t="shared" si="2"/>
        <v>5</v>
      </c>
      <c r="J130" s="117">
        <f t="shared" si="3"/>
        <v>5.01</v>
      </c>
      <c r="K130" s="117" t="str">
        <f t="shared" si="4"/>
        <v>BR</v>
      </c>
      <c r="L130" s="42" t="str">
        <v>BR0501</v>
      </c>
      <c r="M130" s="121" t="str">
        <v/>
      </c>
      <c r="N130" s="121" t="str">
        <v/>
      </c>
      <c r="O130" s="121" t="str">
        <v/>
      </c>
      <c r="P130" s="121" t="str">
        <v/>
      </c>
      <c r="Q130" s="121" t="str">
        <v/>
      </c>
      <c r="R130" s="121" t="str">
        <v/>
      </c>
      <c r="S130" s="121" t="str">
        <v>Customer segmentation (e.g. LSM levels) and persona (e.g. expecting mother) development</v>
      </c>
      <c r="T130" s="119" t="str">
        <f>IF($C130&lt;4,IF($C130=3,T131,IF($C130=2,T$1,"")),Q130&amp;R130&amp;IF(LEN(S130)=0,"",Preferences!$C$2&amp;S130)&amp;IF(J131=J130,IF(LEN(R130&amp;S130)=0,"","
")&amp;T131,""))</f>
        <v xml:space="preserve">	• Customer segmentation (e.g. LSM levels) and persona (e.g. expecting mother) development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0" s="122" t="str">
        <v/>
      </c>
      <c r="V130" s="42"/>
      <c r="W130" s="42"/>
      <c r="X130" s="42"/>
      <c r="Y130" s="42"/>
      <c r="Z130" s="42"/>
      <c r="AA130" s="42"/>
      <c r="AB130" s="42"/>
    </row>
    <row r="131" spans="1:28" x14ac:dyDescent="0.25">
      <c r="A131" s="42" t="str">
        <v>1.5.1.2.6</v>
      </c>
      <c r="B131" s="121" t="str">
        <v>Other forms of marketing intelligence</v>
      </c>
      <c r="C131" s="41">
        <v>5</v>
      </c>
      <c r="D131" s="41" t="str">
        <v>RL</v>
      </c>
      <c r="E131" s="117" t="str">
        <f t="shared" si="0"/>
        <v>RL</v>
      </c>
      <c r="F131" s="41" t="str">
        <v/>
      </c>
      <c r="G131" s="41" t="str">
        <v/>
      </c>
      <c r="H131" s="117">
        <f t="shared" si="1"/>
        <v>0</v>
      </c>
      <c r="I131" s="117">
        <f t="shared" si="2"/>
        <v>5</v>
      </c>
      <c r="J131" s="117">
        <f t="shared" si="3"/>
        <v>5.01</v>
      </c>
      <c r="K131" s="117" t="str">
        <f t="shared" si="4"/>
        <v>BR</v>
      </c>
      <c r="L131" s="42" t="str">
        <v>BR0501</v>
      </c>
      <c r="M131" s="121" t="str">
        <v/>
      </c>
      <c r="N131" s="121" t="str">
        <v/>
      </c>
      <c r="O131" s="121" t="str">
        <v/>
      </c>
      <c r="P131" s="121" t="str">
        <v/>
      </c>
      <c r="Q131" s="121" t="str">
        <v/>
      </c>
      <c r="R131" s="121" t="str">
        <v/>
      </c>
      <c r="S131" s="121" t="str">
        <v>Other forms of marketing intelligence</v>
      </c>
      <c r="T131" s="119" t="str">
        <f>IF($C131&lt;4,IF($C131=3,T132,IF($C131=2,T$1,"")),Q131&amp;R131&amp;IF(LEN(S131)=0,"",Preferences!$C$2&amp;S131)&amp;IF(J132=J131,IF(LEN(R131&amp;S131)=0,"","
")&amp;T132,""))</f>
        <v xml:space="preserve">	• Other forms of marketing intelligence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1" s="122" t="str">
        <v/>
      </c>
      <c r="V131" s="42"/>
      <c r="W131" s="42"/>
      <c r="X131" s="42"/>
      <c r="Y131" s="42"/>
      <c r="Z131" s="42"/>
      <c r="AA131" s="42"/>
      <c r="AB131" s="42"/>
    </row>
    <row r="132" spans="1:28" x14ac:dyDescent="0.25">
      <c r="A132" s="42" t="str">
        <v>1.5.1.3</v>
      </c>
      <c r="B132" s="121" t="str">
        <v>Develop approaches to defining and executing own marketing campaigns and advertising, for the following:</v>
      </c>
      <c r="C132" s="41">
        <v>4</v>
      </c>
      <c r="D132" s="41" t="str">
        <v>RD</v>
      </c>
      <c r="E132" s="117" t="str">
        <f t="shared" si="0"/>
        <v>RD</v>
      </c>
      <c r="F132" s="41" t="str">
        <v/>
      </c>
      <c r="G132" s="41" t="str">
        <v/>
      </c>
      <c r="H132" s="117">
        <f t="shared" si="1"/>
        <v>0</v>
      </c>
      <c r="I132" s="117">
        <f t="shared" si="2"/>
        <v>5</v>
      </c>
      <c r="J132" s="117">
        <f t="shared" si="3"/>
        <v>5.01</v>
      </c>
      <c r="K132" s="117" t="str">
        <f t="shared" si="4"/>
        <v>BR</v>
      </c>
      <c r="L132" s="42" t="str">
        <v>BR0501</v>
      </c>
      <c r="M132" s="121" t="str">
        <v/>
      </c>
      <c r="N132" s="121" t="str">
        <v/>
      </c>
      <c r="O132" s="121" t="str">
        <v/>
      </c>
      <c r="P132" s="121" t="str">
        <v/>
      </c>
      <c r="Q132" s="121" t="str">
        <v xml:space="preserve"> 3. </v>
      </c>
      <c r="R132" s="121" t="str">
        <v>Develop approaches to defining and executing own marketing campaigns and advertising, for the following:</v>
      </c>
      <c r="S132" s="121" t="str">
        <v/>
      </c>
      <c r="T132" s="119" t="str">
        <f>IF($C132&lt;4,IF($C132=3,T133,IF($C132=2,T$1,"")),Q132&amp;R132&amp;IF(LEN(S132)=0,"",Preferences!$C$2&amp;S132)&amp;IF(J133=J132,IF(LEN(R132&amp;S132)=0,"","
")&amp;T133,""))</f>
        <v xml:space="preserve"> 3. Develop approaches to defining and executing own marketing campaigns and advertising, for the following: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2" s="122" t="str">
        <v/>
      </c>
      <c r="V132" s="42"/>
      <c r="W132" s="42"/>
      <c r="X132" s="42"/>
      <c r="Y132" s="42"/>
      <c r="Z132" s="42"/>
      <c r="AA132" s="42"/>
      <c r="AB132" s="42"/>
    </row>
    <row r="133" spans="1:28" x14ac:dyDescent="0.25">
      <c r="A133" s="42" t="str">
        <v>1.5.1.3.1</v>
      </c>
      <c r="B133" s="121" t="str">
        <v>Market penetration and/or loss-leading</v>
      </c>
      <c r="C133" s="41">
        <v>5</v>
      </c>
      <c r="D133" s="41" t="str">
        <v>RL</v>
      </c>
      <c r="E133" s="117" t="str">
        <f t="shared" si="0"/>
        <v>RL</v>
      </c>
      <c r="F133" s="41" t="str">
        <v/>
      </c>
      <c r="G133" s="41" t="str">
        <v/>
      </c>
      <c r="H133" s="117">
        <f t="shared" si="1"/>
        <v>0</v>
      </c>
      <c r="I133" s="117">
        <f t="shared" si="2"/>
        <v>5</v>
      </c>
      <c r="J133" s="117">
        <f t="shared" si="3"/>
        <v>5.01</v>
      </c>
      <c r="K133" s="117" t="str">
        <f t="shared" si="4"/>
        <v>BR</v>
      </c>
      <c r="L133" s="42" t="str">
        <v>BR0501</v>
      </c>
      <c r="M133" s="121" t="str">
        <v/>
      </c>
      <c r="N133" s="121" t="str">
        <v/>
      </c>
      <c r="O133" s="121" t="str">
        <v/>
      </c>
      <c r="P133" s="121" t="str">
        <v/>
      </c>
      <c r="Q133" s="121" t="str">
        <v/>
      </c>
      <c r="R133" s="121" t="str">
        <v/>
      </c>
      <c r="S133" s="121" t="str">
        <v>Market penetration and/or loss-leading</v>
      </c>
      <c r="T133" s="119" t="str">
        <f>IF($C133&lt;4,IF($C133=3,T134,IF($C133=2,T$1,"")),Q133&amp;R133&amp;IF(LEN(S133)=0,"",Preferences!$C$2&amp;S133)&amp;IF(J134=J133,IF(LEN(R133&amp;S133)=0,"","
")&amp;T134,""))</f>
        <v xml:space="preserve">	• Market penetration and/or loss-leading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3" s="122" t="str">
        <v/>
      </c>
      <c r="V133" s="42"/>
      <c r="W133" s="42"/>
      <c r="X133" s="42"/>
      <c r="Y133" s="42"/>
      <c r="Z133" s="42"/>
      <c r="AA133" s="42"/>
      <c r="AB133" s="42"/>
    </row>
    <row r="134" spans="1:28" x14ac:dyDescent="0.25">
      <c r="A134" s="42" t="str">
        <v>1.5.1.3.2</v>
      </c>
      <c r="B134" s="121" t="str">
        <v>Special events</v>
      </c>
      <c r="C134" s="41">
        <v>5</v>
      </c>
      <c r="D134" s="41" t="str">
        <v>RL</v>
      </c>
      <c r="E134" s="117" t="str">
        <f t="shared" si="0"/>
        <v>RL</v>
      </c>
      <c r="F134" s="41" t="str">
        <v/>
      </c>
      <c r="G134" s="41" t="str">
        <v/>
      </c>
      <c r="H134" s="117">
        <f t="shared" si="1"/>
        <v>0</v>
      </c>
      <c r="I134" s="117">
        <f t="shared" si="2"/>
        <v>5</v>
      </c>
      <c r="J134" s="117">
        <f t="shared" si="3"/>
        <v>5.01</v>
      </c>
      <c r="K134" s="117" t="str">
        <f t="shared" si="4"/>
        <v>BR</v>
      </c>
      <c r="L134" s="42" t="str">
        <v>BR0501</v>
      </c>
      <c r="M134" s="121" t="str">
        <v/>
      </c>
      <c r="N134" s="121" t="str">
        <v/>
      </c>
      <c r="O134" s="121" t="str">
        <v/>
      </c>
      <c r="P134" s="121" t="str">
        <v/>
      </c>
      <c r="Q134" s="121" t="str">
        <v/>
      </c>
      <c r="R134" s="121" t="str">
        <v/>
      </c>
      <c r="S134" s="121" t="str">
        <v>Special events</v>
      </c>
      <c r="T134" s="119" t="str">
        <f>IF($C134&lt;4,IF($C134=3,T135,IF($C134=2,T$1,"")),Q134&amp;R134&amp;IF(LEN(S134)=0,"",Preferences!$C$2&amp;S134)&amp;IF(J135=J134,IF(LEN(R134&amp;S134)=0,"","
")&amp;T135,""))</f>
        <v xml:space="preserve">	• Special events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4" s="122" t="str">
        <v/>
      </c>
      <c r="V134" s="42"/>
      <c r="W134" s="42"/>
      <c r="X134" s="42"/>
      <c r="Y134" s="42"/>
      <c r="Z134" s="42"/>
      <c r="AA134" s="42"/>
      <c r="AB134" s="42"/>
    </row>
    <row r="135" spans="1:28" x14ac:dyDescent="0.25">
      <c r="A135" s="42" t="str">
        <v>1.5.1.3.3</v>
      </c>
      <c r="B135" s="121" t="str">
        <v>Specific products and services</v>
      </c>
      <c r="C135" s="41">
        <v>5</v>
      </c>
      <c r="D135" s="41" t="str">
        <v>RL</v>
      </c>
      <c r="E135" s="117" t="str">
        <f t="shared" si="0"/>
        <v>RL</v>
      </c>
      <c r="F135" s="41" t="str">
        <v/>
      </c>
      <c r="G135" s="41" t="str">
        <v/>
      </c>
      <c r="H135" s="117">
        <f t="shared" si="1"/>
        <v>0</v>
      </c>
      <c r="I135" s="117">
        <f t="shared" si="2"/>
        <v>5</v>
      </c>
      <c r="J135" s="117">
        <f t="shared" si="3"/>
        <v>5.01</v>
      </c>
      <c r="K135" s="117" t="str">
        <f t="shared" si="4"/>
        <v>BR</v>
      </c>
      <c r="L135" s="42" t="str">
        <v>BR0501</v>
      </c>
      <c r="M135" s="121" t="str">
        <v/>
      </c>
      <c r="N135" s="121" t="str">
        <v/>
      </c>
      <c r="O135" s="121" t="str">
        <v/>
      </c>
      <c r="P135" s="121" t="str">
        <v/>
      </c>
      <c r="Q135" s="121" t="str">
        <v/>
      </c>
      <c r="R135" s="121" t="str">
        <v/>
      </c>
      <c r="S135" s="121" t="str">
        <v>Specific products and services</v>
      </c>
      <c r="T135" s="119" t="str">
        <f>IF($C135&lt;4,IF($C135=3,T136,IF($C135=2,T$1,"")),Q135&amp;R135&amp;IF(LEN(S135)=0,"",Preferences!$C$2&amp;S135)&amp;IF(J136=J135,IF(LEN(R135&amp;S135)=0,"","
")&amp;T136,""))</f>
        <v xml:space="preserve">	• Specific products and services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5" s="122" t="str">
        <v/>
      </c>
      <c r="V135" s="42"/>
      <c r="W135" s="42"/>
      <c r="X135" s="42"/>
      <c r="Y135" s="42"/>
      <c r="Z135" s="42"/>
      <c r="AA135" s="42"/>
      <c r="AB135" s="42"/>
    </row>
    <row r="136" spans="1:28" x14ac:dyDescent="0.25">
      <c r="A136" s="42" t="str">
        <v>1.5.1.3.4</v>
      </c>
      <c r="B136" s="121" t="str">
        <v>Category-driven promotions</v>
      </c>
      <c r="C136" s="41">
        <v>5</v>
      </c>
      <c r="D136" s="41" t="str">
        <v>RL</v>
      </c>
      <c r="E136" s="117" t="str">
        <f t="shared" si="0"/>
        <v>RL</v>
      </c>
      <c r="F136" s="41" t="str">
        <v/>
      </c>
      <c r="G136" s="41" t="str">
        <v/>
      </c>
      <c r="H136" s="117">
        <f t="shared" si="1"/>
        <v>0</v>
      </c>
      <c r="I136" s="117">
        <f t="shared" si="2"/>
        <v>5</v>
      </c>
      <c r="J136" s="117">
        <f t="shared" si="3"/>
        <v>5.01</v>
      </c>
      <c r="K136" s="117" t="str">
        <f t="shared" si="4"/>
        <v>BR</v>
      </c>
      <c r="L136" s="42" t="str">
        <v>BR0501</v>
      </c>
      <c r="M136" s="121" t="str">
        <v/>
      </c>
      <c r="N136" s="121" t="str">
        <v/>
      </c>
      <c r="O136" s="121" t="str">
        <v/>
      </c>
      <c r="P136" s="121" t="str">
        <v/>
      </c>
      <c r="Q136" s="121" t="str">
        <v/>
      </c>
      <c r="R136" s="121" t="str">
        <v/>
      </c>
      <c r="S136" s="121" t="str">
        <v>Category-driven promotions</v>
      </c>
      <c r="T136" s="119" t="str">
        <f>IF($C136&lt;4,IF($C136=3,T137,IF($C136=2,T$1,"")),Q136&amp;R136&amp;IF(LEN(S136)=0,"",Preferences!$C$2&amp;S136)&amp;IF(J137=J136,IF(LEN(R136&amp;S136)=0,"","
")&amp;T137,""))</f>
        <v xml:space="preserve">	• Category-driven promotions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6" s="122" t="str">
        <v/>
      </c>
      <c r="V136" s="42"/>
      <c r="W136" s="42"/>
      <c r="X136" s="42"/>
      <c r="Y136" s="42"/>
      <c r="Z136" s="42"/>
      <c r="AA136" s="42"/>
      <c r="AB136" s="42"/>
    </row>
    <row r="137" spans="1:28" x14ac:dyDescent="0.25">
      <c r="A137" s="42" t="str">
        <v>1.5.1.3.5</v>
      </c>
      <c r="B137" s="121" t="str">
        <v>Supplier-driven promotions</v>
      </c>
      <c r="C137" s="41">
        <v>5</v>
      </c>
      <c r="D137" s="41" t="str">
        <v>RL</v>
      </c>
      <c r="E137" s="117" t="str">
        <f t="shared" si="0"/>
        <v>RL</v>
      </c>
      <c r="F137" s="41" t="str">
        <v/>
      </c>
      <c r="G137" s="41" t="str">
        <v/>
      </c>
      <c r="H137" s="117">
        <f t="shared" si="1"/>
        <v>0</v>
      </c>
      <c r="I137" s="117">
        <f t="shared" si="2"/>
        <v>5</v>
      </c>
      <c r="J137" s="117">
        <f t="shared" si="3"/>
        <v>5.01</v>
      </c>
      <c r="K137" s="117" t="str">
        <f t="shared" si="4"/>
        <v>BR</v>
      </c>
      <c r="L137" s="42" t="str">
        <v>BR0501</v>
      </c>
      <c r="M137" s="121" t="str">
        <v/>
      </c>
      <c r="N137" s="121" t="str">
        <v/>
      </c>
      <c r="O137" s="121" t="str">
        <v/>
      </c>
      <c r="P137" s="121" t="str">
        <v/>
      </c>
      <c r="Q137" s="121" t="str">
        <v/>
      </c>
      <c r="R137" s="121" t="str">
        <v/>
      </c>
      <c r="S137" s="121" t="str">
        <v>Supplier-driven promotions</v>
      </c>
      <c r="T137" s="119" t="str">
        <f>IF($C137&lt;4,IF($C137=3,T138,IF($C137=2,T$1,"")),Q137&amp;R137&amp;IF(LEN(S137)=0,"",Preferences!$C$2&amp;S137)&amp;IF(J138=J137,IF(LEN(R137&amp;S137)=0,"","
")&amp;T138,""))</f>
        <v xml:space="preserve">	• Supplier-driven promotions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7" s="122" t="str">
        <v/>
      </c>
      <c r="V137" s="42"/>
      <c r="W137" s="42"/>
      <c r="X137" s="42"/>
      <c r="Y137" s="42"/>
      <c r="Z137" s="42"/>
      <c r="AA137" s="42"/>
      <c r="AB137" s="42"/>
    </row>
    <row r="138" spans="1:28" x14ac:dyDescent="0.25">
      <c r="A138" s="42" t="str">
        <v>1.5.1.3.6</v>
      </c>
      <c r="B138" s="121" t="str">
        <v>Personalised promotions</v>
      </c>
      <c r="C138" s="41">
        <v>5</v>
      </c>
      <c r="D138" s="41" t="str">
        <v>RL</v>
      </c>
      <c r="E138" s="117" t="str">
        <f t="shared" si="0"/>
        <v>RL</v>
      </c>
      <c r="F138" s="41" t="str">
        <v/>
      </c>
      <c r="G138" s="41" t="str">
        <v/>
      </c>
      <c r="H138" s="117">
        <f t="shared" si="1"/>
        <v>0</v>
      </c>
      <c r="I138" s="117">
        <f t="shared" si="2"/>
        <v>5</v>
      </c>
      <c r="J138" s="117">
        <f t="shared" si="3"/>
        <v>5.01</v>
      </c>
      <c r="K138" s="117" t="str">
        <f t="shared" si="4"/>
        <v>BR</v>
      </c>
      <c r="L138" s="42" t="str">
        <v>BR0501</v>
      </c>
      <c r="M138" s="121" t="str">
        <v/>
      </c>
      <c r="N138" s="121" t="str">
        <v/>
      </c>
      <c r="O138" s="121" t="str">
        <v/>
      </c>
      <c r="P138" s="121" t="str">
        <v/>
      </c>
      <c r="Q138" s="121" t="str">
        <v/>
      </c>
      <c r="R138" s="121" t="str">
        <v/>
      </c>
      <c r="S138" s="121" t="str">
        <v>Personalised promotions</v>
      </c>
      <c r="T138" s="119" t="str">
        <f>IF($C138&lt;4,IF($C138=3,T139,IF($C138=2,T$1,"")),Q138&amp;R138&amp;IF(LEN(S138)=0,"",Preferences!$C$2&amp;S138)&amp;IF(J139=J138,IF(LEN(R138&amp;S138)=0,"","
")&amp;T139,""))</f>
        <v xml:space="preserve">	• Personalised promotions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8" s="122" t="str">
        <v/>
      </c>
      <c r="V138" s="42"/>
      <c r="W138" s="42"/>
      <c r="X138" s="42"/>
      <c r="Y138" s="42"/>
      <c r="Z138" s="42"/>
      <c r="AA138" s="42"/>
      <c r="AB138" s="42"/>
    </row>
    <row r="139" spans="1:28" x14ac:dyDescent="0.25">
      <c r="A139" s="42" t="str">
        <v>1.5.1.3.7</v>
      </c>
      <c r="B139" s="121" t="str">
        <v>Marketing message and advertising testing (e.g. A/B testing)</v>
      </c>
      <c r="C139" s="41">
        <v>5</v>
      </c>
      <c r="D139" s="41" t="str">
        <v>RL</v>
      </c>
      <c r="E139" s="117" t="str">
        <f t="shared" si="0"/>
        <v>RL</v>
      </c>
      <c r="F139" s="41" t="str">
        <v/>
      </c>
      <c r="G139" s="41" t="str">
        <v/>
      </c>
      <c r="H139" s="117">
        <f t="shared" si="1"/>
        <v>0</v>
      </c>
      <c r="I139" s="117">
        <f t="shared" si="2"/>
        <v>5</v>
      </c>
      <c r="J139" s="117">
        <f t="shared" si="3"/>
        <v>5.01</v>
      </c>
      <c r="K139" s="117" t="str">
        <f t="shared" si="4"/>
        <v>BR</v>
      </c>
      <c r="L139" s="42" t="str">
        <v>BR0501</v>
      </c>
      <c r="M139" s="121" t="str">
        <v/>
      </c>
      <c r="N139" s="121" t="str">
        <v/>
      </c>
      <c r="O139" s="121" t="str">
        <v/>
      </c>
      <c r="P139" s="121" t="str">
        <v/>
      </c>
      <c r="Q139" s="121" t="str">
        <v/>
      </c>
      <c r="R139" s="121" t="str">
        <v/>
      </c>
      <c r="S139" s="121" t="str">
        <v>Marketing message and advertising testing (e.g. A/B testing)</v>
      </c>
      <c r="T139" s="119" t="str">
        <f>IF($C139&lt;4,IF($C139=3,T140,IF($C139=2,T$1,"")),Q139&amp;R139&amp;IF(LEN(S139)=0,"",Preferences!$C$2&amp;S139)&amp;IF(J140=J139,IF(LEN(R139&amp;S139)=0,"","
")&amp;T140,""))</f>
        <v xml:space="preserve">	• Marketing message and advertising testing (e.g. A/B testing)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39" s="122" t="str">
        <v/>
      </c>
      <c r="V139" s="42"/>
      <c r="W139" s="42"/>
      <c r="X139" s="42"/>
      <c r="Y139" s="42"/>
      <c r="Z139" s="42"/>
      <c r="AA139" s="42"/>
      <c r="AB139" s="42"/>
    </row>
    <row r="140" spans="1:28" x14ac:dyDescent="0.25">
      <c r="A140" s="42" t="str">
        <v>1.5.1.4</v>
      </c>
      <c r="B140" s="121" t="str">
        <v>Develop approaches to optimising advertising revenue:</v>
      </c>
      <c r="C140" s="41">
        <v>4</v>
      </c>
      <c r="D140" s="41" t="str">
        <v>RD</v>
      </c>
      <c r="E140" s="117" t="str">
        <f t="shared" si="0"/>
        <v>RD</v>
      </c>
      <c r="F140" s="41" t="str">
        <v/>
      </c>
      <c r="G140" s="41" t="str">
        <v/>
      </c>
      <c r="H140" s="117">
        <f t="shared" si="1"/>
        <v>0</v>
      </c>
      <c r="I140" s="117">
        <f t="shared" si="2"/>
        <v>5</v>
      </c>
      <c r="J140" s="117">
        <f t="shared" si="3"/>
        <v>5.01</v>
      </c>
      <c r="K140" s="117" t="str">
        <f t="shared" si="4"/>
        <v>BR</v>
      </c>
      <c r="L140" s="42" t="str">
        <v>BR0501</v>
      </c>
      <c r="M140" s="121" t="str">
        <v/>
      </c>
      <c r="N140" s="121" t="str">
        <v/>
      </c>
      <c r="O140" s="121" t="str">
        <v/>
      </c>
      <c r="P140" s="121" t="str">
        <v/>
      </c>
      <c r="Q140" s="121" t="str">
        <v xml:space="preserve"> 4. </v>
      </c>
      <c r="R140" s="121" t="str">
        <v>Develop approaches to optimising advertising revenue:</v>
      </c>
      <c r="S140" s="121" t="str">
        <v/>
      </c>
      <c r="T140" s="119" t="str">
        <f>IF($C140&lt;4,IF($C140=3,T141,IF($C140=2,T$1,"")),Q140&amp;R140&amp;IF(LEN(S140)=0,"",Preferences!$C$2&amp;S140)&amp;IF(J141=J140,IF(LEN(R140&amp;S140)=0,"","
")&amp;T141,""))</f>
        <v xml:space="preserve"> 4. Develop approaches to optimising advertising revenue: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0" s="122" t="str">
        <v/>
      </c>
      <c r="V140" s="42"/>
      <c r="W140" s="42"/>
      <c r="X140" s="42"/>
      <c r="Y140" s="42"/>
      <c r="Z140" s="42"/>
      <c r="AA140" s="42"/>
      <c r="AB140" s="42"/>
    </row>
    <row r="141" spans="1:28" x14ac:dyDescent="0.25">
      <c r="A141" s="42" t="str">
        <v>1.5.1.4.1</v>
      </c>
      <c r="B141" s="121" t="str">
        <v>Supplier recruitment for paid advertising and promotions</v>
      </c>
      <c r="C141" s="41">
        <v>5</v>
      </c>
      <c r="D141" s="41" t="str">
        <v>RL</v>
      </c>
      <c r="E141" s="117" t="str">
        <f t="shared" si="0"/>
        <v>RL</v>
      </c>
      <c r="F141" s="41" t="str">
        <v/>
      </c>
      <c r="G141" s="41" t="str">
        <v/>
      </c>
      <c r="H141" s="117">
        <f t="shared" si="1"/>
        <v>0</v>
      </c>
      <c r="I141" s="117">
        <f t="shared" si="2"/>
        <v>5</v>
      </c>
      <c r="J141" s="117">
        <f t="shared" si="3"/>
        <v>5.01</v>
      </c>
      <c r="K141" s="117" t="str">
        <f t="shared" si="4"/>
        <v>BR</v>
      </c>
      <c r="L141" s="42" t="str">
        <v>BR0501</v>
      </c>
      <c r="M141" s="121" t="str">
        <v/>
      </c>
      <c r="N141" s="121" t="str">
        <v/>
      </c>
      <c r="O141" s="121" t="str">
        <v/>
      </c>
      <c r="P141" s="121" t="str">
        <v/>
      </c>
      <c r="Q141" s="121" t="str">
        <v/>
      </c>
      <c r="R141" s="121" t="str">
        <v/>
      </c>
      <c r="S141" s="121" t="str">
        <v>Supplier recruitment for paid advertising and promotions</v>
      </c>
      <c r="T141" s="119" t="str">
        <f>IF($C141&lt;4,IF($C141=3,T142,IF($C141=2,T$1,"")),Q141&amp;R141&amp;IF(LEN(S141)=0,"",Preferences!$C$2&amp;S141)&amp;IF(J142=J141,IF(LEN(R141&amp;S141)=0,"","
")&amp;T142,""))</f>
        <v xml:space="preserve">	• Supplier recruitment for paid advertising and promotions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1" s="122" t="str">
        <v/>
      </c>
      <c r="V141" s="42"/>
      <c r="W141" s="42"/>
      <c r="X141" s="42"/>
      <c r="Y141" s="42"/>
      <c r="Z141" s="42"/>
      <c r="AA141" s="42"/>
      <c r="AB141" s="42"/>
    </row>
    <row r="142" spans="1:28" x14ac:dyDescent="0.25">
      <c r="A142" s="42" t="str">
        <v>1.5.1.4.2</v>
      </c>
      <c r="B142" s="121" t="str">
        <v>Supplier recruitment for paid product promotions (e.g. preferred listing/ranking)</v>
      </c>
      <c r="C142" s="41">
        <v>5</v>
      </c>
      <c r="D142" s="41" t="str">
        <v>RL</v>
      </c>
      <c r="E142" s="117" t="str">
        <f t="shared" si="0"/>
        <v>RL</v>
      </c>
      <c r="F142" s="41" t="str">
        <v/>
      </c>
      <c r="G142" s="41" t="str">
        <v/>
      </c>
      <c r="H142" s="117">
        <f t="shared" si="1"/>
        <v>0</v>
      </c>
      <c r="I142" s="117">
        <f t="shared" si="2"/>
        <v>5</v>
      </c>
      <c r="J142" s="117">
        <f t="shared" si="3"/>
        <v>5.01</v>
      </c>
      <c r="K142" s="117" t="str">
        <f t="shared" si="4"/>
        <v>BR</v>
      </c>
      <c r="L142" s="42" t="str">
        <v>BR0501</v>
      </c>
      <c r="M142" s="121" t="str">
        <v/>
      </c>
      <c r="N142" s="121" t="str">
        <v/>
      </c>
      <c r="O142" s="121" t="str">
        <v/>
      </c>
      <c r="P142" s="121" t="str">
        <v/>
      </c>
      <c r="Q142" s="121" t="str">
        <v/>
      </c>
      <c r="R142" s="121" t="str">
        <v/>
      </c>
      <c r="S142" s="121" t="str">
        <v>Supplier recruitment for paid product promotions (e.g. preferred listing/ranking)</v>
      </c>
      <c r="T142" s="119" t="str">
        <f>IF($C142&lt;4,IF($C142=3,T143,IF($C142=2,T$1,"")),Q142&amp;R142&amp;IF(LEN(S142)=0,"",Preferences!$C$2&amp;S142)&amp;IF(J143=J142,IF(LEN(R142&amp;S142)=0,"","
")&amp;T143,""))</f>
        <v xml:space="preserve">	• Supplier recruitment for paid product promotions (e.g. preferred listing/ranking)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2" s="122" t="str">
        <v/>
      </c>
      <c r="V142" s="42"/>
      <c r="W142" s="42"/>
      <c r="X142" s="42"/>
      <c r="Y142" s="42"/>
      <c r="Z142" s="42"/>
      <c r="AA142" s="42"/>
      <c r="AB142" s="42"/>
    </row>
    <row r="143" spans="1:28" x14ac:dyDescent="0.25">
      <c r="A143" s="42" t="str">
        <v>1.5.1.5</v>
      </c>
      <c r="B143" s="121" t="str">
        <v>Develop approaches to monitoring and reacting to the competition, other threats and opportunities:</v>
      </c>
      <c r="C143" s="41">
        <v>4</v>
      </c>
      <c r="D143" s="41" t="str">
        <v>RD</v>
      </c>
      <c r="E143" s="117" t="str">
        <f t="shared" si="0"/>
        <v>RD</v>
      </c>
      <c r="F143" s="41" t="str">
        <v/>
      </c>
      <c r="G143" s="41" t="str">
        <v/>
      </c>
      <c r="H143" s="117">
        <f t="shared" si="1"/>
        <v>0</v>
      </c>
      <c r="I143" s="117">
        <f t="shared" si="2"/>
        <v>5</v>
      </c>
      <c r="J143" s="117">
        <f t="shared" si="3"/>
        <v>5.01</v>
      </c>
      <c r="K143" s="117" t="str">
        <f t="shared" si="4"/>
        <v>BR</v>
      </c>
      <c r="L143" s="42" t="str">
        <v>BR0501</v>
      </c>
      <c r="M143" s="121" t="str">
        <v/>
      </c>
      <c r="N143" s="121" t="str">
        <v/>
      </c>
      <c r="O143" s="121" t="str">
        <v/>
      </c>
      <c r="P143" s="121" t="str">
        <v/>
      </c>
      <c r="Q143" s="121" t="str">
        <v xml:space="preserve"> 5. </v>
      </c>
      <c r="R143" s="121" t="str">
        <v>Develop approaches to monitoring and reacting to the competition, other threats and opportunities:</v>
      </c>
      <c r="S143" s="121" t="str">
        <v/>
      </c>
      <c r="T143" s="119" t="str">
        <f>IF($C143&lt;4,IF($C143=3,T144,IF($C143=2,T$1,"")),Q143&amp;R143&amp;IF(LEN(S143)=0,"",Preferences!$C$2&amp;S143)&amp;IF(J144=J143,IF(LEN(R143&amp;S143)=0,"","
")&amp;T144,""))</f>
        <v xml:space="preserve"> 5. Develop approaches to monitoring and reacting to the competition, other threats and opportunities: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3" s="122" t="str">
        <v/>
      </c>
      <c r="V143" s="42"/>
      <c r="W143" s="42"/>
      <c r="X143" s="42"/>
      <c r="Y143" s="42"/>
      <c r="Z143" s="42"/>
      <c r="AA143" s="42"/>
      <c r="AB143" s="42"/>
    </row>
    <row r="144" spans="1:28" x14ac:dyDescent="0.25">
      <c r="A144" s="42" t="str">
        <v>1.5.1.5.1</v>
      </c>
      <c r="B144" s="121" t="str">
        <v>Product and service categories offered by the competition</v>
      </c>
      <c r="C144" s="41">
        <v>5</v>
      </c>
      <c r="D144" s="41" t="str">
        <v>RL</v>
      </c>
      <c r="E144" s="117" t="str">
        <f t="shared" si="0"/>
        <v>RL</v>
      </c>
      <c r="F144" s="41" t="str">
        <v/>
      </c>
      <c r="G144" s="41" t="str">
        <v/>
      </c>
      <c r="H144" s="117">
        <f t="shared" si="1"/>
        <v>0</v>
      </c>
      <c r="I144" s="117">
        <f t="shared" si="2"/>
        <v>5</v>
      </c>
      <c r="J144" s="117">
        <f t="shared" si="3"/>
        <v>5.01</v>
      </c>
      <c r="K144" s="117" t="str">
        <f t="shared" si="4"/>
        <v>BR</v>
      </c>
      <c r="L144" s="42" t="str">
        <v>BR0501</v>
      </c>
      <c r="M144" s="121" t="str">
        <v/>
      </c>
      <c r="N144" s="121" t="str">
        <v/>
      </c>
      <c r="O144" s="121" t="str">
        <v/>
      </c>
      <c r="P144" s="121" t="str">
        <v/>
      </c>
      <c r="Q144" s="121" t="str">
        <v/>
      </c>
      <c r="R144" s="121" t="str">
        <v/>
      </c>
      <c r="S144" s="121" t="str">
        <v>Product and service categories offered by the competition</v>
      </c>
      <c r="T144" s="119" t="str">
        <f>IF($C144&lt;4,IF($C144=3,T145,IF($C144=2,T$1,"")),Q144&amp;R144&amp;IF(LEN(S144)=0,"",Preferences!$C$2&amp;S144)&amp;IF(J145=J144,IF(LEN(R144&amp;S144)=0,"","
")&amp;T145,""))</f>
        <v xml:space="preserve">	• Product and service categories offered by the competition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4" s="122" t="str">
        <v/>
      </c>
      <c r="V144" s="42"/>
      <c r="W144" s="42"/>
      <c r="X144" s="42"/>
      <c r="Y144" s="42"/>
      <c r="Z144" s="42"/>
      <c r="AA144" s="42"/>
      <c r="AB144" s="42"/>
    </row>
    <row r="145" spans="1:28" x14ac:dyDescent="0.25">
      <c r="A145" s="42" t="str">
        <v>1.5.1.5.2</v>
      </c>
      <c r="B145" s="121" t="str">
        <v>Product and service pricing offered by the competition</v>
      </c>
      <c r="C145" s="41">
        <v>5</v>
      </c>
      <c r="D145" s="41" t="str">
        <v>RL</v>
      </c>
      <c r="E145" s="117" t="str">
        <f t="shared" si="0"/>
        <v>RL</v>
      </c>
      <c r="F145" s="41" t="str">
        <v/>
      </c>
      <c r="G145" s="41" t="str">
        <v/>
      </c>
      <c r="H145" s="117">
        <f t="shared" si="1"/>
        <v>0</v>
      </c>
      <c r="I145" s="117">
        <f t="shared" si="2"/>
        <v>5</v>
      </c>
      <c r="J145" s="117">
        <f t="shared" si="3"/>
        <v>5.01</v>
      </c>
      <c r="K145" s="117" t="str">
        <f t="shared" si="4"/>
        <v>BR</v>
      </c>
      <c r="L145" s="42" t="str">
        <v>BR0501</v>
      </c>
      <c r="M145" s="121" t="str">
        <v/>
      </c>
      <c r="N145" s="121" t="str">
        <v/>
      </c>
      <c r="O145" s="121" t="str">
        <v/>
      </c>
      <c r="P145" s="121" t="str">
        <v/>
      </c>
      <c r="Q145" s="121" t="str">
        <v/>
      </c>
      <c r="R145" s="121" t="str">
        <v/>
      </c>
      <c r="S145" s="121" t="str">
        <v>Product and service pricing offered by the competition</v>
      </c>
      <c r="T145" s="119" t="str">
        <f>IF($C145&lt;4,IF($C145=3,T146,IF($C145=2,T$1,"")),Q145&amp;R145&amp;IF(LEN(S145)=0,"",Preferences!$C$2&amp;S145)&amp;IF(J146=J145,IF(LEN(R145&amp;S145)=0,"","
")&amp;T146,""))</f>
        <v xml:space="preserve">	• Product and service pricing offered by the competition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5" s="122" t="str">
        <v/>
      </c>
      <c r="V145" s="42"/>
      <c r="W145" s="42"/>
      <c r="X145" s="42"/>
      <c r="Y145" s="42"/>
      <c r="Z145" s="42"/>
      <c r="AA145" s="42"/>
      <c r="AB145" s="42"/>
    </row>
    <row r="146" spans="1:28" x14ac:dyDescent="0.25">
      <c r="A146" s="42" t="str">
        <v>1.5.1.5.3</v>
      </c>
      <c r="B146" s="121" t="str">
        <v>Campaigns and advertisements run by the competition</v>
      </c>
      <c r="C146" s="41">
        <v>5</v>
      </c>
      <c r="D146" s="41" t="str">
        <v>RL</v>
      </c>
      <c r="E146" s="117" t="str">
        <f t="shared" si="0"/>
        <v>RL</v>
      </c>
      <c r="F146" s="41" t="str">
        <v/>
      </c>
      <c r="G146" s="41" t="str">
        <v/>
      </c>
      <c r="H146" s="117">
        <f t="shared" si="1"/>
        <v>0</v>
      </c>
      <c r="I146" s="117">
        <f t="shared" si="2"/>
        <v>5</v>
      </c>
      <c r="J146" s="117">
        <f t="shared" si="3"/>
        <v>5.01</v>
      </c>
      <c r="K146" s="117" t="str">
        <f t="shared" si="4"/>
        <v>BR</v>
      </c>
      <c r="L146" s="42" t="str">
        <v>BR0501</v>
      </c>
      <c r="M146" s="121" t="str">
        <v/>
      </c>
      <c r="N146" s="121" t="str">
        <v/>
      </c>
      <c r="O146" s="121" t="str">
        <v/>
      </c>
      <c r="P146" s="121" t="str">
        <v/>
      </c>
      <c r="Q146" s="121" t="str">
        <v/>
      </c>
      <c r="R146" s="121" t="str">
        <v/>
      </c>
      <c r="S146" s="121" t="str">
        <v>Campaigns and advertisements run by the competition</v>
      </c>
      <c r="T146" s="119" t="str">
        <f>IF($C146&lt;4,IF($C146=3,T147,IF($C146=2,T$1,"")),Q146&amp;R146&amp;IF(LEN(S146)=0,"",Preferences!$C$2&amp;S146)&amp;IF(J147=J146,IF(LEN(R146&amp;S146)=0,"","
")&amp;T147,""))</f>
        <v xml:space="preserve">	• Campaigns and advertisements run by the competition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6" s="122" t="str">
        <v/>
      </c>
      <c r="V146" s="42"/>
      <c r="W146" s="42"/>
      <c r="X146" s="42"/>
      <c r="Y146" s="42"/>
      <c r="Z146" s="42"/>
      <c r="AA146" s="42"/>
      <c r="AB146" s="42"/>
    </row>
    <row r="147" spans="1:28" x14ac:dyDescent="0.25">
      <c r="A147" s="42" t="str">
        <v>1.5.1.5.4</v>
      </c>
      <c r="B147" s="121" t="str">
        <v>Promotions and discounts offered by the competition</v>
      </c>
      <c r="C147" s="41">
        <v>5</v>
      </c>
      <c r="D147" s="41" t="str">
        <v>RL</v>
      </c>
      <c r="E147" s="117" t="str">
        <f t="shared" si="0"/>
        <v>RL</v>
      </c>
      <c r="F147" s="41" t="str">
        <v/>
      </c>
      <c r="G147" s="41" t="str">
        <v/>
      </c>
      <c r="H147" s="117">
        <f t="shared" si="1"/>
        <v>0</v>
      </c>
      <c r="I147" s="117">
        <f t="shared" si="2"/>
        <v>5</v>
      </c>
      <c r="J147" s="117">
        <f t="shared" si="3"/>
        <v>5.01</v>
      </c>
      <c r="K147" s="117" t="str">
        <f t="shared" si="4"/>
        <v>BR</v>
      </c>
      <c r="L147" s="42" t="str">
        <v>BR0501</v>
      </c>
      <c r="M147" s="121" t="str">
        <v/>
      </c>
      <c r="N147" s="121" t="str">
        <v/>
      </c>
      <c r="O147" s="121" t="str">
        <v/>
      </c>
      <c r="P147" s="121" t="str">
        <v/>
      </c>
      <c r="Q147" s="121" t="str">
        <v/>
      </c>
      <c r="R147" s="121" t="str">
        <v/>
      </c>
      <c r="S147" s="121" t="str">
        <v>Promotions and discounts offered by the competition</v>
      </c>
      <c r="T147" s="119" t="str">
        <f>IF($C147&lt;4,IF($C147=3,T148,IF($C147=2,T$1,"")),Q147&amp;R147&amp;IF(LEN(S147)=0,"",Preferences!$C$2&amp;S147)&amp;IF(J148=J147,IF(LEN(R147&amp;S147)=0,"","
")&amp;T148,""))</f>
        <v xml:space="preserve">	• Promotions and discounts offered by the competition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7" s="122" t="str">
        <v/>
      </c>
      <c r="V147" s="42"/>
      <c r="W147" s="42"/>
      <c r="X147" s="42"/>
      <c r="Y147" s="42"/>
      <c r="Z147" s="42"/>
      <c r="AA147" s="42"/>
      <c r="AB147" s="42"/>
    </row>
    <row r="148" spans="1:28" x14ac:dyDescent="0.25">
      <c r="A148" s="42" t="str">
        <v>1.5.1.5.5</v>
      </c>
      <c r="B148" s="121" t="str">
        <v>Identification and monitoring of possible threats in the environment (e.g. COVID19)</v>
      </c>
      <c r="C148" s="41">
        <v>5</v>
      </c>
      <c r="D148" s="41" t="str">
        <v>RL</v>
      </c>
      <c r="E148" s="117" t="str">
        <f t="shared" si="0"/>
        <v>RL</v>
      </c>
      <c r="F148" s="41" t="str">
        <v/>
      </c>
      <c r="G148" s="41" t="str">
        <v/>
      </c>
      <c r="H148" s="117">
        <f t="shared" si="1"/>
        <v>0</v>
      </c>
      <c r="I148" s="117">
        <f t="shared" si="2"/>
        <v>5</v>
      </c>
      <c r="J148" s="117">
        <f t="shared" si="3"/>
        <v>5.01</v>
      </c>
      <c r="K148" s="117" t="str">
        <f t="shared" si="4"/>
        <v>BR</v>
      </c>
      <c r="L148" s="42" t="str">
        <v>BR0501</v>
      </c>
      <c r="M148" s="121" t="str">
        <v/>
      </c>
      <c r="N148" s="121" t="str">
        <v/>
      </c>
      <c r="O148" s="121" t="str">
        <v/>
      </c>
      <c r="P148" s="121" t="str">
        <v/>
      </c>
      <c r="Q148" s="121" t="str">
        <v/>
      </c>
      <c r="R148" s="121" t="str">
        <v/>
      </c>
      <c r="S148" s="121" t="str">
        <v>Identification and monitoring of possible threats in the environment (e.g. COVID19)</v>
      </c>
      <c r="T148" s="119" t="str">
        <f>IF($C148&lt;4,IF($C148=3,T149,IF($C148=2,T$1,"")),Q148&amp;R148&amp;IF(LEN(S148)=0,"",Preferences!$C$2&amp;S148)&amp;IF(J149=J148,IF(LEN(R148&amp;S148)=0,"","
")&amp;T149,""))</f>
        <v xml:space="preserve">	• Identification and monitoring of possible threats in the environment (e.g. COVID19)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8" s="122" t="str">
        <v/>
      </c>
      <c r="V148" s="42"/>
      <c r="W148" s="42"/>
      <c r="X148" s="42"/>
      <c r="Y148" s="42"/>
      <c r="Z148" s="42"/>
      <c r="AA148" s="42"/>
      <c r="AB148" s="42"/>
    </row>
    <row r="149" spans="1:28" x14ac:dyDescent="0.25">
      <c r="A149" s="42" t="str">
        <v>1.5.1.5.6</v>
      </c>
      <c r="B149" s="121" t="str">
        <v>Identification, monitoring and reacting to possible opportunities (e.g. special protective items)</v>
      </c>
      <c r="C149" s="41">
        <v>5</v>
      </c>
      <c r="D149" s="41" t="str">
        <v>RL</v>
      </c>
      <c r="E149" s="117" t="str">
        <f t="shared" si="0"/>
        <v>RL</v>
      </c>
      <c r="F149" s="41" t="str">
        <v/>
      </c>
      <c r="G149" s="41" t="str">
        <v/>
      </c>
      <c r="H149" s="117">
        <f t="shared" si="1"/>
        <v>0</v>
      </c>
      <c r="I149" s="117">
        <f t="shared" si="2"/>
        <v>5</v>
      </c>
      <c r="J149" s="117">
        <f t="shared" si="3"/>
        <v>5.01</v>
      </c>
      <c r="K149" s="117" t="str">
        <f t="shared" si="4"/>
        <v>BR</v>
      </c>
      <c r="L149" s="42" t="str">
        <v>BR0501</v>
      </c>
      <c r="M149" s="121" t="str">
        <v/>
      </c>
      <c r="N149" s="121" t="str">
        <v/>
      </c>
      <c r="O149" s="121" t="str">
        <v/>
      </c>
      <c r="P149" s="121" t="str">
        <v/>
      </c>
      <c r="Q149" s="121" t="str">
        <v/>
      </c>
      <c r="R149" s="121" t="str">
        <v/>
      </c>
      <c r="S149" s="121" t="str">
        <v>Identification, monitoring and reacting to possible opportunities (e.g. special protective items)</v>
      </c>
      <c r="T149" s="119" t="str">
        <f>IF($C149&lt;4,IF($C149=3,T150,IF($C149=2,T$1,"")),Q149&amp;R149&amp;IF(LEN(S149)=0,"",Preferences!$C$2&amp;S149)&amp;IF(J150=J149,IF(LEN(R149&amp;S149)=0,"","
")&amp;T150,""))</f>
        <v xml:space="preserve">	• Identification, monitoring and reacting to possible opportunities (e.g. special protective items)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49" s="122" t="str">
        <v/>
      </c>
      <c r="V149" s="42"/>
      <c r="W149" s="42"/>
      <c r="X149" s="42"/>
      <c r="Y149" s="42"/>
      <c r="Z149" s="42"/>
      <c r="AA149" s="42"/>
      <c r="AB149" s="42"/>
    </row>
    <row r="150" spans="1:28" x14ac:dyDescent="0.25">
      <c r="A150" s="42" t="str">
        <v>1.5.1.6</v>
      </c>
      <c r="B150" s="121" t="str">
        <v>Develop approaches to using the following channels:</v>
      </c>
      <c r="C150" s="41">
        <v>4</v>
      </c>
      <c r="D150" s="41" t="str">
        <v>RD</v>
      </c>
      <c r="E150" s="117" t="str">
        <f t="shared" si="0"/>
        <v>RD</v>
      </c>
      <c r="F150" s="41" t="str">
        <v/>
      </c>
      <c r="G150" s="41" t="str">
        <v/>
      </c>
      <c r="H150" s="117">
        <f t="shared" si="1"/>
        <v>0</v>
      </c>
      <c r="I150" s="117">
        <f t="shared" si="2"/>
        <v>5</v>
      </c>
      <c r="J150" s="117">
        <f t="shared" si="3"/>
        <v>5.01</v>
      </c>
      <c r="K150" s="117" t="str">
        <f t="shared" si="4"/>
        <v>BR</v>
      </c>
      <c r="L150" s="42" t="str">
        <v>BR0501</v>
      </c>
      <c r="M150" s="121" t="str">
        <v/>
      </c>
      <c r="N150" s="121" t="str">
        <v/>
      </c>
      <c r="O150" s="121" t="str">
        <v/>
      </c>
      <c r="P150" s="121" t="str">
        <v/>
      </c>
      <c r="Q150" s="121" t="str">
        <v xml:space="preserve"> 6. </v>
      </c>
      <c r="R150" s="121" t="str">
        <v>Develop approaches to using the following channels:</v>
      </c>
      <c r="S150" s="121" t="str">
        <v/>
      </c>
      <c r="T150" s="119" t="str">
        <f>IF($C150&lt;4,IF($C150=3,T151,IF($C150=2,T$1,"")),Q150&amp;R150&amp;IF(LEN(S150)=0,"",Preferences!$C$2&amp;S150)&amp;IF(J151=J150,IF(LEN(R150&amp;S150)=0,"","
")&amp;T151,""))</f>
        <v xml:space="preserve"> 6. Develop approaches to using the following channels: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0" s="122" t="str">
        <v/>
      </c>
      <c r="V150" s="42"/>
      <c r="W150" s="42"/>
      <c r="X150" s="42"/>
      <c r="Y150" s="42"/>
      <c r="Z150" s="42"/>
      <c r="AA150" s="42"/>
      <c r="AB150" s="42"/>
    </row>
    <row r="151" spans="1:28" x14ac:dyDescent="0.25">
      <c r="A151" s="42" t="str">
        <v>1.5.1.6.1</v>
      </c>
      <c r="B151" s="121" t="str">
        <v>Online shop - Advertisements (public, registered customers)</v>
      </c>
      <c r="C151" s="41">
        <v>5</v>
      </c>
      <c r="D151" s="41" t="str">
        <v>RL</v>
      </c>
      <c r="E151" s="117" t="str">
        <f t="shared" si="0"/>
        <v>RL</v>
      </c>
      <c r="F151" s="41" t="str">
        <v/>
      </c>
      <c r="G151" s="41" t="str">
        <v/>
      </c>
      <c r="H151" s="117">
        <f t="shared" si="1"/>
        <v>0</v>
      </c>
      <c r="I151" s="117">
        <f t="shared" si="2"/>
        <v>5</v>
      </c>
      <c r="J151" s="117">
        <f t="shared" si="3"/>
        <v>5.01</v>
      </c>
      <c r="K151" s="117" t="str">
        <f t="shared" si="4"/>
        <v>BR</v>
      </c>
      <c r="L151" s="42" t="str">
        <v>BR0501</v>
      </c>
      <c r="M151" s="121" t="str">
        <v/>
      </c>
      <c r="N151" s="121" t="str">
        <v/>
      </c>
      <c r="O151" s="121" t="str">
        <v/>
      </c>
      <c r="P151" s="121" t="str">
        <v/>
      </c>
      <c r="Q151" s="121" t="str">
        <v/>
      </c>
      <c r="R151" s="121" t="str">
        <v/>
      </c>
      <c r="S151" s="121" t="str">
        <v>Online shop - Advertisements (public, registered customers)</v>
      </c>
      <c r="T151" s="119" t="str">
        <f>IF($C151&lt;4,IF($C151=3,T152,IF($C151=2,T$1,"")),Q151&amp;R151&amp;IF(LEN(S151)=0,"",Preferences!$C$2&amp;S151)&amp;IF(J152=J151,IF(LEN(R151&amp;S151)=0,"","
")&amp;T152,""))</f>
        <v xml:space="preserve">	• Online shop - Advertisements (public, registered customers)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1" s="122" t="str">
        <v/>
      </c>
      <c r="V151" s="42"/>
      <c r="W151" s="42"/>
      <c r="X151" s="42"/>
      <c r="Y151" s="42"/>
      <c r="Z151" s="42"/>
      <c r="AA151" s="42"/>
      <c r="AB151" s="42"/>
    </row>
    <row r="152" spans="1:28" x14ac:dyDescent="0.25">
      <c r="A152" s="42" t="str">
        <v>1.5.1.6.2</v>
      </c>
      <c r="B152" s="121" t="str">
        <v>Online shop - product and special content recommendations (public, registered customers)</v>
      </c>
      <c r="C152" s="41">
        <v>5</v>
      </c>
      <c r="D152" s="41" t="str">
        <v>RL</v>
      </c>
      <c r="E152" s="117" t="str">
        <f t="shared" si="0"/>
        <v>RL</v>
      </c>
      <c r="F152" s="41" t="str">
        <v/>
      </c>
      <c r="G152" s="41" t="str">
        <v/>
      </c>
      <c r="H152" s="117">
        <f t="shared" si="1"/>
        <v>0</v>
      </c>
      <c r="I152" s="117">
        <f t="shared" si="2"/>
        <v>5</v>
      </c>
      <c r="J152" s="117">
        <f t="shared" si="3"/>
        <v>5.01</v>
      </c>
      <c r="K152" s="117" t="str">
        <f t="shared" si="4"/>
        <v>BR</v>
      </c>
      <c r="L152" s="42" t="str">
        <v>BR0501</v>
      </c>
      <c r="M152" s="121" t="str">
        <v/>
      </c>
      <c r="N152" s="121" t="str">
        <v/>
      </c>
      <c r="O152" s="121" t="str">
        <v/>
      </c>
      <c r="P152" s="121" t="str">
        <v/>
      </c>
      <c r="Q152" s="121" t="str">
        <v/>
      </c>
      <c r="R152" s="121" t="str">
        <v/>
      </c>
      <c r="S152" s="121" t="str">
        <v>Online shop - product and special content recommendations (public, registered customers)</v>
      </c>
      <c r="T152" s="119" t="str">
        <f>IF($C152&lt;4,IF($C152=3,T153,IF($C152=2,T$1,"")),Q152&amp;R152&amp;IF(LEN(S152)=0,"",Preferences!$C$2&amp;S152)&amp;IF(J153=J152,IF(LEN(R152&amp;S152)=0,"","
")&amp;T153,""))</f>
        <v xml:space="preserve">	• Online shop - product and special content recommendations (public, registered customers)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2" s="122" t="str">
        <v/>
      </c>
      <c r="V152" s="42"/>
      <c r="W152" s="42"/>
      <c r="X152" s="42"/>
      <c r="Y152" s="42"/>
      <c r="Z152" s="42"/>
      <c r="AA152" s="42"/>
      <c r="AB152" s="42"/>
    </row>
    <row r="153" spans="1:28" x14ac:dyDescent="0.25">
      <c r="A153" s="42" t="str">
        <v>1.5.1.6.3</v>
      </c>
      <c r="B153" s="121" t="str">
        <v>Service related emails to registered customers (advertising, product and special content promotions)</v>
      </c>
      <c r="C153" s="41">
        <v>5</v>
      </c>
      <c r="D153" s="41" t="str">
        <v>RL</v>
      </c>
      <c r="E153" s="117" t="str">
        <f t="shared" si="0"/>
        <v>RL</v>
      </c>
      <c r="F153" s="41" t="str">
        <v/>
      </c>
      <c r="G153" s="41" t="str">
        <v/>
      </c>
      <c r="H153" s="117">
        <f t="shared" si="1"/>
        <v>0</v>
      </c>
      <c r="I153" s="117">
        <f t="shared" si="2"/>
        <v>5</v>
      </c>
      <c r="J153" s="117">
        <f t="shared" si="3"/>
        <v>5.01</v>
      </c>
      <c r="K153" s="117" t="str">
        <f t="shared" si="4"/>
        <v>BR</v>
      </c>
      <c r="L153" s="42" t="str">
        <v>BR0501</v>
      </c>
      <c r="M153" s="121" t="str">
        <v/>
      </c>
      <c r="N153" s="121" t="str">
        <v/>
      </c>
      <c r="O153" s="121" t="str">
        <v/>
      </c>
      <c r="P153" s="121" t="str">
        <v/>
      </c>
      <c r="Q153" s="121" t="str">
        <v/>
      </c>
      <c r="R153" s="121" t="str">
        <v/>
      </c>
      <c r="S153" s="121" t="str">
        <v>Service related emails to registered customers (advertising, product and special content promotions)</v>
      </c>
      <c r="T153" s="119" t="str">
        <f>IF($C153&lt;4,IF($C153=3,T154,IF($C153=2,T$1,"")),Q153&amp;R153&amp;IF(LEN(S153)=0,"",Preferences!$C$2&amp;S153)&amp;IF(J154=J153,IF(LEN(R153&amp;S153)=0,"","
")&amp;T154,""))</f>
        <v xml:space="preserve">	• Service related emails to registered customers (advertising, product and special content promotions)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3" s="122" t="str">
        <v/>
      </c>
      <c r="V153" s="42"/>
      <c r="W153" s="42"/>
      <c r="X153" s="42"/>
      <c r="Y153" s="42"/>
      <c r="Z153" s="42"/>
      <c r="AA153" s="42"/>
      <c r="AB153" s="42"/>
    </row>
    <row r="154" spans="1:28" x14ac:dyDescent="0.25">
      <c r="A154" s="42" t="str">
        <v>1.5.1.6.4</v>
      </c>
      <c r="B154" s="121" t="str">
        <v>Call centre on-hold messages</v>
      </c>
      <c r="C154" s="41">
        <v>5</v>
      </c>
      <c r="D154" s="41" t="str">
        <v>RL</v>
      </c>
      <c r="E154" s="117" t="str">
        <f t="shared" si="0"/>
        <v>RL</v>
      </c>
      <c r="F154" s="41" t="str">
        <v/>
      </c>
      <c r="G154" s="41" t="str">
        <v/>
      </c>
      <c r="H154" s="117">
        <f t="shared" si="1"/>
        <v>0</v>
      </c>
      <c r="I154" s="117">
        <f t="shared" si="2"/>
        <v>5</v>
      </c>
      <c r="J154" s="117">
        <f t="shared" si="3"/>
        <v>5.01</v>
      </c>
      <c r="K154" s="117" t="str">
        <f t="shared" si="4"/>
        <v>BR</v>
      </c>
      <c r="L154" s="42" t="str">
        <v>BR0501</v>
      </c>
      <c r="M154" s="121" t="str">
        <v/>
      </c>
      <c r="N154" s="121" t="str">
        <v/>
      </c>
      <c r="O154" s="121" t="str">
        <v/>
      </c>
      <c r="P154" s="121" t="str">
        <v/>
      </c>
      <c r="Q154" s="121" t="str">
        <v/>
      </c>
      <c r="R154" s="121" t="str">
        <v/>
      </c>
      <c r="S154" s="121" t="str">
        <v>Call centre on-hold messages</v>
      </c>
      <c r="T154" s="119" t="str">
        <f>IF($C154&lt;4,IF($C154=3,T155,IF($C154=2,T$1,"")),Q154&amp;R154&amp;IF(LEN(S154)=0,"",Preferences!$C$2&amp;S154)&amp;IF(J155=J154,IF(LEN(R154&amp;S154)=0,"","
")&amp;T155,""))</f>
        <v xml:space="preserve">	• Call centre on-hold messages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4" s="122" t="str">
        <v/>
      </c>
      <c r="V154" s="42"/>
      <c r="W154" s="42"/>
      <c r="X154" s="42"/>
      <c r="Y154" s="42"/>
      <c r="Z154" s="42"/>
      <c r="AA154" s="42"/>
      <c r="AB154" s="42"/>
    </row>
    <row r="155" spans="1:28" x14ac:dyDescent="0.25">
      <c r="A155" s="42" t="str">
        <v>1.5.1.6.5</v>
      </c>
      <c r="B155" s="121" t="str">
        <v>Direct advertising messages to registered customers (email/SMS/Push notification)</v>
      </c>
      <c r="C155" s="41">
        <v>5</v>
      </c>
      <c r="D155" s="41" t="str">
        <v>RL</v>
      </c>
      <c r="E155" s="117" t="str">
        <f t="shared" si="0"/>
        <v>RL</v>
      </c>
      <c r="F155" s="41" t="str">
        <v/>
      </c>
      <c r="G155" s="41" t="str">
        <v/>
      </c>
      <c r="H155" s="117">
        <f t="shared" si="1"/>
        <v>0</v>
      </c>
      <c r="I155" s="117">
        <f t="shared" si="2"/>
        <v>5</v>
      </c>
      <c r="J155" s="117">
        <f t="shared" si="3"/>
        <v>5.01</v>
      </c>
      <c r="K155" s="117" t="str">
        <f t="shared" si="4"/>
        <v>BR</v>
      </c>
      <c r="L155" s="42" t="str">
        <v>BR0501</v>
      </c>
      <c r="M155" s="121" t="str">
        <v/>
      </c>
      <c r="N155" s="121" t="str">
        <v/>
      </c>
      <c r="O155" s="121" t="str">
        <v/>
      </c>
      <c r="P155" s="121" t="str">
        <v/>
      </c>
      <c r="Q155" s="121" t="str">
        <v/>
      </c>
      <c r="R155" s="121" t="str">
        <v/>
      </c>
      <c r="S155" s="121" t="str">
        <v>Direct advertising messages to registered customers (email/SMS/Push notification)</v>
      </c>
      <c r="T155" s="119" t="str">
        <f>IF($C155&lt;4,IF($C155=3,T156,IF($C155=2,T$1,"")),Q155&amp;R155&amp;IF(LEN(S155)=0,"",Preferences!$C$2&amp;S155)&amp;IF(J156=J155,IF(LEN(R155&amp;S155)=0,"","
")&amp;T156,""))</f>
        <v xml:space="preserve">	• Direct advertising messages to registered customers (email/SMS/Push notification)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5" s="122" t="str">
        <v/>
      </c>
      <c r="V155" s="42"/>
      <c r="W155" s="42"/>
      <c r="X155" s="42"/>
      <c r="Y155" s="42"/>
      <c r="Z155" s="42"/>
      <c r="AA155" s="42"/>
      <c r="AB155" s="42"/>
    </row>
    <row r="156" spans="1:28" x14ac:dyDescent="0.25">
      <c r="A156" s="42" t="str">
        <v>1.5.1.6.6</v>
      </c>
      <c r="B156" s="121" t="str">
        <v>Direct product and special content recommendation messages to registered customers (email/SMS/Push notification)</v>
      </c>
      <c r="C156" s="41">
        <v>5</v>
      </c>
      <c r="D156" s="41" t="str">
        <v>RL</v>
      </c>
      <c r="E156" s="117" t="str">
        <f t="shared" si="0"/>
        <v>RL</v>
      </c>
      <c r="F156" s="41" t="str">
        <v/>
      </c>
      <c r="G156" s="41" t="str">
        <v/>
      </c>
      <c r="H156" s="117">
        <f t="shared" si="1"/>
        <v>0</v>
      </c>
      <c r="I156" s="117">
        <f t="shared" si="2"/>
        <v>5</v>
      </c>
      <c r="J156" s="117">
        <f t="shared" si="3"/>
        <v>5.01</v>
      </c>
      <c r="K156" s="117" t="str">
        <f t="shared" si="4"/>
        <v>BR</v>
      </c>
      <c r="L156" s="42" t="str">
        <v>BR0501</v>
      </c>
      <c r="M156" s="121" t="str">
        <v/>
      </c>
      <c r="N156" s="121" t="str">
        <v/>
      </c>
      <c r="O156" s="121" t="str">
        <v/>
      </c>
      <c r="P156" s="121" t="str">
        <v/>
      </c>
      <c r="Q156" s="121" t="str">
        <v/>
      </c>
      <c r="R156" s="121" t="str">
        <v/>
      </c>
      <c r="S156" s="121" t="str">
        <v>Direct product and special content recommendation messages to registered customers (email/SMS/Push notification)</v>
      </c>
      <c r="T156" s="119" t="str">
        <f>IF($C156&lt;4,IF($C156=3,T157,IF($C156=2,T$1,"")),Q156&amp;R156&amp;IF(LEN(S156)=0,"",Preferences!$C$2&amp;S156)&amp;IF(J157=J156,IF(LEN(R156&amp;S156)=0,"","
")&amp;T157,""))</f>
        <v xml:space="preserve">	• Direct product and special content recommendation messages to registered customers (email/SMS/Push notification)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6" s="122" t="str">
        <v/>
      </c>
      <c r="V156" s="42"/>
      <c r="W156" s="42"/>
      <c r="X156" s="42"/>
      <c r="Y156" s="42"/>
      <c r="Z156" s="42"/>
      <c r="AA156" s="42"/>
      <c r="AB156" s="42"/>
    </row>
    <row r="157" spans="1:28" x14ac:dyDescent="0.25">
      <c r="A157" s="42" t="str">
        <v>1.5.1.6.7</v>
      </c>
      <c r="B157" s="121" t="str">
        <v>Shoprite and Checkers online platforms</v>
      </c>
      <c r="C157" s="41">
        <v>5</v>
      </c>
      <c r="D157" s="41" t="str">
        <v>RL</v>
      </c>
      <c r="E157" s="117" t="str">
        <f t="shared" si="0"/>
        <v>RL</v>
      </c>
      <c r="F157" s="41" t="str">
        <v/>
      </c>
      <c r="G157" s="41" t="str">
        <v/>
      </c>
      <c r="H157" s="117">
        <f t="shared" si="1"/>
        <v>0</v>
      </c>
      <c r="I157" s="117">
        <f t="shared" si="2"/>
        <v>5</v>
      </c>
      <c r="J157" s="117">
        <f t="shared" si="3"/>
        <v>5.01</v>
      </c>
      <c r="K157" s="117" t="str">
        <f t="shared" si="4"/>
        <v>BR</v>
      </c>
      <c r="L157" s="42" t="str">
        <v>BR0501</v>
      </c>
      <c r="M157" s="121" t="str">
        <v/>
      </c>
      <c r="N157" s="121" t="str">
        <v/>
      </c>
      <c r="O157" s="121" t="str">
        <v/>
      </c>
      <c r="P157" s="121" t="str">
        <v/>
      </c>
      <c r="Q157" s="121" t="str">
        <v/>
      </c>
      <c r="R157" s="121" t="str">
        <v/>
      </c>
      <c r="S157" s="121" t="str">
        <v>Shoprite and Checkers online platforms</v>
      </c>
      <c r="T157" s="119" t="str">
        <f>IF($C157&lt;4,IF($C157=3,T158,IF($C157=2,T$1,"")),Q157&amp;R157&amp;IF(LEN(S157)=0,"",Preferences!$C$2&amp;S157)&amp;IF(J158=J157,IF(LEN(R157&amp;S157)=0,"","
")&amp;T158,""))</f>
        <v xml:space="preserve">	• Shoprite and Checkers online platforms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7" s="122" t="str">
        <v/>
      </c>
      <c r="V157" s="42"/>
      <c r="W157" s="42"/>
      <c r="X157" s="42"/>
      <c r="Y157" s="42"/>
      <c r="Z157" s="42"/>
      <c r="AA157" s="42"/>
      <c r="AB157" s="42"/>
    </row>
    <row r="158" spans="1:28" x14ac:dyDescent="0.25">
      <c r="A158" s="42" t="str">
        <v>1.5.1.6.8</v>
      </c>
      <c r="B158" s="121" t="str">
        <v>Shoprite Rainmaker</v>
      </c>
      <c r="C158" s="41">
        <v>5</v>
      </c>
      <c r="D158" s="41" t="str">
        <v>RL</v>
      </c>
      <c r="E158" s="117" t="str">
        <f t="shared" si="0"/>
        <v>RL</v>
      </c>
      <c r="F158" s="41" t="str">
        <v/>
      </c>
      <c r="G158" s="41" t="str">
        <v/>
      </c>
      <c r="H158" s="117">
        <f t="shared" si="1"/>
        <v>0</v>
      </c>
      <c r="I158" s="117">
        <f t="shared" si="2"/>
        <v>5</v>
      </c>
      <c r="J158" s="117">
        <f t="shared" si="3"/>
        <v>5.01</v>
      </c>
      <c r="K158" s="117" t="str">
        <f t="shared" si="4"/>
        <v>BR</v>
      </c>
      <c r="L158" s="42" t="str">
        <v>BR0501</v>
      </c>
      <c r="M158" s="121" t="str">
        <v/>
      </c>
      <c r="N158" s="121" t="str">
        <v/>
      </c>
      <c r="O158" s="121" t="str">
        <v/>
      </c>
      <c r="P158" s="121" t="str">
        <v/>
      </c>
      <c r="Q158" s="121" t="str">
        <v/>
      </c>
      <c r="R158" s="121" t="str">
        <v/>
      </c>
      <c r="S158" s="121" t="str">
        <v>Shoprite Rainmaker</v>
      </c>
      <c r="T158" s="119" t="str">
        <f>IF($C158&lt;4,IF($C158=3,T159,IF($C158=2,T$1,"")),Q158&amp;R158&amp;IF(LEN(S158)=0,"",Preferences!$C$2&amp;S158)&amp;IF(J159=J158,IF(LEN(R158&amp;S158)=0,"","
")&amp;T159,""))</f>
        <v xml:space="preserve">	• Shoprite Rainmaker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8" s="122" t="str">
        <v/>
      </c>
      <c r="V158" s="42"/>
      <c r="W158" s="42"/>
      <c r="X158" s="42"/>
      <c r="Y158" s="42"/>
      <c r="Z158" s="42"/>
      <c r="AA158" s="42"/>
      <c r="AB158" s="42"/>
    </row>
    <row r="159" spans="1:28" x14ac:dyDescent="0.25">
      <c r="A159" s="42" t="str">
        <v>1.5.1.6.9</v>
      </c>
      <c r="B159" s="121" t="str">
        <v>Social media - B2C Co identity and business messages</v>
      </c>
      <c r="C159" s="41">
        <v>5</v>
      </c>
      <c r="D159" s="41" t="str">
        <v>RL</v>
      </c>
      <c r="E159" s="117" t="str">
        <f t="shared" si="0"/>
        <v>RL</v>
      </c>
      <c r="F159" s="41" t="str">
        <v/>
      </c>
      <c r="G159" s="41" t="str">
        <v/>
      </c>
      <c r="H159" s="117">
        <f t="shared" si="1"/>
        <v>0</v>
      </c>
      <c r="I159" s="117">
        <f t="shared" si="2"/>
        <v>5</v>
      </c>
      <c r="J159" s="117">
        <f t="shared" si="3"/>
        <v>5.01</v>
      </c>
      <c r="K159" s="117" t="str">
        <f t="shared" si="4"/>
        <v>BR</v>
      </c>
      <c r="L159" s="42" t="str">
        <v>BR0501</v>
      </c>
      <c r="M159" s="121" t="str">
        <v/>
      </c>
      <c r="N159" s="121" t="str">
        <v/>
      </c>
      <c r="O159" s="121" t="str">
        <v/>
      </c>
      <c r="P159" s="121" t="str">
        <v/>
      </c>
      <c r="Q159" s="121" t="str">
        <v/>
      </c>
      <c r="R159" s="121" t="str">
        <v/>
      </c>
      <c r="S159" s="121" t="str">
        <v>Social media - B2C Co identity and business messages</v>
      </c>
      <c r="T159" s="119" t="str">
        <f>IF($C159&lt;4,IF($C159=3,T160,IF($C159=2,T$1,"")),Q159&amp;R159&amp;IF(LEN(S159)=0,"",Preferences!$C$2&amp;S159)&amp;IF(J160=J159,IF(LEN(R159&amp;S159)=0,"","
")&amp;T160,""))</f>
        <v xml:space="preserve">	• Social media - B2C Co identity and business messages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59" s="122" t="str">
        <v/>
      </c>
      <c r="V159" s="42"/>
      <c r="W159" s="42"/>
      <c r="X159" s="42"/>
      <c r="Y159" s="42"/>
      <c r="Z159" s="42"/>
      <c r="AA159" s="42"/>
      <c r="AB159" s="42"/>
    </row>
    <row r="160" spans="1:28" x14ac:dyDescent="0.25">
      <c r="A160" s="42" t="str">
        <v>1.5.1.6.10</v>
      </c>
      <c r="B160" s="121" t="str">
        <v>Social media - Influencers</v>
      </c>
      <c r="C160" s="41">
        <v>5</v>
      </c>
      <c r="D160" s="41" t="str">
        <v>RL</v>
      </c>
      <c r="E160" s="117" t="str">
        <f t="shared" si="0"/>
        <v>RL</v>
      </c>
      <c r="F160" s="41" t="str">
        <v/>
      </c>
      <c r="G160" s="41" t="str">
        <v/>
      </c>
      <c r="H160" s="117">
        <f t="shared" si="1"/>
        <v>0</v>
      </c>
      <c r="I160" s="117">
        <f t="shared" si="2"/>
        <v>5</v>
      </c>
      <c r="J160" s="117">
        <f t="shared" si="3"/>
        <v>5.01</v>
      </c>
      <c r="K160" s="117" t="str">
        <f t="shared" si="4"/>
        <v>BR</v>
      </c>
      <c r="L160" s="42" t="str">
        <v>BR0501</v>
      </c>
      <c r="M160" s="121" t="str">
        <v/>
      </c>
      <c r="N160" s="121" t="str">
        <v/>
      </c>
      <c r="O160" s="121" t="str">
        <v/>
      </c>
      <c r="P160" s="121" t="str">
        <v/>
      </c>
      <c r="Q160" s="121" t="str">
        <v/>
      </c>
      <c r="R160" s="121" t="str">
        <v/>
      </c>
      <c r="S160" s="121" t="str">
        <v>Social media - Influencers</v>
      </c>
      <c r="T160" s="119" t="str">
        <f>IF($C160&lt;4,IF($C160=3,T161,IF($C160=2,T$1,"")),Q160&amp;R160&amp;IF(LEN(S160)=0,"",Preferences!$C$2&amp;S160)&amp;IF(J161=J160,IF(LEN(R160&amp;S160)=0,"","
")&amp;T161,""))</f>
        <v xml:space="preserve">	• Social media - Influencers
	• Online Advertorials
	• Search engine advertising and SEO
	• Non-search engine online paid advertising
	• Traditional advertising channels (TV, radio, print)
	• Online videos (later)
	• Online shop recommendation and linking from other sites (e.g. online review sites)</v>
      </c>
      <c r="U160" s="122" t="str">
        <v/>
      </c>
      <c r="V160" s="42"/>
      <c r="W160" s="42"/>
      <c r="X160" s="42"/>
      <c r="Y160" s="42"/>
      <c r="Z160" s="42"/>
      <c r="AA160" s="42"/>
      <c r="AB160" s="42"/>
    </row>
    <row r="161" spans="1:28" x14ac:dyDescent="0.25">
      <c r="A161" s="42" t="str">
        <v>1.5.1.6.11</v>
      </c>
      <c r="B161" s="121" t="str">
        <v>Online Advertorials</v>
      </c>
      <c r="C161" s="41">
        <v>5</v>
      </c>
      <c r="D161" s="41" t="str">
        <v>RL</v>
      </c>
      <c r="E161" s="117" t="str">
        <f t="shared" si="0"/>
        <v>RL</v>
      </c>
      <c r="F161" s="41" t="str">
        <v/>
      </c>
      <c r="G161" s="41" t="str">
        <v/>
      </c>
      <c r="H161" s="117">
        <f t="shared" si="1"/>
        <v>0</v>
      </c>
      <c r="I161" s="117">
        <f t="shared" si="2"/>
        <v>5</v>
      </c>
      <c r="J161" s="117">
        <f t="shared" si="3"/>
        <v>5.01</v>
      </c>
      <c r="K161" s="117" t="str">
        <f t="shared" si="4"/>
        <v>BR</v>
      </c>
      <c r="L161" s="42" t="str">
        <v>BR0501</v>
      </c>
      <c r="M161" s="121" t="str">
        <v/>
      </c>
      <c r="N161" s="121" t="str">
        <v/>
      </c>
      <c r="O161" s="121" t="str">
        <v/>
      </c>
      <c r="P161" s="121" t="str">
        <v/>
      </c>
      <c r="Q161" s="121" t="str">
        <v/>
      </c>
      <c r="R161" s="121" t="str">
        <v/>
      </c>
      <c r="S161" s="121" t="str">
        <v>Online Advertorials</v>
      </c>
      <c r="T161" s="119" t="str">
        <f>IF($C161&lt;4,IF($C161=3,T162,IF($C161=2,T$1,"")),Q161&amp;R161&amp;IF(LEN(S161)=0,"",Preferences!$C$2&amp;S161)&amp;IF(J162=J161,IF(LEN(R161&amp;S161)=0,"","
")&amp;T162,""))</f>
        <v xml:space="preserve">	• Online Advertorials
	• Search engine advertising and SEO
	• Non-search engine online paid advertising
	• Traditional advertising channels (TV, radio, print)
	• Online videos (later)
	• Online shop recommendation and linking from other sites (e.g. online review sites)</v>
      </c>
      <c r="U161" s="122" t="str">
        <v/>
      </c>
      <c r="V161" s="42"/>
      <c r="W161" s="42"/>
      <c r="X161" s="42"/>
      <c r="Y161" s="42"/>
      <c r="Z161" s="42"/>
      <c r="AA161" s="42"/>
      <c r="AB161" s="42"/>
    </row>
    <row r="162" spans="1:28" x14ac:dyDescent="0.25">
      <c r="A162" s="42" t="str">
        <v>1.5.1.6.12</v>
      </c>
      <c r="B162" s="121" t="str">
        <v>Search engine advertising and SEO</v>
      </c>
      <c r="C162" s="41">
        <v>5</v>
      </c>
      <c r="D162" s="41" t="str">
        <v>RL</v>
      </c>
      <c r="E162" s="117" t="str">
        <f t="shared" si="0"/>
        <v>RL</v>
      </c>
      <c r="F162" s="41" t="str">
        <v/>
      </c>
      <c r="G162" s="41" t="str">
        <v/>
      </c>
      <c r="H162" s="117">
        <f t="shared" si="1"/>
        <v>0</v>
      </c>
      <c r="I162" s="117">
        <f t="shared" si="2"/>
        <v>5</v>
      </c>
      <c r="J162" s="117">
        <f t="shared" si="3"/>
        <v>5.01</v>
      </c>
      <c r="K162" s="117" t="str">
        <f t="shared" si="4"/>
        <v>BR</v>
      </c>
      <c r="L162" s="42" t="str">
        <v>BR0501</v>
      </c>
      <c r="M162" s="121" t="str">
        <v/>
      </c>
      <c r="N162" s="121" t="str">
        <v/>
      </c>
      <c r="O162" s="121" t="str">
        <v/>
      </c>
      <c r="P162" s="121" t="str">
        <v/>
      </c>
      <c r="Q162" s="121" t="str">
        <v/>
      </c>
      <c r="R162" s="121" t="str">
        <v/>
      </c>
      <c r="S162" s="121" t="str">
        <v>Search engine advertising and SEO</v>
      </c>
      <c r="T162" s="119" t="str">
        <f>IF($C162&lt;4,IF($C162=3,T163,IF($C162=2,T$1,"")),Q162&amp;R162&amp;IF(LEN(S162)=0,"",Preferences!$C$2&amp;S162)&amp;IF(J163=J162,IF(LEN(R162&amp;S162)=0,"","
")&amp;T163,""))</f>
        <v xml:space="preserve">	• Search engine advertising and SEO
	• Non-search engine online paid advertising
	• Traditional advertising channels (TV, radio, print)
	• Online videos (later)
	• Online shop recommendation and linking from other sites (e.g. online review sites)</v>
      </c>
      <c r="U162" s="122" t="str">
        <v/>
      </c>
      <c r="V162" s="42"/>
      <c r="W162" s="42"/>
      <c r="X162" s="42"/>
      <c r="Y162" s="42"/>
      <c r="Z162" s="42"/>
      <c r="AA162" s="42"/>
      <c r="AB162" s="42"/>
    </row>
    <row r="163" spans="1:28" x14ac:dyDescent="0.25">
      <c r="A163" s="42" t="str">
        <v>1.5.1.6.13</v>
      </c>
      <c r="B163" s="121" t="str">
        <v>Non-search engine online paid advertising</v>
      </c>
      <c r="C163" s="41">
        <v>5</v>
      </c>
      <c r="D163" s="41" t="str">
        <v>RL</v>
      </c>
      <c r="E163" s="117" t="str">
        <f t="shared" si="0"/>
        <v>RL</v>
      </c>
      <c r="F163" s="41" t="str">
        <v/>
      </c>
      <c r="G163" s="41" t="str">
        <v/>
      </c>
      <c r="H163" s="117">
        <f t="shared" si="1"/>
        <v>0</v>
      </c>
      <c r="I163" s="117">
        <f t="shared" si="2"/>
        <v>5</v>
      </c>
      <c r="J163" s="117">
        <f t="shared" si="3"/>
        <v>5.01</v>
      </c>
      <c r="K163" s="117" t="str">
        <f t="shared" si="4"/>
        <v>BR</v>
      </c>
      <c r="L163" s="42" t="str">
        <v>BR0501</v>
      </c>
      <c r="M163" s="121" t="str">
        <v/>
      </c>
      <c r="N163" s="121" t="str">
        <v/>
      </c>
      <c r="O163" s="121" t="str">
        <v/>
      </c>
      <c r="P163" s="121" t="str">
        <v/>
      </c>
      <c r="Q163" s="121" t="str">
        <v/>
      </c>
      <c r="R163" s="121" t="str">
        <v/>
      </c>
      <c r="S163" s="121" t="str">
        <v>Non-search engine online paid advertising</v>
      </c>
      <c r="T163" s="119" t="str">
        <f>IF($C163&lt;4,IF($C163=3,T164,IF($C163=2,T$1,"")),Q163&amp;R163&amp;IF(LEN(S163)=0,"",Preferences!$C$2&amp;S163)&amp;IF(J164=J163,IF(LEN(R163&amp;S163)=0,"","
")&amp;T164,""))</f>
        <v xml:space="preserve">	• Non-search engine online paid advertising
	• Traditional advertising channels (TV, radio, print)
	• Online videos (later)
	• Online shop recommendation and linking from other sites (e.g. online review sites)</v>
      </c>
      <c r="U163" s="122" t="str">
        <v/>
      </c>
      <c r="V163" s="42"/>
      <c r="W163" s="42"/>
      <c r="X163" s="42"/>
      <c r="Y163" s="42"/>
      <c r="Z163" s="42"/>
      <c r="AA163" s="42"/>
      <c r="AB163" s="42"/>
    </row>
    <row r="164" spans="1:28" x14ac:dyDescent="0.25">
      <c r="A164" s="42" t="str">
        <v>1.5.1.6.14</v>
      </c>
      <c r="B164" s="121" t="str">
        <v>Traditional advertising channels (TV, radio, print)</v>
      </c>
      <c r="C164" s="41">
        <v>5</v>
      </c>
      <c r="D164" s="41" t="str">
        <v>RL</v>
      </c>
      <c r="E164" s="117" t="str">
        <f t="shared" si="0"/>
        <v>RL</v>
      </c>
      <c r="F164" s="41" t="str">
        <v/>
      </c>
      <c r="G164" s="41" t="str">
        <v/>
      </c>
      <c r="H164" s="117">
        <f t="shared" si="1"/>
        <v>0</v>
      </c>
      <c r="I164" s="117">
        <f t="shared" si="2"/>
        <v>5</v>
      </c>
      <c r="J164" s="117">
        <f t="shared" si="3"/>
        <v>5.01</v>
      </c>
      <c r="K164" s="117" t="str">
        <f t="shared" si="4"/>
        <v>BR</v>
      </c>
      <c r="L164" s="42" t="str">
        <v>BR0501</v>
      </c>
      <c r="M164" s="121" t="str">
        <v/>
      </c>
      <c r="N164" s="121" t="str">
        <v/>
      </c>
      <c r="O164" s="121" t="str">
        <v/>
      </c>
      <c r="P164" s="121" t="str">
        <v/>
      </c>
      <c r="Q164" s="121" t="str">
        <v/>
      </c>
      <c r="R164" s="121" t="str">
        <v/>
      </c>
      <c r="S164" s="121" t="str">
        <v>Traditional advertising channels (TV, radio, print)</v>
      </c>
      <c r="T164" s="119" t="str">
        <f>IF($C164&lt;4,IF($C164=3,T165,IF($C164=2,T$1,"")),Q164&amp;R164&amp;IF(LEN(S164)=0,"",Preferences!$C$2&amp;S164)&amp;IF(J165=J164,IF(LEN(R164&amp;S164)=0,"","
")&amp;T165,""))</f>
        <v xml:space="preserve">	• Traditional advertising channels (TV, radio, print)
	• Online videos (later)
	• Online shop recommendation and linking from other sites (e.g. online review sites)</v>
      </c>
      <c r="U164" s="122" t="str">
        <v/>
      </c>
      <c r="V164" s="42"/>
      <c r="W164" s="42"/>
      <c r="X164" s="42"/>
      <c r="Y164" s="42"/>
      <c r="Z164" s="42"/>
      <c r="AA164" s="42"/>
      <c r="AB164" s="42"/>
    </row>
    <row r="165" spans="1:28" x14ac:dyDescent="0.25">
      <c r="A165" s="42" t="str">
        <v>1.5.1.6.15</v>
      </c>
      <c r="B165" s="121" t="str">
        <v>Online videos (later)</v>
      </c>
      <c r="C165" s="41">
        <v>5</v>
      </c>
      <c r="D165" s="41" t="str">
        <v>RL</v>
      </c>
      <c r="E165" s="117" t="str">
        <f t="shared" si="0"/>
        <v>RL</v>
      </c>
      <c r="F165" s="41" t="str">
        <v/>
      </c>
      <c r="G165" s="41" t="str">
        <v/>
      </c>
      <c r="H165" s="117">
        <f t="shared" si="1"/>
        <v>0</v>
      </c>
      <c r="I165" s="117">
        <f t="shared" si="2"/>
        <v>5</v>
      </c>
      <c r="J165" s="117">
        <f t="shared" si="3"/>
        <v>5.01</v>
      </c>
      <c r="K165" s="117" t="str">
        <f t="shared" si="4"/>
        <v>BR</v>
      </c>
      <c r="L165" s="42" t="str">
        <v>BR0501</v>
      </c>
      <c r="M165" s="121" t="str">
        <v/>
      </c>
      <c r="N165" s="121" t="str">
        <v/>
      </c>
      <c r="O165" s="121" t="str">
        <v/>
      </c>
      <c r="P165" s="121" t="str">
        <v/>
      </c>
      <c r="Q165" s="121" t="str">
        <v/>
      </c>
      <c r="R165" s="121" t="str">
        <v/>
      </c>
      <c r="S165" s="121" t="str">
        <v>Online videos (later)</v>
      </c>
      <c r="T165" s="119" t="str">
        <f>IF($C165&lt;4,IF($C165=3,T166,IF($C165=2,T$1,"")),Q165&amp;R165&amp;IF(LEN(S165)=0,"",Preferences!$C$2&amp;S165)&amp;IF(J166=J165,IF(LEN(R165&amp;S165)=0,"","
")&amp;T166,""))</f>
        <v xml:space="preserve">	• Online videos (later)
	• Online shop recommendation and linking from other sites (e.g. online review sites)</v>
      </c>
      <c r="U165" s="122" t="str">
        <v/>
      </c>
      <c r="V165" s="42"/>
      <c r="W165" s="42"/>
      <c r="X165" s="42"/>
      <c r="Y165" s="42"/>
      <c r="Z165" s="42"/>
      <c r="AA165" s="42"/>
      <c r="AB165" s="42"/>
    </row>
    <row r="166" spans="1:28" x14ac:dyDescent="0.25">
      <c r="A166" s="42" t="str">
        <v>1.5.1.6.16</v>
      </c>
      <c r="B166" s="121" t="str">
        <v>Online shop recommendation and linking from other sites (e.g. online review sites)</v>
      </c>
      <c r="C166" s="41">
        <v>5</v>
      </c>
      <c r="D166" s="41" t="str">
        <v>RL</v>
      </c>
      <c r="E166" s="117" t="str">
        <f t="shared" si="0"/>
        <v>RL</v>
      </c>
      <c r="F166" s="41" t="str">
        <v/>
      </c>
      <c r="G166" s="41" t="str">
        <v/>
      </c>
      <c r="H166" s="117">
        <f t="shared" si="1"/>
        <v>0</v>
      </c>
      <c r="I166" s="117">
        <f t="shared" si="2"/>
        <v>5</v>
      </c>
      <c r="J166" s="117">
        <f t="shared" si="3"/>
        <v>5.01</v>
      </c>
      <c r="K166" s="117" t="str">
        <f t="shared" si="4"/>
        <v>BR</v>
      </c>
      <c r="L166" s="42" t="str">
        <v>BR0501</v>
      </c>
      <c r="M166" s="121" t="str">
        <v/>
      </c>
      <c r="N166" s="121" t="str">
        <v/>
      </c>
      <c r="O166" s="121" t="str">
        <v/>
      </c>
      <c r="P166" s="121" t="str">
        <v/>
      </c>
      <c r="Q166" s="121" t="str">
        <v/>
      </c>
      <c r="R166" s="121" t="str">
        <v/>
      </c>
      <c r="S166" s="121" t="str">
        <v>Online shop recommendation and linking from other sites (e.g. online review sites)</v>
      </c>
      <c r="T166" s="119" t="str">
        <f>IF($C166&lt;4,IF($C166=3,T167,IF($C166=2,T$1,"")),Q166&amp;R166&amp;IF(LEN(S166)=0,"",Preferences!$C$2&amp;S166)&amp;IF(J167=J166,IF(LEN(R166&amp;S166)=0,"","
")&amp;T167,""))</f>
        <v xml:space="preserve">	• Online shop recommendation and linking from other sites (e.g. online review sites)</v>
      </c>
      <c r="U166" s="122" t="str">
        <v/>
      </c>
      <c r="V166" s="42"/>
      <c r="W166" s="42"/>
      <c r="X166" s="42"/>
      <c r="Y166" s="42"/>
      <c r="Z166" s="42"/>
      <c r="AA166" s="42"/>
      <c r="AB166" s="42"/>
    </row>
    <row r="167" spans="1:28" x14ac:dyDescent="0.25">
      <c r="A167" s="42" t="str">
        <v>1.5.2</v>
      </c>
      <c r="B167" s="121" t="str">
        <v>5.2 Manage B2C Co marketing campaigns</v>
      </c>
      <c r="C167" s="41">
        <v>3</v>
      </c>
      <c r="D167" s="41" t="str">
        <v>R</v>
      </c>
      <c r="E167" s="117" t="str">
        <f t="shared" si="0"/>
        <v>R</v>
      </c>
      <c r="F167" s="41" t="str">
        <v/>
      </c>
      <c r="G167" s="41" t="str">
        <v/>
      </c>
      <c r="H167" s="117">
        <f t="shared" si="1"/>
        <v>0</v>
      </c>
      <c r="I167" s="117">
        <f t="shared" si="2"/>
        <v>5</v>
      </c>
      <c r="J167" s="117">
        <f t="shared" si="3"/>
        <v>5.0199999999999996</v>
      </c>
      <c r="K167" s="117" t="str">
        <f t="shared" si="4"/>
        <v>BR</v>
      </c>
      <c r="L167" s="42" t="str">
        <v>BR0502</v>
      </c>
      <c r="M167" s="121" t="str">
        <v/>
      </c>
      <c r="N167" s="121" t="str">
        <v/>
      </c>
      <c r="O167" s="121" t="str">
        <v>BR0502</v>
      </c>
      <c r="P167" s="121" t="str">
        <v>Manage B2C Co marketing campaigns</v>
      </c>
      <c r="Q167" s="121" t="str">
        <v/>
      </c>
      <c r="R167" s="121" t="str">
        <v/>
      </c>
      <c r="S167" s="121" t="str">
        <v/>
      </c>
      <c r="T167" s="119" t="str">
        <f>IF($C167&lt;4,IF($C167=3,T168,IF($C167=2,T$1,"")),Q167&amp;R167&amp;IF(LEN(S167)=0,"",Preferences!$C$2&amp;S167)&amp;IF(J168=J167,IF(LEN(R167&amp;S167)=0,"","
")&amp;T168,""))</f>
        <v xml:space="preserve"> 1. Manage campaigns across the online shop and other channels.
 2. Track and consolidate marketing campaign statistics across advertisements and channels.</v>
      </c>
      <c r="U167" s="122" t="str">
        <v/>
      </c>
      <c r="V167" s="42"/>
      <c r="W167" s="42"/>
      <c r="X167" s="42"/>
      <c r="Y167" s="42"/>
      <c r="Z167" s="42"/>
      <c r="AA167" s="42"/>
      <c r="AB167" s="42"/>
    </row>
    <row r="168" spans="1:28" x14ac:dyDescent="0.25">
      <c r="A168" s="42" t="str">
        <v>1.5.2.1</v>
      </c>
      <c r="B168" s="121" t="str">
        <v>Manage campaigns across the online shop and other channels.</v>
      </c>
      <c r="C168" s="41">
        <v>4</v>
      </c>
      <c r="D168" s="41" t="str">
        <v>RD</v>
      </c>
      <c r="E168" s="117" t="str">
        <f t="shared" si="0"/>
        <v>RD</v>
      </c>
      <c r="F168" s="41" t="str">
        <v/>
      </c>
      <c r="G168" s="41" t="str">
        <v/>
      </c>
      <c r="H168" s="117">
        <f t="shared" si="1"/>
        <v>0</v>
      </c>
      <c r="I168" s="117">
        <f t="shared" si="2"/>
        <v>5</v>
      </c>
      <c r="J168" s="117">
        <f t="shared" si="3"/>
        <v>5.0199999999999996</v>
      </c>
      <c r="K168" s="117" t="str">
        <f t="shared" si="4"/>
        <v>BR</v>
      </c>
      <c r="L168" s="42" t="str">
        <v>BR0502</v>
      </c>
      <c r="M168" s="121" t="str">
        <v/>
      </c>
      <c r="N168" s="121" t="str">
        <v/>
      </c>
      <c r="O168" s="121" t="str">
        <v/>
      </c>
      <c r="P168" s="121" t="str">
        <v/>
      </c>
      <c r="Q168" s="121" t="str">
        <v xml:space="preserve"> 1. </v>
      </c>
      <c r="R168" s="121" t="str">
        <v>Manage campaigns across the online shop and other channels.</v>
      </c>
      <c r="S168" s="121" t="str">
        <v/>
      </c>
      <c r="T168" s="119" t="str">
        <f>IF($C168&lt;4,IF($C168=3,T169,IF($C168=2,T$1,"")),Q168&amp;R168&amp;IF(LEN(S168)=0,"",Preferences!$C$2&amp;S168)&amp;IF(J169=J168,IF(LEN(R168&amp;S168)=0,"","
")&amp;T169,""))</f>
        <v xml:space="preserve"> 1. Manage campaigns across the online shop and other channels.
 2. Track and consolidate marketing campaign statistics across advertisements and channels.</v>
      </c>
      <c r="U168" s="122" t="str">
        <v/>
      </c>
      <c r="V168" s="42"/>
      <c r="W168" s="42"/>
      <c r="X168" s="42"/>
      <c r="Y168" s="42"/>
      <c r="Z168" s="42"/>
      <c r="AA168" s="42"/>
      <c r="AB168" s="42"/>
    </row>
    <row r="169" spans="1:28" x14ac:dyDescent="0.25">
      <c r="A169" s="42" t="str">
        <v>1.5.2.2</v>
      </c>
      <c r="B169" s="121" t="str">
        <v>Track and consolidate marketing campaign statistics across advertisements and channels.</v>
      </c>
      <c r="C169" s="41">
        <v>4</v>
      </c>
      <c r="D169" s="41" t="str">
        <v>RD</v>
      </c>
      <c r="E169" s="117" t="str">
        <f t="shared" si="0"/>
        <v>RD</v>
      </c>
      <c r="F169" s="41" t="str">
        <v/>
      </c>
      <c r="G169" s="41" t="str">
        <v/>
      </c>
      <c r="H169" s="117">
        <f t="shared" si="1"/>
        <v>0</v>
      </c>
      <c r="I169" s="117">
        <f t="shared" si="2"/>
        <v>5</v>
      </c>
      <c r="J169" s="117">
        <f t="shared" si="3"/>
        <v>5.0199999999999996</v>
      </c>
      <c r="K169" s="117" t="str">
        <f t="shared" si="4"/>
        <v>BR</v>
      </c>
      <c r="L169" s="42" t="str">
        <v>BR0502</v>
      </c>
      <c r="M169" s="121" t="str">
        <v/>
      </c>
      <c r="N169" s="121" t="str">
        <v/>
      </c>
      <c r="O169" s="121" t="str">
        <v/>
      </c>
      <c r="P169" s="121" t="str">
        <v/>
      </c>
      <c r="Q169" s="121" t="str">
        <v xml:space="preserve"> 2. </v>
      </c>
      <c r="R169" s="121" t="str">
        <v>Track and consolidate marketing campaign statistics across advertisements and channels.</v>
      </c>
      <c r="S169" s="121" t="str">
        <v/>
      </c>
      <c r="T169" s="119" t="str">
        <f>IF($C169&lt;4,IF($C169=3,T170,IF($C169=2,T$1,"")),Q169&amp;R169&amp;IF(LEN(S169)=0,"",Preferences!$C$2&amp;S169)&amp;IF(J170=J169,IF(LEN(R169&amp;S169)=0,"","
")&amp;T170,""))</f>
        <v xml:space="preserve"> 2. Track and consolidate marketing campaign statistics across advertisements and channels.</v>
      </c>
      <c r="U169" s="122" t="str">
        <v/>
      </c>
      <c r="V169" s="42"/>
      <c r="W169" s="42"/>
      <c r="X169" s="42"/>
      <c r="Y169" s="42"/>
      <c r="Z169" s="42"/>
      <c r="AA169" s="42"/>
      <c r="AB169" s="42"/>
    </row>
    <row r="170" spans="1:28" x14ac:dyDescent="0.25">
      <c r="A170" s="42" t="str">
        <v>1.5.3</v>
      </c>
      <c r="B170" s="121" t="str">
        <v>5.3 Manage B2C Co marketing assets</v>
      </c>
      <c r="C170" s="41">
        <v>3</v>
      </c>
      <c r="D170" s="41" t="str">
        <v>R</v>
      </c>
      <c r="E170" s="117" t="str">
        <f t="shared" si="0"/>
        <v>R</v>
      </c>
      <c r="F170" s="41" t="str">
        <v/>
      </c>
      <c r="G170" s="41" t="str">
        <v/>
      </c>
      <c r="H170" s="117">
        <f t="shared" si="1"/>
        <v>0</v>
      </c>
      <c r="I170" s="117">
        <f t="shared" si="2"/>
        <v>5</v>
      </c>
      <c r="J170" s="117">
        <f t="shared" si="3"/>
        <v>5.0299999999999994</v>
      </c>
      <c r="K170" s="117" t="str">
        <f t="shared" si="4"/>
        <v>BR</v>
      </c>
      <c r="L170" s="42" t="str">
        <v>BR0503</v>
      </c>
      <c r="M170" s="121" t="str">
        <v/>
      </c>
      <c r="N170" s="121" t="str">
        <v/>
      </c>
      <c r="O170" s="121" t="str">
        <v>BR0503</v>
      </c>
      <c r="P170" s="121" t="str">
        <v>Manage B2C Co marketing assets</v>
      </c>
      <c r="Q170" s="121" t="str">
        <v/>
      </c>
      <c r="R170" s="121" t="str">
        <v/>
      </c>
      <c r="S170" s="121" t="str">
        <v/>
      </c>
      <c r="T170" s="119" t="str">
        <f>IF($C170&lt;4,IF($C170=3,T171,IF($C170=2,T$1,"")),Q170&amp;R170&amp;IF(LEN(S170)=0,"",Preferences!$C$2&amp;S170)&amp;IF(J171=J170,IF(LEN(R170&amp;S170)=0,"","
")&amp;T171,""))</f>
        <v xml:space="preserve"> 1. Maintain a library of brand, product, service and other images for use in the online shop, advertisements and special content.</v>
      </c>
      <c r="U170" s="122" t="str">
        <v/>
      </c>
      <c r="V170" s="42"/>
      <c r="W170" s="42"/>
      <c r="X170" s="42"/>
      <c r="Y170" s="42"/>
      <c r="Z170" s="42"/>
      <c r="AA170" s="42"/>
      <c r="AB170" s="42"/>
    </row>
    <row r="171" spans="1:28" x14ac:dyDescent="0.25">
      <c r="A171" s="42" t="str">
        <v>1.5.3.1</v>
      </c>
      <c r="B171" s="121" t="str">
        <v>Maintain a library of brand, product, service and other images for use in the online shop, advertisements and special content.</v>
      </c>
      <c r="C171" s="41">
        <v>4</v>
      </c>
      <c r="D171" s="41" t="str">
        <v>RD</v>
      </c>
      <c r="E171" s="117" t="str">
        <f t="shared" si="0"/>
        <v>RD</v>
      </c>
      <c r="F171" s="41" t="str">
        <v/>
      </c>
      <c r="G171" s="41" t="str">
        <v/>
      </c>
      <c r="H171" s="117">
        <f t="shared" si="1"/>
        <v>0</v>
      </c>
      <c r="I171" s="117">
        <f t="shared" si="2"/>
        <v>5</v>
      </c>
      <c r="J171" s="117">
        <f t="shared" si="3"/>
        <v>5.0299999999999994</v>
      </c>
      <c r="K171" s="117" t="str">
        <f t="shared" si="4"/>
        <v>BR</v>
      </c>
      <c r="L171" s="42" t="str">
        <v>BR0503</v>
      </c>
      <c r="M171" s="121" t="str">
        <v/>
      </c>
      <c r="N171" s="121" t="str">
        <v/>
      </c>
      <c r="O171" s="121" t="str">
        <v/>
      </c>
      <c r="P171" s="121" t="str">
        <v/>
      </c>
      <c r="Q171" s="121" t="str">
        <v xml:space="preserve"> 1. </v>
      </c>
      <c r="R171" s="121" t="str">
        <v>Maintain a library of brand, product, service and other images for use in the online shop, advertisements and special content.</v>
      </c>
      <c r="S171" s="121" t="str">
        <v/>
      </c>
      <c r="T171" s="119" t="str">
        <f>IF($C171&lt;4,IF($C171=3,T172,IF($C171=2,T$1,"")),Q171&amp;R171&amp;IF(LEN(S171)=0,"",Preferences!$C$2&amp;S171)&amp;IF(J172=J171,IF(LEN(R171&amp;S171)=0,"","
")&amp;T172,""))</f>
        <v xml:space="preserve"> 1. Maintain a library of brand, product, service and other images for use in the online shop, advertisements and special content.</v>
      </c>
      <c r="U171" s="122" t="str">
        <v/>
      </c>
      <c r="V171" s="42"/>
      <c r="W171" s="42"/>
      <c r="X171" s="42"/>
      <c r="Y171" s="42"/>
      <c r="Z171" s="42"/>
      <c r="AA171" s="42"/>
      <c r="AB171" s="42"/>
    </row>
    <row r="172" spans="1:28" x14ac:dyDescent="0.25">
      <c r="A172" s="42" t="str">
        <v>1.6</v>
      </c>
      <c r="B172" s="121" t="str">
        <v>6 Advertising</v>
      </c>
      <c r="C172" s="41">
        <v>2</v>
      </c>
      <c r="D172" s="41" t="str">
        <v>RS</v>
      </c>
      <c r="E172" s="117" t="str">
        <f t="shared" si="0"/>
        <v>RS</v>
      </c>
      <c r="F172" s="41" t="str">
        <v/>
      </c>
      <c r="G172" s="41" t="str">
        <v/>
      </c>
      <c r="H172" s="117">
        <f t="shared" si="1"/>
        <v>0</v>
      </c>
      <c r="I172" s="117">
        <f t="shared" si="2"/>
        <v>6</v>
      </c>
      <c r="J172" s="117">
        <f t="shared" si="3"/>
        <v>6</v>
      </c>
      <c r="K172" s="117" t="str">
        <f t="shared" si="4"/>
        <v>BR</v>
      </c>
      <c r="L172" s="42">
        <v>6</v>
      </c>
      <c r="M172" s="121" t="str">
        <v/>
      </c>
      <c r="N172" s="121" t="str">
        <v>6 Advertising</v>
      </c>
      <c r="O172" s="121" t="str">
        <v>ReqID</v>
      </c>
      <c r="P172" s="121" t="e">
        <v>#N/A</v>
      </c>
      <c r="Q172" s="121" t="str">
        <v/>
      </c>
      <c r="R172" s="121" t="str">
        <v/>
      </c>
      <c r="S172" s="121" t="str">
        <v/>
      </c>
      <c r="T172" s="119" t="str">
        <f>IF($C172&lt;4,IF($C172=3,T173,IF($C172=2,T$1,"")),Q172&amp;R172&amp;IF(LEN(S172)=0,"",Preferences!$C$2&amp;S172)&amp;IF(J173=J172,IF(LEN(R172&amp;S172)=0,"","
")&amp;T173,""))</f>
        <v>Description</v>
      </c>
      <c r="U172" s="122" t="str">
        <v/>
      </c>
      <c r="V172" s="42"/>
      <c r="W172" s="42"/>
      <c r="X172" s="42"/>
      <c r="Y172" s="42"/>
      <c r="Z172" s="42"/>
      <c r="AA172" s="42"/>
      <c r="AB172" s="42"/>
    </row>
    <row r="173" spans="1:28" x14ac:dyDescent="0.25">
      <c r="A173" s="42" t="str">
        <v>1.6.1</v>
      </c>
      <c r="B173" s="121" t="str">
        <v>6.1 Maintain advertisements</v>
      </c>
      <c r="C173" s="41">
        <v>3</v>
      </c>
      <c r="D173" s="41" t="str">
        <v>R</v>
      </c>
      <c r="E173" s="117" t="str">
        <f t="shared" si="0"/>
        <v>R</v>
      </c>
      <c r="F173" s="41" t="str">
        <v/>
      </c>
      <c r="G173" s="41" t="str">
        <v/>
      </c>
      <c r="H173" s="117">
        <f t="shared" si="1"/>
        <v>0</v>
      </c>
      <c r="I173" s="117">
        <f t="shared" si="2"/>
        <v>6</v>
      </c>
      <c r="J173" s="117">
        <f t="shared" si="3"/>
        <v>6.01</v>
      </c>
      <c r="K173" s="117" t="str">
        <f t="shared" si="4"/>
        <v>BR</v>
      </c>
      <c r="L173" s="42" t="str">
        <v>BR0601</v>
      </c>
      <c r="M173" s="121" t="str">
        <v/>
      </c>
      <c r="N173" s="121" t="str">
        <v/>
      </c>
      <c r="O173" s="121" t="str">
        <v>BR0601</v>
      </c>
      <c r="P173" s="121" t="str">
        <v>Maintain advertisements</v>
      </c>
      <c r="Q173" s="121" t="str">
        <v/>
      </c>
      <c r="R173" s="121" t="str">
        <v/>
      </c>
      <c r="S173" s="121" t="str">
        <v/>
      </c>
      <c r="T173" s="119" t="str">
        <f>IF($C173&lt;4,IF($C173=3,T174,IF($C173=2,T$1,"")),Q173&amp;R173&amp;IF(LEN(S173)=0,"",Preferences!$C$2&amp;S173)&amp;IF(J174=J173,IF(LEN(R173&amp;S173)=0,"","
")&amp;T174,""))</f>
        <v xml:space="preserve"> 1. Maintain at least the following for each advertisement: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3" s="122" t="str">
        <v/>
      </c>
      <c r="V173" s="42"/>
      <c r="W173" s="42"/>
      <c r="X173" s="42"/>
      <c r="Y173" s="42"/>
      <c r="Z173" s="42"/>
      <c r="AA173" s="42"/>
      <c r="AB173" s="42"/>
    </row>
    <row r="174" spans="1:28" x14ac:dyDescent="0.25">
      <c r="A174" s="42" t="str">
        <v>1.6.1.1</v>
      </c>
      <c r="B174" s="121" t="str">
        <v>Maintain at least the following for each advertisement:</v>
      </c>
      <c r="C174" s="41">
        <v>4</v>
      </c>
      <c r="D174" s="41" t="str">
        <v>RD</v>
      </c>
      <c r="E174" s="117" t="str">
        <f t="shared" si="0"/>
        <v>RD</v>
      </c>
      <c r="F174" s="41" t="str">
        <v/>
      </c>
      <c r="G174" s="41" t="str">
        <v/>
      </c>
      <c r="H174" s="117">
        <f t="shared" si="1"/>
        <v>0</v>
      </c>
      <c r="I174" s="117">
        <f t="shared" si="2"/>
        <v>6</v>
      </c>
      <c r="J174" s="117">
        <f t="shared" si="3"/>
        <v>6.01</v>
      </c>
      <c r="K174" s="117" t="str">
        <f t="shared" si="4"/>
        <v>BR</v>
      </c>
      <c r="L174" s="42" t="str">
        <v>BR0601</v>
      </c>
      <c r="M174" s="121" t="str">
        <v/>
      </c>
      <c r="N174" s="121" t="str">
        <v/>
      </c>
      <c r="O174" s="121" t="str">
        <v/>
      </c>
      <c r="P174" s="121" t="str">
        <v/>
      </c>
      <c r="Q174" s="121" t="str">
        <v xml:space="preserve"> 1. </v>
      </c>
      <c r="R174" s="121" t="str">
        <v>Maintain at least the following for each advertisement:</v>
      </c>
      <c r="S174" s="121" t="str">
        <v/>
      </c>
      <c r="T174" s="119" t="str">
        <f>IF($C174&lt;4,IF($C174=3,T175,IF($C174=2,T$1,"")),Q174&amp;R174&amp;IF(LEN(S174)=0,"",Preferences!$C$2&amp;S174)&amp;IF(J175=J174,IF(LEN(R174&amp;S174)=0,"","
")&amp;T175,""))</f>
        <v xml:space="preserve"> 1. Maintain at least the following for each advertisement: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4" s="122" t="str">
        <v/>
      </c>
      <c r="V174" s="42"/>
      <c r="W174" s="42"/>
      <c r="X174" s="42"/>
      <c r="Y174" s="42"/>
      <c r="Z174" s="42"/>
      <c r="AA174" s="42"/>
      <c r="AB174" s="42"/>
    </row>
    <row r="175" spans="1:28" x14ac:dyDescent="0.25">
      <c r="A175" s="42" t="str">
        <v>1.6.1.1.1</v>
      </c>
      <c r="B175" s="121" t="str">
        <v>Unique identifier</v>
      </c>
      <c r="C175" s="41">
        <v>5</v>
      </c>
      <c r="D175" s="41" t="str">
        <v>RL</v>
      </c>
      <c r="E175" s="117" t="str">
        <f t="shared" si="0"/>
        <v>RL</v>
      </c>
      <c r="F175" s="41" t="str">
        <v/>
      </c>
      <c r="G175" s="41" t="str">
        <v/>
      </c>
      <c r="H175" s="117">
        <f t="shared" si="1"/>
        <v>0</v>
      </c>
      <c r="I175" s="117">
        <f t="shared" si="2"/>
        <v>6</v>
      </c>
      <c r="J175" s="117">
        <f t="shared" si="3"/>
        <v>6.01</v>
      </c>
      <c r="K175" s="117" t="str">
        <f t="shared" si="4"/>
        <v>BR</v>
      </c>
      <c r="L175" s="42" t="str">
        <v>BR0601</v>
      </c>
      <c r="M175" s="121" t="str">
        <v/>
      </c>
      <c r="N175" s="121" t="str">
        <v/>
      </c>
      <c r="O175" s="121" t="str">
        <v/>
      </c>
      <c r="P175" s="121" t="str">
        <v/>
      </c>
      <c r="Q175" s="121" t="str">
        <v/>
      </c>
      <c r="R175" s="121" t="str">
        <v/>
      </c>
      <c r="S175" s="121" t="str">
        <v>Unique identifier</v>
      </c>
      <c r="T175" s="119" t="str">
        <f>IF($C175&lt;4,IF($C175=3,T176,IF($C175=2,T$1,"")),Q175&amp;R175&amp;IF(LEN(S175)=0,"",Preferences!$C$2&amp;S175)&amp;IF(J176=J175,IF(LEN(R175&amp;S175)=0,"","
")&amp;T176,""))</f>
        <v xml:space="preserv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5" s="122" t="str">
        <v/>
      </c>
      <c r="V175" s="42"/>
      <c r="W175" s="42"/>
      <c r="X175" s="42"/>
      <c r="Y175" s="42"/>
      <c r="Z175" s="42"/>
      <c r="AA175" s="42"/>
      <c r="AB175" s="42"/>
    </row>
    <row r="176" spans="1:28" x14ac:dyDescent="0.25">
      <c r="A176" s="42" t="str">
        <v>1.6.1.1.2</v>
      </c>
      <c r="B176" s="121" t="str">
        <v>Title</v>
      </c>
      <c r="C176" s="41">
        <v>5</v>
      </c>
      <c r="D176" s="41" t="str">
        <v>RL</v>
      </c>
      <c r="E176" s="117" t="str">
        <f t="shared" si="0"/>
        <v>RL</v>
      </c>
      <c r="F176" s="41" t="str">
        <v/>
      </c>
      <c r="G176" s="41" t="str">
        <v/>
      </c>
      <c r="H176" s="117">
        <f t="shared" si="1"/>
        <v>0</v>
      </c>
      <c r="I176" s="117">
        <f t="shared" si="2"/>
        <v>6</v>
      </c>
      <c r="J176" s="117">
        <f t="shared" si="3"/>
        <v>6.01</v>
      </c>
      <c r="K176" s="117" t="str">
        <f t="shared" si="4"/>
        <v>BR</v>
      </c>
      <c r="L176" s="42" t="str">
        <v>BR0601</v>
      </c>
      <c r="M176" s="121" t="str">
        <v/>
      </c>
      <c r="N176" s="121" t="str">
        <v/>
      </c>
      <c r="O176" s="121" t="str">
        <v/>
      </c>
      <c r="P176" s="121" t="str">
        <v/>
      </c>
      <c r="Q176" s="121" t="str">
        <v/>
      </c>
      <c r="R176" s="121" t="str">
        <v/>
      </c>
      <c r="S176" s="121" t="str">
        <v>Title</v>
      </c>
      <c r="T176" s="119" t="str">
        <f>IF($C176&lt;4,IF($C176=3,T177,IF($C176=2,T$1,"")),Q176&amp;R176&amp;IF(LEN(S176)=0,"",Preferences!$C$2&amp;S176)&amp;IF(J177=J176,IF(LEN(R176&amp;S176)=0,"","
")&amp;T177,""))</f>
        <v xml:space="preserve">	• Title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6" s="122" t="str">
        <v/>
      </c>
      <c r="V176" s="42"/>
      <c r="W176" s="42"/>
      <c r="X176" s="42"/>
      <c r="Y176" s="42"/>
      <c r="Z176" s="42"/>
      <c r="AA176" s="42"/>
      <c r="AB176" s="42"/>
    </row>
    <row r="177" spans="1:28" x14ac:dyDescent="0.25">
      <c r="A177" s="42" t="str">
        <v>1.6.1.1.3</v>
      </c>
      <c r="B177" s="121" t="str">
        <v>Teaser (short rich-text description, displayed where space is limited/in lists)</v>
      </c>
      <c r="C177" s="41">
        <v>5</v>
      </c>
      <c r="D177" s="41" t="str">
        <v>RL</v>
      </c>
      <c r="E177" s="117" t="str">
        <f t="shared" si="0"/>
        <v>RL</v>
      </c>
      <c r="F177" s="41" t="str">
        <v/>
      </c>
      <c r="G177" s="41" t="str">
        <v/>
      </c>
      <c r="H177" s="117">
        <f t="shared" si="1"/>
        <v>0</v>
      </c>
      <c r="I177" s="117">
        <f t="shared" si="2"/>
        <v>6</v>
      </c>
      <c r="J177" s="117">
        <f t="shared" si="3"/>
        <v>6.01</v>
      </c>
      <c r="K177" s="117" t="str">
        <f t="shared" si="4"/>
        <v>BR</v>
      </c>
      <c r="L177" s="42" t="str">
        <v>BR0601</v>
      </c>
      <c r="M177" s="121" t="str">
        <v/>
      </c>
      <c r="N177" s="121" t="str">
        <v/>
      </c>
      <c r="O177" s="121" t="str">
        <v/>
      </c>
      <c r="P177" s="121" t="str">
        <v/>
      </c>
      <c r="Q177" s="121" t="str">
        <v/>
      </c>
      <c r="R177" s="121" t="str">
        <v/>
      </c>
      <c r="S177" s="121" t="str">
        <v>Teaser (short rich-text description, displayed where space is limited/in lists)</v>
      </c>
      <c r="T177" s="119" t="str">
        <f>IF($C177&lt;4,IF($C177=3,T178,IF($C177=2,T$1,"")),Q177&amp;R177&amp;IF(LEN(S177)=0,"",Preferences!$C$2&amp;S177)&amp;IF(J178=J177,IF(LEN(R177&amp;S177)=0,"","
")&amp;T178,""))</f>
        <v xml:space="preserve">	• Teaser (short rich-text description, displayed where space is limited/in lists)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7" s="122" t="str">
        <v/>
      </c>
      <c r="V177" s="42"/>
      <c r="W177" s="42"/>
      <c r="X177" s="42"/>
      <c r="Y177" s="42"/>
      <c r="Z177" s="42"/>
      <c r="AA177" s="42"/>
      <c r="AB177" s="42"/>
    </row>
    <row r="178" spans="1:28" x14ac:dyDescent="0.25">
      <c r="A178" s="42" t="str">
        <v>1.6.1.1.4</v>
      </c>
      <c r="B178" s="121" t="str">
        <v>Description (full rich-text with images, displayed in full view)</v>
      </c>
      <c r="C178" s="41">
        <v>5</v>
      </c>
      <c r="D178" s="41" t="str">
        <v>RL</v>
      </c>
      <c r="E178" s="117" t="str">
        <f t="shared" si="0"/>
        <v>RL</v>
      </c>
      <c r="F178" s="41" t="str">
        <v/>
      </c>
      <c r="G178" s="41" t="str">
        <v/>
      </c>
      <c r="H178" s="117">
        <f t="shared" si="1"/>
        <v>0</v>
      </c>
      <c r="I178" s="117">
        <f t="shared" si="2"/>
        <v>6</v>
      </c>
      <c r="J178" s="117">
        <f t="shared" si="3"/>
        <v>6.01</v>
      </c>
      <c r="K178" s="117" t="str">
        <f t="shared" si="4"/>
        <v>BR</v>
      </c>
      <c r="L178" s="42" t="str">
        <v>BR0601</v>
      </c>
      <c r="M178" s="121" t="str">
        <v/>
      </c>
      <c r="N178" s="121" t="str">
        <v/>
      </c>
      <c r="O178" s="121" t="str">
        <v/>
      </c>
      <c r="P178" s="121" t="str">
        <v/>
      </c>
      <c r="Q178" s="121" t="str">
        <v/>
      </c>
      <c r="R178" s="121" t="str">
        <v/>
      </c>
      <c r="S178" s="121" t="str">
        <v>Description (full rich-text with images, displayed in full view)</v>
      </c>
      <c r="T178" s="119" t="str">
        <f>IF($C178&lt;4,IF($C178=3,T179,IF($C178=2,T$1,"")),Q178&amp;R178&amp;IF(LEN(S178)=0,"",Preferences!$C$2&amp;S178)&amp;IF(J179=J178,IF(LEN(R178&amp;S178)=0,"","
")&amp;T179,""))</f>
        <v xml:space="preserve">	• Description (full rich-text with images, displayed in full view)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8" s="122" t="str">
        <v/>
      </c>
      <c r="V178" s="42"/>
      <c r="W178" s="42"/>
      <c r="X178" s="42"/>
      <c r="Y178" s="42"/>
      <c r="Z178" s="42"/>
      <c r="AA178" s="42"/>
      <c r="AB178" s="42"/>
    </row>
    <row r="179" spans="1:28" x14ac:dyDescent="0.25">
      <c r="A179" s="42" t="str">
        <v>1.6.1.1.5</v>
      </c>
      <c r="B179" s="121" t="str">
        <v>Product and/or advertisement images (one must be marked as the default)</v>
      </c>
      <c r="C179" s="41">
        <v>5</v>
      </c>
      <c r="D179" s="41" t="str">
        <v>RL</v>
      </c>
      <c r="E179" s="117" t="str">
        <f t="shared" si="0"/>
        <v>RL</v>
      </c>
      <c r="F179" s="41" t="str">
        <v/>
      </c>
      <c r="G179" s="41" t="str">
        <v/>
      </c>
      <c r="H179" s="117">
        <f t="shared" si="1"/>
        <v>0</v>
      </c>
      <c r="I179" s="117">
        <f t="shared" si="2"/>
        <v>6</v>
      </c>
      <c r="J179" s="117">
        <f t="shared" si="3"/>
        <v>6.01</v>
      </c>
      <c r="K179" s="117" t="str">
        <f t="shared" si="4"/>
        <v>BR</v>
      </c>
      <c r="L179" s="42" t="str">
        <v>BR0601</v>
      </c>
      <c r="M179" s="121" t="str">
        <v/>
      </c>
      <c r="N179" s="121" t="str">
        <v/>
      </c>
      <c r="O179" s="121" t="str">
        <v/>
      </c>
      <c r="P179" s="121" t="str">
        <v/>
      </c>
      <c r="Q179" s="121" t="str">
        <v/>
      </c>
      <c r="R179" s="121" t="str">
        <v/>
      </c>
      <c r="S179" s="121" t="str">
        <v>Product and/or advertisement images (one must be marked as the default)</v>
      </c>
      <c r="T179" s="119" t="str">
        <f>IF($C179&lt;4,IF($C179=3,T180,IF($C179=2,T$1,"")),Q179&amp;R179&amp;IF(LEN(S179)=0,"",Preferences!$C$2&amp;S179)&amp;IF(J180=J179,IF(LEN(R179&amp;S179)=0,"","
")&amp;T180,""))</f>
        <v xml:space="preserve">	• Product and/or advertisement images (one must be marked as the default)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79" s="122" t="str">
        <v/>
      </c>
      <c r="V179" s="42"/>
      <c r="W179" s="42"/>
      <c r="X179" s="42"/>
      <c r="Y179" s="42"/>
      <c r="Z179" s="42"/>
      <c r="AA179" s="42"/>
      <c r="AB179" s="42"/>
    </row>
    <row r="180" spans="1:28" x14ac:dyDescent="0.25">
      <c r="A180" s="42" t="str">
        <v>1.6.1.1.6</v>
      </c>
      <c r="B180" s="121" t="str">
        <v>Status (active, draft, published, archived, etc.)</v>
      </c>
      <c r="C180" s="41">
        <v>5</v>
      </c>
      <c r="D180" s="41" t="str">
        <v>RL</v>
      </c>
      <c r="E180" s="117" t="str">
        <f t="shared" si="0"/>
        <v>RL</v>
      </c>
      <c r="F180" s="41" t="str">
        <v/>
      </c>
      <c r="G180" s="41" t="str">
        <v/>
      </c>
      <c r="H180" s="117">
        <f t="shared" si="1"/>
        <v>0</v>
      </c>
      <c r="I180" s="117">
        <f t="shared" si="2"/>
        <v>6</v>
      </c>
      <c r="J180" s="117">
        <f t="shared" si="3"/>
        <v>6.01</v>
      </c>
      <c r="K180" s="117" t="str">
        <f t="shared" si="4"/>
        <v>BR</v>
      </c>
      <c r="L180" s="42" t="str">
        <v>BR0601</v>
      </c>
      <c r="M180" s="121" t="str">
        <v/>
      </c>
      <c r="N180" s="121" t="str">
        <v/>
      </c>
      <c r="O180" s="121" t="str">
        <v/>
      </c>
      <c r="P180" s="121" t="str">
        <v/>
      </c>
      <c r="Q180" s="121" t="str">
        <v/>
      </c>
      <c r="R180" s="121" t="str">
        <v/>
      </c>
      <c r="S180" s="121" t="str">
        <v>Status (active, draft, published, archived, etc.)</v>
      </c>
      <c r="T180" s="119" t="str">
        <f>IF($C180&lt;4,IF($C180=3,T181,IF($C180=2,T$1,"")),Q180&amp;R180&amp;IF(LEN(S180)=0,"",Preferences!$C$2&amp;S180)&amp;IF(J181=J180,IF(LEN(R180&amp;S180)=0,"","
")&amp;T181,""))</f>
        <v xml:space="preserve">	• Status (active, draft, published, archived, etc.)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80" s="122" t="str">
        <v/>
      </c>
      <c r="V180" s="42"/>
      <c r="W180" s="42"/>
      <c r="X180" s="42"/>
      <c r="Y180" s="42"/>
      <c r="Z180" s="42"/>
      <c r="AA180" s="42"/>
      <c r="AB180" s="42"/>
    </row>
    <row r="181" spans="1:28" x14ac:dyDescent="0.25">
      <c r="A181" s="42" t="str">
        <v>1.6.1.1.7</v>
      </c>
      <c r="B181" s="121" t="str">
        <v>Version (used for A/B testing, etc.)</v>
      </c>
      <c r="C181" s="41">
        <v>5</v>
      </c>
      <c r="D181" s="41" t="str">
        <v>RL</v>
      </c>
      <c r="E181" s="117" t="str">
        <f t="shared" si="0"/>
        <v>RL</v>
      </c>
      <c r="F181" s="41" t="str">
        <v/>
      </c>
      <c r="G181" s="41" t="str">
        <v/>
      </c>
      <c r="H181" s="117">
        <f t="shared" si="1"/>
        <v>0</v>
      </c>
      <c r="I181" s="117">
        <f t="shared" si="2"/>
        <v>6</v>
      </c>
      <c r="J181" s="117">
        <f t="shared" si="3"/>
        <v>6.01</v>
      </c>
      <c r="K181" s="117" t="str">
        <f t="shared" si="4"/>
        <v>BR</v>
      </c>
      <c r="L181" s="42" t="str">
        <v>BR0601</v>
      </c>
      <c r="M181" s="121" t="str">
        <v/>
      </c>
      <c r="N181" s="121" t="str">
        <v/>
      </c>
      <c r="O181" s="121" t="str">
        <v/>
      </c>
      <c r="P181" s="121" t="str">
        <v/>
      </c>
      <c r="Q181" s="121" t="str">
        <v/>
      </c>
      <c r="R181" s="121" t="str">
        <v/>
      </c>
      <c r="S181" s="121" t="str">
        <v>Version (used for A/B testing, etc.)</v>
      </c>
      <c r="T181" s="119" t="str">
        <f>IF($C181&lt;4,IF($C181=3,T182,IF($C181=2,T$1,"")),Q181&amp;R181&amp;IF(LEN(S181)=0,"",Preferences!$C$2&amp;S181)&amp;IF(J182=J181,IF(LEN(R181&amp;S181)=0,"","
")&amp;T182,""))</f>
        <v xml:space="preserve">	• Version (used for A/B testing, etc.)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81" s="122" t="str">
        <v/>
      </c>
      <c r="V181" s="42"/>
      <c r="W181" s="42"/>
      <c r="X181" s="42"/>
      <c r="Y181" s="42"/>
      <c r="Z181" s="42"/>
      <c r="AA181" s="42"/>
      <c r="AB181" s="42"/>
    </row>
    <row r="182" spans="1:28" x14ac:dyDescent="0.25">
      <c r="A182" s="42" t="str">
        <v>1.6.1.2</v>
      </c>
      <c r="B182" s="121" t="str">
        <v>Both text and images may contain URL links to a product/special content/online search on the online shop.</v>
      </c>
      <c r="C182" s="41">
        <v>4</v>
      </c>
      <c r="D182" s="41" t="str">
        <v>RD</v>
      </c>
      <c r="E182" s="117" t="str">
        <f t="shared" si="0"/>
        <v>RD</v>
      </c>
      <c r="F182" s="41" t="str">
        <v/>
      </c>
      <c r="G182" s="41" t="str">
        <v/>
      </c>
      <c r="H182" s="117">
        <f t="shared" si="1"/>
        <v>0</v>
      </c>
      <c r="I182" s="117">
        <f t="shared" si="2"/>
        <v>6</v>
      </c>
      <c r="J182" s="117">
        <f t="shared" si="3"/>
        <v>6.01</v>
      </c>
      <c r="K182" s="117" t="str">
        <f t="shared" si="4"/>
        <v>BR</v>
      </c>
      <c r="L182" s="42" t="str">
        <v>BR0601</v>
      </c>
      <c r="M182" s="121" t="str">
        <v/>
      </c>
      <c r="N182" s="121" t="str">
        <v/>
      </c>
      <c r="O182" s="121" t="str">
        <v/>
      </c>
      <c r="P182" s="121" t="str">
        <v/>
      </c>
      <c r="Q182" s="121" t="str">
        <v xml:space="preserve"> 2. </v>
      </c>
      <c r="R182" s="121" t="str">
        <v>Both text and images may contain URL links to a product/special content/online search on the online shop.</v>
      </c>
      <c r="S182" s="121" t="str">
        <v/>
      </c>
      <c r="T182" s="119" t="str">
        <f>IF($C182&lt;4,IF($C182=3,T183,IF($C182=2,T$1,"")),Q182&amp;R182&amp;IF(LEN(S182)=0,"",Preferences!$C$2&amp;S182)&amp;IF(J183=J182,IF(LEN(R182&amp;S182)=0,"","
")&amp;T183,""))</f>
        <v xml:space="preserve"> 2. Both text and images may contain URL links to a product/special content/online search on the online shop.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82" s="122" t="str">
        <v/>
      </c>
      <c r="V182" s="42"/>
      <c r="W182" s="42"/>
      <c r="X182" s="42"/>
      <c r="Y182" s="42"/>
      <c r="Z182" s="42"/>
      <c r="AA182" s="42"/>
      <c r="AB182" s="42"/>
    </row>
    <row r="183" spans="1:28" x14ac:dyDescent="0.25">
      <c r="A183" s="42" t="str">
        <v>1.6.1.3</v>
      </c>
      <c r="B183" s="121" t="str">
        <v>Also see the Maintain various sizes for each image requirement in the Enrich Content section.</v>
      </c>
      <c r="C183" s="41">
        <v>4</v>
      </c>
      <c r="D183" s="41" t="str">
        <v>RD</v>
      </c>
      <c r="E183" s="117" t="str">
        <f t="shared" si="0"/>
        <v>RD</v>
      </c>
      <c r="F183" s="41" t="str">
        <v/>
      </c>
      <c r="G183" s="41" t="str">
        <v/>
      </c>
      <c r="H183" s="117">
        <f t="shared" si="1"/>
        <v>0</v>
      </c>
      <c r="I183" s="117">
        <f t="shared" si="2"/>
        <v>6</v>
      </c>
      <c r="J183" s="117">
        <f t="shared" si="3"/>
        <v>6.01</v>
      </c>
      <c r="K183" s="117" t="str">
        <f t="shared" si="4"/>
        <v>BR</v>
      </c>
      <c r="L183" s="42" t="str">
        <v>BR0601</v>
      </c>
      <c r="M183" s="121" t="str">
        <v/>
      </c>
      <c r="N183" s="121" t="str">
        <v/>
      </c>
      <c r="O183" s="121" t="str">
        <v/>
      </c>
      <c r="P183" s="121" t="str">
        <v/>
      </c>
      <c r="Q183" s="121" t="str">
        <v xml:space="preserve"> 3. </v>
      </c>
      <c r="R183" s="121" t="str">
        <v>Also see the Maintain various sizes for each image requirement in the Enrich Content section.</v>
      </c>
      <c r="S183" s="121" t="str">
        <v/>
      </c>
      <c r="T183" s="119" t="str">
        <f>IF($C183&lt;4,IF($C183=3,T184,IF($C183=2,T$1,"")),Q183&amp;R183&amp;IF(LEN(S183)=0,"",Preferences!$C$2&amp;S183)&amp;IF(J184=J183,IF(LEN(R183&amp;S183)=0,"","
")&amp;T184,""))</f>
        <v xml:space="preserve"> 3. Also see the Maintain various sizes for each image requirement in the Enrich Content section.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83" s="122" t="str">
        <v/>
      </c>
      <c r="V183" s="42"/>
      <c r="W183" s="42"/>
      <c r="X183" s="42"/>
      <c r="Y183" s="42"/>
      <c r="Z183" s="42"/>
      <c r="AA183" s="42"/>
      <c r="AB183" s="42"/>
    </row>
    <row r="184" spans="1:28" x14ac:dyDescent="0.25">
      <c r="A184" s="42" t="str">
        <v>1.6.1.4</v>
      </c>
      <c r="B184" s="121" t="str">
        <v>Maintain a published start and expiry (mandatory) date-time for each advertisement presented on the online shop and other online channels (as applicable).</v>
      </c>
      <c r="C184" s="41">
        <v>4</v>
      </c>
      <c r="D184" s="41" t="str">
        <v>RD</v>
      </c>
      <c r="E184" s="117" t="str">
        <f t="shared" si="0"/>
        <v>RD</v>
      </c>
      <c r="F184" s="41" t="str">
        <v/>
      </c>
      <c r="G184" s="41" t="str">
        <v/>
      </c>
      <c r="H184" s="117">
        <f t="shared" si="1"/>
        <v>0</v>
      </c>
      <c r="I184" s="117">
        <f t="shared" si="2"/>
        <v>6</v>
      </c>
      <c r="J184" s="117">
        <f t="shared" si="3"/>
        <v>6.01</v>
      </c>
      <c r="K184" s="117" t="str">
        <f t="shared" si="4"/>
        <v>BR</v>
      </c>
      <c r="L184" s="42" t="str">
        <v>BR0601</v>
      </c>
      <c r="M184" s="121" t="str">
        <v/>
      </c>
      <c r="N184" s="121" t="str">
        <v/>
      </c>
      <c r="O184" s="121" t="str">
        <v/>
      </c>
      <c r="P184" s="121" t="str">
        <v/>
      </c>
      <c r="Q184" s="121" t="str">
        <v xml:space="preserve"> 4. </v>
      </c>
      <c r="R184" s="121" t="str">
        <v>Maintain a published start and expiry (mandatory) date-time for each advertisement presented on the online shop and other online channels (as applicable).</v>
      </c>
      <c r="S184" s="121" t="str">
        <v/>
      </c>
      <c r="T184" s="119" t="str">
        <f>IF($C184&lt;4,IF($C184=3,T185,IF($C184=2,T$1,"")),Q184&amp;R184&amp;IF(LEN(S184)=0,"",Preferences!$C$2&amp;S184)&amp;IF(J185=J184,IF(LEN(R184&amp;S184)=0,"","
")&amp;T185,""))</f>
        <v xml:space="preserve"> 4. Maintain a published start and expiry (mandatory) date-time for each advertisement presented on the online shop and other online channels (as applicable).
 5. Maintain the product meta-data, as detailed in the Enrich advertisement meta-data for online use requirement of the Content Enrichment section.</v>
      </c>
      <c r="U184" s="122" t="str">
        <v/>
      </c>
      <c r="V184" s="42"/>
      <c r="W184" s="42"/>
      <c r="X184" s="42"/>
      <c r="Y184" s="42"/>
      <c r="Z184" s="42"/>
      <c r="AA184" s="42"/>
      <c r="AB184" s="42"/>
    </row>
    <row r="185" spans="1:28" x14ac:dyDescent="0.25">
      <c r="A185" s="42" t="str">
        <v>1.6.1.5</v>
      </c>
      <c r="B185" s="121" t="str">
        <v>Maintain the product meta-data, as detailed in the Enrich advertisement meta-data for online use requirement of the Content Enrichment section.</v>
      </c>
      <c r="C185" s="41">
        <v>4</v>
      </c>
      <c r="D185" s="41" t="str">
        <v>RD</v>
      </c>
      <c r="E185" s="117" t="str">
        <f t="shared" si="0"/>
        <v>RD</v>
      </c>
      <c r="F185" s="41" t="str">
        <v/>
      </c>
      <c r="G185" s="41" t="str">
        <v/>
      </c>
      <c r="H185" s="117">
        <f t="shared" si="1"/>
        <v>0</v>
      </c>
      <c r="I185" s="117">
        <f t="shared" si="2"/>
        <v>6</v>
      </c>
      <c r="J185" s="117">
        <f t="shared" si="3"/>
        <v>6.01</v>
      </c>
      <c r="K185" s="117" t="str">
        <f t="shared" si="4"/>
        <v>BR</v>
      </c>
      <c r="L185" s="42" t="str">
        <v>BR0601</v>
      </c>
      <c r="M185" s="121" t="str">
        <v/>
      </c>
      <c r="N185" s="121" t="str">
        <v/>
      </c>
      <c r="O185" s="121" t="str">
        <v/>
      </c>
      <c r="P185" s="121" t="str">
        <v/>
      </c>
      <c r="Q185" s="121" t="str">
        <v xml:space="preserve"> 5. </v>
      </c>
      <c r="R185" s="121" t="str">
        <v>Maintain the product meta-data, as detailed in the Enrich advertisement meta-data for online use requirement of the Content Enrichment section.</v>
      </c>
      <c r="S185" s="121" t="str">
        <v/>
      </c>
      <c r="T185" s="119" t="str">
        <f>IF($C185&lt;4,IF($C185=3,T186,IF($C185=2,T$1,"")),Q185&amp;R185&amp;IF(LEN(S185)=0,"",Preferences!$C$2&amp;S185)&amp;IF(J186=J185,IF(LEN(R185&amp;S185)=0,"","
")&amp;T186,""))</f>
        <v xml:space="preserve"> 5. Maintain the product meta-data, as detailed in the Enrich advertisement meta-data for online use requirement of the Content Enrichment section.</v>
      </c>
      <c r="U185" s="122" t="str">
        <v/>
      </c>
      <c r="V185" s="42"/>
      <c r="W185" s="42"/>
      <c r="X185" s="42"/>
      <c r="Y185" s="42"/>
      <c r="Z185" s="42"/>
      <c r="AA185" s="42"/>
      <c r="AB185" s="42"/>
    </row>
    <row r="186" spans="1:28" x14ac:dyDescent="0.25">
      <c r="A186" s="42" t="str">
        <v>1.6.2</v>
      </c>
      <c r="B186" s="121" t="str">
        <v>6.2 Associate advertisements to marketing campaigns</v>
      </c>
      <c r="C186" s="41">
        <v>3</v>
      </c>
      <c r="D186" s="41" t="str">
        <v>R</v>
      </c>
      <c r="E186" s="117" t="str">
        <f t="shared" si="0"/>
        <v>R</v>
      </c>
      <c r="F186" s="41" t="str">
        <v/>
      </c>
      <c r="G186" s="41" t="str">
        <v/>
      </c>
      <c r="H186" s="117">
        <f t="shared" si="1"/>
        <v>0</v>
      </c>
      <c r="I186" s="117">
        <f t="shared" si="2"/>
        <v>6</v>
      </c>
      <c r="J186" s="117">
        <f t="shared" si="3"/>
        <v>6.02</v>
      </c>
      <c r="K186" s="117" t="str">
        <f t="shared" si="4"/>
        <v>BR</v>
      </c>
      <c r="L186" s="42" t="str">
        <v>BR0602</v>
      </c>
      <c r="M186" s="121" t="str">
        <v/>
      </c>
      <c r="N186" s="121" t="str">
        <v/>
      </c>
      <c r="O186" s="121" t="str">
        <v>BR0602</v>
      </c>
      <c r="P186" s="121" t="str">
        <v>Associate advertisements to marketing campaigns</v>
      </c>
      <c r="Q186" s="121" t="str">
        <v/>
      </c>
      <c r="R186" s="121" t="str">
        <v/>
      </c>
      <c r="S186" s="121" t="str">
        <v/>
      </c>
      <c r="T186" s="119" t="str">
        <f>IF($C186&lt;4,IF($C186=3,T187,IF($C186=2,T$1,"")),Q186&amp;R186&amp;IF(LEN(S186)=0,"",Preferences!$C$2&amp;S186)&amp;IF(J187=J186,IF(LEN(R186&amp;S186)=0,"","
")&amp;T187,""))</f>
        <v xml:space="preserve"> 1. Maintain one/more B2C Co advertisements for each marketing campaign.
 2. Track advertisements across the target audiences/groups (e.g. mailing list) and channels used for the campaign.
 3. Where applicable, maintain and track multiple versions (A/B testing) of advertisements.</v>
      </c>
      <c r="U186" s="122" t="str">
        <v/>
      </c>
      <c r="V186" s="42"/>
      <c r="W186" s="42"/>
      <c r="X186" s="42"/>
      <c r="Y186" s="42"/>
      <c r="Z186" s="42"/>
      <c r="AA186" s="42"/>
      <c r="AB186" s="42"/>
    </row>
    <row r="187" spans="1:28" x14ac:dyDescent="0.25">
      <c r="A187" s="42" t="str">
        <v>1.6.2.1</v>
      </c>
      <c r="B187" s="121" t="str">
        <v>Maintain one/more B2C Co advertisements for each marketing campaign.</v>
      </c>
      <c r="C187" s="41">
        <v>4</v>
      </c>
      <c r="D187" s="41" t="str">
        <v>RD</v>
      </c>
      <c r="E187" s="117" t="str">
        <f t="shared" si="0"/>
        <v>RD</v>
      </c>
      <c r="F187" s="41" t="str">
        <v/>
      </c>
      <c r="G187" s="41" t="str">
        <v/>
      </c>
      <c r="H187" s="117">
        <f t="shared" si="1"/>
        <v>0</v>
      </c>
      <c r="I187" s="117">
        <f t="shared" si="2"/>
        <v>6</v>
      </c>
      <c r="J187" s="117">
        <f t="shared" si="3"/>
        <v>6.02</v>
      </c>
      <c r="K187" s="117" t="str">
        <f t="shared" si="4"/>
        <v>BR</v>
      </c>
      <c r="L187" s="42" t="str">
        <v>BR0602</v>
      </c>
      <c r="M187" s="121" t="str">
        <v/>
      </c>
      <c r="N187" s="121" t="str">
        <v/>
      </c>
      <c r="O187" s="121" t="str">
        <v/>
      </c>
      <c r="P187" s="121" t="str">
        <v/>
      </c>
      <c r="Q187" s="121" t="str">
        <v xml:space="preserve"> 1. </v>
      </c>
      <c r="R187" s="121" t="str">
        <v>Maintain one/more B2C Co advertisements for each marketing campaign.</v>
      </c>
      <c r="S187" s="121" t="str">
        <v/>
      </c>
      <c r="T187" s="119" t="str">
        <f>IF($C187&lt;4,IF($C187=3,T188,IF($C187=2,T$1,"")),Q187&amp;R187&amp;IF(LEN(S187)=0,"",Preferences!$C$2&amp;S187)&amp;IF(J188=J187,IF(LEN(R187&amp;S187)=0,"","
")&amp;T188,""))</f>
        <v xml:space="preserve"> 1. Maintain one/more B2C Co advertisements for each marketing campaign.
 2. Track advertisements across the target audiences/groups (e.g. mailing list) and channels used for the campaign.
 3. Where applicable, maintain and track multiple versions (A/B testing) of advertisements.</v>
      </c>
      <c r="U187" s="122" t="str">
        <v/>
      </c>
      <c r="V187" s="42"/>
      <c r="W187" s="42"/>
      <c r="X187" s="42"/>
      <c r="Y187" s="42"/>
      <c r="Z187" s="42"/>
      <c r="AA187" s="42"/>
      <c r="AB187" s="42"/>
    </row>
    <row r="188" spans="1:28" x14ac:dyDescent="0.25">
      <c r="A188" s="42" t="str">
        <v>1.6.2.2</v>
      </c>
      <c r="B188" s="121" t="str">
        <v>Track advertisements across the target audiences/groups (e.g. mailing list) and channels used for the campaign.</v>
      </c>
      <c r="C188" s="41">
        <v>4</v>
      </c>
      <c r="D188" s="41" t="str">
        <v>RD</v>
      </c>
      <c r="E188" s="117" t="str">
        <f t="shared" si="0"/>
        <v>RD</v>
      </c>
      <c r="F188" s="41" t="str">
        <v/>
      </c>
      <c r="G188" s="41" t="str">
        <v/>
      </c>
      <c r="H188" s="117">
        <f t="shared" si="1"/>
        <v>0</v>
      </c>
      <c r="I188" s="117">
        <f t="shared" si="2"/>
        <v>6</v>
      </c>
      <c r="J188" s="117">
        <f t="shared" si="3"/>
        <v>6.02</v>
      </c>
      <c r="K188" s="117" t="str">
        <f t="shared" si="4"/>
        <v>BR</v>
      </c>
      <c r="L188" s="42" t="str">
        <v>BR0602</v>
      </c>
      <c r="M188" s="121" t="str">
        <v/>
      </c>
      <c r="N188" s="121" t="str">
        <v/>
      </c>
      <c r="O188" s="121" t="str">
        <v/>
      </c>
      <c r="P188" s="121" t="str">
        <v/>
      </c>
      <c r="Q188" s="121" t="str">
        <v xml:space="preserve"> 2. </v>
      </c>
      <c r="R188" s="121" t="str">
        <v>Track advertisements across the target audiences/groups (e.g. mailing list) and channels used for the campaign.</v>
      </c>
      <c r="S188" s="121" t="str">
        <v/>
      </c>
      <c r="T188" s="119" t="str">
        <f>IF($C188&lt;4,IF($C188=3,T189,IF($C188=2,T$1,"")),Q188&amp;R188&amp;IF(LEN(S188)=0,"",Preferences!$C$2&amp;S188)&amp;IF(J189=J188,IF(LEN(R188&amp;S188)=0,"","
")&amp;T189,""))</f>
        <v xml:space="preserve"> 2. Track advertisements across the target audiences/groups (e.g. mailing list) and channels used for the campaign.
 3. Where applicable, maintain and track multiple versions (A/B testing) of advertisements.</v>
      </c>
      <c r="U188" s="122" t="str">
        <v/>
      </c>
      <c r="V188" s="42"/>
      <c r="W188" s="42"/>
      <c r="X188" s="42"/>
      <c r="Y188" s="42"/>
      <c r="Z188" s="42"/>
      <c r="AA188" s="42"/>
      <c r="AB188" s="42"/>
    </row>
    <row r="189" spans="1:28" x14ac:dyDescent="0.25">
      <c r="A189" s="42" t="str">
        <v>1.6.2.3</v>
      </c>
      <c r="B189" s="121" t="str">
        <v>Where applicable, maintain and track multiple versions (A/B testing) of advertisements.</v>
      </c>
      <c r="C189" s="41">
        <v>4</v>
      </c>
      <c r="D189" s="41" t="str">
        <v>RD</v>
      </c>
      <c r="E189" s="117" t="str">
        <f t="shared" si="0"/>
        <v>RD</v>
      </c>
      <c r="F189" s="41" t="str">
        <v/>
      </c>
      <c r="G189" s="41" t="str">
        <v/>
      </c>
      <c r="H189" s="117">
        <f t="shared" si="1"/>
        <v>0</v>
      </c>
      <c r="I189" s="117">
        <f t="shared" si="2"/>
        <v>6</v>
      </c>
      <c r="J189" s="117">
        <f t="shared" si="3"/>
        <v>6.02</v>
      </c>
      <c r="K189" s="117" t="str">
        <f t="shared" si="4"/>
        <v>BR</v>
      </c>
      <c r="L189" s="42" t="str">
        <v>BR0602</v>
      </c>
      <c r="M189" s="121" t="str">
        <v/>
      </c>
      <c r="N189" s="121" t="str">
        <v/>
      </c>
      <c r="O189" s="121" t="str">
        <v/>
      </c>
      <c r="P189" s="121" t="str">
        <v/>
      </c>
      <c r="Q189" s="121" t="str">
        <v xml:space="preserve"> 3. </v>
      </c>
      <c r="R189" s="121" t="str">
        <v>Where applicable, maintain and track multiple versions (A/B testing) of advertisements.</v>
      </c>
      <c r="S189" s="121" t="str">
        <v/>
      </c>
      <c r="T189" s="119" t="str">
        <f>IF($C189&lt;4,IF($C189=3,T190,IF($C189=2,T$1,"")),Q189&amp;R189&amp;IF(LEN(S189)=0,"",Preferences!$C$2&amp;S189)&amp;IF(J190=J189,IF(LEN(R189&amp;S189)=0,"","
")&amp;T190,""))</f>
        <v xml:space="preserve"> 3. Where applicable, maintain and track multiple versions (A/B testing) of advertisements.</v>
      </c>
      <c r="U189" s="122" t="str">
        <v/>
      </c>
      <c r="V189" s="42"/>
      <c r="W189" s="42"/>
      <c r="X189" s="42"/>
      <c r="Y189" s="42"/>
      <c r="Z189" s="42"/>
      <c r="AA189" s="42"/>
      <c r="AB189" s="42"/>
    </row>
    <row r="190" spans="1:28" x14ac:dyDescent="0.25">
      <c r="A190" s="42" t="str">
        <v>1.6.3</v>
      </c>
      <c r="B190" s="121" t="str">
        <v>6.3 Maintain online shop advertisements</v>
      </c>
      <c r="C190" s="41">
        <v>3</v>
      </c>
      <c r="D190" s="41" t="str">
        <v>R</v>
      </c>
      <c r="E190" s="117" t="str">
        <f t="shared" si="0"/>
        <v>R</v>
      </c>
      <c r="F190" s="41" t="str">
        <v/>
      </c>
      <c r="G190" s="41" t="str">
        <v/>
      </c>
      <c r="H190" s="117">
        <f t="shared" si="1"/>
        <v>0</v>
      </c>
      <c r="I190" s="117">
        <f t="shared" si="2"/>
        <v>6</v>
      </c>
      <c r="J190" s="117">
        <f t="shared" si="3"/>
        <v>6.0299999999999994</v>
      </c>
      <c r="K190" s="117" t="str">
        <f t="shared" si="4"/>
        <v>BR</v>
      </c>
      <c r="L190" s="42" t="str">
        <v>BR0603</v>
      </c>
      <c r="M190" s="121" t="str">
        <v/>
      </c>
      <c r="N190" s="121" t="str">
        <v/>
      </c>
      <c r="O190" s="121" t="str">
        <v>BR0603</v>
      </c>
      <c r="P190" s="121" t="str">
        <v>Maintain online shop advertisements</v>
      </c>
      <c r="Q190" s="121" t="str">
        <v/>
      </c>
      <c r="R190" s="121" t="str">
        <v/>
      </c>
      <c r="S190" s="121" t="str">
        <v/>
      </c>
      <c r="T190" s="119" t="str">
        <f>IF($C190&lt;4,IF($C190=3,T191,IF($C190=2,T$1,"")),Q190&amp;R190&amp;IF(LEN(S190)=0,"",Preferences!$C$2&amp;S190)&amp;IF(J191=J190,IF(LEN(R190&amp;S190)=0,"","
")&amp;T191,""))</f>
        <v xml:space="preserve"> 1. An advertisement in the online shop may be presented in various formats:
	• Banner
	• Teaser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U190" s="122" t="str">
        <v/>
      </c>
      <c r="V190" s="42"/>
      <c r="W190" s="42"/>
      <c r="X190" s="42"/>
      <c r="Y190" s="42"/>
      <c r="Z190" s="42"/>
      <c r="AA190" s="42"/>
      <c r="AB190" s="42"/>
    </row>
    <row r="191" spans="1:28" x14ac:dyDescent="0.25">
      <c r="A191" s="42" t="str">
        <v>1.6.3.1</v>
      </c>
      <c r="B191" s="121" t="str">
        <v>An advertisement in the online shop may be presented in various formats:</v>
      </c>
      <c r="C191" s="41">
        <v>4</v>
      </c>
      <c r="D191" s="41" t="str">
        <v>RD</v>
      </c>
      <c r="E191" s="117" t="str">
        <f t="shared" si="0"/>
        <v>RD</v>
      </c>
      <c r="F191" s="41" t="str">
        <v/>
      </c>
      <c r="G191" s="41" t="str">
        <v/>
      </c>
      <c r="H191" s="117">
        <f t="shared" si="1"/>
        <v>0</v>
      </c>
      <c r="I191" s="117">
        <f t="shared" si="2"/>
        <v>6</v>
      </c>
      <c r="J191" s="117">
        <f t="shared" si="3"/>
        <v>6.0299999999999994</v>
      </c>
      <c r="K191" s="117" t="str">
        <f t="shared" si="4"/>
        <v>BR</v>
      </c>
      <c r="L191" s="42" t="str">
        <v>BR0603</v>
      </c>
      <c r="M191" s="121" t="str">
        <v/>
      </c>
      <c r="N191" s="121" t="str">
        <v/>
      </c>
      <c r="O191" s="121" t="str">
        <v/>
      </c>
      <c r="P191" s="121" t="str">
        <v/>
      </c>
      <c r="Q191" s="121" t="str">
        <v xml:space="preserve"> 1. </v>
      </c>
      <c r="R191" s="121" t="str">
        <v>An advertisement in the online shop may be presented in various formats:</v>
      </c>
      <c r="S191" s="121" t="str">
        <v/>
      </c>
      <c r="T191" s="119" t="str">
        <f>IF($C191&lt;4,IF($C191=3,T192,IF($C191=2,T$1,"")),Q191&amp;R191&amp;IF(LEN(S191)=0,"",Preferences!$C$2&amp;S191)&amp;IF(J192=J191,IF(LEN(R191&amp;S191)=0,"","
")&amp;T192,""))</f>
        <v xml:space="preserve"> 1. An advertisement in the online shop may be presented in various formats:
	• Banner
	• Teaser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U191" s="122" t="str">
        <v/>
      </c>
      <c r="V191" s="42"/>
      <c r="W191" s="42"/>
      <c r="X191" s="42"/>
      <c r="Y191" s="42"/>
      <c r="Z191" s="42"/>
      <c r="AA191" s="42"/>
      <c r="AB191" s="42"/>
    </row>
    <row r="192" spans="1:28" x14ac:dyDescent="0.25">
      <c r="A192" s="42" t="str">
        <v>1.6.3.1.1</v>
      </c>
      <c r="B192" s="121" t="str">
        <v>Banner</v>
      </c>
      <c r="C192" s="41">
        <v>5</v>
      </c>
      <c r="D192" s="41" t="str">
        <v>RL</v>
      </c>
      <c r="E192" s="117" t="str">
        <f t="shared" si="0"/>
        <v>RL</v>
      </c>
      <c r="F192" s="41" t="str">
        <v/>
      </c>
      <c r="G192" s="41" t="str">
        <v/>
      </c>
      <c r="H192" s="117">
        <f t="shared" si="1"/>
        <v>0</v>
      </c>
      <c r="I192" s="117">
        <f t="shared" si="2"/>
        <v>6</v>
      </c>
      <c r="J192" s="117">
        <f t="shared" si="3"/>
        <v>6.0299999999999994</v>
      </c>
      <c r="K192" s="117" t="str">
        <f t="shared" si="4"/>
        <v>BR</v>
      </c>
      <c r="L192" s="42" t="str">
        <v>BR0603</v>
      </c>
      <c r="M192" s="121" t="str">
        <v/>
      </c>
      <c r="N192" s="121" t="str">
        <v/>
      </c>
      <c r="O192" s="121" t="str">
        <v/>
      </c>
      <c r="P192" s="121" t="str">
        <v/>
      </c>
      <c r="Q192" s="121" t="str">
        <v/>
      </c>
      <c r="R192" s="121" t="str">
        <v/>
      </c>
      <c r="S192" s="121" t="str">
        <v>Banner</v>
      </c>
      <c r="T192" s="119" t="str">
        <f>IF($C192&lt;4,IF($C192=3,T193,IF($C192=2,T$1,"")),Q192&amp;R192&amp;IF(LEN(S192)=0,"",Preferences!$C$2&amp;S192)&amp;IF(J193=J192,IF(LEN(R192&amp;S192)=0,"","
")&amp;T193,""))</f>
        <v xml:space="preserve">	• Banner
	• Teaser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U192" s="122" t="str">
        <v/>
      </c>
      <c r="V192" s="42"/>
      <c r="W192" s="42"/>
      <c r="X192" s="42"/>
      <c r="Y192" s="42"/>
      <c r="Z192" s="42"/>
      <c r="AA192" s="42"/>
      <c r="AB192" s="42"/>
    </row>
    <row r="193" spans="1:28" x14ac:dyDescent="0.25">
      <c r="A193" s="42" t="str">
        <v>1.6.3.1.2</v>
      </c>
      <c r="B193" s="121" t="str">
        <v>Teaser</v>
      </c>
      <c r="C193" s="41">
        <v>5</v>
      </c>
      <c r="D193" s="41" t="str">
        <v>RL</v>
      </c>
      <c r="E193" s="117" t="str">
        <f t="shared" si="0"/>
        <v>RL</v>
      </c>
      <c r="F193" s="41" t="str">
        <v/>
      </c>
      <c r="G193" s="41" t="str">
        <v/>
      </c>
      <c r="H193" s="117">
        <f t="shared" si="1"/>
        <v>0</v>
      </c>
      <c r="I193" s="117">
        <f t="shared" si="2"/>
        <v>6</v>
      </c>
      <c r="J193" s="117">
        <f t="shared" si="3"/>
        <v>6.0299999999999994</v>
      </c>
      <c r="K193" s="117" t="str">
        <f t="shared" si="4"/>
        <v>BR</v>
      </c>
      <c r="L193" s="42" t="str">
        <v>BR0603</v>
      </c>
      <c r="M193" s="121" t="str">
        <v/>
      </c>
      <c r="N193" s="121" t="str">
        <v/>
      </c>
      <c r="O193" s="121" t="str">
        <v/>
      </c>
      <c r="P193" s="121" t="str">
        <v/>
      </c>
      <c r="Q193" s="121" t="str">
        <v/>
      </c>
      <c r="R193" s="121" t="str">
        <v/>
      </c>
      <c r="S193" s="121" t="str">
        <v>Teaser</v>
      </c>
      <c r="T193" s="119" t="str">
        <f>IF($C193&lt;4,IF($C193=3,T194,IF($C193=2,T$1,"")),Q193&amp;R193&amp;IF(LEN(S193)=0,"",Preferences!$C$2&amp;S193)&amp;IF(J194=J193,IF(LEN(R193&amp;S193)=0,"","
")&amp;T194,""))</f>
        <v xml:space="preserve">	• Teaser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U193" s="122" t="str">
        <v/>
      </c>
      <c r="V193" s="42"/>
      <c r="W193" s="42"/>
      <c r="X193" s="42"/>
      <c r="Y193" s="42"/>
      <c r="Z193" s="42"/>
      <c r="AA193" s="42"/>
      <c r="AB193" s="42"/>
    </row>
    <row r="194" spans="1:28" x14ac:dyDescent="0.25">
      <c r="A194" s="42" t="str">
        <v>1.6.3.1.3</v>
      </c>
      <c r="B194" s="121" t="str">
        <v>Full page</v>
      </c>
      <c r="C194" s="41">
        <v>5</v>
      </c>
      <c r="D194" s="41" t="str">
        <v>RL</v>
      </c>
      <c r="E194" s="117" t="str">
        <f t="shared" si="0"/>
        <v>RL</v>
      </c>
      <c r="F194" s="41" t="str">
        <v/>
      </c>
      <c r="G194" s="41" t="str">
        <v/>
      </c>
      <c r="H194" s="117">
        <f t="shared" si="1"/>
        <v>0</v>
      </c>
      <c r="I194" s="117">
        <f t="shared" si="2"/>
        <v>6</v>
      </c>
      <c r="J194" s="117">
        <f t="shared" si="3"/>
        <v>6.0299999999999994</v>
      </c>
      <c r="K194" s="117" t="str">
        <f t="shared" si="4"/>
        <v>BR</v>
      </c>
      <c r="L194" s="42" t="str">
        <v>BR0603</v>
      </c>
      <c r="M194" s="121" t="str">
        <v/>
      </c>
      <c r="N194" s="121" t="str">
        <v/>
      </c>
      <c r="O194" s="121" t="str">
        <v/>
      </c>
      <c r="P194" s="121" t="str">
        <v/>
      </c>
      <c r="Q194" s="121" t="str">
        <v/>
      </c>
      <c r="R194" s="121" t="str">
        <v/>
      </c>
      <c r="S194" s="121" t="str">
        <v>Full page</v>
      </c>
      <c r="T194" s="119" t="str">
        <f>IF($C194&lt;4,IF($C194=3,T195,IF($C194=2,T$1,"")),Q194&amp;R194&amp;IF(LEN(S194)=0,"",Preferences!$C$2&amp;S194)&amp;IF(J195=J194,IF(LEN(R194&amp;S194)=0,"","
")&amp;T195,""))</f>
        <v xml:space="preserve">	• Full page
 2. A product or advertisement may be visually flagged to indicate the type of promotion, for example:
	• Promotion
	• Limited Stock
	• Big Discount, Clearance
	• Black Friday, Cyber Monday, etc.
	• Christmas, Easter
	• Holiday, Back-to-school (for toddlers going to preschool)
	• Season
	• etc.</v>
      </c>
      <c r="U194" s="122" t="str">
        <v/>
      </c>
      <c r="V194" s="42"/>
      <c r="W194" s="42"/>
      <c r="X194" s="42"/>
      <c r="Y194" s="42"/>
      <c r="Z194" s="42"/>
      <c r="AA194" s="42"/>
      <c r="AB194" s="42"/>
    </row>
    <row r="195" spans="1:28" x14ac:dyDescent="0.25">
      <c r="A195" s="42" t="str">
        <v>1.6.3.2</v>
      </c>
      <c r="B195" s="121" t="str">
        <v>A product or advertisement may be visually flagged to indicate the type of promotion, for example:</v>
      </c>
      <c r="C195" s="41">
        <v>4</v>
      </c>
      <c r="D195" s="41" t="str">
        <v>RD</v>
      </c>
      <c r="E195" s="117" t="str">
        <f t="shared" si="0"/>
        <v>RD</v>
      </c>
      <c r="F195" s="41" t="str">
        <v/>
      </c>
      <c r="G195" s="41" t="str">
        <v/>
      </c>
      <c r="H195" s="117">
        <f t="shared" si="1"/>
        <v>0</v>
      </c>
      <c r="I195" s="117">
        <f t="shared" si="2"/>
        <v>6</v>
      </c>
      <c r="J195" s="117">
        <f t="shared" si="3"/>
        <v>6.0299999999999994</v>
      </c>
      <c r="K195" s="117" t="str">
        <f t="shared" si="4"/>
        <v>BR</v>
      </c>
      <c r="L195" s="42" t="str">
        <v>BR0603</v>
      </c>
      <c r="M195" s="121" t="str">
        <v/>
      </c>
      <c r="N195" s="121" t="str">
        <v/>
      </c>
      <c r="O195" s="121" t="str">
        <v/>
      </c>
      <c r="P195" s="121" t="str">
        <v/>
      </c>
      <c r="Q195" s="121" t="str">
        <v xml:space="preserve"> 2. </v>
      </c>
      <c r="R195" s="121" t="str">
        <v>A product or advertisement may be visually flagged to indicate the type of promotion, for example:</v>
      </c>
      <c r="S195" s="121" t="str">
        <v/>
      </c>
      <c r="T195" s="119" t="str">
        <f>IF($C195&lt;4,IF($C195=3,T196,IF($C195=2,T$1,"")),Q195&amp;R195&amp;IF(LEN(S195)=0,"",Preferences!$C$2&amp;S195)&amp;IF(J196=J195,IF(LEN(R195&amp;S195)=0,"","
")&amp;T196,""))</f>
        <v xml:space="preserve"> 2. A product or advertisement may be visually flagged to indicate the type of promotion, for example:
	• Promotion
	• Limited Stock
	• Big Discount, Clearance
	• Black Friday, Cyber Monday, etc.
	• Christmas, Easter
	• Holiday, Back-to-school (for toddlers going to preschool)
	• Season
	• etc.</v>
      </c>
      <c r="U195" s="122" t="str">
        <v/>
      </c>
      <c r="V195" s="42"/>
      <c r="W195" s="42"/>
      <c r="X195" s="42"/>
      <c r="Y195" s="42"/>
      <c r="Z195" s="42"/>
      <c r="AA195" s="42"/>
      <c r="AB195" s="42"/>
    </row>
    <row r="196" spans="1:28" x14ac:dyDescent="0.25">
      <c r="A196" s="42" t="str">
        <v>1.6.3.2.1</v>
      </c>
      <c r="B196" s="121" t="str">
        <v>Promotion</v>
      </c>
      <c r="C196" s="41">
        <v>5</v>
      </c>
      <c r="D196" s="41" t="str">
        <v>RL</v>
      </c>
      <c r="E196" s="117" t="str">
        <f t="shared" si="0"/>
        <v>RL</v>
      </c>
      <c r="F196" s="41" t="str">
        <v/>
      </c>
      <c r="G196" s="41" t="str">
        <v/>
      </c>
      <c r="H196" s="117">
        <f t="shared" si="1"/>
        <v>0</v>
      </c>
      <c r="I196" s="117">
        <f t="shared" si="2"/>
        <v>6</v>
      </c>
      <c r="J196" s="117">
        <f t="shared" si="3"/>
        <v>6.0299999999999994</v>
      </c>
      <c r="K196" s="117" t="str">
        <f t="shared" si="4"/>
        <v>BR</v>
      </c>
      <c r="L196" s="42" t="str">
        <v>BR0603</v>
      </c>
      <c r="M196" s="121" t="str">
        <v/>
      </c>
      <c r="N196" s="121" t="str">
        <v/>
      </c>
      <c r="O196" s="121" t="str">
        <v/>
      </c>
      <c r="P196" s="121" t="str">
        <v/>
      </c>
      <c r="Q196" s="121" t="str">
        <v/>
      </c>
      <c r="R196" s="121" t="str">
        <v/>
      </c>
      <c r="S196" s="121" t="str">
        <v>Promotion</v>
      </c>
      <c r="T196" s="119" t="str">
        <f>IF($C196&lt;4,IF($C196=3,T197,IF($C196=2,T$1,"")),Q196&amp;R196&amp;IF(LEN(S196)=0,"",Preferences!$C$2&amp;S196)&amp;IF(J197=J196,IF(LEN(R196&amp;S196)=0,"","
")&amp;T197,""))</f>
        <v xml:space="preserve">	• Promotion
	• Limited Stock
	• Big Discount, Clearance
	• Black Friday, Cyber Monday, etc.
	• Christmas, Easter
	• Holiday, Back-to-school (for toddlers going to preschool)
	• Season
	• etc.</v>
      </c>
      <c r="U196" s="122" t="str">
        <v/>
      </c>
      <c r="V196" s="42"/>
      <c r="W196" s="42"/>
      <c r="X196" s="42"/>
      <c r="Y196" s="42"/>
      <c r="Z196" s="42"/>
      <c r="AA196" s="42"/>
      <c r="AB196" s="42"/>
    </row>
    <row r="197" spans="1:28" x14ac:dyDescent="0.25">
      <c r="A197" s="42" t="str">
        <v>1.6.3.2.2</v>
      </c>
      <c r="B197" s="121" t="str">
        <v>Limited Stock</v>
      </c>
      <c r="C197" s="41">
        <v>5</v>
      </c>
      <c r="D197" s="41" t="str">
        <v>RL</v>
      </c>
      <c r="E197" s="117" t="str">
        <f t="shared" si="0"/>
        <v>RL</v>
      </c>
      <c r="F197" s="41" t="str">
        <v/>
      </c>
      <c r="G197" s="41" t="str">
        <v/>
      </c>
      <c r="H197" s="117">
        <f t="shared" si="1"/>
        <v>0</v>
      </c>
      <c r="I197" s="117">
        <f t="shared" si="2"/>
        <v>6</v>
      </c>
      <c r="J197" s="117">
        <f t="shared" si="3"/>
        <v>6.0299999999999994</v>
      </c>
      <c r="K197" s="117" t="str">
        <f t="shared" si="4"/>
        <v>BR</v>
      </c>
      <c r="L197" s="42" t="str">
        <v>BR0603</v>
      </c>
      <c r="M197" s="121" t="str">
        <v/>
      </c>
      <c r="N197" s="121" t="str">
        <v/>
      </c>
      <c r="O197" s="121" t="str">
        <v/>
      </c>
      <c r="P197" s="121" t="str">
        <v/>
      </c>
      <c r="Q197" s="121" t="str">
        <v/>
      </c>
      <c r="R197" s="121" t="str">
        <v/>
      </c>
      <c r="S197" s="121" t="str">
        <v>Limited Stock</v>
      </c>
      <c r="T197" s="119" t="str">
        <f>IF($C197&lt;4,IF($C197=3,T198,IF($C197=2,T$1,"")),Q197&amp;R197&amp;IF(LEN(S197)=0,"",Preferences!$C$2&amp;S197)&amp;IF(J198=J197,IF(LEN(R197&amp;S197)=0,"","
")&amp;T198,""))</f>
        <v xml:space="preserve">	• Limited Stock
	• Big Discount, Clearance
	• Black Friday, Cyber Monday, etc.
	• Christmas, Easter
	• Holiday, Back-to-school (for toddlers going to preschool)
	• Season
	• etc.</v>
      </c>
      <c r="U197" s="122" t="str">
        <v/>
      </c>
      <c r="V197" s="42"/>
      <c r="W197" s="42"/>
      <c r="X197" s="42"/>
      <c r="Y197" s="42"/>
      <c r="Z197" s="42"/>
      <c r="AA197" s="42"/>
      <c r="AB197" s="42"/>
    </row>
    <row r="198" spans="1:28" x14ac:dyDescent="0.25">
      <c r="A198" s="42" t="str">
        <v>1.6.3.2.3</v>
      </c>
      <c r="B198" s="121" t="str">
        <v>Big Discount, Clearance</v>
      </c>
      <c r="C198" s="41">
        <v>5</v>
      </c>
      <c r="D198" s="41" t="str">
        <v>RL</v>
      </c>
      <c r="E198" s="117" t="str">
        <f t="shared" si="0"/>
        <v>RL</v>
      </c>
      <c r="F198" s="41" t="str">
        <v/>
      </c>
      <c r="G198" s="41" t="str">
        <v/>
      </c>
      <c r="H198" s="117">
        <f t="shared" si="1"/>
        <v>0</v>
      </c>
      <c r="I198" s="117">
        <f t="shared" si="2"/>
        <v>6</v>
      </c>
      <c r="J198" s="117">
        <f t="shared" si="3"/>
        <v>6.0299999999999994</v>
      </c>
      <c r="K198" s="117" t="str">
        <f t="shared" si="4"/>
        <v>BR</v>
      </c>
      <c r="L198" s="42" t="str">
        <v>BR0603</v>
      </c>
      <c r="M198" s="121" t="str">
        <v/>
      </c>
      <c r="N198" s="121" t="str">
        <v/>
      </c>
      <c r="O198" s="121" t="str">
        <v/>
      </c>
      <c r="P198" s="121" t="str">
        <v/>
      </c>
      <c r="Q198" s="121" t="str">
        <v/>
      </c>
      <c r="R198" s="121" t="str">
        <v/>
      </c>
      <c r="S198" s="121" t="str">
        <v>Big Discount, Clearance</v>
      </c>
      <c r="T198" s="119" t="str">
        <f>IF($C198&lt;4,IF($C198=3,T199,IF($C198=2,T$1,"")),Q198&amp;R198&amp;IF(LEN(S198)=0,"",Preferences!$C$2&amp;S198)&amp;IF(J199=J198,IF(LEN(R198&amp;S198)=0,"","
")&amp;T199,""))</f>
        <v xml:space="preserve">	• Big Discount, Clearance
	• Black Friday, Cyber Monday, etc.
	• Christmas, Easter
	• Holiday, Back-to-school (for toddlers going to preschool)
	• Season
	• etc.</v>
      </c>
      <c r="U198" s="122" t="str">
        <v/>
      </c>
      <c r="V198" s="42"/>
      <c r="W198" s="42"/>
      <c r="X198" s="42"/>
      <c r="Y198" s="42"/>
      <c r="Z198" s="42"/>
      <c r="AA198" s="42"/>
      <c r="AB198" s="42"/>
    </row>
    <row r="199" spans="1:28" x14ac:dyDescent="0.25">
      <c r="A199" s="42" t="str">
        <v>1.6.3.2.4</v>
      </c>
      <c r="B199" s="121" t="str">
        <v>Black Friday, Cyber Monday, etc.</v>
      </c>
      <c r="C199" s="41">
        <v>5</v>
      </c>
      <c r="D199" s="41" t="str">
        <v>RL</v>
      </c>
      <c r="E199" s="117" t="str">
        <f t="shared" si="0"/>
        <v>RL</v>
      </c>
      <c r="F199" s="41" t="str">
        <v/>
      </c>
      <c r="G199" s="41" t="str">
        <v/>
      </c>
      <c r="H199" s="117">
        <f t="shared" si="1"/>
        <v>0</v>
      </c>
      <c r="I199" s="117">
        <f t="shared" si="2"/>
        <v>6</v>
      </c>
      <c r="J199" s="117">
        <f t="shared" si="3"/>
        <v>6.0299999999999994</v>
      </c>
      <c r="K199" s="117" t="str">
        <f t="shared" si="4"/>
        <v>BR</v>
      </c>
      <c r="L199" s="42" t="str">
        <v>BR0603</v>
      </c>
      <c r="M199" s="121" t="str">
        <v/>
      </c>
      <c r="N199" s="121" t="str">
        <v/>
      </c>
      <c r="O199" s="121" t="str">
        <v/>
      </c>
      <c r="P199" s="121" t="str">
        <v/>
      </c>
      <c r="Q199" s="121" t="str">
        <v/>
      </c>
      <c r="R199" s="121" t="str">
        <v/>
      </c>
      <c r="S199" s="121" t="str">
        <v>Black Friday, Cyber Monday, etc.</v>
      </c>
      <c r="T199" s="119" t="str">
        <f>IF($C199&lt;4,IF($C199=3,T200,IF($C199=2,T$1,"")),Q199&amp;R199&amp;IF(LEN(S199)=0,"",Preferences!$C$2&amp;S199)&amp;IF(J200=J199,IF(LEN(R199&amp;S199)=0,"","
")&amp;T200,""))</f>
        <v xml:space="preserve">	• Black Friday, Cyber Monday, etc.
	• Christmas, Easter
	• Holiday, Back-to-school (for toddlers going to preschool)
	• Season
	• etc.</v>
      </c>
      <c r="U199" s="122" t="str">
        <v/>
      </c>
      <c r="V199" s="42"/>
      <c r="W199" s="42"/>
      <c r="X199" s="42"/>
      <c r="Y199" s="42"/>
      <c r="Z199" s="42"/>
      <c r="AA199" s="42"/>
      <c r="AB199" s="42"/>
    </row>
    <row r="200" spans="1:28" x14ac:dyDescent="0.25">
      <c r="A200" s="42" t="str">
        <v>1.6.3.2.5</v>
      </c>
      <c r="B200" s="121" t="str">
        <v>Christmas, Easter</v>
      </c>
      <c r="C200" s="41">
        <v>5</v>
      </c>
      <c r="D200" s="41" t="str">
        <v>RL</v>
      </c>
      <c r="E200" s="117" t="str">
        <f t="shared" si="0"/>
        <v>RL</v>
      </c>
      <c r="F200" s="41" t="str">
        <v/>
      </c>
      <c r="G200" s="41" t="str">
        <v/>
      </c>
      <c r="H200" s="117">
        <f t="shared" si="1"/>
        <v>0</v>
      </c>
      <c r="I200" s="117">
        <f t="shared" si="2"/>
        <v>6</v>
      </c>
      <c r="J200" s="117">
        <f t="shared" si="3"/>
        <v>6.0299999999999994</v>
      </c>
      <c r="K200" s="117" t="str">
        <f t="shared" si="4"/>
        <v>BR</v>
      </c>
      <c r="L200" s="42" t="str">
        <v>BR0603</v>
      </c>
      <c r="M200" s="121" t="str">
        <v/>
      </c>
      <c r="N200" s="121" t="str">
        <v/>
      </c>
      <c r="O200" s="121" t="str">
        <v/>
      </c>
      <c r="P200" s="121" t="str">
        <v/>
      </c>
      <c r="Q200" s="121" t="str">
        <v/>
      </c>
      <c r="R200" s="121" t="str">
        <v/>
      </c>
      <c r="S200" s="121" t="str">
        <v>Christmas, Easter</v>
      </c>
      <c r="T200" s="119" t="str">
        <f>IF($C200&lt;4,IF($C200=3,T201,IF($C200=2,T$1,"")),Q200&amp;R200&amp;IF(LEN(S200)=0,"",Preferences!$C$2&amp;S200)&amp;IF(J201=J200,IF(LEN(R200&amp;S200)=0,"","
")&amp;T201,""))</f>
        <v xml:space="preserve">	• Christmas, Easter
	• Holiday, Back-to-school (for toddlers going to preschool)
	• Season
	• etc.</v>
      </c>
      <c r="U200" s="122" t="str">
        <v/>
      </c>
      <c r="V200" s="42"/>
      <c r="W200" s="42"/>
      <c r="X200" s="42"/>
      <c r="Y200" s="42"/>
      <c r="Z200" s="42"/>
      <c r="AA200" s="42"/>
      <c r="AB200" s="42"/>
    </row>
    <row r="201" spans="1:28" x14ac:dyDescent="0.25">
      <c r="A201" s="42" t="str">
        <v>1.6.3.2.6</v>
      </c>
      <c r="B201" s="121" t="str">
        <v>Holiday, Back-to-school (for toddlers going to preschool)</v>
      </c>
      <c r="C201" s="41">
        <v>5</v>
      </c>
      <c r="D201" s="41" t="str">
        <v>RL</v>
      </c>
      <c r="E201" s="117" t="str">
        <f t="shared" si="0"/>
        <v>RL</v>
      </c>
      <c r="F201" s="41" t="str">
        <v/>
      </c>
      <c r="G201" s="41" t="str">
        <v/>
      </c>
      <c r="H201" s="117">
        <f t="shared" si="1"/>
        <v>0</v>
      </c>
      <c r="I201" s="117">
        <f t="shared" si="2"/>
        <v>6</v>
      </c>
      <c r="J201" s="117">
        <f t="shared" si="3"/>
        <v>6.0299999999999994</v>
      </c>
      <c r="K201" s="117" t="str">
        <f t="shared" si="4"/>
        <v>BR</v>
      </c>
      <c r="L201" s="42" t="str">
        <v>BR0603</v>
      </c>
      <c r="M201" s="121" t="str">
        <v/>
      </c>
      <c r="N201" s="121" t="str">
        <v/>
      </c>
      <c r="O201" s="121" t="str">
        <v/>
      </c>
      <c r="P201" s="121" t="str">
        <v/>
      </c>
      <c r="Q201" s="121" t="str">
        <v/>
      </c>
      <c r="R201" s="121" t="str">
        <v/>
      </c>
      <c r="S201" s="121" t="str">
        <v>Holiday, Back-to-school (for toddlers going to preschool)</v>
      </c>
      <c r="T201" s="119" t="str">
        <f>IF($C201&lt;4,IF($C201=3,T202,IF($C201=2,T$1,"")),Q201&amp;R201&amp;IF(LEN(S201)=0,"",Preferences!$C$2&amp;S201)&amp;IF(J202=J201,IF(LEN(R201&amp;S201)=0,"","
")&amp;T202,""))</f>
        <v xml:space="preserve">	• Holiday, Back-to-school (for toddlers going to preschool)
	• Season
	• etc.</v>
      </c>
      <c r="U201" s="122" t="str">
        <v/>
      </c>
      <c r="V201" s="42"/>
      <c r="W201" s="42"/>
      <c r="X201" s="42"/>
      <c r="Y201" s="42"/>
      <c r="Z201" s="42"/>
      <c r="AA201" s="42"/>
      <c r="AB201" s="42"/>
    </row>
    <row r="202" spans="1:28" x14ac:dyDescent="0.25">
      <c r="A202" s="42" t="str">
        <v>1.6.3.2.7</v>
      </c>
      <c r="B202" s="121" t="str">
        <v>Season</v>
      </c>
      <c r="C202" s="41">
        <v>5</v>
      </c>
      <c r="D202" s="41" t="str">
        <v>RL</v>
      </c>
      <c r="E202" s="117" t="str">
        <f t="shared" si="0"/>
        <v>RL</v>
      </c>
      <c r="F202" s="41" t="str">
        <v/>
      </c>
      <c r="G202" s="41" t="str">
        <v/>
      </c>
      <c r="H202" s="117">
        <f t="shared" si="1"/>
        <v>0</v>
      </c>
      <c r="I202" s="117">
        <f t="shared" si="2"/>
        <v>6</v>
      </c>
      <c r="J202" s="117">
        <f t="shared" si="3"/>
        <v>6.0299999999999994</v>
      </c>
      <c r="K202" s="117" t="str">
        <f t="shared" si="4"/>
        <v>BR</v>
      </c>
      <c r="L202" s="42" t="str">
        <v>BR0603</v>
      </c>
      <c r="M202" s="121" t="str">
        <v/>
      </c>
      <c r="N202" s="121" t="str">
        <v/>
      </c>
      <c r="O202" s="121" t="str">
        <v/>
      </c>
      <c r="P202" s="121" t="str">
        <v/>
      </c>
      <c r="Q202" s="121" t="str">
        <v/>
      </c>
      <c r="R202" s="121" t="str">
        <v/>
      </c>
      <c r="S202" s="121" t="str">
        <v>Season</v>
      </c>
      <c r="T202" s="119" t="str">
        <f>IF($C202&lt;4,IF($C202=3,T203,IF($C202=2,T$1,"")),Q202&amp;R202&amp;IF(LEN(S202)=0,"",Preferences!$C$2&amp;S202)&amp;IF(J203=J202,IF(LEN(R202&amp;S202)=0,"","
")&amp;T203,""))</f>
        <v xml:space="preserve">	• Season
	• etc.</v>
      </c>
      <c r="U202" s="122" t="str">
        <v/>
      </c>
      <c r="V202" s="42"/>
      <c r="W202" s="42"/>
      <c r="X202" s="42"/>
      <c r="Y202" s="42"/>
      <c r="Z202" s="42"/>
      <c r="AA202" s="42"/>
      <c r="AB202" s="42"/>
    </row>
    <row r="203" spans="1:28" x14ac:dyDescent="0.25">
      <c r="A203" s="42" t="str">
        <v>1.6.3.2.8</v>
      </c>
      <c r="B203" s="121" t="str">
        <v>etc.</v>
      </c>
      <c r="C203" s="41">
        <v>5</v>
      </c>
      <c r="D203" s="41" t="str">
        <v>RL</v>
      </c>
      <c r="E203" s="117" t="str">
        <f t="shared" si="0"/>
        <v>RL</v>
      </c>
      <c r="F203" s="41" t="str">
        <v/>
      </c>
      <c r="G203" s="41" t="str">
        <v/>
      </c>
      <c r="H203" s="117">
        <f t="shared" si="1"/>
        <v>0</v>
      </c>
      <c r="I203" s="117">
        <f t="shared" si="2"/>
        <v>6</v>
      </c>
      <c r="J203" s="117">
        <f t="shared" si="3"/>
        <v>6.0299999999999994</v>
      </c>
      <c r="K203" s="117" t="str">
        <f t="shared" si="4"/>
        <v>BR</v>
      </c>
      <c r="L203" s="42" t="str">
        <v>BR0603</v>
      </c>
      <c r="M203" s="121" t="str">
        <v/>
      </c>
      <c r="N203" s="121" t="str">
        <v/>
      </c>
      <c r="O203" s="121" t="str">
        <v/>
      </c>
      <c r="P203" s="121" t="str">
        <v/>
      </c>
      <c r="Q203" s="121" t="str">
        <v/>
      </c>
      <c r="R203" s="121" t="str">
        <v/>
      </c>
      <c r="S203" s="121" t="str">
        <v>etc.</v>
      </c>
      <c r="T203" s="119" t="str">
        <f>IF($C203&lt;4,IF($C203=3,T204,IF($C203=2,T$1,"")),Q203&amp;R203&amp;IF(LEN(S203)=0,"",Preferences!$C$2&amp;S203)&amp;IF(J204=J203,IF(LEN(R203&amp;S203)=0,"","
")&amp;T204,""))</f>
        <v xml:space="preserve">	• etc.</v>
      </c>
      <c r="U203" s="122" t="str">
        <v/>
      </c>
      <c r="V203" s="42"/>
      <c r="W203" s="42"/>
      <c r="X203" s="42"/>
      <c r="Y203" s="42"/>
      <c r="Z203" s="42"/>
      <c r="AA203" s="42"/>
      <c r="AB203" s="42"/>
    </row>
    <row r="204" spans="1:28" x14ac:dyDescent="0.25">
      <c r="A204" s="42" t="str">
        <v>1.6.4</v>
      </c>
      <c r="B204" s="121" t="str">
        <v>6.4 Publish advertisement across channels</v>
      </c>
      <c r="C204" s="41">
        <v>3</v>
      </c>
      <c r="D204" s="41" t="str">
        <v>R</v>
      </c>
      <c r="E204" s="117" t="str">
        <f t="shared" si="0"/>
        <v>R</v>
      </c>
      <c r="F204" s="41" t="str">
        <v/>
      </c>
      <c r="G204" s="41" t="str">
        <v/>
      </c>
      <c r="H204" s="117">
        <f t="shared" si="1"/>
        <v>0</v>
      </c>
      <c r="I204" s="117">
        <f t="shared" si="2"/>
        <v>6</v>
      </c>
      <c r="J204" s="117">
        <f t="shared" si="3"/>
        <v>6.0399999999999991</v>
      </c>
      <c r="K204" s="117" t="str">
        <f t="shared" si="4"/>
        <v>BR</v>
      </c>
      <c r="L204" s="42" t="str">
        <v>BR0604</v>
      </c>
      <c r="M204" s="121" t="str">
        <v/>
      </c>
      <c r="N204" s="121" t="str">
        <v/>
      </c>
      <c r="O204" s="121" t="str">
        <v>BR0604</v>
      </c>
      <c r="P204" s="121" t="str">
        <v>Publish advertisement across channels</v>
      </c>
      <c r="Q204" s="121" t="str">
        <v/>
      </c>
      <c r="R204" s="121" t="str">
        <v/>
      </c>
      <c r="S204" s="121" t="str">
        <v/>
      </c>
      <c r="T204" s="119" t="str">
        <f>IF($C204&lt;4,IF($C204=3,T205,IF($C204=2,T$1,"")),Q204&amp;R204&amp;IF(LEN(S204)=0,"",Preferences!$C$2&amp;S204)&amp;IF(J205=J204,IF(LEN(R204&amp;S204)=0,"","
")&amp;T205,""))</f>
        <v xml:space="preserve"> 1. Review each advertisements before publishing it.
 2. Separately publish each advertisement to the online shop and/or specific online channels.
 3. Maintain a list of the channels where the advertisement is published.</v>
      </c>
      <c r="U204" s="122" t="str">
        <v/>
      </c>
      <c r="V204" s="42"/>
      <c r="W204" s="42"/>
      <c r="X204" s="42"/>
      <c r="Y204" s="42"/>
      <c r="Z204" s="42"/>
      <c r="AA204" s="42"/>
      <c r="AB204" s="42"/>
    </row>
    <row r="205" spans="1:28" x14ac:dyDescent="0.25">
      <c r="A205" s="42" t="str">
        <v>1.6.4.1</v>
      </c>
      <c r="B205" s="121" t="str">
        <v>Review each advertisements before publishing it.</v>
      </c>
      <c r="C205" s="41">
        <v>4</v>
      </c>
      <c r="D205" s="41" t="str">
        <v>RD</v>
      </c>
      <c r="E205" s="117" t="str">
        <f t="shared" si="0"/>
        <v>RD</v>
      </c>
      <c r="F205" s="41" t="str">
        <v/>
      </c>
      <c r="G205" s="41" t="str">
        <v/>
      </c>
      <c r="H205" s="117">
        <f t="shared" si="1"/>
        <v>0</v>
      </c>
      <c r="I205" s="117">
        <f t="shared" si="2"/>
        <v>6</v>
      </c>
      <c r="J205" s="117">
        <f t="shared" si="3"/>
        <v>6.0399999999999991</v>
      </c>
      <c r="K205" s="117" t="str">
        <f t="shared" si="4"/>
        <v>BR</v>
      </c>
      <c r="L205" s="42" t="str">
        <v>BR0604</v>
      </c>
      <c r="M205" s="121" t="str">
        <v/>
      </c>
      <c r="N205" s="121" t="str">
        <v/>
      </c>
      <c r="O205" s="121" t="str">
        <v/>
      </c>
      <c r="P205" s="121" t="str">
        <v/>
      </c>
      <c r="Q205" s="121" t="str">
        <v xml:space="preserve"> 1. </v>
      </c>
      <c r="R205" s="121" t="str">
        <v>Review each advertisements before publishing it.</v>
      </c>
      <c r="S205" s="121" t="str">
        <v/>
      </c>
      <c r="T205" s="119" t="str">
        <f>IF($C205&lt;4,IF($C205=3,T206,IF($C205=2,T$1,"")),Q205&amp;R205&amp;IF(LEN(S205)=0,"",Preferences!$C$2&amp;S205)&amp;IF(J206=J205,IF(LEN(R205&amp;S205)=0,"","
")&amp;T206,""))</f>
        <v xml:space="preserve"> 1. Review each advertisements before publishing it.
 2. Separately publish each advertisement to the online shop and/or specific online channels.
 3. Maintain a list of the channels where the advertisement is published.</v>
      </c>
      <c r="U205" s="122" t="str">
        <v/>
      </c>
      <c r="V205" s="42"/>
      <c r="W205" s="42"/>
      <c r="X205" s="42"/>
      <c r="Y205" s="42"/>
      <c r="Z205" s="42"/>
      <c r="AA205" s="42"/>
      <c r="AB205" s="42"/>
    </row>
    <row r="206" spans="1:28" x14ac:dyDescent="0.25">
      <c r="A206" s="42" t="str">
        <v>1.6.4.2</v>
      </c>
      <c r="B206" s="121" t="str">
        <v>Separately publish each advertisement to the online shop and/or specific online channels.</v>
      </c>
      <c r="C206" s="41">
        <v>4</v>
      </c>
      <c r="D206" s="41" t="str">
        <v>RD</v>
      </c>
      <c r="E206" s="117" t="str">
        <f t="shared" si="0"/>
        <v>RD</v>
      </c>
      <c r="F206" s="41" t="str">
        <v/>
      </c>
      <c r="G206" s="41" t="str">
        <v/>
      </c>
      <c r="H206" s="117">
        <f t="shared" si="1"/>
        <v>0</v>
      </c>
      <c r="I206" s="117">
        <f t="shared" si="2"/>
        <v>6</v>
      </c>
      <c r="J206" s="117">
        <f t="shared" si="3"/>
        <v>6.0399999999999991</v>
      </c>
      <c r="K206" s="117" t="str">
        <f t="shared" si="4"/>
        <v>BR</v>
      </c>
      <c r="L206" s="42" t="str">
        <v>BR0604</v>
      </c>
      <c r="M206" s="121" t="str">
        <v/>
      </c>
      <c r="N206" s="121" t="str">
        <v/>
      </c>
      <c r="O206" s="121" t="str">
        <v/>
      </c>
      <c r="P206" s="121" t="str">
        <v/>
      </c>
      <c r="Q206" s="121" t="str">
        <v xml:space="preserve"> 2. </v>
      </c>
      <c r="R206" s="121" t="str">
        <v>Separately publish each advertisement to the online shop and/or specific online channels.</v>
      </c>
      <c r="S206" s="121" t="str">
        <v/>
      </c>
      <c r="T206" s="119" t="str">
        <f>IF($C206&lt;4,IF($C206=3,T207,IF($C206=2,T$1,"")),Q206&amp;R206&amp;IF(LEN(S206)=0,"",Preferences!$C$2&amp;S206)&amp;IF(J207=J206,IF(LEN(R206&amp;S206)=0,"","
")&amp;T207,""))</f>
        <v xml:space="preserve"> 2. Separately publish each advertisement to the online shop and/or specific online channels.
 3. Maintain a list of the channels where the advertisement is published.</v>
      </c>
      <c r="U206" s="122" t="str">
        <v/>
      </c>
      <c r="V206" s="42"/>
      <c r="W206" s="42"/>
      <c r="X206" s="42"/>
      <c r="Y206" s="42"/>
      <c r="Z206" s="42"/>
      <c r="AA206" s="42"/>
      <c r="AB206" s="42"/>
    </row>
    <row r="207" spans="1:28" x14ac:dyDescent="0.25">
      <c r="A207" s="42" t="str">
        <v>1.6.4.3</v>
      </c>
      <c r="B207" s="121" t="str">
        <v>Maintain a list of the channels where the advertisement is published.</v>
      </c>
      <c r="C207" s="41">
        <v>4</v>
      </c>
      <c r="D207" s="41" t="str">
        <v>RD</v>
      </c>
      <c r="E207" s="117" t="str">
        <f t="shared" si="0"/>
        <v>RD</v>
      </c>
      <c r="F207" s="41" t="str">
        <v/>
      </c>
      <c r="G207" s="41" t="str">
        <v/>
      </c>
      <c r="H207" s="117">
        <f t="shared" si="1"/>
        <v>0</v>
      </c>
      <c r="I207" s="117">
        <f t="shared" si="2"/>
        <v>6</v>
      </c>
      <c r="J207" s="117">
        <f t="shared" si="3"/>
        <v>6.0399999999999991</v>
      </c>
      <c r="K207" s="117" t="str">
        <f t="shared" si="4"/>
        <v>BR</v>
      </c>
      <c r="L207" s="42" t="str">
        <v>BR0604</v>
      </c>
      <c r="M207" s="121" t="str">
        <v/>
      </c>
      <c r="N207" s="121" t="str">
        <v/>
      </c>
      <c r="O207" s="121" t="str">
        <v/>
      </c>
      <c r="P207" s="121" t="str">
        <v/>
      </c>
      <c r="Q207" s="121" t="str">
        <v xml:space="preserve"> 3. </v>
      </c>
      <c r="R207" s="121" t="str">
        <v>Maintain a list of the channels where the advertisement is published.</v>
      </c>
      <c r="S207" s="121" t="str">
        <v/>
      </c>
      <c r="T207" s="119" t="str">
        <f>IF($C207&lt;4,IF($C207=3,T208,IF($C207=2,T$1,"")),Q207&amp;R207&amp;IF(LEN(S207)=0,"",Preferences!$C$2&amp;S207)&amp;IF(J208=J207,IF(LEN(R207&amp;S207)=0,"","
")&amp;T208,""))</f>
        <v xml:space="preserve"> 3. Maintain a list of the channels where the advertisement is published.</v>
      </c>
      <c r="U207" s="122" t="str">
        <v/>
      </c>
      <c r="V207" s="42"/>
      <c r="W207" s="42"/>
      <c r="X207" s="42"/>
      <c r="Y207" s="42"/>
      <c r="Z207" s="42"/>
      <c r="AA207" s="42"/>
      <c r="AB207" s="42"/>
    </row>
    <row r="208" spans="1:28" x14ac:dyDescent="0.25">
      <c r="A208" s="42" t="str">
        <v>1.7</v>
      </c>
      <c r="B208" s="121" t="str">
        <v>7 Special Content (Articles) (future phase)</v>
      </c>
      <c r="C208" s="41">
        <v>2</v>
      </c>
      <c r="D208" s="41" t="str">
        <v>RS</v>
      </c>
      <c r="E208" s="117" t="str">
        <f t="shared" si="0"/>
        <v>RS</v>
      </c>
      <c r="F208" s="41" t="str">
        <v/>
      </c>
      <c r="G208" s="41" t="str">
        <v/>
      </c>
      <c r="H208" s="117">
        <f t="shared" si="1"/>
        <v>0</v>
      </c>
      <c r="I208" s="117">
        <f t="shared" si="2"/>
        <v>7</v>
      </c>
      <c r="J208" s="117">
        <f t="shared" si="3"/>
        <v>7</v>
      </c>
      <c r="K208" s="117" t="str">
        <f t="shared" si="4"/>
        <v>BR</v>
      </c>
      <c r="L208" s="42">
        <v>7</v>
      </c>
      <c r="M208" s="121" t="str">
        <v/>
      </c>
      <c r="N208" s="121" t="str">
        <v>7 Special Content (Articles) (future phase)</v>
      </c>
      <c r="O208" s="121" t="str">
        <v>ReqID</v>
      </c>
      <c r="P208" s="121" t="e">
        <v>#N/A</v>
      </c>
      <c r="Q208" s="121" t="str">
        <v/>
      </c>
      <c r="R208" s="121" t="str">
        <v/>
      </c>
      <c r="S208" s="121" t="str">
        <v/>
      </c>
      <c r="T208" s="119" t="str">
        <f>IF($C208&lt;4,IF($C208=3,T209,IF($C208=2,T$1,"")),Q208&amp;R208&amp;IF(LEN(S208)=0,"",Preferences!$C$2&amp;S208)&amp;IF(J209=J208,IF(LEN(R208&amp;S208)=0,"","
")&amp;T209,""))</f>
        <v>Description</v>
      </c>
      <c r="U208" s="122" t="str">
        <v/>
      </c>
      <c r="V208" s="42"/>
      <c r="W208" s="42"/>
      <c r="X208" s="42"/>
      <c r="Y208" s="42"/>
      <c r="Z208" s="42"/>
      <c r="AA208" s="42"/>
      <c r="AB208" s="42"/>
    </row>
    <row r="209" spans="1:28" x14ac:dyDescent="0.25">
      <c r="A209" s="42" t="str">
        <v>1.7.1</v>
      </c>
      <c r="B209" s="121" t="str">
        <v>7.1 Maintain special content</v>
      </c>
      <c r="C209" s="41">
        <v>3</v>
      </c>
      <c r="D209" s="41" t="str">
        <v>R</v>
      </c>
      <c r="E209" s="117" t="str">
        <f t="shared" si="0"/>
        <v>R</v>
      </c>
      <c r="F209" s="41" t="str">
        <v/>
      </c>
      <c r="G209" s="41" t="str">
        <v/>
      </c>
      <c r="H209" s="117">
        <f t="shared" si="1"/>
        <v>0</v>
      </c>
      <c r="I209" s="117">
        <f t="shared" si="2"/>
        <v>7</v>
      </c>
      <c r="J209" s="117">
        <f t="shared" si="3"/>
        <v>7.01</v>
      </c>
      <c r="K209" s="117" t="str">
        <f t="shared" si="4"/>
        <v>BR</v>
      </c>
      <c r="L209" s="42" t="str">
        <v>BR0701</v>
      </c>
      <c r="M209" s="121" t="str">
        <v/>
      </c>
      <c r="N209" s="121" t="str">
        <v/>
      </c>
      <c r="O209" s="121" t="str">
        <v>BR0701</v>
      </c>
      <c r="P209" s="121" t="str">
        <v>Maintain special content</v>
      </c>
      <c r="Q209" s="121" t="str">
        <v/>
      </c>
      <c r="R209" s="121" t="str">
        <v/>
      </c>
      <c r="S209" s="121" t="str">
        <v/>
      </c>
      <c r="T209" s="119" t="str">
        <f>IF($C209&lt;4,IF($C209=3,T210,IF($C209=2,T$1,"")),Q209&amp;R209&amp;IF(LEN(S209)=0,"",Preferences!$C$2&amp;S209)&amp;IF(J210=J209,IF(LEN(R209&amp;S209)=0,"","
")&amp;T210,""))</f>
        <v xml:space="preserve"> 1. The article special content type is used to present informative content to selected customers on the online store. It may however be published to other channels.
 2. Maintain at least the following for each article: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09" s="122" t="str">
        <v/>
      </c>
      <c r="V209" s="42"/>
      <c r="W209" s="42"/>
      <c r="X209" s="42"/>
      <c r="Y209" s="42"/>
      <c r="Z209" s="42"/>
      <c r="AA209" s="42"/>
      <c r="AB209" s="42"/>
    </row>
    <row r="210" spans="1:28" x14ac:dyDescent="0.25">
      <c r="A210" s="42" t="str">
        <v>1.7.1.1</v>
      </c>
      <c r="B210" s="121" t="str">
        <v>The article special content type is used to present informative content to selected customers on the online store. It may however be published to other channels.</v>
      </c>
      <c r="C210" s="41">
        <v>4</v>
      </c>
      <c r="D210" s="41" t="str">
        <v>RD</v>
      </c>
      <c r="E210" s="117" t="str">
        <f t="shared" si="0"/>
        <v>RD</v>
      </c>
      <c r="F210" s="41" t="str">
        <v/>
      </c>
      <c r="G210" s="41" t="str">
        <v/>
      </c>
      <c r="H210" s="117">
        <f t="shared" si="1"/>
        <v>0</v>
      </c>
      <c r="I210" s="117">
        <f t="shared" si="2"/>
        <v>7</v>
      </c>
      <c r="J210" s="117">
        <f t="shared" si="3"/>
        <v>7.01</v>
      </c>
      <c r="K210" s="117" t="str">
        <f t="shared" si="4"/>
        <v>BR</v>
      </c>
      <c r="L210" s="42" t="str">
        <v>BR0701</v>
      </c>
      <c r="M210" s="121" t="str">
        <v/>
      </c>
      <c r="N210" s="121" t="str">
        <v/>
      </c>
      <c r="O210" s="121" t="str">
        <v/>
      </c>
      <c r="P210" s="121" t="str">
        <v/>
      </c>
      <c r="Q210" s="121" t="str">
        <v xml:space="preserve"> 1. </v>
      </c>
      <c r="R210" s="121" t="str">
        <v>The article special content type is used to present informative content to selected customers on the online store. It may however be published to other channels.</v>
      </c>
      <c r="S210" s="121" t="str">
        <v/>
      </c>
      <c r="T210" s="119" t="str">
        <f>IF($C210&lt;4,IF($C210=3,T211,IF($C210=2,T$1,"")),Q210&amp;R210&amp;IF(LEN(S210)=0,"",Preferences!$C$2&amp;S210)&amp;IF(J211=J210,IF(LEN(R210&amp;S210)=0,"","
")&amp;T211,""))</f>
        <v xml:space="preserve"> 1. The article special content type is used to present informative content to selected customers on the online store. It may however be published to other channels.
 2. Maintain at least the following for each article: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0" s="122" t="str">
        <v/>
      </c>
      <c r="V210" s="42"/>
      <c r="W210" s="42"/>
      <c r="X210" s="42"/>
      <c r="Y210" s="42"/>
      <c r="Z210" s="42"/>
      <c r="AA210" s="42"/>
      <c r="AB210" s="42"/>
    </row>
    <row r="211" spans="1:28" x14ac:dyDescent="0.25">
      <c r="A211" s="42" t="str">
        <v>1.7.1.2</v>
      </c>
      <c r="B211" s="121" t="str">
        <v>Maintain at least the following for each article:</v>
      </c>
      <c r="C211" s="41">
        <v>4</v>
      </c>
      <c r="D211" s="41" t="str">
        <v>RD</v>
      </c>
      <c r="E211" s="117" t="str">
        <f t="shared" si="0"/>
        <v>RD</v>
      </c>
      <c r="F211" s="41" t="str">
        <v/>
      </c>
      <c r="G211" s="41" t="str">
        <v/>
      </c>
      <c r="H211" s="117">
        <f t="shared" si="1"/>
        <v>0</v>
      </c>
      <c r="I211" s="117">
        <f t="shared" si="2"/>
        <v>7</v>
      </c>
      <c r="J211" s="117">
        <f t="shared" si="3"/>
        <v>7.01</v>
      </c>
      <c r="K211" s="117" t="str">
        <f t="shared" si="4"/>
        <v>BR</v>
      </c>
      <c r="L211" s="42" t="str">
        <v>BR0701</v>
      </c>
      <c r="M211" s="121" t="str">
        <v/>
      </c>
      <c r="N211" s="121" t="str">
        <v/>
      </c>
      <c r="O211" s="121" t="str">
        <v/>
      </c>
      <c r="P211" s="121" t="str">
        <v/>
      </c>
      <c r="Q211" s="121" t="str">
        <v xml:space="preserve"> 2. </v>
      </c>
      <c r="R211" s="121" t="str">
        <v>Maintain at least the following for each article:</v>
      </c>
      <c r="S211" s="121" t="str">
        <v/>
      </c>
      <c r="T211" s="119" t="str">
        <f>IF($C211&lt;4,IF($C211=3,T212,IF($C211=2,T$1,"")),Q211&amp;R211&amp;IF(LEN(S211)=0,"",Preferences!$C$2&amp;S211)&amp;IF(J212=J211,IF(LEN(R211&amp;S211)=0,"","
")&amp;T212,""))</f>
        <v xml:space="preserve"> 2. Maintain at least the following for each article: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1" s="122" t="str">
        <v/>
      </c>
      <c r="V211" s="42"/>
      <c r="W211" s="42"/>
      <c r="X211" s="42"/>
      <c r="Y211" s="42"/>
      <c r="Z211" s="42"/>
      <c r="AA211" s="42"/>
      <c r="AB211" s="42"/>
    </row>
    <row r="212" spans="1:28" x14ac:dyDescent="0.25">
      <c r="A212" s="42" t="str">
        <v>1.7.1.2.1</v>
      </c>
      <c r="B212" s="121" t="str">
        <v>Unique identifier</v>
      </c>
      <c r="C212" s="41">
        <v>5</v>
      </c>
      <c r="D212" s="41" t="str">
        <v>RL</v>
      </c>
      <c r="E212" s="117" t="str">
        <f t="shared" si="0"/>
        <v>RL</v>
      </c>
      <c r="F212" s="41" t="str">
        <v/>
      </c>
      <c r="G212" s="41" t="str">
        <v/>
      </c>
      <c r="H212" s="117">
        <f t="shared" si="1"/>
        <v>0</v>
      </c>
      <c r="I212" s="117">
        <f t="shared" si="2"/>
        <v>7</v>
      </c>
      <c r="J212" s="117">
        <f t="shared" si="3"/>
        <v>7.01</v>
      </c>
      <c r="K212" s="117" t="str">
        <f t="shared" si="4"/>
        <v>BR</v>
      </c>
      <c r="L212" s="42" t="str">
        <v>BR0701</v>
      </c>
      <c r="M212" s="121" t="str">
        <v/>
      </c>
      <c r="N212" s="121" t="str">
        <v/>
      </c>
      <c r="O212" s="121" t="str">
        <v/>
      </c>
      <c r="P212" s="121" t="str">
        <v/>
      </c>
      <c r="Q212" s="121" t="str">
        <v/>
      </c>
      <c r="R212" s="121" t="str">
        <v/>
      </c>
      <c r="S212" s="121" t="str">
        <v>Unique identifier</v>
      </c>
      <c r="T212" s="119" t="str">
        <f>IF($C212&lt;4,IF($C212=3,T213,IF($C212=2,T$1,"")),Q212&amp;R212&amp;IF(LEN(S212)=0,"",Preferences!$C$2&amp;S212)&amp;IF(J213=J212,IF(LEN(R212&amp;S212)=0,"","
")&amp;T213,""))</f>
        <v xml:space="preserve">	• Unique identifier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2" s="122" t="str">
        <v/>
      </c>
      <c r="V212" s="42"/>
      <c r="W212" s="42"/>
      <c r="X212" s="42"/>
      <c r="Y212" s="42"/>
      <c r="Z212" s="42"/>
      <c r="AA212" s="42"/>
      <c r="AB212" s="42"/>
    </row>
    <row r="213" spans="1:28" x14ac:dyDescent="0.25">
      <c r="A213" s="42" t="str">
        <v>1.7.1.2.2</v>
      </c>
      <c r="B213" s="121" t="str">
        <v>Title</v>
      </c>
      <c r="C213" s="41">
        <v>5</v>
      </c>
      <c r="D213" s="41" t="str">
        <v>RL</v>
      </c>
      <c r="E213" s="117" t="str">
        <f t="shared" si="0"/>
        <v>RL</v>
      </c>
      <c r="F213" s="41" t="str">
        <v/>
      </c>
      <c r="G213" s="41" t="str">
        <v/>
      </c>
      <c r="H213" s="117">
        <f t="shared" si="1"/>
        <v>0</v>
      </c>
      <c r="I213" s="117">
        <f t="shared" si="2"/>
        <v>7</v>
      </c>
      <c r="J213" s="117">
        <f t="shared" si="3"/>
        <v>7.01</v>
      </c>
      <c r="K213" s="117" t="str">
        <f t="shared" si="4"/>
        <v>BR</v>
      </c>
      <c r="L213" s="42" t="str">
        <v>BR0701</v>
      </c>
      <c r="M213" s="121" t="str">
        <v/>
      </c>
      <c r="N213" s="121" t="str">
        <v/>
      </c>
      <c r="O213" s="121" t="str">
        <v/>
      </c>
      <c r="P213" s="121" t="str">
        <v/>
      </c>
      <c r="Q213" s="121" t="str">
        <v/>
      </c>
      <c r="R213" s="121" t="str">
        <v/>
      </c>
      <c r="S213" s="121" t="str">
        <v>Title</v>
      </c>
      <c r="T213" s="119" t="str">
        <f>IF($C213&lt;4,IF($C213=3,T214,IF($C213=2,T$1,"")),Q213&amp;R213&amp;IF(LEN(S213)=0,"",Preferences!$C$2&amp;S213)&amp;IF(J214=J213,IF(LEN(R213&amp;S213)=0,"","
")&amp;T214,""))</f>
        <v xml:space="preserve">	• Title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3" s="122" t="str">
        <v/>
      </c>
      <c r="V213" s="42"/>
      <c r="W213" s="42"/>
      <c r="X213" s="42"/>
      <c r="Y213" s="42"/>
      <c r="Z213" s="42"/>
      <c r="AA213" s="42"/>
      <c r="AB213" s="42"/>
    </row>
    <row r="214" spans="1:28" x14ac:dyDescent="0.25">
      <c r="A214" s="42" t="str">
        <v>1.7.1.2.3</v>
      </c>
      <c r="B214" s="121" t="str">
        <v>Teaser (short rich-text description, displayed where space is limited/in lists)</v>
      </c>
      <c r="C214" s="41">
        <v>5</v>
      </c>
      <c r="D214" s="41" t="str">
        <v>RL</v>
      </c>
      <c r="E214" s="117" t="str">
        <f t="shared" si="0"/>
        <v>RL</v>
      </c>
      <c r="F214" s="41" t="str">
        <v/>
      </c>
      <c r="G214" s="41" t="str">
        <v/>
      </c>
      <c r="H214" s="117">
        <f t="shared" si="1"/>
        <v>0</v>
      </c>
      <c r="I214" s="117">
        <f t="shared" si="2"/>
        <v>7</v>
      </c>
      <c r="J214" s="117">
        <f t="shared" si="3"/>
        <v>7.01</v>
      </c>
      <c r="K214" s="117" t="str">
        <f t="shared" si="4"/>
        <v>BR</v>
      </c>
      <c r="L214" s="42" t="str">
        <v>BR0701</v>
      </c>
      <c r="M214" s="121" t="str">
        <v/>
      </c>
      <c r="N214" s="121" t="str">
        <v/>
      </c>
      <c r="O214" s="121" t="str">
        <v/>
      </c>
      <c r="P214" s="121" t="str">
        <v/>
      </c>
      <c r="Q214" s="121" t="str">
        <v/>
      </c>
      <c r="R214" s="121" t="str">
        <v/>
      </c>
      <c r="S214" s="121" t="str">
        <v>Teaser (short rich-text description, displayed where space is limited/in lists)</v>
      </c>
      <c r="T214" s="119" t="str">
        <f>IF($C214&lt;4,IF($C214=3,T215,IF($C214=2,T$1,"")),Q214&amp;R214&amp;IF(LEN(S214)=0,"",Preferences!$C$2&amp;S214)&amp;IF(J215=J214,IF(LEN(R214&amp;S214)=0,"","
")&amp;T215,""))</f>
        <v xml:space="preserve">	• Teaser (short rich-text description, displayed where space is limited/in lists)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4" s="122" t="str">
        <v/>
      </c>
      <c r="V214" s="42"/>
      <c r="W214" s="42"/>
      <c r="X214" s="42"/>
      <c r="Y214" s="42"/>
      <c r="Z214" s="42"/>
      <c r="AA214" s="42"/>
      <c r="AB214" s="42"/>
    </row>
    <row r="215" spans="1:28" x14ac:dyDescent="0.25">
      <c r="A215" s="42" t="str">
        <v>1.7.1.2.4</v>
      </c>
      <c r="B215" s="121" t="str">
        <v>Description (full rich-text with images, displayed in full view)</v>
      </c>
      <c r="C215" s="41">
        <v>5</v>
      </c>
      <c r="D215" s="41" t="str">
        <v>RL</v>
      </c>
      <c r="E215" s="117" t="str">
        <f t="shared" si="0"/>
        <v>RL</v>
      </c>
      <c r="F215" s="41" t="str">
        <v/>
      </c>
      <c r="G215" s="41" t="str">
        <v/>
      </c>
      <c r="H215" s="117">
        <f t="shared" si="1"/>
        <v>0</v>
      </c>
      <c r="I215" s="117">
        <f t="shared" si="2"/>
        <v>7</v>
      </c>
      <c r="J215" s="117">
        <f t="shared" si="3"/>
        <v>7.01</v>
      </c>
      <c r="K215" s="117" t="str">
        <f t="shared" si="4"/>
        <v>BR</v>
      </c>
      <c r="L215" s="42" t="str">
        <v>BR0701</v>
      </c>
      <c r="M215" s="121" t="str">
        <v/>
      </c>
      <c r="N215" s="121" t="str">
        <v/>
      </c>
      <c r="O215" s="121" t="str">
        <v/>
      </c>
      <c r="P215" s="121" t="str">
        <v/>
      </c>
      <c r="Q215" s="121" t="str">
        <v/>
      </c>
      <c r="R215" s="121" t="str">
        <v/>
      </c>
      <c r="S215" s="121" t="str">
        <v>Description (full rich-text with images, displayed in full view)</v>
      </c>
      <c r="T215" s="119" t="str">
        <f>IF($C215&lt;4,IF($C215=3,T216,IF($C215=2,T$1,"")),Q215&amp;R215&amp;IF(LEN(S215)=0,"",Preferences!$C$2&amp;S215)&amp;IF(J216=J215,IF(LEN(R215&amp;S215)=0,"","
")&amp;T216,""))</f>
        <v xml:space="preserve">	• Description (full rich-text with images, displayed in full view)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5" s="122" t="str">
        <v/>
      </c>
      <c r="V215" s="42"/>
      <c r="W215" s="42"/>
      <c r="X215" s="42"/>
      <c r="Y215" s="42"/>
      <c r="Z215" s="42"/>
      <c r="AA215" s="42"/>
      <c r="AB215" s="42"/>
    </row>
    <row r="216" spans="1:28" x14ac:dyDescent="0.25">
      <c r="A216" s="42" t="str">
        <v>1.7.1.2.5</v>
      </c>
      <c r="B216" s="121" t="str">
        <v>Product and/or advertisement images (one must be marked as the default)</v>
      </c>
      <c r="C216" s="41">
        <v>5</v>
      </c>
      <c r="D216" s="41" t="str">
        <v>RL</v>
      </c>
      <c r="E216" s="117" t="str">
        <f t="shared" si="0"/>
        <v>RL</v>
      </c>
      <c r="F216" s="41" t="str">
        <v/>
      </c>
      <c r="G216" s="41" t="str">
        <v/>
      </c>
      <c r="H216" s="117">
        <f t="shared" si="1"/>
        <v>0</v>
      </c>
      <c r="I216" s="117">
        <f t="shared" si="2"/>
        <v>7</v>
      </c>
      <c r="J216" s="117">
        <f t="shared" si="3"/>
        <v>7.01</v>
      </c>
      <c r="K216" s="117" t="str">
        <f t="shared" si="4"/>
        <v>BR</v>
      </c>
      <c r="L216" s="42" t="str">
        <v>BR0701</v>
      </c>
      <c r="M216" s="121" t="str">
        <v/>
      </c>
      <c r="N216" s="121" t="str">
        <v/>
      </c>
      <c r="O216" s="121" t="str">
        <v/>
      </c>
      <c r="P216" s="121" t="str">
        <v/>
      </c>
      <c r="Q216" s="121" t="str">
        <v/>
      </c>
      <c r="R216" s="121" t="str">
        <v/>
      </c>
      <c r="S216" s="121" t="str">
        <v>Product and/or advertisement images (one must be marked as the default)</v>
      </c>
      <c r="T216" s="119" t="str">
        <f>IF($C216&lt;4,IF($C216=3,T217,IF($C216=2,T$1,"")),Q216&amp;R216&amp;IF(LEN(S216)=0,"",Preferences!$C$2&amp;S216)&amp;IF(J217=J216,IF(LEN(R216&amp;S216)=0,"","
")&amp;T217,""))</f>
        <v xml:space="preserve">	• Product and/or advertisement images (one must be marked as the default)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6" s="122" t="str">
        <v/>
      </c>
      <c r="V216" s="42"/>
      <c r="W216" s="42"/>
      <c r="X216" s="42"/>
      <c r="Y216" s="42"/>
      <c r="Z216" s="42"/>
      <c r="AA216" s="42"/>
      <c r="AB216" s="42"/>
    </row>
    <row r="217" spans="1:28" x14ac:dyDescent="0.25">
      <c r="A217" s="42" t="str">
        <v>1.7.1.2.6</v>
      </c>
      <c r="B217" s="121" t="str">
        <v>Status (active, draft, published, archived, etc.)</v>
      </c>
      <c r="C217" s="41">
        <v>5</v>
      </c>
      <c r="D217" s="41" t="str">
        <v>RL</v>
      </c>
      <c r="E217" s="117" t="str">
        <f t="shared" si="0"/>
        <v>RL</v>
      </c>
      <c r="F217" s="41" t="str">
        <v/>
      </c>
      <c r="G217" s="41" t="str">
        <v/>
      </c>
      <c r="H217" s="117">
        <f t="shared" si="1"/>
        <v>0</v>
      </c>
      <c r="I217" s="117">
        <f t="shared" si="2"/>
        <v>7</v>
      </c>
      <c r="J217" s="117">
        <f t="shared" si="3"/>
        <v>7.01</v>
      </c>
      <c r="K217" s="117" t="str">
        <f t="shared" si="4"/>
        <v>BR</v>
      </c>
      <c r="L217" s="42" t="str">
        <v>BR0701</v>
      </c>
      <c r="M217" s="121" t="str">
        <v/>
      </c>
      <c r="N217" s="121" t="str">
        <v/>
      </c>
      <c r="O217" s="121" t="str">
        <v/>
      </c>
      <c r="P217" s="121" t="str">
        <v/>
      </c>
      <c r="Q217" s="121" t="str">
        <v/>
      </c>
      <c r="R217" s="121" t="str">
        <v/>
      </c>
      <c r="S217" s="121" t="str">
        <v>Status (active, draft, published, archived, etc.)</v>
      </c>
      <c r="T217" s="119" t="str">
        <f>IF($C217&lt;4,IF($C217=3,T218,IF($C217=2,T$1,"")),Q217&amp;R217&amp;IF(LEN(S217)=0,"",Preferences!$C$2&amp;S217)&amp;IF(J218=J217,IF(LEN(R217&amp;S217)=0,"","
")&amp;T218,""))</f>
        <v xml:space="preserve">	• Status (active, draft, published, archived, etc.)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7" s="122" t="str">
        <v/>
      </c>
      <c r="V217" s="42"/>
      <c r="W217" s="42"/>
      <c r="X217" s="42"/>
      <c r="Y217" s="42"/>
      <c r="Z217" s="42"/>
      <c r="AA217" s="42"/>
      <c r="AB217" s="42"/>
    </row>
    <row r="218" spans="1:28" x14ac:dyDescent="0.25">
      <c r="A218" s="42" t="str">
        <v>1.7.1.2.7</v>
      </c>
      <c r="B218" s="121" t="str">
        <v>Attachment - the article may have a downloadable PDF linked to it.</v>
      </c>
      <c r="C218" s="41">
        <v>5</v>
      </c>
      <c r="D218" s="41" t="str">
        <v>RL</v>
      </c>
      <c r="E218" s="117" t="str">
        <f t="shared" si="0"/>
        <v>RL</v>
      </c>
      <c r="F218" s="41" t="str">
        <v/>
      </c>
      <c r="G218" s="41" t="str">
        <v/>
      </c>
      <c r="H218" s="117">
        <f t="shared" si="1"/>
        <v>0</v>
      </c>
      <c r="I218" s="117">
        <f t="shared" si="2"/>
        <v>7</v>
      </c>
      <c r="J218" s="117">
        <f t="shared" si="3"/>
        <v>7.01</v>
      </c>
      <c r="K218" s="117" t="str">
        <f t="shared" si="4"/>
        <v>BR</v>
      </c>
      <c r="L218" s="42" t="str">
        <v>BR0701</v>
      </c>
      <c r="M218" s="121" t="str">
        <v/>
      </c>
      <c r="N218" s="121" t="str">
        <v/>
      </c>
      <c r="O218" s="121" t="str">
        <v/>
      </c>
      <c r="P218" s="121" t="str">
        <v/>
      </c>
      <c r="Q218" s="121" t="str">
        <v/>
      </c>
      <c r="R218" s="121" t="str">
        <v/>
      </c>
      <c r="S218" s="121" t="str">
        <v>Attachment - the article may have a downloadable PDF linked to it.</v>
      </c>
      <c r="T218" s="119" t="str">
        <f>IF($C218&lt;4,IF($C218=3,T219,IF($C218=2,T$1,"")),Q218&amp;R218&amp;IF(LEN(S218)=0,"",Preferences!$C$2&amp;S218)&amp;IF(J219=J218,IF(LEN(R218&amp;S218)=0,"","
")&amp;T219,""))</f>
        <v xml:space="preserve">	• Attachment - the article may have a downloadable PDF linked to it.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8" s="122" t="str">
        <v/>
      </c>
      <c r="V218" s="42"/>
      <c r="W218" s="42"/>
      <c r="X218" s="42"/>
      <c r="Y218" s="42"/>
      <c r="Z218" s="42"/>
      <c r="AA218" s="42"/>
      <c r="AB218" s="42"/>
    </row>
    <row r="219" spans="1:28" x14ac:dyDescent="0.25">
      <c r="A219" s="42" t="str">
        <v>1.7.1.3</v>
      </c>
      <c r="B219" s="121" t="str">
        <v>Maintain a published start and expiry (optional) date-time, for automatic un/publishing in the online shop.</v>
      </c>
      <c r="C219" s="41">
        <v>4</v>
      </c>
      <c r="D219" s="41" t="str">
        <v>RD</v>
      </c>
      <c r="E219" s="117" t="str">
        <f t="shared" si="0"/>
        <v>RD</v>
      </c>
      <c r="F219" s="41" t="str">
        <v/>
      </c>
      <c r="G219" s="41" t="str">
        <v/>
      </c>
      <c r="H219" s="117">
        <f t="shared" si="1"/>
        <v>0</v>
      </c>
      <c r="I219" s="117">
        <f t="shared" si="2"/>
        <v>7</v>
      </c>
      <c r="J219" s="117">
        <f t="shared" si="3"/>
        <v>7.01</v>
      </c>
      <c r="K219" s="117" t="str">
        <f t="shared" si="4"/>
        <v>BR</v>
      </c>
      <c r="L219" s="42" t="str">
        <v>BR0701</v>
      </c>
      <c r="M219" s="121" t="str">
        <v/>
      </c>
      <c r="N219" s="121" t="str">
        <v/>
      </c>
      <c r="O219" s="121" t="str">
        <v/>
      </c>
      <c r="P219" s="121" t="str">
        <v/>
      </c>
      <c r="Q219" s="121" t="str">
        <v xml:space="preserve"> 3. </v>
      </c>
      <c r="R219" s="121" t="str">
        <v>Maintain a published start and expiry (optional) date-time, for automatic un/publishing in the online shop.</v>
      </c>
      <c r="S219" s="121" t="str">
        <v/>
      </c>
      <c r="T219" s="119" t="str">
        <f>IF($C219&lt;4,IF($C219=3,T220,IF($C219=2,T$1,"")),Q219&amp;R219&amp;IF(LEN(S219)=0,"",Preferences!$C$2&amp;S219)&amp;IF(J220=J219,IF(LEN(R219&amp;S219)=0,"","
")&amp;T220,""))</f>
        <v xml:space="preserve"> 3. Maintain a published start and expiry (optional) date-time, for automatic un/publishing in the online shop.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19" s="122" t="str">
        <v/>
      </c>
      <c r="V219" s="42"/>
      <c r="W219" s="42"/>
      <c r="X219" s="42"/>
      <c r="Y219" s="42"/>
      <c r="Z219" s="42"/>
      <c r="AA219" s="42"/>
      <c r="AB219" s="42"/>
    </row>
    <row r="220" spans="1:28" x14ac:dyDescent="0.25">
      <c r="A220" s="42" t="str">
        <v>1.7.1.4</v>
      </c>
      <c r="B220" s="121" t="str">
        <v>Both text and images may contain URL links to a product/special content/online search on the online shop.</v>
      </c>
      <c r="C220" s="41">
        <v>4</v>
      </c>
      <c r="D220" s="41" t="str">
        <v>RD</v>
      </c>
      <c r="E220" s="117" t="str">
        <f t="shared" si="0"/>
        <v>RD</v>
      </c>
      <c r="F220" s="41" t="str">
        <v/>
      </c>
      <c r="G220" s="41" t="str">
        <v/>
      </c>
      <c r="H220" s="117">
        <f t="shared" si="1"/>
        <v>0</v>
      </c>
      <c r="I220" s="117">
        <f t="shared" si="2"/>
        <v>7</v>
      </c>
      <c r="J220" s="117">
        <f t="shared" si="3"/>
        <v>7.01</v>
      </c>
      <c r="K220" s="117" t="str">
        <f t="shared" si="4"/>
        <v>BR</v>
      </c>
      <c r="L220" s="42" t="str">
        <v>BR0701</v>
      </c>
      <c r="M220" s="121" t="str">
        <v/>
      </c>
      <c r="N220" s="121" t="str">
        <v/>
      </c>
      <c r="O220" s="121" t="str">
        <v/>
      </c>
      <c r="P220" s="121" t="str">
        <v/>
      </c>
      <c r="Q220" s="121" t="str">
        <v xml:space="preserve"> 4. </v>
      </c>
      <c r="R220" s="121" t="str">
        <v>Both text and images may contain URL links to a product/special content/online search on the online shop.</v>
      </c>
      <c r="S220" s="121" t="str">
        <v/>
      </c>
      <c r="T220" s="119" t="str">
        <f>IF($C220&lt;4,IF($C220=3,T221,IF($C220=2,T$1,"")),Q220&amp;R220&amp;IF(LEN(S220)=0,"",Preferences!$C$2&amp;S220)&amp;IF(J221=J220,IF(LEN(R220&amp;S220)=0,"","
")&amp;T221,""))</f>
        <v xml:space="preserve"> 4. Both text and images may contain URL links to a product/special content/online search on the online shop.
 5. Also see the Maintain various sizes for each image requirement in the Enrich Content section.
 6. Maintain the special content meta-data, as detailed in the Enrich special content meta-data for online use requirement of the Content Enrichment section.</v>
      </c>
      <c r="U220" s="122" t="str">
        <v/>
      </c>
      <c r="V220" s="42"/>
      <c r="W220" s="42"/>
      <c r="X220" s="42"/>
      <c r="Y220" s="42"/>
      <c r="Z220" s="42"/>
      <c r="AA220" s="42"/>
      <c r="AB220" s="42"/>
    </row>
    <row r="221" spans="1:28" x14ac:dyDescent="0.25">
      <c r="A221" s="42" t="str">
        <v>1.7.1.5</v>
      </c>
      <c r="B221" s="121" t="str">
        <v>Also see the Maintain various sizes for each image requirement in the Enrich Content section.</v>
      </c>
      <c r="C221" s="41">
        <v>4</v>
      </c>
      <c r="D221" s="41" t="str">
        <v>RD</v>
      </c>
      <c r="E221" s="117" t="str">
        <f t="shared" si="0"/>
        <v>RD</v>
      </c>
      <c r="F221" s="41" t="str">
        <v/>
      </c>
      <c r="G221" s="41" t="str">
        <v/>
      </c>
      <c r="H221" s="117">
        <f t="shared" si="1"/>
        <v>0</v>
      </c>
      <c r="I221" s="117">
        <f t="shared" si="2"/>
        <v>7</v>
      </c>
      <c r="J221" s="117">
        <f t="shared" si="3"/>
        <v>7.01</v>
      </c>
      <c r="K221" s="117" t="str">
        <f t="shared" si="4"/>
        <v>BR</v>
      </c>
      <c r="L221" s="42" t="str">
        <v>BR0701</v>
      </c>
      <c r="M221" s="121" t="str">
        <v/>
      </c>
      <c r="N221" s="121" t="str">
        <v/>
      </c>
      <c r="O221" s="121" t="str">
        <v/>
      </c>
      <c r="P221" s="121" t="str">
        <v/>
      </c>
      <c r="Q221" s="121" t="str">
        <v xml:space="preserve"> 5. </v>
      </c>
      <c r="R221" s="121" t="str">
        <v>Also see the Maintain various sizes for each image requirement in the Enrich Content section.</v>
      </c>
      <c r="S221" s="121" t="str">
        <v/>
      </c>
      <c r="T221" s="119" t="str">
        <f>IF($C221&lt;4,IF($C221=3,T222,IF($C221=2,T$1,"")),Q221&amp;R221&amp;IF(LEN(S221)=0,"",Preferences!$C$2&amp;S221)&amp;IF(J222=J221,IF(LEN(R221&amp;S221)=0,"","
")&amp;T222,""))</f>
        <v xml:space="preserve"> 5. Also see the Maintain various sizes for each image requirement in the Enrich Content section.
 6. Maintain the special content meta-data, as detailed in the Enrich special content meta-data for online use requirement of the Content Enrichment section.</v>
      </c>
      <c r="U221" s="122" t="str">
        <v/>
      </c>
      <c r="V221" s="42"/>
      <c r="W221" s="42"/>
      <c r="X221" s="42"/>
      <c r="Y221" s="42"/>
      <c r="Z221" s="42"/>
      <c r="AA221" s="42"/>
      <c r="AB221" s="42"/>
    </row>
    <row r="222" spans="1:28" x14ac:dyDescent="0.25">
      <c r="A222" s="42" t="str">
        <v>1.7.1.6</v>
      </c>
      <c r="B222" s="121" t="str">
        <v>Maintain the special content meta-data, as detailed in the Enrich special content meta-data for online use requirement of the Content Enrichment section.</v>
      </c>
      <c r="C222" s="41">
        <v>4</v>
      </c>
      <c r="D222" s="41" t="str">
        <v>RD</v>
      </c>
      <c r="E222" s="117" t="str">
        <f t="shared" si="0"/>
        <v>RD</v>
      </c>
      <c r="F222" s="41" t="str">
        <v/>
      </c>
      <c r="G222" s="41" t="str">
        <v/>
      </c>
      <c r="H222" s="117">
        <f t="shared" si="1"/>
        <v>0</v>
      </c>
      <c r="I222" s="117">
        <f t="shared" si="2"/>
        <v>7</v>
      </c>
      <c r="J222" s="117">
        <f t="shared" si="3"/>
        <v>7.01</v>
      </c>
      <c r="K222" s="117" t="str">
        <f t="shared" si="4"/>
        <v>BR</v>
      </c>
      <c r="L222" s="42" t="str">
        <v>BR0701</v>
      </c>
      <c r="M222" s="121" t="str">
        <v/>
      </c>
      <c r="N222" s="121" t="str">
        <v/>
      </c>
      <c r="O222" s="121" t="str">
        <v/>
      </c>
      <c r="P222" s="121" t="str">
        <v/>
      </c>
      <c r="Q222" s="121" t="str">
        <v xml:space="preserve"> 6. </v>
      </c>
      <c r="R222" s="121" t="str">
        <v>Maintain the special content meta-data, as detailed in the Enrich special content meta-data for online use requirement of the Content Enrichment section.</v>
      </c>
      <c r="S222" s="121" t="str">
        <v/>
      </c>
      <c r="T222" s="119" t="str">
        <f>IF($C222&lt;4,IF($C222=3,T223,IF($C222=2,T$1,"")),Q222&amp;R222&amp;IF(LEN(S222)=0,"",Preferences!$C$2&amp;S222)&amp;IF(J223=J222,IF(LEN(R222&amp;S222)=0,"","
")&amp;T223,""))</f>
        <v xml:space="preserve"> 6. Maintain the special content meta-data, as detailed in the Enrich special content meta-data for online use requirement of the Content Enrichment section.</v>
      </c>
      <c r="U222" s="122" t="str">
        <v/>
      </c>
      <c r="V222" s="42"/>
      <c r="W222" s="42"/>
      <c r="X222" s="42"/>
      <c r="Y222" s="42"/>
      <c r="Z222" s="42"/>
      <c r="AA222" s="42"/>
      <c r="AB222" s="42"/>
    </row>
    <row r="223" spans="1:28" x14ac:dyDescent="0.25">
      <c r="A223" s="42" t="str">
        <v>1.7.2</v>
      </c>
      <c r="B223" s="121" t="str">
        <v>7.2 Maintain website customer check-lists special content</v>
      </c>
      <c r="C223" s="41">
        <v>3</v>
      </c>
      <c r="D223" s="41" t="str">
        <v>R</v>
      </c>
      <c r="E223" s="117" t="str">
        <f t="shared" si="0"/>
        <v>R</v>
      </c>
      <c r="F223" s="41" t="str">
        <v/>
      </c>
      <c r="G223" s="41" t="str">
        <v/>
      </c>
      <c r="H223" s="117">
        <f t="shared" si="1"/>
        <v>0</v>
      </c>
      <c r="I223" s="117">
        <f t="shared" si="2"/>
        <v>7</v>
      </c>
      <c r="J223" s="117">
        <f t="shared" si="3"/>
        <v>7.02</v>
      </c>
      <c r="K223" s="117" t="str">
        <f t="shared" si="4"/>
        <v>BR</v>
      </c>
      <c r="L223" s="42" t="str">
        <v>BR0702</v>
      </c>
      <c r="M223" s="121" t="str">
        <v/>
      </c>
      <c r="N223" s="121" t="str">
        <v/>
      </c>
      <c r="O223" s="121" t="str">
        <v>BR0702</v>
      </c>
      <c r="P223" s="121" t="str">
        <v>Maintain website customer check-lists special content</v>
      </c>
      <c r="Q223" s="121" t="str">
        <v/>
      </c>
      <c r="R223" s="121" t="str">
        <v/>
      </c>
      <c r="S223" s="121" t="str">
        <v/>
      </c>
      <c r="T223" s="119" t="str">
        <f>IF($C223&lt;4,IF($C223=3,T224,IF($C223=2,T$1,"")),Q223&amp;R223&amp;IF(LEN(S223)=0,"",Preferences!$C$2&amp;S223)&amp;IF(J224=J223,IF(LEN(R223&amp;S223)=0,"","
")&amp;T224,""))</f>
        <v xml:space="preserve"> 1. The checklist special content type is used to present information to parents with a list of recommended products and other actions.
 2. In addition to all of the article requirements, it has a list of items.
 3. Each checklist task has a name and brief description.
 4. A checklist task may contains criteria for searching products of one/more subcategory/tags, with a link to find suitable products.
 5. A click on a checklist task is logged for statistical and customer profiling purposes.</v>
      </c>
      <c r="U223" s="122" t="str">
        <v/>
      </c>
      <c r="V223" s="42"/>
      <c r="W223" s="42"/>
      <c r="X223" s="42"/>
      <c r="Y223" s="42"/>
      <c r="Z223" s="42"/>
      <c r="AA223" s="42"/>
      <c r="AB223" s="42"/>
    </row>
    <row r="224" spans="1:28" x14ac:dyDescent="0.25">
      <c r="A224" s="42" t="str">
        <v>1.7.2.1</v>
      </c>
      <c r="B224" s="121" t="str">
        <v>The checklist special content type is used to present information to parents with a list of recommended products and other actions.</v>
      </c>
      <c r="C224" s="41">
        <v>4</v>
      </c>
      <c r="D224" s="41" t="str">
        <v>RD</v>
      </c>
      <c r="E224" s="117" t="str">
        <f t="shared" si="0"/>
        <v>RD</v>
      </c>
      <c r="F224" s="41" t="str">
        <v/>
      </c>
      <c r="G224" s="41" t="str">
        <v/>
      </c>
      <c r="H224" s="117">
        <f t="shared" si="1"/>
        <v>0</v>
      </c>
      <c r="I224" s="117">
        <f t="shared" si="2"/>
        <v>7</v>
      </c>
      <c r="J224" s="117">
        <f t="shared" si="3"/>
        <v>7.02</v>
      </c>
      <c r="K224" s="117" t="str">
        <f t="shared" si="4"/>
        <v>BR</v>
      </c>
      <c r="L224" s="42" t="str">
        <v>BR0702</v>
      </c>
      <c r="M224" s="121" t="str">
        <v/>
      </c>
      <c r="N224" s="121" t="str">
        <v/>
      </c>
      <c r="O224" s="121" t="str">
        <v/>
      </c>
      <c r="P224" s="121" t="str">
        <v/>
      </c>
      <c r="Q224" s="121" t="str">
        <v xml:space="preserve"> 1. </v>
      </c>
      <c r="R224" s="121" t="str">
        <v>The checklist special content type is used to present information to parents with a list of recommended products and other actions.</v>
      </c>
      <c r="S224" s="121" t="str">
        <v/>
      </c>
      <c r="T224" s="119" t="str">
        <f>IF($C224&lt;4,IF($C224=3,T225,IF($C224=2,T$1,"")),Q224&amp;R224&amp;IF(LEN(S224)=0,"",Preferences!$C$2&amp;S224)&amp;IF(J225=J224,IF(LEN(R224&amp;S224)=0,"","
")&amp;T225,""))</f>
        <v xml:space="preserve"> 1. The checklist special content type is used to present information to parents with a list of recommended products and other actions.
 2. In addition to all of the article requirements, it has a list of items.
 3. Each checklist task has a name and brief description.
 4. A checklist task may contains criteria for searching products of one/more subcategory/tags, with a link to find suitable products.
 5. A click on a checklist task is logged for statistical and customer profiling purposes.</v>
      </c>
      <c r="U224" s="122" t="str">
        <v/>
      </c>
      <c r="V224" s="42"/>
      <c r="W224" s="42"/>
      <c r="X224" s="42"/>
      <c r="Y224" s="42"/>
      <c r="Z224" s="42"/>
      <c r="AA224" s="42"/>
      <c r="AB224" s="42"/>
    </row>
    <row r="225" spans="1:28" x14ac:dyDescent="0.25">
      <c r="A225" s="42" t="str">
        <v>1.7.2.2</v>
      </c>
      <c r="B225" s="121" t="str">
        <v>In addition to all of the article requirements, it has a list of items.</v>
      </c>
      <c r="C225" s="41">
        <v>4</v>
      </c>
      <c r="D225" s="41" t="str">
        <v>RD</v>
      </c>
      <c r="E225" s="117" t="str">
        <f t="shared" si="0"/>
        <v>RD</v>
      </c>
      <c r="F225" s="41" t="str">
        <v/>
      </c>
      <c r="G225" s="41" t="str">
        <v/>
      </c>
      <c r="H225" s="117">
        <f t="shared" si="1"/>
        <v>0</v>
      </c>
      <c r="I225" s="117">
        <f t="shared" si="2"/>
        <v>7</v>
      </c>
      <c r="J225" s="117">
        <f t="shared" si="3"/>
        <v>7.02</v>
      </c>
      <c r="K225" s="117" t="str">
        <f t="shared" si="4"/>
        <v>BR</v>
      </c>
      <c r="L225" s="42" t="str">
        <v>BR0702</v>
      </c>
      <c r="M225" s="121" t="str">
        <v/>
      </c>
      <c r="N225" s="121" t="str">
        <v/>
      </c>
      <c r="O225" s="121" t="str">
        <v/>
      </c>
      <c r="P225" s="121" t="str">
        <v/>
      </c>
      <c r="Q225" s="121" t="str">
        <v xml:space="preserve"> 2. </v>
      </c>
      <c r="R225" s="121" t="str">
        <v>In addition to all of the article requirements, it has a list of items.</v>
      </c>
      <c r="S225" s="121" t="str">
        <v/>
      </c>
      <c r="T225" s="119" t="str">
        <f>IF($C225&lt;4,IF($C225=3,T226,IF($C225=2,T$1,"")),Q225&amp;R225&amp;IF(LEN(S225)=0,"",Preferences!$C$2&amp;S225)&amp;IF(J226=J225,IF(LEN(R225&amp;S225)=0,"","
")&amp;T226,""))</f>
        <v xml:space="preserve"> 2. In addition to all of the article requirements, it has a list of items.
 3. Each checklist task has a name and brief description.
 4. A checklist task may contains criteria for searching products of one/more subcategory/tags, with a link to find suitable products.
 5. A click on a checklist task is logged for statistical and customer profiling purposes.</v>
      </c>
      <c r="U225" s="122" t="str">
        <v/>
      </c>
      <c r="V225" s="42"/>
      <c r="W225" s="42"/>
      <c r="X225" s="42"/>
      <c r="Y225" s="42"/>
      <c r="Z225" s="42"/>
      <c r="AA225" s="42"/>
      <c r="AB225" s="42"/>
    </row>
    <row r="226" spans="1:28" x14ac:dyDescent="0.25">
      <c r="A226" s="42" t="str">
        <v>1.7.2.3</v>
      </c>
      <c r="B226" s="121" t="str">
        <v>Each checklist task has a name and brief description.</v>
      </c>
      <c r="C226" s="41">
        <v>4</v>
      </c>
      <c r="D226" s="41" t="str">
        <v>RD</v>
      </c>
      <c r="E226" s="117" t="str">
        <f t="shared" si="0"/>
        <v>RD</v>
      </c>
      <c r="F226" s="41" t="str">
        <v/>
      </c>
      <c r="G226" s="41" t="str">
        <v/>
      </c>
      <c r="H226" s="117">
        <f t="shared" si="1"/>
        <v>0</v>
      </c>
      <c r="I226" s="117">
        <f t="shared" si="2"/>
        <v>7</v>
      </c>
      <c r="J226" s="117">
        <f t="shared" si="3"/>
        <v>7.02</v>
      </c>
      <c r="K226" s="117" t="str">
        <f t="shared" si="4"/>
        <v>BR</v>
      </c>
      <c r="L226" s="42" t="str">
        <v>BR0702</v>
      </c>
      <c r="M226" s="121" t="str">
        <v/>
      </c>
      <c r="N226" s="121" t="str">
        <v/>
      </c>
      <c r="O226" s="121" t="str">
        <v/>
      </c>
      <c r="P226" s="121" t="str">
        <v/>
      </c>
      <c r="Q226" s="121" t="str">
        <v xml:space="preserve"> 3. </v>
      </c>
      <c r="R226" s="121" t="str">
        <v>Each checklist task has a name and brief description.</v>
      </c>
      <c r="S226" s="121" t="str">
        <v/>
      </c>
      <c r="T226" s="119" t="str">
        <f>IF($C226&lt;4,IF($C226=3,T227,IF($C226=2,T$1,"")),Q226&amp;R226&amp;IF(LEN(S226)=0,"",Preferences!$C$2&amp;S226)&amp;IF(J227=J226,IF(LEN(R226&amp;S226)=0,"","
")&amp;T227,""))</f>
        <v xml:space="preserve"> 3. Each checklist task has a name and brief description.
 4. A checklist task may contains criteria for searching products of one/more subcategory/tags, with a link to find suitable products.
 5. A click on a checklist task is logged for statistical and customer profiling purposes.</v>
      </c>
      <c r="U226" s="122" t="str">
        <v/>
      </c>
      <c r="V226" s="42"/>
      <c r="W226" s="42"/>
      <c r="X226" s="42"/>
      <c r="Y226" s="42"/>
      <c r="Z226" s="42"/>
      <c r="AA226" s="42"/>
      <c r="AB226" s="42"/>
    </row>
    <row r="227" spans="1:28" x14ac:dyDescent="0.25">
      <c r="A227" s="42" t="str">
        <v>1.7.2.4</v>
      </c>
      <c r="B227" s="121" t="str">
        <v>A checklist task may contains criteria for searching products of one/more subcategory/tags, with a link to find suitable products.</v>
      </c>
      <c r="C227" s="41">
        <v>4</v>
      </c>
      <c r="D227" s="41" t="str">
        <v>RD</v>
      </c>
      <c r="E227" s="117" t="str">
        <f t="shared" si="0"/>
        <v>RD</v>
      </c>
      <c r="F227" s="41" t="str">
        <v/>
      </c>
      <c r="G227" s="41" t="str">
        <v/>
      </c>
      <c r="H227" s="117">
        <f t="shared" si="1"/>
        <v>0</v>
      </c>
      <c r="I227" s="117">
        <f t="shared" si="2"/>
        <v>7</v>
      </c>
      <c r="J227" s="117">
        <f t="shared" si="3"/>
        <v>7.02</v>
      </c>
      <c r="K227" s="117" t="str">
        <f t="shared" si="4"/>
        <v>BR</v>
      </c>
      <c r="L227" s="42" t="str">
        <v>BR0702</v>
      </c>
      <c r="M227" s="121" t="str">
        <v/>
      </c>
      <c r="N227" s="121" t="str">
        <v/>
      </c>
      <c r="O227" s="121" t="str">
        <v/>
      </c>
      <c r="P227" s="121" t="str">
        <v/>
      </c>
      <c r="Q227" s="121" t="str">
        <v xml:space="preserve"> 4. </v>
      </c>
      <c r="R227" s="121" t="str">
        <v>A checklist task may contains criteria for searching products of one/more subcategory/tags, with a link to find suitable products.</v>
      </c>
      <c r="S227" s="121" t="str">
        <v/>
      </c>
      <c r="T227" s="119" t="str">
        <f>IF($C227&lt;4,IF($C227=3,T228,IF($C227=2,T$1,"")),Q227&amp;R227&amp;IF(LEN(S227)=0,"",Preferences!$C$2&amp;S227)&amp;IF(J228=J227,IF(LEN(R227&amp;S227)=0,"","
")&amp;T228,""))</f>
        <v xml:space="preserve"> 4. A checklist task may contains criteria for searching products of one/more subcategory/tags, with a link to find suitable products.
 5. A click on a checklist task is logged for statistical and customer profiling purposes.</v>
      </c>
      <c r="U227" s="122" t="str">
        <v/>
      </c>
      <c r="V227" s="42"/>
      <c r="W227" s="42"/>
      <c r="X227" s="42"/>
      <c r="Y227" s="42"/>
      <c r="Z227" s="42"/>
      <c r="AA227" s="42"/>
      <c r="AB227" s="42"/>
    </row>
    <row r="228" spans="1:28" x14ac:dyDescent="0.25">
      <c r="A228" s="42" t="str">
        <v>1.7.2.5</v>
      </c>
      <c r="B228" s="121" t="str">
        <v>A click on a checklist task is logged for statistical and customer profiling purposes.</v>
      </c>
      <c r="C228" s="41">
        <v>4</v>
      </c>
      <c r="D228" s="41" t="str">
        <v>RD</v>
      </c>
      <c r="E228" s="117" t="str">
        <f t="shared" si="0"/>
        <v>RD</v>
      </c>
      <c r="F228" s="41" t="str">
        <v/>
      </c>
      <c r="G228" s="41" t="str">
        <v/>
      </c>
      <c r="H228" s="117">
        <f t="shared" si="1"/>
        <v>0</v>
      </c>
      <c r="I228" s="117">
        <f t="shared" si="2"/>
        <v>7</v>
      </c>
      <c r="J228" s="117">
        <f t="shared" si="3"/>
        <v>7.02</v>
      </c>
      <c r="K228" s="117" t="str">
        <f t="shared" si="4"/>
        <v>BR</v>
      </c>
      <c r="L228" s="42" t="str">
        <v>BR0702</v>
      </c>
      <c r="M228" s="121" t="str">
        <v/>
      </c>
      <c r="N228" s="121" t="str">
        <v/>
      </c>
      <c r="O228" s="121" t="str">
        <v/>
      </c>
      <c r="P228" s="121" t="str">
        <v/>
      </c>
      <c r="Q228" s="121" t="str">
        <v xml:space="preserve"> 5. </v>
      </c>
      <c r="R228" s="121" t="str">
        <v>A click on a checklist task is logged for statistical and customer profiling purposes.</v>
      </c>
      <c r="S228" s="121" t="str">
        <v/>
      </c>
      <c r="T228" s="119" t="str">
        <f>IF($C228&lt;4,IF($C228=3,T229,IF($C228=2,T$1,"")),Q228&amp;R228&amp;IF(LEN(S228)=0,"",Preferences!$C$2&amp;S228)&amp;IF(J229=J228,IF(LEN(R228&amp;S228)=0,"","
")&amp;T229,""))</f>
        <v xml:space="preserve"> 5. A click on a checklist task is logged for statistical and customer profiling purposes.</v>
      </c>
      <c r="U228" s="122" t="str">
        <v/>
      </c>
      <c r="V228" s="42"/>
      <c r="W228" s="42"/>
      <c r="X228" s="42"/>
      <c r="Y228" s="42"/>
      <c r="Z228" s="42"/>
      <c r="AA228" s="42"/>
      <c r="AB228" s="42"/>
    </row>
    <row r="229" spans="1:28" x14ac:dyDescent="0.25">
      <c r="A229" s="42" t="str">
        <v>1.7.3</v>
      </c>
      <c r="B229" s="121" t="str">
        <v>7.3 Maintain online special content</v>
      </c>
      <c r="C229" s="41">
        <v>3</v>
      </c>
      <c r="D229" s="41" t="str">
        <v>R</v>
      </c>
      <c r="E229" s="117" t="str">
        <f t="shared" si="0"/>
        <v>R</v>
      </c>
      <c r="F229" s="41" t="str">
        <v/>
      </c>
      <c r="G229" s="41" t="str">
        <v/>
      </c>
      <c r="H229" s="117">
        <f t="shared" si="1"/>
        <v>0</v>
      </c>
      <c r="I229" s="117">
        <f t="shared" si="2"/>
        <v>7</v>
      </c>
      <c r="J229" s="117">
        <f t="shared" si="3"/>
        <v>7.0299999999999994</v>
      </c>
      <c r="K229" s="117" t="str">
        <f t="shared" si="4"/>
        <v>BR</v>
      </c>
      <c r="L229" s="42" t="str">
        <v>BR0703</v>
      </c>
      <c r="M229" s="121" t="str">
        <v/>
      </c>
      <c r="N229" s="121" t="str">
        <v/>
      </c>
      <c r="O229" s="121" t="str">
        <v>BR0703</v>
      </c>
      <c r="P229" s="121" t="str">
        <v>Maintain online special content</v>
      </c>
      <c r="Q229" s="121" t="str">
        <v/>
      </c>
      <c r="R229" s="121" t="str">
        <v/>
      </c>
      <c r="S229" s="121" t="str">
        <v/>
      </c>
      <c r="T229" s="119" t="str">
        <f>IF($C229&lt;4,IF($C229=3,T230,IF($C229=2,T$1,"")),Q229&amp;R229&amp;IF(LEN(S229)=0,"",Preferences!$C$2&amp;S229)&amp;IF(J230=J229,IF(LEN(R229&amp;S229)=0,"","
")&amp;T230,""))</f>
        <v xml:space="preserve"> 1. A special content item in the online shop may be presented in various formats:
	• Banner
	• Teaser block on side of page
	• Full page view
 2. A special content item may be visually flagged to indicate it as new, or updated.</v>
      </c>
      <c r="U229" s="122" t="str">
        <v/>
      </c>
      <c r="V229" s="42"/>
      <c r="W229" s="42"/>
      <c r="X229" s="42"/>
      <c r="Y229" s="42"/>
      <c r="Z229" s="42"/>
      <c r="AA229" s="42"/>
      <c r="AB229" s="42"/>
    </row>
    <row r="230" spans="1:28" x14ac:dyDescent="0.25">
      <c r="A230" s="42" t="str">
        <v>1.7.3.1</v>
      </c>
      <c r="B230" s="121" t="str">
        <v>A special content item in the online shop may be presented in various formats:</v>
      </c>
      <c r="C230" s="41">
        <v>4</v>
      </c>
      <c r="D230" s="41" t="str">
        <v>RD</v>
      </c>
      <c r="E230" s="117" t="str">
        <f t="shared" si="0"/>
        <v>RD</v>
      </c>
      <c r="F230" s="41" t="str">
        <v/>
      </c>
      <c r="G230" s="41" t="str">
        <v/>
      </c>
      <c r="H230" s="117">
        <f t="shared" si="1"/>
        <v>0</v>
      </c>
      <c r="I230" s="117">
        <f t="shared" si="2"/>
        <v>7</v>
      </c>
      <c r="J230" s="117">
        <f t="shared" si="3"/>
        <v>7.0299999999999994</v>
      </c>
      <c r="K230" s="117" t="str">
        <f t="shared" si="4"/>
        <v>BR</v>
      </c>
      <c r="L230" s="42" t="str">
        <v>BR0703</v>
      </c>
      <c r="M230" s="121" t="str">
        <v/>
      </c>
      <c r="N230" s="121" t="str">
        <v/>
      </c>
      <c r="O230" s="121" t="str">
        <v/>
      </c>
      <c r="P230" s="121" t="str">
        <v/>
      </c>
      <c r="Q230" s="121" t="str">
        <v xml:space="preserve"> 1. </v>
      </c>
      <c r="R230" s="121" t="str">
        <v>A special content item in the online shop may be presented in various formats:</v>
      </c>
      <c r="S230" s="121" t="str">
        <v/>
      </c>
      <c r="T230" s="119" t="str">
        <f>IF($C230&lt;4,IF($C230=3,T231,IF($C230=2,T$1,"")),Q230&amp;R230&amp;IF(LEN(S230)=0,"",Preferences!$C$2&amp;S230)&amp;IF(J231=J230,IF(LEN(R230&amp;S230)=0,"","
")&amp;T231,""))</f>
        <v xml:space="preserve"> 1. A special content item in the online shop may be presented in various formats:
	• Banner
	• Teaser block on side of page
	• Full page view
 2. A special content item may be visually flagged to indicate it as new, or updated.</v>
      </c>
      <c r="U230" s="122" t="str">
        <v/>
      </c>
      <c r="V230" s="42"/>
      <c r="W230" s="42"/>
      <c r="X230" s="42"/>
      <c r="Y230" s="42"/>
      <c r="Z230" s="42"/>
      <c r="AA230" s="42"/>
      <c r="AB230" s="42"/>
    </row>
    <row r="231" spans="1:28" x14ac:dyDescent="0.25">
      <c r="A231" s="42" t="str">
        <v>1.7.3.1.1</v>
      </c>
      <c r="B231" s="121" t="str">
        <v>Banner</v>
      </c>
      <c r="C231" s="41">
        <v>5</v>
      </c>
      <c r="D231" s="41" t="str">
        <v>RL</v>
      </c>
      <c r="E231" s="117" t="str">
        <f t="shared" si="0"/>
        <v>RL</v>
      </c>
      <c r="F231" s="41" t="str">
        <v/>
      </c>
      <c r="G231" s="41" t="str">
        <v/>
      </c>
      <c r="H231" s="117">
        <f t="shared" si="1"/>
        <v>0</v>
      </c>
      <c r="I231" s="117">
        <f t="shared" si="2"/>
        <v>7</v>
      </c>
      <c r="J231" s="117">
        <f t="shared" si="3"/>
        <v>7.0299999999999994</v>
      </c>
      <c r="K231" s="117" t="str">
        <f t="shared" si="4"/>
        <v>BR</v>
      </c>
      <c r="L231" s="42" t="str">
        <v>BR0703</v>
      </c>
      <c r="M231" s="121" t="str">
        <v/>
      </c>
      <c r="N231" s="121" t="str">
        <v/>
      </c>
      <c r="O231" s="121" t="str">
        <v/>
      </c>
      <c r="P231" s="121" t="str">
        <v/>
      </c>
      <c r="Q231" s="121" t="str">
        <v/>
      </c>
      <c r="R231" s="121" t="str">
        <v/>
      </c>
      <c r="S231" s="121" t="str">
        <v>Banner</v>
      </c>
      <c r="T231" s="119" t="str">
        <f>IF($C231&lt;4,IF($C231=3,T232,IF($C231=2,T$1,"")),Q231&amp;R231&amp;IF(LEN(S231)=0,"",Preferences!$C$2&amp;S231)&amp;IF(J232=J231,IF(LEN(R231&amp;S231)=0,"","
")&amp;T232,""))</f>
        <v xml:space="preserve">	• Banner
	• Teaser block on side of page
	• Full page view
 2. A special content item may be visually flagged to indicate it as new, or updated.</v>
      </c>
      <c r="U231" s="122" t="str">
        <v/>
      </c>
      <c r="V231" s="42"/>
      <c r="W231" s="42"/>
      <c r="X231" s="42"/>
      <c r="Y231" s="42"/>
      <c r="Z231" s="42"/>
      <c r="AA231" s="42"/>
      <c r="AB231" s="42"/>
    </row>
    <row r="232" spans="1:28" x14ac:dyDescent="0.25">
      <c r="A232" s="42" t="str">
        <v>1.7.3.1.2</v>
      </c>
      <c r="B232" s="121" t="str">
        <v>Teaser block on side of page</v>
      </c>
      <c r="C232" s="41">
        <v>5</v>
      </c>
      <c r="D232" s="41" t="str">
        <v>RL</v>
      </c>
      <c r="E232" s="117" t="str">
        <f t="shared" si="0"/>
        <v>RL</v>
      </c>
      <c r="F232" s="41" t="str">
        <v/>
      </c>
      <c r="G232" s="41" t="str">
        <v/>
      </c>
      <c r="H232" s="117">
        <f t="shared" si="1"/>
        <v>0</v>
      </c>
      <c r="I232" s="117">
        <f t="shared" si="2"/>
        <v>7</v>
      </c>
      <c r="J232" s="117">
        <f t="shared" si="3"/>
        <v>7.0299999999999994</v>
      </c>
      <c r="K232" s="117" t="str">
        <f t="shared" si="4"/>
        <v>BR</v>
      </c>
      <c r="L232" s="42" t="str">
        <v>BR0703</v>
      </c>
      <c r="M232" s="121" t="str">
        <v/>
      </c>
      <c r="N232" s="121" t="str">
        <v/>
      </c>
      <c r="O232" s="121" t="str">
        <v/>
      </c>
      <c r="P232" s="121" t="str">
        <v/>
      </c>
      <c r="Q232" s="121" t="str">
        <v/>
      </c>
      <c r="R232" s="121" t="str">
        <v/>
      </c>
      <c r="S232" s="121" t="str">
        <v>Teaser block on side of page</v>
      </c>
      <c r="T232" s="119" t="str">
        <f>IF($C232&lt;4,IF($C232=3,T233,IF($C232=2,T$1,"")),Q232&amp;R232&amp;IF(LEN(S232)=0,"",Preferences!$C$2&amp;S232)&amp;IF(J233=J232,IF(LEN(R232&amp;S232)=0,"","
")&amp;T233,""))</f>
        <v xml:space="preserve">	• Teaser block on side of page
	• Full page view
 2. A special content item may be visually flagged to indicate it as new, or updated.</v>
      </c>
      <c r="U232" s="122" t="str">
        <v/>
      </c>
      <c r="V232" s="42"/>
      <c r="W232" s="42"/>
      <c r="X232" s="42"/>
      <c r="Y232" s="42"/>
      <c r="Z232" s="42"/>
      <c r="AA232" s="42"/>
      <c r="AB232" s="42"/>
    </row>
    <row r="233" spans="1:28" x14ac:dyDescent="0.25">
      <c r="A233" s="42" t="str">
        <v>1.7.3.1.3</v>
      </c>
      <c r="B233" s="121" t="str">
        <v>Full page view</v>
      </c>
      <c r="C233" s="41">
        <v>5</v>
      </c>
      <c r="D233" s="41" t="str">
        <v>RL</v>
      </c>
      <c r="E233" s="117" t="str">
        <f t="shared" si="0"/>
        <v>RL</v>
      </c>
      <c r="F233" s="41" t="str">
        <v/>
      </c>
      <c r="G233" s="41" t="str">
        <v/>
      </c>
      <c r="H233" s="117">
        <f t="shared" si="1"/>
        <v>0</v>
      </c>
      <c r="I233" s="117">
        <f t="shared" si="2"/>
        <v>7</v>
      </c>
      <c r="J233" s="117">
        <f t="shared" si="3"/>
        <v>7.0299999999999994</v>
      </c>
      <c r="K233" s="117" t="str">
        <f t="shared" si="4"/>
        <v>BR</v>
      </c>
      <c r="L233" s="42" t="str">
        <v>BR0703</v>
      </c>
      <c r="M233" s="121" t="str">
        <v/>
      </c>
      <c r="N233" s="121" t="str">
        <v/>
      </c>
      <c r="O233" s="121" t="str">
        <v/>
      </c>
      <c r="P233" s="121" t="str">
        <v/>
      </c>
      <c r="Q233" s="121" t="str">
        <v/>
      </c>
      <c r="R233" s="121" t="str">
        <v/>
      </c>
      <c r="S233" s="121" t="str">
        <v>Full page view</v>
      </c>
      <c r="T233" s="119" t="str">
        <f>IF($C233&lt;4,IF($C233=3,T234,IF($C233=2,T$1,"")),Q233&amp;R233&amp;IF(LEN(S233)=0,"",Preferences!$C$2&amp;S233)&amp;IF(J234=J233,IF(LEN(R233&amp;S233)=0,"","
")&amp;T234,""))</f>
        <v xml:space="preserve">	• Full page view
 2. A special content item may be visually flagged to indicate it as new, or updated.</v>
      </c>
      <c r="U233" s="122" t="str">
        <v/>
      </c>
      <c r="V233" s="42"/>
      <c r="W233" s="42"/>
      <c r="X233" s="42"/>
      <c r="Y233" s="42"/>
      <c r="Z233" s="42"/>
      <c r="AA233" s="42"/>
      <c r="AB233" s="42"/>
    </row>
    <row r="234" spans="1:28" x14ac:dyDescent="0.25">
      <c r="A234" s="42" t="str">
        <v>1.7.3.2</v>
      </c>
      <c r="B234" s="121" t="str">
        <v>A special content item may be visually flagged to indicate it as new, or updated.</v>
      </c>
      <c r="C234" s="41">
        <v>4</v>
      </c>
      <c r="D234" s="41" t="str">
        <v>RD</v>
      </c>
      <c r="E234" s="117" t="str">
        <f t="shared" si="0"/>
        <v>RD</v>
      </c>
      <c r="F234" s="41" t="str">
        <v/>
      </c>
      <c r="G234" s="41" t="str">
        <v/>
      </c>
      <c r="H234" s="117">
        <f t="shared" si="1"/>
        <v>0</v>
      </c>
      <c r="I234" s="117">
        <f t="shared" si="2"/>
        <v>7</v>
      </c>
      <c r="J234" s="117">
        <f t="shared" si="3"/>
        <v>7.0299999999999994</v>
      </c>
      <c r="K234" s="117" t="str">
        <f t="shared" si="4"/>
        <v>BR</v>
      </c>
      <c r="L234" s="42" t="str">
        <v>BR0703</v>
      </c>
      <c r="M234" s="121" t="str">
        <v/>
      </c>
      <c r="N234" s="121" t="str">
        <v/>
      </c>
      <c r="O234" s="121" t="str">
        <v/>
      </c>
      <c r="P234" s="121" t="str">
        <v/>
      </c>
      <c r="Q234" s="121" t="str">
        <v xml:space="preserve"> 2. </v>
      </c>
      <c r="R234" s="121" t="str">
        <v>A special content item may be visually flagged to indicate it as new, or updated.</v>
      </c>
      <c r="S234" s="121" t="str">
        <v/>
      </c>
      <c r="T234" s="119" t="str">
        <f>IF($C234&lt;4,IF($C234=3,T235,IF($C234=2,T$1,"")),Q234&amp;R234&amp;IF(LEN(S234)=0,"",Preferences!$C$2&amp;S234)&amp;IF(J235=J234,IF(LEN(R234&amp;S234)=0,"","
")&amp;T235,""))</f>
        <v xml:space="preserve"> 2. A special content item may be visually flagged to indicate it as new, or updated.</v>
      </c>
      <c r="U234" s="122" t="str">
        <v/>
      </c>
      <c r="V234" s="42"/>
      <c r="W234" s="42"/>
      <c r="X234" s="42"/>
      <c r="Y234" s="42"/>
      <c r="Z234" s="42"/>
      <c r="AA234" s="42"/>
      <c r="AB234" s="42"/>
    </row>
    <row r="235" spans="1:28" x14ac:dyDescent="0.25">
      <c r="A235" s="42" t="str">
        <v>1.7.4</v>
      </c>
      <c r="B235" s="121" t="str">
        <v>7.4 Un/Publish website special content</v>
      </c>
      <c r="C235" s="41">
        <v>3</v>
      </c>
      <c r="D235" s="41" t="str">
        <v>R</v>
      </c>
      <c r="E235" s="117" t="str">
        <f t="shared" si="0"/>
        <v>R</v>
      </c>
      <c r="F235" s="41" t="str">
        <v/>
      </c>
      <c r="G235" s="41" t="str">
        <v/>
      </c>
      <c r="H235" s="117">
        <f t="shared" si="1"/>
        <v>0</v>
      </c>
      <c r="I235" s="117">
        <f t="shared" si="2"/>
        <v>7</v>
      </c>
      <c r="J235" s="117">
        <f t="shared" si="3"/>
        <v>7.0399999999999991</v>
      </c>
      <c r="K235" s="117" t="str">
        <f t="shared" si="4"/>
        <v>BR</v>
      </c>
      <c r="L235" s="42" t="str">
        <v>BR0704</v>
      </c>
      <c r="M235" s="121" t="str">
        <v/>
      </c>
      <c r="N235" s="121" t="str">
        <v/>
      </c>
      <c r="O235" s="121" t="str">
        <v>BR0704</v>
      </c>
      <c r="P235" s="121" t="str">
        <v>Un/Publish website special content</v>
      </c>
      <c r="Q235" s="121" t="str">
        <v/>
      </c>
      <c r="R235" s="121" t="str">
        <v/>
      </c>
      <c r="S235" s="121" t="str">
        <v/>
      </c>
      <c r="T235" s="119" t="str">
        <f>IF($C235&lt;4,IF($C235=3,T236,IF($C235=2,T$1,"")),Q235&amp;R235&amp;IF(LEN(S235)=0,"",Preferences!$C$2&amp;S235)&amp;IF(J236=J235,IF(LEN(R235&amp;S235)=0,"","
")&amp;T236,""))</f>
        <v xml:space="preserve"> 1. Review each special content item before publishing it.
 2. Separately publish special content item to the online shop and/or specific online channels.</v>
      </c>
      <c r="U235" s="122" t="str">
        <v/>
      </c>
      <c r="V235" s="42"/>
      <c r="W235" s="42"/>
      <c r="X235" s="42"/>
      <c r="Y235" s="42"/>
      <c r="Z235" s="42"/>
      <c r="AA235" s="42"/>
      <c r="AB235" s="42"/>
    </row>
    <row r="236" spans="1:28" x14ac:dyDescent="0.25">
      <c r="A236" s="42" t="str">
        <v>1.7.4.1</v>
      </c>
      <c r="B236" s="121" t="str">
        <v>Review each special content item before publishing it.</v>
      </c>
      <c r="C236" s="41">
        <v>4</v>
      </c>
      <c r="D236" s="41" t="str">
        <v>RD</v>
      </c>
      <c r="E236" s="117" t="str">
        <f t="shared" si="0"/>
        <v>RD</v>
      </c>
      <c r="F236" s="41" t="str">
        <v/>
      </c>
      <c r="G236" s="41" t="str">
        <v/>
      </c>
      <c r="H236" s="117">
        <f t="shared" si="1"/>
        <v>0</v>
      </c>
      <c r="I236" s="117">
        <f t="shared" si="2"/>
        <v>7</v>
      </c>
      <c r="J236" s="117">
        <f t="shared" si="3"/>
        <v>7.0399999999999991</v>
      </c>
      <c r="K236" s="117" t="str">
        <f t="shared" si="4"/>
        <v>BR</v>
      </c>
      <c r="L236" s="42" t="str">
        <v>BR0704</v>
      </c>
      <c r="M236" s="121" t="str">
        <v/>
      </c>
      <c r="N236" s="121" t="str">
        <v/>
      </c>
      <c r="O236" s="121" t="str">
        <v/>
      </c>
      <c r="P236" s="121" t="str">
        <v/>
      </c>
      <c r="Q236" s="121" t="str">
        <v xml:space="preserve"> 1. </v>
      </c>
      <c r="R236" s="121" t="str">
        <v>Review each special content item before publishing it.</v>
      </c>
      <c r="S236" s="121" t="str">
        <v/>
      </c>
      <c r="T236" s="119" t="str">
        <f>IF($C236&lt;4,IF($C236=3,T237,IF($C236=2,T$1,"")),Q236&amp;R236&amp;IF(LEN(S236)=0,"",Preferences!$C$2&amp;S236)&amp;IF(J237=J236,IF(LEN(R236&amp;S236)=0,"","
")&amp;T237,""))</f>
        <v xml:space="preserve"> 1. Review each special content item before publishing it.
 2. Separately publish special content item to the online shop and/or specific online channels.</v>
      </c>
      <c r="U236" s="122" t="str">
        <v/>
      </c>
      <c r="V236" s="42"/>
      <c r="W236" s="42"/>
      <c r="X236" s="42"/>
      <c r="Y236" s="42"/>
      <c r="Z236" s="42"/>
      <c r="AA236" s="42"/>
      <c r="AB236" s="42"/>
    </row>
    <row r="237" spans="1:28" x14ac:dyDescent="0.25">
      <c r="A237" s="42" t="str">
        <v>1.7.4.2</v>
      </c>
      <c r="B237" s="121" t="str">
        <v>Separately publish special content item to the online shop and/or specific online channels.</v>
      </c>
      <c r="C237" s="41">
        <v>4</v>
      </c>
      <c r="D237" s="41" t="str">
        <v>RD</v>
      </c>
      <c r="E237" s="117" t="str">
        <f t="shared" si="0"/>
        <v>RD</v>
      </c>
      <c r="F237" s="41" t="str">
        <v/>
      </c>
      <c r="G237" s="41" t="str">
        <v/>
      </c>
      <c r="H237" s="117">
        <f t="shared" si="1"/>
        <v>0</v>
      </c>
      <c r="I237" s="117">
        <f t="shared" si="2"/>
        <v>7</v>
      </c>
      <c r="J237" s="117">
        <f t="shared" si="3"/>
        <v>7.0399999999999991</v>
      </c>
      <c r="K237" s="117" t="str">
        <f t="shared" si="4"/>
        <v>BR</v>
      </c>
      <c r="L237" s="42" t="str">
        <v>BR0704</v>
      </c>
      <c r="M237" s="121" t="str">
        <v/>
      </c>
      <c r="N237" s="121" t="str">
        <v/>
      </c>
      <c r="O237" s="121" t="str">
        <v/>
      </c>
      <c r="P237" s="121" t="str">
        <v/>
      </c>
      <c r="Q237" s="121" t="str">
        <v xml:space="preserve"> 2. </v>
      </c>
      <c r="R237" s="121" t="str">
        <v>Separately publish special content item to the online shop and/or specific online channels.</v>
      </c>
      <c r="S237" s="121" t="str">
        <v/>
      </c>
      <c r="T237" s="119" t="str">
        <f>IF($C237&lt;4,IF($C237=3,T238,IF($C237=2,T$1,"")),Q237&amp;R237&amp;IF(LEN(S237)=0,"",Preferences!$C$2&amp;S237)&amp;IF(J238=J237,IF(LEN(R237&amp;S237)=0,"","
")&amp;T238,""))</f>
        <v xml:space="preserve"> 2. Separately publish special content item to the online shop and/or specific online channels.</v>
      </c>
      <c r="U237" s="122" t="str">
        <v/>
      </c>
      <c r="V237" s="42"/>
      <c r="W237" s="42"/>
      <c r="X237" s="42"/>
      <c r="Y237" s="42"/>
      <c r="Z237" s="42"/>
      <c r="AA237" s="42"/>
      <c r="AB237" s="42"/>
    </row>
    <row r="238" spans="1:28" x14ac:dyDescent="0.25">
      <c r="A238" s="42" t="str">
        <v>1.8</v>
      </c>
      <c r="B238" s="121" t="str">
        <v>8 Content Enrichment</v>
      </c>
      <c r="C238" s="41">
        <v>2</v>
      </c>
      <c r="D238" s="41" t="str">
        <v>RS</v>
      </c>
      <c r="E238" s="117" t="str">
        <f t="shared" si="0"/>
        <v>RS</v>
      </c>
      <c r="F238" s="41" t="str">
        <v/>
      </c>
      <c r="G238" s="41" t="str">
        <v/>
      </c>
      <c r="H238" s="117">
        <f t="shared" si="1"/>
        <v>0</v>
      </c>
      <c r="I238" s="117">
        <f t="shared" si="2"/>
        <v>8</v>
      </c>
      <c r="J238" s="117">
        <f t="shared" si="3"/>
        <v>8</v>
      </c>
      <c r="K238" s="117" t="str">
        <f t="shared" si="4"/>
        <v>BR</v>
      </c>
      <c r="L238" s="42">
        <v>8</v>
      </c>
      <c r="M238" s="121" t="str">
        <v/>
      </c>
      <c r="N238" s="121" t="str">
        <v>8 Content Enrichment</v>
      </c>
      <c r="O238" s="121" t="str">
        <v>ReqID</v>
      </c>
      <c r="P238" s="121" t="e">
        <v>#N/A</v>
      </c>
      <c r="Q238" s="121" t="str">
        <v/>
      </c>
      <c r="R238" s="121" t="str">
        <v/>
      </c>
      <c r="S238" s="121" t="str">
        <v/>
      </c>
      <c r="T238" s="119" t="str">
        <f>IF($C238&lt;4,IF($C238=3,T239,IF($C238=2,T$1,"")),Q238&amp;R238&amp;IF(LEN(S238)=0,"",Preferences!$C$2&amp;S238)&amp;IF(J239=J238,IF(LEN(R238&amp;S238)=0,"","
")&amp;T239,""))</f>
        <v>Description</v>
      </c>
      <c r="U238" s="122" t="str">
        <v/>
      </c>
      <c r="V238" s="42"/>
      <c r="W238" s="42"/>
      <c r="X238" s="42"/>
      <c r="Y238" s="42"/>
      <c r="Z238" s="42"/>
      <c r="AA238" s="42"/>
      <c r="AB238" s="42"/>
    </row>
    <row r="239" spans="1:28" x14ac:dyDescent="0.25">
      <c r="A239" s="42" t="str">
        <v>1.8.1</v>
      </c>
      <c r="B239" s="121" t="str">
        <v>8.1 Enrich product meta-data for online use</v>
      </c>
      <c r="C239" s="41">
        <v>3</v>
      </c>
      <c r="D239" s="41" t="str">
        <v>R</v>
      </c>
      <c r="E239" s="117" t="str">
        <f t="shared" si="0"/>
        <v>R</v>
      </c>
      <c r="F239" s="41" t="str">
        <v/>
      </c>
      <c r="G239" s="41" t="str">
        <v/>
      </c>
      <c r="H239" s="117">
        <f t="shared" si="1"/>
        <v>0</v>
      </c>
      <c r="I239" s="117">
        <f t="shared" si="2"/>
        <v>8</v>
      </c>
      <c r="J239" s="117">
        <f t="shared" si="3"/>
        <v>8.01</v>
      </c>
      <c r="K239" s="117" t="str">
        <f t="shared" si="4"/>
        <v>BR</v>
      </c>
      <c r="L239" s="42" t="str">
        <v>BR0801</v>
      </c>
      <c r="M239" s="121" t="str">
        <v/>
      </c>
      <c r="N239" s="121" t="str">
        <v/>
      </c>
      <c r="O239" s="121" t="str">
        <v>BR0801</v>
      </c>
      <c r="P239" s="121" t="str">
        <v>Enrich product meta-data for online use</v>
      </c>
      <c r="Q239" s="121" t="str">
        <v/>
      </c>
      <c r="R239" s="121" t="str">
        <v/>
      </c>
      <c r="S239" s="121" t="str">
        <v/>
      </c>
      <c r="T239" s="119" t="str">
        <f>IF($C239&lt;4,IF($C239=3,T240,IF($C239=2,T$1,"")),Q239&amp;R239&amp;IF(LEN(S239)=0,"",Preferences!$C$2&amp;S239)&amp;IF(J240=J239,IF(LEN(R239&amp;S239)=0,"","
")&amp;T240,""))</f>
        <v xml:space="preserve"> 1. Follow the existing Shoprite process to enrich the product meta-data and meta-tags for online selling purposes.
 2. Enrich each product with relevant master data for use in the online shop, to include at least the following:
	• Name (title) of the product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39" s="122" t="str">
        <v/>
      </c>
      <c r="V239" s="42"/>
      <c r="W239" s="42"/>
      <c r="X239" s="42"/>
      <c r="Y239" s="42"/>
      <c r="Z239" s="42"/>
      <c r="AA239" s="42"/>
      <c r="AB239" s="42"/>
    </row>
    <row r="240" spans="1:28" x14ac:dyDescent="0.25">
      <c r="A240" s="42" t="str">
        <v>1.8.1.1</v>
      </c>
      <c r="B240" s="121" t="str">
        <v>Follow the existing Shoprite process to enrich the product meta-data and meta-tags for online selling purposes.</v>
      </c>
      <c r="C240" s="41">
        <v>4</v>
      </c>
      <c r="D240" s="41" t="str">
        <v>RD</v>
      </c>
      <c r="E240" s="117" t="str">
        <f t="shared" si="0"/>
        <v>RD</v>
      </c>
      <c r="F240" s="41" t="str">
        <v/>
      </c>
      <c r="G240" s="41" t="str">
        <v/>
      </c>
      <c r="H240" s="117">
        <f t="shared" si="1"/>
        <v>0</v>
      </c>
      <c r="I240" s="117">
        <f t="shared" si="2"/>
        <v>8</v>
      </c>
      <c r="J240" s="117">
        <f t="shared" si="3"/>
        <v>8.01</v>
      </c>
      <c r="K240" s="117" t="str">
        <f t="shared" si="4"/>
        <v>BR</v>
      </c>
      <c r="L240" s="42" t="str">
        <v>BR0801</v>
      </c>
      <c r="M240" s="121" t="str">
        <v/>
      </c>
      <c r="N240" s="121" t="str">
        <v/>
      </c>
      <c r="O240" s="121" t="str">
        <v/>
      </c>
      <c r="P240" s="121" t="str">
        <v/>
      </c>
      <c r="Q240" s="121" t="str">
        <v xml:space="preserve"> 1. </v>
      </c>
      <c r="R240" s="121" t="str">
        <v>Follow the existing Shoprite process to enrich the product meta-data and meta-tags for online selling purposes.</v>
      </c>
      <c r="S240" s="121" t="str">
        <v/>
      </c>
      <c r="T240" s="119" t="str">
        <f>IF($C240&lt;4,IF($C240=3,T241,IF($C240=2,T$1,"")),Q240&amp;R240&amp;IF(LEN(S240)=0,"",Preferences!$C$2&amp;S240)&amp;IF(J241=J240,IF(LEN(R240&amp;S240)=0,"","
")&amp;T241,""))</f>
        <v xml:space="preserve"> 1. Follow the existing Shoprite process to enrich the product meta-data and meta-tags for online selling purposes.
 2. Enrich each product with relevant master data for use in the online shop, to include at least the following:
	• Name (title) of the product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0" s="122" t="str">
        <v/>
      </c>
      <c r="V240" s="42"/>
      <c r="W240" s="42"/>
      <c r="X240" s="42"/>
      <c r="Y240" s="42"/>
      <c r="Z240" s="42"/>
      <c r="AA240" s="42"/>
      <c r="AB240" s="42"/>
    </row>
    <row r="241" spans="1:28" x14ac:dyDescent="0.25">
      <c r="A241" s="42" t="str">
        <v>1.8.1.2</v>
      </c>
      <c r="B241" s="121" t="str">
        <v>Enrich each product with relevant master data for use in the online shop, to include at least the following:</v>
      </c>
      <c r="C241" s="41">
        <v>4</v>
      </c>
      <c r="D241" s="41" t="str">
        <v>RD</v>
      </c>
      <c r="E241" s="117" t="str">
        <f t="shared" si="0"/>
        <v>RD</v>
      </c>
      <c r="F241" s="41" t="str">
        <v/>
      </c>
      <c r="G241" s="41" t="str">
        <v/>
      </c>
      <c r="H241" s="117">
        <f t="shared" si="1"/>
        <v>0</v>
      </c>
      <c r="I241" s="117">
        <f t="shared" si="2"/>
        <v>8</v>
      </c>
      <c r="J241" s="117">
        <f t="shared" si="3"/>
        <v>8.01</v>
      </c>
      <c r="K241" s="117" t="str">
        <f t="shared" si="4"/>
        <v>BR</v>
      </c>
      <c r="L241" s="42" t="str">
        <v>BR0801</v>
      </c>
      <c r="M241" s="121" t="str">
        <v/>
      </c>
      <c r="N241" s="121" t="str">
        <v/>
      </c>
      <c r="O241" s="121" t="str">
        <v/>
      </c>
      <c r="P241" s="121" t="str">
        <v/>
      </c>
      <c r="Q241" s="121" t="str">
        <v xml:space="preserve"> 2. </v>
      </c>
      <c r="R241" s="121" t="str">
        <v>Enrich each product with relevant master data for use in the online shop, to include at least the following:</v>
      </c>
      <c r="S241" s="121" t="str">
        <v/>
      </c>
      <c r="T241" s="119" t="str">
        <f>IF($C241&lt;4,IF($C241=3,T242,IF($C241=2,T$1,"")),Q241&amp;R241&amp;IF(LEN(S241)=0,"",Preferences!$C$2&amp;S241)&amp;IF(J242=J241,IF(LEN(R241&amp;S241)=0,"","
")&amp;T242,""))</f>
        <v xml:space="preserve"> 2. Enrich each product with relevant master data for use in the online shop, to include at least the following:
	• Name (title) of the product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1" s="122" t="str">
        <v/>
      </c>
      <c r="V241" s="42"/>
      <c r="W241" s="42"/>
      <c r="X241" s="42"/>
      <c r="Y241" s="42"/>
      <c r="Z241" s="42"/>
      <c r="AA241" s="42"/>
      <c r="AB241" s="42"/>
    </row>
    <row r="242" spans="1:28" x14ac:dyDescent="0.25">
      <c r="A242" s="42" t="str">
        <v>1.8.1.2.1</v>
      </c>
      <c r="B242" s="121" t="str">
        <v>Name (title) of the product</v>
      </c>
      <c r="C242" s="41">
        <v>5</v>
      </c>
      <c r="D242" s="41" t="str">
        <v>RL</v>
      </c>
      <c r="E242" s="117" t="str">
        <f t="shared" si="0"/>
        <v>RL</v>
      </c>
      <c r="F242" s="41" t="str">
        <v/>
      </c>
      <c r="G242" s="41" t="str">
        <v/>
      </c>
      <c r="H242" s="117">
        <f t="shared" si="1"/>
        <v>0</v>
      </c>
      <c r="I242" s="117">
        <f t="shared" si="2"/>
        <v>8</v>
      </c>
      <c r="J242" s="117">
        <f t="shared" si="3"/>
        <v>8.01</v>
      </c>
      <c r="K242" s="117" t="str">
        <f t="shared" si="4"/>
        <v>BR</v>
      </c>
      <c r="L242" s="42" t="str">
        <v>BR0801</v>
      </c>
      <c r="M242" s="121" t="str">
        <v/>
      </c>
      <c r="N242" s="121" t="str">
        <v/>
      </c>
      <c r="O242" s="121" t="str">
        <v/>
      </c>
      <c r="P242" s="121" t="str">
        <v/>
      </c>
      <c r="Q242" s="121" t="str">
        <v/>
      </c>
      <c r="R242" s="121" t="str">
        <v/>
      </c>
      <c r="S242" s="121" t="str">
        <v>Name (title) of the product</v>
      </c>
      <c r="T242" s="119" t="str">
        <f>IF($C242&lt;4,IF($C242=3,T243,IF($C242=2,T$1,"")),Q242&amp;R242&amp;IF(LEN(S242)=0,"",Preferences!$C$2&amp;S242)&amp;IF(J243=J242,IF(LEN(R242&amp;S242)=0,"","
")&amp;T243,""))</f>
        <v xml:space="preserve">	• Name (title) of the product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2" s="122" t="str">
        <v/>
      </c>
      <c r="V242" s="42"/>
      <c r="W242" s="42"/>
      <c r="X242" s="42"/>
      <c r="Y242" s="42"/>
      <c r="Z242" s="42"/>
      <c r="AA242" s="42"/>
      <c r="AB242" s="42"/>
    </row>
    <row r="243" spans="1:28" x14ac:dyDescent="0.25">
      <c r="A243" s="42" t="str">
        <v>1.8.1.2.2</v>
      </c>
      <c r="B243" s="121" t="str">
        <v>Description</v>
      </c>
      <c r="C243" s="41">
        <v>5</v>
      </c>
      <c r="D243" s="41" t="str">
        <v>RL</v>
      </c>
      <c r="E243" s="117" t="str">
        <f t="shared" si="0"/>
        <v>RL</v>
      </c>
      <c r="F243" s="41" t="str">
        <v/>
      </c>
      <c r="G243" s="41" t="str">
        <v/>
      </c>
      <c r="H243" s="117">
        <f t="shared" si="1"/>
        <v>0</v>
      </c>
      <c r="I243" s="117">
        <f t="shared" si="2"/>
        <v>8</v>
      </c>
      <c r="J243" s="117">
        <f t="shared" si="3"/>
        <v>8.01</v>
      </c>
      <c r="K243" s="117" t="str">
        <f t="shared" si="4"/>
        <v>BR</v>
      </c>
      <c r="L243" s="42" t="str">
        <v>BR0801</v>
      </c>
      <c r="M243" s="121" t="str">
        <v/>
      </c>
      <c r="N243" s="121" t="str">
        <v/>
      </c>
      <c r="O243" s="121" t="str">
        <v/>
      </c>
      <c r="P243" s="121" t="str">
        <v/>
      </c>
      <c r="Q243" s="121" t="str">
        <v/>
      </c>
      <c r="R243" s="121" t="str">
        <v/>
      </c>
      <c r="S243" s="121" t="str">
        <v>Description</v>
      </c>
      <c r="T243" s="119" t="str">
        <f>IF($C243&lt;4,IF($C243=3,T244,IF($C243=2,T$1,"")),Q243&amp;R243&amp;IF(LEN(S243)=0,"",Preferences!$C$2&amp;S243)&amp;IF(J244=J243,IF(LEN(R243&amp;S243)=0,"","
")&amp;T244,""))</f>
        <v xml:space="preserve">	• Description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3" s="122" t="str">
        <v/>
      </c>
      <c r="V243" s="42"/>
      <c r="W243" s="42"/>
      <c r="X243" s="42"/>
      <c r="Y243" s="42"/>
      <c r="Z243" s="42"/>
      <c r="AA243" s="42"/>
      <c r="AB243" s="42"/>
    </row>
    <row r="244" spans="1:28" x14ac:dyDescent="0.25">
      <c r="A244" s="42" t="str">
        <v>1.8.1.2.3</v>
      </c>
      <c r="B244" s="121" t="str">
        <v>Teaser Description (for display in search results)</v>
      </c>
      <c r="C244" s="41">
        <v>5</v>
      </c>
      <c r="D244" s="41" t="str">
        <v>RL</v>
      </c>
      <c r="E244" s="117" t="str">
        <f t="shared" si="0"/>
        <v>RL</v>
      </c>
      <c r="F244" s="41" t="str">
        <v/>
      </c>
      <c r="G244" s="41" t="str">
        <v/>
      </c>
      <c r="H244" s="117">
        <f t="shared" si="1"/>
        <v>0</v>
      </c>
      <c r="I244" s="117">
        <f t="shared" si="2"/>
        <v>8</v>
      </c>
      <c r="J244" s="117">
        <f t="shared" si="3"/>
        <v>8.01</v>
      </c>
      <c r="K244" s="117" t="str">
        <f t="shared" si="4"/>
        <v>BR</v>
      </c>
      <c r="L244" s="42" t="str">
        <v>BR0801</v>
      </c>
      <c r="M244" s="121" t="str">
        <v/>
      </c>
      <c r="N244" s="121" t="str">
        <v/>
      </c>
      <c r="O244" s="121" t="str">
        <v/>
      </c>
      <c r="P244" s="121" t="str">
        <v/>
      </c>
      <c r="Q244" s="121" t="str">
        <v/>
      </c>
      <c r="R244" s="121" t="str">
        <v/>
      </c>
      <c r="S244" s="121" t="str">
        <v>Teaser Description (for display in search results)</v>
      </c>
      <c r="T244" s="119" t="str">
        <f>IF($C244&lt;4,IF($C244=3,T245,IF($C244=2,T$1,"")),Q244&amp;R244&amp;IF(LEN(S244)=0,"",Preferences!$C$2&amp;S244)&amp;IF(J245=J244,IF(LEN(R244&amp;S244)=0,"","
")&amp;T245,""))</f>
        <v xml:space="preserve">	• Teaser Description (for display in search results)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4" s="122" t="str">
        <v/>
      </c>
      <c r="V244" s="42"/>
      <c r="W244" s="42"/>
      <c r="X244" s="42"/>
      <c r="Y244" s="42"/>
      <c r="Z244" s="42"/>
      <c r="AA244" s="42"/>
      <c r="AB244" s="42"/>
    </row>
    <row r="245" spans="1:28" x14ac:dyDescent="0.25">
      <c r="A245" s="42" t="str">
        <v>1.8.1.2.4</v>
      </c>
      <c r="B245" s="121" t="str">
        <v>Specification (summary of the product features and what the customer will receive in the box)</v>
      </c>
      <c r="C245" s="41">
        <v>5</v>
      </c>
      <c r="D245" s="41" t="str">
        <v>RL</v>
      </c>
      <c r="E245" s="117" t="str">
        <f t="shared" si="0"/>
        <v>RL</v>
      </c>
      <c r="F245" s="41" t="str">
        <v/>
      </c>
      <c r="G245" s="41" t="str">
        <v/>
      </c>
      <c r="H245" s="117">
        <f t="shared" si="1"/>
        <v>0</v>
      </c>
      <c r="I245" s="117">
        <f t="shared" si="2"/>
        <v>8</v>
      </c>
      <c r="J245" s="117">
        <f t="shared" si="3"/>
        <v>8.01</v>
      </c>
      <c r="K245" s="117" t="str">
        <f t="shared" si="4"/>
        <v>BR</v>
      </c>
      <c r="L245" s="42" t="str">
        <v>BR0801</v>
      </c>
      <c r="M245" s="121" t="str">
        <v/>
      </c>
      <c r="N245" s="121" t="str">
        <v/>
      </c>
      <c r="O245" s="121" t="str">
        <v/>
      </c>
      <c r="P245" s="121" t="str">
        <v/>
      </c>
      <c r="Q245" s="121" t="str">
        <v/>
      </c>
      <c r="R245" s="121" t="str">
        <v/>
      </c>
      <c r="S245" s="121" t="str">
        <v>Specification (summary of the product features and what the customer will receive in the box)</v>
      </c>
      <c r="T245" s="119" t="str">
        <f>IF($C245&lt;4,IF($C245=3,T246,IF($C245=2,T$1,"")),Q245&amp;R245&amp;IF(LEN(S245)=0,"",Preferences!$C$2&amp;S245)&amp;IF(J246=J245,IF(LEN(R245&amp;S245)=0,"","
")&amp;T246,""))</f>
        <v xml:space="preserve">	• Specification (summary of the product features and what the customer will receive in the box)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5" s="122" t="str">
        <v/>
      </c>
      <c r="V245" s="42"/>
      <c r="W245" s="42"/>
      <c r="X245" s="42"/>
      <c r="Y245" s="42"/>
      <c r="Z245" s="42"/>
      <c r="AA245" s="42"/>
      <c r="AB245" s="42"/>
    </row>
    <row r="246" spans="1:28" x14ac:dyDescent="0.25">
      <c r="A246" s="42" t="str">
        <v>1.8.1.2.5</v>
      </c>
      <c r="B246" s="121" t="str">
        <v>Brand of the product</v>
      </c>
      <c r="C246" s="41">
        <v>5</v>
      </c>
      <c r="D246" s="41" t="str">
        <v>RL</v>
      </c>
      <c r="E246" s="117" t="str">
        <f t="shared" si="0"/>
        <v>RL</v>
      </c>
      <c r="F246" s="41" t="str">
        <v/>
      </c>
      <c r="G246" s="41" t="str">
        <v/>
      </c>
      <c r="H246" s="117">
        <f t="shared" si="1"/>
        <v>0</v>
      </c>
      <c r="I246" s="117">
        <f t="shared" si="2"/>
        <v>8</v>
      </c>
      <c r="J246" s="117">
        <f t="shared" si="3"/>
        <v>8.01</v>
      </c>
      <c r="K246" s="117" t="str">
        <f t="shared" si="4"/>
        <v>BR</v>
      </c>
      <c r="L246" s="42" t="str">
        <v>BR0801</v>
      </c>
      <c r="M246" s="121" t="str">
        <v/>
      </c>
      <c r="N246" s="121" t="str">
        <v/>
      </c>
      <c r="O246" s="121" t="str">
        <v/>
      </c>
      <c r="P246" s="121" t="str">
        <v/>
      </c>
      <c r="Q246" s="121" t="str">
        <v/>
      </c>
      <c r="R246" s="121" t="str">
        <v/>
      </c>
      <c r="S246" s="121" t="str">
        <v>Brand of the product</v>
      </c>
      <c r="T246" s="119" t="str">
        <f>IF($C246&lt;4,IF($C246=3,T247,IF($C246=2,T$1,"")),Q246&amp;R246&amp;IF(LEN(S246)=0,"",Preferences!$C$2&amp;S246)&amp;IF(J247=J246,IF(LEN(R246&amp;S246)=0,"","
")&amp;T247,""))</f>
        <v xml:space="preserve">	• Brand of the product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6" s="122" t="str">
        <v/>
      </c>
      <c r="V246" s="42"/>
      <c r="W246" s="42"/>
      <c r="X246" s="42"/>
      <c r="Y246" s="42"/>
      <c r="Z246" s="42"/>
      <c r="AA246" s="42"/>
      <c r="AB246" s="42"/>
    </row>
    <row r="247" spans="1:28" x14ac:dyDescent="0.25">
      <c r="A247" s="42" t="str">
        <v>1.8.1.3</v>
      </c>
      <c r="B247" s="121" t="str">
        <v>Enrich each product with photographs for use in the online shop and advertisements:</v>
      </c>
      <c r="C247" s="41">
        <v>4</v>
      </c>
      <c r="D247" s="41" t="str">
        <v>RD</v>
      </c>
      <c r="E247" s="117" t="str">
        <f t="shared" si="0"/>
        <v>RD</v>
      </c>
      <c r="F247" s="41" t="str">
        <v/>
      </c>
      <c r="G247" s="41" t="str">
        <v/>
      </c>
      <c r="H247" s="117">
        <f t="shared" si="1"/>
        <v>0</v>
      </c>
      <c r="I247" s="117">
        <f t="shared" si="2"/>
        <v>8</v>
      </c>
      <c r="J247" s="117">
        <f t="shared" si="3"/>
        <v>8.01</v>
      </c>
      <c r="K247" s="117" t="str">
        <f t="shared" si="4"/>
        <v>BR</v>
      </c>
      <c r="L247" s="42" t="str">
        <v>BR0801</v>
      </c>
      <c r="M247" s="121" t="str">
        <v/>
      </c>
      <c r="N247" s="121" t="str">
        <v/>
      </c>
      <c r="O247" s="121" t="str">
        <v/>
      </c>
      <c r="P247" s="121" t="str">
        <v/>
      </c>
      <c r="Q247" s="121" t="str">
        <v xml:space="preserve"> 3. </v>
      </c>
      <c r="R247" s="121" t="str">
        <v>Enrich each product with photographs for use in the online shop and advertisements:</v>
      </c>
      <c r="S247" s="121" t="str">
        <v/>
      </c>
      <c r="T247" s="119" t="str">
        <f>IF($C247&lt;4,IF($C247=3,T248,IF($C247=2,T$1,"")),Q247&amp;R247&amp;IF(LEN(S247)=0,"",Preferences!$C$2&amp;S247)&amp;IF(J248=J247,IF(LEN(R247&amp;S247)=0,"","
")&amp;T248,""))</f>
        <v xml:space="preserve"> 3. Enrich each product with photographs for use in the online shop and advertisements:
	• One image must be marked as the default.
 4. Also see the Maintain various sizes for each image requirement.
 5. Enrich each B2C Co product with relevant meta-tags for online use, as detailed in the Maintain content meta-tag hierarchy structures requirements.</v>
      </c>
      <c r="U247" s="122" t="str">
        <v/>
      </c>
      <c r="V247" s="42"/>
      <c r="W247" s="42"/>
      <c r="X247" s="42"/>
      <c r="Y247" s="42"/>
      <c r="Z247" s="42"/>
      <c r="AA247" s="42"/>
      <c r="AB247" s="42"/>
    </row>
    <row r="248" spans="1:28" x14ac:dyDescent="0.25">
      <c r="A248" s="42" t="str">
        <v>1.8.1.3.1</v>
      </c>
      <c r="B248" s="121" t="str">
        <v>One image must be marked as the default.</v>
      </c>
      <c r="C248" s="41">
        <v>5</v>
      </c>
      <c r="D248" s="41" t="str">
        <v>RL</v>
      </c>
      <c r="E248" s="117" t="str">
        <f t="shared" si="0"/>
        <v>RL</v>
      </c>
      <c r="F248" s="41" t="str">
        <v/>
      </c>
      <c r="G248" s="41" t="str">
        <v/>
      </c>
      <c r="H248" s="117">
        <f t="shared" si="1"/>
        <v>0</v>
      </c>
      <c r="I248" s="117">
        <f t="shared" si="2"/>
        <v>8</v>
      </c>
      <c r="J248" s="117">
        <f t="shared" si="3"/>
        <v>8.01</v>
      </c>
      <c r="K248" s="117" t="str">
        <f t="shared" si="4"/>
        <v>BR</v>
      </c>
      <c r="L248" s="42" t="str">
        <v>BR0801</v>
      </c>
      <c r="M248" s="121" t="str">
        <v/>
      </c>
      <c r="N248" s="121" t="str">
        <v/>
      </c>
      <c r="O248" s="121" t="str">
        <v/>
      </c>
      <c r="P248" s="121" t="str">
        <v/>
      </c>
      <c r="Q248" s="121" t="str">
        <v/>
      </c>
      <c r="R248" s="121" t="str">
        <v/>
      </c>
      <c r="S248" s="121" t="str">
        <v>One image must be marked as the default.</v>
      </c>
      <c r="T248" s="119" t="str">
        <f>IF($C248&lt;4,IF($C248=3,T249,IF($C248=2,T$1,"")),Q248&amp;R248&amp;IF(LEN(S248)=0,"",Preferences!$C$2&amp;S248)&amp;IF(J249=J248,IF(LEN(R248&amp;S248)=0,"","
")&amp;T249,""))</f>
        <v xml:space="preserve">	• One image must be marked as the default.
 4. Also see the Maintain various sizes for each image requirement.
 5. Enrich each B2C Co product with relevant meta-tags for online use, as detailed in the Maintain content meta-tag hierarchy structures requirements.</v>
      </c>
      <c r="U248" s="122" t="str">
        <v/>
      </c>
      <c r="V248" s="42"/>
      <c r="W248" s="42"/>
      <c r="X248" s="42"/>
      <c r="Y248" s="42"/>
      <c r="Z248" s="42"/>
      <c r="AA248" s="42"/>
      <c r="AB248" s="42"/>
    </row>
    <row r="249" spans="1:28" x14ac:dyDescent="0.25">
      <c r="A249" s="42" t="str">
        <v>1.8.1.4</v>
      </c>
      <c r="B249" s="121" t="str">
        <v>Also see the Maintain various sizes for each image requirement.</v>
      </c>
      <c r="C249" s="41">
        <v>4</v>
      </c>
      <c r="D249" s="41" t="str">
        <v>RD</v>
      </c>
      <c r="E249" s="117" t="str">
        <f t="shared" si="0"/>
        <v>RD</v>
      </c>
      <c r="F249" s="41" t="str">
        <v/>
      </c>
      <c r="G249" s="41" t="str">
        <v/>
      </c>
      <c r="H249" s="117">
        <f t="shared" si="1"/>
        <v>0</v>
      </c>
      <c r="I249" s="117">
        <f t="shared" si="2"/>
        <v>8</v>
      </c>
      <c r="J249" s="117">
        <f t="shared" si="3"/>
        <v>8.01</v>
      </c>
      <c r="K249" s="117" t="str">
        <f t="shared" si="4"/>
        <v>BR</v>
      </c>
      <c r="L249" s="42" t="str">
        <v>BR0801</v>
      </c>
      <c r="M249" s="121" t="str">
        <v/>
      </c>
      <c r="N249" s="121" t="str">
        <v/>
      </c>
      <c r="O249" s="121" t="str">
        <v/>
      </c>
      <c r="P249" s="121" t="str">
        <v/>
      </c>
      <c r="Q249" s="121" t="str">
        <v xml:space="preserve"> 4. </v>
      </c>
      <c r="R249" s="121" t="str">
        <v>Also see the Maintain various sizes for each image requirement.</v>
      </c>
      <c r="S249" s="121" t="str">
        <v/>
      </c>
      <c r="T249" s="119" t="str">
        <f>IF($C249&lt;4,IF($C249=3,T250,IF($C249=2,T$1,"")),Q249&amp;R249&amp;IF(LEN(S249)=0,"",Preferences!$C$2&amp;S249)&amp;IF(J250=J249,IF(LEN(R249&amp;S249)=0,"","
")&amp;T250,""))</f>
        <v xml:space="preserve"> 4. Also see the Maintain various sizes for each image requirement.
 5. Enrich each B2C Co product with relevant meta-tags for online use, as detailed in the Maintain content meta-tag hierarchy structures requirements.</v>
      </c>
      <c r="U249" s="122" t="str">
        <v/>
      </c>
      <c r="V249" s="42"/>
      <c r="W249" s="42"/>
      <c r="X249" s="42"/>
      <c r="Y249" s="42"/>
      <c r="Z249" s="42"/>
      <c r="AA249" s="42"/>
      <c r="AB249" s="42"/>
    </row>
    <row r="250" spans="1:28" x14ac:dyDescent="0.25">
      <c r="A250" s="42" t="str">
        <v>1.8.1.5</v>
      </c>
      <c r="B250" s="121" t="str">
        <v>Enrich each B2C Co product with relevant meta-tags for online use, as detailed in the Maintain content meta-tag hierarchy structures requirements.</v>
      </c>
      <c r="C250" s="41">
        <v>4</v>
      </c>
      <c r="D250" s="41" t="str">
        <v>RD</v>
      </c>
      <c r="E250" s="117" t="str">
        <f t="shared" si="0"/>
        <v>RD</v>
      </c>
      <c r="F250" s="41" t="str">
        <v/>
      </c>
      <c r="G250" s="41" t="str">
        <v/>
      </c>
      <c r="H250" s="117">
        <f t="shared" si="1"/>
        <v>0</v>
      </c>
      <c r="I250" s="117">
        <f t="shared" si="2"/>
        <v>8</v>
      </c>
      <c r="J250" s="117">
        <f t="shared" si="3"/>
        <v>8.01</v>
      </c>
      <c r="K250" s="117" t="str">
        <f t="shared" si="4"/>
        <v>BR</v>
      </c>
      <c r="L250" s="42" t="str">
        <v>BR0801</v>
      </c>
      <c r="M250" s="121" t="str">
        <v/>
      </c>
      <c r="N250" s="121" t="str">
        <v/>
      </c>
      <c r="O250" s="121" t="str">
        <v/>
      </c>
      <c r="P250" s="121" t="str">
        <v/>
      </c>
      <c r="Q250" s="121" t="str">
        <v xml:space="preserve"> 5. </v>
      </c>
      <c r="R250" s="121" t="str">
        <v>Enrich each B2C Co product with relevant meta-tags for online use, as detailed in the Maintain content meta-tag hierarchy structures requirements.</v>
      </c>
      <c r="S250" s="121" t="str">
        <v/>
      </c>
      <c r="T250" s="119" t="str">
        <f>IF($C250&lt;4,IF($C250=3,T251,IF($C250=2,T$1,"")),Q250&amp;R250&amp;IF(LEN(S250)=0,"",Preferences!$C$2&amp;S250)&amp;IF(J251=J250,IF(LEN(R250&amp;S250)=0,"","
")&amp;T251,""))</f>
        <v xml:space="preserve"> 5. Enrich each B2C Co product with relevant meta-tags for online use, as detailed in the Maintain content meta-tag hierarchy structures requirements.</v>
      </c>
      <c r="U250" s="122" t="str">
        <v/>
      </c>
      <c r="V250" s="42"/>
      <c r="W250" s="42"/>
      <c r="X250" s="42"/>
      <c r="Y250" s="42"/>
      <c r="Z250" s="42"/>
      <c r="AA250" s="42"/>
      <c r="AB250" s="42"/>
    </row>
    <row r="251" spans="1:28" x14ac:dyDescent="0.25">
      <c r="A251" s="42" t="str">
        <v>1.8.2</v>
      </c>
      <c r="B251" s="121" t="str">
        <v>8.2 Maintain a new flag for each newly listed product</v>
      </c>
      <c r="C251" s="41">
        <v>3</v>
      </c>
      <c r="D251" s="41" t="str">
        <v>R</v>
      </c>
      <c r="E251" s="117" t="str">
        <f t="shared" si="0"/>
        <v>R</v>
      </c>
      <c r="F251" s="41" t="str">
        <v/>
      </c>
      <c r="G251" s="41" t="str">
        <v/>
      </c>
      <c r="H251" s="117">
        <f t="shared" si="1"/>
        <v>0</v>
      </c>
      <c r="I251" s="117">
        <f t="shared" si="2"/>
        <v>8</v>
      </c>
      <c r="J251" s="117">
        <f t="shared" si="3"/>
        <v>8.02</v>
      </c>
      <c r="K251" s="117" t="str">
        <f t="shared" si="4"/>
        <v>BR</v>
      </c>
      <c r="L251" s="42" t="str">
        <v>BR0802</v>
      </c>
      <c r="M251" s="121" t="str">
        <v/>
      </c>
      <c r="N251" s="121" t="str">
        <v/>
      </c>
      <c r="O251" s="121" t="str">
        <v>BR0802</v>
      </c>
      <c r="P251" s="121" t="str">
        <v>Maintain a new flag for each newly listed product</v>
      </c>
      <c r="Q251" s="121" t="str">
        <v/>
      </c>
      <c r="R251" s="121" t="str">
        <v/>
      </c>
      <c r="S251" s="121" t="str">
        <v/>
      </c>
      <c r="T251" s="119" t="str">
        <f>IF($C251&lt;4,IF($C251=3,T252,IF($C251=2,T$1,"")),Q251&amp;R251&amp;IF(LEN(S251)=0,"",Preferences!$C$2&amp;S251)&amp;IF(J252=J251,IF(LEN(R251&amp;S251)=0,"","
")&amp;T252,""))</f>
        <v xml:space="preserve"> 1. Automatically flag each newly published product as "New".
 2. Automatically expire the new flag for that product after a set number of days (e.g. 60 days).</v>
      </c>
      <c r="U251" s="122" t="str">
        <v/>
      </c>
      <c r="V251" s="42"/>
      <c r="W251" s="42"/>
      <c r="X251" s="42"/>
      <c r="Y251" s="42"/>
      <c r="Z251" s="42"/>
      <c r="AA251" s="42"/>
      <c r="AB251" s="42"/>
    </row>
    <row r="252" spans="1:28" x14ac:dyDescent="0.25">
      <c r="A252" s="42" t="str">
        <v>1.8.2.1</v>
      </c>
      <c r="B252" s="121" t="str">
        <v>Automatically flag each newly published product as "New".</v>
      </c>
      <c r="C252" s="41">
        <v>4</v>
      </c>
      <c r="D252" s="41" t="str">
        <v>RD</v>
      </c>
      <c r="E252" s="117" t="str">
        <f t="shared" si="0"/>
        <v>RD</v>
      </c>
      <c r="F252" s="41" t="str">
        <v/>
      </c>
      <c r="G252" s="41" t="str">
        <v/>
      </c>
      <c r="H252" s="117">
        <f t="shared" si="1"/>
        <v>0</v>
      </c>
      <c r="I252" s="117">
        <f t="shared" si="2"/>
        <v>8</v>
      </c>
      <c r="J252" s="117">
        <f t="shared" si="3"/>
        <v>8.02</v>
      </c>
      <c r="K252" s="117" t="str">
        <f t="shared" si="4"/>
        <v>BR</v>
      </c>
      <c r="L252" s="42" t="str">
        <v>BR0802</v>
      </c>
      <c r="M252" s="121" t="str">
        <v/>
      </c>
      <c r="N252" s="121" t="str">
        <v/>
      </c>
      <c r="O252" s="121" t="str">
        <v/>
      </c>
      <c r="P252" s="121" t="str">
        <v/>
      </c>
      <c r="Q252" s="121" t="str">
        <v xml:space="preserve"> 1. </v>
      </c>
      <c r="R252" s="121" t="str">
        <v>Automatically flag each newly published product as "New".</v>
      </c>
      <c r="S252" s="121" t="str">
        <v/>
      </c>
      <c r="T252" s="119" t="str">
        <f>IF($C252&lt;4,IF($C252=3,T253,IF($C252=2,T$1,"")),Q252&amp;R252&amp;IF(LEN(S252)=0,"",Preferences!$C$2&amp;S252)&amp;IF(J253=J252,IF(LEN(R252&amp;S252)=0,"","
")&amp;T253,""))</f>
        <v xml:space="preserve"> 1. Automatically flag each newly published product as "New".
 2. Automatically expire the new flag for that product after a set number of days (e.g. 60 days).</v>
      </c>
      <c r="U252" s="122" t="str">
        <v/>
      </c>
      <c r="V252" s="42"/>
      <c r="W252" s="42"/>
      <c r="X252" s="42"/>
      <c r="Y252" s="42"/>
      <c r="Z252" s="42"/>
      <c r="AA252" s="42"/>
      <c r="AB252" s="42"/>
    </row>
    <row r="253" spans="1:28" x14ac:dyDescent="0.25">
      <c r="A253" s="42" t="str">
        <v>1.8.2.2</v>
      </c>
      <c r="B253" s="121" t="str">
        <v>Automatically expire the new flag for that product after a set number of days (e.g. 60 days).</v>
      </c>
      <c r="C253" s="41">
        <v>4</v>
      </c>
      <c r="D253" s="41" t="str">
        <v>RD</v>
      </c>
      <c r="E253" s="117" t="str">
        <f t="shared" si="0"/>
        <v>RD</v>
      </c>
      <c r="F253" s="41" t="str">
        <v/>
      </c>
      <c r="G253" s="41" t="str">
        <v/>
      </c>
      <c r="H253" s="117">
        <f t="shared" si="1"/>
        <v>0</v>
      </c>
      <c r="I253" s="117">
        <f t="shared" si="2"/>
        <v>8</v>
      </c>
      <c r="J253" s="117">
        <f t="shared" si="3"/>
        <v>8.02</v>
      </c>
      <c r="K253" s="117" t="str">
        <f t="shared" si="4"/>
        <v>BR</v>
      </c>
      <c r="L253" s="42" t="str">
        <v>BR0802</v>
      </c>
      <c r="M253" s="121" t="str">
        <v/>
      </c>
      <c r="N253" s="121" t="str">
        <v/>
      </c>
      <c r="O253" s="121" t="str">
        <v/>
      </c>
      <c r="P253" s="121" t="str">
        <v/>
      </c>
      <c r="Q253" s="121" t="str">
        <v xml:space="preserve"> 2. </v>
      </c>
      <c r="R253" s="121" t="str">
        <v>Automatically expire the new flag for that product after a set number of days (e.g. 60 days).</v>
      </c>
      <c r="S253" s="121" t="str">
        <v/>
      </c>
      <c r="T253" s="119" t="str">
        <f>IF($C253&lt;4,IF($C253=3,T254,IF($C253=2,T$1,"")),Q253&amp;R253&amp;IF(LEN(S253)=0,"",Preferences!$C$2&amp;S253)&amp;IF(J254=J253,IF(LEN(R253&amp;S253)=0,"","
")&amp;T254,""))</f>
        <v xml:space="preserve"> 2. Automatically expire the new flag for that product after a set number of days (e.g. 60 days).</v>
      </c>
      <c r="U253" s="122" t="str">
        <v/>
      </c>
      <c r="V253" s="42"/>
      <c r="W253" s="42"/>
      <c r="X253" s="42"/>
      <c r="Y253" s="42"/>
      <c r="Z253" s="42"/>
      <c r="AA253" s="42"/>
      <c r="AB253" s="42"/>
    </row>
    <row r="254" spans="1:28" x14ac:dyDescent="0.25">
      <c r="A254" s="42" t="str">
        <v>1.8.3</v>
      </c>
      <c r="B254" s="121" t="str">
        <v>8.3 Enrich advertisement meta-data for online use</v>
      </c>
      <c r="C254" s="41">
        <v>3</v>
      </c>
      <c r="D254" s="41" t="str">
        <v>R</v>
      </c>
      <c r="E254" s="117" t="str">
        <f t="shared" si="0"/>
        <v>R</v>
      </c>
      <c r="F254" s="41" t="str">
        <v/>
      </c>
      <c r="G254" s="41" t="str">
        <v/>
      </c>
      <c r="H254" s="117">
        <f t="shared" si="1"/>
        <v>0</v>
      </c>
      <c r="I254" s="117">
        <f t="shared" si="2"/>
        <v>8</v>
      </c>
      <c r="J254" s="117">
        <f t="shared" si="3"/>
        <v>8.0299999999999994</v>
      </c>
      <c r="K254" s="117" t="str">
        <f t="shared" si="4"/>
        <v>BR</v>
      </c>
      <c r="L254" s="42" t="str">
        <v>BR0803</v>
      </c>
      <c r="M254" s="121" t="str">
        <v/>
      </c>
      <c r="N254" s="121" t="str">
        <v/>
      </c>
      <c r="O254" s="121" t="str">
        <v>BR0803</v>
      </c>
      <c r="P254" s="121" t="str">
        <v>Enrich advertisement meta-data for online use</v>
      </c>
      <c r="Q254" s="121" t="str">
        <v/>
      </c>
      <c r="R254" s="121" t="str">
        <v/>
      </c>
      <c r="S254" s="121" t="str">
        <v/>
      </c>
      <c r="T254" s="119" t="str">
        <f>IF($C254&lt;4,IF($C254=3,T255,IF($C254=2,T$1,"")),Q254&amp;R254&amp;IF(LEN(S254)=0,"",Preferences!$C$2&amp;S254)&amp;IF(J255=J254,IF(LEN(R254&amp;S254)=0,"","
")&amp;T255,""))</f>
        <v xml:space="preserve"> 1. Follow the existing Shoprite process to enrich the advertisement meta-data and meta-tags for online selling and advertising purposes.
 2. Enrich each advertisement with relevant master data for use in the online shop and other online advertising channels, to include at least the following:
	• Search-engine meta-tags
 3. Enrich each advertisement with relevant meta-tags for use in the online shop, as detailed in the Maintain content meta-tag hierarchy structures requirements.</v>
      </c>
      <c r="U254" s="122" t="str">
        <v/>
      </c>
      <c r="V254" s="42"/>
      <c r="W254" s="42"/>
      <c r="X254" s="42"/>
      <c r="Y254" s="42"/>
      <c r="Z254" s="42"/>
      <c r="AA254" s="42"/>
      <c r="AB254" s="42"/>
    </row>
    <row r="255" spans="1:28" x14ac:dyDescent="0.25">
      <c r="A255" s="42" t="str">
        <v>1.8.3.1</v>
      </c>
      <c r="B255" s="121" t="str">
        <v>Follow the existing Shoprite process to enrich the advertisement meta-data and meta-tags for online selling and advertising purposes.</v>
      </c>
      <c r="C255" s="41">
        <v>4</v>
      </c>
      <c r="D255" s="41" t="str">
        <v>RD</v>
      </c>
      <c r="E255" s="117" t="str">
        <f t="shared" si="0"/>
        <v>RD</v>
      </c>
      <c r="F255" s="41" t="str">
        <v/>
      </c>
      <c r="G255" s="41" t="str">
        <v/>
      </c>
      <c r="H255" s="117">
        <f t="shared" si="1"/>
        <v>0</v>
      </c>
      <c r="I255" s="117">
        <f t="shared" si="2"/>
        <v>8</v>
      </c>
      <c r="J255" s="117">
        <f t="shared" si="3"/>
        <v>8.0299999999999994</v>
      </c>
      <c r="K255" s="117" t="str">
        <f t="shared" si="4"/>
        <v>BR</v>
      </c>
      <c r="L255" s="42" t="str">
        <v>BR0803</v>
      </c>
      <c r="M255" s="121" t="str">
        <v/>
      </c>
      <c r="N255" s="121" t="str">
        <v/>
      </c>
      <c r="O255" s="121" t="str">
        <v/>
      </c>
      <c r="P255" s="121" t="str">
        <v/>
      </c>
      <c r="Q255" s="121" t="str">
        <v xml:space="preserve"> 1. </v>
      </c>
      <c r="R255" s="121" t="str">
        <v>Follow the existing Shoprite process to enrich the advertisement meta-data and meta-tags for online selling and advertising purposes.</v>
      </c>
      <c r="S255" s="121" t="str">
        <v/>
      </c>
      <c r="T255" s="119" t="str">
        <f>IF($C255&lt;4,IF($C255=3,T256,IF($C255=2,T$1,"")),Q255&amp;R255&amp;IF(LEN(S255)=0,"",Preferences!$C$2&amp;S255)&amp;IF(J256=J255,IF(LEN(R255&amp;S255)=0,"","
")&amp;T256,""))</f>
        <v xml:space="preserve"> 1. Follow the existing Shoprite process to enrich the advertisement meta-data and meta-tags for online selling and advertising purposes.
 2. Enrich each advertisement with relevant master data for use in the online shop and other online advertising channels, to include at least the following:
	• Search-engine meta-tags
 3. Enrich each advertisement with relevant meta-tags for use in the online shop, as detailed in the Maintain content meta-tag hierarchy structures requirements.</v>
      </c>
      <c r="U255" s="122" t="str">
        <v/>
      </c>
      <c r="V255" s="42"/>
      <c r="W255" s="42"/>
      <c r="X255" s="42"/>
      <c r="Y255" s="42"/>
      <c r="Z255" s="42"/>
      <c r="AA255" s="42"/>
      <c r="AB255" s="42"/>
    </row>
    <row r="256" spans="1:28" x14ac:dyDescent="0.25">
      <c r="A256" s="42" t="str">
        <v>1.8.3.2</v>
      </c>
      <c r="B256" s="121" t="str">
        <v>Enrich each advertisement with relevant master data for use in the online shop and other online advertising channels, to include at least the following:</v>
      </c>
      <c r="C256" s="41">
        <v>4</v>
      </c>
      <c r="D256" s="41" t="str">
        <v>RD</v>
      </c>
      <c r="E256" s="117" t="str">
        <f t="shared" si="0"/>
        <v>RD</v>
      </c>
      <c r="F256" s="41" t="str">
        <v/>
      </c>
      <c r="G256" s="41" t="str">
        <v/>
      </c>
      <c r="H256" s="117">
        <f t="shared" si="1"/>
        <v>0</v>
      </c>
      <c r="I256" s="117">
        <f t="shared" si="2"/>
        <v>8</v>
      </c>
      <c r="J256" s="117">
        <f t="shared" si="3"/>
        <v>8.0299999999999994</v>
      </c>
      <c r="K256" s="117" t="str">
        <f t="shared" si="4"/>
        <v>BR</v>
      </c>
      <c r="L256" s="42" t="str">
        <v>BR0803</v>
      </c>
      <c r="M256" s="121" t="str">
        <v/>
      </c>
      <c r="N256" s="121" t="str">
        <v/>
      </c>
      <c r="O256" s="121" t="str">
        <v/>
      </c>
      <c r="P256" s="121" t="str">
        <v/>
      </c>
      <c r="Q256" s="121" t="str">
        <v xml:space="preserve"> 2. </v>
      </c>
      <c r="R256" s="121" t="str">
        <v>Enrich each advertisement with relevant master data for use in the online shop and other online advertising channels, to include at least the following:</v>
      </c>
      <c r="S256" s="121" t="str">
        <v/>
      </c>
      <c r="T256" s="119" t="str">
        <f>IF($C256&lt;4,IF($C256=3,T257,IF($C256=2,T$1,"")),Q256&amp;R256&amp;IF(LEN(S256)=0,"",Preferences!$C$2&amp;S256)&amp;IF(J257=J256,IF(LEN(R256&amp;S256)=0,"","
")&amp;T257,""))</f>
        <v xml:space="preserve"> 2. Enrich each advertisement with relevant master data for use in the online shop and other online advertising channels, to include at least the following:
	• Search-engine meta-tags
 3. Enrich each advertisement with relevant meta-tags for use in the online shop, as detailed in the Maintain content meta-tag hierarchy structures requirements.</v>
      </c>
      <c r="U256" s="122" t="str">
        <v/>
      </c>
      <c r="V256" s="42"/>
      <c r="W256" s="42"/>
      <c r="X256" s="42"/>
      <c r="Y256" s="42"/>
      <c r="Z256" s="42"/>
      <c r="AA256" s="42"/>
      <c r="AB256" s="42"/>
    </row>
    <row r="257" spans="1:28" x14ac:dyDescent="0.25">
      <c r="A257" s="42" t="str">
        <v>1.8.3.2.1</v>
      </c>
      <c r="B257" s="121" t="str">
        <v>Search-engine meta-tags</v>
      </c>
      <c r="C257" s="41">
        <v>5</v>
      </c>
      <c r="D257" s="41" t="str">
        <v>RL</v>
      </c>
      <c r="E257" s="117" t="str">
        <f t="shared" si="0"/>
        <v>RL</v>
      </c>
      <c r="F257" s="41" t="str">
        <v/>
      </c>
      <c r="G257" s="41" t="str">
        <v/>
      </c>
      <c r="H257" s="117">
        <f t="shared" si="1"/>
        <v>0</v>
      </c>
      <c r="I257" s="117">
        <f t="shared" si="2"/>
        <v>8</v>
      </c>
      <c r="J257" s="117">
        <f t="shared" si="3"/>
        <v>8.0299999999999994</v>
      </c>
      <c r="K257" s="117" t="str">
        <f t="shared" si="4"/>
        <v>BR</v>
      </c>
      <c r="L257" s="42" t="str">
        <v>BR0803</v>
      </c>
      <c r="M257" s="121" t="str">
        <v/>
      </c>
      <c r="N257" s="121" t="str">
        <v/>
      </c>
      <c r="O257" s="121" t="str">
        <v/>
      </c>
      <c r="P257" s="121" t="str">
        <v/>
      </c>
      <c r="Q257" s="121" t="str">
        <v/>
      </c>
      <c r="R257" s="121" t="str">
        <v/>
      </c>
      <c r="S257" s="121" t="str">
        <v>Search-engine meta-tags</v>
      </c>
      <c r="T257" s="119" t="str">
        <f>IF($C257&lt;4,IF($C257=3,T258,IF($C257=2,T$1,"")),Q257&amp;R257&amp;IF(LEN(S257)=0,"",Preferences!$C$2&amp;S257)&amp;IF(J258=J257,IF(LEN(R257&amp;S257)=0,"","
")&amp;T258,""))</f>
        <v xml:space="preserve">	• Search-engine meta-tags
 3. Enrich each advertisement with relevant meta-tags for use in the online shop, as detailed in the Maintain content meta-tag hierarchy structures requirements.</v>
      </c>
      <c r="U257" s="122" t="str">
        <v/>
      </c>
      <c r="V257" s="42"/>
      <c r="W257" s="42"/>
      <c r="X257" s="42"/>
      <c r="Y257" s="42"/>
      <c r="Z257" s="42"/>
      <c r="AA257" s="42"/>
      <c r="AB257" s="42"/>
    </row>
    <row r="258" spans="1:28" x14ac:dyDescent="0.25">
      <c r="A258" s="42" t="str">
        <v>1.8.3.3</v>
      </c>
      <c r="B258" s="121" t="str">
        <v>Enrich each advertisement with relevant meta-tags for use in the online shop, as detailed in the Maintain content meta-tag hierarchy structures requirements.</v>
      </c>
      <c r="C258" s="41">
        <v>4</v>
      </c>
      <c r="D258" s="41" t="str">
        <v>RD</v>
      </c>
      <c r="E258" s="117" t="str">
        <f t="shared" si="0"/>
        <v>RD</v>
      </c>
      <c r="F258" s="41" t="str">
        <v/>
      </c>
      <c r="G258" s="41" t="str">
        <v/>
      </c>
      <c r="H258" s="117">
        <f t="shared" si="1"/>
        <v>0</v>
      </c>
      <c r="I258" s="117">
        <f t="shared" si="2"/>
        <v>8</v>
      </c>
      <c r="J258" s="117">
        <f t="shared" si="3"/>
        <v>8.0299999999999994</v>
      </c>
      <c r="K258" s="117" t="str">
        <f t="shared" si="4"/>
        <v>BR</v>
      </c>
      <c r="L258" s="42" t="str">
        <v>BR0803</v>
      </c>
      <c r="M258" s="121" t="str">
        <v/>
      </c>
      <c r="N258" s="121" t="str">
        <v/>
      </c>
      <c r="O258" s="121" t="str">
        <v/>
      </c>
      <c r="P258" s="121" t="str">
        <v/>
      </c>
      <c r="Q258" s="121" t="str">
        <v xml:space="preserve"> 3. </v>
      </c>
      <c r="R258" s="121" t="str">
        <v>Enrich each advertisement with relevant meta-tags for use in the online shop, as detailed in the Maintain content meta-tag hierarchy structures requirements.</v>
      </c>
      <c r="S258" s="121" t="str">
        <v/>
      </c>
      <c r="T258" s="119" t="str">
        <f>IF($C258&lt;4,IF($C258=3,T259,IF($C258=2,T$1,"")),Q258&amp;R258&amp;IF(LEN(S258)=0,"",Preferences!$C$2&amp;S258)&amp;IF(J259=J258,IF(LEN(R258&amp;S258)=0,"","
")&amp;T259,""))</f>
        <v xml:space="preserve"> 3. Enrich each advertisement with relevant meta-tags for use in the online shop, as detailed in the Maintain content meta-tag hierarchy structures requirements.</v>
      </c>
      <c r="U258" s="122" t="str">
        <v/>
      </c>
      <c r="V258" s="42"/>
      <c r="W258" s="42"/>
      <c r="X258" s="42"/>
      <c r="Y258" s="42"/>
      <c r="Z258" s="42"/>
      <c r="AA258" s="42"/>
      <c r="AB258" s="42"/>
    </row>
    <row r="259" spans="1:28" x14ac:dyDescent="0.25">
      <c r="A259" s="42" t="str">
        <v>1.8.4</v>
      </c>
      <c r="B259" s="121" t="str">
        <v>8.4 Enrich special content item (article) meta-data for online use</v>
      </c>
      <c r="C259" s="41">
        <v>3</v>
      </c>
      <c r="D259" s="41" t="str">
        <v>R</v>
      </c>
      <c r="E259" s="117" t="str">
        <f t="shared" si="0"/>
        <v>R</v>
      </c>
      <c r="F259" s="41" t="str">
        <v/>
      </c>
      <c r="G259" s="41" t="str">
        <v/>
      </c>
      <c r="H259" s="117">
        <f t="shared" si="1"/>
        <v>0</v>
      </c>
      <c r="I259" s="117">
        <f t="shared" si="2"/>
        <v>8</v>
      </c>
      <c r="J259" s="117">
        <f t="shared" si="3"/>
        <v>8.0399999999999991</v>
      </c>
      <c r="K259" s="117" t="str">
        <f t="shared" si="4"/>
        <v>BR</v>
      </c>
      <c r="L259" s="42" t="str">
        <v>BR0804</v>
      </c>
      <c r="M259" s="121" t="str">
        <v/>
      </c>
      <c r="N259" s="121" t="str">
        <v/>
      </c>
      <c r="O259" s="121" t="str">
        <v>BR0804</v>
      </c>
      <c r="P259" s="121" t="str">
        <v>Enrich special content item (article) meta-data for online use</v>
      </c>
      <c r="Q259" s="121" t="str">
        <v/>
      </c>
      <c r="R259" s="121" t="str">
        <v/>
      </c>
      <c r="S259" s="121" t="str">
        <v/>
      </c>
      <c r="T259" s="119" t="str">
        <f>IF($C259&lt;4,IF($C259=3,T260,IF($C259=2,T$1,"")),Q259&amp;R259&amp;IF(LEN(S259)=0,"",Preferences!$C$2&amp;S259)&amp;IF(J260=J259,IF(LEN(R259&amp;S259)=0,"","
")&amp;T260,""))</f>
        <v xml:space="preserve"> 1. Follow the existing Shoprite process to enrich the special content item meta-data and meta-tags for online selling (and possibly publishing) purposes.
 2. Enrich each special content item with relevant master data for use in the online shop and other online advertising channels, to include at least the following:
	• Search-engine meta-tags
 3. Enrich each special content item with relevant meta-tags for use in the online shop, as detailed in the Maintain content meta-tag hierarchy structures requirements.</v>
      </c>
      <c r="U259" s="122" t="str">
        <v/>
      </c>
      <c r="V259" s="42"/>
      <c r="W259" s="42"/>
      <c r="X259" s="42"/>
      <c r="Y259" s="42"/>
      <c r="Z259" s="42"/>
      <c r="AA259" s="42"/>
      <c r="AB259" s="42"/>
    </row>
    <row r="260" spans="1:28" x14ac:dyDescent="0.25">
      <c r="A260" s="42" t="str">
        <v>1.8.4.1</v>
      </c>
      <c r="B260" s="121" t="str">
        <v>Follow the existing Shoprite process to enrich the special content item meta-data and meta-tags for online selling (and possibly publishing) purposes.</v>
      </c>
      <c r="C260" s="41">
        <v>4</v>
      </c>
      <c r="D260" s="41" t="str">
        <v>RD</v>
      </c>
      <c r="E260" s="117" t="str">
        <f t="shared" si="0"/>
        <v>RD</v>
      </c>
      <c r="F260" s="41" t="str">
        <v/>
      </c>
      <c r="G260" s="41" t="str">
        <v/>
      </c>
      <c r="H260" s="117">
        <f t="shared" si="1"/>
        <v>0</v>
      </c>
      <c r="I260" s="117">
        <f t="shared" si="2"/>
        <v>8</v>
      </c>
      <c r="J260" s="117">
        <f t="shared" si="3"/>
        <v>8.0399999999999991</v>
      </c>
      <c r="K260" s="117" t="str">
        <f t="shared" si="4"/>
        <v>BR</v>
      </c>
      <c r="L260" s="42" t="str">
        <v>BR0804</v>
      </c>
      <c r="M260" s="121" t="str">
        <v/>
      </c>
      <c r="N260" s="121" t="str">
        <v/>
      </c>
      <c r="O260" s="121" t="str">
        <v/>
      </c>
      <c r="P260" s="121" t="str">
        <v/>
      </c>
      <c r="Q260" s="121" t="str">
        <v xml:space="preserve"> 1. </v>
      </c>
      <c r="R260" s="121" t="str">
        <v>Follow the existing Shoprite process to enrich the special content item meta-data and meta-tags for online selling (and possibly publishing) purposes.</v>
      </c>
      <c r="S260" s="121" t="str">
        <v/>
      </c>
      <c r="T260" s="119" t="str">
        <f>IF($C260&lt;4,IF($C260=3,T261,IF($C260=2,T$1,"")),Q260&amp;R260&amp;IF(LEN(S260)=0,"",Preferences!$C$2&amp;S260)&amp;IF(J261=J260,IF(LEN(R260&amp;S260)=0,"","
")&amp;T261,""))</f>
        <v xml:space="preserve"> 1. Follow the existing Shoprite process to enrich the special content item meta-data and meta-tags for online selling (and possibly publishing) purposes.
 2. Enrich each special content item with relevant master data for use in the online shop and other online advertising channels, to include at least the following:
	• Search-engine meta-tags
 3. Enrich each special content item with relevant meta-tags for use in the online shop, as detailed in the Maintain content meta-tag hierarchy structures requirements.</v>
      </c>
      <c r="U260" s="122" t="str">
        <v/>
      </c>
      <c r="V260" s="42"/>
      <c r="W260" s="42"/>
      <c r="X260" s="42"/>
      <c r="Y260" s="42"/>
      <c r="Z260" s="42"/>
      <c r="AA260" s="42"/>
      <c r="AB260" s="42"/>
    </row>
    <row r="261" spans="1:28" x14ac:dyDescent="0.25">
      <c r="A261" s="42" t="str">
        <v>1.8.4.2</v>
      </c>
      <c r="B261" s="121" t="str">
        <v>Enrich each special content item with relevant master data for use in the online shop and other online advertising channels, to include at least the following:</v>
      </c>
      <c r="C261" s="41">
        <v>4</v>
      </c>
      <c r="D261" s="41" t="str">
        <v>RD</v>
      </c>
      <c r="E261" s="117" t="str">
        <f t="shared" si="0"/>
        <v>RD</v>
      </c>
      <c r="F261" s="41" t="str">
        <v/>
      </c>
      <c r="G261" s="41" t="str">
        <v/>
      </c>
      <c r="H261" s="117">
        <f t="shared" si="1"/>
        <v>0</v>
      </c>
      <c r="I261" s="117">
        <f t="shared" si="2"/>
        <v>8</v>
      </c>
      <c r="J261" s="117">
        <f t="shared" si="3"/>
        <v>8.0399999999999991</v>
      </c>
      <c r="K261" s="117" t="str">
        <f t="shared" si="4"/>
        <v>BR</v>
      </c>
      <c r="L261" s="42" t="str">
        <v>BR0804</v>
      </c>
      <c r="M261" s="121" t="str">
        <v/>
      </c>
      <c r="N261" s="121" t="str">
        <v/>
      </c>
      <c r="O261" s="121" t="str">
        <v/>
      </c>
      <c r="P261" s="121" t="str">
        <v/>
      </c>
      <c r="Q261" s="121" t="str">
        <v xml:space="preserve"> 2. </v>
      </c>
      <c r="R261" s="121" t="str">
        <v>Enrich each special content item with relevant master data for use in the online shop and other online advertising channels, to include at least the following:</v>
      </c>
      <c r="S261" s="121" t="str">
        <v/>
      </c>
      <c r="T261" s="119" t="str">
        <f>IF($C261&lt;4,IF($C261=3,T262,IF($C261=2,T$1,"")),Q261&amp;R261&amp;IF(LEN(S261)=0,"",Preferences!$C$2&amp;S261)&amp;IF(J262=J261,IF(LEN(R261&amp;S261)=0,"","
")&amp;T262,""))</f>
        <v xml:space="preserve"> 2. Enrich each special content item with relevant master data for use in the online shop and other online advertising channels, to include at least the following:
	• Search-engine meta-tags
 3. Enrich each special content item with relevant meta-tags for use in the online shop, as detailed in the Maintain content meta-tag hierarchy structures requirements.</v>
      </c>
      <c r="U261" s="122" t="str">
        <v/>
      </c>
      <c r="V261" s="42"/>
      <c r="W261" s="42"/>
      <c r="X261" s="42"/>
      <c r="Y261" s="42"/>
      <c r="Z261" s="42"/>
      <c r="AA261" s="42"/>
      <c r="AB261" s="42"/>
    </row>
    <row r="262" spans="1:28" x14ac:dyDescent="0.25">
      <c r="A262" s="42" t="str">
        <v>1.8.4.2.1</v>
      </c>
      <c r="B262" s="121" t="str">
        <v>Search-engine meta-tags</v>
      </c>
      <c r="C262" s="41">
        <v>5</v>
      </c>
      <c r="D262" s="41" t="str">
        <v>RL</v>
      </c>
      <c r="E262" s="117" t="str">
        <f t="shared" si="0"/>
        <v>RL</v>
      </c>
      <c r="F262" s="41" t="str">
        <v/>
      </c>
      <c r="G262" s="41" t="str">
        <v/>
      </c>
      <c r="H262" s="117">
        <f t="shared" si="1"/>
        <v>0</v>
      </c>
      <c r="I262" s="117">
        <f t="shared" si="2"/>
        <v>8</v>
      </c>
      <c r="J262" s="117">
        <f t="shared" si="3"/>
        <v>8.0399999999999991</v>
      </c>
      <c r="K262" s="117" t="str">
        <f t="shared" si="4"/>
        <v>BR</v>
      </c>
      <c r="L262" s="42" t="str">
        <v>BR0804</v>
      </c>
      <c r="M262" s="121" t="str">
        <v/>
      </c>
      <c r="N262" s="121" t="str">
        <v/>
      </c>
      <c r="O262" s="121" t="str">
        <v/>
      </c>
      <c r="P262" s="121" t="str">
        <v/>
      </c>
      <c r="Q262" s="121" t="str">
        <v/>
      </c>
      <c r="R262" s="121" t="str">
        <v/>
      </c>
      <c r="S262" s="121" t="str">
        <v>Search-engine meta-tags</v>
      </c>
      <c r="T262" s="119" t="str">
        <f>IF($C262&lt;4,IF($C262=3,T263,IF($C262=2,T$1,"")),Q262&amp;R262&amp;IF(LEN(S262)=0,"",Preferences!$C$2&amp;S262)&amp;IF(J263=J262,IF(LEN(R262&amp;S262)=0,"","
")&amp;T263,""))</f>
        <v xml:space="preserve">	• Search-engine meta-tags
 3. Enrich each special content item with relevant meta-tags for use in the online shop, as detailed in the Maintain content meta-tag hierarchy structures requirements.</v>
      </c>
      <c r="U262" s="122" t="str">
        <v/>
      </c>
      <c r="V262" s="42"/>
      <c r="W262" s="42"/>
      <c r="X262" s="42"/>
      <c r="Y262" s="42"/>
      <c r="Z262" s="42"/>
      <c r="AA262" s="42"/>
      <c r="AB262" s="42"/>
    </row>
    <row r="263" spans="1:28" x14ac:dyDescent="0.25">
      <c r="A263" s="42" t="str">
        <v>1.8.4.3</v>
      </c>
      <c r="B263" s="121" t="str">
        <v>Enrich each special content item with relevant meta-tags for use in the online shop, as detailed in the Maintain content meta-tag hierarchy structures requirements.</v>
      </c>
      <c r="C263" s="41">
        <v>4</v>
      </c>
      <c r="D263" s="41" t="str">
        <v>RD</v>
      </c>
      <c r="E263" s="117" t="str">
        <f t="shared" si="0"/>
        <v>RD</v>
      </c>
      <c r="F263" s="41" t="str">
        <v/>
      </c>
      <c r="G263" s="41" t="str">
        <v/>
      </c>
      <c r="H263" s="117">
        <f t="shared" si="1"/>
        <v>0</v>
      </c>
      <c r="I263" s="117">
        <f t="shared" si="2"/>
        <v>8</v>
      </c>
      <c r="J263" s="117">
        <f t="shared" si="3"/>
        <v>8.0399999999999991</v>
      </c>
      <c r="K263" s="117" t="str">
        <f t="shared" si="4"/>
        <v>BR</v>
      </c>
      <c r="L263" s="42" t="str">
        <v>BR0804</v>
      </c>
      <c r="M263" s="121" t="str">
        <v/>
      </c>
      <c r="N263" s="121" t="str">
        <v/>
      </c>
      <c r="O263" s="121" t="str">
        <v/>
      </c>
      <c r="P263" s="121" t="str">
        <v/>
      </c>
      <c r="Q263" s="121" t="str">
        <v xml:space="preserve"> 3. </v>
      </c>
      <c r="R263" s="121" t="str">
        <v>Enrich each special content item with relevant meta-tags for use in the online shop, as detailed in the Maintain content meta-tag hierarchy structures requirements.</v>
      </c>
      <c r="S263" s="121" t="str">
        <v/>
      </c>
      <c r="T263" s="119" t="str">
        <f>IF($C263&lt;4,IF($C263=3,T264,IF($C263=2,T$1,"")),Q263&amp;R263&amp;IF(LEN(S263)=0,"",Preferences!$C$2&amp;S263)&amp;IF(J264=J263,IF(LEN(R263&amp;S263)=0,"","
")&amp;T264,""))</f>
        <v xml:space="preserve"> 3. Enrich each special content item with relevant meta-tags for use in the online shop, as detailed in the Maintain content meta-tag hierarchy structures requirements.</v>
      </c>
      <c r="U263" s="122" t="str">
        <v/>
      </c>
      <c r="V263" s="42"/>
      <c r="W263" s="42"/>
      <c r="X263" s="42"/>
      <c r="Y263" s="42"/>
      <c r="Z263" s="42"/>
      <c r="AA263" s="42"/>
      <c r="AB263" s="42"/>
    </row>
    <row r="264" spans="1:28" x14ac:dyDescent="0.25">
      <c r="A264" s="42" t="str">
        <v>1.8.5</v>
      </c>
      <c r="B264" s="121" t="str">
        <v>8.5 Maintain various sizes for each image</v>
      </c>
      <c r="C264" s="41">
        <v>3</v>
      </c>
      <c r="D264" s="41" t="str">
        <v>R</v>
      </c>
      <c r="E264" s="117" t="str">
        <f t="shared" si="0"/>
        <v>R</v>
      </c>
      <c r="F264" s="41" t="str">
        <v/>
      </c>
      <c r="G264" s="41" t="str">
        <v/>
      </c>
      <c r="H264" s="117">
        <f t="shared" si="1"/>
        <v>0</v>
      </c>
      <c r="I264" s="117">
        <f t="shared" si="2"/>
        <v>8</v>
      </c>
      <c r="J264" s="117">
        <f t="shared" si="3"/>
        <v>8.0499999999999989</v>
      </c>
      <c r="K264" s="117" t="str">
        <f t="shared" si="4"/>
        <v>BR</v>
      </c>
      <c r="L264" s="42" t="str">
        <v>BR0805</v>
      </c>
      <c r="M264" s="121" t="str">
        <v/>
      </c>
      <c r="N264" s="121" t="str">
        <v/>
      </c>
      <c r="O264" s="121" t="str">
        <v>BR0805</v>
      </c>
      <c r="P264" s="121" t="str">
        <v>Maintain various sizes for each image</v>
      </c>
      <c r="Q264" s="121" t="str">
        <v/>
      </c>
      <c r="R264" s="121" t="str">
        <v/>
      </c>
      <c r="S264" s="121" t="str">
        <v/>
      </c>
      <c r="T264" s="119" t="str">
        <f>IF($C264&lt;4,IF($C264=3,T265,IF($C264=2,T$1,"")),Q264&amp;R264&amp;IF(LEN(S264)=0,"",Preferences!$C$2&amp;S264)&amp;IF(J265=J264,IF(LEN(R264&amp;S264)=0,"","
")&amp;T265,""))</f>
        <v xml:space="preserve"> 1. For each image, maintain the following image sizes, for use in various presentation formats.
	• Thumbnail
	• Small
	• Medium
	• Large (full size)
	• Banner (for advertisements)
 2. Include different sizes for the medium and large version of each image, to display on different screen sizes - pc, tablet, smartphone</v>
      </c>
      <c r="U264" s="122" t="str">
        <v/>
      </c>
      <c r="V264" s="42"/>
      <c r="W264" s="42"/>
      <c r="X264" s="42"/>
      <c r="Y264" s="42"/>
      <c r="Z264" s="42"/>
      <c r="AA264" s="42"/>
      <c r="AB264" s="42"/>
    </row>
    <row r="265" spans="1:28" x14ac:dyDescent="0.25">
      <c r="A265" s="42" t="str">
        <v>1.8.5.1</v>
      </c>
      <c r="B265" s="121" t="str">
        <v>For each image, maintain the following image sizes, for use in various presentation formats.</v>
      </c>
      <c r="C265" s="41">
        <v>4</v>
      </c>
      <c r="D265" s="41" t="str">
        <v>RD</v>
      </c>
      <c r="E265" s="117" t="str">
        <f t="shared" si="0"/>
        <v>RD</v>
      </c>
      <c r="F265" s="41" t="str">
        <v/>
      </c>
      <c r="G265" s="41" t="str">
        <v/>
      </c>
      <c r="H265" s="117">
        <f t="shared" si="1"/>
        <v>0</v>
      </c>
      <c r="I265" s="117">
        <f t="shared" si="2"/>
        <v>8</v>
      </c>
      <c r="J265" s="117">
        <f t="shared" si="3"/>
        <v>8.0499999999999989</v>
      </c>
      <c r="K265" s="117" t="str">
        <f t="shared" si="4"/>
        <v>BR</v>
      </c>
      <c r="L265" s="42" t="str">
        <v>BR0805</v>
      </c>
      <c r="M265" s="121" t="str">
        <v/>
      </c>
      <c r="N265" s="121" t="str">
        <v/>
      </c>
      <c r="O265" s="121" t="str">
        <v/>
      </c>
      <c r="P265" s="121" t="str">
        <v/>
      </c>
      <c r="Q265" s="121" t="str">
        <v xml:space="preserve"> 1. </v>
      </c>
      <c r="R265" s="121" t="str">
        <v>For each image, maintain the following image sizes, for use in various presentation formats.</v>
      </c>
      <c r="S265" s="121" t="str">
        <v/>
      </c>
      <c r="T265" s="119" t="str">
        <f>IF($C265&lt;4,IF($C265=3,T266,IF($C265=2,T$1,"")),Q265&amp;R265&amp;IF(LEN(S265)=0,"",Preferences!$C$2&amp;S265)&amp;IF(J266=J265,IF(LEN(R265&amp;S265)=0,"","
")&amp;T266,""))</f>
        <v xml:space="preserve"> 1. For each image, maintain the following image sizes, for use in various presentation formats.
	• Thumbnail
	• Small
	• Medium
	• Large (full size)
	• Banner (for advertisements)
 2. Include different sizes for the medium and large version of each image, to display on different screen sizes - pc, tablet, smartphone</v>
      </c>
      <c r="U265" s="122" t="str">
        <v/>
      </c>
      <c r="V265" s="42"/>
      <c r="W265" s="42"/>
      <c r="X265" s="42"/>
      <c r="Y265" s="42"/>
      <c r="Z265" s="42"/>
      <c r="AA265" s="42"/>
      <c r="AB265" s="42"/>
    </row>
    <row r="266" spans="1:28" x14ac:dyDescent="0.25">
      <c r="A266" s="42" t="str">
        <v>1.8.5.1.1</v>
      </c>
      <c r="B266" s="121" t="str">
        <v>Thumbnail</v>
      </c>
      <c r="C266" s="41">
        <v>5</v>
      </c>
      <c r="D266" s="41" t="str">
        <v>RL</v>
      </c>
      <c r="E266" s="117" t="str">
        <f t="shared" si="0"/>
        <v>RL</v>
      </c>
      <c r="F266" s="41" t="str">
        <v/>
      </c>
      <c r="G266" s="41" t="str">
        <v/>
      </c>
      <c r="H266" s="117">
        <f t="shared" si="1"/>
        <v>0</v>
      </c>
      <c r="I266" s="117">
        <f t="shared" si="2"/>
        <v>8</v>
      </c>
      <c r="J266" s="117">
        <f t="shared" si="3"/>
        <v>8.0499999999999989</v>
      </c>
      <c r="K266" s="117" t="str">
        <f t="shared" si="4"/>
        <v>BR</v>
      </c>
      <c r="L266" s="42" t="str">
        <v>BR0805</v>
      </c>
      <c r="M266" s="121" t="str">
        <v/>
      </c>
      <c r="N266" s="121" t="str">
        <v/>
      </c>
      <c r="O266" s="121" t="str">
        <v/>
      </c>
      <c r="P266" s="121" t="str">
        <v/>
      </c>
      <c r="Q266" s="121" t="str">
        <v/>
      </c>
      <c r="R266" s="121" t="str">
        <v/>
      </c>
      <c r="S266" s="121" t="str">
        <v>Thumbnail</v>
      </c>
      <c r="T266" s="119" t="str">
        <f>IF($C266&lt;4,IF($C266=3,T267,IF($C266=2,T$1,"")),Q266&amp;R266&amp;IF(LEN(S266)=0,"",Preferences!$C$2&amp;S266)&amp;IF(J267=J266,IF(LEN(R266&amp;S266)=0,"","
")&amp;T267,""))</f>
        <v xml:space="preserve">	• Thumbnail
	• Small
	• Medium
	• Large (full size)
	• Banner (for advertisements)
 2. Include different sizes for the medium and large version of each image, to display on different screen sizes - pc, tablet, smartphone</v>
      </c>
      <c r="U266" s="122" t="str">
        <v/>
      </c>
      <c r="V266" s="42"/>
      <c r="W266" s="42"/>
      <c r="X266" s="42"/>
      <c r="Y266" s="42"/>
      <c r="Z266" s="42"/>
      <c r="AA266" s="42"/>
      <c r="AB266" s="42"/>
    </row>
    <row r="267" spans="1:28" x14ac:dyDescent="0.25">
      <c r="A267" s="42" t="str">
        <v>1.8.5.1.2</v>
      </c>
      <c r="B267" s="121" t="str">
        <v>Small</v>
      </c>
      <c r="C267" s="41">
        <v>5</v>
      </c>
      <c r="D267" s="41" t="str">
        <v>RL</v>
      </c>
      <c r="E267" s="117" t="str">
        <f t="shared" si="0"/>
        <v>RL</v>
      </c>
      <c r="F267" s="41" t="str">
        <v/>
      </c>
      <c r="G267" s="41" t="str">
        <v/>
      </c>
      <c r="H267" s="117">
        <f t="shared" si="1"/>
        <v>0</v>
      </c>
      <c r="I267" s="117">
        <f t="shared" si="2"/>
        <v>8</v>
      </c>
      <c r="J267" s="117">
        <f t="shared" si="3"/>
        <v>8.0499999999999989</v>
      </c>
      <c r="K267" s="117" t="str">
        <f t="shared" si="4"/>
        <v>BR</v>
      </c>
      <c r="L267" s="42" t="str">
        <v>BR0805</v>
      </c>
      <c r="M267" s="121" t="str">
        <v/>
      </c>
      <c r="N267" s="121" t="str">
        <v/>
      </c>
      <c r="O267" s="121" t="str">
        <v/>
      </c>
      <c r="P267" s="121" t="str">
        <v/>
      </c>
      <c r="Q267" s="121" t="str">
        <v/>
      </c>
      <c r="R267" s="121" t="str">
        <v/>
      </c>
      <c r="S267" s="121" t="str">
        <v>Small</v>
      </c>
      <c r="T267" s="119" t="str">
        <f>IF($C267&lt;4,IF($C267=3,T268,IF($C267=2,T$1,"")),Q267&amp;R267&amp;IF(LEN(S267)=0,"",Preferences!$C$2&amp;S267)&amp;IF(J268=J267,IF(LEN(R267&amp;S267)=0,"","
")&amp;T268,""))</f>
        <v xml:space="preserve">	• Small
	• Medium
	• Large (full size)
	• Banner (for advertisements)
 2. Include different sizes for the medium and large version of each image, to display on different screen sizes - pc, tablet, smartphone</v>
      </c>
      <c r="U267" s="122" t="str">
        <v/>
      </c>
      <c r="V267" s="42"/>
      <c r="W267" s="42"/>
      <c r="X267" s="42"/>
      <c r="Y267" s="42"/>
      <c r="Z267" s="42"/>
      <c r="AA267" s="42"/>
      <c r="AB267" s="42"/>
    </row>
    <row r="268" spans="1:28" x14ac:dyDescent="0.25">
      <c r="A268" s="42" t="str">
        <v>1.8.5.1.3</v>
      </c>
      <c r="B268" s="121" t="str">
        <v>Medium</v>
      </c>
      <c r="C268" s="41">
        <v>5</v>
      </c>
      <c r="D268" s="41" t="str">
        <v>RL</v>
      </c>
      <c r="E268" s="117" t="str">
        <f t="shared" si="0"/>
        <v>RL</v>
      </c>
      <c r="F268" s="41" t="str">
        <v/>
      </c>
      <c r="G268" s="41" t="str">
        <v/>
      </c>
      <c r="H268" s="117">
        <f t="shared" si="1"/>
        <v>0</v>
      </c>
      <c r="I268" s="117">
        <f t="shared" si="2"/>
        <v>8</v>
      </c>
      <c r="J268" s="117">
        <f t="shared" si="3"/>
        <v>8.0499999999999989</v>
      </c>
      <c r="K268" s="117" t="str">
        <f t="shared" si="4"/>
        <v>BR</v>
      </c>
      <c r="L268" s="42" t="str">
        <v>BR0805</v>
      </c>
      <c r="M268" s="121" t="str">
        <v/>
      </c>
      <c r="N268" s="121" t="str">
        <v/>
      </c>
      <c r="O268" s="121" t="str">
        <v/>
      </c>
      <c r="P268" s="121" t="str">
        <v/>
      </c>
      <c r="Q268" s="121" t="str">
        <v/>
      </c>
      <c r="R268" s="121" t="str">
        <v/>
      </c>
      <c r="S268" s="121" t="str">
        <v>Medium</v>
      </c>
      <c r="T268" s="119" t="str">
        <f>IF($C268&lt;4,IF($C268=3,T269,IF($C268=2,T$1,"")),Q268&amp;R268&amp;IF(LEN(S268)=0,"",Preferences!$C$2&amp;S268)&amp;IF(J269=J268,IF(LEN(R268&amp;S268)=0,"","
")&amp;T269,""))</f>
        <v xml:space="preserve">	• Medium
	• Large (full size)
	• Banner (for advertisements)
 2. Include different sizes for the medium and large version of each image, to display on different screen sizes - pc, tablet, smartphone</v>
      </c>
      <c r="U268" s="122" t="str">
        <v/>
      </c>
      <c r="V268" s="42"/>
      <c r="W268" s="42"/>
      <c r="X268" s="42"/>
      <c r="Y268" s="42"/>
      <c r="Z268" s="42"/>
      <c r="AA268" s="42"/>
      <c r="AB268" s="42"/>
    </row>
    <row r="269" spans="1:28" x14ac:dyDescent="0.25">
      <c r="A269" s="42" t="str">
        <v>1.8.5.1.4</v>
      </c>
      <c r="B269" s="121" t="str">
        <v>Large (full size)</v>
      </c>
      <c r="C269" s="41">
        <v>5</v>
      </c>
      <c r="D269" s="41" t="str">
        <v>RL</v>
      </c>
      <c r="E269" s="117" t="str">
        <f t="shared" si="0"/>
        <v>RL</v>
      </c>
      <c r="F269" s="41" t="str">
        <v/>
      </c>
      <c r="G269" s="41" t="str">
        <v/>
      </c>
      <c r="H269" s="117">
        <f t="shared" si="1"/>
        <v>0</v>
      </c>
      <c r="I269" s="117">
        <f t="shared" si="2"/>
        <v>8</v>
      </c>
      <c r="J269" s="117">
        <f t="shared" si="3"/>
        <v>8.0499999999999989</v>
      </c>
      <c r="K269" s="117" t="str">
        <f t="shared" si="4"/>
        <v>BR</v>
      </c>
      <c r="L269" s="42" t="str">
        <v>BR0805</v>
      </c>
      <c r="M269" s="121" t="str">
        <v/>
      </c>
      <c r="N269" s="121" t="str">
        <v/>
      </c>
      <c r="O269" s="121" t="str">
        <v/>
      </c>
      <c r="P269" s="121" t="str">
        <v/>
      </c>
      <c r="Q269" s="121" t="str">
        <v/>
      </c>
      <c r="R269" s="121" t="str">
        <v/>
      </c>
      <c r="S269" s="121" t="str">
        <v>Large (full size)</v>
      </c>
      <c r="T269" s="119" t="str">
        <f>IF($C269&lt;4,IF($C269=3,T270,IF($C269=2,T$1,"")),Q269&amp;R269&amp;IF(LEN(S269)=0,"",Preferences!$C$2&amp;S269)&amp;IF(J270=J269,IF(LEN(R269&amp;S269)=0,"","
")&amp;T270,""))</f>
        <v xml:space="preserve">	• Large (full size)
	• Banner (for advertisements)
 2. Include different sizes for the medium and large version of each image, to display on different screen sizes - pc, tablet, smartphone</v>
      </c>
      <c r="U269" s="122" t="str">
        <v/>
      </c>
      <c r="V269" s="42"/>
      <c r="W269" s="42"/>
      <c r="X269" s="42"/>
      <c r="Y269" s="42"/>
      <c r="Z269" s="42"/>
      <c r="AA269" s="42"/>
      <c r="AB269" s="42"/>
    </row>
    <row r="270" spans="1:28" x14ac:dyDescent="0.25">
      <c r="A270" s="42" t="str">
        <v>1.8.5.1.5</v>
      </c>
      <c r="B270" s="121" t="str">
        <v>Banner (for advertisements)</v>
      </c>
      <c r="C270" s="41">
        <v>5</v>
      </c>
      <c r="D270" s="41" t="str">
        <v>RL</v>
      </c>
      <c r="E270" s="117" t="str">
        <f t="shared" si="0"/>
        <v>RL</v>
      </c>
      <c r="F270" s="41" t="str">
        <v/>
      </c>
      <c r="G270" s="41" t="str">
        <v/>
      </c>
      <c r="H270" s="117">
        <f t="shared" si="1"/>
        <v>0</v>
      </c>
      <c r="I270" s="117">
        <f t="shared" si="2"/>
        <v>8</v>
      </c>
      <c r="J270" s="117">
        <f t="shared" si="3"/>
        <v>8.0499999999999989</v>
      </c>
      <c r="K270" s="117" t="str">
        <f t="shared" si="4"/>
        <v>BR</v>
      </c>
      <c r="L270" s="42" t="str">
        <v>BR0805</v>
      </c>
      <c r="M270" s="121" t="str">
        <v/>
      </c>
      <c r="N270" s="121" t="str">
        <v/>
      </c>
      <c r="O270" s="121" t="str">
        <v/>
      </c>
      <c r="P270" s="121" t="str">
        <v/>
      </c>
      <c r="Q270" s="121" t="str">
        <v/>
      </c>
      <c r="R270" s="121" t="str">
        <v/>
      </c>
      <c r="S270" s="121" t="str">
        <v>Banner (for advertisements)</v>
      </c>
      <c r="T270" s="119" t="str">
        <f>IF($C270&lt;4,IF($C270=3,T271,IF($C270=2,T$1,"")),Q270&amp;R270&amp;IF(LEN(S270)=0,"",Preferences!$C$2&amp;S270)&amp;IF(J271=J270,IF(LEN(R270&amp;S270)=0,"","
")&amp;T271,""))</f>
        <v xml:space="preserve">	• Banner (for advertisements)
 2. Include different sizes for the medium and large version of each image, to display on different screen sizes - pc, tablet, smartphone</v>
      </c>
      <c r="U270" s="122" t="str">
        <v/>
      </c>
      <c r="V270" s="42"/>
      <c r="W270" s="42"/>
      <c r="X270" s="42"/>
      <c r="Y270" s="42"/>
      <c r="Z270" s="42"/>
      <c r="AA270" s="42"/>
      <c r="AB270" s="42"/>
    </row>
    <row r="271" spans="1:28" x14ac:dyDescent="0.25">
      <c r="A271" s="42" t="str">
        <v>1.8.5.2</v>
      </c>
      <c r="B271" s="121" t="str">
        <v>Include different sizes for the medium and large version of each image, to display on different screen sizes - pc, tablet, smartphone</v>
      </c>
      <c r="C271" s="41">
        <v>4</v>
      </c>
      <c r="D271" s="41" t="str">
        <v>RD</v>
      </c>
      <c r="E271" s="117" t="str">
        <f t="shared" si="0"/>
        <v>RD</v>
      </c>
      <c r="F271" s="41" t="str">
        <v/>
      </c>
      <c r="G271" s="41" t="str">
        <v/>
      </c>
      <c r="H271" s="117">
        <f t="shared" si="1"/>
        <v>0</v>
      </c>
      <c r="I271" s="117">
        <f t="shared" si="2"/>
        <v>8</v>
      </c>
      <c r="J271" s="117">
        <f t="shared" si="3"/>
        <v>8.0499999999999989</v>
      </c>
      <c r="K271" s="117" t="str">
        <f t="shared" si="4"/>
        <v>BR</v>
      </c>
      <c r="L271" s="42" t="str">
        <v>BR0805</v>
      </c>
      <c r="M271" s="121" t="str">
        <v/>
      </c>
      <c r="N271" s="121" t="str">
        <v/>
      </c>
      <c r="O271" s="121" t="str">
        <v/>
      </c>
      <c r="P271" s="121" t="str">
        <v/>
      </c>
      <c r="Q271" s="121" t="str">
        <v xml:space="preserve"> 2. </v>
      </c>
      <c r="R271" s="121" t="str">
        <v>Include different sizes for the medium and large version of each image, to display on different screen sizes - pc, tablet, smartphone</v>
      </c>
      <c r="S271" s="121" t="str">
        <v/>
      </c>
      <c r="T271" s="119" t="str">
        <f>IF($C271&lt;4,IF($C271=3,T272,IF($C271=2,T$1,"")),Q271&amp;R271&amp;IF(LEN(S271)=0,"",Preferences!$C$2&amp;S271)&amp;IF(J272=J271,IF(LEN(R271&amp;S271)=0,"","
")&amp;T272,""))</f>
        <v xml:space="preserve"> 2. Include different sizes for the medium and large version of each image, to display on different screen sizes - pc, tablet, smartphone</v>
      </c>
      <c r="U271" s="122" t="str">
        <v/>
      </c>
      <c r="V271" s="42"/>
      <c r="W271" s="42"/>
      <c r="X271" s="42"/>
      <c r="Y271" s="42"/>
      <c r="Z271" s="42"/>
      <c r="AA271" s="42"/>
      <c r="AB271" s="42"/>
    </row>
    <row r="272" spans="1:28" x14ac:dyDescent="0.25">
      <c r="A272" s="42" t="str">
        <v>1.8.6</v>
      </c>
      <c r="B272" s="121" t="str">
        <v>8.6 Enrich content relationships and classification using meta-tags</v>
      </c>
      <c r="C272" s="41">
        <v>3</v>
      </c>
      <c r="D272" s="41" t="str">
        <v>R</v>
      </c>
      <c r="E272" s="117" t="str">
        <f t="shared" si="0"/>
        <v>R</v>
      </c>
      <c r="F272" s="41" t="str">
        <v/>
      </c>
      <c r="G272" s="41" t="str">
        <v/>
      </c>
      <c r="H272" s="117">
        <f t="shared" si="1"/>
        <v>0</v>
      </c>
      <c r="I272" s="117">
        <f t="shared" si="2"/>
        <v>8</v>
      </c>
      <c r="J272" s="117">
        <f t="shared" si="3"/>
        <v>8.0599999999999987</v>
      </c>
      <c r="K272" s="117" t="str">
        <f t="shared" si="4"/>
        <v>BR</v>
      </c>
      <c r="L272" s="42" t="str">
        <v>BR0806</v>
      </c>
      <c r="M272" s="121" t="str">
        <v/>
      </c>
      <c r="N272" s="121" t="str">
        <v/>
      </c>
      <c r="O272" s="121" t="str">
        <v>BR0806</v>
      </c>
      <c r="P272" s="121" t="str">
        <v>Enrich content relationships and classification using meta-tags</v>
      </c>
      <c r="Q272" s="121" t="str">
        <v/>
      </c>
      <c r="R272" s="121" t="str">
        <v/>
      </c>
      <c r="S272" s="121" t="str">
        <v/>
      </c>
      <c r="T272" s="119" t="str">
        <f>IF($C272&lt;4,IF($C272=3,T273,IF($C272=2,T$1,"")),Q272&amp;R272&amp;IF(LEN(S272)=0,"",Preferences!$C$2&amp;S272)&amp;IF(J273=J272,IF(LEN(R272&amp;S272)=0,"","
")&amp;T273,""))</f>
        <v xml:space="preserve"> 1. If a sub-tag is applied, its parent meta-tag must also be applied to the item (e.g. for baby milk, baby food).</v>
      </c>
      <c r="U272" s="122" t="str">
        <v/>
      </c>
      <c r="V272" s="42"/>
      <c r="W272" s="42"/>
      <c r="X272" s="42"/>
      <c r="Y272" s="42"/>
      <c r="Z272" s="42"/>
      <c r="AA272" s="42"/>
      <c r="AB272" s="42"/>
    </row>
    <row r="273" spans="1:28" x14ac:dyDescent="0.25">
      <c r="A273" s="42" t="str">
        <v>1.8.6.1</v>
      </c>
      <c r="B273" s="121" t="str">
        <v>If a sub-tag is applied, its parent meta-tag must also be applied to the item (e.g. for baby milk, baby food).</v>
      </c>
      <c r="C273" s="41">
        <v>4</v>
      </c>
      <c r="D273" s="41" t="str">
        <v>RD</v>
      </c>
      <c r="E273" s="117" t="str">
        <f t="shared" si="0"/>
        <v>RD</v>
      </c>
      <c r="F273" s="41" t="str">
        <v/>
      </c>
      <c r="G273" s="41" t="str">
        <v/>
      </c>
      <c r="H273" s="117">
        <f t="shared" si="1"/>
        <v>0</v>
      </c>
      <c r="I273" s="117">
        <f t="shared" si="2"/>
        <v>8</v>
      </c>
      <c r="J273" s="117">
        <f t="shared" si="3"/>
        <v>8.0599999999999987</v>
      </c>
      <c r="K273" s="117" t="str">
        <f t="shared" si="4"/>
        <v>BR</v>
      </c>
      <c r="L273" s="42" t="str">
        <v>BR0806</v>
      </c>
      <c r="M273" s="121" t="str">
        <v/>
      </c>
      <c r="N273" s="121" t="str">
        <v/>
      </c>
      <c r="O273" s="121" t="str">
        <v/>
      </c>
      <c r="P273" s="121" t="str">
        <v/>
      </c>
      <c r="Q273" s="121" t="str">
        <v xml:space="preserve"> 1. </v>
      </c>
      <c r="R273" s="121" t="str">
        <v>If a sub-tag is applied, its parent meta-tag must also be applied to the item (e.g. for baby milk, baby food).</v>
      </c>
      <c r="S273" s="121" t="str">
        <v/>
      </c>
      <c r="T273" s="119" t="str">
        <f>IF($C273&lt;4,IF($C273=3,T274,IF($C273=2,T$1,"")),Q273&amp;R273&amp;IF(LEN(S273)=0,"",Preferences!$C$2&amp;S273)&amp;IF(J274=J273,IF(LEN(R273&amp;S273)=0,"","
")&amp;T274,""))</f>
        <v xml:space="preserve"> 1. If a sub-tag is applied, its parent meta-tag must also be applied to the item (e.g. for baby milk, baby food).</v>
      </c>
      <c r="U273" s="122" t="str">
        <v/>
      </c>
      <c r="V273" s="42"/>
      <c r="W273" s="42"/>
      <c r="X273" s="42"/>
      <c r="Y273" s="42"/>
      <c r="Z273" s="42"/>
      <c r="AA273" s="42"/>
      <c r="AB273" s="42"/>
    </row>
    <row r="274" spans="1:28" x14ac:dyDescent="0.25">
      <c r="A274" s="42" t="str">
        <v>1.9</v>
      </c>
      <c r="B274" s="121" t="str">
        <v>9 Online Shop Users</v>
      </c>
      <c r="C274" s="41">
        <v>2</v>
      </c>
      <c r="D274" s="41" t="str">
        <v>RS</v>
      </c>
      <c r="E274" s="117" t="str">
        <f t="shared" si="0"/>
        <v>RS</v>
      </c>
      <c r="F274" s="41" t="str">
        <v/>
      </c>
      <c r="G274" s="41" t="str">
        <v/>
      </c>
      <c r="H274" s="117">
        <f t="shared" si="1"/>
        <v>0</v>
      </c>
      <c r="I274" s="117">
        <f t="shared" si="2"/>
        <v>9</v>
      </c>
      <c r="J274" s="117">
        <f t="shared" si="3"/>
        <v>9</v>
      </c>
      <c r="K274" s="117" t="str">
        <f t="shared" si="4"/>
        <v>BR</v>
      </c>
      <c r="L274" s="42">
        <v>9</v>
      </c>
      <c r="M274" s="121" t="str">
        <v/>
      </c>
      <c r="N274" s="121" t="str">
        <v>9 Online Shop Users</v>
      </c>
      <c r="O274" s="121" t="str">
        <v>ReqID</v>
      </c>
      <c r="P274" s="121" t="e">
        <v>#N/A</v>
      </c>
      <c r="Q274" s="121" t="str">
        <v/>
      </c>
      <c r="R274" s="121" t="str">
        <v/>
      </c>
      <c r="S274" s="121" t="str">
        <v/>
      </c>
      <c r="T274" s="119" t="str">
        <f>IF($C274&lt;4,IF($C274=3,T275,IF($C274=2,T$1,"")),Q274&amp;R274&amp;IF(LEN(S274)=0,"",Preferences!$C$2&amp;S274)&amp;IF(J275=J274,IF(LEN(R274&amp;S274)=0,"","
")&amp;T275,""))</f>
        <v>Description</v>
      </c>
      <c r="U274" s="122" t="str">
        <v/>
      </c>
      <c r="V274" s="42"/>
      <c r="W274" s="42"/>
      <c r="X274" s="42"/>
      <c r="Y274" s="42"/>
      <c r="Z274" s="42"/>
      <c r="AA274" s="42"/>
      <c r="AB274" s="42"/>
    </row>
    <row r="275" spans="1:28" x14ac:dyDescent="0.25">
      <c r="A275" s="42" t="str">
        <v>1.9.1</v>
      </c>
      <c r="B275" s="121" t="str">
        <v>9.1 Manage online shop user roles</v>
      </c>
      <c r="C275" s="41">
        <v>3</v>
      </c>
      <c r="D275" s="41" t="str">
        <v>R</v>
      </c>
      <c r="E275" s="117" t="str">
        <f t="shared" si="0"/>
        <v>R</v>
      </c>
      <c r="F275" s="41" t="str">
        <v/>
      </c>
      <c r="G275" s="41" t="str">
        <v/>
      </c>
      <c r="H275" s="117">
        <f t="shared" si="1"/>
        <v>0</v>
      </c>
      <c r="I275" s="117">
        <f t="shared" si="2"/>
        <v>9</v>
      </c>
      <c r="J275" s="117">
        <f t="shared" si="3"/>
        <v>9.01</v>
      </c>
      <c r="K275" s="117" t="str">
        <f t="shared" si="4"/>
        <v>BR</v>
      </c>
      <c r="L275" s="42" t="str">
        <v>BR0901</v>
      </c>
      <c r="M275" s="121" t="str">
        <v/>
      </c>
      <c r="N275" s="121" t="str">
        <v/>
      </c>
      <c r="O275" s="121" t="str">
        <v>BR0901</v>
      </c>
      <c r="P275" s="121" t="str">
        <v>Manage online shop user roles</v>
      </c>
      <c r="Q275" s="121" t="str">
        <v/>
      </c>
      <c r="R275" s="121" t="str">
        <v/>
      </c>
      <c r="S275" s="121" t="str">
        <v/>
      </c>
      <c r="T275" s="119" t="str">
        <f>IF($C275&lt;4,IF($C275=3,T276,IF($C275=2,T$1,"")),Q275&amp;R275&amp;IF(LEN(S275)=0,"",Preferences!$C$2&amp;S275)&amp;IF(J276=J275,IF(LEN(R275&amp;S275)=0,"","
")&amp;T276,""))</f>
        <v xml:space="preserve"> 1. Cater for the following online shop user role, each with a configurable set of allowed functions:
 2. Customer role
 3. Business user roles: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75" s="122" t="str">
        <v/>
      </c>
      <c r="V275" s="42"/>
      <c r="W275" s="42"/>
      <c r="X275" s="42"/>
      <c r="Y275" s="42"/>
      <c r="Z275" s="42"/>
      <c r="AA275" s="42"/>
      <c r="AB275" s="42"/>
    </row>
    <row r="276" spans="1:28" x14ac:dyDescent="0.25">
      <c r="A276" s="42" t="str">
        <v>1.9.1.1</v>
      </c>
      <c r="B276" s="121" t="str">
        <v>Cater for the following online shop user role, each with a configurable set of allowed functions:</v>
      </c>
      <c r="C276" s="41">
        <v>4</v>
      </c>
      <c r="D276" s="41" t="str">
        <v>RD</v>
      </c>
      <c r="E276" s="117" t="str">
        <f t="shared" si="0"/>
        <v>RD</v>
      </c>
      <c r="F276" s="41" t="str">
        <v/>
      </c>
      <c r="G276" s="41" t="str">
        <v/>
      </c>
      <c r="H276" s="117">
        <f t="shared" si="1"/>
        <v>0</v>
      </c>
      <c r="I276" s="117">
        <f t="shared" si="2"/>
        <v>9</v>
      </c>
      <c r="J276" s="117">
        <f t="shared" si="3"/>
        <v>9.01</v>
      </c>
      <c r="K276" s="117" t="str">
        <f t="shared" si="4"/>
        <v>BR</v>
      </c>
      <c r="L276" s="42" t="str">
        <v>BR0901</v>
      </c>
      <c r="M276" s="121" t="str">
        <v/>
      </c>
      <c r="N276" s="121" t="str">
        <v/>
      </c>
      <c r="O276" s="121" t="str">
        <v/>
      </c>
      <c r="P276" s="121" t="str">
        <v/>
      </c>
      <c r="Q276" s="121" t="str">
        <v xml:space="preserve"> 1. </v>
      </c>
      <c r="R276" s="121" t="str">
        <v>Cater for the following online shop user role, each with a configurable set of allowed functions:</v>
      </c>
      <c r="S276" s="121" t="str">
        <v/>
      </c>
      <c r="T276" s="119" t="str">
        <f>IF($C276&lt;4,IF($C276=3,T277,IF($C276=2,T$1,"")),Q276&amp;R276&amp;IF(LEN(S276)=0,"",Preferences!$C$2&amp;S276)&amp;IF(J277=J276,IF(LEN(R276&amp;S276)=0,"","
")&amp;T277,""))</f>
        <v xml:space="preserve"> 1. Cater for the following online shop user role, each with a configurable set of allowed functions:
 2. Customer role
 3. Business user roles: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76" s="122" t="str">
        <v/>
      </c>
      <c r="V276" s="42"/>
      <c r="W276" s="42"/>
      <c r="X276" s="42"/>
      <c r="Y276" s="42"/>
      <c r="Z276" s="42"/>
      <c r="AA276" s="42"/>
      <c r="AB276" s="42"/>
    </row>
    <row r="277" spans="1:28" x14ac:dyDescent="0.25">
      <c r="A277" s="42" t="str">
        <v>1.9.1.2</v>
      </c>
      <c r="B277" s="121" t="str">
        <v>Customer role</v>
      </c>
      <c r="C277" s="41">
        <v>4</v>
      </c>
      <c r="D277" s="41" t="str">
        <v>RD</v>
      </c>
      <c r="E277" s="117" t="str">
        <f t="shared" si="0"/>
        <v>RD</v>
      </c>
      <c r="F277" s="41" t="str">
        <v/>
      </c>
      <c r="G277" s="41" t="str">
        <v/>
      </c>
      <c r="H277" s="117">
        <f t="shared" si="1"/>
        <v>0</v>
      </c>
      <c r="I277" s="117">
        <f t="shared" si="2"/>
        <v>9</v>
      </c>
      <c r="J277" s="117">
        <f t="shared" si="3"/>
        <v>9.01</v>
      </c>
      <c r="K277" s="117" t="str">
        <f t="shared" si="4"/>
        <v>BR</v>
      </c>
      <c r="L277" s="42" t="str">
        <v>BR0901</v>
      </c>
      <c r="M277" s="121" t="str">
        <v/>
      </c>
      <c r="N277" s="121" t="str">
        <v/>
      </c>
      <c r="O277" s="121" t="str">
        <v/>
      </c>
      <c r="P277" s="121" t="str">
        <v/>
      </c>
      <c r="Q277" s="121" t="str">
        <v xml:space="preserve"> 2. </v>
      </c>
      <c r="R277" s="121" t="str">
        <v>Customer role</v>
      </c>
      <c r="S277" s="121" t="str">
        <v/>
      </c>
      <c r="T277" s="119" t="str">
        <f>IF($C277&lt;4,IF($C277=3,T278,IF($C277=2,T$1,"")),Q277&amp;R277&amp;IF(LEN(S277)=0,"",Preferences!$C$2&amp;S277)&amp;IF(J278=J277,IF(LEN(R277&amp;S277)=0,"","
")&amp;T278,""))</f>
        <v xml:space="preserve"> 2. Customer role
 3. Business user roles: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77" s="122" t="str">
        <v/>
      </c>
      <c r="V277" s="42"/>
      <c r="W277" s="42"/>
      <c r="X277" s="42"/>
      <c r="Y277" s="42"/>
      <c r="Z277" s="42"/>
      <c r="AA277" s="42"/>
      <c r="AB277" s="42"/>
    </row>
    <row r="278" spans="1:28" x14ac:dyDescent="0.25">
      <c r="A278" s="42" t="str">
        <v>1.9.1.3</v>
      </c>
      <c r="B278" s="121" t="str">
        <v>Business user roles:</v>
      </c>
      <c r="C278" s="41">
        <v>4</v>
      </c>
      <c r="D278" s="41" t="str">
        <v>RD</v>
      </c>
      <c r="E278" s="117" t="str">
        <f t="shared" si="0"/>
        <v>RD</v>
      </c>
      <c r="F278" s="41" t="str">
        <v/>
      </c>
      <c r="G278" s="41" t="str">
        <v/>
      </c>
      <c r="H278" s="117">
        <f t="shared" si="1"/>
        <v>0</v>
      </c>
      <c r="I278" s="117">
        <f t="shared" si="2"/>
        <v>9</v>
      </c>
      <c r="J278" s="117">
        <f t="shared" si="3"/>
        <v>9.01</v>
      </c>
      <c r="K278" s="117" t="str">
        <f t="shared" si="4"/>
        <v>BR</v>
      </c>
      <c r="L278" s="42" t="str">
        <v>BR0901</v>
      </c>
      <c r="M278" s="121" t="str">
        <v/>
      </c>
      <c r="N278" s="121" t="str">
        <v/>
      </c>
      <c r="O278" s="121" t="str">
        <v/>
      </c>
      <c r="P278" s="121" t="str">
        <v/>
      </c>
      <c r="Q278" s="121" t="str">
        <v xml:space="preserve"> 3. </v>
      </c>
      <c r="R278" s="121" t="str">
        <v>Business user roles:</v>
      </c>
      <c r="S278" s="121" t="str">
        <v/>
      </c>
      <c r="T278" s="119" t="str">
        <f>IF($C278&lt;4,IF($C278=3,T279,IF($C278=2,T$1,"")),Q278&amp;R278&amp;IF(LEN(S278)=0,"",Preferences!$C$2&amp;S278)&amp;IF(J279=J278,IF(LEN(R278&amp;S278)=0,"","
")&amp;T279,""))</f>
        <v xml:space="preserve"> 3. Business user roles: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78" s="122" t="str">
        <v/>
      </c>
      <c r="V278" s="42"/>
      <c r="W278" s="42"/>
      <c r="X278" s="42"/>
      <c r="Y278" s="42"/>
      <c r="Z278" s="42"/>
      <c r="AA278" s="42"/>
      <c r="AB278" s="42"/>
    </row>
    <row r="279" spans="1:28" x14ac:dyDescent="0.25">
      <c r="A279" s="42" t="str">
        <v>1.9.1.3.1</v>
      </c>
      <c r="B279" s="121" t="str">
        <v>Advertisement Manager</v>
      </c>
      <c r="C279" s="41">
        <v>5</v>
      </c>
      <c r="D279" s="41" t="str">
        <v>RL</v>
      </c>
      <c r="E279" s="117" t="str">
        <f t="shared" si="0"/>
        <v>RL</v>
      </c>
      <c r="F279" s="41" t="str">
        <v/>
      </c>
      <c r="G279" s="41" t="str">
        <v/>
      </c>
      <c r="H279" s="117">
        <f t="shared" si="1"/>
        <v>0</v>
      </c>
      <c r="I279" s="117">
        <f t="shared" si="2"/>
        <v>9</v>
      </c>
      <c r="J279" s="117">
        <f t="shared" si="3"/>
        <v>9.01</v>
      </c>
      <c r="K279" s="117" t="str">
        <f t="shared" si="4"/>
        <v>BR</v>
      </c>
      <c r="L279" s="42" t="str">
        <v>BR0901</v>
      </c>
      <c r="M279" s="121" t="str">
        <v/>
      </c>
      <c r="N279" s="121" t="str">
        <v/>
      </c>
      <c r="O279" s="121" t="str">
        <v/>
      </c>
      <c r="P279" s="121" t="str">
        <v/>
      </c>
      <c r="Q279" s="121" t="str">
        <v/>
      </c>
      <c r="R279" s="121" t="str">
        <v/>
      </c>
      <c r="S279" s="121" t="str">
        <v>Advertisement Manager</v>
      </c>
      <c r="T279" s="119" t="str">
        <f>IF($C279&lt;4,IF($C279=3,T280,IF($C279=2,T$1,"")),Q279&amp;R279&amp;IF(LEN(S279)=0,"",Preferences!$C$2&amp;S279)&amp;IF(J280=J279,IF(LEN(R279&amp;S279)=0,"","
")&amp;T280,""))</f>
        <v xml:space="preserve">	• Advertisement Manager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79" s="122" t="str">
        <v/>
      </c>
      <c r="V279" s="42"/>
      <c r="W279" s="42"/>
      <c r="X279" s="42"/>
      <c r="Y279" s="42"/>
      <c r="Z279" s="42"/>
      <c r="AA279" s="42"/>
      <c r="AB279" s="42"/>
    </row>
    <row r="280" spans="1:28" x14ac:dyDescent="0.25">
      <c r="A280" s="42" t="str">
        <v>1.9.1.3.2</v>
      </c>
      <c r="B280" s="121" t="str">
        <v>Special Content Manager</v>
      </c>
      <c r="C280" s="41">
        <v>5</v>
      </c>
      <c r="D280" s="41" t="str">
        <v>RL</v>
      </c>
      <c r="E280" s="117" t="str">
        <f t="shared" si="0"/>
        <v>RL</v>
      </c>
      <c r="F280" s="41" t="str">
        <v/>
      </c>
      <c r="G280" s="41" t="str">
        <v/>
      </c>
      <c r="H280" s="117">
        <f t="shared" si="1"/>
        <v>0</v>
      </c>
      <c r="I280" s="117">
        <f t="shared" si="2"/>
        <v>9</v>
      </c>
      <c r="J280" s="117">
        <f t="shared" si="3"/>
        <v>9.01</v>
      </c>
      <c r="K280" s="117" t="str">
        <f t="shared" si="4"/>
        <v>BR</v>
      </c>
      <c r="L280" s="42" t="str">
        <v>BR0901</v>
      </c>
      <c r="M280" s="121" t="str">
        <v/>
      </c>
      <c r="N280" s="121" t="str">
        <v/>
      </c>
      <c r="O280" s="121" t="str">
        <v/>
      </c>
      <c r="P280" s="121" t="str">
        <v/>
      </c>
      <c r="Q280" s="121" t="str">
        <v/>
      </c>
      <c r="R280" s="121" t="str">
        <v/>
      </c>
      <c r="S280" s="121" t="str">
        <v>Special Content Manager</v>
      </c>
      <c r="T280" s="119" t="str">
        <f>IF($C280&lt;4,IF($C280=3,T281,IF($C280=2,T$1,"")),Q280&amp;R280&amp;IF(LEN(S280)=0,"",Preferences!$C$2&amp;S280)&amp;IF(J281=J280,IF(LEN(R280&amp;S280)=0,"","
")&amp;T281,""))</f>
        <v xml:space="preserve">	• Special Content Manager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80" s="122" t="str">
        <v/>
      </c>
      <c r="V280" s="42"/>
      <c r="W280" s="42"/>
      <c r="X280" s="42"/>
      <c r="Y280" s="42"/>
      <c r="Z280" s="42"/>
      <c r="AA280" s="42"/>
      <c r="AB280" s="42"/>
    </row>
    <row r="281" spans="1:28" x14ac:dyDescent="0.25">
      <c r="A281" s="42" t="str">
        <v>1.9.1.3.3</v>
      </c>
      <c r="B281" s="121" t="str">
        <v>Product Manager</v>
      </c>
      <c r="C281" s="41">
        <v>5</v>
      </c>
      <c r="D281" s="41" t="str">
        <v>RL</v>
      </c>
      <c r="E281" s="117" t="str">
        <f t="shared" si="0"/>
        <v>RL</v>
      </c>
      <c r="F281" s="41" t="str">
        <v/>
      </c>
      <c r="G281" s="41" t="str">
        <v/>
      </c>
      <c r="H281" s="117">
        <f t="shared" si="1"/>
        <v>0</v>
      </c>
      <c r="I281" s="117">
        <f t="shared" si="2"/>
        <v>9</v>
      </c>
      <c r="J281" s="117">
        <f t="shared" si="3"/>
        <v>9.01</v>
      </c>
      <c r="K281" s="117" t="str">
        <f t="shared" si="4"/>
        <v>BR</v>
      </c>
      <c r="L281" s="42" t="str">
        <v>BR0901</v>
      </c>
      <c r="M281" s="121" t="str">
        <v/>
      </c>
      <c r="N281" s="121" t="str">
        <v/>
      </c>
      <c r="O281" s="121" t="str">
        <v/>
      </c>
      <c r="P281" s="121" t="str">
        <v/>
      </c>
      <c r="Q281" s="121" t="str">
        <v/>
      </c>
      <c r="R281" s="121" t="str">
        <v/>
      </c>
      <c r="S281" s="121" t="str">
        <v>Product Manager</v>
      </c>
      <c r="T281" s="119" t="str">
        <f>IF($C281&lt;4,IF($C281=3,T282,IF($C281=2,T$1,"")),Q281&amp;R281&amp;IF(LEN(S281)=0,"",Preferences!$C$2&amp;S281)&amp;IF(J282=J281,IF(LEN(R281&amp;S281)=0,"","
")&amp;T282,""))</f>
        <v xml:space="preserve">	• Product Manager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81" s="122" t="str">
        <v/>
      </c>
      <c r="V281" s="42"/>
      <c r="W281" s="42"/>
      <c r="X281" s="42"/>
      <c r="Y281" s="42"/>
      <c r="Z281" s="42"/>
      <c r="AA281" s="42"/>
      <c r="AB281" s="42"/>
    </row>
    <row r="282" spans="1:28" x14ac:dyDescent="0.25">
      <c r="A282" s="42" t="str">
        <v>1.9.1.3.4</v>
      </c>
      <c r="B282" s="121" t="str">
        <v>Promotion Manager</v>
      </c>
      <c r="C282" s="41">
        <v>5</v>
      </c>
      <c r="D282" s="41" t="str">
        <v>RL</v>
      </c>
      <c r="E282" s="117" t="str">
        <f t="shared" si="0"/>
        <v>RL</v>
      </c>
      <c r="F282" s="41" t="str">
        <v/>
      </c>
      <c r="G282" s="41" t="str">
        <v/>
      </c>
      <c r="H282" s="117">
        <f t="shared" si="1"/>
        <v>0</v>
      </c>
      <c r="I282" s="117">
        <f t="shared" si="2"/>
        <v>9</v>
      </c>
      <c r="J282" s="117">
        <f t="shared" si="3"/>
        <v>9.01</v>
      </c>
      <c r="K282" s="117" t="str">
        <f t="shared" si="4"/>
        <v>BR</v>
      </c>
      <c r="L282" s="42" t="str">
        <v>BR0901</v>
      </c>
      <c r="M282" s="121" t="str">
        <v/>
      </c>
      <c r="N282" s="121" t="str">
        <v/>
      </c>
      <c r="O282" s="121" t="str">
        <v/>
      </c>
      <c r="P282" s="121" t="str">
        <v/>
      </c>
      <c r="Q282" s="121" t="str">
        <v/>
      </c>
      <c r="R282" s="121" t="str">
        <v/>
      </c>
      <c r="S282" s="121" t="str">
        <v>Promotion Manager</v>
      </c>
      <c r="T282" s="119" t="str">
        <f>IF($C282&lt;4,IF($C282=3,T283,IF($C282=2,T$1,"")),Q282&amp;R282&amp;IF(LEN(S282)=0,"",Preferences!$C$2&amp;S282)&amp;IF(J283=J282,IF(LEN(R282&amp;S282)=0,"","
")&amp;T283,""))</f>
        <v xml:space="preserve">	• Promotion Manager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82" s="122" t="str">
        <v/>
      </c>
      <c r="V282" s="42"/>
      <c r="W282" s="42"/>
      <c r="X282" s="42"/>
      <c r="Y282" s="42"/>
      <c r="Z282" s="42"/>
      <c r="AA282" s="42"/>
      <c r="AB282" s="42"/>
    </row>
    <row r="283" spans="1:28" x14ac:dyDescent="0.25">
      <c r="A283" s="42" t="str">
        <v>1.9.1.3.5</v>
      </c>
      <c r="B283" s="121" t="str">
        <v>Orders Manager</v>
      </c>
      <c r="C283" s="41">
        <v>5</v>
      </c>
      <c r="D283" s="41" t="str">
        <v>RL</v>
      </c>
      <c r="E283" s="117" t="str">
        <f t="shared" si="0"/>
        <v>RL</v>
      </c>
      <c r="F283" s="41" t="str">
        <v/>
      </c>
      <c r="G283" s="41" t="str">
        <v/>
      </c>
      <c r="H283" s="117">
        <f t="shared" si="1"/>
        <v>0</v>
      </c>
      <c r="I283" s="117">
        <f t="shared" si="2"/>
        <v>9</v>
      </c>
      <c r="J283" s="117">
        <f t="shared" si="3"/>
        <v>9.01</v>
      </c>
      <c r="K283" s="117" t="str">
        <f t="shared" si="4"/>
        <v>BR</v>
      </c>
      <c r="L283" s="42" t="str">
        <v>BR0901</v>
      </c>
      <c r="M283" s="121" t="str">
        <v/>
      </c>
      <c r="N283" s="121" t="str">
        <v/>
      </c>
      <c r="O283" s="121" t="str">
        <v/>
      </c>
      <c r="P283" s="121" t="str">
        <v/>
      </c>
      <c r="Q283" s="121" t="str">
        <v/>
      </c>
      <c r="R283" s="121" t="str">
        <v/>
      </c>
      <c r="S283" s="121" t="str">
        <v>Orders Manager</v>
      </c>
      <c r="T283" s="119" t="str">
        <f>IF($C283&lt;4,IF($C283=3,T284,IF($C283=2,T$1,"")),Q283&amp;R283&amp;IF(LEN(S283)=0,"",Preferences!$C$2&amp;S283)&amp;IF(J284=J283,IF(LEN(R283&amp;S283)=0,"","
")&amp;T284,""))</f>
        <v xml:space="preserve">	• Orders Manager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83" s="122" t="str">
        <v/>
      </c>
      <c r="V283" s="42"/>
      <c r="W283" s="42"/>
      <c r="X283" s="42"/>
      <c r="Y283" s="42"/>
      <c r="Z283" s="42"/>
      <c r="AA283" s="42"/>
      <c r="AB283" s="42"/>
    </row>
    <row r="284" spans="1:28" x14ac:dyDescent="0.25">
      <c r="A284" s="42" t="str">
        <v>1.9.1.3.6</v>
      </c>
      <c r="B284" s="121" t="str">
        <v>Fulfilment Manager</v>
      </c>
      <c r="C284" s="41">
        <v>5</v>
      </c>
      <c r="D284" s="41" t="str">
        <v>RL</v>
      </c>
      <c r="E284" s="117" t="str">
        <f t="shared" si="0"/>
        <v>RL</v>
      </c>
      <c r="F284" s="41" t="str">
        <v/>
      </c>
      <c r="G284" s="41" t="str">
        <v/>
      </c>
      <c r="H284" s="117">
        <f t="shared" si="1"/>
        <v>0</v>
      </c>
      <c r="I284" s="117">
        <f t="shared" si="2"/>
        <v>9</v>
      </c>
      <c r="J284" s="117">
        <f t="shared" si="3"/>
        <v>9.01</v>
      </c>
      <c r="K284" s="117" t="str">
        <f t="shared" si="4"/>
        <v>BR</v>
      </c>
      <c r="L284" s="42" t="str">
        <v>BR0901</v>
      </c>
      <c r="M284" s="121" t="str">
        <v/>
      </c>
      <c r="N284" s="121" t="str">
        <v/>
      </c>
      <c r="O284" s="121" t="str">
        <v/>
      </c>
      <c r="P284" s="121" t="str">
        <v/>
      </c>
      <c r="Q284" s="121" t="str">
        <v/>
      </c>
      <c r="R284" s="121" t="str">
        <v/>
      </c>
      <c r="S284" s="121" t="str">
        <v>Fulfilment Manager</v>
      </c>
      <c r="T284" s="119" t="str">
        <f>IF($C284&lt;4,IF($C284=3,T285,IF($C284=2,T$1,"")),Q284&amp;R284&amp;IF(LEN(S284)=0,"",Preferences!$C$2&amp;S284)&amp;IF(J285=J284,IF(LEN(R284&amp;S284)=0,"","
")&amp;T285,""))</f>
        <v xml:space="preserve">	• Fulfilment Manager
	• Business User Administrator
 4. Customer service user roles:
	• Contact Centre Agent
	• Contact Centre Supervisor
 5. Support user roles:
	• Site administrator
	• Presentation Manager
	• User administrator
	• User roles administrator
 6. A systems administrator maintains the user roles.</v>
      </c>
      <c r="U284" s="122" t="str">
        <v/>
      </c>
      <c r="V284" s="42"/>
      <c r="W284" s="42"/>
      <c r="X284" s="42"/>
      <c r="Y284" s="42"/>
      <c r="Z284" s="42"/>
      <c r="AA284" s="42"/>
      <c r="AB284" s="42"/>
    </row>
    <row r="285" spans="1:28" x14ac:dyDescent="0.25">
      <c r="A285" s="42" t="str">
        <v>1.9.1.3.7</v>
      </c>
      <c r="B285" s="121" t="str">
        <v>Business User Administrator</v>
      </c>
      <c r="C285" s="41">
        <v>5</v>
      </c>
      <c r="D285" s="41" t="str">
        <v>RL</v>
      </c>
      <c r="E285" s="117" t="str">
        <f t="shared" si="0"/>
        <v>RL</v>
      </c>
      <c r="F285" s="41" t="str">
        <v/>
      </c>
      <c r="G285" s="41" t="str">
        <v/>
      </c>
      <c r="H285" s="117">
        <f t="shared" si="1"/>
        <v>0</v>
      </c>
      <c r="I285" s="117">
        <f t="shared" si="2"/>
        <v>9</v>
      </c>
      <c r="J285" s="117">
        <f t="shared" si="3"/>
        <v>9.01</v>
      </c>
      <c r="K285" s="117" t="str">
        <f t="shared" si="4"/>
        <v>BR</v>
      </c>
      <c r="L285" s="42" t="str">
        <v>BR0901</v>
      </c>
      <c r="M285" s="121" t="str">
        <v/>
      </c>
      <c r="N285" s="121" t="str">
        <v/>
      </c>
      <c r="O285" s="121" t="str">
        <v/>
      </c>
      <c r="P285" s="121" t="str">
        <v/>
      </c>
      <c r="Q285" s="121" t="str">
        <v/>
      </c>
      <c r="R285" s="121" t="str">
        <v/>
      </c>
      <c r="S285" s="121" t="str">
        <v>Business User Administrator</v>
      </c>
      <c r="T285" s="119" t="str">
        <f>IF($C285&lt;4,IF($C285=3,T286,IF($C285=2,T$1,"")),Q285&amp;R285&amp;IF(LEN(S285)=0,"",Preferences!$C$2&amp;S285)&amp;IF(J286=J285,IF(LEN(R285&amp;S285)=0,"","
")&amp;T286,""))</f>
        <v xml:space="preserve">	• Business User Administrator
 4. Customer service user roles:
	• Contact Centre Agent
	• Contact Centre Supervisor
 5. Support user roles:
	• Site administrator
	• Presentation Manager
	• User administrator
	• User roles administrator
 6. A systems administrator maintains the user roles.</v>
      </c>
      <c r="U285" s="122" t="str">
        <v/>
      </c>
      <c r="V285" s="42"/>
      <c r="W285" s="42"/>
      <c r="X285" s="42"/>
      <c r="Y285" s="42"/>
      <c r="Z285" s="42"/>
      <c r="AA285" s="42"/>
      <c r="AB285" s="42"/>
    </row>
    <row r="286" spans="1:28" x14ac:dyDescent="0.25">
      <c r="A286" s="42" t="str">
        <v>1.9.1.4</v>
      </c>
      <c r="B286" s="121" t="str">
        <v>Customer service user roles:</v>
      </c>
      <c r="C286" s="41">
        <v>4</v>
      </c>
      <c r="D286" s="41" t="str">
        <v>RD</v>
      </c>
      <c r="E286" s="117" t="str">
        <f t="shared" si="0"/>
        <v>RD</v>
      </c>
      <c r="F286" s="41" t="str">
        <v/>
      </c>
      <c r="G286" s="41" t="str">
        <v/>
      </c>
      <c r="H286" s="117">
        <f t="shared" si="1"/>
        <v>0</v>
      </c>
      <c r="I286" s="117">
        <f t="shared" si="2"/>
        <v>9</v>
      </c>
      <c r="J286" s="117">
        <f t="shared" si="3"/>
        <v>9.01</v>
      </c>
      <c r="K286" s="117" t="str">
        <f t="shared" si="4"/>
        <v>BR</v>
      </c>
      <c r="L286" s="42" t="str">
        <v>BR0901</v>
      </c>
      <c r="M286" s="121" t="str">
        <v/>
      </c>
      <c r="N286" s="121" t="str">
        <v/>
      </c>
      <c r="O286" s="121" t="str">
        <v/>
      </c>
      <c r="P286" s="121" t="str">
        <v/>
      </c>
      <c r="Q286" s="121" t="str">
        <v xml:space="preserve"> 4. </v>
      </c>
      <c r="R286" s="121" t="str">
        <v>Customer service user roles:</v>
      </c>
      <c r="S286" s="121" t="str">
        <v/>
      </c>
      <c r="T286" s="119" t="str">
        <f>IF($C286&lt;4,IF($C286=3,T287,IF($C286=2,T$1,"")),Q286&amp;R286&amp;IF(LEN(S286)=0,"",Preferences!$C$2&amp;S286)&amp;IF(J287=J286,IF(LEN(R286&amp;S286)=0,"","
")&amp;T287,""))</f>
        <v xml:space="preserve"> 4. Customer service user roles:
	• Contact Centre Agent
	• Contact Centre Supervisor
 5. Support user roles:
	• Site administrator
	• Presentation Manager
	• User administrator
	• User roles administrator
 6. A systems administrator maintains the user roles.</v>
      </c>
      <c r="U286" s="122" t="str">
        <v/>
      </c>
      <c r="V286" s="42"/>
      <c r="W286" s="42"/>
      <c r="X286" s="42"/>
      <c r="Y286" s="42"/>
      <c r="Z286" s="42"/>
      <c r="AA286" s="42"/>
      <c r="AB286" s="42"/>
    </row>
    <row r="287" spans="1:28" x14ac:dyDescent="0.25">
      <c r="A287" s="42" t="str">
        <v>1.9.1.4.1</v>
      </c>
      <c r="B287" s="121" t="str">
        <v>Contact Centre Agent</v>
      </c>
      <c r="C287" s="41">
        <v>5</v>
      </c>
      <c r="D287" s="41" t="str">
        <v>RL</v>
      </c>
      <c r="E287" s="117" t="str">
        <f t="shared" si="0"/>
        <v>RL</v>
      </c>
      <c r="F287" s="41" t="str">
        <v/>
      </c>
      <c r="G287" s="41" t="str">
        <v/>
      </c>
      <c r="H287" s="117">
        <f t="shared" si="1"/>
        <v>0</v>
      </c>
      <c r="I287" s="117">
        <f t="shared" si="2"/>
        <v>9</v>
      </c>
      <c r="J287" s="117">
        <f t="shared" si="3"/>
        <v>9.01</v>
      </c>
      <c r="K287" s="117" t="str">
        <f t="shared" si="4"/>
        <v>BR</v>
      </c>
      <c r="L287" s="42" t="str">
        <v>BR0901</v>
      </c>
      <c r="M287" s="121" t="str">
        <v/>
      </c>
      <c r="N287" s="121" t="str">
        <v/>
      </c>
      <c r="O287" s="121" t="str">
        <v/>
      </c>
      <c r="P287" s="121" t="str">
        <v/>
      </c>
      <c r="Q287" s="121" t="str">
        <v/>
      </c>
      <c r="R287" s="121" t="str">
        <v/>
      </c>
      <c r="S287" s="121" t="str">
        <v>Contact Centre Agent</v>
      </c>
      <c r="T287" s="119" t="str">
        <f>IF($C287&lt;4,IF($C287=3,T288,IF($C287=2,T$1,"")),Q287&amp;R287&amp;IF(LEN(S287)=0,"",Preferences!$C$2&amp;S287)&amp;IF(J288=J287,IF(LEN(R287&amp;S287)=0,"","
")&amp;T288,""))</f>
        <v xml:space="preserve">	• Contact Centre Agent
	• Contact Centre Supervisor
 5. Support user roles:
	• Site administrator
	• Presentation Manager
	• User administrator
	• User roles administrator
 6. A systems administrator maintains the user roles.</v>
      </c>
      <c r="U287" s="122" t="str">
        <v/>
      </c>
      <c r="V287" s="42"/>
      <c r="W287" s="42"/>
      <c r="X287" s="42"/>
      <c r="Y287" s="42"/>
      <c r="Z287" s="42"/>
      <c r="AA287" s="42"/>
      <c r="AB287" s="42"/>
    </row>
    <row r="288" spans="1:28" x14ac:dyDescent="0.25">
      <c r="A288" s="42" t="str">
        <v>1.9.1.4.2</v>
      </c>
      <c r="B288" s="121" t="str">
        <v>Contact Centre Supervisor</v>
      </c>
      <c r="C288" s="41">
        <v>5</v>
      </c>
      <c r="D288" s="41" t="str">
        <v>RL</v>
      </c>
      <c r="E288" s="117" t="str">
        <f t="shared" si="0"/>
        <v>RL</v>
      </c>
      <c r="F288" s="41" t="str">
        <v/>
      </c>
      <c r="G288" s="41" t="str">
        <v/>
      </c>
      <c r="H288" s="117">
        <f t="shared" si="1"/>
        <v>0</v>
      </c>
      <c r="I288" s="117">
        <f t="shared" si="2"/>
        <v>9</v>
      </c>
      <c r="J288" s="117">
        <f t="shared" si="3"/>
        <v>9.01</v>
      </c>
      <c r="K288" s="117" t="str">
        <f t="shared" si="4"/>
        <v>BR</v>
      </c>
      <c r="L288" s="42" t="str">
        <v>BR0901</v>
      </c>
      <c r="M288" s="121" t="str">
        <v/>
      </c>
      <c r="N288" s="121" t="str">
        <v/>
      </c>
      <c r="O288" s="121" t="str">
        <v/>
      </c>
      <c r="P288" s="121" t="str">
        <v/>
      </c>
      <c r="Q288" s="121" t="str">
        <v/>
      </c>
      <c r="R288" s="121" t="str">
        <v/>
      </c>
      <c r="S288" s="121" t="str">
        <v>Contact Centre Supervisor</v>
      </c>
      <c r="T288" s="119" t="str">
        <f>IF($C288&lt;4,IF($C288=3,T289,IF($C288=2,T$1,"")),Q288&amp;R288&amp;IF(LEN(S288)=0,"",Preferences!$C$2&amp;S288)&amp;IF(J289=J288,IF(LEN(R288&amp;S288)=0,"","
")&amp;T289,""))</f>
        <v xml:space="preserve">	• Contact Centre Supervisor
 5. Support user roles:
	• Site administrator
	• Presentation Manager
	• User administrator
	• User roles administrator
 6. A systems administrator maintains the user roles.</v>
      </c>
      <c r="U288" s="122" t="str">
        <v/>
      </c>
      <c r="V288" s="42"/>
      <c r="W288" s="42"/>
      <c r="X288" s="42"/>
      <c r="Y288" s="42"/>
      <c r="Z288" s="42"/>
      <c r="AA288" s="42"/>
      <c r="AB288" s="42"/>
    </row>
    <row r="289" spans="1:28" x14ac:dyDescent="0.25">
      <c r="A289" s="42" t="str">
        <v>1.9.1.5</v>
      </c>
      <c r="B289" s="121" t="str">
        <v>Support user roles:</v>
      </c>
      <c r="C289" s="41">
        <v>4</v>
      </c>
      <c r="D289" s="41" t="str">
        <v>RD</v>
      </c>
      <c r="E289" s="117" t="str">
        <f t="shared" si="0"/>
        <v>RD</v>
      </c>
      <c r="F289" s="41" t="str">
        <v/>
      </c>
      <c r="G289" s="41" t="str">
        <v/>
      </c>
      <c r="H289" s="117">
        <f t="shared" si="1"/>
        <v>0</v>
      </c>
      <c r="I289" s="117">
        <f t="shared" si="2"/>
        <v>9</v>
      </c>
      <c r="J289" s="117">
        <f t="shared" si="3"/>
        <v>9.01</v>
      </c>
      <c r="K289" s="117" t="str">
        <f t="shared" si="4"/>
        <v>BR</v>
      </c>
      <c r="L289" s="42" t="str">
        <v>BR0901</v>
      </c>
      <c r="M289" s="121" t="str">
        <v/>
      </c>
      <c r="N289" s="121" t="str">
        <v/>
      </c>
      <c r="O289" s="121" t="str">
        <v/>
      </c>
      <c r="P289" s="121" t="str">
        <v/>
      </c>
      <c r="Q289" s="121" t="str">
        <v xml:space="preserve"> 5. </v>
      </c>
      <c r="R289" s="121" t="str">
        <v>Support user roles:</v>
      </c>
      <c r="S289" s="121" t="str">
        <v/>
      </c>
      <c r="T289" s="119" t="str">
        <f>IF($C289&lt;4,IF($C289=3,T290,IF($C289=2,T$1,"")),Q289&amp;R289&amp;IF(LEN(S289)=0,"",Preferences!$C$2&amp;S289)&amp;IF(J290=J289,IF(LEN(R289&amp;S289)=0,"","
")&amp;T290,""))</f>
        <v xml:space="preserve"> 5. Support user roles:
	• Site administrator
	• Presentation Manager
	• User administrator
	• User roles administrator
 6. A systems administrator maintains the user roles.</v>
      </c>
      <c r="U289" s="122" t="str">
        <v/>
      </c>
      <c r="V289" s="42"/>
      <c r="W289" s="42"/>
      <c r="X289" s="42"/>
      <c r="Y289" s="42"/>
      <c r="Z289" s="42"/>
      <c r="AA289" s="42"/>
      <c r="AB289" s="42"/>
    </row>
    <row r="290" spans="1:28" x14ac:dyDescent="0.25">
      <c r="A290" s="42" t="str">
        <v>1.9.1.5.1</v>
      </c>
      <c r="B290" s="121" t="str">
        <v>Site administrator</v>
      </c>
      <c r="C290" s="41">
        <v>5</v>
      </c>
      <c r="D290" s="41" t="str">
        <v>RL</v>
      </c>
      <c r="E290" s="117" t="str">
        <f t="shared" si="0"/>
        <v>RL</v>
      </c>
      <c r="F290" s="41" t="str">
        <v/>
      </c>
      <c r="G290" s="41" t="str">
        <v/>
      </c>
      <c r="H290" s="117">
        <f t="shared" si="1"/>
        <v>0</v>
      </c>
      <c r="I290" s="117">
        <f t="shared" si="2"/>
        <v>9</v>
      </c>
      <c r="J290" s="117">
        <f t="shared" si="3"/>
        <v>9.01</v>
      </c>
      <c r="K290" s="117" t="str">
        <f t="shared" si="4"/>
        <v>BR</v>
      </c>
      <c r="L290" s="42" t="str">
        <v>BR0901</v>
      </c>
      <c r="M290" s="121" t="str">
        <v/>
      </c>
      <c r="N290" s="121" t="str">
        <v/>
      </c>
      <c r="O290" s="121" t="str">
        <v/>
      </c>
      <c r="P290" s="121" t="str">
        <v/>
      </c>
      <c r="Q290" s="121" t="str">
        <v/>
      </c>
      <c r="R290" s="121" t="str">
        <v/>
      </c>
      <c r="S290" s="121" t="str">
        <v>Site administrator</v>
      </c>
      <c r="T290" s="119" t="str">
        <f>IF($C290&lt;4,IF($C290=3,T291,IF($C290=2,T$1,"")),Q290&amp;R290&amp;IF(LEN(S290)=0,"",Preferences!$C$2&amp;S290)&amp;IF(J291=J290,IF(LEN(R290&amp;S290)=0,"","
")&amp;T291,""))</f>
        <v xml:space="preserve">	• Site administrator
	• Presentation Manager
	• User administrator
	• User roles administrator
 6. A systems administrator maintains the user roles.</v>
      </c>
      <c r="U290" s="122" t="str">
        <v/>
      </c>
      <c r="V290" s="42"/>
      <c r="W290" s="42"/>
      <c r="X290" s="42"/>
      <c r="Y290" s="42"/>
      <c r="Z290" s="42"/>
      <c r="AA290" s="42"/>
      <c r="AB290" s="42"/>
    </row>
    <row r="291" spans="1:28" x14ac:dyDescent="0.25">
      <c r="A291" s="42" t="str">
        <v>1.9.1.5.2</v>
      </c>
      <c r="B291" s="121" t="str">
        <v>Presentation Manager</v>
      </c>
      <c r="C291" s="41">
        <v>5</v>
      </c>
      <c r="D291" s="41" t="str">
        <v>RL</v>
      </c>
      <c r="E291" s="117" t="str">
        <f t="shared" si="0"/>
        <v>RL</v>
      </c>
      <c r="F291" s="41" t="str">
        <v/>
      </c>
      <c r="G291" s="41" t="str">
        <v/>
      </c>
      <c r="H291" s="117">
        <f t="shared" si="1"/>
        <v>0</v>
      </c>
      <c r="I291" s="117">
        <f t="shared" si="2"/>
        <v>9</v>
      </c>
      <c r="J291" s="117">
        <f t="shared" si="3"/>
        <v>9.01</v>
      </c>
      <c r="K291" s="117" t="str">
        <f t="shared" si="4"/>
        <v>BR</v>
      </c>
      <c r="L291" s="42" t="str">
        <v>BR0901</v>
      </c>
      <c r="M291" s="121" t="str">
        <v/>
      </c>
      <c r="N291" s="121" t="str">
        <v/>
      </c>
      <c r="O291" s="121" t="str">
        <v/>
      </c>
      <c r="P291" s="121" t="str">
        <v/>
      </c>
      <c r="Q291" s="121" t="str">
        <v/>
      </c>
      <c r="R291" s="121" t="str">
        <v/>
      </c>
      <c r="S291" s="121" t="str">
        <v>Presentation Manager</v>
      </c>
      <c r="T291" s="119" t="str">
        <f>IF($C291&lt;4,IF($C291=3,T292,IF($C291=2,T$1,"")),Q291&amp;R291&amp;IF(LEN(S291)=0,"",Preferences!$C$2&amp;S291)&amp;IF(J292=J291,IF(LEN(R291&amp;S291)=0,"","
")&amp;T292,""))</f>
        <v xml:space="preserve">	• Presentation Manager
	• User administrator
	• User roles administrator
 6. A systems administrator maintains the user roles.</v>
      </c>
      <c r="U291" s="122" t="str">
        <v/>
      </c>
      <c r="V291" s="42"/>
      <c r="W291" s="42"/>
      <c r="X291" s="42"/>
      <c r="Y291" s="42"/>
      <c r="Z291" s="42"/>
      <c r="AA291" s="42"/>
      <c r="AB291" s="42"/>
    </row>
    <row r="292" spans="1:28" x14ac:dyDescent="0.25">
      <c r="A292" s="42" t="str">
        <v>1.9.1.5.3</v>
      </c>
      <c r="B292" s="121" t="str">
        <v>User administrator</v>
      </c>
      <c r="C292" s="41">
        <v>5</v>
      </c>
      <c r="D292" s="41" t="str">
        <v>RL</v>
      </c>
      <c r="E292" s="117" t="str">
        <f t="shared" si="0"/>
        <v>RL</v>
      </c>
      <c r="F292" s="41" t="str">
        <v/>
      </c>
      <c r="G292" s="41" t="str">
        <v/>
      </c>
      <c r="H292" s="117">
        <f t="shared" si="1"/>
        <v>0</v>
      </c>
      <c r="I292" s="117">
        <f t="shared" si="2"/>
        <v>9</v>
      </c>
      <c r="J292" s="117">
        <f t="shared" si="3"/>
        <v>9.01</v>
      </c>
      <c r="K292" s="117" t="str">
        <f t="shared" si="4"/>
        <v>BR</v>
      </c>
      <c r="L292" s="42" t="str">
        <v>BR0901</v>
      </c>
      <c r="M292" s="121" t="str">
        <v/>
      </c>
      <c r="N292" s="121" t="str">
        <v/>
      </c>
      <c r="O292" s="121" t="str">
        <v/>
      </c>
      <c r="P292" s="121" t="str">
        <v/>
      </c>
      <c r="Q292" s="121" t="str">
        <v/>
      </c>
      <c r="R292" s="121" t="str">
        <v/>
      </c>
      <c r="S292" s="121" t="str">
        <v>User administrator</v>
      </c>
      <c r="T292" s="119" t="str">
        <f>IF($C292&lt;4,IF($C292=3,T293,IF($C292=2,T$1,"")),Q292&amp;R292&amp;IF(LEN(S292)=0,"",Preferences!$C$2&amp;S292)&amp;IF(J293=J292,IF(LEN(R292&amp;S292)=0,"","
")&amp;T293,""))</f>
        <v xml:space="preserve">	• User administrator
	• User roles administrator
 6. A systems administrator maintains the user roles.</v>
      </c>
      <c r="U292" s="122" t="str">
        <v/>
      </c>
      <c r="V292" s="42"/>
      <c r="W292" s="42"/>
      <c r="X292" s="42"/>
      <c r="Y292" s="42"/>
      <c r="Z292" s="42"/>
      <c r="AA292" s="42"/>
      <c r="AB292" s="42"/>
    </row>
    <row r="293" spans="1:28" x14ac:dyDescent="0.25">
      <c r="A293" s="42" t="str">
        <v>1.9.1.5.4</v>
      </c>
      <c r="B293" s="121" t="str">
        <v>User roles administrator</v>
      </c>
      <c r="C293" s="41">
        <v>5</v>
      </c>
      <c r="D293" s="41" t="str">
        <v>RL</v>
      </c>
      <c r="E293" s="117" t="str">
        <f t="shared" si="0"/>
        <v>RL</v>
      </c>
      <c r="F293" s="41" t="str">
        <v/>
      </c>
      <c r="G293" s="41" t="str">
        <v/>
      </c>
      <c r="H293" s="117">
        <f t="shared" si="1"/>
        <v>0</v>
      </c>
      <c r="I293" s="117">
        <f t="shared" si="2"/>
        <v>9</v>
      </c>
      <c r="J293" s="117">
        <f t="shared" si="3"/>
        <v>9.01</v>
      </c>
      <c r="K293" s="117" t="str">
        <f t="shared" si="4"/>
        <v>BR</v>
      </c>
      <c r="L293" s="42" t="str">
        <v>BR0901</v>
      </c>
      <c r="M293" s="121" t="str">
        <v/>
      </c>
      <c r="N293" s="121" t="str">
        <v/>
      </c>
      <c r="O293" s="121" t="str">
        <v/>
      </c>
      <c r="P293" s="121" t="str">
        <v/>
      </c>
      <c r="Q293" s="121" t="str">
        <v/>
      </c>
      <c r="R293" s="121" t="str">
        <v/>
      </c>
      <c r="S293" s="121" t="str">
        <v>User roles administrator</v>
      </c>
      <c r="T293" s="119" t="str">
        <f>IF($C293&lt;4,IF($C293=3,T294,IF($C293=2,T$1,"")),Q293&amp;R293&amp;IF(LEN(S293)=0,"",Preferences!$C$2&amp;S293)&amp;IF(J294=J293,IF(LEN(R293&amp;S293)=0,"","
")&amp;T294,""))</f>
        <v xml:space="preserve">	• User roles administrator
 6. A systems administrator maintains the user roles.</v>
      </c>
      <c r="U293" s="122" t="str">
        <v/>
      </c>
      <c r="V293" s="42"/>
      <c r="W293" s="42"/>
      <c r="X293" s="42"/>
      <c r="Y293" s="42"/>
      <c r="Z293" s="42"/>
      <c r="AA293" s="42"/>
      <c r="AB293" s="42"/>
    </row>
    <row r="294" spans="1:28" x14ac:dyDescent="0.25">
      <c r="A294" s="42" t="str">
        <v>1.9.1.6</v>
      </c>
      <c r="B294" s="121" t="str">
        <v>A systems administrator maintains the user roles.</v>
      </c>
      <c r="C294" s="41">
        <v>4</v>
      </c>
      <c r="D294" s="41" t="str">
        <v>RD</v>
      </c>
      <c r="E294" s="117" t="str">
        <f t="shared" si="0"/>
        <v>RD</v>
      </c>
      <c r="F294" s="41" t="str">
        <v/>
      </c>
      <c r="G294" s="41" t="str">
        <v/>
      </c>
      <c r="H294" s="117">
        <f t="shared" si="1"/>
        <v>0</v>
      </c>
      <c r="I294" s="117">
        <f t="shared" si="2"/>
        <v>9</v>
      </c>
      <c r="J294" s="117">
        <f t="shared" si="3"/>
        <v>9.01</v>
      </c>
      <c r="K294" s="117" t="str">
        <f t="shared" si="4"/>
        <v>BR</v>
      </c>
      <c r="L294" s="42" t="str">
        <v>BR0901</v>
      </c>
      <c r="M294" s="121" t="str">
        <v/>
      </c>
      <c r="N294" s="121" t="str">
        <v/>
      </c>
      <c r="O294" s="121" t="str">
        <v/>
      </c>
      <c r="P294" s="121" t="str">
        <v/>
      </c>
      <c r="Q294" s="121" t="str">
        <v xml:space="preserve"> 6. </v>
      </c>
      <c r="R294" s="121" t="str">
        <v>A systems administrator maintains the user roles.</v>
      </c>
      <c r="S294" s="121" t="str">
        <v/>
      </c>
      <c r="T294" s="119" t="str">
        <f>IF($C294&lt;4,IF($C294=3,T295,IF($C294=2,T$1,"")),Q294&amp;R294&amp;IF(LEN(S294)=0,"",Preferences!$C$2&amp;S294)&amp;IF(J295=J294,IF(LEN(R294&amp;S294)=0,"","
")&amp;T295,""))</f>
        <v xml:space="preserve"> 6. A systems administrator maintains the user roles.</v>
      </c>
      <c r="U294" s="122" t="str">
        <v/>
      </c>
      <c r="V294" s="42"/>
      <c r="W294" s="42"/>
      <c r="X294" s="42"/>
      <c r="Y294" s="42"/>
      <c r="Z294" s="42"/>
      <c r="AA294" s="42"/>
      <c r="AB294" s="42"/>
    </row>
    <row r="295" spans="1:28" x14ac:dyDescent="0.25">
      <c r="A295" s="42" t="str">
        <v>1.9.2</v>
      </c>
      <c r="B295" s="121" t="str">
        <v>9.2 Register user</v>
      </c>
      <c r="C295" s="41">
        <v>3</v>
      </c>
      <c r="D295" s="41" t="str">
        <v>R</v>
      </c>
      <c r="E295" s="117" t="str">
        <f t="shared" si="0"/>
        <v>R</v>
      </c>
      <c r="F295" s="41" t="str">
        <v/>
      </c>
      <c r="G295" s="41" t="str">
        <v/>
      </c>
      <c r="H295" s="117">
        <f t="shared" si="1"/>
        <v>0</v>
      </c>
      <c r="I295" s="117">
        <f t="shared" si="2"/>
        <v>9</v>
      </c>
      <c r="J295" s="117">
        <f t="shared" si="3"/>
        <v>9.02</v>
      </c>
      <c r="K295" s="117" t="str">
        <f t="shared" si="4"/>
        <v>BR</v>
      </c>
      <c r="L295" s="42" t="str">
        <v>BR0902</v>
      </c>
      <c r="M295" s="121" t="str">
        <v/>
      </c>
      <c r="N295" s="121" t="str">
        <v/>
      </c>
      <c r="O295" s="121" t="str">
        <v>BR0902</v>
      </c>
      <c r="P295" s="121" t="str">
        <v>Register user</v>
      </c>
      <c r="Q295" s="121" t="str">
        <v/>
      </c>
      <c r="R295" s="121" t="str">
        <v/>
      </c>
      <c r="S295" s="121" t="str">
        <v/>
      </c>
      <c r="T295" s="119" t="str">
        <f>IF($C295&lt;4,IF($C295=3,T296,IF($C295=2,T$1,"")),Q295&amp;R295&amp;IF(LEN(S295)=0,"",Preferences!$C$2&amp;S295)&amp;IF(J296=J295,IF(LEN(R295&amp;S295)=0,"","
")&amp;T296,""))</f>
        <v xml:space="preserve"> 1. User registration requirements depend on the type of user (customer, back-office), as detailed in the following sections:
 2. Back-office User Registration
 3. Customer Registration
 4. Business Rule: The same email address may not be used for more than one active user of any type (back-office, customer).</v>
      </c>
      <c r="U295" s="122" t="str">
        <v/>
      </c>
      <c r="V295" s="42"/>
      <c r="W295" s="42"/>
      <c r="X295" s="42"/>
      <c r="Y295" s="42"/>
      <c r="Z295" s="42"/>
      <c r="AA295" s="42"/>
      <c r="AB295" s="42"/>
    </row>
    <row r="296" spans="1:28" x14ac:dyDescent="0.25">
      <c r="A296" s="42" t="str">
        <v>1.9.2.1</v>
      </c>
      <c r="B296" s="121" t="str">
        <v>User registration requirements depend on the type of user (customer, back-office), as detailed in the following sections:</v>
      </c>
      <c r="C296" s="41">
        <v>4</v>
      </c>
      <c r="D296" s="41" t="str">
        <v>RD</v>
      </c>
      <c r="E296" s="117" t="str">
        <f t="shared" si="0"/>
        <v>RD</v>
      </c>
      <c r="F296" s="41" t="str">
        <v/>
      </c>
      <c r="G296" s="41" t="str">
        <v/>
      </c>
      <c r="H296" s="117">
        <f t="shared" si="1"/>
        <v>0</v>
      </c>
      <c r="I296" s="117">
        <f t="shared" si="2"/>
        <v>9</v>
      </c>
      <c r="J296" s="117">
        <f t="shared" si="3"/>
        <v>9.02</v>
      </c>
      <c r="K296" s="117" t="str">
        <f t="shared" si="4"/>
        <v>BR</v>
      </c>
      <c r="L296" s="42" t="str">
        <v>BR0902</v>
      </c>
      <c r="M296" s="121" t="str">
        <v/>
      </c>
      <c r="N296" s="121" t="str">
        <v/>
      </c>
      <c r="O296" s="121" t="str">
        <v/>
      </c>
      <c r="P296" s="121" t="str">
        <v/>
      </c>
      <c r="Q296" s="121" t="str">
        <v xml:space="preserve"> 1. </v>
      </c>
      <c r="R296" s="121" t="str">
        <v>User registration requirements depend on the type of user (customer, back-office), as detailed in the following sections:</v>
      </c>
      <c r="S296" s="121" t="str">
        <v/>
      </c>
      <c r="T296" s="119" t="str">
        <f>IF($C296&lt;4,IF($C296=3,T297,IF($C296=2,T$1,"")),Q296&amp;R296&amp;IF(LEN(S296)=0,"",Preferences!$C$2&amp;S296)&amp;IF(J297=J296,IF(LEN(R296&amp;S296)=0,"","
")&amp;T297,""))</f>
        <v xml:space="preserve"> 1. User registration requirements depend on the type of user (customer, back-office), as detailed in the following sections:
 2. Back-office User Registration
 3. Customer Registration
 4. Business Rule: The same email address may not be used for more than one active user of any type (back-office, customer).</v>
      </c>
      <c r="U296" s="122" t="str">
        <v/>
      </c>
      <c r="V296" s="42"/>
      <c r="W296" s="42"/>
      <c r="X296" s="42"/>
      <c r="Y296" s="42"/>
      <c r="Z296" s="42"/>
      <c r="AA296" s="42"/>
      <c r="AB296" s="42"/>
    </row>
    <row r="297" spans="1:28" x14ac:dyDescent="0.25">
      <c r="A297" s="42" t="str">
        <v>1.9.2.2</v>
      </c>
      <c r="B297" s="121" t="str">
        <v>Back-office User Registration</v>
      </c>
      <c r="C297" s="41">
        <v>4</v>
      </c>
      <c r="D297" s="41" t="str">
        <v>RD</v>
      </c>
      <c r="E297" s="117" t="str">
        <f t="shared" si="0"/>
        <v>RD</v>
      </c>
      <c r="F297" s="41" t="str">
        <v/>
      </c>
      <c r="G297" s="41" t="str">
        <v/>
      </c>
      <c r="H297" s="117">
        <f t="shared" si="1"/>
        <v>0</v>
      </c>
      <c r="I297" s="117">
        <f t="shared" si="2"/>
        <v>9</v>
      </c>
      <c r="J297" s="117">
        <f t="shared" si="3"/>
        <v>9.02</v>
      </c>
      <c r="K297" s="117" t="str">
        <f t="shared" si="4"/>
        <v>BR</v>
      </c>
      <c r="L297" s="42" t="str">
        <v>BR0902</v>
      </c>
      <c r="M297" s="121" t="str">
        <v/>
      </c>
      <c r="N297" s="121" t="str">
        <v/>
      </c>
      <c r="O297" s="121" t="str">
        <v/>
      </c>
      <c r="P297" s="121" t="str">
        <v/>
      </c>
      <c r="Q297" s="121" t="str">
        <v xml:space="preserve"> 2. </v>
      </c>
      <c r="R297" s="121" t="str">
        <v>Back-office User Registration</v>
      </c>
      <c r="S297" s="121" t="str">
        <v/>
      </c>
      <c r="T297" s="119" t="str">
        <f>IF($C297&lt;4,IF($C297=3,T298,IF($C297=2,T$1,"")),Q297&amp;R297&amp;IF(LEN(S297)=0,"",Preferences!$C$2&amp;S297)&amp;IF(J298=J297,IF(LEN(R297&amp;S297)=0,"","
")&amp;T298,""))</f>
        <v xml:space="preserve"> 2. Back-office User Registration
 3. Customer Registration
 4. Business Rule: The same email address may not be used for more than one active user of any type (back-office, customer).</v>
      </c>
      <c r="U297" s="122" t="str">
        <v/>
      </c>
      <c r="V297" s="42"/>
      <c r="W297" s="42"/>
      <c r="X297" s="42"/>
      <c r="Y297" s="42"/>
      <c r="Z297" s="42"/>
      <c r="AA297" s="42"/>
      <c r="AB297" s="42"/>
    </row>
    <row r="298" spans="1:28" x14ac:dyDescent="0.25">
      <c r="A298" s="42" t="str">
        <v>1.9.2.3</v>
      </c>
      <c r="B298" s="121" t="str">
        <v>Customer Registration</v>
      </c>
      <c r="C298" s="41">
        <v>4</v>
      </c>
      <c r="D298" s="41" t="str">
        <v>RD</v>
      </c>
      <c r="E298" s="117" t="str">
        <f t="shared" si="0"/>
        <v>RD</v>
      </c>
      <c r="F298" s="41" t="str">
        <v/>
      </c>
      <c r="G298" s="41" t="str">
        <v/>
      </c>
      <c r="H298" s="117">
        <f t="shared" si="1"/>
        <v>0</v>
      </c>
      <c r="I298" s="117">
        <f t="shared" si="2"/>
        <v>9</v>
      </c>
      <c r="J298" s="117">
        <f t="shared" si="3"/>
        <v>9.02</v>
      </c>
      <c r="K298" s="117" t="str">
        <f t="shared" si="4"/>
        <v>BR</v>
      </c>
      <c r="L298" s="42" t="str">
        <v>BR0902</v>
      </c>
      <c r="M298" s="121" t="str">
        <v/>
      </c>
      <c r="N298" s="121" t="str">
        <v/>
      </c>
      <c r="O298" s="121" t="str">
        <v/>
      </c>
      <c r="P298" s="121" t="str">
        <v/>
      </c>
      <c r="Q298" s="121" t="str">
        <v xml:space="preserve"> 3. </v>
      </c>
      <c r="R298" s="121" t="str">
        <v>Customer Registration</v>
      </c>
      <c r="S298" s="121" t="str">
        <v/>
      </c>
      <c r="T298" s="119" t="str">
        <f>IF($C298&lt;4,IF($C298=3,T299,IF($C298=2,T$1,"")),Q298&amp;R298&amp;IF(LEN(S298)=0,"",Preferences!$C$2&amp;S298)&amp;IF(J299=J298,IF(LEN(R298&amp;S298)=0,"","
")&amp;T299,""))</f>
        <v xml:space="preserve"> 3. Customer Registration
 4. Business Rule: The same email address may not be used for more than one active user of any type (back-office, customer).</v>
      </c>
      <c r="U298" s="122" t="str">
        <v/>
      </c>
      <c r="V298" s="42"/>
      <c r="W298" s="42"/>
      <c r="X298" s="42"/>
      <c r="Y298" s="42"/>
      <c r="Z298" s="42"/>
      <c r="AA298" s="42"/>
      <c r="AB298" s="42"/>
    </row>
    <row r="299" spans="1:28" x14ac:dyDescent="0.25">
      <c r="A299" s="42" t="str">
        <v>1.9.2.4</v>
      </c>
      <c r="B299" s="121" t="str">
        <v>Business Rule: The same email address may not be used for more than one active user of any type (back-office, customer).</v>
      </c>
      <c r="C299" s="41">
        <v>4</v>
      </c>
      <c r="D299" s="41" t="str">
        <v>RD</v>
      </c>
      <c r="E299" s="117" t="str">
        <f t="shared" si="0"/>
        <v>RD</v>
      </c>
      <c r="F299" s="41" t="str">
        <v/>
      </c>
      <c r="G299" s="41" t="str">
        <v/>
      </c>
      <c r="H299" s="117">
        <f t="shared" si="1"/>
        <v>0</v>
      </c>
      <c r="I299" s="117">
        <f t="shared" si="2"/>
        <v>9</v>
      </c>
      <c r="J299" s="117">
        <f t="shared" si="3"/>
        <v>9.02</v>
      </c>
      <c r="K299" s="117" t="str">
        <f t="shared" si="4"/>
        <v>BR</v>
      </c>
      <c r="L299" s="42" t="str">
        <v>BR0902</v>
      </c>
      <c r="M299" s="121" t="str">
        <v/>
      </c>
      <c r="N299" s="121" t="str">
        <v/>
      </c>
      <c r="O299" s="121" t="str">
        <v/>
      </c>
      <c r="P299" s="121" t="str">
        <v/>
      </c>
      <c r="Q299" s="121" t="str">
        <v xml:space="preserve"> 4. </v>
      </c>
      <c r="R299" s="121" t="str">
        <v>Business Rule: The same email address may not be used for more than one active user of any type (back-office, customer).</v>
      </c>
      <c r="S299" s="121" t="str">
        <v/>
      </c>
      <c r="T299" s="119" t="str">
        <f>IF($C299&lt;4,IF($C299=3,T300,IF($C299=2,T$1,"")),Q299&amp;R299&amp;IF(LEN(S299)=0,"",Preferences!$C$2&amp;S299)&amp;IF(J300=J299,IF(LEN(R299&amp;S299)=0,"","
")&amp;T300,""))</f>
        <v xml:space="preserve"> 4. Business Rule: The same email address may not be used for more than one active user of any type (back-office, customer).</v>
      </c>
      <c r="U299" s="122" t="str">
        <v/>
      </c>
      <c r="V299" s="42"/>
      <c r="W299" s="42"/>
      <c r="X299" s="42"/>
      <c r="Y299" s="42"/>
      <c r="Z299" s="42"/>
      <c r="AA299" s="42"/>
      <c r="AB299" s="42"/>
    </row>
    <row r="300" spans="1:28" x14ac:dyDescent="0.25">
      <c r="A300" s="42" t="str">
        <v>1.9.3</v>
      </c>
      <c r="B300" s="121" t="str">
        <v>9.3 Authenticate user</v>
      </c>
      <c r="C300" s="41">
        <v>3</v>
      </c>
      <c r="D300" s="41" t="str">
        <v>R</v>
      </c>
      <c r="E300" s="117" t="str">
        <f t="shared" si="0"/>
        <v>R</v>
      </c>
      <c r="F300" s="41" t="str">
        <v/>
      </c>
      <c r="G300" s="41" t="str">
        <v/>
      </c>
      <c r="H300" s="117">
        <f t="shared" si="1"/>
        <v>0</v>
      </c>
      <c r="I300" s="117">
        <f t="shared" si="2"/>
        <v>9</v>
      </c>
      <c r="J300" s="117">
        <f t="shared" si="3"/>
        <v>9.0299999999999994</v>
      </c>
      <c r="K300" s="117" t="str">
        <f t="shared" si="4"/>
        <v>BR</v>
      </c>
      <c r="L300" s="42" t="str">
        <v>BR0903</v>
      </c>
      <c r="M300" s="121" t="str">
        <v/>
      </c>
      <c r="N300" s="121" t="str">
        <v/>
      </c>
      <c r="O300" s="121" t="str">
        <v>BR0903</v>
      </c>
      <c r="P300" s="121" t="str">
        <v>Authenticate user</v>
      </c>
      <c r="Q300" s="121" t="str">
        <v/>
      </c>
      <c r="R300" s="121" t="str">
        <v/>
      </c>
      <c r="S300" s="121" t="str">
        <v/>
      </c>
      <c r="T300" s="119" t="str">
        <f>IF($C300&lt;4,IF($C300=3,T301,IF($C300=2,T$1,"")),Q300&amp;R300&amp;IF(LEN(S300)=0,"",Preferences!$C$2&amp;S300)&amp;IF(J301=J300,IF(LEN(R300&amp;S300)=0,"","
")&amp;T301,""))</f>
        <v xml:space="preserve"> 1. After registration, a user is sent a confirmation email with a verification link, to be used to verify and activate their user.
	• From the registration confirmation welcome page, the user is prompted to login.
 2. During login, authenticate the user with their email address and password.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0" s="122" t="str">
        <v/>
      </c>
      <c r="V300" s="42"/>
      <c r="W300" s="42"/>
      <c r="X300" s="42"/>
      <c r="Y300" s="42"/>
      <c r="Z300" s="42"/>
      <c r="AA300" s="42"/>
      <c r="AB300" s="42"/>
    </row>
    <row r="301" spans="1:28" x14ac:dyDescent="0.25">
      <c r="A301" s="42" t="str">
        <v>1.9.3.1</v>
      </c>
      <c r="B301" s="121" t="str">
        <v>After registration, a user is sent a confirmation email with a verification link, to be used to verify and activate their user.</v>
      </c>
      <c r="C301" s="41">
        <v>4</v>
      </c>
      <c r="D301" s="41" t="str">
        <v>RD</v>
      </c>
      <c r="E301" s="117" t="str">
        <f t="shared" si="0"/>
        <v>RD</v>
      </c>
      <c r="F301" s="41" t="str">
        <v/>
      </c>
      <c r="G301" s="41" t="str">
        <v/>
      </c>
      <c r="H301" s="117">
        <f t="shared" si="1"/>
        <v>0</v>
      </c>
      <c r="I301" s="117">
        <f t="shared" si="2"/>
        <v>9</v>
      </c>
      <c r="J301" s="117">
        <f t="shared" si="3"/>
        <v>9.0299999999999994</v>
      </c>
      <c r="K301" s="117" t="str">
        <f t="shared" si="4"/>
        <v>BR</v>
      </c>
      <c r="L301" s="42" t="str">
        <v>BR0903</v>
      </c>
      <c r="M301" s="121" t="str">
        <v/>
      </c>
      <c r="N301" s="121" t="str">
        <v/>
      </c>
      <c r="O301" s="121" t="str">
        <v/>
      </c>
      <c r="P301" s="121" t="str">
        <v/>
      </c>
      <c r="Q301" s="121" t="str">
        <v xml:space="preserve"> 1. </v>
      </c>
      <c r="R301" s="121" t="str">
        <v>After registration, a user is sent a confirmation email with a verification link, to be used to verify and activate their user.</v>
      </c>
      <c r="S301" s="121" t="str">
        <v/>
      </c>
      <c r="T301" s="119" t="str">
        <f>IF($C301&lt;4,IF($C301=3,T302,IF($C301=2,T$1,"")),Q301&amp;R301&amp;IF(LEN(S301)=0,"",Preferences!$C$2&amp;S301)&amp;IF(J302=J301,IF(LEN(R301&amp;S301)=0,"","
")&amp;T302,""))</f>
        <v xml:space="preserve"> 1. After registration, a user is sent a confirmation email with a verification link, to be used to verify and activate their user.
	• From the registration confirmation welcome page, the user is prompted to login.
 2. During login, authenticate the user with their email address and password.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1" s="122" t="str">
        <v/>
      </c>
      <c r="V301" s="42"/>
      <c r="W301" s="42"/>
      <c r="X301" s="42"/>
      <c r="Y301" s="42"/>
      <c r="Z301" s="42"/>
      <c r="AA301" s="42"/>
      <c r="AB301" s="42"/>
    </row>
    <row r="302" spans="1:28" x14ac:dyDescent="0.25">
      <c r="A302" s="42" t="str">
        <v>1.9.3.1.1</v>
      </c>
      <c r="B302" s="121" t="str">
        <v>From the registration confirmation welcome page, the user is prompted to login.</v>
      </c>
      <c r="C302" s="41">
        <v>5</v>
      </c>
      <c r="D302" s="41" t="str">
        <v>RL</v>
      </c>
      <c r="E302" s="117" t="str">
        <f t="shared" si="0"/>
        <v>RL</v>
      </c>
      <c r="F302" s="41" t="str">
        <v/>
      </c>
      <c r="G302" s="41" t="str">
        <v/>
      </c>
      <c r="H302" s="117">
        <f t="shared" si="1"/>
        <v>0</v>
      </c>
      <c r="I302" s="117">
        <f t="shared" si="2"/>
        <v>9</v>
      </c>
      <c r="J302" s="117">
        <f t="shared" si="3"/>
        <v>9.0299999999999994</v>
      </c>
      <c r="K302" s="117" t="str">
        <f t="shared" si="4"/>
        <v>BR</v>
      </c>
      <c r="L302" s="42" t="str">
        <v>BR0903</v>
      </c>
      <c r="M302" s="121" t="str">
        <v/>
      </c>
      <c r="N302" s="121" t="str">
        <v/>
      </c>
      <c r="O302" s="121" t="str">
        <v/>
      </c>
      <c r="P302" s="121" t="str">
        <v/>
      </c>
      <c r="Q302" s="121" t="str">
        <v/>
      </c>
      <c r="R302" s="121" t="str">
        <v/>
      </c>
      <c r="S302" s="121" t="str">
        <v>From the registration confirmation welcome page, the user is prompted to login.</v>
      </c>
      <c r="T302" s="119" t="str">
        <f>IF($C302&lt;4,IF($C302=3,T303,IF($C302=2,T$1,"")),Q302&amp;R302&amp;IF(LEN(S302)=0,"",Preferences!$C$2&amp;S302)&amp;IF(J303=J302,IF(LEN(R302&amp;S302)=0,"","
")&amp;T303,""))</f>
        <v xml:space="preserve">	• From the registration confirmation welcome page, the user is prompted to login.
 2. During login, authenticate the user with their email address and password.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2" s="122" t="str">
        <v/>
      </c>
      <c r="V302" s="42"/>
      <c r="W302" s="42"/>
      <c r="X302" s="42"/>
      <c r="Y302" s="42"/>
      <c r="Z302" s="42"/>
      <c r="AA302" s="42"/>
      <c r="AB302" s="42"/>
    </row>
    <row r="303" spans="1:28" x14ac:dyDescent="0.25">
      <c r="A303" s="42" t="str">
        <v>1.9.3.2</v>
      </c>
      <c r="B303" s="121" t="str">
        <v>During login, authenticate the user with their email address and password.</v>
      </c>
      <c r="C303" s="41">
        <v>4</v>
      </c>
      <c r="D303" s="41" t="str">
        <v>RD</v>
      </c>
      <c r="E303" s="117" t="str">
        <f t="shared" si="0"/>
        <v>RD</v>
      </c>
      <c r="F303" s="41" t="str">
        <v/>
      </c>
      <c r="G303" s="41" t="str">
        <v/>
      </c>
      <c r="H303" s="117">
        <f t="shared" si="1"/>
        <v>0</v>
      </c>
      <c r="I303" s="117">
        <f t="shared" si="2"/>
        <v>9</v>
      </c>
      <c r="J303" s="117">
        <f t="shared" si="3"/>
        <v>9.0299999999999994</v>
      </c>
      <c r="K303" s="117" t="str">
        <f t="shared" si="4"/>
        <v>BR</v>
      </c>
      <c r="L303" s="42" t="str">
        <v>BR0903</v>
      </c>
      <c r="M303" s="121" t="str">
        <v/>
      </c>
      <c r="N303" s="121" t="str">
        <v/>
      </c>
      <c r="O303" s="121" t="str">
        <v/>
      </c>
      <c r="P303" s="121" t="str">
        <v/>
      </c>
      <c r="Q303" s="121" t="str">
        <v xml:space="preserve"> 2. </v>
      </c>
      <c r="R303" s="121" t="str">
        <v>During login, authenticate the user with their email address and password.</v>
      </c>
      <c r="S303" s="121" t="str">
        <v/>
      </c>
      <c r="T303" s="119" t="str">
        <f>IF($C303&lt;4,IF($C303=3,T304,IF($C303=2,T$1,"")),Q303&amp;R303&amp;IF(LEN(S303)=0,"",Preferences!$C$2&amp;S303)&amp;IF(J304=J303,IF(LEN(R303&amp;S303)=0,"","
")&amp;T304,""))</f>
        <v xml:space="preserve"> 2. During login, authenticate the user with their email address and password.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3" s="122" t="str">
        <v/>
      </c>
      <c r="V303" s="42"/>
      <c r="W303" s="42"/>
      <c r="X303" s="42"/>
      <c r="Y303" s="42"/>
      <c r="Z303" s="42"/>
      <c r="AA303" s="42"/>
      <c r="AB303" s="42"/>
    </row>
    <row r="304" spans="1:28" x14ac:dyDescent="0.25">
      <c r="A304" s="42" t="str">
        <v>1.9.3.2.1</v>
      </c>
      <c r="B304" s="121" t="str">
        <v>Consider using a CAPTCHA as additional verification.</v>
      </c>
      <c r="C304" s="41">
        <v>5</v>
      </c>
      <c r="D304" s="41" t="str">
        <v>RL</v>
      </c>
      <c r="E304" s="117" t="str">
        <f t="shared" si="0"/>
        <v>RL</v>
      </c>
      <c r="F304" s="41" t="str">
        <v/>
      </c>
      <c r="G304" s="41" t="str">
        <v/>
      </c>
      <c r="H304" s="117">
        <f t="shared" si="1"/>
        <v>0</v>
      </c>
      <c r="I304" s="117">
        <f t="shared" si="2"/>
        <v>9</v>
      </c>
      <c r="J304" s="117">
        <f t="shared" si="3"/>
        <v>9.0299999999999994</v>
      </c>
      <c r="K304" s="117" t="str">
        <f t="shared" si="4"/>
        <v>BR</v>
      </c>
      <c r="L304" s="42" t="str">
        <v>BR0903</v>
      </c>
      <c r="M304" s="121" t="str">
        <v/>
      </c>
      <c r="N304" s="121" t="str">
        <v/>
      </c>
      <c r="O304" s="121" t="str">
        <v/>
      </c>
      <c r="P304" s="121" t="str">
        <v/>
      </c>
      <c r="Q304" s="121" t="str">
        <v/>
      </c>
      <c r="R304" s="121" t="str">
        <v/>
      </c>
      <c r="S304" s="121" t="str">
        <v>Consider using a CAPTCHA as additional verification.</v>
      </c>
      <c r="T304" s="119" t="str">
        <f>IF($C304&lt;4,IF($C304=3,T305,IF($C304=2,T$1,"")),Q304&amp;R304&amp;IF(LEN(S304)=0,"",Preferences!$C$2&amp;S304)&amp;IF(J305=J304,IF(LEN(R304&amp;S304)=0,"","
")&amp;T305,""))</f>
        <v xml:space="preserve">	• Consider using a CAPTCHA as additional verification.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4" s="122" t="str">
        <v/>
      </c>
      <c r="V304" s="42"/>
      <c r="W304" s="42"/>
      <c r="X304" s="42"/>
      <c r="Y304" s="42"/>
      <c r="Z304" s="42"/>
      <c r="AA304" s="42"/>
      <c r="AB304" s="42"/>
    </row>
    <row r="305" spans="1:28" x14ac:dyDescent="0.25">
      <c r="A305" s="42" t="str">
        <v>1.9.3.2.2</v>
      </c>
      <c r="B305" s="121" t="str">
        <v>Lock accounts after repeated failed authentication.</v>
      </c>
      <c r="C305" s="41">
        <v>5</v>
      </c>
      <c r="D305" s="41" t="str">
        <v>RL</v>
      </c>
      <c r="E305" s="117" t="str">
        <f t="shared" si="0"/>
        <v>RL</v>
      </c>
      <c r="F305" s="41" t="str">
        <v/>
      </c>
      <c r="G305" s="41" t="str">
        <v/>
      </c>
      <c r="H305" s="117">
        <f t="shared" si="1"/>
        <v>0</v>
      </c>
      <c r="I305" s="117">
        <f t="shared" si="2"/>
        <v>9</v>
      </c>
      <c r="J305" s="117">
        <f t="shared" si="3"/>
        <v>9.0299999999999994</v>
      </c>
      <c r="K305" s="117" t="str">
        <f t="shared" si="4"/>
        <v>BR</v>
      </c>
      <c r="L305" s="42" t="str">
        <v>BR0903</v>
      </c>
      <c r="M305" s="121" t="str">
        <v/>
      </c>
      <c r="N305" s="121" t="str">
        <v/>
      </c>
      <c r="O305" s="121" t="str">
        <v/>
      </c>
      <c r="P305" s="121" t="str">
        <v/>
      </c>
      <c r="Q305" s="121" t="str">
        <v/>
      </c>
      <c r="R305" s="121" t="str">
        <v/>
      </c>
      <c r="S305" s="121" t="str">
        <v>Lock accounts after repeated failed authentication.</v>
      </c>
      <c r="T305" s="119" t="str">
        <f>IF($C305&lt;4,IF($C305=3,T306,IF($C305=2,T$1,"")),Q305&amp;R305&amp;IF(LEN(S305)=0,"",Preferences!$C$2&amp;S305)&amp;IF(J306=J305,IF(LEN(R305&amp;S305)=0,"","
")&amp;T306,""))</f>
        <v xml:space="preserve">	• Lock accounts after repeated failed authentication.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5" s="122" t="str">
        <v/>
      </c>
      <c r="V305" s="42"/>
      <c r="W305" s="42"/>
      <c r="X305" s="42"/>
      <c r="Y305" s="42"/>
      <c r="Z305" s="42"/>
      <c r="AA305" s="42"/>
      <c r="AB305" s="42"/>
    </row>
    <row r="306" spans="1:28" x14ac:dyDescent="0.25">
      <c r="A306" s="42" t="str">
        <v>1.9.3.3</v>
      </c>
      <c r="B306" s="121" t="str">
        <v>The user sessions must:</v>
      </c>
      <c r="C306" s="41">
        <v>4</v>
      </c>
      <c r="D306" s="41" t="str">
        <v>RD</v>
      </c>
      <c r="E306" s="117" t="str">
        <f t="shared" si="0"/>
        <v>RD</v>
      </c>
      <c r="F306" s="41" t="str">
        <v/>
      </c>
      <c r="G306" s="41" t="str">
        <v/>
      </c>
      <c r="H306" s="117">
        <f t="shared" si="1"/>
        <v>0</v>
      </c>
      <c r="I306" s="117">
        <f t="shared" si="2"/>
        <v>9</v>
      </c>
      <c r="J306" s="117">
        <f t="shared" si="3"/>
        <v>9.0299999999999994</v>
      </c>
      <c r="K306" s="117" t="str">
        <f t="shared" si="4"/>
        <v>BR</v>
      </c>
      <c r="L306" s="42" t="str">
        <v>BR0903</v>
      </c>
      <c r="M306" s="121" t="str">
        <v/>
      </c>
      <c r="N306" s="121" t="str">
        <v/>
      </c>
      <c r="O306" s="121" t="str">
        <v/>
      </c>
      <c r="P306" s="121" t="str">
        <v/>
      </c>
      <c r="Q306" s="121" t="str">
        <v xml:space="preserve"> 3. </v>
      </c>
      <c r="R306" s="121" t="str">
        <v>The user sessions must:</v>
      </c>
      <c r="S306" s="121" t="str">
        <v/>
      </c>
      <c r="T306" s="119" t="str">
        <f>IF($C306&lt;4,IF($C306=3,T307,IF($C306=2,T$1,"")),Q306&amp;R306&amp;IF(LEN(S306)=0,"",Preferences!$C$2&amp;S306)&amp;IF(J307=J306,IF(LEN(R306&amp;S306)=0,"","
")&amp;T307,""))</f>
        <v xml:space="preserve"> 3. The user sessions must: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6" s="122" t="str">
        <v/>
      </c>
      <c r="V306" s="42"/>
      <c r="W306" s="42"/>
      <c r="X306" s="42"/>
      <c r="Y306" s="42"/>
      <c r="Z306" s="42"/>
      <c r="AA306" s="42"/>
      <c r="AB306" s="42"/>
    </row>
    <row r="307" spans="1:28" x14ac:dyDescent="0.25">
      <c r="A307" s="42" t="str">
        <v>1.9.3.3.1</v>
      </c>
      <c r="B307" s="121" t="str">
        <v>Expire after a specified time of no activity (e.g. 30 minutes)</v>
      </c>
      <c r="C307" s="41">
        <v>5</v>
      </c>
      <c r="D307" s="41" t="str">
        <v>RL</v>
      </c>
      <c r="E307" s="117" t="str">
        <f t="shared" si="0"/>
        <v>RL</v>
      </c>
      <c r="F307" s="41" t="str">
        <v/>
      </c>
      <c r="G307" s="41" t="str">
        <v/>
      </c>
      <c r="H307" s="117">
        <f t="shared" si="1"/>
        <v>0</v>
      </c>
      <c r="I307" s="117">
        <f t="shared" si="2"/>
        <v>9</v>
      </c>
      <c r="J307" s="117">
        <f t="shared" si="3"/>
        <v>9.0299999999999994</v>
      </c>
      <c r="K307" s="117" t="str">
        <f t="shared" si="4"/>
        <v>BR</v>
      </c>
      <c r="L307" s="42" t="str">
        <v>BR0903</v>
      </c>
      <c r="M307" s="121" t="str">
        <v/>
      </c>
      <c r="N307" s="121" t="str">
        <v/>
      </c>
      <c r="O307" s="121" t="str">
        <v/>
      </c>
      <c r="P307" s="121" t="str">
        <v/>
      </c>
      <c r="Q307" s="121" t="str">
        <v/>
      </c>
      <c r="R307" s="121" t="str">
        <v/>
      </c>
      <c r="S307" s="121" t="str">
        <v>Expire after a specified time of no activity (e.g. 30 minutes)</v>
      </c>
      <c r="T307" s="119" t="str">
        <f>IF($C307&lt;4,IF($C307=3,T308,IF($C307=2,T$1,"")),Q307&amp;R307&amp;IF(LEN(S307)=0,"",Preferences!$C$2&amp;S307)&amp;IF(J308=J307,IF(LEN(R307&amp;S307)=0,"","
")&amp;T308,""))</f>
        <v xml:space="preserve">	• Expire after a specified time of no activity (e.g. 30 minutes)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7" s="122" t="str">
        <v/>
      </c>
      <c r="V307" s="42"/>
      <c r="W307" s="42"/>
      <c r="X307" s="42"/>
      <c r="Y307" s="42"/>
      <c r="Z307" s="42"/>
      <c r="AA307" s="42"/>
      <c r="AB307" s="42"/>
    </row>
    <row r="308" spans="1:28" x14ac:dyDescent="0.25">
      <c r="A308" s="42" t="str">
        <v>1.9.3.3.2</v>
      </c>
      <c r="B308" s="121" t="str">
        <v>Be unique (cannot login more than once)</v>
      </c>
      <c r="C308" s="41">
        <v>5</v>
      </c>
      <c r="D308" s="41" t="str">
        <v>RL</v>
      </c>
      <c r="E308" s="117" t="str">
        <f t="shared" si="0"/>
        <v>RL</v>
      </c>
      <c r="F308" s="41" t="str">
        <v/>
      </c>
      <c r="G308" s="41" t="str">
        <v/>
      </c>
      <c r="H308" s="117">
        <f t="shared" si="1"/>
        <v>0</v>
      </c>
      <c r="I308" s="117">
        <f t="shared" si="2"/>
        <v>9</v>
      </c>
      <c r="J308" s="117">
        <f t="shared" si="3"/>
        <v>9.0299999999999994</v>
      </c>
      <c r="K308" s="117" t="str">
        <f t="shared" si="4"/>
        <v>BR</v>
      </c>
      <c r="L308" s="42" t="str">
        <v>BR0903</v>
      </c>
      <c r="M308" s="121" t="str">
        <v/>
      </c>
      <c r="N308" s="121" t="str">
        <v/>
      </c>
      <c r="O308" s="121" t="str">
        <v/>
      </c>
      <c r="P308" s="121" t="str">
        <v/>
      </c>
      <c r="Q308" s="121" t="str">
        <v/>
      </c>
      <c r="R308" s="121" t="str">
        <v/>
      </c>
      <c r="S308" s="121" t="str">
        <v>Be unique (cannot login more than once)</v>
      </c>
      <c r="T308" s="119" t="str">
        <f>IF($C308&lt;4,IF($C308=3,T309,IF($C308=2,T$1,"")),Q308&amp;R308&amp;IF(LEN(S308)=0,"",Preferences!$C$2&amp;S308)&amp;IF(J309=J308,IF(LEN(R308&amp;S308)=0,"","
")&amp;T309,""))</f>
        <v xml:space="preserve">	• Be unique (cannot login more than once)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8" s="122" t="str">
        <v/>
      </c>
      <c r="V308" s="42"/>
      <c r="W308" s="42"/>
      <c r="X308" s="42"/>
      <c r="Y308" s="42"/>
      <c r="Z308" s="42"/>
      <c r="AA308" s="42"/>
      <c r="AB308" s="42"/>
    </row>
    <row r="309" spans="1:28" x14ac:dyDescent="0.25">
      <c r="A309" s="42" t="str">
        <v>1.9.3.4</v>
      </c>
      <c r="B309" s="121" t="str">
        <v>Also see the Register customer requirement in the Customer Registration section.</v>
      </c>
      <c r="C309" s="41">
        <v>4</v>
      </c>
      <c r="D309" s="41" t="str">
        <v>RD</v>
      </c>
      <c r="E309" s="117" t="str">
        <f t="shared" si="0"/>
        <v>RD</v>
      </c>
      <c r="F309" s="41" t="str">
        <v/>
      </c>
      <c r="G309" s="41" t="str">
        <v/>
      </c>
      <c r="H309" s="117">
        <f t="shared" si="1"/>
        <v>0</v>
      </c>
      <c r="I309" s="117">
        <f t="shared" si="2"/>
        <v>9</v>
      </c>
      <c r="J309" s="117">
        <f t="shared" si="3"/>
        <v>9.0299999999999994</v>
      </c>
      <c r="K309" s="117" t="str">
        <f t="shared" si="4"/>
        <v>BR</v>
      </c>
      <c r="L309" s="42" t="str">
        <v>BR0903</v>
      </c>
      <c r="M309" s="121" t="str">
        <v/>
      </c>
      <c r="N309" s="121" t="str">
        <v/>
      </c>
      <c r="O309" s="121" t="str">
        <v/>
      </c>
      <c r="P309" s="121" t="str">
        <v/>
      </c>
      <c r="Q309" s="121" t="str">
        <v xml:space="preserve"> 4. </v>
      </c>
      <c r="R309" s="121" t="str">
        <v>Also see the Register customer requirement in the Customer Registration section.</v>
      </c>
      <c r="S309" s="121" t="str">
        <v/>
      </c>
      <c r="T309" s="119" t="str">
        <f>IF($C309&lt;4,IF($C309=3,T310,IF($C309=2,T$1,"")),Q309&amp;R309&amp;IF(LEN(S309)=0,"",Preferences!$C$2&amp;S309)&amp;IF(J310=J309,IF(LEN(R309&amp;S309)=0,"","
")&amp;T310,""))</f>
        <v xml:space="preserve"> 4. Also see the Register customer requirement in the Customer Registration section.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09" s="122" t="str">
        <v/>
      </c>
      <c r="V309" s="42"/>
      <c r="W309" s="42"/>
      <c r="X309" s="42"/>
      <c r="Y309" s="42"/>
      <c r="Z309" s="42"/>
      <c r="AA309" s="42"/>
      <c r="AB309" s="42"/>
    </row>
    <row r="310" spans="1:28" x14ac:dyDescent="0.25">
      <c r="A310" s="42" t="str">
        <v>1.9.3.5</v>
      </c>
      <c r="B310" s="121" t="str">
        <v>The user account must be locked several invalid (wrong password) login attempts.</v>
      </c>
      <c r="C310" s="41">
        <v>4</v>
      </c>
      <c r="D310" s="41" t="str">
        <v>RD</v>
      </c>
      <c r="E310" s="117" t="str">
        <f t="shared" si="0"/>
        <v>RD</v>
      </c>
      <c r="F310" s="41" t="str">
        <v/>
      </c>
      <c r="G310" s="41" t="str">
        <v/>
      </c>
      <c r="H310" s="117">
        <f t="shared" si="1"/>
        <v>0</v>
      </c>
      <c r="I310" s="117">
        <f t="shared" si="2"/>
        <v>9</v>
      </c>
      <c r="J310" s="117">
        <f t="shared" si="3"/>
        <v>9.0299999999999994</v>
      </c>
      <c r="K310" s="117" t="str">
        <f t="shared" si="4"/>
        <v>BR</v>
      </c>
      <c r="L310" s="42" t="str">
        <v>BR0903</v>
      </c>
      <c r="M310" s="121" t="str">
        <v/>
      </c>
      <c r="N310" s="121" t="str">
        <v/>
      </c>
      <c r="O310" s="121" t="str">
        <v/>
      </c>
      <c r="P310" s="121" t="str">
        <v/>
      </c>
      <c r="Q310" s="121" t="str">
        <v xml:space="preserve"> 5. </v>
      </c>
      <c r="R310" s="121" t="str">
        <v>The user account must be locked several invalid (wrong password) login attempts.</v>
      </c>
      <c r="S310" s="121" t="str">
        <v/>
      </c>
      <c r="T310" s="119" t="str">
        <f>IF($C310&lt;4,IF($C310=3,T311,IF($C310=2,T$1,"")),Q310&amp;R310&amp;IF(LEN(S310)=0,"",Preferences!$C$2&amp;S310)&amp;IF(J311=J310,IF(LEN(R310&amp;S310)=0,"","
")&amp;T311,""))</f>
        <v xml:space="preserve"> 5. The user account must be locked several invalid (wrong password) login attempts.
	• Consider using a temporary lock, followed by a had lock if further login attempts fail.
	• Send the user a notification email when their account is locked, stating the reason and date-time of the last event.</v>
      </c>
      <c r="U310" s="122" t="str">
        <v/>
      </c>
      <c r="V310" s="42"/>
      <c r="W310" s="42"/>
      <c r="X310" s="42"/>
      <c r="Y310" s="42"/>
      <c r="Z310" s="42"/>
      <c r="AA310" s="42"/>
      <c r="AB310" s="42"/>
    </row>
    <row r="311" spans="1:28" x14ac:dyDescent="0.25">
      <c r="A311" s="42" t="str">
        <v>1.9.3.5.1</v>
      </c>
      <c r="B311" s="121" t="str">
        <v>Consider using a temporary lock, followed by a had lock if further login attempts fail.</v>
      </c>
      <c r="C311" s="41">
        <v>5</v>
      </c>
      <c r="D311" s="41" t="str">
        <v>RL</v>
      </c>
      <c r="E311" s="117" t="str">
        <f t="shared" si="0"/>
        <v>RL</v>
      </c>
      <c r="F311" s="41" t="str">
        <v/>
      </c>
      <c r="G311" s="41" t="str">
        <v/>
      </c>
      <c r="H311" s="117">
        <f t="shared" si="1"/>
        <v>0</v>
      </c>
      <c r="I311" s="117">
        <f t="shared" si="2"/>
        <v>9</v>
      </c>
      <c r="J311" s="117">
        <f t="shared" si="3"/>
        <v>9.0299999999999994</v>
      </c>
      <c r="K311" s="117" t="str">
        <f t="shared" si="4"/>
        <v>BR</v>
      </c>
      <c r="L311" s="42" t="str">
        <v>BR0903</v>
      </c>
      <c r="M311" s="121" t="str">
        <v/>
      </c>
      <c r="N311" s="121" t="str">
        <v/>
      </c>
      <c r="O311" s="121" t="str">
        <v/>
      </c>
      <c r="P311" s="121" t="str">
        <v/>
      </c>
      <c r="Q311" s="121" t="str">
        <v/>
      </c>
      <c r="R311" s="121" t="str">
        <v/>
      </c>
      <c r="S311" s="121" t="str">
        <v>Consider using a temporary lock, followed by a had lock if further login attempts fail.</v>
      </c>
      <c r="T311" s="119" t="str">
        <f>IF($C311&lt;4,IF($C311=3,T312,IF($C311=2,T$1,"")),Q311&amp;R311&amp;IF(LEN(S311)=0,"",Preferences!$C$2&amp;S311)&amp;IF(J312=J311,IF(LEN(R311&amp;S311)=0,"","
")&amp;T312,""))</f>
        <v xml:space="preserve">	• Consider using a temporary lock, followed by a had lock if further login attempts fail.
	• Send the user a notification email when their account is locked, stating the reason and date-time of the last event.</v>
      </c>
      <c r="U311" s="122" t="str">
        <v/>
      </c>
      <c r="V311" s="42"/>
      <c r="W311" s="42"/>
      <c r="X311" s="42"/>
      <c r="Y311" s="42"/>
      <c r="Z311" s="42"/>
      <c r="AA311" s="42"/>
      <c r="AB311" s="42"/>
    </row>
    <row r="312" spans="1:28" x14ac:dyDescent="0.25">
      <c r="A312" s="42" t="str">
        <v>1.9.3.5.2</v>
      </c>
      <c r="B312" s="121" t="str">
        <v>Send the user a notification email when their account is locked, stating the reason and date-time of the last event.</v>
      </c>
      <c r="C312" s="41">
        <v>5</v>
      </c>
      <c r="D312" s="41" t="str">
        <v>RL</v>
      </c>
      <c r="E312" s="117" t="str">
        <f t="shared" si="0"/>
        <v>RL</v>
      </c>
      <c r="F312" s="41" t="str">
        <v/>
      </c>
      <c r="G312" s="41" t="str">
        <v/>
      </c>
      <c r="H312" s="117">
        <f t="shared" si="1"/>
        <v>0</v>
      </c>
      <c r="I312" s="117">
        <f t="shared" si="2"/>
        <v>9</v>
      </c>
      <c r="J312" s="117">
        <f t="shared" si="3"/>
        <v>9.0299999999999994</v>
      </c>
      <c r="K312" s="117" t="str">
        <f t="shared" si="4"/>
        <v>BR</v>
      </c>
      <c r="L312" s="42" t="str">
        <v>BR0903</v>
      </c>
      <c r="M312" s="121" t="str">
        <v/>
      </c>
      <c r="N312" s="121" t="str">
        <v/>
      </c>
      <c r="O312" s="121" t="str">
        <v/>
      </c>
      <c r="P312" s="121" t="str">
        <v/>
      </c>
      <c r="Q312" s="121" t="str">
        <v/>
      </c>
      <c r="R312" s="121" t="str">
        <v/>
      </c>
      <c r="S312" s="121" t="str">
        <v>Send the user a notification email when their account is locked, stating the reason and date-time of the last event.</v>
      </c>
      <c r="T312" s="119" t="str">
        <f>IF($C312&lt;4,IF($C312=3,T313,IF($C312=2,T$1,"")),Q312&amp;R312&amp;IF(LEN(S312)=0,"",Preferences!$C$2&amp;S312)&amp;IF(J313=J312,IF(LEN(R312&amp;S312)=0,"","
")&amp;T313,""))</f>
        <v xml:space="preserve">	• Send the user a notification email when their account is locked, stating the reason and date-time of the last event.</v>
      </c>
      <c r="U312" s="122" t="str">
        <v/>
      </c>
      <c r="V312" s="42"/>
      <c r="W312" s="42"/>
      <c r="X312" s="42"/>
      <c r="Y312" s="42"/>
      <c r="Z312" s="42"/>
      <c r="AA312" s="42"/>
      <c r="AB312" s="42"/>
    </row>
    <row r="313" spans="1:28" x14ac:dyDescent="0.25">
      <c r="A313" s="42" t="str">
        <v>1.9.4</v>
      </c>
      <c r="B313" s="121" t="str">
        <v>9.4 Recover user password</v>
      </c>
      <c r="C313" s="41">
        <v>3</v>
      </c>
      <c r="D313" s="41" t="str">
        <v>R</v>
      </c>
      <c r="E313" s="117" t="str">
        <f t="shared" si="0"/>
        <v>R</v>
      </c>
      <c r="F313" s="41" t="str">
        <v/>
      </c>
      <c r="G313" s="41" t="str">
        <v/>
      </c>
      <c r="H313" s="117">
        <f t="shared" si="1"/>
        <v>0</v>
      </c>
      <c r="I313" s="117">
        <f t="shared" si="2"/>
        <v>9</v>
      </c>
      <c r="J313" s="117">
        <f t="shared" si="3"/>
        <v>9.0399999999999991</v>
      </c>
      <c r="K313" s="117" t="str">
        <f t="shared" si="4"/>
        <v>BR</v>
      </c>
      <c r="L313" s="42" t="str">
        <v>BR0904</v>
      </c>
      <c r="M313" s="121" t="str">
        <v/>
      </c>
      <c r="N313" s="121" t="str">
        <v/>
      </c>
      <c r="O313" s="121" t="str">
        <v>BR0904</v>
      </c>
      <c r="P313" s="121" t="str">
        <v>Recover user password</v>
      </c>
      <c r="Q313" s="121" t="str">
        <v/>
      </c>
      <c r="R313" s="121" t="str">
        <v/>
      </c>
      <c r="S313" s="121" t="str">
        <v/>
      </c>
      <c r="T313" s="119" t="str">
        <f>IF($C313&lt;4,IF($C313=3,T314,IF($C313=2,T$1,"")),Q313&amp;R313&amp;IF(LEN(S313)=0,"",Preferences!$C$2&amp;S313)&amp;IF(J314=J313,IF(LEN(R313&amp;S313)=0,"","
")&amp;T314,""))</f>
        <v xml:space="preserve"> 1. When prompted to login, a user may choose a forgot password function, triggering an email with a password reset link to be sent to their email address.
 2. Using a forgot password link, the user is:
	• Prompted to capture a new password (double-entry with strength-check)
	• Redirected to the login page</v>
      </c>
      <c r="U313" s="122" t="str">
        <v/>
      </c>
      <c r="V313" s="42"/>
      <c r="W313" s="42"/>
      <c r="X313" s="42"/>
      <c r="Y313" s="42"/>
      <c r="Z313" s="42"/>
      <c r="AA313" s="42"/>
      <c r="AB313" s="42"/>
    </row>
    <row r="314" spans="1:28" x14ac:dyDescent="0.25">
      <c r="A314" s="42" t="str">
        <v>1.9.4.1</v>
      </c>
      <c r="B314" s="121" t="str">
        <v>When prompted to login, a user may choose a forgot password function, triggering an email with a password reset link to be sent to their email address.</v>
      </c>
      <c r="C314" s="41">
        <v>4</v>
      </c>
      <c r="D314" s="41" t="str">
        <v>RD</v>
      </c>
      <c r="E314" s="117" t="str">
        <f t="shared" si="0"/>
        <v>RD</v>
      </c>
      <c r="F314" s="41" t="str">
        <v/>
      </c>
      <c r="G314" s="41" t="str">
        <v/>
      </c>
      <c r="H314" s="117">
        <f t="shared" si="1"/>
        <v>0</v>
      </c>
      <c r="I314" s="117">
        <f t="shared" si="2"/>
        <v>9</v>
      </c>
      <c r="J314" s="117">
        <f t="shared" si="3"/>
        <v>9.0399999999999991</v>
      </c>
      <c r="K314" s="117" t="str">
        <f t="shared" si="4"/>
        <v>BR</v>
      </c>
      <c r="L314" s="42" t="str">
        <v>BR0904</v>
      </c>
      <c r="M314" s="121" t="str">
        <v/>
      </c>
      <c r="N314" s="121" t="str">
        <v/>
      </c>
      <c r="O314" s="121" t="str">
        <v/>
      </c>
      <c r="P314" s="121" t="str">
        <v/>
      </c>
      <c r="Q314" s="121" t="str">
        <v xml:space="preserve"> 1. </v>
      </c>
      <c r="R314" s="121" t="str">
        <v>When prompted to login, a user may choose a forgot password function, triggering an email with a password reset link to be sent to their email address.</v>
      </c>
      <c r="S314" s="121" t="str">
        <v/>
      </c>
      <c r="T314" s="119" t="str">
        <f>IF($C314&lt;4,IF($C314=3,T315,IF($C314=2,T$1,"")),Q314&amp;R314&amp;IF(LEN(S314)=0,"",Preferences!$C$2&amp;S314)&amp;IF(J315=J314,IF(LEN(R314&amp;S314)=0,"","
")&amp;T315,""))</f>
        <v xml:space="preserve"> 1. When prompted to login, a user may choose a forgot password function, triggering an email with a password reset link to be sent to their email address.
 2. Using a forgot password link, the user is:
	• Prompted to capture a new password (double-entry with strength-check)
	• Redirected to the login page</v>
      </c>
      <c r="U314" s="122" t="str">
        <v/>
      </c>
      <c r="V314" s="42"/>
      <c r="W314" s="42"/>
      <c r="X314" s="42"/>
      <c r="Y314" s="42"/>
      <c r="Z314" s="42"/>
      <c r="AA314" s="42"/>
      <c r="AB314" s="42"/>
    </row>
    <row r="315" spans="1:28" x14ac:dyDescent="0.25">
      <c r="A315" s="42" t="str">
        <v>1.9.4.2</v>
      </c>
      <c r="B315" s="121" t="str">
        <v>Using a forgot password link, the user is:</v>
      </c>
      <c r="C315" s="41">
        <v>4</v>
      </c>
      <c r="D315" s="41" t="str">
        <v>RD</v>
      </c>
      <c r="E315" s="117" t="str">
        <f t="shared" si="0"/>
        <v>RD</v>
      </c>
      <c r="F315" s="41" t="str">
        <v/>
      </c>
      <c r="G315" s="41" t="str">
        <v/>
      </c>
      <c r="H315" s="117">
        <f t="shared" si="1"/>
        <v>0</v>
      </c>
      <c r="I315" s="117">
        <f t="shared" si="2"/>
        <v>9</v>
      </c>
      <c r="J315" s="117">
        <f t="shared" si="3"/>
        <v>9.0399999999999991</v>
      </c>
      <c r="K315" s="117" t="str">
        <f t="shared" si="4"/>
        <v>BR</v>
      </c>
      <c r="L315" s="42" t="str">
        <v>BR0904</v>
      </c>
      <c r="M315" s="121" t="str">
        <v/>
      </c>
      <c r="N315" s="121" t="str">
        <v/>
      </c>
      <c r="O315" s="121" t="str">
        <v/>
      </c>
      <c r="P315" s="121" t="str">
        <v/>
      </c>
      <c r="Q315" s="121" t="str">
        <v xml:space="preserve"> 2. </v>
      </c>
      <c r="R315" s="121" t="str">
        <v>Using a forgot password link, the user is:</v>
      </c>
      <c r="S315" s="121" t="str">
        <v/>
      </c>
      <c r="T315" s="119" t="str">
        <f>IF($C315&lt;4,IF($C315=3,T316,IF($C315=2,T$1,"")),Q315&amp;R315&amp;IF(LEN(S315)=0,"",Preferences!$C$2&amp;S315)&amp;IF(J316=J315,IF(LEN(R315&amp;S315)=0,"","
")&amp;T316,""))</f>
        <v xml:space="preserve"> 2. Using a forgot password link, the user is:
	• Prompted to capture a new password (double-entry with strength-check)
	• Redirected to the login page</v>
      </c>
      <c r="U315" s="122" t="str">
        <v/>
      </c>
      <c r="V315" s="42"/>
      <c r="W315" s="42"/>
      <c r="X315" s="42"/>
      <c r="Y315" s="42"/>
      <c r="Z315" s="42"/>
      <c r="AA315" s="42"/>
      <c r="AB315" s="42"/>
    </row>
    <row r="316" spans="1:28" x14ac:dyDescent="0.25">
      <c r="A316" s="42" t="str">
        <v>1.9.4.2.1</v>
      </c>
      <c r="B316" s="121" t="str">
        <v>Prompted to capture a new password (double-entry with strength-check)</v>
      </c>
      <c r="C316" s="41">
        <v>5</v>
      </c>
      <c r="D316" s="41" t="str">
        <v>RL</v>
      </c>
      <c r="E316" s="117" t="str">
        <f t="shared" si="0"/>
        <v>RL</v>
      </c>
      <c r="F316" s="41" t="str">
        <v/>
      </c>
      <c r="G316" s="41" t="str">
        <v/>
      </c>
      <c r="H316" s="117">
        <f t="shared" si="1"/>
        <v>0</v>
      </c>
      <c r="I316" s="117">
        <f t="shared" si="2"/>
        <v>9</v>
      </c>
      <c r="J316" s="117">
        <f t="shared" si="3"/>
        <v>9.0399999999999991</v>
      </c>
      <c r="K316" s="117" t="str">
        <f t="shared" si="4"/>
        <v>BR</v>
      </c>
      <c r="L316" s="42" t="str">
        <v>BR0904</v>
      </c>
      <c r="M316" s="121" t="str">
        <v/>
      </c>
      <c r="N316" s="121" t="str">
        <v/>
      </c>
      <c r="O316" s="121" t="str">
        <v/>
      </c>
      <c r="P316" s="121" t="str">
        <v/>
      </c>
      <c r="Q316" s="121" t="str">
        <v/>
      </c>
      <c r="R316" s="121" t="str">
        <v/>
      </c>
      <c r="S316" s="121" t="str">
        <v>Prompted to capture a new password (double-entry with strength-check)</v>
      </c>
      <c r="T316" s="119" t="str">
        <f>IF($C316&lt;4,IF($C316=3,T317,IF($C316=2,T$1,"")),Q316&amp;R316&amp;IF(LEN(S316)=0,"",Preferences!$C$2&amp;S316)&amp;IF(J317=J316,IF(LEN(R316&amp;S316)=0,"","
")&amp;T317,""))</f>
        <v xml:space="preserve">	• Prompted to capture a new password (double-entry with strength-check)
	• Redirected to the login page</v>
      </c>
      <c r="U316" s="122" t="str">
        <v/>
      </c>
      <c r="V316" s="42"/>
      <c r="W316" s="42"/>
      <c r="X316" s="42"/>
      <c r="Y316" s="42"/>
      <c r="Z316" s="42"/>
      <c r="AA316" s="42"/>
      <c r="AB316" s="42"/>
    </row>
    <row r="317" spans="1:28" x14ac:dyDescent="0.25">
      <c r="A317" s="42" t="str">
        <v>1.9.4.2.2</v>
      </c>
      <c r="B317" s="121" t="str">
        <v>Redirected to the login page</v>
      </c>
      <c r="C317" s="41">
        <v>5</v>
      </c>
      <c r="D317" s="41" t="str">
        <v>RL</v>
      </c>
      <c r="E317" s="117" t="str">
        <f t="shared" si="0"/>
        <v>RL</v>
      </c>
      <c r="F317" s="41" t="str">
        <v/>
      </c>
      <c r="G317" s="41" t="str">
        <v/>
      </c>
      <c r="H317" s="117">
        <f t="shared" si="1"/>
        <v>0</v>
      </c>
      <c r="I317" s="117">
        <f t="shared" si="2"/>
        <v>9</v>
      </c>
      <c r="J317" s="117">
        <f t="shared" si="3"/>
        <v>9.0399999999999991</v>
      </c>
      <c r="K317" s="117" t="str">
        <f t="shared" si="4"/>
        <v>BR</v>
      </c>
      <c r="L317" s="42" t="str">
        <v>BR0904</v>
      </c>
      <c r="M317" s="121" t="str">
        <v/>
      </c>
      <c r="N317" s="121" t="str">
        <v/>
      </c>
      <c r="O317" s="121" t="str">
        <v/>
      </c>
      <c r="P317" s="121" t="str">
        <v/>
      </c>
      <c r="Q317" s="121" t="str">
        <v/>
      </c>
      <c r="R317" s="121" t="str">
        <v/>
      </c>
      <c r="S317" s="121" t="str">
        <v>Redirected to the login page</v>
      </c>
      <c r="T317" s="119" t="str">
        <f>IF($C317&lt;4,IF($C317=3,T318,IF($C317=2,T$1,"")),Q317&amp;R317&amp;IF(LEN(S317)=0,"",Preferences!$C$2&amp;S317)&amp;IF(J318=J317,IF(LEN(R317&amp;S317)=0,"","
")&amp;T318,""))</f>
        <v xml:space="preserve">	• Redirected to the login page</v>
      </c>
      <c r="U317" s="122" t="str">
        <v/>
      </c>
      <c r="V317" s="42"/>
      <c r="W317" s="42"/>
      <c r="X317" s="42"/>
      <c r="Y317" s="42"/>
      <c r="Z317" s="42"/>
      <c r="AA317" s="42"/>
      <c r="AB317" s="42"/>
    </row>
    <row r="318" spans="1:28" x14ac:dyDescent="0.25">
      <c r="A318" s="42" t="str">
        <v>1.9.5</v>
      </c>
      <c r="B318" s="121" t="str">
        <v>9.5 Change user password</v>
      </c>
      <c r="C318" s="41">
        <v>3</v>
      </c>
      <c r="D318" s="41" t="str">
        <v>R</v>
      </c>
      <c r="E318" s="117" t="str">
        <f t="shared" si="0"/>
        <v>R</v>
      </c>
      <c r="F318" s="41" t="str">
        <v/>
      </c>
      <c r="G318" s="41" t="str">
        <v/>
      </c>
      <c r="H318" s="117">
        <f t="shared" si="1"/>
        <v>0</v>
      </c>
      <c r="I318" s="117">
        <f t="shared" si="2"/>
        <v>9</v>
      </c>
      <c r="J318" s="117">
        <f t="shared" si="3"/>
        <v>9.0499999999999989</v>
      </c>
      <c r="K318" s="117" t="str">
        <f t="shared" si="4"/>
        <v>BR</v>
      </c>
      <c r="L318" s="42" t="str">
        <v>BR0905</v>
      </c>
      <c r="M318" s="121" t="str">
        <v/>
      </c>
      <c r="N318" s="121" t="str">
        <v/>
      </c>
      <c r="O318" s="121" t="str">
        <v>BR0905</v>
      </c>
      <c r="P318" s="121" t="str">
        <v>Change user password</v>
      </c>
      <c r="Q318" s="121" t="str">
        <v/>
      </c>
      <c r="R318" s="121" t="str">
        <v/>
      </c>
      <c r="S318" s="121" t="str">
        <v/>
      </c>
      <c r="T318" s="119" t="str">
        <f>IF($C318&lt;4,IF($C318=3,T319,IF($C318=2,T$1,"")),Q318&amp;R318&amp;IF(LEN(S318)=0,"",Preferences!$C$2&amp;S318)&amp;IF(J319=J318,IF(LEN(R318&amp;S318)=0,"","
")&amp;T319,""))</f>
        <v xml:space="preserve"> 1. Once logged in, a customer or back-office user may choose to change their password.
	• Capture a new password (double-entry with strength-check)
	• Present password changed confirmation message.
 2. A user administrator may reset any user's password (but not change it).
	• A password reset email is sent to the applicable user's email address.</v>
      </c>
      <c r="U318" s="122" t="str">
        <v/>
      </c>
      <c r="V318" s="42"/>
      <c r="W318" s="42"/>
      <c r="X318" s="42"/>
      <c r="Y318" s="42"/>
      <c r="Z318" s="42"/>
      <c r="AA318" s="42"/>
      <c r="AB318" s="42"/>
    </row>
    <row r="319" spans="1:28" x14ac:dyDescent="0.25">
      <c r="A319" s="42" t="str">
        <v>1.9.5.1</v>
      </c>
      <c r="B319" s="121" t="str">
        <v>Once logged in, a customer or back-office user may choose to change their password.</v>
      </c>
      <c r="C319" s="41">
        <v>4</v>
      </c>
      <c r="D319" s="41" t="str">
        <v>RD</v>
      </c>
      <c r="E319" s="117" t="str">
        <f t="shared" si="0"/>
        <v>RD</v>
      </c>
      <c r="F319" s="41" t="str">
        <v/>
      </c>
      <c r="G319" s="41" t="str">
        <v/>
      </c>
      <c r="H319" s="117">
        <f t="shared" si="1"/>
        <v>0</v>
      </c>
      <c r="I319" s="117">
        <f t="shared" si="2"/>
        <v>9</v>
      </c>
      <c r="J319" s="117">
        <f t="shared" si="3"/>
        <v>9.0499999999999989</v>
      </c>
      <c r="K319" s="117" t="str">
        <f t="shared" si="4"/>
        <v>BR</v>
      </c>
      <c r="L319" s="42" t="str">
        <v>BR0905</v>
      </c>
      <c r="M319" s="121" t="str">
        <v/>
      </c>
      <c r="N319" s="121" t="str">
        <v/>
      </c>
      <c r="O319" s="121" t="str">
        <v/>
      </c>
      <c r="P319" s="121" t="str">
        <v/>
      </c>
      <c r="Q319" s="121" t="str">
        <v xml:space="preserve"> 1. </v>
      </c>
      <c r="R319" s="121" t="str">
        <v>Once logged in, a customer or back-office user may choose to change their password.</v>
      </c>
      <c r="S319" s="121" t="str">
        <v/>
      </c>
      <c r="T319" s="119" t="str">
        <f>IF($C319&lt;4,IF($C319=3,T320,IF($C319=2,T$1,"")),Q319&amp;R319&amp;IF(LEN(S319)=0,"",Preferences!$C$2&amp;S319)&amp;IF(J320=J319,IF(LEN(R319&amp;S319)=0,"","
")&amp;T320,""))</f>
        <v xml:space="preserve"> 1. Once logged in, a customer or back-office user may choose to change their password.
	• Capture a new password (double-entry with strength-check)
	• Present password changed confirmation message.
 2. A user administrator may reset any user's password (but not change it).
	• A password reset email is sent to the applicable user's email address.</v>
      </c>
      <c r="U319" s="122" t="str">
        <v/>
      </c>
      <c r="V319" s="42"/>
      <c r="W319" s="42"/>
      <c r="X319" s="42"/>
      <c r="Y319" s="42"/>
      <c r="Z319" s="42"/>
      <c r="AA319" s="42"/>
      <c r="AB319" s="42"/>
    </row>
    <row r="320" spans="1:28" x14ac:dyDescent="0.25">
      <c r="A320" s="42" t="str">
        <v>1.9.5.1.1</v>
      </c>
      <c r="B320" s="121" t="str">
        <v>Capture a new password (double-entry with strength-check)</v>
      </c>
      <c r="C320" s="41">
        <v>5</v>
      </c>
      <c r="D320" s="41" t="str">
        <v>RL</v>
      </c>
      <c r="E320" s="117" t="str">
        <f t="shared" si="0"/>
        <v>RL</v>
      </c>
      <c r="F320" s="41" t="str">
        <v/>
      </c>
      <c r="G320" s="41" t="str">
        <v/>
      </c>
      <c r="H320" s="117">
        <f t="shared" si="1"/>
        <v>0</v>
      </c>
      <c r="I320" s="117">
        <f t="shared" si="2"/>
        <v>9</v>
      </c>
      <c r="J320" s="117">
        <f t="shared" si="3"/>
        <v>9.0499999999999989</v>
      </c>
      <c r="K320" s="117" t="str">
        <f t="shared" si="4"/>
        <v>BR</v>
      </c>
      <c r="L320" s="42" t="str">
        <v>BR0905</v>
      </c>
      <c r="M320" s="121" t="str">
        <v/>
      </c>
      <c r="N320" s="121" t="str">
        <v/>
      </c>
      <c r="O320" s="121" t="str">
        <v/>
      </c>
      <c r="P320" s="121" t="str">
        <v/>
      </c>
      <c r="Q320" s="121" t="str">
        <v/>
      </c>
      <c r="R320" s="121" t="str">
        <v/>
      </c>
      <c r="S320" s="121" t="str">
        <v>Capture a new password (double-entry with strength-check)</v>
      </c>
      <c r="T320" s="119" t="str">
        <f>IF($C320&lt;4,IF($C320=3,T321,IF($C320=2,T$1,"")),Q320&amp;R320&amp;IF(LEN(S320)=0,"",Preferences!$C$2&amp;S320)&amp;IF(J321=J320,IF(LEN(R320&amp;S320)=0,"","
")&amp;T321,""))</f>
        <v xml:space="preserve">	• Capture a new password (double-entry with strength-check)
	• Present password changed confirmation message.
 2. A user administrator may reset any user's password (but not change it).
	• A password reset email is sent to the applicable user's email address.</v>
      </c>
      <c r="U320" s="122" t="str">
        <v/>
      </c>
      <c r="V320" s="42"/>
      <c r="W320" s="42"/>
      <c r="X320" s="42"/>
      <c r="Y320" s="42"/>
      <c r="Z320" s="42"/>
      <c r="AA320" s="42"/>
      <c r="AB320" s="42"/>
    </row>
    <row r="321" spans="1:28" x14ac:dyDescent="0.25">
      <c r="A321" s="42" t="str">
        <v>1.9.5.1.2</v>
      </c>
      <c r="B321" s="121" t="str">
        <v>Present password changed confirmation message.</v>
      </c>
      <c r="C321" s="41">
        <v>5</v>
      </c>
      <c r="D321" s="41" t="str">
        <v>RL</v>
      </c>
      <c r="E321" s="117" t="str">
        <f t="shared" si="0"/>
        <v>RL</v>
      </c>
      <c r="F321" s="41" t="str">
        <v/>
      </c>
      <c r="G321" s="41" t="str">
        <v/>
      </c>
      <c r="H321" s="117">
        <f t="shared" si="1"/>
        <v>0</v>
      </c>
      <c r="I321" s="117">
        <f t="shared" si="2"/>
        <v>9</v>
      </c>
      <c r="J321" s="117">
        <f t="shared" si="3"/>
        <v>9.0499999999999989</v>
      </c>
      <c r="K321" s="117" t="str">
        <f t="shared" si="4"/>
        <v>BR</v>
      </c>
      <c r="L321" s="42" t="str">
        <v>BR0905</v>
      </c>
      <c r="M321" s="121" t="str">
        <v/>
      </c>
      <c r="N321" s="121" t="str">
        <v/>
      </c>
      <c r="O321" s="121" t="str">
        <v/>
      </c>
      <c r="P321" s="121" t="str">
        <v/>
      </c>
      <c r="Q321" s="121" t="str">
        <v/>
      </c>
      <c r="R321" s="121" t="str">
        <v/>
      </c>
      <c r="S321" s="121" t="str">
        <v>Present password changed confirmation message.</v>
      </c>
      <c r="T321" s="119" t="str">
        <f>IF($C321&lt;4,IF($C321=3,T322,IF($C321=2,T$1,"")),Q321&amp;R321&amp;IF(LEN(S321)=0,"",Preferences!$C$2&amp;S321)&amp;IF(J322=J321,IF(LEN(R321&amp;S321)=0,"","
")&amp;T322,""))</f>
        <v xml:space="preserve">	• Present password changed confirmation message.
 2. A user administrator may reset any user's password (but not change it).
	• A password reset email is sent to the applicable user's email address.</v>
      </c>
      <c r="U321" s="122" t="str">
        <v/>
      </c>
      <c r="V321" s="42"/>
      <c r="W321" s="42"/>
      <c r="X321" s="42"/>
      <c r="Y321" s="42"/>
      <c r="Z321" s="42"/>
      <c r="AA321" s="42"/>
      <c r="AB321" s="42"/>
    </row>
    <row r="322" spans="1:28" x14ac:dyDescent="0.25">
      <c r="A322" s="42" t="str">
        <v>1.9.5.2</v>
      </c>
      <c r="B322" s="121" t="str">
        <v>A user administrator may reset any user's password (but not change it).</v>
      </c>
      <c r="C322" s="41">
        <v>4</v>
      </c>
      <c r="D322" s="41" t="str">
        <v>RD</v>
      </c>
      <c r="E322" s="117" t="str">
        <f t="shared" si="0"/>
        <v>RD</v>
      </c>
      <c r="F322" s="41" t="str">
        <v/>
      </c>
      <c r="G322" s="41" t="str">
        <v/>
      </c>
      <c r="H322" s="117">
        <f t="shared" si="1"/>
        <v>0</v>
      </c>
      <c r="I322" s="117">
        <f t="shared" si="2"/>
        <v>9</v>
      </c>
      <c r="J322" s="117">
        <f t="shared" si="3"/>
        <v>9.0499999999999989</v>
      </c>
      <c r="K322" s="117" t="str">
        <f t="shared" si="4"/>
        <v>BR</v>
      </c>
      <c r="L322" s="42" t="str">
        <v>BR0905</v>
      </c>
      <c r="M322" s="121" t="str">
        <v/>
      </c>
      <c r="N322" s="121" t="str">
        <v/>
      </c>
      <c r="O322" s="121" t="str">
        <v/>
      </c>
      <c r="P322" s="121" t="str">
        <v/>
      </c>
      <c r="Q322" s="121" t="str">
        <v xml:space="preserve"> 2. </v>
      </c>
      <c r="R322" s="121" t="str">
        <v>A user administrator may reset any user's password (but not change it).</v>
      </c>
      <c r="S322" s="121" t="str">
        <v/>
      </c>
      <c r="T322" s="119" t="str">
        <f>IF($C322&lt;4,IF($C322=3,T323,IF($C322=2,T$1,"")),Q322&amp;R322&amp;IF(LEN(S322)=0,"",Preferences!$C$2&amp;S322)&amp;IF(J323=J322,IF(LEN(R322&amp;S322)=0,"","
")&amp;T323,""))</f>
        <v xml:space="preserve"> 2. A user administrator may reset any user's password (but not change it).
	• A password reset email is sent to the applicable user's email address.</v>
      </c>
      <c r="U322" s="122" t="str">
        <v/>
      </c>
      <c r="V322" s="42"/>
      <c r="W322" s="42"/>
      <c r="X322" s="42"/>
      <c r="Y322" s="42"/>
      <c r="Z322" s="42"/>
      <c r="AA322" s="42"/>
      <c r="AB322" s="42"/>
    </row>
    <row r="323" spans="1:28" x14ac:dyDescent="0.25">
      <c r="A323" s="42" t="str">
        <v>1.9.5.2.1</v>
      </c>
      <c r="B323" s="121" t="str">
        <v>A password reset email is sent to the applicable user's email address.</v>
      </c>
      <c r="C323" s="41">
        <v>5</v>
      </c>
      <c r="D323" s="41" t="str">
        <v>RL</v>
      </c>
      <c r="E323" s="117" t="str">
        <f t="shared" si="0"/>
        <v>RL</v>
      </c>
      <c r="F323" s="41" t="str">
        <v/>
      </c>
      <c r="G323" s="41" t="str">
        <v/>
      </c>
      <c r="H323" s="117">
        <f t="shared" si="1"/>
        <v>0</v>
      </c>
      <c r="I323" s="117">
        <f t="shared" si="2"/>
        <v>9</v>
      </c>
      <c r="J323" s="117">
        <f t="shared" si="3"/>
        <v>9.0499999999999989</v>
      </c>
      <c r="K323" s="117" t="str">
        <f t="shared" si="4"/>
        <v>BR</v>
      </c>
      <c r="L323" s="42" t="str">
        <v>BR0905</v>
      </c>
      <c r="M323" s="121" t="str">
        <v/>
      </c>
      <c r="N323" s="121" t="str">
        <v/>
      </c>
      <c r="O323" s="121" t="str">
        <v/>
      </c>
      <c r="P323" s="121" t="str">
        <v/>
      </c>
      <c r="Q323" s="121" t="str">
        <v/>
      </c>
      <c r="R323" s="121" t="str">
        <v/>
      </c>
      <c r="S323" s="121" t="str">
        <v>A password reset email is sent to the applicable user's email address.</v>
      </c>
      <c r="T323" s="119" t="str">
        <f>IF($C323&lt;4,IF($C323=3,T324,IF($C323=2,T$1,"")),Q323&amp;R323&amp;IF(LEN(S323)=0,"",Preferences!$C$2&amp;S323)&amp;IF(J324=J323,IF(LEN(R323&amp;S323)=0,"","
")&amp;T324,""))</f>
        <v xml:space="preserve">	• A password reset email is sent to the applicable user's email address.</v>
      </c>
      <c r="U323" s="122" t="str">
        <v/>
      </c>
      <c r="V323" s="42"/>
      <c r="W323" s="42"/>
      <c r="X323" s="42"/>
      <c r="Y323" s="42"/>
      <c r="Z323" s="42"/>
      <c r="AA323" s="42"/>
      <c r="AB323" s="42"/>
    </row>
    <row r="324" spans="1:28" x14ac:dyDescent="0.25">
      <c r="A324" s="42" t="str">
        <v>1.9.6</v>
      </c>
      <c r="B324" s="121" t="str">
        <v>9.6 Recover own username (registered email address)</v>
      </c>
      <c r="C324" s="41">
        <v>3</v>
      </c>
      <c r="D324" s="41" t="str">
        <v>R</v>
      </c>
      <c r="E324" s="117" t="str">
        <f t="shared" si="0"/>
        <v>R</v>
      </c>
      <c r="F324" s="41" t="str">
        <v/>
      </c>
      <c r="G324" s="41" t="str">
        <v/>
      </c>
      <c r="H324" s="117">
        <f t="shared" si="1"/>
        <v>0</v>
      </c>
      <c r="I324" s="117">
        <f t="shared" si="2"/>
        <v>9</v>
      </c>
      <c r="J324" s="117">
        <f t="shared" si="3"/>
        <v>9.0599999999999987</v>
      </c>
      <c r="K324" s="117" t="str">
        <f t="shared" si="4"/>
        <v>BR</v>
      </c>
      <c r="L324" s="42" t="str">
        <v>BR0906</v>
      </c>
      <c r="M324" s="121" t="str">
        <v/>
      </c>
      <c r="N324" s="121" t="str">
        <v/>
      </c>
      <c r="O324" s="121" t="str">
        <v>BR0906</v>
      </c>
      <c r="P324" s="121" t="str">
        <v>Recover own username (registered email address)</v>
      </c>
      <c r="Q324" s="121" t="str">
        <v/>
      </c>
      <c r="R324" s="121" t="str">
        <v/>
      </c>
      <c r="S324" s="121" t="str">
        <v/>
      </c>
      <c r="T324" s="119" t="str">
        <f>IF($C324&lt;4,IF($C324=3,T325,IF($C324=2,T$1,"")),Q324&amp;R324&amp;IF(LEN(S324)=0,"",Preferences!$C$2&amp;S324)&amp;IF(J325=J324,IF(LEN(R324&amp;S324)=0,"","
")&amp;T325,""))</f>
        <v xml:space="preserve"> 1. When prompted to login, a customer may choose a forgot login name function, to recover their login details.
	• The customer captures their cellphone number and identity number.
	• The cellphone number and identity number is used to identify the customer, to prompt for the answer to their secret question.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U324" s="122" t="str">
        <v/>
      </c>
      <c r="V324" s="42"/>
      <c r="W324" s="42"/>
      <c r="X324" s="42"/>
      <c r="Y324" s="42"/>
      <c r="Z324" s="42"/>
      <c r="AA324" s="42"/>
      <c r="AB324" s="42"/>
    </row>
    <row r="325" spans="1:28" x14ac:dyDescent="0.25">
      <c r="A325" s="42" t="str">
        <v>1.9.6.1</v>
      </c>
      <c r="B325" s="121" t="str">
        <v>When prompted to login, a customer may choose a forgot login name function, to recover their login details.</v>
      </c>
      <c r="C325" s="41">
        <v>4</v>
      </c>
      <c r="D325" s="41" t="str">
        <v>RD</v>
      </c>
      <c r="E325" s="117" t="str">
        <f t="shared" si="0"/>
        <v>RD</v>
      </c>
      <c r="F325" s="41" t="str">
        <v/>
      </c>
      <c r="G325" s="41" t="str">
        <v/>
      </c>
      <c r="H325" s="117">
        <f t="shared" si="1"/>
        <v>0</v>
      </c>
      <c r="I325" s="117">
        <f t="shared" si="2"/>
        <v>9</v>
      </c>
      <c r="J325" s="117">
        <f t="shared" si="3"/>
        <v>9.0599999999999987</v>
      </c>
      <c r="K325" s="117" t="str">
        <f t="shared" si="4"/>
        <v>BR</v>
      </c>
      <c r="L325" s="42" t="str">
        <v>BR0906</v>
      </c>
      <c r="M325" s="121" t="str">
        <v/>
      </c>
      <c r="N325" s="121" t="str">
        <v/>
      </c>
      <c r="O325" s="121" t="str">
        <v/>
      </c>
      <c r="P325" s="121" t="str">
        <v/>
      </c>
      <c r="Q325" s="121" t="str">
        <v xml:space="preserve"> 1. </v>
      </c>
      <c r="R325" s="121" t="str">
        <v>When prompted to login, a customer may choose a forgot login name function, to recover their login details.</v>
      </c>
      <c r="S325" s="121" t="str">
        <v/>
      </c>
      <c r="T325" s="119" t="str">
        <f>IF($C325&lt;4,IF($C325=3,T326,IF($C325=2,T$1,"")),Q325&amp;R325&amp;IF(LEN(S325)=0,"",Preferences!$C$2&amp;S325)&amp;IF(J326=J325,IF(LEN(R325&amp;S325)=0,"","
")&amp;T326,""))</f>
        <v xml:space="preserve"> 1. When prompted to login, a customer may choose a forgot login name function, to recover their login details.
	• The customer captures their cellphone number and identity number.
	• The cellphone number and identity number is used to identify the customer, to prompt for the answer to their secret question.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U325" s="122" t="str">
        <v/>
      </c>
      <c r="V325" s="42"/>
      <c r="W325" s="42"/>
      <c r="X325" s="42"/>
      <c r="Y325" s="42"/>
      <c r="Z325" s="42"/>
      <c r="AA325" s="42"/>
      <c r="AB325" s="42"/>
    </row>
    <row r="326" spans="1:28" x14ac:dyDescent="0.25">
      <c r="A326" s="42" t="str">
        <v>1.9.6.1.1</v>
      </c>
      <c r="B326" s="121" t="str">
        <v>The customer captures their cellphone number and identity number.</v>
      </c>
      <c r="C326" s="41">
        <v>5</v>
      </c>
      <c r="D326" s="41" t="str">
        <v>RL</v>
      </c>
      <c r="E326" s="117" t="str">
        <f t="shared" si="0"/>
        <v>RL</v>
      </c>
      <c r="F326" s="41" t="str">
        <v/>
      </c>
      <c r="G326" s="41" t="str">
        <v/>
      </c>
      <c r="H326" s="117">
        <f t="shared" si="1"/>
        <v>0</v>
      </c>
      <c r="I326" s="117">
        <f t="shared" si="2"/>
        <v>9</v>
      </c>
      <c r="J326" s="117">
        <f t="shared" si="3"/>
        <v>9.0599999999999987</v>
      </c>
      <c r="K326" s="117" t="str">
        <f t="shared" si="4"/>
        <v>BR</v>
      </c>
      <c r="L326" s="42" t="str">
        <v>BR0906</v>
      </c>
      <c r="M326" s="121" t="str">
        <v/>
      </c>
      <c r="N326" s="121" t="str">
        <v/>
      </c>
      <c r="O326" s="121" t="str">
        <v/>
      </c>
      <c r="P326" s="121" t="str">
        <v/>
      </c>
      <c r="Q326" s="121" t="str">
        <v/>
      </c>
      <c r="R326" s="121" t="str">
        <v/>
      </c>
      <c r="S326" s="121" t="str">
        <v>The customer captures their cellphone number and identity number.</v>
      </c>
      <c r="T326" s="119" t="str">
        <f>IF($C326&lt;4,IF($C326=3,T327,IF($C326=2,T$1,"")),Q326&amp;R326&amp;IF(LEN(S326)=0,"",Preferences!$C$2&amp;S326)&amp;IF(J327=J326,IF(LEN(R326&amp;S326)=0,"","
")&amp;T327,""))</f>
        <v xml:space="preserve">	• The customer captures their cellphone number and identity number.
	• The cellphone number and identity number is used to identify the customer, to prompt for the answer to their secret question.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U326" s="122" t="str">
        <v/>
      </c>
      <c r="V326" s="42"/>
      <c r="W326" s="42"/>
      <c r="X326" s="42"/>
      <c r="Y326" s="42"/>
      <c r="Z326" s="42"/>
      <c r="AA326" s="42"/>
      <c r="AB326" s="42"/>
    </row>
    <row r="327" spans="1:28" x14ac:dyDescent="0.25">
      <c r="A327" s="42" t="str">
        <v>1.9.6.1.2</v>
      </c>
      <c r="B327" s="121" t="str">
        <v>The cellphone number and identity number is used to identify the customer, to prompt for the answer to their secret question.</v>
      </c>
      <c r="C327" s="41">
        <v>5</v>
      </c>
      <c r="D327" s="41" t="str">
        <v>RL</v>
      </c>
      <c r="E327" s="117" t="str">
        <f t="shared" si="0"/>
        <v>RL</v>
      </c>
      <c r="F327" s="41" t="str">
        <v/>
      </c>
      <c r="G327" s="41" t="str">
        <v/>
      </c>
      <c r="H327" s="117">
        <f t="shared" si="1"/>
        <v>0</v>
      </c>
      <c r="I327" s="117">
        <f t="shared" si="2"/>
        <v>9</v>
      </c>
      <c r="J327" s="117">
        <f t="shared" si="3"/>
        <v>9.0599999999999987</v>
      </c>
      <c r="K327" s="117" t="str">
        <f t="shared" si="4"/>
        <v>BR</v>
      </c>
      <c r="L327" s="42" t="str">
        <v>BR0906</v>
      </c>
      <c r="M327" s="121" t="str">
        <v/>
      </c>
      <c r="N327" s="121" t="str">
        <v/>
      </c>
      <c r="O327" s="121" t="str">
        <v/>
      </c>
      <c r="P327" s="121" t="str">
        <v/>
      </c>
      <c r="Q327" s="121" t="str">
        <v/>
      </c>
      <c r="R327" s="121" t="str">
        <v/>
      </c>
      <c r="S327" s="121" t="str">
        <v>The cellphone number and identity number is used to identify the customer, to prompt for the answer to their secret question.</v>
      </c>
      <c r="T327" s="119" t="str">
        <f>IF($C327&lt;4,IF($C327=3,T328,IF($C327=2,T$1,"")),Q327&amp;R327&amp;IF(LEN(S327)=0,"",Preferences!$C$2&amp;S327)&amp;IF(J328=J327,IF(LEN(R327&amp;S327)=0,"","
")&amp;T328,""))</f>
        <v xml:space="preserve">	• The cellphone number and identity number is used to identify the customer, to prompt for the answer to their secret question.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U327" s="122" t="str">
        <v/>
      </c>
      <c r="V327" s="42"/>
      <c r="W327" s="42"/>
      <c r="X327" s="42"/>
      <c r="Y327" s="42"/>
      <c r="Z327" s="42"/>
      <c r="AA327" s="42"/>
      <c r="AB327" s="42"/>
    </row>
    <row r="328" spans="1:28" x14ac:dyDescent="0.25">
      <c r="A328" s="42" t="str">
        <v>1.9.6.1.3</v>
      </c>
      <c r="B328" s="121" t="str">
        <v>Once the correct customer is identified and their secret question answered, the user is informed about an SMS sent to their cellphone, containing their login username.</v>
      </c>
      <c r="C328" s="41">
        <v>5</v>
      </c>
      <c r="D328" s="41" t="str">
        <v>RL</v>
      </c>
      <c r="E328" s="117" t="str">
        <f t="shared" si="0"/>
        <v>RL</v>
      </c>
      <c r="F328" s="41" t="str">
        <v/>
      </c>
      <c r="G328" s="41" t="str">
        <v/>
      </c>
      <c r="H328" s="117">
        <f t="shared" si="1"/>
        <v>0</v>
      </c>
      <c r="I328" s="117">
        <f t="shared" si="2"/>
        <v>9</v>
      </c>
      <c r="J328" s="117">
        <f t="shared" si="3"/>
        <v>9.0599999999999987</v>
      </c>
      <c r="K328" s="117" t="str">
        <f t="shared" si="4"/>
        <v>BR</v>
      </c>
      <c r="L328" s="42" t="str">
        <v>BR0906</v>
      </c>
      <c r="M328" s="121" t="str">
        <v/>
      </c>
      <c r="N328" s="121" t="str">
        <v/>
      </c>
      <c r="O328" s="121" t="str">
        <v/>
      </c>
      <c r="P328" s="121" t="str">
        <v/>
      </c>
      <c r="Q328" s="121" t="str">
        <v/>
      </c>
      <c r="R328" s="121" t="str">
        <v/>
      </c>
      <c r="S328" s="121" t="str">
        <v>Once the correct customer is identified and their secret question answered, the user is informed about an SMS sent to their cellphone, containing their login username.</v>
      </c>
      <c r="T328" s="119" t="str">
        <f>IF($C328&lt;4,IF($C328=3,T329,IF($C328=2,T$1,"")),Q328&amp;R328&amp;IF(LEN(S328)=0,"",Preferences!$C$2&amp;S328)&amp;IF(J329=J328,IF(LEN(R328&amp;S328)=0,"","
")&amp;T329,""))</f>
        <v xml:space="preserve">	• Once the correct customer is identified and their secret question answered, the user is informed about an SMS sent to their cellphone, containing their login username.
 2. Business Rule: A back-office user may not change their login username. It must be requested via the approved business/IT channels.</v>
      </c>
      <c r="U328" s="122" t="str">
        <v/>
      </c>
      <c r="V328" s="42"/>
      <c r="W328" s="42"/>
      <c r="X328" s="42"/>
      <c r="Y328" s="42"/>
      <c r="Z328" s="42"/>
      <c r="AA328" s="42"/>
      <c r="AB328" s="42"/>
    </row>
    <row r="329" spans="1:28" x14ac:dyDescent="0.25">
      <c r="A329" s="42" t="str">
        <v>1.9.6.2</v>
      </c>
      <c r="B329" s="121" t="str">
        <v>Business Rule: A back-office user may not change their login username. It must be requested via the approved business/IT channels.</v>
      </c>
      <c r="C329" s="41">
        <v>4</v>
      </c>
      <c r="D329" s="41" t="str">
        <v>RD</v>
      </c>
      <c r="E329" s="117" t="str">
        <f t="shared" si="0"/>
        <v>RD</v>
      </c>
      <c r="F329" s="41" t="str">
        <v/>
      </c>
      <c r="G329" s="41" t="str">
        <v/>
      </c>
      <c r="H329" s="117">
        <f t="shared" si="1"/>
        <v>0</v>
      </c>
      <c r="I329" s="117">
        <f t="shared" si="2"/>
        <v>9</v>
      </c>
      <c r="J329" s="117">
        <f t="shared" si="3"/>
        <v>9.0599999999999987</v>
      </c>
      <c r="K329" s="117" t="str">
        <f t="shared" si="4"/>
        <v>BR</v>
      </c>
      <c r="L329" s="42" t="str">
        <v>BR0906</v>
      </c>
      <c r="M329" s="121" t="str">
        <v/>
      </c>
      <c r="N329" s="121" t="str">
        <v/>
      </c>
      <c r="O329" s="121" t="str">
        <v/>
      </c>
      <c r="P329" s="121" t="str">
        <v/>
      </c>
      <c r="Q329" s="121" t="str">
        <v xml:space="preserve"> 2. </v>
      </c>
      <c r="R329" s="121" t="str">
        <v>Business Rule: A back-office user may not change their login username. It must be requested via the approved business/IT channels.</v>
      </c>
      <c r="S329" s="121" t="str">
        <v/>
      </c>
      <c r="T329" s="119" t="str">
        <f>IF($C329&lt;4,IF($C329=3,T330,IF($C329=2,T$1,"")),Q329&amp;R329&amp;IF(LEN(S329)=0,"",Preferences!$C$2&amp;S329)&amp;IF(J330=J329,IF(LEN(R329&amp;S329)=0,"","
")&amp;T330,""))</f>
        <v xml:space="preserve"> 2. Business Rule: A back-office user may not change their login username. It must be requested via the approved business/IT channels.</v>
      </c>
      <c r="U329" s="122" t="str">
        <v/>
      </c>
      <c r="V329" s="42"/>
      <c r="W329" s="42"/>
      <c r="X329" s="42"/>
      <c r="Y329" s="42"/>
      <c r="Z329" s="42"/>
      <c r="AA329" s="42"/>
      <c r="AB329" s="42"/>
    </row>
    <row r="330" spans="1:28" x14ac:dyDescent="0.25">
      <c r="A330" s="42" t="str">
        <v>1.9.7</v>
      </c>
      <c r="B330" s="121" t="str">
        <v>9.7 Administer locked users</v>
      </c>
      <c r="C330" s="41">
        <v>3</v>
      </c>
      <c r="D330" s="41" t="str">
        <v>R</v>
      </c>
      <c r="E330" s="117" t="str">
        <f t="shared" si="0"/>
        <v>R</v>
      </c>
      <c r="F330" s="41" t="str">
        <v/>
      </c>
      <c r="G330" s="41" t="str">
        <v/>
      </c>
      <c r="H330" s="117">
        <f t="shared" si="1"/>
        <v>0</v>
      </c>
      <c r="I330" s="117">
        <f t="shared" si="2"/>
        <v>9</v>
      </c>
      <c r="J330" s="117">
        <f t="shared" si="3"/>
        <v>9.0699999999999985</v>
      </c>
      <c r="K330" s="117" t="str">
        <f t="shared" si="4"/>
        <v>BR</v>
      </c>
      <c r="L330" s="42" t="str">
        <v>BR0907</v>
      </c>
      <c r="M330" s="121" t="str">
        <v/>
      </c>
      <c r="N330" s="121" t="str">
        <v/>
      </c>
      <c r="O330" s="121" t="str">
        <v>BR0907</v>
      </c>
      <c r="P330" s="121" t="str">
        <v>Administer locked users</v>
      </c>
      <c r="Q330" s="121" t="str">
        <v/>
      </c>
      <c r="R330" s="121" t="str">
        <v/>
      </c>
      <c r="S330" s="121" t="str">
        <v/>
      </c>
      <c r="T330" s="119" t="str">
        <f>IF($C330&lt;4,IF($C330=3,T331,IF($C330=2,T$1,"")),Q330&amp;R330&amp;IF(LEN(S330)=0,"",Preferences!$C$2&amp;S330)&amp;IF(J331=J330,IF(LEN(R330&amp;S330)=0,"","
")&amp;T331,""))</f>
        <v xml:space="preserve"> 1. Review the list of locked user accounts on a weekly basis.
 2. On activating a locked user, a password reset email is triggered for that user.</v>
      </c>
      <c r="U330" s="122" t="str">
        <v/>
      </c>
      <c r="V330" s="42"/>
      <c r="W330" s="42"/>
      <c r="X330" s="42"/>
      <c r="Y330" s="42"/>
      <c r="Z330" s="42"/>
      <c r="AA330" s="42"/>
      <c r="AB330" s="42"/>
    </row>
    <row r="331" spans="1:28" x14ac:dyDescent="0.25">
      <c r="A331" s="42" t="str">
        <v>1.9.7.1</v>
      </c>
      <c r="B331" s="121" t="str">
        <v>Review the list of locked user accounts on a weekly basis.</v>
      </c>
      <c r="C331" s="41">
        <v>4</v>
      </c>
      <c r="D331" s="41" t="str">
        <v>RD</v>
      </c>
      <c r="E331" s="117" t="str">
        <f t="shared" si="0"/>
        <v>RD</v>
      </c>
      <c r="F331" s="41" t="str">
        <v/>
      </c>
      <c r="G331" s="41" t="str">
        <v/>
      </c>
      <c r="H331" s="117">
        <f t="shared" si="1"/>
        <v>0</v>
      </c>
      <c r="I331" s="117">
        <f t="shared" si="2"/>
        <v>9</v>
      </c>
      <c r="J331" s="117">
        <f t="shared" si="3"/>
        <v>9.0699999999999985</v>
      </c>
      <c r="K331" s="117" t="str">
        <f t="shared" si="4"/>
        <v>BR</v>
      </c>
      <c r="L331" s="42" t="str">
        <v>BR0907</v>
      </c>
      <c r="M331" s="121" t="str">
        <v/>
      </c>
      <c r="N331" s="121" t="str">
        <v/>
      </c>
      <c r="O331" s="121" t="str">
        <v/>
      </c>
      <c r="P331" s="121" t="str">
        <v/>
      </c>
      <c r="Q331" s="121" t="str">
        <v xml:space="preserve"> 1. </v>
      </c>
      <c r="R331" s="121" t="str">
        <v>Review the list of locked user accounts on a weekly basis.</v>
      </c>
      <c r="S331" s="121" t="str">
        <v/>
      </c>
      <c r="T331" s="119" t="str">
        <f>IF($C331&lt;4,IF($C331=3,T332,IF($C331=2,T$1,"")),Q331&amp;R331&amp;IF(LEN(S331)=0,"",Preferences!$C$2&amp;S331)&amp;IF(J332=J331,IF(LEN(R331&amp;S331)=0,"","
")&amp;T332,""))</f>
        <v xml:space="preserve"> 1. Review the list of locked user accounts on a weekly basis.
 2. On activating a locked user, a password reset email is triggered for that user.</v>
      </c>
      <c r="U331" s="122" t="str">
        <v/>
      </c>
      <c r="V331" s="42"/>
      <c r="W331" s="42"/>
      <c r="X331" s="42"/>
      <c r="Y331" s="42"/>
      <c r="Z331" s="42"/>
      <c r="AA331" s="42"/>
      <c r="AB331" s="42"/>
    </row>
    <row r="332" spans="1:28" x14ac:dyDescent="0.25">
      <c r="A332" s="42" t="str">
        <v>1.9.7.2</v>
      </c>
      <c r="B332" s="121" t="str">
        <v>On activating a locked user, a password reset email is triggered for that user.</v>
      </c>
      <c r="C332" s="41">
        <v>4</v>
      </c>
      <c r="D332" s="41" t="str">
        <v>RD</v>
      </c>
      <c r="E332" s="117" t="str">
        <f t="shared" si="0"/>
        <v>RD</v>
      </c>
      <c r="F332" s="41" t="str">
        <v/>
      </c>
      <c r="G332" s="41" t="str">
        <v/>
      </c>
      <c r="H332" s="117">
        <f t="shared" si="1"/>
        <v>0</v>
      </c>
      <c r="I332" s="117">
        <f t="shared" si="2"/>
        <v>9</v>
      </c>
      <c r="J332" s="117">
        <f t="shared" si="3"/>
        <v>9.0699999999999985</v>
      </c>
      <c r="K332" s="117" t="str">
        <f t="shared" si="4"/>
        <v>BR</v>
      </c>
      <c r="L332" s="42" t="str">
        <v>BR0907</v>
      </c>
      <c r="M332" s="121" t="str">
        <v/>
      </c>
      <c r="N332" s="121" t="str">
        <v/>
      </c>
      <c r="O332" s="121" t="str">
        <v/>
      </c>
      <c r="P332" s="121" t="str">
        <v/>
      </c>
      <c r="Q332" s="121" t="str">
        <v xml:space="preserve"> 2. </v>
      </c>
      <c r="R332" s="121" t="str">
        <v>On activating a locked user, a password reset email is triggered for that user.</v>
      </c>
      <c r="S332" s="121" t="str">
        <v/>
      </c>
      <c r="T332" s="119" t="str">
        <f>IF($C332&lt;4,IF($C332=3,T333,IF($C332=2,T$1,"")),Q332&amp;R332&amp;IF(LEN(S332)=0,"",Preferences!$C$2&amp;S332)&amp;IF(J333=J332,IF(LEN(R332&amp;S332)=0,"","
")&amp;T333,""))</f>
        <v xml:space="preserve"> 2. On activating a locked user, a password reset email is triggered for that user.</v>
      </c>
      <c r="U332" s="122" t="str">
        <v/>
      </c>
      <c r="V332" s="42"/>
      <c r="W332" s="42"/>
      <c r="X332" s="42"/>
      <c r="Y332" s="42"/>
      <c r="Z332" s="42"/>
      <c r="AA332" s="42"/>
      <c r="AB332" s="42"/>
    </row>
    <row r="333" spans="1:28" x14ac:dyDescent="0.25">
      <c r="A333" s="42" t="str">
        <v>1.9.8</v>
      </c>
      <c r="B333" s="121" t="str">
        <v>9.8 Administer abandoned users</v>
      </c>
      <c r="C333" s="41">
        <v>3</v>
      </c>
      <c r="D333" s="41" t="str">
        <v>R</v>
      </c>
      <c r="E333" s="117" t="str">
        <f t="shared" si="0"/>
        <v>R</v>
      </c>
      <c r="F333" s="41" t="str">
        <v/>
      </c>
      <c r="G333" s="41" t="str">
        <v/>
      </c>
      <c r="H333" s="117">
        <f t="shared" si="1"/>
        <v>0</v>
      </c>
      <c r="I333" s="117">
        <f t="shared" si="2"/>
        <v>9</v>
      </c>
      <c r="J333" s="117">
        <f t="shared" si="3"/>
        <v>9.0799999999999983</v>
      </c>
      <c r="K333" s="117" t="str">
        <f t="shared" si="4"/>
        <v>BR</v>
      </c>
      <c r="L333" s="42" t="str">
        <v>BR0908</v>
      </c>
      <c r="M333" s="121" t="str">
        <v/>
      </c>
      <c r="N333" s="121" t="str">
        <v/>
      </c>
      <c r="O333" s="121" t="str">
        <v>BR0908</v>
      </c>
      <c r="P333" s="121" t="str">
        <v>Administer abandoned users</v>
      </c>
      <c r="Q333" s="121" t="str">
        <v/>
      </c>
      <c r="R333" s="121" t="str">
        <v/>
      </c>
      <c r="S333" s="121" t="str">
        <v/>
      </c>
      <c r="T333" s="119" t="str">
        <f>IF($C333&lt;4,IF($C333=3,T334,IF($C333=2,T$1,"")),Q333&amp;R333&amp;IF(LEN(S333)=0,"",Preferences!$C$2&amp;S333)&amp;IF(J334=J333,IF(LEN(R333&amp;S333)=0,"","
")&amp;T334,""))</f>
        <v xml:space="preserve"> 1. Automatically mark users as abandoned after a parameter-driven number of days, differentiated between internal users and customers.
 2. Automatically flag a user as no longer abandoned when they login to their online account.
 3. Review the list of abandoned user accounts on a weekly basis.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3" s="122" t="str">
        <v/>
      </c>
      <c r="V333" s="42"/>
      <c r="W333" s="42"/>
      <c r="X333" s="42"/>
      <c r="Y333" s="42"/>
      <c r="Z333" s="42"/>
      <c r="AA333" s="42"/>
      <c r="AB333" s="42"/>
    </row>
    <row r="334" spans="1:28" x14ac:dyDescent="0.25">
      <c r="A334" s="42" t="str">
        <v>1.9.8.1</v>
      </c>
      <c r="B334" s="121" t="str">
        <v>Automatically mark users as abandoned after a parameter-driven number of days, differentiated between internal users and customers.</v>
      </c>
      <c r="C334" s="41">
        <v>4</v>
      </c>
      <c r="D334" s="41" t="str">
        <v>RD</v>
      </c>
      <c r="E334" s="117" t="str">
        <f t="shared" si="0"/>
        <v>RD</v>
      </c>
      <c r="F334" s="41" t="str">
        <v/>
      </c>
      <c r="G334" s="41" t="str">
        <v/>
      </c>
      <c r="H334" s="117">
        <f t="shared" si="1"/>
        <v>0</v>
      </c>
      <c r="I334" s="117">
        <f t="shared" si="2"/>
        <v>9</v>
      </c>
      <c r="J334" s="117">
        <f t="shared" si="3"/>
        <v>9.0799999999999983</v>
      </c>
      <c r="K334" s="117" t="str">
        <f t="shared" si="4"/>
        <v>BR</v>
      </c>
      <c r="L334" s="42" t="str">
        <v>BR0908</v>
      </c>
      <c r="M334" s="121" t="str">
        <v/>
      </c>
      <c r="N334" s="121" t="str">
        <v/>
      </c>
      <c r="O334" s="121" t="str">
        <v/>
      </c>
      <c r="P334" s="121" t="str">
        <v/>
      </c>
      <c r="Q334" s="121" t="str">
        <v xml:space="preserve"> 1. </v>
      </c>
      <c r="R334" s="121" t="str">
        <v>Automatically mark users as abandoned after a parameter-driven number of days, differentiated between internal users and customers.</v>
      </c>
      <c r="S334" s="121" t="str">
        <v/>
      </c>
      <c r="T334" s="119" t="str">
        <f>IF($C334&lt;4,IF($C334=3,T335,IF($C334=2,T$1,"")),Q334&amp;R334&amp;IF(LEN(S334)=0,"",Preferences!$C$2&amp;S334)&amp;IF(J335=J334,IF(LEN(R334&amp;S334)=0,"","
")&amp;T335,""))</f>
        <v xml:space="preserve"> 1. Automatically mark users as abandoned after a parameter-driven number of days, differentiated between internal users and customers.
 2. Automatically flag a user as no longer abandoned when they login to their online account.
 3. Review the list of abandoned user accounts on a weekly basis.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4" s="122" t="str">
        <v/>
      </c>
      <c r="V334" s="42"/>
      <c r="W334" s="42"/>
      <c r="X334" s="42"/>
      <c r="Y334" s="42"/>
      <c r="Z334" s="42"/>
      <c r="AA334" s="42"/>
      <c r="AB334" s="42"/>
    </row>
    <row r="335" spans="1:28" x14ac:dyDescent="0.25">
      <c r="A335" s="42" t="str">
        <v>1.9.8.2</v>
      </c>
      <c r="B335" s="121" t="str">
        <v>Automatically flag a user as no longer abandoned when they login to their online account.</v>
      </c>
      <c r="C335" s="41">
        <v>4</v>
      </c>
      <c r="D335" s="41" t="str">
        <v>RD</v>
      </c>
      <c r="E335" s="117" t="str">
        <f t="shared" si="0"/>
        <v>RD</v>
      </c>
      <c r="F335" s="41" t="str">
        <v/>
      </c>
      <c r="G335" s="41" t="str">
        <v/>
      </c>
      <c r="H335" s="117">
        <f t="shared" si="1"/>
        <v>0</v>
      </c>
      <c r="I335" s="117">
        <f t="shared" si="2"/>
        <v>9</v>
      </c>
      <c r="J335" s="117">
        <f t="shared" si="3"/>
        <v>9.0799999999999983</v>
      </c>
      <c r="K335" s="117" t="str">
        <f t="shared" si="4"/>
        <v>BR</v>
      </c>
      <c r="L335" s="42" t="str">
        <v>BR0908</v>
      </c>
      <c r="M335" s="121" t="str">
        <v/>
      </c>
      <c r="N335" s="121" t="str">
        <v/>
      </c>
      <c r="O335" s="121" t="str">
        <v/>
      </c>
      <c r="P335" s="121" t="str">
        <v/>
      </c>
      <c r="Q335" s="121" t="str">
        <v xml:space="preserve"> 2. </v>
      </c>
      <c r="R335" s="121" t="str">
        <v>Automatically flag a user as no longer abandoned when they login to their online account.</v>
      </c>
      <c r="S335" s="121" t="str">
        <v/>
      </c>
      <c r="T335" s="119" t="str">
        <f>IF($C335&lt;4,IF($C335=3,T336,IF($C335=2,T$1,"")),Q335&amp;R335&amp;IF(LEN(S335)=0,"",Preferences!$C$2&amp;S335)&amp;IF(J336=J335,IF(LEN(R335&amp;S335)=0,"","
")&amp;T336,""))</f>
        <v xml:space="preserve"> 2. Automatically flag a user as no longer abandoned when they login to their online account.
 3. Review the list of abandoned user accounts on a weekly basis.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5" s="122" t="str">
        <v/>
      </c>
      <c r="V335" s="42"/>
      <c r="W335" s="42"/>
      <c r="X335" s="42"/>
      <c r="Y335" s="42"/>
      <c r="Z335" s="42"/>
      <c r="AA335" s="42"/>
      <c r="AB335" s="42"/>
    </row>
    <row r="336" spans="1:28" x14ac:dyDescent="0.25">
      <c r="A336" s="42" t="str">
        <v>1.9.8.3</v>
      </c>
      <c r="B336" s="121" t="str">
        <v>Review the list of abandoned user accounts on a weekly basis.</v>
      </c>
      <c r="C336" s="41">
        <v>4</v>
      </c>
      <c r="D336" s="41" t="str">
        <v>RD</v>
      </c>
      <c r="E336" s="117" t="str">
        <f t="shared" si="0"/>
        <v>RD</v>
      </c>
      <c r="F336" s="41" t="str">
        <v/>
      </c>
      <c r="G336" s="41" t="str">
        <v/>
      </c>
      <c r="H336" s="117">
        <f t="shared" si="1"/>
        <v>0</v>
      </c>
      <c r="I336" s="117">
        <f t="shared" si="2"/>
        <v>9</v>
      </c>
      <c r="J336" s="117">
        <f t="shared" si="3"/>
        <v>9.0799999999999983</v>
      </c>
      <c r="K336" s="117" t="str">
        <f t="shared" si="4"/>
        <v>BR</v>
      </c>
      <c r="L336" s="42" t="str">
        <v>BR0908</v>
      </c>
      <c r="M336" s="121" t="str">
        <v/>
      </c>
      <c r="N336" s="121" t="str">
        <v/>
      </c>
      <c r="O336" s="121" t="str">
        <v/>
      </c>
      <c r="P336" s="121" t="str">
        <v/>
      </c>
      <c r="Q336" s="121" t="str">
        <v xml:space="preserve"> 3. </v>
      </c>
      <c r="R336" s="121" t="str">
        <v>Review the list of abandoned user accounts on a weekly basis.</v>
      </c>
      <c r="S336" s="121" t="str">
        <v/>
      </c>
      <c r="T336" s="119" t="str">
        <f>IF($C336&lt;4,IF($C336=3,T337,IF($C336=2,T$1,"")),Q336&amp;R336&amp;IF(LEN(S336)=0,"",Preferences!$C$2&amp;S336)&amp;IF(J337=J336,IF(LEN(R336&amp;S336)=0,"","
")&amp;T337,""))</f>
        <v xml:space="preserve"> 3. Review the list of abandoned user accounts on a weekly basis.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6" s="122" t="str">
        <v/>
      </c>
      <c r="V336" s="42"/>
      <c r="W336" s="42"/>
      <c r="X336" s="42"/>
      <c r="Y336" s="42"/>
      <c r="Z336" s="42"/>
      <c r="AA336" s="42"/>
      <c r="AB336" s="42"/>
    </row>
    <row r="337" spans="1:28" x14ac:dyDescent="0.25">
      <c r="A337" s="42" t="str">
        <v>1.9.8.4</v>
      </c>
      <c r="B337" s="121" t="str">
        <v>Automatically remind customers with no activity (a parameter-driven number of times) about the benefits of using B2C Co, and that they are missed.</v>
      </c>
      <c r="C337" s="41">
        <v>4</v>
      </c>
      <c r="D337" s="41" t="str">
        <v>RD</v>
      </c>
      <c r="E337" s="117" t="str">
        <f t="shared" si="0"/>
        <v>RD</v>
      </c>
      <c r="F337" s="41" t="str">
        <v/>
      </c>
      <c r="G337" s="41" t="str">
        <v/>
      </c>
      <c r="H337" s="117">
        <f t="shared" si="1"/>
        <v>0</v>
      </c>
      <c r="I337" s="117">
        <f t="shared" si="2"/>
        <v>9</v>
      </c>
      <c r="J337" s="117">
        <f t="shared" si="3"/>
        <v>9.0799999999999983</v>
      </c>
      <c r="K337" s="117" t="str">
        <f t="shared" si="4"/>
        <v>BR</v>
      </c>
      <c r="L337" s="42" t="str">
        <v>BR0908</v>
      </c>
      <c r="M337" s="121" t="str">
        <v/>
      </c>
      <c r="N337" s="121" t="str">
        <v/>
      </c>
      <c r="O337" s="121" t="str">
        <v/>
      </c>
      <c r="P337" s="121" t="str">
        <v/>
      </c>
      <c r="Q337" s="121" t="str">
        <v xml:space="preserve"> 4. </v>
      </c>
      <c r="R337" s="121" t="str">
        <v>Automatically remind customers with no activity (a parameter-driven number of times) about the benefits of using B2C Co, and that they are missed.</v>
      </c>
      <c r="S337" s="121" t="str">
        <v/>
      </c>
      <c r="T337" s="119" t="str">
        <f>IF($C337&lt;4,IF($C337=3,T338,IF($C337=2,T$1,"")),Q337&amp;R337&amp;IF(LEN(S337)=0,"",Preferences!$C$2&amp;S337)&amp;IF(J338=J337,IF(LEN(R337&amp;S337)=0,"","
")&amp;T338,""))</f>
        <v xml:space="preserve"> 4. Automatically remind customers with no activity (a parameter-driven number of times) about the benefits of using B2C Co, and that they are missed.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7" s="122" t="str">
        <v/>
      </c>
      <c r="V337" s="42"/>
      <c r="W337" s="42"/>
      <c r="X337" s="42"/>
      <c r="Y337" s="42"/>
      <c r="Z337" s="42"/>
      <c r="AA337" s="42"/>
      <c r="AB337" s="42"/>
    </row>
    <row r="338" spans="1:28" x14ac:dyDescent="0.25">
      <c r="A338" s="42" t="str">
        <v>1.9.8.5</v>
      </c>
      <c r="B338" s="121" t="str">
        <v>Automatically remind internal users with no activity (number of times) about their new user account.</v>
      </c>
      <c r="C338" s="41">
        <v>4</v>
      </c>
      <c r="D338" s="41" t="str">
        <v>RD</v>
      </c>
      <c r="E338" s="117" t="str">
        <f t="shared" si="0"/>
        <v>RD</v>
      </c>
      <c r="F338" s="41" t="str">
        <v/>
      </c>
      <c r="G338" s="41" t="str">
        <v/>
      </c>
      <c r="H338" s="117">
        <f t="shared" si="1"/>
        <v>0</v>
      </c>
      <c r="I338" s="117">
        <f t="shared" si="2"/>
        <v>9</v>
      </c>
      <c r="J338" s="117">
        <f t="shared" si="3"/>
        <v>9.0799999999999983</v>
      </c>
      <c r="K338" s="117" t="str">
        <f t="shared" si="4"/>
        <v>BR</v>
      </c>
      <c r="L338" s="42" t="str">
        <v>BR0908</v>
      </c>
      <c r="M338" s="121" t="str">
        <v/>
      </c>
      <c r="N338" s="121" t="str">
        <v/>
      </c>
      <c r="O338" s="121" t="str">
        <v/>
      </c>
      <c r="P338" s="121" t="str">
        <v/>
      </c>
      <c r="Q338" s="121" t="str">
        <v xml:space="preserve"> 5. </v>
      </c>
      <c r="R338" s="121" t="str">
        <v>Automatically remind internal users with no activity (number of times) about their new user account.</v>
      </c>
      <c r="S338" s="121" t="str">
        <v/>
      </c>
      <c r="T338" s="119" t="str">
        <f>IF($C338&lt;4,IF($C338=3,T339,IF($C338=2,T$1,"")),Q338&amp;R338&amp;IF(LEN(S338)=0,"",Preferences!$C$2&amp;S338)&amp;IF(J339=J338,IF(LEN(R338&amp;S338)=0,"","
")&amp;T339,""))</f>
        <v xml:space="preserve"> 5. Automatically remind internal users with no activity (number of times) about their new user account.
 6. Manually mark identified abandoned internal user accounts for archiving.
 7. Automatically mark identified abandoned customer user accounts for archiving after a parameter-driven number of days (few months).</v>
      </c>
      <c r="U338" s="122" t="str">
        <v/>
      </c>
      <c r="V338" s="42"/>
      <c r="W338" s="42"/>
      <c r="X338" s="42"/>
      <c r="Y338" s="42"/>
      <c r="Z338" s="42"/>
      <c r="AA338" s="42"/>
      <c r="AB338" s="42"/>
    </row>
    <row r="339" spans="1:28" x14ac:dyDescent="0.25">
      <c r="A339" s="42" t="str">
        <v>1.9.8.6</v>
      </c>
      <c r="B339" s="121" t="str">
        <v>Manually mark identified abandoned internal user accounts for archiving.</v>
      </c>
      <c r="C339" s="41">
        <v>4</v>
      </c>
      <c r="D339" s="41" t="str">
        <v>RD</v>
      </c>
      <c r="E339" s="117" t="str">
        <f t="shared" si="0"/>
        <v>RD</v>
      </c>
      <c r="F339" s="41" t="str">
        <v/>
      </c>
      <c r="G339" s="41" t="str">
        <v/>
      </c>
      <c r="H339" s="117">
        <f t="shared" si="1"/>
        <v>0</v>
      </c>
      <c r="I339" s="117">
        <f t="shared" si="2"/>
        <v>9</v>
      </c>
      <c r="J339" s="117">
        <f t="shared" si="3"/>
        <v>9.0799999999999983</v>
      </c>
      <c r="K339" s="117" t="str">
        <f t="shared" si="4"/>
        <v>BR</v>
      </c>
      <c r="L339" s="42" t="str">
        <v>BR0908</v>
      </c>
      <c r="M339" s="121" t="str">
        <v/>
      </c>
      <c r="N339" s="121" t="str">
        <v/>
      </c>
      <c r="O339" s="121" t="str">
        <v/>
      </c>
      <c r="P339" s="121" t="str">
        <v/>
      </c>
      <c r="Q339" s="121" t="str">
        <v xml:space="preserve"> 6. </v>
      </c>
      <c r="R339" s="121" t="str">
        <v>Manually mark identified abandoned internal user accounts for archiving.</v>
      </c>
      <c r="S339" s="121" t="str">
        <v/>
      </c>
      <c r="T339" s="119" t="str">
        <f>IF($C339&lt;4,IF($C339=3,T340,IF($C339=2,T$1,"")),Q339&amp;R339&amp;IF(LEN(S339)=0,"",Preferences!$C$2&amp;S339)&amp;IF(J340=J339,IF(LEN(R339&amp;S339)=0,"","
")&amp;T340,""))</f>
        <v xml:space="preserve"> 6. Manually mark identified abandoned internal user accounts for archiving.
 7. Automatically mark identified abandoned customer user accounts for archiving after a parameter-driven number of days (few months).</v>
      </c>
      <c r="U339" s="122" t="str">
        <v/>
      </c>
      <c r="V339" s="42"/>
      <c r="W339" s="42"/>
      <c r="X339" s="42"/>
      <c r="Y339" s="42"/>
      <c r="Z339" s="42"/>
      <c r="AA339" s="42"/>
      <c r="AB339" s="42"/>
    </row>
    <row r="340" spans="1:28" x14ac:dyDescent="0.25">
      <c r="A340" s="42" t="str">
        <v>1.9.8.7</v>
      </c>
      <c r="B340" s="121" t="str">
        <v>Automatically mark identified abandoned customer user accounts for archiving after a parameter-driven number of days (few months).</v>
      </c>
      <c r="C340" s="41">
        <v>4</v>
      </c>
      <c r="D340" s="41" t="str">
        <v>RD</v>
      </c>
      <c r="E340" s="117" t="str">
        <f t="shared" si="0"/>
        <v>RD</v>
      </c>
      <c r="F340" s="41" t="str">
        <v/>
      </c>
      <c r="G340" s="41" t="str">
        <v/>
      </c>
      <c r="H340" s="117">
        <f t="shared" si="1"/>
        <v>0</v>
      </c>
      <c r="I340" s="117">
        <f t="shared" si="2"/>
        <v>9</v>
      </c>
      <c r="J340" s="117">
        <f t="shared" si="3"/>
        <v>9.0799999999999983</v>
      </c>
      <c r="K340" s="117" t="str">
        <f t="shared" si="4"/>
        <v>BR</v>
      </c>
      <c r="L340" s="42" t="str">
        <v>BR0908</v>
      </c>
      <c r="M340" s="121" t="str">
        <v/>
      </c>
      <c r="N340" s="121" t="str">
        <v/>
      </c>
      <c r="O340" s="121" t="str">
        <v/>
      </c>
      <c r="P340" s="121" t="str">
        <v/>
      </c>
      <c r="Q340" s="121" t="str">
        <v xml:space="preserve"> 7. </v>
      </c>
      <c r="R340" s="121" t="str">
        <v>Automatically mark identified abandoned customer user accounts for archiving after a parameter-driven number of days (few months).</v>
      </c>
      <c r="S340" s="121" t="str">
        <v/>
      </c>
      <c r="T340" s="119" t="str">
        <f>IF($C340&lt;4,IF($C340=3,T341,IF($C340=2,T$1,"")),Q340&amp;R340&amp;IF(LEN(S340)=0,"",Preferences!$C$2&amp;S340)&amp;IF(J341=J340,IF(LEN(R340&amp;S340)=0,"","
")&amp;T341,""))</f>
        <v xml:space="preserve"> 7. Automatically mark identified abandoned customer user accounts for archiving after a parameter-driven number of days (few months).</v>
      </c>
      <c r="U340" s="122" t="str">
        <v/>
      </c>
      <c r="V340" s="42"/>
      <c r="W340" s="42"/>
      <c r="X340" s="42"/>
      <c r="Y340" s="42"/>
      <c r="Z340" s="42"/>
      <c r="AA340" s="42"/>
      <c r="AB340" s="42"/>
    </row>
    <row r="341" spans="1:28" x14ac:dyDescent="0.25">
      <c r="A341" s="42" t="str">
        <v>1.10</v>
      </c>
      <c r="B341" s="121" t="str">
        <v>10 Online Shop Layout</v>
      </c>
      <c r="C341" s="41">
        <v>2</v>
      </c>
      <c r="D341" s="41" t="str">
        <v>RS</v>
      </c>
      <c r="E341" s="117" t="str">
        <f t="shared" si="0"/>
        <v>RS</v>
      </c>
      <c r="F341" s="41" t="str">
        <v/>
      </c>
      <c r="G341" s="41" t="str">
        <v/>
      </c>
      <c r="H341" s="117">
        <f t="shared" si="1"/>
        <v>0</v>
      </c>
      <c r="I341" s="117">
        <f t="shared" si="2"/>
        <v>10</v>
      </c>
      <c r="J341" s="117">
        <f t="shared" si="3"/>
        <v>10</v>
      </c>
      <c r="K341" s="117" t="str">
        <f t="shared" si="4"/>
        <v>BR</v>
      </c>
      <c r="L341" s="42">
        <v>10</v>
      </c>
      <c r="M341" s="121" t="str">
        <v/>
      </c>
      <c r="N341" s="121" t="str">
        <v>10 Online Shop Layout</v>
      </c>
      <c r="O341" s="121" t="str">
        <v>ReqID</v>
      </c>
      <c r="P341" s="121" t="e">
        <v>#N/A</v>
      </c>
      <c r="Q341" s="121" t="str">
        <v/>
      </c>
      <c r="R341" s="121" t="str">
        <v/>
      </c>
      <c r="S341" s="121" t="str">
        <v/>
      </c>
      <c r="T341" s="119" t="str">
        <f>IF($C341&lt;4,IF($C341=3,T342,IF($C341=2,T$1,"")),Q341&amp;R341&amp;IF(LEN(S341)=0,"",Preferences!$C$2&amp;S341)&amp;IF(J342=J341,IF(LEN(R341&amp;S341)=0,"","
")&amp;T342,""))</f>
        <v>Description</v>
      </c>
      <c r="U341" s="122" t="str">
        <v/>
      </c>
      <c r="V341" s="42"/>
      <c r="W341" s="42"/>
      <c r="X341" s="42"/>
      <c r="Y341" s="42"/>
      <c r="Z341" s="42"/>
      <c r="AA341" s="42"/>
      <c r="AB341" s="42"/>
    </row>
    <row r="342" spans="1:28" x14ac:dyDescent="0.25">
      <c r="A342" s="42" t="str">
        <v>1.10.1</v>
      </c>
      <c r="B342" s="121" t="str">
        <v>10.1 Present an online shop for anonymous visitors</v>
      </c>
      <c r="C342" s="41">
        <v>3</v>
      </c>
      <c r="D342" s="41" t="str">
        <v>R</v>
      </c>
      <c r="E342" s="117" t="str">
        <f t="shared" si="0"/>
        <v>R</v>
      </c>
      <c r="F342" s="41" t="str">
        <v/>
      </c>
      <c r="G342" s="41" t="str">
        <v/>
      </c>
      <c r="H342" s="117">
        <f t="shared" si="1"/>
        <v>0</v>
      </c>
      <c r="I342" s="117">
        <f t="shared" si="2"/>
        <v>10</v>
      </c>
      <c r="J342" s="117">
        <f t="shared" si="3"/>
        <v>10.01</v>
      </c>
      <c r="K342" s="117" t="str">
        <f t="shared" si="4"/>
        <v>BR</v>
      </c>
      <c r="L342" s="42" t="str">
        <v>BR1001</v>
      </c>
      <c r="M342" s="121" t="str">
        <v/>
      </c>
      <c r="N342" s="121" t="str">
        <v/>
      </c>
      <c r="O342" s="121" t="str">
        <v>BR1001</v>
      </c>
      <c r="P342" s="121" t="str">
        <v>Present an online shop for anonymous visitors</v>
      </c>
      <c r="Q342" s="121" t="str">
        <v/>
      </c>
      <c r="R342" s="121" t="str">
        <v/>
      </c>
      <c r="S342" s="121" t="str">
        <v/>
      </c>
      <c r="T342" s="119" t="str">
        <f>IF($C342&lt;4,IF($C342=3,T343,IF($C342=2,T$1,"")),Q342&amp;R342&amp;IF(LEN(S342)=0,"",Preferences!$C$2&amp;S342)&amp;IF(J343=J342,IF(LEN(R342&amp;S342)=0,"","
")&amp;T343,""))</f>
        <v xml:space="preserve"> 1. The online shop must be presented as follows for an anonymous site visitor:
 2. Online shop sections:
	• Home page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2" s="122" t="str">
        <v/>
      </c>
      <c r="V342" s="42"/>
      <c r="W342" s="42"/>
      <c r="X342" s="42"/>
      <c r="Y342" s="42"/>
      <c r="Z342" s="42"/>
      <c r="AA342" s="42"/>
      <c r="AB342" s="42"/>
    </row>
    <row r="343" spans="1:28" x14ac:dyDescent="0.25">
      <c r="A343" s="42" t="str">
        <v>1.10.1.1</v>
      </c>
      <c r="B343" s="121" t="str">
        <v>The online shop must be presented as follows for an anonymous site visitor:</v>
      </c>
      <c r="C343" s="41">
        <v>4</v>
      </c>
      <c r="D343" s="41" t="str">
        <v>RD</v>
      </c>
      <c r="E343" s="117" t="str">
        <f t="shared" si="0"/>
        <v>RD</v>
      </c>
      <c r="F343" s="41" t="str">
        <v/>
      </c>
      <c r="G343" s="41" t="str">
        <v/>
      </c>
      <c r="H343" s="117">
        <f t="shared" si="1"/>
        <v>0</v>
      </c>
      <c r="I343" s="117">
        <f t="shared" si="2"/>
        <v>10</v>
      </c>
      <c r="J343" s="117">
        <f t="shared" si="3"/>
        <v>10.01</v>
      </c>
      <c r="K343" s="117" t="str">
        <f t="shared" si="4"/>
        <v>BR</v>
      </c>
      <c r="L343" s="42" t="str">
        <v>BR1001</v>
      </c>
      <c r="M343" s="121" t="str">
        <v/>
      </c>
      <c r="N343" s="121" t="str">
        <v/>
      </c>
      <c r="O343" s="121" t="str">
        <v/>
      </c>
      <c r="P343" s="121" t="str">
        <v/>
      </c>
      <c r="Q343" s="121" t="str">
        <v xml:space="preserve"> 1. </v>
      </c>
      <c r="R343" s="121" t="str">
        <v>The online shop must be presented as follows for an anonymous site visitor:</v>
      </c>
      <c r="S343" s="121" t="str">
        <v/>
      </c>
      <c r="T343" s="119" t="str">
        <f>IF($C343&lt;4,IF($C343=3,T344,IF($C343=2,T$1,"")),Q343&amp;R343&amp;IF(LEN(S343)=0,"",Preferences!$C$2&amp;S343)&amp;IF(J344=J343,IF(LEN(R343&amp;S343)=0,"","
")&amp;T344,""))</f>
        <v xml:space="preserve"> 1. The online shop must be presented as follows for an anonymous site visitor:
 2. Online shop sections:
	• Home page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3" s="122" t="str">
        <v/>
      </c>
      <c r="V343" s="42"/>
      <c r="W343" s="42"/>
      <c r="X343" s="42"/>
      <c r="Y343" s="42"/>
      <c r="Z343" s="42"/>
      <c r="AA343" s="42"/>
      <c r="AB343" s="42"/>
    </row>
    <row r="344" spans="1:28" x14ac:dyDescent="0.25">
      <c r="A344" s="42" t="str">
        <v>1.10.1.2</v>
      </c>
      <c r="B344" s="121" t="str">
        <v>Online shop sections:</v>
      </c>
      <c r="C344" s="41">
        <v>4</v>
      </c>
      <c r="D344" s="41" t="str">
        <v>RD</v>
      </c>
      <c r="E344" s="117" t="str">
        <f t="shared" si="0"/>
        <v>RD</v>
      </c>
      <c r="F344" s="41" t="str">
        <v/>
      </c>
      <c r="G344" s="41" t="str">
        <v/>
      </c>
      <c r="H344" s="117">
        <f t="shared" si="1"/>
        <v>0</v>
      </c>
      <c r="I344" s="117">
        <f t="shared" si="2"/>
        <v>10</v>
      </c>
      <c r="J344" s="117">
        <f t="shared" si="3"/>
        <v>10.01</v>
      </c>
      <c r="K344" s="117" t="str">
        <f t="shared" si="4"/>
        <v>BR</v>
      </c>
      <c r="L344" s="42" t="str">
        <v>BR1001</v>
      </c>
      <c r="M344" s="121" t="str">
        <v/>
      </c>
      <c r="N344" s="121" t="str">
        <v/>
      </c>
      <c r="O344" s="121" t="str">
        <v/>
      </c>
      <c r="P344" s="121" t="str">
        <v/>
      </c>
      <c r="Q344" s="121" t="str">
        <v xml:space="preserve"> 2. </v>
      </c>
      <c r="R344" s="121" t="str">
        <v>Online shop sections:</v>
      </c>
      <c r="S344" s="121" t="str">
        <v/>
      </c>
      <c r="T344" s="119" t="str">
        <f>IF($C344&lt;4,IF($C344=3,T345,IF($C344=2,T$1,"")),Q344&amp;R344&amp;IF(LEN(S344)=0,"",Preferences!$C$2&amp;S344)&amp;IF(J345=J344,IF(LEN(R344&amp;S344)=0,"","
")&amp;T345,""))</f>
        <v xml:space="preserve"> 2. Online shop sections:
	• Home page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4" s="122" t="str">
        <v/>
      </c>
      <c r="V344" s="42"/>
      <c r="W344" s="42"/>
      <c r="X344" s="42"/>
      <c r="Y344" s="42"/>
      <c r="Z344" s="42"/>
      <c r="AA344" s="42"/>
      <c r="AB344" s="42"/>
    </row>
    <row r="345" spans="1:28" x14ac:dyDescent="0.25">
      <c r="A345" s="42" t="str">
        <v>1.10.1.2.1</v>
      </c>
      <c r="B345" s="121" t="str">
        <v>Home page</v>
      </c>
      <c r="C345" s="41">
        <v>5</v>
      </c>
      <c r="D345" s="41" t="str">
        <v>RL</v>
      </c>
      <c r="E345" s="117" t="str">
        <f t="shared" si="0"/>
        <v>RL</v>
      </c>
      <c r="F345" s="41" t="str">
        <v/>
      </c>
      <c r="G345" s="41" t="str">
        <v/>
      </c>
      <c r="H345" s="117">
        <f t="shared" si="1"/>
        <v>0</v>
      </c>
      <c r="I345" s="117">
        <f t="shared" si="2"/>
        <v>10</v>
      </c>
      <c r="J345" s="117">
        <f t="shared" si="3"/>
        <v>10.01</v>
      </c>
      <c r="K345" s="117" t="str">
        <f t="shared" si="4"/>
        <v>BR</v>
      </c>
      <c r="L345" s="42" t="str">
        <v>BR1001</v>
      </c>
      <c r="M345" s="121" t="str">
        <v/>
      </c>
      <c r="N345" s="121" t="str">
        <v/>
      </c>
      <c r="O345" s="121" t="str">
        <v/>
      </c>
      <c r="P345" s="121" t="str">
        <v/>
      </c>
      <c r="Q345" s="121" t="str">
        <v/>
      </c>
      <c r="R345" s="121" t="str">
        <v/>
      </c>
      <c r="S345" s="121" t="str">
        <v>Home page</v>
      </c>
      <c r="T345" s="119" t="str">
        <f>IF($C345&lt;4,IF($C345=3,T346,IF($C345=2,T$1,"")),Q345&amp;R345&amp;IF(LEN(S345)=0,"",Preferences!$C$2&amp;S345)&amp;IF(J346=J345,IF(LEN(R345&amp;S345)=0,"","
")&amp;T346,""))</f>
        <v xml:space="preserve">	• Home page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5" s="122" t="str">
        <v/>
      </c>
      <c r="V345" s="42"/>
      <c r="W345" s="42"/>
      <c r="X345" s="42"/>
      <c r="Y345" s="42"/>
      <c r="Z345" s="42"/>
      <c r="AA345" s="42"/>
      <c r="AB345" s="42"/>
    </row>
    <row r="346" spans="1:28" x14ac:dyDescent="0.25">
      <c r="A346" s="42" t="str">
        <v>1.10.1.2.2</v>
      </c>
      <c r="B346" s="121" t="str">
        <v>Online shopfront</v>
      </c>
      <c r="C346" s="41">
        <v>5</v>
      </c>
      <c r="D346" s="41" t="str">
        <v>RL</v>
      </c>
      <c r="E346" s="117" t="str">
        <f t="shared" si="0"/>
        <v>RL</v>
      </c>
      <c r="F346" s="41" t="str">
        <v/>
      </c>
      <c r="G346" s="41" t="str">
        <v/>
      </c>
      <c r="H346" s="117">
        <f t="shared" si="1"/>
        <v>0</v>
      </c>
      <c r="I346" s="117">
        <f t="shared" si="2"/>
        <v>10</v>
      </c>
      <c r="J346" s="117">
        <f t="shared" si="3"/>
        <v>10.01</v>
      </c>
      <c r="K346" s="117" t="str">
        <f t="shared" si="4"/>
        <v>BR</v>
      </c>
      <c r="L346" s="42" t="str">
        <v>BR1001</v>
      </c>
      <c r="M346" s="121" t="str">
        <v/>
      </c>
      <c r="N346" s="121" t="str">
        <v/>
      </c>
      <c r="O346" s="121" t="str">
        <v/>
      </c>
      <c r="P346" s="121" t="str">
        <v/>
      </c>
      <c r="Q346" s="121" t="str">
        <v/>
      </c>
      <c r="R346" s="121" t="str">
        <v/>
      </c>
      <c r="S346" s="121" t="str">
        <v>Online shopfront</v>
      </c>
      <c r="T346" s="119" t="str">
        <f>IF($C346&lt;4,IF($C346=3,T347,IF($C346=2,T$1,"")),Q346&amp;R346&amp;IF(LEN(S346)=0,"",Preferences!$C$2&amp;S346)&amp;IF(J347=J346,IF(LEN(R346&amp;S346)=0,"","
")&amp;T347,""))</f>
        <v xml:space="preserve">	• Online shopfront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6" s="122" t="str">
        <v/>
      </c>
      <c r="V346" s="42"/>
      <c r="W346" s="42"/>
      <c r="X346" s="42"/>
      <c r="Y346" s="42"/>
      <c r="Z346" s="42"/>
      <c r="AA346" s="42"/>
      <c r="AB346" s="42"/>
    </row>
    <row r="347" spans="1:28" x14ac:dyDescent="0.25">
      <c r="A347" s="42" t="str">
        <v>1.10.1.2.3</v>
      </c>
      <c r="B347" s="121" t="str">
        <v>Shopping Cart review</v>
      </c>
      <c r="C347" s="41">
        <v>5</v>
      </c>
      <c r="D347" s="41" t="str">
        <v>RL</v>
      </c>
      <c r="E347" s="117" t="str">
        <f t="shared" si="0"/>
        <v>RL</v>
      </c>
      <c r="F347" s="41" t="str">
        <v/>
      </c>
      <c r="G347" s="41" t="str">
        <v/>
      </c>
      <c r="H347" s="117">
        <f t="shared" si="1"/>
        <v>0</v>
      </c>
      <c r="I347" s="117">
        <f t="shared" si="2"/>
        <v>10</v>
      </c>
      <c r="J347" s="117">
        <f t="shared" si="3"/>
        <v>10.01</v>
      </c>
      <c r="K347" s="117" t="str">
        <f t="shared" si="4"/>
        <v>BR</v>
      </c>
      <c r="L347" s="42" t="str">
        <v>BR1001</v>
      </c>
      <c r="M347" s="121" t="str">
        <v/>
      </c>
      <c r="N347" s="121" t="str">
        <v/>
      </c>
      <c r="O347" s="121" t="str">
        <v/>
      </c>
      <c r="P347" s="121" t="str">
        <v/>
      </c>
      <c r="Q347" s="121" t="str">
        <v/>
      </c>
      <c r="R347" s="121" t="str">
        <v/>
      </c>
      <c r="S347" s="121" t="str">
        <v>Shopping Cart review</v>
      </c>
      <c r="T347" s="119" t="str">
        <f>IF($C347&lt;4,IF($C347=3,T348,IF($C347=2,T$1,"")),Q347&amp;R347&amp;IF(LEN(S347)=0,"",Preferences!$C$2&amp;S347)&amp;IF(J348=J347,IF(LEN(R347&amp;S347)=0,"","
")&amp;T348,""))</f>
        <v xml:space="preserve">	• Shopping Cart review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7" s="122" t="str">
        <v/>
      </c>
      <c r="V347" s="42"/>
      <c r="W347" s="42"/>
      <c r="X347" s="42"/>
      <c r="Y347" s="42"/>
      <c r="Z347" s="42"/>
      <c r="AA347" s="42"/>
      <c r="AB347" s="42"/>
    </row>
    <row r="348" spans="1:28" x14ac:dyDescent="0.25">
      <c r="A348" s="42" t="str">
        <v>1.10.1.2.4</v>
      </c>
      <c r="B348" s="121" t="str">
        <v>About Us page</v>
      </c>
      <c r="C348" s="41">
        <v>5</v>
      </c>
      <c r="D348" s="41" t="str">
        <v>RL</v>
      </c>
      <c r="E348" s="117" t="str">
        <f t="shared" si="0"/>
        <v>RL</v>
      </c>
      <c r="F348" s="41" t="str">
        <v/>
      </c>
      <c r="G348" s="41" t="str">
        <v/>
      </c>
      <c r="H348" s="117">
        <f t="shared" si="1"/>
        <v>0</v>
      </c>
      <c r="I348" s="117">
        <f t="shared" si="2"/>
        <v>10</v>
      </c>
      <c r="J348" s="117">
        <f t="shared" si="3"/>
        <v>10.01</v>
      </c>
      <c r="K348" s="117" t="str">
        <f t="shared" si="4"/>
        <v>BR</v>
      </c>
      <c r="L348" s="42" t="str">
        <v>BR1001</v>
      </c>
      <c r="M348" s="121" t="str">
        <v/>
      </c>
      <c r="N348" s="121" t="str">
        <v/>
      </c>
      <c r="O348" s="121" t="str">
        <v/>
      </c>
      <c r="P348" s="121" t="str">
        <v/>
      </c>
      <c r="Q348" s="121" t="str">
        <v/>
      </c>
      <c r="R348" s="121" t="str">
        <v/>
      </c>
      <c r="S348" s="121" t="str">
        <v>About Us page</v>
      </c>
      <c r="T348" s="119" t="str">
        <f>IF($C348&lt;4,IF($C348=3,T349,IF($C348=2,T$1,"")),Q348&amp;R348&amp;IF(LEN(S348)=0,"",Preferences!$C$2&amp;S348)&amp;IF(J349=J348,IF(LEN(R348&amp;S348)=0,"","
")&amp;T349,""))</f>
        <v xml:space="preserve">	• About Us page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8" s="122" t="str">
        <v/>
      </c>
      <c r="V348" s="42"/>
      <c r="W348" s="42"/>
      <c r="X348" s="42"/>
      <c r="Y348" s="42"/>
      <c r="Z348" s="42"/>
      <c r="AA348" s="42"/>
      <c r="AB348" s="42"/>
    </row>
    <row r="349" spans="1:28" x14ac:dyDescent="0.25">
      <c r="A349" s="42" t="str">
        <v>1.10.1.2.5</v>
      </c>
      <c r="B349" s="121" t="str">
        <v>Contact Us page</v>
      </c>
      <c r="C349" s="41">
        <v>5</v>
      </c>
      <c r="D349" s="41" t="str">
        <v>RL</v>
      </c>
      <c r="E349" s="117" t="str">
        <f t="shared" si="0"/>
        <v>RL</v>
      </c>
      <c r="F349" s="41" t="str">
        <v/>
      </c>
      <c r="G349" s="41" t="str">
        <v/>
      </c>
      <c r="H349" s="117">
        <f t="shared" si="1"/>
        <v>0</v>
      </c>
      <c r="I349" s="117">
        <f t="shared" si="2"/>
        <v>10</v>
      </c>
      <c r="J349" s="117">
        <f t="shared" si="3"/>
        <v>10.01</v>
      </c>
      <c r="K349" s="117" t="str">
        <f t="shared" si="4"/>
        <v>BR</v>
      </c>
      <c r="L349" s="42" t="str">
        <v>BR1001</v>
      </c>
      <c r="M349" s="121" t="str">
        <v/>
      </c>
      <c r="N349" s="121" t="str">
        <v/>
      </c>
      <c r="O349" s="121" t="str">
        <v/>
      </c>
      <c r="P349" s="121" t="str">
        <v/>
      </c>
      <c r="Q349" s="121" t="str">
        <v/>
      </c>
      <c r="R349" s="121" t="str">
        <v/>
      </c>
      <c r="S349" s="121" t="str">
        <v>Contact Us page</v>
      </c>
      <c r="T349" s="119" t="str">
        <f>IF($C349&lt;4,IF($C349=3,T350,IF($C349=2,T$1,"")),Q349&amp;R349&amp;IF(LEN(S349)=0,"",Preferences!$C$2&amp;S349)&amp;IF(J350=J349,IF(LEN(R349&amp;S349)=0,"","
")&amp;T350,""))</f>
        <v xml:space="preserve">	• Contact Us page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49" s="122" t="str">
        <v/>
      </c>
      <c r="V349" s="42"/>
      <c r="W349" s="42"/>
      <c r="X349" s="42"/>
      <c r="Y349" s="42"/>
      <c r="Z349" s="42"/>
      <c r="AA349" s="42"/>
      <c r="AB349" s="42"/>
    </row>
    <row r="350" spans="1:28" x14ac:dyDescent="0.25">
      <c r="A350" s="42" t="str">
        <v>1.10.1.2.6</v>
      </c>
      <c r="B350" s="121" t="str">
        <v>Login page</v>
      </c>
      <c r="C350" s="41">
        <v>5</v>
      </c>
      <c r="D350" s="41" t="str">
        <v>RL</v>
      </c>
      <c r="E350" s="117" t="str">
        <f t="shared" si="0"/>
        <v>RL</v>
      </c>
      <c r="F350" s="41" t="str">
        <v/>
      </c>
      <c r="G350" s="41" t="str">
        <v/>
      </c>
      <c r="H350" s="117">
        <f t="shared" si="1"/>
        <v>0</v>
      </c>
      <c r="I350" s="117">
        <f t="shared" si="2"/>
        <v>10</v>
      </c>
      <c r="J350" s="117">
        <f t="shared" si="3"/>
        <v>10.01</v>
      </c>
      <c r="K350" s="117" t="str">
        <f t="shared" si="4"/>
        <v>BR</v>
      </c>
      <c r="L350" s="42" t="str">
        <v>BR1001</v>
      </c>
      <c r="M350" s="121" t="str">
        <v/>
      </c>
      <c r="N350" s="121" t="str">
        <v/>
      </c>
      <c r="O350" s="121" t="str">
        <v/>
      </c>
      <c r="P350" s="121" t="str">
        <v/>
      </c>
      <c r="Q350" s="121" t="str">
        <v/>
      </c>
      <c r="R350" s="121" t="str">
        <v/>
      </c>
      <c r="S350" s="121" t="str">
        <v>Login page</v>
      </c>
      <c r="T350" s="119" t="str">
        <f>IF($C350&lt;4,IF($C350=3,T351,IF($C350=2,T$1,"")),Q350&amp;R350&amp;IF(LEN(S350)=0,"",Preferences!$C$2&amp;S350)&amp;IF(J351=J350,IF(LEN(R350&amp;S350)=0,"","
")&amp;T351,""))</f>
        <v xml:space="preserve">	• Login page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0" s="122" t="str">
        <v/>
      </c>
      <c r="V350" s="42"/>
      <c r="W350" s="42"/>
      <c r="X350" s="42"/>
      <c r="Y350" s="42"/>
      <c r="Z350" s="42"/>
      <c r="AA350" s="42"/>
      <c r="AB350" s="42"/>
    </row>
    <row r="351" spans="1:28" x14ac:dyDescent="0.25">
      <c r="A351" s="42" t="str">
        <v>1.10.1.3</v>
      </c>
      <c r="B351" s="121" t="str">
        <v>Main navigation menu options (on every page):</v>
      </c>
      <c r="C351" s="41">
        <v>4</v>
      </c>
      <c r="D351" s="41" t="str">
        <v>RD</v>
      </c>
      <c r="E351" s="117" t="str">
        <f t="shared" si="0"/>
        <v>RD</v>
      </c>
      <c r="F351" s="41" t="str">
        <v/>
      </c>
      <c r="G351" s="41" t="str">
        <v/>
      </c>
      <c r="H351" s="117">
        <f t="shared" si="1"/>
        <v>0</v>
      </c>
      <c r="I351" s="117">
        <f t="shared" si="2"/>
        <v>10</v>
      </c>
      <c r="J351" s="117">
        <f t="shared" si="3"/>
        <v>10.01</v>
      </c>
      <c r="K351" s="117" t="str">
        <f t="shared" si="4"/>
        <v>BR</v>
      </c>
      <c r="L351" s="42" t="str">
        <v>BR1001</v>
      </c>
      <c r="M351" s="121" t="str">
        <v/>
      </c>
      <c r="N351" s="121" t="str">
        <v/>
      </c>
      <c r="O351" s="121" t="str">
        <v/>
      </c>
      <c r="P351" s="121" t="str">
        <v/>
      </c>
      <c r="Q351" s="121" t="str">
        <v xml:space="preserve"> 3. </v>
      </c>
      <c r="R351" s="121" t="str">
        <v>Main navigation menu options (on every page):</v>
      </c>
      <c r="S351" s="121" t="str">
        <v/>
      </c>
      <c r="T351" s="119" t="str">
        <f>IF($C351&lt;4,IF($C351=3,T352,IF($C351=2,T$1,"")),Q351&amp;R351&amp;IF(LEN(S351)=0,"",Preferences!$C$2&amp;S351)&amp;IF(J352=J351,IF(LEN(R351&amp;S351)=0,"","
")&amp;T352,""))</f>
        <v xml:space="preserve"> 3. Main navigation menu options (on every page):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1" s="122" t="str">
        <v/>
      </c>
      <c r="V351" s="42"/>
      <c r="W351" s="42"/>
      <c r="X351" s="42"/>
      <c r="Y351" s="42"/>
      <c r="Z351" s="42"/>
      <c r="AA351" s="42"/>
      <c r="AB351" s="42"/>
    </row>
    <row r="352" spans="1:28" x14ac:dyDescent="0.25">
      <c r="A352" s="42" t="str">
        <v>1.10.1.3.1</v>
      </c>
      <c r="B352" s="121" t="str">
        <v>Home (return to main shopping page)</v>
      </c>
      <c r="C352" s="41">
        <v>5</v>
      </c>
      <c r="D352" s="41" t="str">
        <v>RL</v>
      </c>
      <c r="E352" s="117" t="str">
        <f t="shared" si="0"/>
        <v>RL</v>
      </c>
      <c r="F352" s="41" t="str">
        <v/>
      </c>
      <c r="G352" s="41" t="str">
        <v/>
      </c>
      <c r="H352" s="117">
        <f t="shared" si="1"/>
        <v>0</v>
      </c>
      <c r="I352" s="117">
        <f t="shared" si="2"/>
        <v>10</v>
      </c>
      <c r="J352" s="117">
        <f t="shared" si="3"/>
        <v>10.01</v>
      </c>
      <c r="K352" s="117" t="str">
        <f t="shared" si="4"/>
        <v>BR</v>
      </c>
      <c r="L352" s="42" t="str">
        <v>BR1001</v>
      </c>
      <c r="M352" s="121" t="str">
        <v/>
      </c>
      <c r="N352" s="121" t="str">
        <v/>
      </c>
      <c r="O352" s="121" t="str">
        <v/>
      </c>
      <c r="P352" s="121" t="str">
        <v/>
      </c>
      <c r="Q352" s="121" t="str">
        <v/>
      </c>
      <c r="R352" s="121" t="str">
        <v/>
      </c>
      <c r="S352" s="121" t="str">
        <v>Home (return to main shopping page)</v>
      </c>
      <c r="T352" s="119" t="str">
        <f>IF($C352&lt;4,IF($C352=3,T353,IF($C352=2,T$1,"")),Q352&amp;R352&amp;IF(LEN(S352)=0,"",Preferences!$C$2&amp;S352)&amp;IF(J353=J352,IF(LEN(R352&amp;S352)=0,"","
")&amp;T353,""))</f>
        <v xml:space="preserve">	• Home (return to main shopping page)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2" s="122" t="str">
        <v/>
      </c>
      <c r="V352" s="42"/>
      <c r="W352" s="42"/>
      <c r="X352" s="42"/>
      <c r="Y352" s="42"/>
      <c r="Z352" s="42"/>
      <c r="AA352" s="42"/>
      <c r="AB352" s="42"/>
    </row>
    <row r="353" spans="1:28" x14ac:dyDescent="0.25">
      <c r="A353" s="42" t="str">
        <v>1.10.1.3.2</v>
      </c>
      <c r="B353" s="121" t="str">
        <v>Quick-link to a current special event (e.g. Black Friday, Easter Specials)</v>
      </c>
      <c r="C353" s="41">
        <v>5</v>
      </c>
      <c r="D353" s="41" t="str">
        <v>RL</v>
      </c>
      <c r="E353" s="117" t="str">
        <f t="shared" si="0"/>
        <v>RL</v>
      </c>
      <c r="F353" s="41" t="str">
        <v/>
      </c>
      <c r="G353" s="41" t="str">
        <v/>
      </c>
      <c r="H353" s="117">
        <f t="shared" si="1"/>
        <v>0</v>
      </c>
      <c r="I353" s="117">
        <f t="shared" si="2"/>
        <v>10</v>
      </c>
      <c r="J353" s="117">
        <f t="shared" si="3"/>
        <v>10.01</v>
      </c>
      <c r="K353" s="117" t="str">
        <f t="shared" si="4"/>
        <v>BR</v>
      </c>
      <c r="L353" s="42" t="str">
        <v>BR1001</v>
      </c>
      <c r="M353" s="121" t="str">
        <v/>
      </c>
      <c r="N353" s="121" t="str">
        <v/>
      </c>
      <c r="O353" s="121" t="str">
        <v/>
      </c>
      <c r="P353" s="121" t="str">
        <v/>
      </c>
      <c r="Q353" s="121" t="str">
        <v/>
      </c>
      <c r="R353" s="121" t="str">
        <v/>
      </c>
      <c r="S353" s="121" t="str">
        <v>Quick-link to a current special event (e.g. Black Friday, Easter Specials)</v>
      </c>
      <c r="T353" s="119" t="str">
        <f>IF($C353&lt;4,IF($C353=3,T354,IF($C353=2,T$1,"")),Q353&amp;R353&amp;IF(LEN(S353)=0,"",Preferences!$C$2&amp;S353)&amp;IF(J354=J353,IF(LEN(R353&amp;S353)=0,"","
")&amp;T354,""))</f>
        <v xml:space="preserve">	• Quick-link to a current special event (e.g. Black Friday, Easter Specials)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3" s="122" t="str">
        <v/>
      </c>
      <c r="V353" s="42"/>
      <c r="W353" s="42"/>
      <c r="X353" s="42"/>
      <c r="Y353" s="42"/>
      <c r="Z353" s="42"/>
      <c r="AA353" s="42"/>
      <c r="AB353" s="42"/>
    </row>
    <row r="354" spans="1:28" x14ac:dyDescent="0.25">
      <c r="A354" s="42" t="str">
        <v>1.10.1.3.3</v>
      </c>
      <c r="B354" s="121" t="str">
        <v>Browse by category (categories as sub-items)</v>
      </c>
      <c r="C354" s="41">
        <v>5</v>
      </c>
      <c r="D354" s="41" t="str">
        <v>RL</v>
      </c>
      <c r="E354" s="117" t="str">
        <f t="shared" si="0"/>
        <v>RL</v>
      </c>
      <c r="F354" s="41" t="str">
        <v/>
      </c>
      <c r="G354" s="41" t="str">
        <v/>
      </c>
      <c r="H354" s="117">
        <f t="shared" si="1"/>
        <v>0</v>
      </c>
      <c r="I354" s="117">
        <f t="shared" si="2"/>
        <v>10</v>
      </c>
      <c r="J354" s="117">
        <f t="shared" si="3"/>
        <v>10.01</v>
      </c>
      <c r="K354" s="117" t="str">
        <f t="shared" si="4"/>
        <v>BR</v>
      </c>
      <c r="L354" s="42" t="str">
        <v>BR1001</v>
      </c>
      <c r="M354" s="121" t="str">
        <v/>
      </c>
      <c r="N354" s="121" t="str">
        <v/>
      </c>
      <c r="O354" s="121" t="str">
        <v/>
      </c>
      <c r="P354" s="121" t="str">
        <v/>
      </c>
      <c r="Q354" s="121" t="str">
        <v/>
      </c>
      <c r="R354" s="121" t="str">
        <v/>
      </c>
      <c r="S354" s="121" t="str">
        <v>Browse by category (categories as sub-items)</v>
      </c>
      <c r="T354" s="119" t="str">
        <f>IF($C354&lt;4,IF($C354=3,T355,IF($C354=2,T$1,"")),Q354&amp;R354&amp;IF(LEN(S354)=0,"",Preferences!$C$2&amp;S354)&amp;IF(J355=J354,IF(LEN(R354&amp;S354)=0,"","
")&amp;T355,""))</f>
        <v xml:space="preserve">	• Browse by category (categories as sub-items)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4" s="122" t="str">
        <v/>
      </c>
      <c r="V354" s="42"/>
      <c r="W354" s="42"/>
      <c r="X354" s="42"/>
      <c r="Y354" s="42"/>
      <c r="Z354" s="42"/>
      <c r="AA354" s="42"/>
      <c r="AB354" s="42"/>
    </row>
    <row r="355" spans="1:28" x14ac:dyDescent="0.25">
      <c r="A355" s="42" t="str">
        <v>1.10.1.3.4</v>
      </c>
      <c r="B355" s="121" t="str">
        <v>About Us</v>
      </c>
      <c r="C355" s="41">
        <v>5</v>
      </c>
      <c r="D355" s="41" t="str">
        <v>RL</v>
      </c>
      <c r="E355" s="117" t="str">
        <f t="shared" si="0"/>
        <v>RL</v>
      </c>
      <c r="F355" s="41" t="str">
        <v/>
      </c>
      <c r="G355" s="41" t="str">
        <v/>
      </c>
      <c r="H355" s="117">
        <f t="shared" si="1"/>
        <v>0</v>
      </c>
      <c r="I355" s="117">
        <f t="shared" si="2"/>
        <v>10</v>
      </c>
      <c r="J355" s="117">
        <f t="shared" si="3"/>
        <v>10.01</v>
      </c>
      <c r="K355" s="117" t="str">
        <f t="shared" si="4"/>
        <v>BR</v>
      </c>
      <c r="L355" s="42" t="str">
        <v>BR1001</v>
      </c>
      <c r="M355" s="121" t="str">
        <v/>
      </c>
      <c r="N355" s="121" t="str">
        <v/>
      </c>
      <c r="O355" s="121" t="str">
        <v/>
      </c>
      <c r="P355" s="121" t="str">
        <v/>
      </c>
      <c r="Q355" s="121" t="str">
        <v/>
      </c>
      <c r="R355" s="121" t="str">
        <v/>
      </c>
      <c r="S355" s="121" t="str">
        <v>About Us</v>
      </c>
      <c r="T355" s="119" t="str">
        <f>IF($C355&lt;4,IF($C355=3,T356,IF($C355=2,T$1,"")),Q355&amp;R355&amp;IF(LEN(S355)=0,"",Preferences!$C$2&amp;S355)&amp;IF(J356=J355,IF(LEN(R355&amp;S355)=0,"","
")&amp;T356,""))</f>
        <v xml:space="preserve">	• About Us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5" s="122" t="str">
        <v/>
      </c>
      <c r="V355" s="42"/>
      <c r="W355" s="42"/>
      <c r="X355" s="42"/>
      <c r="Y355" s="42"/>
      <c r="Z355" s="42"/>
      <c r="AA355" s="42"/>
      <c r="AB355" s="42"/>
    </row>
    <row r="356" spans="1:28" x14ac:dyDescent="0.25">
      <c r="A356" s="42" t="str">
        <v>1.10.1.3.5</v>
      </c>
      <c r="B356" s="121" t="str">
        <v>Contact Us</v>
      </c>
      <c r="C356" s="41">
        <v>5</v>
      </c>
      <c r="D356" s="41" t="str">
        <v>RL</v>
      </c>
      <c r="E356" s="117" t="str">
        <f t="shared" si="0"/>
        <v>RL</v>
      </c>
      <c r="F356" s="41" t="str">
        <v/>
      </c>
      <c r="G356" s="41" t="str">
        <v/>
      </c>
      <c r="H356" s="117">
        <f t="shared" si="1"/>
        <v>0</v>
      </c>
      <c r="I356" s="117">
        <f t="shared" si="2"/>
        <v>10</v>
      </c>
      <c r="J356" s="117">
        <f t="shared" si="3"/>
        <v>10.01</v>
      </c>
      <c r="K356" s="117" t="str">
        <f t="shared" si="4"/>
        <v>BR</v>
      </c>
      <c r="L356" s="42" t="str">
        <v>BR1001</v>
      </c>
      <c r="M356" s="121" t="str">
        <v/>
      </c>
      <c r="N356" s="121" t="str">
        <v/>
      </c>
      <c r="O356" s="121" t="str">
        <v/>
      </c>
      <c r="P356" s="121" t="str">
        <v/>
      </c>
      <c r="Q356" s="121" t="str">
        <v/>
      </c>
      <c r="R356" s="121" t="str">
        <v/>
      </c>
      <c r="S356" s="121" t="str">
        <v>Contact Us</v>
      </c>
      <c r="T356" s="119" t="str">
        <f>IF($C356&lt;4,IF($C356=3,T357,IF($C356=2,T$1,"")),Q356&amp;R356&amp;IF(LEN(S356)=0,"",Preferences!$C$2&amp;S356)&amp;IF(J357=J356,IF(LEN(R356&amp;S356)=0,"","
")&amp;T357,""))</f>
        <v xml:space="preserve">	• Contact Us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6" s="122" t="str">
        <v/>
      </c>
      <c r="V356" s="42"/>
      <c r="W356" s="42"/>
      <c r="X356" s="42"/>
      <c r="Y356" s="42"/>
      <c r="Z356" s="42"/>
      <c r="AA356" s="42"/>
      <c r="AB356" s="42"/>
    </row>
    <row r="357" spans="1:28" x14ac:dyDescent="0.25">
      <c r="A357" s="42" t="str">
        <v>1.10.1.4</v>
      </c>
      <c r="B357" s="121" t="str">
        <v>User menu options (on every page):</v>
      </c>
      <c r="C357" s="41">
        <v>4</v>
      </c>
      <c r="D357" s="41" t="str">
        <v>RD</v>
      </c>
      <c r="E357" s="117" t="str">
        <f t="shared" si="0"/>
        <v>RD</v>
      </c>
      <c r="F357" s="41" t="str">
        <v/>
      </c>
      <c r="G357" s="41" t="str">
        <v/>
      </c>
      <c r="H357" s="117">
        <f t="shared" si="1"/>
        <v>0</v>
      </c>
      <c r="I357" s="117">
        <f t="shared" si="2"/>
        <v>10</v>
      </c>
      <c r="J357" s="117">
        <f t="shared" si="3"/>
        <v>10.01</v>
      </c>
      <c r="K357" s="117" t="str">
        <f t="shared" si="4"/>
        <v>BR</v>
      </c>
      <c r="L357" s="42" t="str">
        <v>BR1001</v>
      </c>
      <c r="M357" s="121" t="str">
        <v/>
      </c>
      <c r="N357" s="121" t="str">
        <v/>
      </c>
      <c r="O357" s="121" t="str">
        <v/>
      </c>
      <c r="P357" s="121" t="str">
        <v/>
      </c>
      <c r="Q357" s="121" t="str">
        <v xml:space="preserve"> 4. </v>
      </c>
      <c r="R357" s="121" t="str">
        <v>User menu options (on every page):</v>
      </c>
      <c r="S357" s="121" t="str">
        <v/>
      </c>
      <c r="T357" s="119" t="str">
        <f>IF($C357&lt;4,IF($C357=3,T358,IF($C357=2,T$1,"")),Q357&amp;R357&amp;IF(LEN(S357)=0,"",Preferences!$C$2&amp;S357)&amp;IF(J358=J357,IF(LEN(R357&amp;S357)=0,"","
")&amp;T358,""))</f>
        <v xml:space="preserve"> 4. User menu options (on every page):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7" s="122" t="str">
        <v/>
      </c>
      <c r="V357" s="42"/>
      <c r="W357" s="42"/>
      <c r="X357" s="42"/>
      <c r="Y357" s="42"/>
      <c r="Z357" s="42"/>
      <c r="AA357" s="42"/>
      <c r="AB357" s="42"/>
    </row>
    <row r="358" spans="1:28" x14ac:dyDescent="0.25">
      <c r="A358" s="42" t="str">
        <v>1.10.1.4.1</v>
      </c>
      <c r="B358" s="121" t="str">
        <v>Shopping Cart (also show qty products in cart)</v>
      </c>
      <c r="C358" s="41">
        <v>5</v>
      </c>
      <c r="D358" s="41" t="str">
        <v>RL</v>
      </c>
      <c r="E358" s="117" t="str">
        <f t="shared" si="0"/>
        <v>RL</v>
      </c>
      <c r="F358" s="41" t="str">
        <v/>
      </c>
      <c r="G358" s="41" t="str">
        <v/>
      </c>
      <c r="H358" s="117">
        <f t="shared" si="1"/>
        <v>0</v>
      </c>
      <c r="I358" s="117">
        <f t="shared" si="2"/>
        <v>10</v>
      </c>
      <c r="J358" s="117">
        <f t="shared" si="3"/>
        <v>10.01</v>
      </c>
      <c r="K358" s="117" t="str">
        <f t="shared" si="4"/>
        <v>BR</v>
      </c>
      <c r="L358" s="42" t="str">
        <v>BR1001</v>
      </c>
      <c r="M358" s="121" t="str">
        <v/>
      </c>
      <c r="N358" s="121" t="str">
        <v/>
      </c>
      <c r="O358" s="121" t="str">
        <v/>
      </c>
      <c r="P358" s="121" t="str">
        <v/>
      </c>
      <c r="Q358" s="121" t="str">
        <v/>
      </c>
      <c r="R358" s="121" t="str">
        <v/>
      </c>
      <c r="S358" s="121" t="str">
        <v>Shopping Cart (also show qty products in cart)</v>
      </c>
      <c r="T358" s="119" t="str">
        <f>IF($C358&lt;4,IF($C358=3,T359,IF($C358=2,T$1,"")),Q358&amp;R358&amp;IF(LEN(S358)=0,"",Preferences!$C$2&amp;S358)&amp;IF(J359=J358,IF(LEN(R358&amp;S358)=0,"","
")&amp;T359,""))</f>
        <v xml:space="preserve">	• Shopping Cart (also show qty products in cart)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8" s="122" t="str">
        <v/>
      </c>
      <c r="V358" s="42"/>
      <c r="W358" s="42"/>
      <c r="X358" s="42"/>
      <c r="Y358" s="42"/>
      <c r="Z358" s="42"/>
      <c r="AA358" s="42"/>
      <c r="AB358" s="42"/>
    </row>
    <row r="359" spans="1:28" x14ac:dyDescent="0.25">
      <c r="A359" s="42" t="str">
        <v>1.10.1.4.2</v>
      </c>
      <c r="B359" s="121" t="str">
        <v>Login</v>
      </c>
      <c r="C359" s="41">
        <v>5</v>
      </c>
      <c r="D359" s="41" t="str">
        <v>RL</v>
      </c>
      <c r="E359" s="117" t="str">
        <f t="shared" si="0"/>
        <v>RL</v>
      </c>
      <c r="F359" s="41" t="str">
        <v/>
      </c>
      <c r="G359" s="41" t="str">
        <v/>
      </c>
      <c r="H359" s="117">
        <f t="shared" si="1"/>
        <v>0</v>
      </c>
      <c r="I359" s="117">
        <f t="shared" si="2"/>
        <v>10</v>
      </c>
      <c r="J359" s="117">
        <f t="shared" si="3"/>
        <v>10.01</v>
      </c>
      <c r="K359" s="117" t="str">
        <f t="shared" si="4"/>
        <v>BR</v>
      </c>
      <c r="L359" s="42" t="str">
        <v>BR1001</v>
      </c>
      <c r="M359" s="121" t="str">
        <v/>
      </c>
      <c r="N359" s="121" t="str">
        <v/>
      </c>
      <c r="O359" s="121" t="str">
        <v/>
      </c>
      <c r="P359" s="121" t="str">
        <v/>
      </c>
      <c r="Q359" s="121" t="str">
        <v/>
      </c>
      <c r="R359" s="121" t="str">
        <v/>
      </c>
      <c r="S359" s="121" t="str">
        <v>Login</v>
      </c>
      <c r="T359" s="119" t="str">
        <f>IF($C359&lt;4,IF($C359=3,T360,IF($C359=2,T$1,"")),Q359&amp;R359&amp;IF(LEN(S359)=0,"",Preferences!$C$2&amp;S359)&amp;IF(J360=J359,IF(LEN(R359&amp;S359)=0,"","
")&amp;T360,""))</f>
        <v xml:space="preserve">	• Login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59" s="122" t="str">
        <v/>
      </c>
      <c r="V359" s="42"/>
      <c r="W359" s="42"/>
      <c r="X359" s="42"/>
      <c r="Y359" s="42"/>
      <c r="Z359" s="42"/>
      <c r="AA359" s="42"/>
      <c r="AB359" s="42"/>
    </row>
    <row r="360" spans="1:28" x14ac:dyDescent="0.25">
      <c r="A360" s="42" t="str">
        <v>1.10.1.5</v>
      </c>
      <c r="B360" s="121" t="str">
        <v>Home page:</v>
      </c>
      <c r="C360" s="41">
        <v>4</v>
      </c>
      <c r="D360" s="41" t="str">
        <v>RD</v>
      </c>
      <c r="E360" s="117" t="str">
        <f t="shared" si="0"/>
        <v>RD</v>
      </c>
      <c r="F360" s="41" t="str">
        <v/>
      </c>
      <c r="G360" s="41" t="str">
        <v/>
      </c>
      <c r="H360" s="117">
        <f t="shared" si="1"/>
        <v>0</v>
      </c>
      <c r="I360" s="117">
        <f t="shared" si="2"/>
        <v>10</v>
      </c>
      <c r="J360" s="117">
        <f t="shared" si="3"/>
        <v>10.01</v>
      </c>
      <c r="K360" s="117" t="str">
        <f t="shared" si="4"/>
        <v>BR</v>
      </c>
      <c r="L360" s="42" t="str">
        <v>BR1001</v>
      </c>
      <c r="M360" s="121" t="str">
        <v/>
      </c>
      <c r="N360" s="121" t="str">
        <v/>
      </c>
      <c r="O360" s="121" t="str">
        <v/>
      </c>
      <c r="P360" s="121" t="str">
        <v/>
      </c>
      <c r="Q360" s="121" t="str">
        <v xml:space="preserve"> 5. </v>
      </c>
      <c r="R360" s="121" t="str">
        <v>Home page:</v>
      </c>
      <c r="S360" s="121" t="str">
        <v/>
      </c>
      <c r="T360" s="119" t="str">
        <f>IF($C360&lt;4,IF($C360=3,T361,IF($C360=2,T$1,"")),Q360&amp;R360&amp;IF(LEN(S360)=0,"",Preferences!$C$2&amp;S360)&amp;IF(J361=J360,IF(LEN(R360&amp;S360)=0,"","
")&amp;T361,""))</f>
        <v xml:space="preserve"> 5. Home page: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60" s="122" t="str">
        <v/>
      </c>
      <c r="V360" s="42"/>
      <c r="W360" s="42"/>
      <c r="X360" s="42"/>
      <c r="Y360" s="42"/>
      <c r="Z360" s="42"/>
      <c r="AA360" s="42"/>
      <c r="AB360" s="42"/>
    </row>
    <row r="361" spans="1:28" x14ac:dyDescent="0.25">
      <c r="A361" s="42" t="str">
        <v>1.10.1.5.1</v>
      </c>
      <c r="B361" s="121" t="str">
        <v>Present a message welcoming the anonymous visitor to the online shop.</v>
      </c>
      <c r="C361" s="41">
        <v>5</v>
      </c>
      <c r="D361" s="41" t="str">
        <v>RL</v>
      </c>
      <c r="E361" s="117" t="str">
        <f t="shared" si="0"/>
        <v>RL</v>
      </c>
      <c r="F361" s="41" t="str">
        <v/>
      </c>
      <c r="G361" s="41" t="str">
        <v/>
      </c>
      <c r="H361" s="117">
        <f t="shared" si="1"/>
        <v>0</v>
      </c>
      <c r="I361" s="117">
        <f t="shared" si="2"/>
        <v>10</v>
      </c>
      <c r="J361" s="117">
        <f t="shared" si="3"/>
        <v>10.01</v>
      </c>
      <c r="K361" s="117" t="str">
        <f t="shared" si="4"/>
        <v>BR</v>
      </c>
      <c r="L361" s="42" t="str">
        <v>BR1001</v>
      </c>
      <c r="M361" s="121" t="str">
        <v/>
      </c>
      <c r="N361" s="121" t="str">
        <v/>
      </c>
      <c r="O361" s="121" t="str">
        <v/>
      </c>
      <c r="P361" s="121" t="str">
        <v/>
      </c>
      <c r="Q361" s="121" t="str">
        <v/>
      </c>
      <c r="R361" s="121" t="str">
        <v/>
      </c>
      <c r="S361" s="121" t="str">
        <v>Present a message welcoming the anonymous visitor to the online shop.</v>
      </c>
      <c r="T361" s="119" t="str">
        <f>IF($C361&lt;4,IF($C361=3,T362,IF($C361=2,T$1,"")),Q361&amp;R361&amp;IF(LEN(S361)=0,"",Preferences!$C$2&amp;S361)&amp;IF(J362=J361,IF(LEN(R361&amp;S361)=0,"","
")&amp;T362,""))</f>
        <v xml:space="preserve">	• Present a message welcoming the anonymous visitor to the online shop.
	• Present a quick-link to any current special event (e.g. Black Friday, Easter Specials)
	• Present the shopfront search function.
	• Present the highest rated advertisements for each main category.
	• If a special event is in effect, give that priority.</v>
      </c>
      <c r="U361" s="122" t="str">
        <v/>
      </c>
      <c r="V361" s="42"/>
      <c r="W361" s="42"/>
      <c r="X361" s="42"/>
      <c r="Y361" s="42"/>
      <c r="Z361" s="42"/>
      <c r="AA361" s="42"/>
      <c r="AB361" s="42"/>
    </row>
    <row r="362" spans="1:28" x14ac:dyDescent="0.25">
      <c r="A362" s="42" t="str">
        <v>1.10.1.5.2</v>
      </c>
      <c r="B362" s="121" t="str">
        <v>Present a quick-link to any current special event (e.g. Black Friday, Easter Specials)</v>
      </c>
      <c r="C362" s="41">
        <v>5</v>
      </c>
      <c r="D362" s="41" t="str">
        <v>RL</v>
      </c>
      <c r="E362" s="117" t="str">
        <f t="shared" si="0"/>
        <v>RL</v>
      </c>
      <c r="F362" s="41" t="str">
        <v/>
      </c>
      <c r="G362" s="41" t="str">
        <v/>
      </c>
      <c r="H362" s="117">
        <f t="shared" si="1"/>
        <v>0</v>
      </c>
      <c r="I362" s="117">
        <f t="shared" si="2"/>
        <v>10</v>
      </c>
      <c r="J362" s="117">
        <f t="shared" si="3"/>
        <v>10.01</v>
      </c>
      <c r="K362" s="117" t="str">
        <f t="shared" si="4"/>
        <v>BR</v>
      </c>
      <c r="L362" s="42" t="str">
        <v>BR1001</v>
      </c>
      <c r="M362" s="121" t="str">
        <v/>
      </c>
      <c r="N362" s="121" t="str">
        <v/>
      </c>
      <c r="O362" s="121" t="str">
        <v/>
      </c>
      <c r="P362" s="121" t="str">
        <v/>
      </c>
      <c r="Q362" s="121" t="str">
        <v/>
      </c>
      <c r="R362" s="121" t="str">
        <v/>
      </c>
      <c r="S362" s="121" t="str">
        <v>Present a quick-link to any current special event (e.g. Black Friday, Easter Specials)</v>
      </c>
      <c r="T362" s="119" t="str">
        <f>IF($C362&lt;4,IF($C362=3,T363,IF($C362=2,T$1,"")),Q362&amp;R362&amp;IF(LEN(S362)=0,"",Preferences!$C$2&amp;S362)&amp;IF(J363=J362,IF(LEN(R362&amp;S362)=0,"","
")&amp;T363,""))</f>
        <v xml:space="preserve">	• Present a quick-link to any current special event (e.g. Black Friday, Easter Specials)
	• Present the shopfront search function.
	• Present the highest rated advertisements for each main category.
	• If a special event is in effect, give that priority.</v>
      </c>
      <c r="U362" s="122" t="str">
        <v/>
      </c>
      <c r="V362" s="42"/>
      <c r="W362" s="42"/>
      <c r="X362" s="42"/>
      <c r="Y362" s="42"/>
      <c r="Z362" s="42"/>
      <c r="AA362" s="42"/>
      <c r="AB362" s="42"/>
    </row>
    <row r="363" spans="1:28" x14ac:dyDescent="0.25">
      <c r="A363" s="42" t="str">
        <v>1.10.1.5.3</v>
      </c>
      <c r="B363" s="121" t="str">
        <v>Present the shopfront search function.</v>
      </c>
      <c r="C363" s="41">
        <v>5</v>
      </c>
      <c r="D363" s="41" t="str">
        <v>RL</v>
      </c>
      <c r="E363" s="117" t="str">
        <f t="shared" si="0"/>
        <v>RL</v>
      </c>
      <c r="F363" s="41" t="str">
        <v/>
      </c>
      <c r="G363" s="41" t="str">
        <v/>
      </c>
      <c r="H363" s="117">
        <f t="shared" si="1"/>
        <v>0</v>
      </c>
      <c r="I363" s="117">
        <f t="shared" si="2"/>
        <v>10</v>
      </c>
      <c r="J363" s="117">
        <f t="shared" si="3"/>
        <v>10.01</v>
      </c>
      <c r="K363" s="117" t="str">
        <f t="shared" si="4"/>
        <v>BR</v>
      </c>
      <c r="L363" s="42" t="str">
        <v>BR1001</v>
      </c>
      <c r="M363" s="121" t="str">
        <v/>
      </c>
      <c r="N363" s="121" t="str">
        <v/>
      </c>
      <c r="O363" s="121" t="str">
        <v/>
      </c>
      <c r="P363" s="121" t="str">
        <v/>
      </c>
      <c r="Q363" s="121" t="str">
        <v/>
      </c>
      <c r="R363" s="121" t="str">
        <v/>
      </c>
      <c r="S363" s="121" t="str">
        <v>Present the shopfront search function.</v>
      </c>
      <c r="T363" s="119" t="str">
        <f>IF($C363&lt;4,IF($C363=3,T364,IF($C363=2,T$1,"")),Q363&amp;R363&amp;IF(LEN(S363)=0,"",Preferences!$C$2&amp;S363)&amp;IF(J364=J363,IF(LEN(R363&amp;S363)=0,"","
")&amp;T364,""))</f>
        <v xml:space="preserve">	• Present the shopfront search function.
	• Present the highest rated advertisements for each main category.
	• If a special event is in effect, give that priority.</v>
      </c>
      <c r="U363" s="122" t="str">
        <v/>
      </c>
      <c r="V363" s="42"/>
      <c r="W363" s="42"/>
      <c r="X363" s="42"/>
      <c r="Y363" s="42"/>
      <c r="Z363" s="42"/>
      <c r="AA363" s="42"/>
      <c r="AB363" s="42"/>
    </row>
    <row r="364" spans="1:28" x14ac:dyDescent="0.25">
      <c r="A364" s="42" t="str">
        <v>1.10.1.5.4</v>
      </c>
      <c r="B364" s="121" t="str">
        <v>Present the highest rated advertisements for each main category.</v>
      </c>
      <c r="C364" s="41">
        <v>5</v>
      </c>
      <c r="D364" s="41" t="str">
        <v>RL</v>
      </c>
      <c r="E364" s="117" t="str">
        <f t="shared" si="0"/>
        <v>RL</v>
      </c>
      <c r="F364" s="41" t="str">
        <v/>
      </c>
      <c r="G364" s="41" t="str">
        <v/>
      </c>
      <c r="H364" s="117">
        <f t="shared" si="1"/>
        <v>0</v>
      </c>
      <c r="I364" s="117">
        <f t="shared" si="2"/>
        <v>10</v>
      </c>
      <c r="J364" s="117">
        <f t="shared" si="3"/>
        <v>10.01</v>
      </c>
      <c r="K364" s="117" t="str">
        <f t="shared" si="4"/>
        <v>BR</v>
      </c>
      <c r="L364" s="42" t="str">
        <v>BR1001</v>
      </c>
      <c r="M364" s="121" t="str">
        <v/>
      </c>
      <c r="N364" s="121" t="str">
        <v/>
      </c>
      <c r="O364" s="121" t="str">
        <v/>
      </c>
      <c r="P364" s="121" t="str">
        <v/>
      </c>
      <c r="Q364" s="121" t="str">
        <v/>
      </c>
      <c r="R364" s="121" t="str">
        <v/>
      </c>
      <c r="S364" s="121" t="str">
        <v>Present the highest rated advertisements for each main category.</v>
      </c>
      <c r="T364" s="119" t="str">
        <f>IF($C364&lt;4,IF($C364=3,T365,IF($C364=2,T$1,"")),Q364&amp;R364&amp;IF(LEN(S364)=0,"",Preferences!$C$2&amp;S364)&amp;IF(J365=J364,IF(LEN(R364&amp;S364)=0,"","
")&amp;T365,""))</f>
        <v xml:space="preserve">	• Present the highest rated advertisements for each main category.
	• If a special event is in effect, give that priority.</v>
      </c>
      <c r="U364" s="122" t="str">
        <v/>
      </c>
      <c r="V364" s="42"/>
      <c r="W364" s="42"/>
      <c r="X364" s="42"/>
      <c r="Y364" s="42"/>
      <c r="Z364" s="42"/>
      <c r="AA364" s="42"/>
      <c r="AB364" s="42"/>
    </row>
    <row r="365" spans="1:28" x14ac:dyDescent="0.25">
      <c r="A365" s="42" t="str">
        <v>1.10.1.5.4.1</v>
      </c>
      <c r="B365" s="121" t="str">
        <v>If a special event is in effect, give that priority.</v>
      </c>
      <c r="C365" s="41">
        <v>6</v>
      </c>
      <c r="D365" s="41" t="str">
        <v>RL</v>
      </c>
      <c r="E365" s="117" t="str">
        <f t="shared" si="0"/>
        <v>RL</v>
      </c>
      <c r="F365" s="41" t="str">
        <v/>
      </c>
      <c r="G365" s="41" t="str">
        <v/>
      </c>
      <c r="H365" s="117">
        <f t="shared" si="1"/>
        <v>0</v>
      </c>
      <c r="I365" s="117">
        <f t="shared" si="2"/>
        <v>10</v>
      </c>
      <c r="J365" s="117">
        <f t="shared" si="3"/>
        <v>10.01</v>
      </c>
      <c r="K365" s="117" t="str">
        <f t="shared" si="4"/>
        <v>BR</v>
      </c>
      <c r="L365" s="42" t="str">
        <v>BR1001</v>
      </c>
      <c r="M365" s="121" t="str">
        <v/>
      </c>
      <c r="N365" s="121" t="str">
        <v/>
      </c>
      <c r="O365" s="121" t="str">
        <v/>
      </c>
      <c r="P365" s="121" t="str">
        <v/>
      </c>
      <c r="Q365" s="121" t="str">
        <v/>
      </c>
      <c r="R365" s="121" t="str">
        <v/>
      </c>
      <c r="S365" s="121" t="str">
        <v>If a special event is in effect, give that priority.</v>
      </c>
      <c r="T365" s="119" t="str">
        <f>IF($C365&lt;4,IF($C365=3,T366,IF($C365=2,T$1,"")),Q365&amp;R365&amp;IF(LEN(S365)=0,"",Preferences!$C$2&amp;S365)&amp;IF(J366=J365,IF(LEN(R365&amp;S365)=0,"","
")&amp;T366,""))</f>
        <v xml:space="preserve">	• If a special event is in effect, give that priority.</v>
      </c>
      <c r="U365" s="122" t="str">
        <v/>
      </c>
      <c r="V365" s="42"/>
      <c r="W365" s="42"/>
      <c r="X365" s="42"/>
      <c r="Y365" s="42"/>
      <c r="Z365" s="42"/>
      <c r="AA365" s="42"/>
      <c r="AB365" s="42"/>
    </row>
    <row r="366" spans="1:28" x14ac:dyDescent="0.25">
      <c r="A366" s="42" t="str">
        <v>1.10.2</v>
      </c>
      <c r="B366" s="121" t="str">
        <v>10.2 Present an online shop for logged-in customers</v>
      </c>
      <c r="C366" s="41">
        <v>3</v>
      </c>
      <c r="D366" s="41" t="str">
        <v>R</v>
      </c>
      <c r="E366" s="117" t="str">
        <f t="shared" si="0"/>
        <v>R</v>
      </c>
      <c r="F366" s="41" t="str">
        <v/>
      </c>
      <c r="G366" s="41" t="str">
        <v/>
      </c>
      <c r="H366" s="117">
        <f t="shared" si="1"/>
        <v>0</v>
      </c>
      <c r="I366" s="117">
        <f t="shared" si="2"/>
        <v>10</v>
      </c>
      <c r="J366" s="117">
        <f t="shared" si="3"/>
        <v>10.02</v>
      </c>
      <c r="K366" s="117" t="str">
        <f t="shared" si="4"/>
        <v>BR</v>
      </c>
      <c r="L366" s="42" t="str">
        <v>BR1002</v>
      </c>
      <c r="M366" s="121" t="str">
        <v/>
      </c>
      <c r="N366" s="121" t="str">
        <v/>
      </c>
      <c r="O366" s="121" t="str">
        <v>BR1002</v>
      </c>
      <c r="P366" s="121" t="str">
        <v>Present an online shop for logged-in customers</v>
      </c>
      <c r="Q366" s="121" t="str">
        <v/>
      </c>
      <c r="R366" s="121" t="str">
        <v/>
      </c>
      <c r="S366" s="121" t="str">
        <v/>
      </c>
      <c r="T366" s="119" t="str">
        <f>IF($C366&lt;4,IF($C366=3,T367,IF($C366=2,T$1,"")),Q366&amp;R366&amp;IF(LEN(S366)=0,"",Preferences!$C$2&amp;S366)&amp;IF(J367=J366,IF(LEN(R366&amp;S366)=0,"","
")&amp;T367,""))</f>
        <v xml:space="preserve"> 1. The online shop must be presented as follows for a customer:
 2. Online shop sections:
	• Home page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66" s="122" t="str">
        <v/>
      </c>
      <c r="V366" s="42"/>
      <c r="W366" s="42"/>
      <c r="X366" s="42"/>
      <c r="Y366" s="42"/>
      <c r="Z366" s="42"/>
      <c r="AA366" s="42"/>
      <c r="AB366" s="42"/>
    </row>
    <row r="367" spans="1:28" x14ac:dyDescent="0.25">
      <c r="A367" s="42" t="str">
        <v>1.10.2.1</v>
      </c>
      <c r="B367" s="121" t="str">
        <v>The online shop must be presented as follows for a customer:</v>
      </c>
      <c r="C367" s="41">
        <v>4</v>
      </c>
      <c r="D367" s="41" t="str">
        <v>RD</v>
      </c>
      <c r="E367" s="117" t="str">
        <f t="shared" si="0"/>
        <v>RD</v>
      </c>
      <c r="F367" s="41" t="str">
        <v/>
      </c>
      <c r="G367" s="41" t="str">
        <v/>
      </c>
      <c r="H367" s="117">
        <f t="shared" si="1"/>
        <v>0</v>
      </c>
      <c r="I367" s="117">
        <f t="shared" si="2"/>
        <v>10</v>
      </c>
      <c r="J367" s="117">
        <f t="shared" si="3"/>
        <v>10.02</v>
      </c>
      <c r="K367" s="117" t="str">
        <f t="shared" si="4"/>
        <v>BR</v>
      </c>
      <c r="L367" s="42" t="str">
        <v>BR1002</v>
      </c>
      <c r="M367" s="121" t="str">
        <v/>
      </c>
      <c r="N367" s="121" t="str">
        <v/>
      </c>
      <c r="O367" s="121" t="str">
        <v/>
      </c>
      <c r="P367" s="121" t="str">
        <v/>
      </c>
      <c r="Q367" s="121" t="str">
        <v xml:space="preserve"> 1. </v>
      </c>
      <c r="R367" s="121" t="str">
        <v>The online shop must be presented as follows for a customer:</v>
      </c>
      <c r="S367" s="121" t="str">
        <v/>
      </c>
      <c r="T367" s="119" t="str">
        <f>IF($C367&lt;4,IF($C367=3,T368,IF($C367=2,T$1,"")),Q367&amp;R367&amp;IF(LEN(S367)=0,"",Preferences!$C$2&amp;S367)&amp;IF(J368=J367,IF(LEN(R367&amp;S367)=0,"","
")&amp;T368,""))</f>
        <v xml:space="preserve"> 1. The online shop must be presented as follows for a customer:
 2. Online shop sections:
	• Home page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67" s="122" t="str">
        <v/>
      </c>
      <c r="V367" s="42"/>
      <c r="W367" s="42"/>
      <c r="X367" s="42"/>
      <c r="Y367" s="42"/>
      <c r="Z367" s="42"/>
      <c r="AA367" s="42"/>
      <c r="AB367" s="42"/>
    </row>
    <row r="368" spans="1:28" x14ac:dyDescent="0.25">
      <c r="A368" s="42" t="str">
        <v>1.10.2.2</v>
      </c>
      <c r="B368" s="121" t="str">
        <v>Online shop sections:</v>
      </c>
      <c r="C368" s="41">
        <v>4</v>
      </c>
      <c r="D368" s="41" t="str">
        <v>RD</v>
      </c>
      <c r="E368" s="117" t="str">
        <f t="shared" si="0"/>
        <v>RD</v>
      </c>
      <c r="F368" s="41" t="str">
        <v/>
      </c>
      <c r="G368" s="41" t="str">
        <v/>
      </c>
      <c r="H368" s="117">
        <f t="shared" si="1"/>
        <v>0</v>
      </c>
      <c r="I368" s="117">
        <f t="shared" si="2"/>
        <v>10</v>
      </c>
      <c r="J368" s="117">
        <f t="shared" si="3"/>
        <v>10.02</v>
      </c>
      <c r="K368" s="117" t="str">
        <f t="shared" si="4"/>
        <v>BR</v>
      </c>
      <c r="L368" s="42" t="str">
        <v>BR1002</v>
      </c>
      <c r="M368" s="121" t="str">
        <v/>
      </c>
      <c r="N368" s="121" t="str">
        <v/>
      </c>
      <c r="O368" s="121" t="str">
        <v/>
      </c>
      <c r="P368" s="121" t="str">
        <v/>
      </c>
      <c r="Q368" s="121" t="str">
        <v xml:space="preserve"> 2. </v>
      </c>
      <c r="R368" s="121" t="str">
        <v>Online shop sections:</v>
      </c>
      <c r="S368" s="121" t="str">
        <v/>
      </c>
      <c r="T368" s="119" t="str">
        <f>IF($C368&lt;4,IF($C368=3,T369,IF($C368=2,T$1,"")),Q368&amp;R368&amp;IF(LEN(S368)=0,"",Preferences!$C$2&amp;S368)&amp;IF(J369=J368,IF(LEN(R368&amp;S368)=0,"","
")&amp;T369,""))</f>
        <v xml:space="preserve"> 2. Online shop sections:
	• Home page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68" s="122" t="str">
        <v/>
      </c>
      <c r="V368" s="42"/>
      <c r="W368" s="42"/>
      <c r="X368" s="42"/>
      <c r="Y368" s="42"/>
      <c r="Z368" s="42"/>
      <c r="AA368" s="42"/>
      <c r="AB368" s="42"/>
    </row>
    <row r="369" spans="1:28" x14ac:dyDescent="0.25">
      <c r="A369" s="42" t="str">
        <v>1.10.2.2.1</v>
      </c>
      <c r="B369" s="121" t="str">
        <v>Home page</v>
      </c>
      <c r="C369" s="41">
        <v>5</v>
      </c>
      <c r="D369" s="41" t="str">
        <v>RL</v>
      </c>
      <c r="E369" s="117" t="str">
        <f t="shared" si="0"/>
        <v>RL</v>
      </c>
      <c r="F369" s="41" t="str">
        <v/>
      </c>
      <c r="G369" s="41" t="str">
        <v/>
      </c>
      <c r="H369" s="117">
        <f t="shared" si="1"/>
        <v>0</v>
      </c>
      <c r="I369" s="117">
        <f t="shared" si="2"/>
        <v>10</v>
      </c>
      <c r="J369" s="117">
        <f t="shared" si="3"/>
        <v>10.02</v>
      </c>
      <c r="K369" s="117" t="str">
        <f t="shared" si="4"/>
        <v>BR</v>
      </c>
      <c r="L369" s="42" t="str">
        <v>BR1002</v>
      </c>
      <c r="M369" s="121" t="str">
        <v/>
      </c>
      <c r="N369" s="121" t="str">
        <v/>
      </c>
      <c r="O369" s="121" t="str">
        <v/>
      </c>
      <c r="P369" s="121" t="str">
        <v/>
      </c>
      <c r="Q369" s="121" t="str">
        <v/>
      </c>
      <c r="R369" s="121" t="str">
        <v/>
      </c>
      <c r="S369" s="121" t="str">
        <v>Home page</v>
      </c>
      <c r="T369" s="119" t="str">
        <f>IF($C369&lt;4,IF($C369=3,T370,IF($C369=2,T$1,"")),Q369&amp;R369&amp;IF(LEN(S369)=0,"",Preferences!$C$2&amp;S369)&amp;IF(J370=J369,IF(LEN(R369&amp;S369)=0,"","
")&amp;T370,""))</f>
        <v xml:space="preserve">	• Home page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69" s="122" t="str">
        <v/>
      </c>
      <c r="V369" s="42"/>
      <c r="W369" s="42"/>
      <c r="X369" s="42"/>
      <c r="Y369" s="42"/>
      <c r="Z369" s="42"/>
      <c r="AA369" s="42"/>
      <c r="AB369" s="42"/>
    </row>
    <row r="370" spans="1:28" x14ac:dyDescent="0.25">
      <c r="A370" s="42" t="str">
        <v>1.10.2.2.2</v>
      </c>
      <c r="B370" s="121" t="str">
        <v>Online shopfront</v>
      </c>
      <c r="C370" s="41">
        <v>5</v>
      </c>
      <c r="D370" s="41" t="str">
        <v>RL</v>
      </c>
      <c r="E370" s="117" t="str">
        <f t="shared" si="0"/>
        <v>RL</v>
      </c>
      <c r="F370" s="41" t="str">
        <v/>
      </c>
      <c r="G370" s="41" t="str">
        <v/>
      </c>
      <c r="H370" s="117">
        <f t="shared" si="1"/>
        <v>0</v>
      </c>
      <c r="I370" s="117">
        <f t="shared" si="2"/>
        <v>10</v>
      </c>
      <c r="J370" s="117">
        <f t="shared" si="3"/>
        <v>10.02</v>
      </c>
      <c r="K370" s="117" t="str">
        <f t="shared" si="4"/>
        <v>BR</v>
      </c>
      <c r="L370" s="42" t="str">
        <v>BR1002</v>
      </c>
      <c r="M370" s="121" t="str">
        <v/>
      </c>
      <c r="N370" s="121" t="str">
        <v/>
      </c>
      <c r="O370" s="121" t="str">
        <v/>
      </c>
      <c r="P370" s="121" t="str">
        <v/>
      </c>
      <c r="Q370" s="121" t="str">
        <v/>
      </c>
      <c r="R370" s="121" t="str">
        <v/>
      </c>
      <c r="S370" s="121" t="str">
        <v>Online shopfront</v>
      </c>
      <c r="T370" s="119" t="str">
        <f>IF($C370&lt;4,IF($C370=3,T371,IF($C370=2,T$1,"")),Q370&amp;R370&amp;IF(LEN(S370)=0,"",Preferences!$C$2&amp;S370)&amp;IF(J371=J370,IF(LEN(R370&amp;S370)=0,"","
")&amp;T371,""))</f>
        <v xml:space="preserve">	• Online shopfront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0" s="122" t="str">
        <v/>
      </c>
      <c r="V370" s="42"/>
      <c r="W370" s="42"/>
      <c r="X370" s="42"/>
      <c r="Y370" s="42"/>
      <c r="Z370" s="42"/>
      <c r="AA370" s="42"/>
      <c r="AB370" s="42"/>
    </row>
    <row r="371" spans="1:28" x14ac:dyDescent="0.25">
      <c r="A371" s="42" t="str">
        <v>1.10.2.2.3</v>
      </c>
      <c r="B371" s="121" t="str">
        <v>Shopping Cart section</v>
      </c>
      <c r="C371" s="41">
        <v>5</v>
      </c>
      <c r="D371" s="41" t="str">
        <v>RL</v>
      </c>
      <c r="E371" s="117" t="str">
        <f t="shared" si="0"/>
        <v>RL</v>
      </c>
      <c r="F371" s="41" t="str">
        <v/>
      </c>
      <c r="G371" s="41" t="str">
        <v/>
      </c>
      <c r="H371" s="117">
        <f t="shared" si="1"/>
        <v>0</v>
      </c>
      <c r="I371" s="117">
        <f t="shared" si="2"/>
        <v>10</v>
      </c>
      <c r="J371" s="117">
        <f t="shared" si="3"/>
        <v>10.02</v>
      </c>
      <c r="K371" s="117" t="str">
        <f t="shared" si="4"/>
        <v>BR</v>
      </c>
      <c r="L371" s="42" t="str">
        <v>BR1002</v>
      </c>
      <c r="M371" s="121" t="str">
        <v/>
      </c>
      <c r="N371" s="121" t="str">
        <v/>
      </c>
      <c r="O371" s="121" t="str">
        <v/>
      </c>
      <c r="P371" s="121" t="str">
        <v/>
      </c>
      <c r="Q371" s="121" t="str">
        <v/>
      </c>
      <c r="R371" s="121" t="str">
        <v/>
      </c>
      <c r="S371" s="121" t="str">
        <v>Shopping Cart section</v>
      </c>
      <c r="T371" s="119" t="str">
        <f>IF($C371&lt;4,IF($C371=3,T372,IF($C371=2,T$1,"")),Q371&amp;R371&amp;IF(LEN(S371)=0,"",Preferences!$C$2&amp;S371)&amp;IF(J372=J371,IF(LEN(R371&amp;S371)=0,"","
")&amp;T372,""))</f>
        <v xml:space="preserve">	• Shopping Cart section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1" s="122" t="str">
        <v/>
      </c>
      <c r="V371" s="42"/>
      <c r="W371" s="42"/>
      <c r="X371" s="42"/>
      <c r="Y371" s="42"/>
      <c r="Z371" s="42"/>
      <c r="AA371" s="42"/>
      <c r="AB371" s="42"/>
    </row>
    <row r="372" spans="1:28" x14ac:dyDescent="0.25">
      <c r="A372" s="42" t="str">
        <v>1.10.2.2.4</v>
      </c>
      <c r="B372" s="121" t="str">
        <v>About Us page</v>
      </c>
      <c r="C372" s="41">
        <v>5</v>
      </c>
      <c r="D372" s="41" t="str">
        <v>RL</v>
      </c>
      <c r="E372" s="117" t="str">
        <f t="shared" si="0"/>
        <v>RL</v>
      </c>
      <c r="F372" s="41" t="str">
        <v/>
      </c>
      <c r="G372" s="41" t="str">
        <v/>
      </c>
      <c r="H372" s="117">
        <f t="shared" si="1"/>
        <v>0</v>
      </c>
      <c r="I372" s="117">
        <f t="shared" si="2"/>
        <v>10</v>
      </c>
      <c r="J372" s="117">
        <f t="shared" si="3"/>
        <v>10.02</v>
      </c>
      <c r="K372" s="117" t="str">
        <f t="shared" si="4"/>
        <v>BR</v>
      </c>
      <c r="L372" s="42" t="str">
        <v>BR1002</v>
      </c>
      <c r="M372" s="121" t="str">
        <v/>
      </c>
      <c r="N372" s="121" t="str">
        <v/>
      </c>
      <c r="O372" s="121" t="str">
        <v/>
      </c>
      <c r="P372" s="121" t="str">
        <v/>
      </c>
      <c r="Q372" s="121" t="str">
        <v/>
      </c>
      <c r="R372" s="121" t="str">
        <v/>
      </c>
      <c r="S372" s="121" t="str">
        <v>About Us page</v>
      </c>
      <c r="T372" s="119" t="str">
        <f>IF($C372&lt;4,IF($C372=3,T373,IF($C372=2,T$1,"")),Q372&amp;R372&amp;IF(LEN(S372)=0,"",Preferences!$C$2&amp;S372)&amp;IF(J373=J372,IF(LEN(R372&amp;S372)=0,"","
")&amp;T373,""))</f>
        <v xml:space="preserve">	• About Us page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2" s="122" t="str">
        <v/>
      </c>
      <c r="V372" s="42"/>
      <c r="W372" s="42"/>
      <c r="X372" s="42"/>
      <c r="Y372" s="42"/>
      <c r="Z372" s="42"/>
      <c r="AA372" s="42"/>
      <c r="AB372" s="42"/>
    </row>
    <row r="373" spans="1:28" x14ac:dyDescent="0.25">
      <c r="A373" s="42" t="str">
        <v>1.10.2.2.5</v>
      </c>
      <c r="B373" s="121" t="str">
        <v>Contact Us page</v>
      </c>
      <c r="C373" s="41">
        <v>5</v>
      </c>
      <c r="D373" s="41" t="str">
        <v>RL</v>
      </c>
      <c r="E373" s="117" t="str">
        <f t="shared" si="0"/>
        <v>RL</v>
      </c>
      <c r="F373" s="41" t="str">
        <v/>
      </c>
      <c r="G373" s="41" t="str">
        <v/>
      </c>
      <c r="H373" s="117">
        <f t="shared" si="1"/>
        <v>0</v>
      </c>
      <c r="I373" s="117">
        <f t="shared" si="2"/>
        <v>10</v>
      </c>
      <c r="J373" s="117">
        <f t="shared" si="3"/>
        <v>10.02</v>
      </c>
      <c r="K373" s="117" t="str">
        <f t="shared" si="4"/>
        <v>BR</v>
      </c>
      <c r="L373" s="42" t="str">
        <v>BR1002</v>
      </c>
      <c r="M373" s="121" t="str">
        <v/>
      </c>
      <c r="N373" s="121" t="str">
        <v/>
      </c>
      <c r="O373" s="121" t="str">
        <v/>
      </c>
      <c r="P373" s="121" t="str">
        <v/>
      </c>
      <c r="Q373" s="121" t="str">
        <v/>
      </c>
      <c r="R373" s="121" t="str">
        <v/>
      </c>
      <c r="S373" s="121" t="str">
        <v>Contact Us page</v>
      </c>
      <c r="T373" s="119" t="str">
        <f>IF($C373&lt;4,IF($C373=3,T374,IF($C373=2,T$1,"")),Q373&amp;R373&amp;IF(LEN(S373)=0,"",Preferences!$C$2&amp;S373)&amp;IF(J374=J373,IF(LEN(R373&amp;S373)=0,"","
")&amp;T374,""))</f>
        <v xml:space="preserve">	• Contact Us page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3" s="122" t="str">
        <v/>
      </c>
      <c r="V373" s="42"/>
      <c r="W373" s="42"/>
      <c r="X373" s="42"/>
      <c r="Y373" s="42"/>
      <c r="Z373" s="42"/>
      <c r="AA373" s="42"/>
      <c r="AB373" s="42"/>
    </row>
    <row r="374" spans="1:28" x14ac:dyDescent="0.25">
      <c r="A374" s="42" t="str">
        <v>1.10.2.2.6</v>
      </c>
      <c r="B374" s="121" t="str">
        <v>Customer Profile and History section</v>
      </c>
      <c r="C374" s="41">
        <v>5</v>
      </c>
      <c r="D374" s="41" t="str">
        <v>RL</v>
      </c>
      <c r="E374" s="117" t="str">
        <f t="shared" si="0"/>
        <v>RL</v>
      </c>
      <c r="F374" s="41" t="str">
        <v/>
      </c>
      <c r="G374" s="41" t="str">
        <v/>
      </c>
      <c r="H374" s="117">
        <f t="shared" si="1"/>
        <v>0</v>
      </c>
      <c r="I374" s="117">
        <f t="shared" si="2"/>
        <v>10</v>
      </c>
      <c r="J374" s="117">
        <f t="shared" si="3"/>
        <v>10.02</v>
      </c>
      <c r="K374" s="117" t="str">
        <f t="shared" si="4"/>
        <v>BR</v>
      </c>
      <c r="L374" s="42" t="str">
        <v>BR1002</v>
      </c>
      <c r="M374" s="121" t="str">
        <v/>
      </c>
      <c r="N374" s="121" t="str">
        <v/>
      </c>
      <c r="O374" s="121" t="str">
        <v/>
      </c>
      <c r="P374" s="121" t="str">
        <v/>
      </c>
      <c r="Q374" s="121" t="str">
        <v/>
      </c>
      <c r="R374" s="121" t="str">
        <v/>
      </c>
      <c r="S374" s="121" t="str">
        <v>Customer Profile and History section</v>
      </c>
      <c r="T374" s="119" t="str">
        <f>IF($C374&lt;4,IF($C374=3,T375,IF($C374=2,T$1,"")),Q374&amp;R374&amp;IF(LEN(S374)=0,"",Preferences!$C$2&amp;S374)&amp;IF(J375=J374,IF(LEN(R374&amp;S374)=0,"","
")&amp;T375,""))</f>
        <v xml:space="preserve">	• Customer Profile and History section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4" s="122" t="str">
        <v/>
      </c>
      <c r="V374" s="42"/>
      <c r="W374" s="42"/>
      <c r="X374" s="42"/>
      <c r="Y374" s="42"/>
      <c r="Z374" s="42"/>
      <c r="AA374" s="42"/>
      <c r="AB374" s="42"/>
    </row>
    <row r="375" spans="1:28" x14ac:dyDescent="0.25">
      <c r="A375" s="42" t="str">
        <v>1.10.2.3</v>
      </c>
      <c r="B375" s="121" t="str">
        <v>Main navigation menu options (on every page):</v>
      </c>
      <c r="C375" s="41">
        <v>4</v>
      </c>
      <c r="D375" s="41" t="str">
        <v>RD</v>
      </c>
      <c r="E375" s="117" t="str">
        <f t="shared" si="0"/>
        <v>RD</v>
      </c>
      <c r="F375" s="41" t="str">
        <v/>
      </c>
      <c r="G375" s="41" t="str">
        <v/>
      </c>
      <c r="H375" s="117">
        <f t="shared" si="1"/>
        <v>0</v>
      </c>
      <c r="I375" s="117">
        <f t="shared" si="2"/>
        <v>10</v>
      </c>
      <c r="J375" s="117">
        <f t="shared" si="3"/>
        <v>10.02</v>
      </c>
      <c r="K375" s="117" t="str">
        <f t="shared" si="4"/>
        <v>BR</v>
      </c>
      <c r="L375" s="42" t="str">
        <v>BR1002</v>
      </c>
      <c r="M375" s="121" t="str">
        <v/>
      </c>
      <c r="N375" s="121" t="str">
        <v/>
      </c>
      <c r="O375" s="121" t="str">
        <v/>
      </c>
      <c r="P375" s="121" t="str">
        <v/>
      </c>
      <c r="Q375" s="121" t="str">
        <v xml:space="preserve"> 3. </v>
      </c>
      <c r="R375" s="121" t="str">
        <v>Main navigation menu options (on every page):</v>
      </c>
      <c r="S375" s="121" t="str">
        <v/>
      </c>
      <c r="T375" s="119" t="str">
        <f>IF($C375&lt;4,IF($C375=3,T376,IF($C375=2,T$1,"")),Q375&amp;R375&amp;IF(LEN(S375)=0,"",Preferences!$C$2&amp;S375)&amp;IF(J376=J375,IF(LEN(R375&amp;S375)=0,"","
")&amp;T376,""))</f>
        <v xml:space="preserve"> 3. Main navigation menu options (on every page):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5" s="122" t="str">
        <v/>
      </c>
      <c r="V375" s="42"/>
      <c r="W375" s="42"/>
      <c r="X375" s="42"/>
      <c r="Y375" s="42"/>
      <c r="Z375" s="42"/>
      <c r="AA375" s="42"/>
      <c r="AB375" s="42"/>
    </row>
    <row r="376" spans="1:28" x14ac:dyDescent="0.25">
      <c r="A376" s="42" t="str">
        <v>1.10.2.3.1</v>
      </c>
      <c r="B376" s="121" t="str">
        <v>Home (return to main shopping page)</v>
      </c>
      <c r="C376" s="41">
        <v>5</v>
      </c>
      <c r="D376" s="41" t="str">
        <v>RL</v>
      </c>
      <c r="E376" s="117" t="str">
        <f t="shared" si="0"/>
        <v>RL</v>
      </c>
      <c r="F376" s="41" t="str">
        <v/>
      </c>
      <c r="G376" s="41" t="str">
        <v/>
      </c>
      <c r="H376" s="117">
        <f t="shared" si="1"/>
        <v>0</v>
      </c>
      <c r="I376" s="117">
        <f t="shared" si="2"/>
        <v>10</v>
      </c>
      <c r="J376" s="117">
        <f t="shared" si="3"/>
        <v>10.02</v>
      </c>
      <c r="K376" s="117" t="str">
        <f t="shared" si="4"/>
        <v>BR</v>
      </c>
      <c r="L376" s="42" t="str">
        <v>BR1002</v>
      </c>
      <c r="M376" s="121" t="str">
        <v/>
      </c>
      <c r="N376" s="121" t="str">
        <v/>
      </c>
      <c r="O376" s="121" t="str">
        <v/>
      </c>
      <c r="P376" s="121" t="str">
        <v/>
      </c>
      <c r="Q376" s="121" t="str">
        <v/>
      </c>
      <c r="R376" s="121" t="str">
        <v/>
      </c>
      <c r="S376" s="121" t="str">
        <v>Home (return to main shopping page)</v>
      </c>
      <c r="T376" s="119" t="str">
        <f>IF($C376&lt;4,IF($C376=3,T377,IF($C376=2,T$1,"")),Q376&amp;R376&amp;IF(LEN(S376)=0,"",Preferences!$C$2&amp;S376)&amp;IF(J377=J376,IF(LEN(R376&amp;S376)=0,"","
")&amp;T377,""))</f>
        <v xml:space="preserve">	• Home (return to main shopping page)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6" s="122" t="str">
        <v/>
      </c>
      <c r="V376" s="42"/>
      <c r="W376" s="42"/>
      <c r="X376" s="42"/>
      <c r="Y376" s="42"/>
      <c r="Z376" s="42"/>
      <c r="AA376" s="42"/>
      <c r="AB376" s="42"/>
    </row>
    <row r="377" spans="1:28" x14ac:dyDescent="0.25">
      <c r="A377" s="42" t="str">
        <v>1.10.2.3.2</v>
      </c>
      <c r="B377" s="121" t="str">
        <v>Quick-link to a current special event (e.g. Black Friday, Easter Specials)</v>
      </c>
      <c r="C377" s="41">
        <v>5</v>
      </c>
      <c r="D377" s="41" t="str">
        <v>RL</v>
      </c>
      <c r="E377" s="117" t="str">
        <f t="shared" si="0"/>
        <v>RL</v>
      </c>
      <c r="F377" s="41" t="str">
        <v/>
      </c>
      <c r="G377" s="41" t="str">
        <v/>
      </c>
      <c r="H377" s="117">
        <f t="shared" si="1"/>
        <v>0</v>
      </c>
      <c r="I377" s="117">
        <f t="shared" si="2"/>
        <v>10</v>
      </c>
      <c r="J377" s="117">
        <f t="shared" si="3"/>
        <v>10.02</v>
      </c>
      <c r="K377" s="117" t="str">
        <f t="shared" si="4"/>
        <v>BR</v>
      </c>
      <c r="L377" s="42" t="str">
        <v>BR1002</v>
      </c>
      <c r="M377" s="121" t="str">
        <v/>
      </c>
      <c r="N377" s="121" t="str">
        <v/>
      </c>
      <c r="O377" s="121" t="str">
        <v/>
      </c>
      <c r="P377" s="121" t="str">
        <v/>
      </c>
      <c r="Q377" s="121" t="str">
        <v/>
      </c>
      <c r="R377" s="121" t="str">
        <v/>
      </c>
      <c r="S377" s="121" t="str">
        <v>Quick-link to a current special event (e.g. Black Friday, Easter Specials)</v>
      </c>
      <c r="T377" s="119" t="str">
        <f>IF($C377&lt;4,IF($C377=3,T378,IF($C377=2,T$1,"")),Q377&amp;R377&amp;IF(LEN(S377)=0,"",Preferences!$C$2&amp;S377)&amp;IF(J378=J377,IF(LEN(R377&amp;S377)=0,"","
")&amp;T378,""))</f>
        <v xml:space="preserve">	• Quick-link to a current special event (e.g. Black Friday, Easter Specials)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7" s="122" t="str">
        <v/>
      </c>
      <c r="V377" s="42"/>
      <c r="W377" s="42"/>
      <c r="X377" s="42"/>
      <c r="Y377" s="42"/>
      <c r="Z377" s="42"/>
      <c r="AA377" s="42"/>
      <c r="AB377" s="42"/>
    </row>
    <row r="378" spans="1:28" x14ac:dyDescent="0.25">
      <c r="A378" s="42" t="str">
        <v>1.10.2.3.3</v>
      </c>
      <c r="B378" s="121" t="str">
        <v>Browse by category (categories as sub-items)</v>
      </c>
      <c r="C378" s="41">
        <v>5</v>
      </c>
      <c r="D378" s="41" t="str">
        <v>RL</v>
      </c>
      <c r="E378" s="117" t="str">
        <f t="shared" si="0"/>
        <v>RL</v>
      </c>
      <c r="F378" s="41" t="str">
        <v/>
      </c>
      <c r="G378" s="41" t="str">
        <v/>
      </c>
      <c r="H378" s="117">
        <f t="shared" si="1"/>
        <v>0</v>
      </c>
      <c r="I378" s="117">
        <f t="shared" si="2"/>
        <v>10</v>
      </c>
      <c r="J378" s="117">
        <f t="shared" si="3"/>
        <v>10.02</v>
      </c>
      <c r="K378" s="117" t="str">
        <f t="shared" si="4"/>
        <v>BR</v>
      </c>
      <c r="L378" s="42" t="str">
        <v>BR1002</v>
      </c>
      <c r="M378" s="121" t="str">
        <v/>
      </c>
      <c r="N378" s="121" t="str">
        <v/>
      </c>
      <c r="O378" s="121" t="str">
        <v/>
      </c>
      <c r="P378" s="121" t="str">
        <v/>
      </c>
      <c r="Q378" s="121" t="str">
        <v/>
      </c>
      <c r="R378" s="121" t="str">
        <v/>
      </c>
      <c r="S378" s="121" t="str">
        <v>Browse by category (categories as sub-items)</v>
      </c>
      <c r="T378" s="119" t="str">
        <f>IF($C378&lt;4,IF($C378=3,T379,IF($C378=2,T$1,"")),Q378&amp;R378&amp;IF(LEN(S378)=0,"",Preferences!$C$2&amp;S378)&amp;IF(J379=J378,IF(LEN(R378&amp;S378)=0,"","
")&amp;T379,""))</f>
        <v xml:space="preserve">	• Browse by category (categories as sub-items)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8" s="122" t="str">
        <v/>
      </c>
      <c r="V378" s="42"/>
      <c r="W378" s="42"/>
      <c r="X378" s="42"/>
      <c r="Y378" s="42"/>
      <c r="Z378" s="42"/>
      <c r="AA378" s="42"/>
      <c r="AB378" s="42"/>
    </row>
    <row r="379" spans="1:28" x14ac:dyDescent="0.25">
      <c r="A379" s="42" t="str">
        <v>1.10.2.3.4</v>
      </c>
      <c r="B379" s="121" t="str">
        <v>About Us</v>
      </c>
      <c r="C379" s="41">
        <v>5</v>
      </c>
      <c r="D379" s="41" t="str">
        <v>RL</v>
      </c>
      <c r="E379" s="117" t="str">
        <f t="shared" si="0"/>
        <v>RL</v>
      </c>
      <c r="F379" s="41" t="str">
        <v/>
      </c>
      <c r="G379" s="41" t="str">
        <v/>
      </c>
      <c r="H379" s="117">
        <f t="shared" si="1"/>
        <v>0</v>
      </c>
      <c r="I379" s="117">
        <f t="shared" si="2"/>
        <v>10</v>
      </c>
      <c r="J379" s="117">
        <f t="shared" si="3"/>
        <v>10.02</v>
      </c>
      <c r="K379" s="117" t="str">
        <f t="shared" si="4"/>
        <v>BR</v>
      </c>
      <c r="L379" s="42" t="str">
        <v>BR1002</v>
      </c>
      <c r="M379" s="121" t="str">
        <v/>
      </c>
      <c r="N379" s="121" t="str">
        <v/>
      </c>
      <c r="O379" s="121" t="str">
        <v/>
      </c>
      <c r="P379" s="121" t="str">
        <v/>
      </c>
      <c r="Q379" s="121" t="str">
        <v/>
      </c>
      <c r="R379" s="121" t="str">
        <v/>
      </c>
      <c r="S379" s="121" t="str">
        <v>About Us</v>
      </c>
      <c r="T379" s="119" t="str">
        <f>IF($C379&lt;4,IF($C379=3,T380,IF($C379=2,T$1,"")),Q379&amp;R379&amp;IF(LEN(S379)=0,"",Preferences!$C$2&amp;S379)&amp;IF(J380=J379,IF(LEN(R379&amp;S379)=0,"","
")&amp;T380,""))</f>
        <v xml:space="preserve">	• About Us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79" s="122" t="str">
        <v/>
      </c>
      <c r="V379" s="42"/>
      <c r="W379" s="42"/>
      <c r="X379" s="42"/>
      <c r="Y379" s="42"/>
      <c r="Z379" s="42"/>
      <c r="AA379" s="42"/>
      <c r="AB379" s="42"/>
    </row>
    <row r="380" spans="1:28" x14ac:dyDescent="0.25">
      <c r="A380" s="42" t="str">
        <v>1.10.2.3.5</v>
      </c>
      <c r="B380" s="121" t="str">
        <v>Contact Us</v>
      </c>
      <c r="C380" s="41">
        <v>5</v>
      </c>
      <c r="D380" s="41" t="str">
        <v>RL</v>
      </c>
      <c r="E380" s="117" t="str">
        <f t="shared" si="0"/>
        <v>RL</v>
      </c>
      <c r="F380" s="41" t="str">
        <v/>
      </c>
      <c r="G380" s="41" t="str">
        <v/>
      </c>
      <c r="H380" s="117">
        <f t="shared" si="1"/>
        <v>0</v>
      </c>
      <c r="I380" s="117">
        <f t="shared" si="2"/>
        <v>10</v>
      </c>
      <c r="J380" s="117">
        <f t="shared" si="3"/>
        <v>10.02</v>
      </c>
      <c r="K380" s="117" t="str">
        <f t="shared" si="4"/>
        <v>BR</v>
      </c>
      <c r="L380" s="42" t="str">
        <v>BR1002</v>
      </c>
      <c r="M380" s="121" t="str">
        <v/>
      </c>
      <c r="N380" s="121" t="str">
        <v/>
      </c>
      <c r="O380" s="121" t="str">
        <v/>
      </c>
      <c r="P380" s="121" t="str">
        <v/>
      </c>
      <c r="Q380" s="121" t="str">
        <v/>
      </c>
      <c r="R380" s="121" t="str">
        <v/>
      </c>
      <c r="S380" s="121" t="str">
        <v>Contact Us</v>
      </c>
      <c r="T380" s="119" t="str">
        <f>IF($C380&lt;4,IF($C380=3,T381,IF($C380=2,T$1,"")),Q380&amp;R380&amp;IF(LEN(S380)=0,"",Preferences!$C$2&amp;S380)&amp;IF(J381=J380,IF(LEN(R380&amp;S380)=0,"","
")&amp;T381,""))</f>
        <v xml:space="preserve">	• Contact Us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0" s="122" t="str">
        <v/>
      </c>
      <c r="V380" s="42"/>
      <c r="W380" s="42"/>
      <c r="X380" s="42"/>
      <c r="Y380" s="42"/>
      <c r="Z380" s="42"/>
      <c r="AA380" s="42"/>
      <c r="AB380" s="42"/>
    </row>
    <row r="381" spans="1:28" x14ac:dyDescent="0.25">
      <c r="A381" s="42" t="str">
        <v>1.10.2.4</v>
      </c>
      <c r="B381" s="121" t="str">
        <v>User menu options (on every page):</v>
      </c>
      <c r="C381" s="41">
        <v>4</v>
      </c>
      <c r="D381" s="41" t="str">
        <v>RD</v>
      </c>
      <c r="E381" s="117" t="str">
        <f t="shared" si="0"/>
        <v>RD</v>
      </c>
      <c r="F381" s="41" t="str">
        <v/>
      </c>
      <c r="G381" s="41" t="str">
        <v/>
      </c>
      <c r="H381" s="117">
        <f t="shared" si="1"/>
        <v>0</v>
      </c>
      <c r="I381" s="117">
        <f t="shared" si="2"/>
        <v>10</v>
      </c>
      <c r="J381" s="117">
        <f t="shared" si="3"/>
        <v>10.02</v>
      </c>
      <c r="K381" s="117" t="str">
        <f t="shared" si="4"/>
        <v>BR</v>
      </c>
      <c r="L381" s="42" t="str">
        <v>BR1002</v>
      </c>
      <c r="M381" s="121" t="str">
        <v/>
      </c>
      <c r="N381" s="121" t="str">
        <v/>
      </c>
      <c r="O381" s="121" t="str">
        <v/>
      </c>
      <c r="P381" s="121" t="str">
        <v/>
      </c>
      <c r="Q381" s="121" t="str">
        <v xml:space="preserve"> 4. </v>
      </c>
      <c r="R381" s="121" t="str">
        <v>User menu options (on every page):</v>
      </c>
      <c r="S381" s="121" t="str">
        <v/>
      </c>
      <c r="T381" s="119" t="str">
        <f>IF($C381&lt;4,IF($C381=3,T382,IF($C381=2,T$1,"")),Q381&amp;R381&amp;IF(LEN(S381)=0,"",Preferences!$C$2&amp;S381)&amp;IF(J382=J381,IF(LEN(R381&amp;S381)=0,"","
")&amp;T382,""))</f>
        <v xml:space="preserve"> 4. User menu options (on every page):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1" s="122" t="str">
        <v/>
      </c>
      <c r="V381" s="42"/>
      <c r="W381" s="42"/>
      <c r="X381" s="42"/>
      <c r="Y381" s="42"/>
      <c r="Z381" s="42"/>
      <c r="AA381" s="42"/>
      <c r="AB381" s="42"/>
    </row>
    <row r="382" spans="1:28" x14ac:dyDescent="0.25">
      <c r="A382" s="42" t="str">
        <v>1.10.2.4.1</v>
      </c>
      <c r="B382" s="121" t="str">
        <v>Customer profile</v>
      </c>
      <c r="C382" s="41">
        <v>5</v>
      </c>
      <c r="D382" s="41" t="str">
        <v>RL</v>
      </c>
      <c r="E382" s="117" t="str">
        <f t="shared" si="0"/>
        <v>RL</v>
      </c>
      <c r="F382" s="41" t="str">
        <v/>
      </c>
      <c r="G382" s="41" t="str">
        <v/>
      </c>
      <c r="H382" s="117">
        <f t="shared" si="1"/>
        <v>0</v>
      </c>
      <c r="I382" s="117">
        <f t="shared" si="2"/>
        <v>10</v>
      </c>
      <c r="J382" s="117">
        <f t="shared" si="3"/>
        <v>10.02</v>
      </c>
      <c r="K382" s="117" t="str">
        <f t="shared" si="4"/>
        <v>BR</v>
      </c>
      <c r="L382" s="42" t="str">
        <v>BR1002</v>
      </c>
      <c r="M382" s="121" t="str">
        <v/>
      </c>
      <c r="N382" s="121" t="str">
        <v/>
      </c>
      <c r="O382" s="121" t="str">
        <v/>
      </c>
      <c r="P382" s="121" t="str">
        <v/>
      </c>
      <c r="Q382" s="121" t="str">
        <v/>
      </c>
      <c r="R382" s="121" t="str">
        <v/>
      </c>
      <c r="S382" s="121" t="str">
        <v>Customer profile</v>
      </c>
      <c r="T382" s="119" t="str">
        <f>IF($C382&lt;4,IF($C382=3,T383,IF($C382=2,T$1,"")),Q382&amp;R382&amp;IF(LEN(S382)=0,"",Preferences!$C$2&amp;S382)&amp;IF(J383=J382,IF(LEN(R382&amp;S382)=0,"","
")&amp;T383,""))</f>
        <v xml:space="preserve">	• Customer profile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2" s="122" t="str">
        <v/>
      </c>
      <c r="V382" s="42"/>
      <c r="W382" s="42"/>
      <c r="X382" s="42"/>
      <c r="Y382" s="42"/>
      <c r="Z382" s="42"/>
      <c r="AA382" s="42"/>
      <c r="AB382" s="42"/>
    </row>
    <row r="383" spans="1:28" x14ac:dyDescent="0.25">
      <c r="A383" s="42" t="str">
        <v>1.10.2.4.2</v>
      </c>
      <c r="B383" s="121" t="str">
        <v>Shopping Cart (also show qty products in cart)</v>
      </c>
      <c r="C383" s="41">
        <v>5</v>
      </c>
      <c r="D383" s="41" t="str">
        <v>RL</v>
      </c>
      <c r="E383" s="117" t="str">
        <f t="shared" si="0"/>
        <v>RL</v>
      </c>
      <c r="F383" s="41" t="str">
        <v/>
      </c>
      <c r="G383" s="41" t="str">
        <v/>
      </c>
      <c r="H383" s="117">
        <f t="shared" si="1"/>
        <v>0</v>
      </c>
      <c r="I383" s="117">
        <f t="shared" si="2"/>
        <v>10</v>
      </c>
      <c r="J383" s="117">
        <f t="shared" si="3"/>
        <v>10.02</v>
      </c>
      <c r="K383" s="117" t="str">
        <f t="shared" si="4"/>
        <v>BR</v>
      </c>
      <c r="L383" s="42" t="str">
        <v>BR1002</v>
      </c>
      <c r="M383" s="121" t="str">
        <v/>
      </c>
      <c r="N383" s="121" t="str">
        <v/>
      </c>
      <c r="O383" s="121" t="str">
        <v/>
      </c>
      <c r="P383" s="121" t="str">
        <v/>
      </c>
      <c r="Q383" s="121" t="str">
        <v/>
      </c>
      <c r="R383" s="121" t="str">
        <v/>
      </c>
      <c r="S383" s="121" t="str">
        <v>Shopping Cart (also show qty products in cart)</v>
      </c>
      <c r="T383" s="119" t="str">
        <f>IF($C383&lt;4,IF($C383=3,T384,IF($C383=2,T$1,"")),Q383&amp;R383&amp;IF(LEN(S383)=0,"",Preferences!$C$2&amp;S383)&amp;IF(J384=J383,IF(LEN(R383&amp;S383)=0,"","
")&amp;T384,""))</f>
        <v xml:space="preserve">	• Shopping Cart (also show qty products in cart)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3" s="122" t="str">
        <v/>
      </c>
      <c r="V383" s="42"/>
      <c r="W383" s="42"/>
      <c r="X383" s="42"/>
      <c r="Y383" s="42"/>
      <c r="Z383" s="42"/>
      <c r="AA383" s="42"/>
      <c r="AB383" s="42"/>
    </row>
    <row r="384" spans="1:28" x14ac:dyDescent="0.25">
      <c r="A384" s="42" t="str">
        <v>1.10.2.4.3</v>
      </c>
      <c r="B384" s="121" t="str">
        <v>Orders</v>
      </c>
      <c r="C384" s="41">
        <v>5</v>
      </c>
      <c r="D384" s="41" t="str">
        <v>RL</v>
      </c>
      <c r="E384" s="117" t="str">
        <f t="shared" si="0"/>
        <v>RL</v>
      </c>
      <c r="F384" s="41" t="str">
        <v/>
      </c>
      <c r="G384" s="41" t="str">
        <v/>
      </c>
      <c r="H384" s="117">
        <f t="shared" si="1"/>
        <v>0</v>
      </c>
      <c r="I384" s="117">
        <f t="shared" si="2"/>
        <v>10</v>
      </c>
      <c r="J384" s="117">
        <f t="shared" si="3"/>
        <v>10.02</v>
      </c>
      <c r="K384" s="117" t="str">
        <f t="shared" si="4"/>
        <v>BR</v>
      </c>
      <c r="L384" s="42" t="str">
        <v>BR1002</v>
      </c>
      <c r="M384" s="121" t="str">
        <v/>
      </c>
      <c r="N384" s="121" t="str">
        <v/>
      </c>
      <c r="O384" s="121" t="str">
        <v/>
      </c>
      <c r="P384" s="121" t="str">
        <v/>
      </c>
      <c r="Q384" s="121" t="str">
        <v/>
      </c>
      <c r="R384" s="121" t="str">
        <v/>
      </c>
      <c r="S384" s="121" t="str">
        <v>Orders</v>
      </c>
      <c r="T384" s="119" t="str">
        <f>IF($C384&lt;4,IF($C384=3,T385,IF($C384=2,T$1,"")),Q384&amp;R384&amp;IF(LEN(S384)=0,"",Preferences!$C$2&amp;S384)&amp;IF(J385=J384,IF(LEN(R384&amp;S384)=0,"","
")&amp;T385,""))</f>
        <v xml:space="preserve">	• Orders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4" s="122" t="str">
        <v/>
      </c>
      <c r="V384" s="42"/>
      <c r="W384" s="42"/>
      <c r="X384" s="42"/>
      <c r="Y384" s="42"/>
      <c r="Z384" s="42"/>
      <c r="AA384" s="42"/>
      <c r="AB384" s="42"/>
    </row>
    <row r="385" spans="1:28" x14ac:dyDescent="0.25">
      <c r="A385" s="42" t="str">
        <v>1.10.2.4.4</v>
      </c>
      <c r="B385" s="121" t="str">
        <v>Returns</v>
      </c>
      <c r="C385" s="41">
        <v>5</v>
      </c>
      <c r="D385" s="41" t="str">
        <v>RL</v>
      </c>
      <c r="E385" s="117" t="str">
        <f t="shared" si="0"/>
        <v>RL</v>
      </c>
      <c r="F385" s="41" t="str">
        <v/>
      </c>
      <c r="G385" s="41" t="str">
        <v/>
      </c>
      <c r="H385" s="117">
        <f t="shared" si="1"/>
        <v>0</v>
      </c>
      <c r="I385" s="117">
        <f t="shared" si="2"/>
        <v>10</v>
      </c>
      <c r="J385" s="117">
        <f t="shared" si="3"/>
        <v>10.02</v>
      </c>
      <c r="K385" s="117" t="str">
        <f t="shared" si="4"/>
        <v>BR</v>
      </c>
      <c r="L385" s="42" t="str">
        <v>BR1002</v>
      </c>
      <c r="M385" s="121" t="str">
        <v/>
      </c>
      <c r="N385" s="121" t="str">
        <v/>
      </c>
      <c r="O385" s="121" t="str">
        <v/>
      </c>
      <c r="P385" s="121" t="str">
        <v/>
      </c>
      <c r="Q385" s="121" t="str">
        <v/>
      </c>
      <c r="R385" s="121" t="str">
        <v/>
      </c>
      <c r="S385" s="121" t="str">
        <v>Returns</v>
      </c>
      <c r="T385" s="119" t="str">
        <f>IF($C385&lt;4,IF($C385=3,T386,IF($C385=2,T$1,"")),Q385&amp;R385&amp;IF(LEN(S385)=0,"",Preferences!$C$2&amp;S385)&amp;IF(J386=J385,IF(LEN(R385&amp;S385)=0,"","
")&amp;T386,""))</f>
        <v xml:space="preserve">	• Returns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5" s="122" t="str">
        <v/>
      </c>
      <c r="V385" s="42"/>
      <c r="W385" s="42"/>
      <c r="X385" s="42"/>
      <c r="Y385" s="42"/>
      <c r="Z385" s="42"/>
      <c r="AA385" s="42"/>
      <c r="AB385" s="42"/>
    </row>
    <row r="386" spans="1:28" x14ac:dyDescent="0.25">
      <c r="A386" s="42" t="str">
        <v>1.10.2.4.5</v>
      </c>
      <c r="B386" s="121" t="str">
        <v>Messages</v>
      </c>
      <c r="C386" s="41">
        <v>5</v>
      </c>
      <c r="D386" s="41" t="str">
        <v>RL</v>
      </c>
      <c r="E386" s="117" t="str">
        <f t="shared" si="0"/>
        <v>RL</v>
      </c>
      <c r="F386" s="41" t="str">
        <v/>
      </c>
      <c r="G386" s="41" t="str">
        <v/>
      </c>
      <c r="H386" s="117">
        <f t="shared" si="1"/>
        <v>0</v>
      </c>
      <c r="I386" s="117">
        <f t="shared" si="2"/>
        <v>10</v>
      </c>
      <c r="J386" s="117">
        <f t="shared" si="3"/>
        <v>10.02</v>
      </c>
      <c r="K386" s="117" t="str">
        <f t="shared" si="4"/>
        <v>BR</v>
      </c>
      <c r="L386" s="42" t="str">
        <v>BR1002</v>
      </c>
      <c r="M386" s="121" t="str">
        <v/>
      </c>
      <c r="N386" s="121" t="str">
        <v/>
      </c>
      <c r="O386" s="121" t="str">
        <v/>
      </c>
      <c r="P386" s="121" t="str">
        <v/>
      </c>
      <c r="Q386" s="121" t="str">
        <v/>
      </c>
      <c r="R386" s="121" t="str">
        <v/>
      </c>
      <c r="S386" s="121" t="str">
        <v>Messages</v>
      </c>
      <c r="T386" s="119" t="str">
        <f>IF($C386&lt;4,IF($C386=3,T387,IF($C386=2,T$1,"")),Q386&amp;R386&amp;IF(LEN(S386)=0,"",Preferences!$C$2&amp;S386)&amp;IF(J387=J386,IF(LEN(R386&amp;S386)=0,"","
")&amp;T387,""))</f>
        <v xml:space="preserve">	• Messages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6" s="122" t="str">
        <v/>
      </c>
      <c r="V386" s="42"/>
      <c r="W386" s="42"/>
      <c r="X386" s="42"/>
      <c r="Y386" s="42"/>
      <c r="Z386" s="42"/>
      <c r="AA386" s="42"/>
      <c r="AB386" s="42"/>
    </row>
    <row r="387" spans="1:28" x14ac:dyDescent="0.25">
      <c r="A387" s="42" t="str">
        <v>1.10.2.4.6</v>
      </c>
      <c r="B387" s="121" t="str">
        <v>Logout</v>
      </c>
      <c r="C387" s="41">
        <v>5</v>
      </c>
      <c r="D387" s="41" t="str">
        <v>RL</v>
      </c>
      <c r="E387" s="117" t="str">
        <f t="shared" si="0"/>
        <v>RL</v>
      </c>
      <c r="F387" s="41" t="str">
        <v/>
      </c>
      <c r="G387" s="41" t="str">
        <v/>
      </c>
      <c r="H387" s="117">
        <f t="shared" si="1"/>
        <v>0</v>
      </c>
      <c r="I387" s="117">
        <f t="shared" si="2"/>
        <v>10</v>
      </c>
      <c r="J387" s="117">
        <f t="shared" si="3"/>
        <v>10.02</v>
      </c>
      <c r="K387" s="117" t="str">
        <f t="shared" si="4"/>
        <v>BR</v>
      </c>
      <c r="L387" s="42" t="str">
        <v>BR1002</v>
      </c>
      <c r="M387" s="121" t="str">
        <v/>
      </c>
      <c r="N387" s="121" t="str">
        <v/>
      </c>
      <c r="O387" s="121" t="str">
        <v/>
      </c>
      <c r="P387" s="121" t="str">
        <v/>
      </c>
      <c r="Q387" s="121" t="str">
        <v/>
      </c>
      <c r="R387" s="121" t="str">
        <v/>
      </c>
      <c r="S387" s="121" t="str">
        <v>Logout</v>
      </c>
      <c r="T387" s="119" t="str">
        <f>IF($C387&lt;4,IF($C387=3,T388,IF($C387=2,T$1,"")),Q387&amp;R387&amp;IF(LEN(S387)=0,"",Preferences!$C$2&amp;S387)&amp;IF(J388=J387,IF(LEN(R387&amp;S387)=0,"","
")&amp;T388,""))</f>
        <v xml:space="preserve">	• Logout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7" s="122" t="str">
        <v/>
      </c>
      <c r="V387" s="42"/>
      <c r="W387" s="42"/>
      <c r="X387" s="42"/>
      <c r="Y387" s="42"/>
      <c r="Z387" s="42"/>
      <c r="AA387" s="42"/>
      <c r="AB387" s="42"/>
    </row>
    <row r="388" spans="1:28" x14ac:dyDescent="0.25">
      <c r="A388" s="42" t="str">
        <v>1.10.2.5</v>
      </c>
      <c r="B388" s="121" t="str">
        <v>Home page:</v>
      </c>
      <c r="C388" s="41">
        <v>4</v>
      </c>
      <c r="D388" s="41" t="str">
        <v>RD</v>
      </c>
      <c r="E388" s="117" t="str">
        <f t="shared" si="0"/>
        <v>RD</v>
      </c>
      <c r="F388" s="41" t="str">
        <v/>
      </c>
      <c r="G388" s="41" t="str">
        <v/>
      </c>
      <c r="H388" s="117">
        <f t="shared" si="1"/>
        <v>0</v>
      </c>
      <c r="I388" s="117">
        <f t="shared" si="2"/>
        <v>10</v>
      </c>
      <c r="J388" s="117">
        <f t="shared" si="3"/>
        <v>10.02</v>
      </c>
      <c r="K388" s="117" t="str">
        <f t="shared" si="4"/>
        <v>BR</v>
      </c>
      <c r="L388" s="42" t="str">
        <v>BR1002</v>
      </c>
      <c r="M388" s="121" t="str">
        <v/>
      </c>
      <c r="N388" s="121" t="str">
        <v/>
      </c>
      <c r="O388" s="121" t="str">
        <v/>
      </c>
      <c r="P388" s="121" t="str">
        <v/>
      </c>
      <c r="Q388" s="121" t="str">
        <v xml:space="preserve"> 5. </v>
      </c>
      <c r="R388" s="121" t="str">
        <v>Home page:</v>
      </c>
      <c r="S388" s="121" t="str">
        <v/>
      </c>
      <c r="T388" s="119" t="str">
        <f>IF($C388&lt;4,IF($C388=3,T389,IF($C388=2,T$1,"")),Q388&amp;R388&amp;IF(LEN(S388)=0,"",Preferences!$C$2&amp;S388)&amp;IF(J389=J388,IF(LEN(R388&amp;S388)=0,"","
")&amp;T389,""))</f>
        <v xml:space="preserve"> 5. Home page: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8" s="122" t="str">
        <v/>
      </c>
      <c r="V388" s="42"/>
      <c r="W388" s="42"/>
      <c r="X388" s="42"/>
      <c r="Y388" s="42"/>
      <c r="Z388" s="42"/>
      <c r="AA388" s="42"/>
      <c r="AB388" s="42"/>
    </row>
    <row r="389" spans="1:28" x14ac:dyDescent="0.25">
      <c r="A389" s="42" t="str">
        <v>1.10.2.5.1</v>
      </c>
      <c r="B389" s="121" t="str">
        <v>Present a message welcoming the customer back to to the online shop.</v>
      </c>
      <c r="C389" s="41">
        <v>5</v>
      </c>
      <c r="D389" s="41" t="str">
        <v>RL</v>
      </c>
      <c r="E389" s="117" t="str">
        <f t="shared" si="0"/>
        <v>RL</v>
      </c>
      <c r="F389" s="41" t="str">
        <v/>
      </c>
      <c r="G389" s="41" t="str">
        <v/>
      </c>
      <c r="H389" s="117">
        <f t="shared" si="1"/>
        <v>0</v>
      </c>
      <c r="I389" s="117">
        <f t="shared" si="2"/>
        <v>10</v>
      </c>
      <c r="J389" s="117">
        <f t="shared" si="3"/>
        <v>10.02</v>
      </c>
      <c r="K389" s="117" t="str">
        <f t="shared" si="4"/>
        <v>BR</v>
      </c>
      <c r="L389" s="42" t="str">
        <v>BR1002</v>
      </c>
      <c r="M389" s="121" t="str">
        <v/>
      </c>
      <c r="N389" s="121" t="str">
        <v/>
      </c>
      <c r="O389" s="121" t="str">
        <v/>
      </c>
      <c r="P389" s="121" t="str">
        <v/>
      </c>
      <c r="Q389" s="121" t="str">
        <v/>
      </c>
      <c r="R389" s="121" t="str">
        <v/>
      </c>
      <c r="S389" s="121" t="str">
        <v>Present a message welcoming the customer back to to the online shop.</v>
      </c>
      <c r="T389" s="119" t="str">
        <f>IF($C389&lt;4,IF($C389=3,T390,IF($C389=2,T$1,"")),Q389&amp;R389&amp;IF(LEN(S389)=0,"",Preferences!$C$2&amp;S389)&amp;IF(J390=J389,IF(LEN(R389&amp;S389)=0,"","
")&amp;T390,""))</f>
        <v xml:space="preserve">	• Present a message welcoming the customer back to to the online shop.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89" s="122" t="str">
        <v/>
      </c>
      <c r="V389" s="42"/>
      <c r="W389" s="42"/>
      <c r="X389" s="42"/>
      <c r="Y389" s="42"/>
      <c r="Z389" s="42"/>
      <c r="AA389" s="42"/>
      <c r="AB389" s="42"/>
    </row>
    <row r="390" spans="1:28" x14ac:dyDescent="0.25">
      <c r="A390" s="42" t="str">
        <v>1.10.2.5.1.1</v>
      </c>
      <c r="B390" s="121" t="str">
        <v>Possibly indicate when they last visited.</v>
      </c>
      <c r="C390" s="41">
        <v>6</v>
      </c>
      <c r="D390" s="41" t="str">
        <v>RL</v>
      </c>
      <c r="E390" s="117" t="str">
        <f t="shared" si="0"/>
        <v>RL</v>
      </c>
      <c r="F390" s="41" t="str">
        <v/>
      </c>
      <c r="G390" s="41" t="str">
        <v/>
      </c>
      <c r="H390" s="117">
        <f t="shared" si="1"/>
        <v>0</v>
      </c>
      <c r="I390" s="117">
        <f t="shared" si="2"/>
        <v>10</v>
      </c>
      <c r="J390" s="117">
        <f t="shared" si="3"/>
        <v>10.02</v>
      </c>
      <c r="K390" s="117" t="str">
        <f t="shared" si="4"/>
        <v>BR</v>
      </c>
      <c r="L390" s="42" t="str">
        <v>BR1002</v>
      </c>
      <c r="M390" s="121" t="str">
        <v/>
      </c>
      <c r="N390" s="121" t="str">
        <v/>
      </c>
      <c r="O390" s="121" t="str">
        <v/>
      </c>
      <c r="P390" s="121" t="str">
        <v/>
      </c>
      <c r="Q390" s="121" t="str">
        <v/>
      </c>
      <c r="R390" s="121" t="str">
        <v/>
      </c>
      <c r="S390" s="121" t="str">
        <v>Possibly indicate when they last visited.</v>
      </c>
      <c r="T390" s="119" t="str">
        <f>IF($C390&lt;4,IF($C390=3,T391,IF($C390=2,T$1,"")),Q390&amp;R390&amp;IF(LEN(S390)=0,"",Preferences!$C$2&amp;S390)&amp;IF(J391=J390,IF(LEN(R390&amp;S390)=0,"","
")&amp;T391,""))</f>
        <v xml:space="preserve">	• Possibly indicate when they last visited.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90" s="122" t="str">
        <v/>
      </c>
      <c r="V390" s="42"/>
      <c r="W390" s="42"/>
      <c r="X390" s="42"/>
      <c r="Y390" s="42"/>
      <c r="Z390" s="42"/>
      <c r="AA390" s="42"/>
      <c r="AB390" s="42"/>
    </row>
    <row r="391" spans="1:28" x14ac:dyDescent="0.25">
      <c r="A391" s="42" t="str">
        <v>1.10.2.5.2</v>
      </c>
      <c r="B391" s="121" t="str">
        <v>Alert the customer of any new messages for them from the business, with an option to view the messages.</v>
      </c>
      <c r="C391" s="41">
        <v>5</v>
      </c>
      <c r="D391" s="41" t="str">
        <v>RL</v>
      </c>
      <c r="E391" s="117" t="str">
        <f t="shared" si="0"/>
        <v>RL</v>
      </c>
      <c r="F391" s="41" t="str">
        <v/>
      </c>
      <c r="G391" s="41" t="str">
        <v/>
      </c>
      <c r="H391" s="117">
        <f t="shared" si="1"/>
        <v>0</v>
      </c>
      <c r="I391" s="117">
        <f t="shared" si="2"/>
        <v>10</v>
      </c>
      <c r="J391" s="117">
        <f t="shared" si="3"/>
        <v>10.02</v>
      </c>
      <c r="K391" s="117" t="str">
        <f t="shared" si="4"/>
        <v>BR</v>
      </c>
      <c r="L391" s="42" t="str">
        <v>BR1002</v>
      </c>
      <c r="M391" s="121" t="str">
        <v/>
      </c>
      <c r="N391" s="121" t="str">
        <v/>
      </c>
      <c r="O391" s="121" t="str">
        <v/>
      </c>
      <c r="P391" s="121" t="str">
        <v/>
      </c>
      <c r="Q391" s="121" t="str">
        <v/>
      </c>
      <c r="R391" s="121" t="str">
        <v/>
      </c>
      <c r="S391" s="121" t="str">
        <v>Alert the customer of any new messages for them from the business, with an option to view the messages.</v>
      </c>
      <c r="T391" s="119" t="str">
        <f>IF($C391&lt;4,IF($C391=3,T392,IF($C391=2,T$1,"")),Q391&amp;R391&amp;IF(LEN(S391)=0,"",Preferences!$C$2&amp;S391)&amp;IF(J392=J391,IF(LEN(R391&amp;S391)=0,"","
")&amp;T392,""))</f>
        <v xml:space="preserve">	• Alert the customer of any new messages for them from the business, with an option to view the messages.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91" s="122" t="str">
        <v/>
      </c>
      <c r="V391" s="42"/>
      <c r="W391" s="42"/>
      <c r="X391" s="42"/>
      <c r="Y391" s="42"/>
      <c r="Z391" s="42"/>
      <c r="AA391" s="42"/>
      <c r="AB391" s="42"/>
    </row>
    <row r="392" spans="1:28" x14ac:dyDescent="0.25">
      <c r="A392" s="42" t="str">
        <v>1.10.2.5.3</v>
      </c>
      <c r="B392" s="121" t="str">
        <v>Present a quick-link to any current special event (e.g. Black Friday, Easter Specials)</v>
      </c>
      <c r="C392" s="41">
        <v>5</v>
      </c>
      <c r="D392" s="41" t="str">
        <v>RL</v>
      </c>
      <c r="E392" s="117" t="str">
        <f t="shared" si="0"/>
        <v>RL</v>
      </c>
      <c r="F392" s="41" t="str">
        <v/>
      </c>
      <c r="G392" s="41" t="str">
        <v/>
      </c>
      <c r="H392" s="117">
        <f t="shared" si="1"/>
        <v>0</v>
      </c>
      <c r="I392" s="117">
        <f t="shared" si="2"/>
        <v>10</v>
      </c>
      <c r="J392" s="117">
        <f t="shared" si="3"/>
        <v>10.02</v>
      </c>
      <c r="K392" s="117" t="str">
        <f t="shared" si="4"/>
        <v>BR</v>
      </c>
      <c r="L392" s="42" t="str">
        <v>BR1002</v>
      </c>
      <c r="M392" s="121" t="str">
        <v/>
      </c>
      <c r="N392" s="121" t="str">
        <v/>
      </c>
      <c r="O392" s="121" t="str">
        <v/>
      </c>
      <c r="P392" s="121" t="str">
        <v/>
      </c>
      <c r="Q392" s="121" t="str">
        <v/>
      </c>
      <c r="R392" s="121" t="str">
        <v/>
      </c>
      <c r="S392" s="121" t="str">
        <v>Present a quick-link to any current special event (e.g. Black Friday, Easter Specials)</v>
      </c>
      <c r="T392" s="119" t="str">
        <f>IF($C392&lt;4,IF($C392=3,T393,IF($C392=2,T$1,"")),Q392&amp;R392&amp;IF(LEN(S392)=0,"",Preferences!$C$2&amp;S392)&amp;IF(J393=J392,IF(LEN(R392&amp;S392)=0,"","
")&amp;T393,""))</f>
        <v xml:space="preserve">	• Present a quick-link to any current special event (e.g. Black Friday, Easter Specials)
	• Present the shopfront search function.
	• Present the highest rated advertisements for each main category.
	• If a special event is in effect, give that priority.
	• Apply the customer's family criteria when selecting the results.</v>
      </c>
      <c r="U392" s="122" t="str">
        <v/>
      </c>
      <c r="V392" s="42"/>
      <c r="W392" s="42"/>
      <c r="X392" s="42"/>
      <c r="Y392" s="42"/>
      <c r="Z392" s="42"/>
      <c r="AA392" s="42"/>
      <c r="AB392" s="42"/>
    </row>
    <row r="393" spans="1:28" x14ac:dyDescent="0.25">
      <c r="A393" s="42" t="str">
        <v>1.10.2.5.4</v>
      </c>
      <c r="B393" s="121" t="str">
        <v>Present the shopfront search function.</v>
      </c>
      <c r="C393" s="41">
        <v>5</v>
      </c>
      <c r="D393" s="41" t="str">
        <v>RL</v>
      </c>
      <c r="E393" s="117" t="str">
        <f t="shared" si="0"/>
        <v>RL</v>
      </c>
      <c r="F393" s="41" t="str">
        <v/>
      </c>
      <c r="G393" s="41" t="str">
        <v/>
      </c>
      <c r="H393" s="117">
        <f t="shared" si="1"/>
        <v>0</v>
      </c>
      <c r="I393" s="117">
        <f t="shared" si="2"/>
        <v>10</v>
      </c>
      <c r="J393" s="117">
        <f t="shared" si="3"/>
        <v>10.02</v>
      </c>
      <c r="K393" s="117" t="str">
        <f t="shared" si="4"/>
        <v>BR</v>
      </c>
      <c r="L393" s="42" t="str">
        <v>BR1002</v>
      </c>
      <c r="M393" s="121" t="str">
        <v/>
      </c>
      <c r="N393" s="121" t="str">
        <v/>
      </c>
      <c r="O393" s="121" t="str">
        <v/>
      </c>
      <c r="P393" s="121" t="str">
        <v/>
      </c>
      <c r="Q393" s="121" t="str">
        <v/>
      </c>
      <c r="R393" s="121" t="str">
        <v/>
      </c>
      <c r="S393" s="121" t="str">
        <v>Present the shopfront search function.</v>
      </c>
      <c r="T393" s="119" t="str">
        <f>IF($C393&lt;4,IF($C393=3,T394,IF($C393=2,T$1,"")),Q393&amp;R393&amp;IF(LEN(S393)=0,"",Preferences!$C$2&amp;S393)&amp;IF(J394=J393,IF(LEN(R393&amp;S393)=0,"","
")&amp;T394,""))</f>
        <v xml:space="preserve">	• Present the shopfront search function.
	• Present the highest rated advertisements for each main category.
	• If a special event is in effect, give that priority.
	• Apply the customer's family criteria when selecting the results.</v>
      </c>
      <c r="U393" s="122" t="str">
        <v/>
      </c>
      <c r="V393" s="42"/>
      <c r="W393" s="42"/>
      <c r="X393" s="42"/>
      <c r="Y393" s="42"/>
      <c r="Z393" s="42"/>
      <c r="AA393" s="42"/>
      <c r="AB393" s="42"/>
    </row>
    <row r="394" spans="1:28" x14ac:dyDescent="0.25">
      <c r="A394" s="42" t="str">
        <v>1.10.2.5.5</v>
      </c>
      <c r="B394" s="121" t="str">
        <v>Present the highest rated advertisements for each main category.</v>
      </c>
      <c r="C394" s="41">
        <v>5</v>
      </c>
      <c r="D394" s="41" t="str">
        <v>RL</v>
      </c>
      <c r="E394" s="117" t="str">
        <f t="shared" si="0"/>
        <v>RL</v>
      </c>
      <c r="F394" s="41" t="str">
        <v/>
      </c>
      <c r="G394" s="41" t="str">
        <v/>
      </c>
      <c r="H394" s="117">
        <f t="shared" si="1"/>
        <v>0</v>
      </c>
      <c r="I394" s="117">
        <f t="shared" si="2"/>
        <v>10</v>
      </c>
      <c r="J394" s="117">
        <f t="shared" si="3"/>
        <v>10.02</v>
      </c>
      <c r="K394" s="117" t="str">
        <f t="shared" si="4"/>
        <v>BR</v>
      </c>
      <c r="L394" s="42" t="str">
        <v>BR1002</v>
      </c>
      <c r="M394" s="121" t="str">
        <v/>
      </c>
      <c r="N394" s="121" t="str">
        <v/>
      </c>
      <c r="O394" s="121" t="str">
        <v/>
      </c>
      <c r="P394" s="121" t="str">
        <v/>
      </c>
      <c r="Q394" s="121" t="str">
        <v/>
      </c>
      <c r="R394" s="121" t="str">
        <v/>
      </c>
      <c r="S394" s="121" t="str">
        <v>Present the highest rated advertisements for each main category.</v>
      </c>
      <c r="T394" s="119" t="str">
        <f>IF($C394&lt;4,IF($C394=3,T395,IF($C394=2,T$1,"")),Q394&amp;R394&amp;IF(LEN(S394)=0,"",Preferences!$C$2&amp;S394)&amp;IF(J395=J394,IF(LEN(R394&amp;S394)=0,"","
")&amp;T395,""))</f>
        <v xml:space="preserve">	• Present the highest rated advertisements for each main category.
	• If a special event is in effect, give that priority.
	• Apply the customer's family criteria when selecting the results.</v>
      </c>
      <c r="U394" s="122" t="str">
        <v/>
      </c>
      <c r="V394" s="42"/>
      <c r="W394" s="42"/>
      <c r="X394" s="42"/>
      <c r="Y394" s="42"/>
      <c r="Z394" s="42"/>
      <c r="AA394" s="42"/>
      <c r="AB394" s="42"/>
    </row>
    <row r="395" spans="1:28" x14ac:dyDescent="0.25">
      <c r="A395" s="42" t="str">
        <v>1.10.2.5.5.1</v>
      </c>
      <c r="B395" s="121" t="str">
        <v>If a special event is in effect, give that priority.</v>
      </c>
      <c r="C395" s="41">
        <v>6</v>
      </c>
      <c r="D395" s="41" t="str">
        <v>RL</v>
      </c>
      <c r="E395" s="117" t="str">
        <f t="shared" si="0"/>
        <v>RL</v>
      </c>
      <c r="F395" s="41" t="str">
        <v/>
      </c>
      <c r="G395" s="41" t="str">
        <v/>
      </c>
      <c r="H395" s="117">
        <f t="shared" si="1"/>
        <v>0</v>
      </c>
      <c r="I395" s="117">
        <f t="shared" si="2"/>
        <v>10</v>
      </c>
      <c r="J395" s="117">
        <f t="shared" si="3"/>
        <v>10.02</v>
      </c>
      <c r="K395" s="117" t="str">
        <f t="shared" si="4"/>
        <v>BR</v>
      </c>
      <c r="L395" s="42" t="str">
        <v>BR1002</v>
      </c>
      <c r="M395" s="121" t="str">
        <v/>
      </c>
      <c r="N395" s="121" t="str">
        <v/>
      </c>
      <c r="O395" s="121" t="str">
        <v/>
      </c>
      <c r="P395" s="121" t="str">
        <v/>
      </c>
      <c r="Q395" s="121" t="str">
        <v/>
      </c>
      <c r="R395" s="121" t="str">
        <v/>
      </c>
      <c r="S395" s="121" t="str">
        <v>If a special event is in effect, give that priority.</v>
      </c>
      <c r="T395" s="119" t="str">
        <f>IF($C395&lt;4,IF($C395=3,T396,IF($C395=2,T$1,"")),Q395&amp;R395&amp;IF(LEN(S395)=0,"",Preferences!$C$2&amp;S395)&amp;IF(J396=J395,IF(LEN(R395&amp;S395)=0,"","
")&amp;T396,""))</f>
        <v xml:space="preserve">	• If a special event is in effect, give that priority.
	• Apply the customer's family criteria when selecting the results.</v>
      </c>
      <c r="U395" s="122" t="str">
        <v/>
      </c>
      <c r="V395" s="42"/>
      <c r="W395" s="42"/>
      <c r="X395" s="42"/>
      <c r="Y395" s="42"/>
      <c r="Z395" s="42"/>
      <c r="AA395" s="42"/>
      <c r="AB395" s="42"/>
    </row>
    <row r="396" spans="1:28" x14ac:dyDescent="0.25">
      <c r="A396" s="42" t="str">
        <v>1.10.2.5.5.2</v>
      </c>
      <c r="B396" s="121" t="str">
        <v>Apply the customer's family criteria when selecting the results.</v>
      </c>
      <c r="C396" s="41">
        <v>6</v>
      </c>
      <c r="D396" s="41" t="str">
        <v>RL</v>
      </c>
      <c r="E396" s="117" t="str">
        <f t="shared" si="0"/>
        <v>RL</v>
      </c>
      <c r="F396" s="41" t="str">
        <v/>
      </c>
      <c r="G396" s="41" t="str">
        <v/>
      </c>
      <c r="H396" s="117">
        <f t="shared" si="1"/>
        <v>0</v>
      </c>
      <c r="I396" s="117">
        <f t="shared" si="2"/>
        <v>10</v>
      </c>
      <c r="J396" s="117">
        <f t="shared" si="3"/>
        <v>10.02</v>
      </c>
      <c r="K396" s="117" t="str">
        <f t="shared" si="4"/>
        <v>BR</v>
      </c>
      <c r="L396" s="42" t="str">
        <v>BR1002</v>
      </c>
      <c r="M396" s="121" t="str">
        <v/>
      </c>
      <c r="N396" s="121" t="str">
        <v/>
      </c>
      <c r="O396" s="121" t="str">
        <v/>
      </c>
      <c r="P396" s="121" t="str">
        <v/>
      </c>
      <c r="Q396" s="121" t="str">
        <v/>
      </c>
      <c r="R396" s="121" t="str">
        <v/>
      </c>
      <c r="S396" s="121" t="str">
        <v>Apply the customer's family criteria when selecting the results.</v>
      </c>
      <c r="T396" s="119" t="str">
        <f>IF($C396&lt;4,IF($C396=3,T397,IF($C396=2,T$1,"")),Q396&amp;R396&amp;IF(LEN(S396)=0,"",Preferences!$C$2&amp;S396)&amp;IF(J397=J396,IF(LEN(R396&amp;S396)=0,"","
")&amp;T397,""))</f>
        <v xml:space="preserve">	• Apply the customer's family criteria when selecting the results.</v>
      </c>
      <c r="U396" s="122" t="str">
        <v/>
      </c>
      <c r="V396" s="42"/>
      <c r="W396" s="42"/>
      <c r="X396" s="42"/>
      <c r="Y396" s="42"/>
      <c r="Z396" s="42"/>
      <c r="AA396" s="42"/>
      <c r="AB396" s="42"/>
    </row>
    <row r="397" spans="1:28" x14ac:dyDescent="0.25">
      <c r="A397" s="42" t="str">
        <v>1.10.3</v>
      </c>
      <c r="B397" s="121" t="str">
        <v>10.3 Present an online shop for logged-in back-office users</v>
      </c>
      <c r="C397" s="41">
        <v>3</v>
      </c>
      <c r="D397" s="41" t="str">
        <v>R</v>
      </c>
      <c r="E397" s="117" t="str">
        <f t="shared" si="0"/>
        <v>R</v>
      </c>
      <c r="F397" s="41" t="str">
        <v/>
      </c>
      <c r="G397" s="41" t="str">
        <v/>
      </c>
      <c r="H397" s="117">
        <f t="shared" si="1"/>
        <v>0</v>
      </c>
      <c r="I397" s="117">
        <f t="shared" si="2"/>
        <v>10</v>
      </c>
      <c r="J397" s="117">
        <f t="shared" si="3"/>
        <v>10.029999999999999</v>
      </c>
      <c r="K397" s="117" t="str">
        <f t="shared" si="4"/>
        <v>BR</v>
      </c>
      <c r="L397" s="42" t="str">
        <v>BR1003</v>
      </c>
      <c r="M397" s="121" t="str">
        <v/>
      </c>
      <c r="N397" s="121" t="str">
        <v/>
      </c>
      <c r="O397" s="121" t="str">
        <v>BR1003</v>
      </c>
      <c r="P397" s="121" t="str">
        <v>Present an online shop for logged-in back-office users</v>
      </c>
      <c r="Q397" s="121" t="str">
        <v/>
      </c>
      <c r="R397" s="121" t="str">
        <v/>
      </c>
      <c r="S397" s="121" t="str">
        <v/>
      </c>
      <c r="T397" s="119" t="str">
        <f>IF($C397&lt;4,IF($C397=3,T398,IF($C397=2,T$1,"")),Q397&amp;R397&amp;IF(LEN(S397)=0,"",Preferences!$C$2&amp;S397)&amp;IF(J398=J397,IF(LEN(R397&amp;S397)=0,"","
")&amp;T398,""))</f>
        <v xml:space="preserve"> 1. The online shop must be presented as follows for back-office users that are required to use the online shop front-end:
	• For a supplier fulfilment user, refer to the View and print the customer documentation for a supplier from the online shop requirement in the Supplier Orders Fulfilment section
 2. Online shop sections: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397" s="122" t="str">
        <v/>
      </c>
      <c r="V397" s="42"/>
      <c r="W397" s="42"/>
      <c r="X397" s="42"/>
      <c r="Y397" s="42"/>
      <c r="Z397" s="42"/>
      <c r="AA397" s="42"/>
      <c r="AB397" s="42"/>
    </row>
    <row r="398" spans="1:28" x14ac:dyDescent="0.25">
      <c r="A398" s="42" t="str">
        <v>1.10.3.1</v>
      </c>
      <c r="B398" s="121" t="str">
        <v>The online shop must be presented as follows for back-office users that are required to use the online shop front-end:</v>
      </c>
      <c r="C398" s="41">
        <v>4</v>
      </c>
      <c r="D398" s="41" t="str">
        <v>RD</v>
      </c>
      <c r="E398" s="117" t="str">
        <f t="shared" si="0"/>
        <v>RD</v>
      </c>
      <c r="F398" s="41" t="str">
        <v/>
      </c>
      <c r="G398" s="41" t="str">
        <v/>
      </c>
      <c r="H398" s="117">
        <f t="shared" si="1"/>
        <v>0</v>
      </c>
      <c r="I398" s="117">
        <f t="shared" si="2"/>
        <v>10</v>
      </c>
      <c r="J398" s="117">
        <f t="shared" si="3"/>
        <v>10.029999999999999</v>
      </c>
      <c r="K398" s="117" t="str">
        <f t="shared" si="4"/>
        <v>BR</v>
      </c>
      <c r="L398" s="42" t="str">
        <v>BR1003</v>
      </c>
      <c r="M398" s="121" t="str">
        <v/>
      </c>
      <c r="N398" s="121" t="str">
        <v/>
      </c>
      <c r="O398" s="121" t="str">
        <v/>
      </c>
      <c r="P398" s="121" t="str">
        <v/>
      </c>
      <c r="Q398" s="121" t="str">
        <v xml:space="preserve"> 1. </v>
      </c>
      <c r="R398" s="121" t="str">
        <v>The online shop must be presented as follows for back-office users that are required to use the online shop front-end:</v>
      </c>
      <c r="S398" s="121" t="str">
        <v/>
      </c>
      <c r="T398" s="119" t="str">
        <f>IF($C398&lt;4,IF($C398=3,T399,IF($C398=2,T$1,"")),Q398&amp;R398&amp;IF(LEN(S398)=0,"",Preferences!$C$2&amp;S398)&amp;IF(J399=J398,IF(LEN(R398&amp;S398)=0,"","
")&amp;T399,""))</f>
        <v xml:space="preserve"> 1. The online shop must be presented as follows for back-office users that are required to use the online shop front-end:
	• For a supplier fulfilment user, refer to the View and print the customer documentation for a supplier from the online shop requirement in the Supplier Orders Fulfilment section
 2. Online shop sections: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398" s="122" t="str">
        <v/>
      </c>
      <c r="V398" s="42"/>
      <c r="W398" s="42"/>
      <c r="X398" s="42"/>
      <c r="Y398" s="42"/>
      <c r="Z398" s="42"/>
      <c r="AA398" s="42"/>
      <c r="AB398" s="42"/>
    </row>
    <row r="399" spans="1:28" x14ac:dyDescent="0.25">
      <c r="A399" s="42" t="str">
        <v>1.10.3.1.1</v>
      </c>
      <c r="B399" s="121" t="str">
        <v>For a supplier fulfilment user, refer to the View and print the customer documentation for a supplier from the online shop requirement in the Supplier Orders Fulfilment section</v>
      </c>
      <c r="C399" s="41">
        <v>5</v>
      </c>
      <c r="D399" s="41" t="str">
        <v>RL</v>
      </c>
      <c r="E399" s="117" t="str">
        <f t="shared" si="0"/>
        <v>RL</v>
      </c>
      <c r="F399" s="41" t="str">
        <v/>
      </c>
      <c r="G399" s="41" t="str">
        <v/>
      </c>
      <c r="H399" s="117">
        <f t="shared" si="1"/>
        <v>0</v>
      </c>
      <c r="I399" s="117">
        <f t="shared" si="2"/>
        <v>10</v>
      </c>
      <c r="J399" s="117">
        <f t="shared" si="3"/>
        <v>10.029999999999999</v>
      </c>
      <c r="K399" s="117" t="str">
        <f t="shared" si="4"/>
        <v>BR</v>
      </c>
      <c r="L399" s="42" t="str">
        <v>BR1003</v>
      </c>
      <c r="M399" s="121" t="str">
        <v/>
      </c>
      <c r="N399" s="121" t="str">
        <v/>
      </c>
      <c r="O399" s="121" t="str">
        <v/>
      </c>
      <c r="P399" s="121" t="str">
        <v/>
      </c>
      <c r="Q399" s="121" t="str">
        <v/>
      </c>
      <c r="R399" s="121" t="str">
        <v/>
      </c>
      <c r="S399" s="121" t="str">
        <v>For a supplier fulfilment user, refer to the View and print the customer documentation for a supplier from the online shop requirement in the Supplier Orders Fulfilment section</v>
      </c>
      <c r="T399" s="119" t="str">
        <f>IF($C399&lt;4,IF($C399=3,T400,IF($C399=2,T$1,"")),Q399&amp;R399&amp;IF(LEN(S399)=0,"",Preferences!$C$2&amp;S399)&amp;IF(J400=J399,IF(LEN(R399&amp;S399)=0,"","
")&amp;T400,""))</f>
        <v xml:space="preserve">	• For a supplier fulfilment user, refer to the View and print the customer documentation for a supplier from the online shop requirement in the Supplier Orders Fulfilment section
 2. Online shop sections: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399" s="122" t="str">
        <v/>
      </c>
      <c r="V399" s="42"/>
      <c r="W399" s="42"/>
      <c r="X399" s="42"/>
      <c r="Y399" s="42"/>
      <c r="Z399" s="42"/>
      <c r="AA399" s="42"/>
      <c r="AB399" s="42"/>
    </row>
    <row r="400" spans="1:28" x14ac:dyDescent="0.25">
      <c r="A400" s="42" t="str">
        <v>1.10.3.2</v>
      </c>
      <c r="B400" s="121" t="str">
        <v>Online shop sections:</v>
      </c>
      <c r="C400" s="41">
        <v>4</v>
      </c>
      <c r="D400" s="41" t="str">
        <v>RD</v>
      </c>
      <c r="E400" s="117" t="str">
        <f t="shared" si="0"/>
        <v>RD</v>
      </c>
      <c r="F400" s="41" t="str">
        <v/>
      </c>
      <c r="G400" s="41" t="str">
        <v/>
      </c>
      <c r="H400" s="117">
        <f t="shared" si="1"/>
        <v>0</v>
      </c>
      <c r="I400" s="117">
        <f t="shared" si="2"/>
        <v>10</v>
      </c>
      <c r="J400" s="117">
        <f t="shared" si="3"/>
        <v>10.029999999999999</v>
      </c>
      <c r="K400" s="117" t="str">
        <f t="shared" si="4"/>
        <v>BR</v>
      </c>
      <c r="L400" s="42" t="str">
        <v>BR1003</v>
      </c>
      <c r="M400" s="121" t="str">
        <v/>
      </c>
      <c r="N400" s="121" t="str">
        <v/>
      </c>
      <c r="O400" s="121" t="str">
        <v/>
      </c>
      <c r="P400" s="121" t="str">
        <v/>
      </c>
      <c r="Q400" s="121" t="str">
        <v xml:space="preserve"> 2. </v>
      </c>
      <c r="R400" s="121" t="str">
        <v>Online shop sections:</v>
      </c>
      <c r="S400" s="121" t="str">
        <v/>
      </c>
      <c r="T400" s="119" t="str">
        <f>IF($C400&lt;4,IF($C400=3,T401,IF($C400=2,T$1,"")),Q400&amp;R400&amp;IF(LEN(S400)=0,"",Preferences!$C$2&amp;S400)&amp;IF(J401=J400,IF(LEN(R400&amp;S400)=0,"","
")&amp;T401,""))</f>
        <v xml:space="preserve"> 2. Online shop sections: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0" s="122" t="str">
        <v/>
      </c>
      <c r="V400" s="42"/>
      <c r="W400" s="42"/>
      <c r="X400" s="42"/>
      <c r="Y400" s="42"/>
      <c r="Z400" s="42"/>
      <c r="AA400" s="42"/>
      <c r="AB400" s="42"/>
    </row>
    <row r="401" spans="1:28" x14ac:dyDescent="0.25">
      <c r="A401" s="42" t="str">
        <v>1.10.3.2.1</v>
      </c>
      <c r="B401" s="121" t="str">
        <v>Back-end Administration section applicable to the user (home page)</v>
      </c>
      <c r="C401" s="41">
        <v>5</v>
      </c>
      <c r="D401" s="41" t="str">
        <v>RL</v>
      </c>
      <c r="E401" s="117" t="str">
        <f t="shared" si="0"/>
        <v>RL</v>
      </c>
      <c r="F401" s="41" t="str">
        <v/>
      </c>
      <c r="G401" s="41" t="str">
        <v/>
      </c>
      <c r="H401" s="117">
        <f t="shared" si="1"/>
        <v>0</v>
      </c>
      <c r="I401" s="117">
        <f t="shared" si="2"/>
        <v>10</v>
      </c>
      <c r="J401" s="117">
        <f t="shared" si="3"/>
        <v>10.029999999999999</v>
      </c>
      <c r="K401" s="117" t="str">
        <f t="shared" si="4"/>
        <v>BR</v>
      </c>
      <c r="L401" s="42" t="str">
        <v>BR1003</v>
      </c>
      <c r="M401" s="121" t="str">
        <v/>
      </c>
      <c r="N401" s="121" t="str">
        <v/>
      </c>
      <c r="O401" s="121" t="str">
        <v/>
      </c>
      <c r="P401" s="121" t="str">
        <v/>
      </c>
      <c r="Q401" s="121" t="str">
        <v/>
      </c>
      <c r="R401" s="121" t="str">
        <v/>
      </c>
      <c r="S401" s="121" t="str">
        <v>Back-end Administration section applicable to the user (home page)</v>
      </c>
      <c r="T401" s="119" t="str">
        <f>IF($C401&lt;4,IF($C401=3,T402,IF($C401=2,T$1,"")),Q401&amp;R401&amp;IF(LEN(S401)=0,"",Preferences!$C$2&amp;S401)&amp;IF(J402=J401,IF(LEN(R401&amp;S401)=0,"","
")&amp;T402,""))</f>
        <v xml:space="preserve">	• Back-end Administration section applicable to the user (home page)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1" s="122" t="str">
        <v/>
      </c>
      <c r="V401" s="42"/>
      <c r="W401" s="42"/>
      <c r="X401" s="42"/>
      <c r="Y401" s="42"/>
      <c r="Z401" s="42"/>
      <c r="AA401" s="42"/>
      <c r="AB401" s="42"/>
    </row>
    <row r="402" spans="1:28" x14ac:dyDescent="0.25">
      <c r="A402" s="42" t="str">
        <v>1.10.3.2.2</v>
      </c>
      <c r="B402" s="121" t="str">
        <v>About Us page</v>
      </c>
      <c r="C402" s="41">
        <v>5</v>
      </c>
      <c r="D402" s="41" t="str">
        <v>RL</v>
      </c>
      <c r="E402" s="117" t="str">
        <f t="shared" si="0"/>
        <v>RL</v>
      </c>
      <c r="F402" s="41" t="str">
        <v/>
      </c>
      <c r="G402" s="41" t="str">
        <v/>
      </c>
      <c r="H402" s="117">
        <f t="shared" si="1"/>
        <v>0</v>
      </c>
      <c r="I402" s="117">
        <f t="shared" si="2"/>
        <v>10</v>
      </c>
      <c r="J402" s="117">
        <f t="shared" si="3"/>
        <v>10.029999999999999</v>
      </c>
      <c r="K402" s="117" t="str">
        <f t="shared" si="4"/>
        <v>BR</v>
      </c>
      <c r="L402" s="42" t="str">
        <v>BR1003</v>
      </c>
      <c r="M402" s="121" t="str">
        <v/>
      </c>
      <c r="N402" s="121" t="str">
        <v/>
      </c>
      <c r="O402" s="121" t="str">
        <v/>
      </c>
      <c r="P402" s="121" t="str">
        <v/>
      </c>
      <c r="Q402" s="121" t="str">
        <v/>
      </c>
      <c r="R402" s="121" t="str">
        <v/>
      </c>
      <c r="S402" s="121" t="str">
        <v>About Us page</v>
      </c>
      <c r="T402" s="119" t="str">
        <f>IF($C402&lt;4,IF($C402=3,T403,IF($C402=2,T$1,"")),Q402&amp;R402&amp;IF(LEN(S402)=0,"",Preferences!$C$2&amp;S402)&amp;IF(J403=J402,IF(LEN(R402&amp;S402)=0,"","
")&amp;T403,""))</f>
        <v xml:space="preserve">	• About Us page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2" s="122" t="str">
        <v/>
      </c>
      <c r="V402" s="42"/>
      <c r="W402" s="42"/>
      <c r="X402" s="42"/>
      <c r="Y402" s="42"/>
      <c r="Z402" s="42"/>
      <c r="AA402" s="42"/>
      <c r="AB402" s="42"/>
    </row>
    <row r="403" spans="1:28" x14ac:dyDescent="0.25">
      <c r="A403" s="42" t="str">
        <v>1.10.3.2.3</v>
      </c>
      <c r="B403" s="121" t="str">
        <v>Contact Us page</v>
      </c>
      <c r="C403" s="41">
        <v>5</v>
      </c>
      <c r="D403" s="41" t="str">
        <v>RL</v>
      </c>
      <c r="E403" s="117" t="str">
        <f t="shared" si="0"/>
        <v>RL</v>
      </c>
      <c r="F403" s="41" t="str">
        <v/>
      </c>
      <c r="G403" s="41" t="str">
        <v/>
      </c>
      <c r="H403" s="117">
        <f t="shared" si="1"/>
        <v>0</v>
      </c>
      <c r="I403" s="117">
        <f t="shared" si="2"/>
        <v>10</v>
      </c>
      <c r="J403" s="117">
        <f t="shared" si="3"/>
        <v>10.029999999999999</v>
      </c>
      <c r="K403" s="117" t="str">
        <f t="shared" si="4"/>
        <v>BR</v>
      </c>
      <c r="L403" s="42" t="str">
        <v>BR1003</v>
      </c>
      <c r="M403" s="121" t="str">
        <v/>
      </c>
      <c r="N403" s="121" t="str">
        <v/>
      </c>
      <c r="O403" s="121" t="str">
        <v/>
      </c>
      <c r="P403" s="121" t="str">
        <v/>
      </c>
      <c r="Q403" s="121" t="str">
        <v/>
      </c>
      <c r="R403" s="121" t="str">
        <v/>
      </c>
      <c r="S403" s="121" t="str">
        <v>Contact Us page</v>
      </c>
      <c r="T403" s="119" t="str">
        <f>IF($C403&lt;4,IF($C403=3,T404,IF($C403=2,T$1,"")),Q403&amp;R403&amp;IF(LEN(S403)=0,"",Preferences!$C$2&amp;S403)&amp;IF(J404=J403,IF(LEN(R403&amp;S403)=0,"","
")&amp;T404,""))</f>
        <v xml:space="preserve">	• Contact Us page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3" s="122" t="str">
        <v/>
      </c>
      <c r="V403" s="42"/>
      <c r="W403" s="42"/>
      <c r="X403" s="42"/>
      <c r="Y403" s="42"/>
      <c r="Z403" s="42"/>
      <c r="AA403" s="42"/>
      <c r="AB403" s="42"/>
    </row>
    <row r="404" spans="1:28" x14ac:dyDescent="0.25">
      <c r="A404" s="42" t="str">
        <v>1.10.3.2.4</v>
      </c>
      <c r="B404" s="121" t="str">
        <v>User Profile</v>
      </c>
      <c r="C404" s="41">
        <v>5</v>
      </c>
      <c r="D404" s="41" t="str">
        <v>RL</v>
      </c>
      <c r="E404" s="117" t="str">
        <f t="shared" si="0"/>
        <v>RL</v>
      </c>
      <c r="F404" s="41" t="str">
        <v/>
      </c>
      <c r="G404" s="41" t="str">
        <v/>
      </c>
      <c r="H404" s="117">
        <f t="shared" si="1"/>
        <v>0</v>
      </c>
      <c r="I404" s="117">
        <f t="shared" si="2"/>
        <v>10</v>
      </c>
      <c r="J404" s="117">
        <f t="shared" si="3"/>
        <v>10.029999999999999</v>
      </c>
      <c r="K404" s="117" t="str">
        <f t="shared" si="4"/>
        <v>BR</v>
      </c>
      <c r="L404" s="42" t="str">
        <v>BR1003</v>
      </c>
      <c r="M404" s="121" t="str">
        <v/>
      </c>
      <c r="N404" s="121" t="str">
        <v/>
      </c>
      <c r="O404" s="121" t="str">
        <v/>
      </c>
      <c r="P404" s="121" t="str">
        <v/>
      </c>
      <c r="Q404" s="121" t="str">
        <v/>
      </c>
      <c r="R404" s="121" t="str">
        <v/>
      </c>
      <c r="S404" s="121" t="str">
        <v>User Profile</v>
      </c>
      <c r="T404" s="119" t="str">
        <f>IF($C404&lt;4,IF($C404=3,T405,IF($C404=2,T$1,"")),Q404&amp;R404&amp;IF(LEN(S404)=0,"",Preferences!$C$2&amp;S404)&amp;IF(J405=J404,IF(LEN(R404&amp;S404)=0,"","
")&amp;T405,""))</f>
        <v xml:space="preserve">	• User Profile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4" s="122" t="str">
        <v/>
      </c>
      <c r="V404" s="42"/>
      <c r="W404" s="42"/>
      <c r="X404" s="42"/>
      <c r="Y404" s="42"/>
      <c r="Z404" s="42"/>
      <c r="AA404" s="42"/>
      <c r="AB404" s="42"/>
    </row>
    <row r="405" spans="1:28" x14ac:dyDescent="0.25">
      <c r="A405" s="42" t="str">
        <v>1.10.3.3</v>
      </c>
      <c r="B405" s="121" t="str">
        <v>Main navigation menu options (on every page):</v>
      </c>
      <c r="C405" s="41">
        <v>4</v>
      </c>
      <c r="D405" s="41" t="str">
        <v>RD</v>
      </c>
      <c r="E405" s="117" t="str">
        <f t="shared" si="0"/>
        <v>RD</v>
      </c>
      <c r="F405" s="41" t="str">
        <v/>
      </c>
      <c r="G405" s="41" t="str">
        <v/>
      </c>
      <c r="H405" s="117">
        <f t="shared" si="1"/>
        <v>0</v>
      </c>
      <c r="I405" s="117">
        <f t="shared" si="2"/>
        <v>10</v>
      </c>
      <c r="J405" s="117">
        <f t="shared" si="3"/>
        <v>10.029999999999999</v>
      </c>
      <c r="K405" s="117" t="str">
        <f t="shared" si="4"/>
        <v>BR</v>
      </c>
      <c r="L405" s="42" t="str">
        <v>BR1003</v>
      </c>
      <c r="M405" s="121" t="str">
        <v/>
      </c>
      <c r="N405" s="121" t="str">
        <v/>
      </c>
      <c r="O405" s="121" t="str">
        <v/>
      </c>
      <c r="P405" s="121" t="str">
        <v/>
      </c>
      <c r="Q405" s="121" t="str">
        <v xml:space="preserve"> 3. </v>
      </c>
      <c r="R405" s="121" t="str">
        <v>Main navigation menu options (on every page):</v>
      </c>
      <c r="S405" s="121" t="str">
        <v/>
      </c>
      <c r="T405" s="119" t="str">
        <f>IF($C405&lt;4,IF($C405=3,T406,IF($C405=2,T$1,"")),Q405&amp;R405&amp;IF(LEN(S405)=0,"",Preferences!$C$2&amp;S405)&amp;IF(J406=J405,IF(LEN(R405&amp;S405)=0,"","
")&amp;T406,""))</f>
        <v xml:space="preserve"> 3. Main navigation menu options (on every page):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5" s="122" t="str">
        <v/>
      </c>
      <c r="V405" s="42"/>
      <c r="W405" s="42"/>
      <c r="X405" s="42"/>
      <c r="Y405" s="42"/>
      <c r="Z405" s="42"/>
      <c r="AA405" s="42"/>
      <c r="AB405" s="42"/>
    </row>
    <row r="406" spans="1:28" x14ac:dyDescent="0.25">
      <c r="A406" s="42" t="str">
        <v>1.10.3.3.1</v>
      </c>
      <c r="B406" s="121" t="str">
        <v>Home (return to back-office section for user)</v>
      </c>
      <c r="C406" s="41">
        <v>5</v>
      </c>
      <c r="D406" s="41" t="str">
        <v>RL</v>
      </c>
      <c r="E406" s="117" t="str">
        <f t="shared" si="0"/>
        <v>RL</v>
      </c>
      <c r="F406" s="41" t="str">
        <v/>
      </c>
      <c r="G406" s="41" t="str">
        <v/>
      </c>
      <c r="H406" s="117">
        <f t="shared" si="1"/>
        <v>0</v>
      </c>
      <c r="I406" s="117">
        <f t="shared" si="2"/>
        <v>10</v>
      </c>
      <c r="J406" s="117">
        <f t="shared" si="3"/>
        <v>10.029999999999999</v>
      </c>
      <c r="K406" s="117" t="str">
        <f t="shared" si="4"/>
        <v>BR</v>
      </c>
      <c r="L406" s="42" t="str">
        <v>BR1003</v>
      </c>
      <c r="M406" s="121" t="str">
        <v/>
      </c>
      <c r="N406" s="121" t="str">
        <v/>
      </c>
      <c r="O406" s="121" t="str">
        <v/>
      </c>
      <c r="P406" s="121" t="str">
        <v/>
      </c>
      <c r="Q406" s="121" t="str">
        <v/>
      </c>
      <c r="R406" s="121" t="str">
        <v/>
      </c>
      <c r="S406" s="121" t="str">
        <v>Home (return to back-office section for user)</v>
      </c>
      <c r="T406" s="119" t="str">
        <f>IF($C406&lt;4,IF($C406=3,T407,IF($C406=2,T$1,"")),Q406&amp;R406&amp;IF(LEN(S406)=0,"",Preferences!$C$2&amp;S406)&amp;IF(J407=J406,IF(LEN(R406&amp;S406)=0,"","
")&amp;T407,""))</f>
        <v xml:space="preserve">	• Home (return to back-office section for user)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6" s="122" t="str">
        <v/>
      </c>
      <c r="V406" s="42"/>
      <c r="W406" s="42"/>
      <c r="X406" s="42"/>
      <c r="Y406" s="42"/>
      <c r="Z406" s="42"/>
      <c r="AA406" s="42"/>
      <c r="AB406" s="42"/>
    </row>
    <row r="407" spans="1:28" x14ac:dyDescent="0.25">
      <c r="A407" s="42" t="str">
        <v>1.10.3.3.2</v>
      </c>
      <c r="B407" s="121" t="str">
        <v>About Us</v>
      </c>
      <c r="C407" s="41">
        <v>5</v>
      </c>
      <c r="D407" s="41" t="str">
        <v>RL</v>
      </c>
      <c r="E407" s="117" t="str">
        <f t="shared" si="0"/>
        <v>RL</v>
      </c>
      <c r="F407" s="41" t="str">
        <v/>
      </c>
      <c r="G407" s="41" t="str">
        <v/>
      </c>
      <c r="H407" s="117">
        <f t="shared" si="1"/>
        <v>0</v>
      </c>
      <c r="I407" s="117">
        <f t="shared" si="2"/>
        <v>10</v>
      </c>
      <c r="J407" s="117">
        <f t="shared" si="3"/>
        <v>10.029999999999999</v>
      </c>
      <c r="K407" s="117" t="str">
        <f t="shared" si="4"/>
        <v>BR</v>
      </c>
      <c r="L407" s="42" t="str">
        <v>BR1003</v>
      </c>
      <c r="M407" s="121" t="str">
        <v/>
      </c>
      <c r="N407" s="121" t="str">
        <v/>
      </c>
      <c r="O407" s="121" t="str">
        <v/>
      </c>
      <c r="P407" s="121" t="str">
        <v/>
      </c>
      <c r="Q407" s="121" t="str">
        <v/>
      </c>
      <c r="R407" s="121" t="str">
        <v/>
      </c>
      <c r="S407" s="121" t="str">
        <v>About Us</v>
      </c>
      <c r="T407" s="119" t="str">
        <f>IF($C407&lt;4,IF($C407=3,T408,IF($C407=2,T$1,"")),Q407&amp;R407&amp;IF(LEN(S407)=0,"",Preferences!$C$2&amp;S407)&amp;IF(J408=J407,IF(LEN(R407&amp;S407)=0,"","
")&amp;T408,""))</f>
        <v xml:space="preserve">	• About Us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7" s="122" t="str">
        <v/>
      </c>
      <c r="V407" s="42"/>
      <c r="W407" s="42"/>
      <c r="X407" s="42"/>
      <c r="Y407" s="42"/>
      <c r="Z407" s="42"/>
      <c r="AA407" s="42"/>
      <c r="AB407" s="42"/>
    </row>
    <row r="408" spans="1:28" x14ac:dyDescent="0.25">
      <c r="A408" s="42" t="str">
        <v>1.10.3.3.3</v>
      </c>
      <c r="B408" s="121" t="str">
        <v>Contact Us</v>
      </c>
      <c r="C408" s="41">
        <v>5</v>
      </c>
      <c r="D408" s="41" t="str">
        <v>RL</v>
      </c>
      <c r="E408" s="117" t="str">
        <f t="shared" si="0"/>
        <v>RL</v>
      </c>
      <c r="F408" s="41" t="str">
        <v/>
      </c>
      <c r="G408" s="41" t="str">
        <v/>
      </c>
      <c r="H408" s="117">
        <f t="shared" si="1"/>
        <v>0</v>
      </c>
      <c r="I408" s="117">
        <f t="shared" si="2"/>
        <v>10</v>
      </c>
      <c r="J408" s="117">
        <f t="shared" si="3"/>
        <v>10.029999999999999</v>
      </c>
      <c r="K408" s="117" t="str">
        <f t="shared" si="4"/>
        <v>BR</v>
      </c>
      <c r="L408" s="42" t="str">
        <v>BR1003</v>
      </c>
      <c r="M408" s="121" t="str">
        <v/>
      </c>
      <c r="N408" s="121" t="str">
        <v/>
      </c>
      <c r="O408" s="121" t="str">
        <v/>
      </c>
      <c r="P408" s="121" t="str">
        <v/>
      </c>
      <c r="Q408" s="121" t="str">
        <v/>
      </c>
      <c r="R408" s="121" t="str">
        <v/>
      </c>
      <c r="S408" s="121" t="str">
        <v>Contact Us</v>
      </c>
      <c r="T408" s="119" t="str">
        <f>IF($C408&lt;4,IF($C408=3,T409,IF($C408=2,T$1,"")),Q408&amp;R408&amp;IF(LEN(S408)=0,"",Preferences!$C$2&amp;S408)&amp;IF(J409=J408,IF(LEN(R408&amp;S408)=0,"","
")&amp;T409,""))</f>
        <v xml:space="preserve">	• Contact Us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8" s="122" t="str">
        <v/>
      </c>
      <c r="V408" s="42"/>
      <c r="W408" s="42"/>
      <c r="X408" s="42"/>
      <c r="Y408" s="42"/>
      <c r="Z408" s="42"/>
      <c r="AA408" s="42"/>
      <c r="AB408" s="42"/>
    </row>
    <row r="409" spans="1:28" x14ac:dyDescent="0.25">
      <c r="A409" s="42" t="str">
        <v>1.10.3.4</v>
      </c>
      <c r="B409" s="121" t="str">
        <v>User menu options (on every page):</v>
      </c>
      <c r="C409" s="41">
        <v>4</v>
      </c>
      <c r="D409" s="41" t="str">
        <v>RD</v>
      </c>
      <c r="E409" s="117" t="str">
        <f t="shared" si="0"/>
        <v>RD</v>
      </c>
      <c r="F409" s="41" t="str">
        <v/>
      </c>
      <c r="G409" s="41" t="str">
        <v/>
      </c>
      <c r="H409" s="117">
        <f t="shared" si="1"/>
        <v>0</v>
      </c>
      <c r="I409" s="117">
        <f t="shared" si="2"/>
        <v>10</v>
      </c>
      <c r="J409" s="117">
        <f t="shared" si="3"/>
        <v>10.029999999999999</v>
      </c>
      <c r="K409" s="117" t="str">
        <f t="shared" si="4"/>
        <v>BR</v>
      </c>
      <c r="L409" s="42" t="str">
        <v>BR1003</v>
      </c>
      <c r="M409" s="121" t="str">
        <v/>
      </c>
      <c r="N409" s="121" t="str">
        <v/>
      </c>
      <c r="O409" s="121" t="str">
        <v/>
      </c>
      <c r="P409" s="121" t="str">
        <v/>
      </c>
      <c r="Q409" s="121" t="str">
        <v xml:space="preserve"> 4. </v>
      </c>
      <c r="R409" s="121" t="str">
        <v>User menu options (on every page):</v>
      </c>
      <c r="S409" s="121" t="str">
        <v/>
      </c>
      <c r="T409" s="119" t="str">
        <f>IF($C409&lt;4,IF($C409=3,T410,IF($C409=2,T$1,"")),Q409&amp;R409&amp;IF(LEN(S409)=0,"",Preferences!$C$2&amp;S409)&amp;IF(J410=J409,IF(LEN(R409&amp;S409)=0,"","
")&amp;T410,""))</f>
        <v xml:space="preserve"> 4. User menu options (on every page):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09" s="122" t="str">
        <v/>
      </c>
      <c r="V409" s="42"/>
      <c r="W409" s="42"/>
      <c r="X409" s="42"/>
      <c r="Y409" s="42"/>
      <c r="Z409" s="42"/>
      <c r="AA409" s="42"/>
      <c r="AB409" s="42"/>
    </row>
    <row r="410" spans="1:28" x14ac:dyDescent="0.25">
      <c r="A410" s="42" t="str">
        <v>1.10.3.4.1</v>
      </c>
      <c r="B410" s="121" t="str">
        <v>User profile</v>
      </c>
      <c r="C410" s="41">
        <v>5</v>
      </c>
      <c r="D410" s="41" t="str">
        <v>RL</v>
      </c>
      <c r="E410" s="117" t="str">
        <f t="shared" si="0"/>
        <v>RL</v>
      </c>
      <c r="F410" s="41" t="str">
        <v/>
      </c>
      <c r="G410" s="41" t="str">
        <v/>
      </c>
      <c r="H410" s="117">
        <f t="shared" si="1"/>
        <v>0</v>
      </c>
      <c r="I410" s="117">
        <f t="shared" si="2"/>
        <v>10</v>
      </c>
      <c r="J410" s="117">
        <f t="shared" si="3"/>
        <v>10.029999999999999</v>
      </c>
      <c r="K410" s="117" t="str">
        <f t="shared" si="4"/>
        <v>BR</v>
      </c>
      <c r="L410" s="42" t="str">
        <v>BR1003</v>
      </c>
      <c r="M410" s="121" t="str">
        <v/>
      </c>
      <c r="N410" s="121" t="str">
        <v/>
      </c>
      <c r="O410" s="121" t="str">
        <v/>
      </c>
      <c r="P410" s="121" t="str">
        <v/>
      </c>
      <c r="Q410" s="121" t="str">
        <v/>
      </c>
      <c r="R410" s="121" t="str">
        <v/>
      </c>
      <c r="S410" s="121" t="str">
        <v>User profile</v>
      </c>
      <c r="T410" s="119" t="str">
        <f>IF($C410&lt;4,IF($C410=3,T411,IF($C410=2,T$1,"")),Q410&amp;R410&amp;IF(LEN(S410)=0,"",Preferences!$C$2&amp;S410)&amp;IF(J411=J410,IF(LEN(R410&amp;S410)=0,"","
")&amp;T411,""))</f>
        <v xml:space="preserve">	• User profile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0" s="122" t="str">
        <v/>
      </c>
      <c r="V410" s="42"/>
      <c r="W410" s="42"/>
      <c r="X410" s="42"/>
      <c r="Y410" s="42"/>
      <c r="Z410" s="42"/>
      <c r="AA410" s="42"/>
      <c r="AB410" s="42"/>
    </row>
    <row r="411" spans="1:28" x14ac:dyDescent="0.25">
      <c r="A411" s="42" t="str">
        <v>1.10.3.4.2</v>
      </c>
      <c r="B411" s="121" t="str">
        <v>Messages (if applicable)</v>
      </c>
      <c r="C411" s="41">
        <v>5</v>
      </c>
      <c r="D411" s="41" t="str">
        <v>RL</v>
      </c>
      <c r="E411" s="117" t="str">
        <f t="shared" si="0"/>
        <v>RL</v>
      </c>
      <c r="F411" s="41" t="str">
        <v/>
      </c>
      <c r="G411" s="41" t="str">
        <v/>
      </c>
      <c r="H411" s="117">
        <f t="shared" si="1"/>
        <v>0</v>
      </c>
      <c r="I411" s="117">
        <f t="shared" si="2"/>
        <v>10</v>
      </c>
      <c r="J411" s="117">
        <f t="shared" si="3"/>
        <v>10.029999999999999</v>
      </c>
      <c r="K411" s="117" t="str">
        <f t="shared" si="4"/>
        <v>BR</v>
      </c>
      <c r="L411" s="42" t="str">
        <v>BR1003</v>
      </c>
      <c r="M411" s="121" t="str">
        <v/>
      </c>
      <c r="N411" s="121" t="str">
        <v/>
      </c>
      <c r="O411" s="121" t="str">
        <v/>
      </c>
      <c r="P411" s="121" t="str">
        <v/>
      </c>
      <c r="Q411" s="121" t="str">
        <v/>
      </c>
      <c r="R411" s="121" t="str">
        <v/>
      </c>
      <c r="S411" s="121" t="str">
        <v>Messages (if applicable)</v>
      </c>
      <c r="T411" s="119" t="str">
        <f>IF($C411&lt;4,IF($C411=3,T412,IF($C411=2,T$1,"")),Q411&amp;R411&amp;IF(LEN(S411)=0,"",Preferences!$C$2&amp;S411)&amp;IF(J412=J411,IF(LEN(R411&amp;S411)=0,"","
")&amp;T412,""))</f>
        <v xml:space="preserve">	• Messages (if applicable)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1" s="122" t="str">
        <v/>
      </c>
      <c r="V411" s="42"/>
      <c r="W411" s="42"/>
      <c r="X411" s="42"/>
      <c r="Y411" s="42"/>
      <c r="Z411" s="42"/>
      <c r="AA411" s="42"/>
      <c r="AB411" s="42"/>
    </row>
    <row r="412" spans="1:28" x14ac:dyDescent="0.25">
      <c r="A412" s="42" t="str">
        <v>1.10.3.4.3</v>
      </c>
      <c r="B412" s="121" t="str">
        <v>Logout</v>
      </c>
      <c r="C412" s="41">
        <v>5</v>
      </c>
      <c r="D412" s="41" t="str">
        <v>RL</v>
      </c>
      <c r="E412" s="117" t="str">
        <f t="shared" si="0"/>
        <v>RL</v>
      </c>
      <c r="F412" s="41" t="str">
        <v/>
      </c>
      <c r="G412" s="41" t="str">
        <v/>
      </c>
      <c r="H412" s="117">
        <f t="shared" si="1"/>
        <v>0</v>
      </c>
      <c r="I412" s="117">
        <f t="shared" si="2"/>
        <v>10</v>
      </c>
      <c r="J412" s="117">
        <f t="shared" si="3"/>
        <v>10.029999999999999</v>
      </c>
      <c r="K412" s="117" t="str">
        <f t="shared" si="4"/>
        <v>BR</v>
      </c>
      <c r="L412" s="42" t="str">
        <v>BR1003</v>
      </c>
      <c r="M412" s="121" t="str">
        <v/>
      </c>
      <c r="N412" s="121" t="str">
        <v/>
      </c>
      <c r="O412" s="121" t="str">
        <v/>
      </c>
      <c r="P412" s="121" t="str">
        <v/>
      </c>
      <c r="Q412" s="121" t="str">
        <v/>
      </c>
      <c r="R412" s="121" t="str">
        <v/>
      </c>
      <c r="S412" s="121" t="str">
        <v>Logout</v>
      </c>
      <c r="T412" s="119" t="str">
        <f>IF($C412&lt;4,IF($C412=3,T413,IF($C412=2,T$1,"")),Q412&amp;R412&amp;IF(LEN(S412)=0,"",Preferences!$C$2&amp;S412)&amp;IF(J413=J412,IF(LEN(R412&amp;S412)=0,"","
")&amp;T413,""))</f>
        <v xml:space="preserve">	• Logout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2" s="122" t="str">
        <v/>
      </c>
      <c r="V412" s="42"/>
      <c r="W412" s="42"/>
      <c r="X412" s="42"/>
      <c r="Y412" s="42"/>
      <c r="Z412" s="42"/>
      <c r="AA412" s="42"/>
      <c r="AB412" s="42"/>
    </row>
    <row r="413" spans="1:28" x14ac:dyDescent="0.25">
      <c r="A413" s="42" t="str">
        <v>1.10.3.5</v>
      </c>
      <c r="B413" s="121" t="str">
        <v>Home page:</v>
      </c>
      <c r="C413" s="41">
        <v>4</v>
      </c>
      <c r="D413" s="41" t="str">
        <v>RD</v>
      </c>
      <c r="E413" s="117" t="str">
        <f t="shared" si="0"/>
        <v>RD</v>
      </c>
      <c r="F413" s="41" t="str">
        <v/>
      </c>
      <c r="G413" s="41" t="str">
        <v/>
      </c>
      <c r="H413" s="117">
        <f t="shared" si="1"/>
        <v>0</v>
      </c>
      <c r="I413" s="117">
        <f t="shared" si="2"/>
        <v>10</v>
      </c>
      <c r="J413" s="117">
        <f t="shared" si="3"/>
        <v>10.029999999999999</v>
      </c>
      <c r="K413" s="117" t="str">
        <f t="shared" si="4"/>
        <v>BR</v>
      </c>
      <c r="L413" s="42" t="str">
        <v>BR1003</v>
      </c>
      <c r="M413" s="121" t="str">
        <v/>
      </c>
      <c r="N413" s="121" t="str">
        <v/>
      </c>
      <c r="O413" s="121" t="str">
        <v/>
      </c>
      <c r="P413" s="121" t="str">
        <v/>
      </c>
      <c r="Q413" s="121" t="str">
        <v xml:space="preserve"> 5. </v>
      </c>
      <c r="R413" s="121" t="str">
        <v>Home page:</v>
      </c>
      <c r="S413" s="121" t="str">
        <v/>
      </c>
      <c r="T413" s="119" t="str">
        <f>IF($C413&lt;4,IF($C413=3,T414,IF($C413=2,T$1,"")),Q413&amp;R413&amp;IF(LEN(S413)=0,"",Preferences!$C$2&amp;S413)&amp;IF(J414=J413,IF(LEN(R413&amp;S413)=0,"","
")&amp;T414,""))</f>
        <v xml:space="preserve"> 5. Home page: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3" s="122" t="str">
        <v/>
      </c>
      <c r="V413" s="42"/>
      <c r="W413" s="42"/>
      <c r="X413" s="42"/>
      <c r="Y413" s="42"/>
      <c r="Z413" s="42"/>
      <c r="AA413" s="42"/>
      <c r="AB413" s="42"/>
    </row>
    <row r="414" spans="1:28" x14ac:dyDescent="0.25">
      <c r="A414" s="42" t="str">
        <v>1.10.3.5.1</v>
      </c>
      <c r="B414" s="121" t="str">
        <v>Present a message welcoming the customer back to to the online shop.</v>
      </c>
      <c r="C414" s="41">
        <v>5</v>
      </c>
      <c r="D414" s="41" t="str">
        <v>RL</v>
      </c>
      <c r="E414" s="117" t="str">
        <f t="shared" si="0"/>
        <v>RL</v>
      </c>
      <c r="F414" s="41" t="str">
        <v/>
      </c>
      <c r="G414" s="41" t="str">
        <v/>
      </c>
      <c r="H414" s="117">
        <f t="shared" si="1"/>
        <v>0</v>
      </c>
      <c r="I414" s="117">
        <f t="shared" si="2"/>
        <v>10</v>
      </c>
      <c r="J414" s="117">
        <f t="shared" si="3"/>
        <v>10.029999999999999</v>
      </c>
      <c r="K414" s="117" t="str">
        <f t="shared" si="4"/>
        <v>BR</v>
      </c>
      <c r="L414" s="42" t="str">
        <v>BR1003</v>
      </c>
      <c r="M414" s="121" t="str">
        <v/>
      </c>
      <c r="N414" s="121" t="str">
        <v/>
      </c>
      <c r="O414" s="121" t="str">
        <v/>
      </c>
      <c r="P414" s="121" t="str">
        <v/>
      </c>
      <c r="Q414" s="121" t="str">
        <v/>
      </c>
      <c r="R414" s="121" t="str">
        <v/>
      </c>
      <c r="S414" s="121" t="str">
        <v>Present a message welcoming the customer back to to the online shop.</v>
      </c>
      <c r="T414" s="119" t="str">
        <f>IF($C414&lt;4,IF($C414=3,T415,IF($C414=2,T$1,"")),Q414&amp;R414&amp;IF(LEN(S414)=0,"",Preferences!$C$2&amp;S414)&amp;IF(J415=J414,IF(LEN(R414&amp;S414)=0,"","
")&amp;T415,""))</f>
        <v xml:space="preserve">	• Present a message welcoming the customer back to to the online shop.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4" s="122" t="str">
        <v/>
      </c>
      <c r="V414" s="42"/>
      <c r="W414" s="42"/>
      <c r="X414" s="42"/>
      <c r="Y414" s="42"/>
      <c r="Z414" s="42"/>
      <c r="AA414" s="42"/>
      <c r="AB414" s="42"/>
    </row>
    <row r="415" spans="1:28" x14ac:dyDescent="0.25">
      <c r="A415" s="42" t="str">
        <v>1.10.3.5.1.1</v>
      </c>
      <c r="B415" s="121" t="str">
        <v>Possibly indicate when they last visited.</v>
      </c>
      <c r="C415" s="41">
        <v>6</v>
      </c>
      <c r="D415" s="41" t="str">
        <v>RL</v>
      </c>
      <c r="E415" s="117" t="str">
        <f t="shared" si="0"/>
        <v>RL</v>
      </c>
      <c r="F415" s="41" t="str">
        <v/>
      </c>
      <c r="G415" s="41" t="str">
        <v/>
      </c>
      <c r="H415" s="117">
        <f t="shared" si="1"/>
        <v>0</v>
      </c>
      <c r="I415" s="117">
        <f t="shared" si="2"/>
        <v>10</v>
      </c>
      <c r="J415" s="117">
        <f t="shared" si="3"/>
        <v>10.029999999999999</v>
      </c>
      <c r="K415" s="117" t="str">
        <f t="shared" si="4"/>
        <v>BR</v>
      </c>
      <c r="L415" s="42" t="str">
        <v>BR1003</v>
      </c>
      <c r="M415" s="121" t="str">
        <v/>
      </c>
      <c r="N415" s="121" t="str">
        <v/>
      </c>
      <c r="O415" s="121" t="str">
        <v/>
      </c>
      <c r="P415" s="121" t="str">
        <v/>
      </c>
      <c r="Q415" s="121" t="str">
        <v/>
      </c>
      <c r="R415" s="121" t="str">
        <v/>
      </c>
      <c r="S415" s="121" t="str">
        <v>Possibly indicate when they last visited.</v>
      </c>
      <c r="T415" s="119" t="str">
        <f>IF($C415&lt;4,IF($C415=3,T416,IF($C415=2,T$1,"")),Q415&amp;R415&amp;IF(LEN(S415)=0,"",Preferences!$C$2&amp;S415)&amp;IF(J416=J415,IF(LEN(R415&amp;S415)=0,"","
")&amp;T416,""))</f>
        <v xml:space="preserve">	• Possibly indicate when they last visited.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5" s="122" t="str">
        <v/>
      </c>
      <c r="V415" s="42"/>
      <c r="W415" s="42"/>
      <c r="X415" s="42"/>
      <c r="Y415" s="42"/>
      <c r="Z415" s="42"/>
      <c r="AA415" s="42"/>
      <c r="AB415" s="42"/>
    </row>
    <row r="416" spans="1:28" x14ac:dyDescent="0.25">
      <c r="A416" s="42" t="str">
        <v>1.10.3.5.2</v>
      </c>
      <c r="B416" s="121" t="str">
        <v>Alert the customer of any new messages for them from the business, with an option to view the messages (if applicable).</v>
      </c>
      <c r="C416" s="41">
        <v>5</v>
      </c>
      <c r="D416" s="41" t="str">
        <v>RL</v>
      </c>
      <c r="E416" s="117" t="str">
        <f t="shared" si="0"/>
        <v>RL</v>
      </c>
      <c r="F416" s="41" t="str">
        <v/>
      </c>
      <c r="G416" s="41" t="str">
        <v/>
      </c>
      <c r="H416" s="117">
        <f t="shared" si="1"/>
        <v>0</v>
      </c>
      <c r="I416" s="117">
        <f t="shared" si="2"/>
        <v>10</v>
      </c>
      <c r="J416" s="117">
        <f t="shared" si="3"/>
        <v>10.029999999999999</v>
      </c>
      <c r="K416" s="117" t="str">
        <f t="shared" si="4"/>
        <v>BR</v>
      </c>
      <c r="L416" s="42" t="str">
        <v>BR1003</v>
      </c>
      <c r="M416" s="121" t="str">
        <v/>
      </c>
      <c r="N416" s="121" t="str">
        <v/>
      </c>
      <c r="O416" s="121" t="str">
        <v/>
      </c>
      <c r="P416" s="121" t="str">
        <v/>
      </c>
      <c r="Q416" s="121" t="str">
        <v/>
      </c>
      <c r="R416" s="121" t="str">
        <v/>
      </c>
      <c r="S416" s="121" t="str">
        <v>Alert the customer of any new messages for them from the business, with an option to view the messages (if applicable).</v>
      </c>
      <c r="T416" s="119" t="str">
        <f>IF($C416&lt;4,IF($C416=3,T417,IF($C416=2,T$1,"")),Q416&amp;R416&amp;IF(LEN(S416)=0,"",Preferences!$C$2&amp;S416)&amp;IF(J417=J416,IF(LEN(R416&amp;S416)=0,"","
")&amp;T417,""))</f>
        <v xml:space="preserve">	• Alert the customer of any new messages for them from the business, with an option to view the messages (if applicable).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6" s="122" t="str">
        <v/>
      </c>
      <c r="V416" s="42"/>
      <c r="W416" s="42"/>
      <c r="X416" s="42"/>
      <c r="Y416" s="42"/>
      <c r="Z416" s="42"/>
      <c r="AA416" s="42"/>
      <c r="AB416" s="42"/>
    </row>
    <row r="417" spans="1:28" x14ac:dyDescent="0.25">
      <c r="A417" s="42" t="str">
        <v>1.10.3.5.3</v>
      </c>
      <c r="B417" s="121" t="str">
        <v>Present the applicable back-office function(s) main page for the back-office user, as detailed in the following section(s):</v>
      </c>
      <c r="C417" s="41">
        <v>5</v>
      </c>
      <c r="D417" s="41" t="str">
        <v>RL</v>
      </c>
      <c r="E417" s="117" t="str">
        <f t="shared" si="0"/>
        <v>RL</v>
      </c>
      <c r="F417" s="41" t="str">
        <v/>
      </c>
      <c r="G417" s="41" t="str">
        <v/>
      </c>
      <c r="H417" s="117">
        <f t="shared" si="1"/>
        <v>0</v>
      </c>
      <c r="I417" s="117">
        <f t="shared" si="2"/>
        <v>10</v>
      </c>
      <c r="J417" s="117">
        <f t="shared" si="3"/>
        <v>10.029999999999999</v>
      </c>
      <c r="K417" s="117" t="str">
        <f t="shared" si="4"/>
        <v>BR</v>
      </c>
      <c r="L417" s="42" t="str">
        <v>BR1003</v>
      </c>
      <c r="M417" s="121" t="str">
        <v/>
      </c>
      <c r="N417" s="121" t="str">
        <v/>
      </c>
      <c r="O417" s="121" t="str">
        <v/>
      </c>
      <c r="P417" s="121" t="str">
        <v/>
      </c>
      <c r="Q417" s="121" t="str">
        <v/>
      </c>
      <c r="R417" s="121" t="str">
        <v/>
      </c>
      <c r="S417" s="121" t="str">
        <v>Present the applicable back-office function(s) main page for the back-office user, as detailed in the following section(s):</v>
      </c>
      <c r="T417" s="119" t="str">
        <f>IF($C417&lt;4,IF($C417=3,T418,IF($C417=2,T$1,"")),Q417&amp;R417&amp;IF(LEN(S417)=0,"",Preferences!$C$2&amp;S417)&amp;IF(J418=J417,IF(LEN(R417&amp;S417)=0,"","
")&amp;T418,""))</f>
        <v xml:space="preserve">	• Present the applicable back-office function(s) main page for the back-office user, as detailed in the following section(s):
	• Supplier Orders Fulfilment
 6. Do not show the online shopfront components (as detailed in the Present the online shopfront as part of the online shop requirement) to back-office users using the online shop.</v>
      </c>
      <c r="U417" s="122" t="str">
        <v/>
      </c>
      <c r="V417" s="42"/>
      <c r="W417" s="42"/>
      <c r="X417" s="42"/>
      <c r="Y417" s="42"/>
      <c r="Z417" s="42"/>
      <c r="AA417" s="42"/>
      <c r="AB417" s="42"/>
    </row>
    <row r="418" spans="1:28" x14ac:dyDescent="0.25">
      <c r="A418" s="42" t="str">
        <v>1.10.3.5.3.1</v>
      </c>
      <c r="B418" s="121" t="str">
        <v>Supplier Orders Fulfilment</v>
      </c>
      <c r="C418" s="41">
        <v>6</v>
      </c>
      <c r="D418" s="41" t="str">
        <v>RL</v>
      </c>
      <c r="E418" s="117" t="str">
        <f t="shared" si="0"/>
        <v>RL</v>
      </c>
      <c r="F418" s="41" t="str">
        <v/>
      </c>
      <c r="G418" s="41" t="str">
        <v/>
      </c>
      <c r="H418" s="117">
        <f t="shared" si="1"/>
        <v>0</v>
      </c>
      <c r="I418" s="117">
        <f t="shared" si="2"/>
        <v>10</v>
      </c>
      <c r="J418" s="117">
        <f t="shared" si="3"/>
        <v>10.029999999999999</v>
      </c>
      <c r="K418" s="117" t="str">
        <f t="shared" si="4"/>
        <v>BR</v>
      </c>
      <c r="L418" s="42" t="str">
        <v>BR1003</v>
      </c>
      <c r="M418" s="121" t="str">
        <v/>
      </c>
      <c r="N418" s="121" t="str">
        <v/>
      </c>
      <c r="O418" s="121" t="str">
        <v/>
      </c>
      <c r="P418" s="121" t="str">
        <v/>
      </c>
      <c r="Q418" s="121" t="str">
        <v/>
      </c>
      <c r="R418" s="121" t="str">
        <v/>
      </c>
      <c r="S418" s="121" t="str">
        <v>Supplier Orders Fulfilment</v>
      </c>
      <c r="T418" s="119" t="str">
        <f>IF($C418&lt;4,IF($C418=3,T419,IF($C418=2,T$1,"")),Q418&amp;R418&amp;IF(LEN(S418)=0,"",Preferences!$C$2&amp;S418)&amp;IF(J419=J418,IF(LEN(R418&amp;S418)=0,"","
")&amp;T419,""))</f>
        <v xml:space="preserve">	• Supplier Orders Fulfilment
 6. Do not show the online shopfront components (as detailed in the Present the online shopfront as part of the online shop requirement) to back-office users using the online shop.</v>
      </c>
      <c r="U418" s="122" t="str">
        <v/>
      </c>
      <c r="V418" s="42"/>
      <c r="W418" s="42"/>
      <c r="X418" s="42"/>
      <c r="Y418" s="42"/>
      <c r="Z418" s="42"/>
      <c r="AA418" s="42"/>
      <c r="AB418" s="42"/>
    </row>
    <row r="419" spans="1:28" x14ac:dyDescent="0.25">
      <c r="A419" s="42" t="str">
        <v>1.10.3.6</v>
      </c>
      <c r="B419" s="121" t="str">
        <v>Do not show the online shopfront components (as detailed in the Present the online shopfront as part of the online shop requirement) to back-office users using the online shop.</v>
      </c>
      <c r="C419" s="41">
        <v>4</v>
      </c>
      <c r="D419" s="41" t="str">
        <v>RD</v>
      </c>
      <c r="E419" s="117" t="str">
        <f t="shared" si="0"/>
        <v>RD</v>
      </c>
      <c r="F419" s="41" t="str">
        <v/>
      </c>
      <c r="G419" s="41" t="str">
        <v/>
      </c>
      <c r="H419" s="117">
        <f t="shared" si="1"/>
        <v>0</v>
      </c>
      <c r="I419" s="117">
        <f t="shared" si="2"/>
        <v>10</v>
      </c>
      <c r="J419" s="117">
        <f t="shared" si="3"/>
        <v>10.029999999999999</v>
      </c>
      <c r="K419" s="117" t="str">
        <f t="shared" si="4"/>
        <v>BR</v>
      </c>
      <c r="L419" s="42" t="str">
        <v>BR1003</v>
      </c>
      <c r="M419" s="121" t="str">
        <v/>
      </c>
      <c r="N419" s="121" t="str">
        <v/>
      </c>
      <c r="O419" s="121" t="str">
        <v/>
      </c>
      <c r="P419" s="121" t="str">
        <v/>
      </c>
      <c r="Q419" s="121" t="str">
        <v xml:space="preserve"> 6. </v>
      </c>
      <c r="R419" s="121" t="str">
        <v>Do not show the online shopfront components (as detailed in the Present the online shopfront as part of the online shop requirement) to back-office users using the online shop.</v>
      </c>
      <c r="S419" s="121" t="str">
        <v/>
      </c>
      <c r="T419" s="119" t="str">
        <f>IF($C419&lt;4,IF($C419=3,T420,IF($C419=2,T$1,"")),Q419&amp;R419&amp;IF(LEN(S419)=0,"",Preferences!$C$2&amp;S419)&amp;IF(J420=J419,IF(LEN(R419&amp;S419)=0,"","
")&amp;T420,""))</f>
        <v xml:space="preserve"> 6. Do not show the online shopfront components (as detailed in the Present the online shopfront as part of the online shop requirement) to back-office users using the online shop.</v>
      </c>
      <c r="U419" s="122" t="str">
        <v/>
      </c>
      <c r="V419" s="42"/>
      <c r="W419" s="42"/>
      <c r="X419" s="42"/>
      <c r="Y419" s="42"/>
      <c r="Z419" s="42"/>
      <c r="AA419" s="42"/>
      <c r="AB419" s="42"/>
    </row>
    <row r="420" spans="1:28" x14ac:dyDescent="0.25">
      <c r="A420" s="42" t="str">
        <v>1.10.4</v>
      </c>
      <c r="B420" s="121" t="str">
        <v>10.4 Present the online shopfront as part of the online shop</v>
      </c>
      <c r="C420" s="41">
        <v>3</v>
      </c>
      <c r="D420" s="41" t="str">
        <v>R</v>
      </c>
      <c r="E420" s="117" t="str">
        <f t="shared" si="0"/>
        <v>R</v>
      </c>
      <c r="F420" s="41" t="str">
        <v/>
      </c>
      <c r="G420" s="41" t="str">
        <v/>
      </c>
      <c r="H420" s="117">
        <f t="shared" si="1"/>
        <v>0</v>
      </c>
      <c r="I420" s="117">
        <f t="shared" si="2"/>
        <v>10</v>
      </c>
      <c r="J420" s="117">
        <f t="shared" si="3"/>
        <v>10.039999999999999</v>
      </c>
      <c r="K420" s="117" t="str">
        <f t="shared" si="4"/>
        <v>BR</v>
      </c>
      <c r="L420" s="42" t="str">
        <v>BR1004</v>
      </c>
      <c r="M420" s="121" t="str">
        <v/>
      </c>
      <c r="N420" s="121" t="str">
        <v/>
      </c>
      <c r="O420" s="121" t="str">
        <v>BR1004</v>
      </c>
      <c r="P420" s="121" t="str">
        <v>Present the online shopfront as part of the online shop</v>
      </c>
      <c r="Q420" s="121" t="str">
        <v/>
      </c>
      <c r="R420" s="121" t="str">
        <v/>
      </c>
      <c r="S420" s="121" t="str">
        <v/>
      </c>
      <c r="T420" s="119" t="str">
        <f>IF($C420&lt;4,IF($C420=3,T421,IF($C420=2,T$1,"")),Q420&amp;R420&amp;IF(LEN(S420)=0,"",Preferences!$C$2&amp;S420)&amp;IF(J421=J420,IF(LEN(R420&amp;S420)=0,"","
")&amp;T421,""))</f>
        <v xml:space="preserve"> 1. The online shopfront consists of the following (synchronised) sections:
	• Shopping search function
	• A quick-link to any current special event (e.g. Black Friday, Easter Specials)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0" s="122" t="str">
        <v/>
      </c>
      <c r="V420" s="42"/>
      <c r="W420" s="42"/>
      <c r="X420" s="42"/>
      <c r="Y420" s="42"/>
      <c r="Z420" s="42"/>
      <c r="AA420" s="42"/>
      <c r="AB420" s="42"/>
    </row>
    <row r="421" spans="1:28" x14ac:dyDescent="0.25">
      <c r="A421" s="42" t="str">
        <v>1.10.4.1</v>
      </c>
      <c r="B421" s="121" t="str">
        <v>The online shopfront consists of the following (synchronised) sections:</v>
      </c>
      <c r="C421" s="41">
        <v>4</v>
      </c>
      <c r="D421" s="41" t="str">
        <v>RD</v>
      </c>
      <c r="E421" s="117" t="str">
        <f t="shared" si="0"/>
        <v>RD</v>
      </c>
      <c r="F421" s="41" t="str">
        <v/>
      </c>
      <c r="G421" s="41" t="str">
        <v/>
      </c>
      <c r="H421" s="117">
        <f t="shared" si="1"/>
        <v>0</v>
      </c>
      <c r="I421" s="117">
        <f t="shared" si="2"/>
        <v>10</v>
      </c>
      <c r="J421" s="117">
        <f t="shared" si="3"/>
        <v>10.039999999999999</v>
      </c>
      <c r="K421" s="117" t="str">
        <f t="shared" si="4"/>
        <v>BR</v>
      </c>
      <c r="L421" s="42" t="str">
        <v>BR1004</v>
      </c>
      <c r="M421" s="121" t="str">
        <v/>
      </c>
      <c r="N421" s="121" t="str">
        <v/>
      </c>
      <c r="O421" s="121" t="str">
        <v/>
      </c>
      <c r="P421" s="121" t="str">
        <v/>
      </c>
      <c r="Q421" s="121" t="str">
        <v xml:space="preserve"> 1. </v>
      </c>
      <c r="R421" s="121" t="str">
        <v>The online shopfront consists of the following (synchronised) sections:</v>
      </c>
      <c r="S421" s="121" t="str">
        <v/>
      </c>
      <c r="T421" s="119" t="str">
        <f>IF($C421&lt;4,IF($C421=3,T422,IF($C421=2,T$1,"")),Q421&amp;R421&amp;IF(LEN(S421)=0,"",Preferences!$C$2&amp;S421)&amp;IF(J422=J421,IF(LEN(R421&amp;S421)=0,"","
")&amp;T422,""))</f>
        <v xml:space="preserve"> 1. The online shopfront consists of the following (synchronised) sections:
	• Shopping search function
	• A quick-link to any current special event (e.g. Black Friday, Easter Specials)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1" s="122" t="str">
        <v/>
      </c>
      <c r="V421" s="42"/>
      <c r="W421" s="42"/>
      <c r="X421" s="42"/>
      <c r="Y421" s="42"/>
      <c r="Z421" s="42"/>
      <c r="AA421" s="42"/>
      <c r="AB421" s="42"/>
    </row>
    <row r="422" spans="1:28" x14ac:dyDescent="0.25">
      <c r="A422" s="42" t="str">
        <v>1.10.4.1.1</v>
      </c>
      <c r="B422" s="121" t="str">
        <v>Shopping search function</v>
      </c>
      <c r="C422" s="41">
        <v>5</v>
      </c>
      <c r="D422" s="41" t="str">
        <v>RL</v>
      </c>
      <c r="E422" s="117" t="str">
        <f t="shared" si="0"/>
        <v>RL</v>
      </c>
      <c r="F422" s="41" t="str">
        <v/>
      </c>
      <c r="G422" s="41" t="str">
        <v/>
      </c>
      <c r="H422" s="117">
        <f t="shared" si="1"/>
        <v>0</v>
      </c>
      <c r="I422" s="117">
        <f t="shared" si="2"/>
        <v>10</v>
      </c>
      <c r="J422" s="117">
        <f t="shared" si="3"/>
        <v>10.039999999999999</v>
      </c>
      <c r="K422" s="117" t="str">
        <f t="shared" si="4"/>
        <v>BR</v>
      </c>
      <c r="L422" s="42" t="str">
        <v>BR1004</v>
      </c>
      <c r="M422" s="121" t="str">
        <v/>
      </c>
      <c r="N422" s="121" t="str">
        <v/>
      </c>
      <c r="O422" s="121" t="str">
        <v/>
      </c>
      <c r="P422" s="121" t="str">
        <v/>
      </c>
      <c r="Q422" s="121" t="str">
        <v/>
      </c>
      <c r="R422" s="121" t="str">
        <v/>
      </c>
      <c r="S422" s="121" t="str">
        <v>Shopping search function</v>
      </c>
      <c r="T422" s="119" t="str">
        <f>IF($C422&lt;4,IF($C422=3,T423,IF($C422=2,T$1,"")),Q422&amp;R422&amp;IF(LEN(S422)=0,"",Preferences!$C$2&amp;S422)&amp;IF(J423=J422,IF(LEN(R422&amp;S422)=0,"","
")&amp;T423,""))</f>
        <v xml:space="preserve">	• Shopping search function
	• A quick-link to any current special event (e.g. Black Friday, Easter Specials)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2" s="122" t="str">
        <v/>
      </c>
      <c r="V422" s="42"/>
      <c r="W422" s="42"/>
      <c r="X422" s="42"/>
      <c r="Y422" s="42"/>
      <c r="Z422" s="42"/>
      <c r="AA422" s="42"/>
      <c r="AB422" s="42"/>
    </row>
    <row r="423" spans="1:28" x14ac:dyDescent="0.25">
      <c r="A423" s="42" t="str">
        <v>1.10.4.1.2</v>
      </c>
      <c r="B423" s="121" t="str">
        <v>A quick-link to any current special event (e.g. Black Friday, Easter Specials)</v>
      </c>
      <c r="C423" s="41">
        <v>5</v>
      </c>
      <c r="D423" s="41" t="str">
        <v>RL</v>
      </c>
      <c r="E423" s="117" t="str">
        <f t="shared" si="0"/>
        <v>RL</v>
      </c>
      <c r="F423" s="41" t="str">
        <v/>
      </c>
      <c r="G423" s="41" t="str">
        <v/>
      </c>
      <c r="H423" s="117">
        <f t="shared" si="1"/>
        <v>0</v>
      </c>
      <c r="I423" s="117">
        <f t="shared" si="2"/>
        <v>10</v>
      </c>
      <c r="J423" s="117">
        <f t="shared" si="3"/>
        <v>10.039999999999999</v>
      </c>
      <c r="K423" s="117" t="str">
        <f t="shared" si="4"/>
        <v>BR</v>
      </c>
      <c r="L423" s="42" t="str">
        <v>BR1004</v>
      </c>
      <c r="M423" s="121" t="str">
        <v/>
      </c>
      <c r="N423" s="121" t="str">
        <v/>
      </c>
      <c r="O423" s="121" t="str">
        <v/>
      </c>
      <c r="P423" s="121" t="str">
        <v/>
      </c>
      <c r="Q423" s="121" t="str">
        <v/>
      </c>
      <c r="R423" s="121" t="str">
        <v/>
      </c>
      <c r="S423" s="121" t="str">
        <v>A quick-link to any current special event (e.g. Black Friday, Easter Specials)</v>
      </c>
      <c r="T423" s="119" t="str">
        <f>IF($C423&lt;4,IF($C423=3,T424,IF($C423=2,T$1,"")),Q423&amp;R423&amp;IF(LEN(S423)=0,"",Preferences!$C$2&amp;S423)&amp;IF(J424=J423,IF(LEN(R423&amp;S423)=0,"","
")&amp;T424,""))</f>
        <v xml:space="preserve">	• A quick-link to any current special event (e.g. Black Friday, Easter Specials)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3" s="122" t="str">
        <v/>
      </c>
      <c r="V423" s="42"/>
      <c r="W423" s="42"/>
      <c r="X423" s="42"/>
      <c r="Y423" s="42"/>
      <c r="Z423" s="42"/>
      <c r="AA423" s="42"/>
      <c r="AB423" s="42"/>
    </row>
    <row r="424" spans="1:28" x14ac:dyDescent="0.25">
      <c r="A424" s="42" t="str">
        <v>1.10.4.1.3</v>
      </c>
      <c r="B424" s="121" t="str">
        <v>Sort criteria, to sort the search results</v>
      </c>
      <c r="C424" s="41">
        <v>5</v>
      </c>
      <c r="D424" s="41" t="str">
        <v>RL</v>
      </c>
      <c r="E424" s="117" t="str">
        <f t="shared" si="0"/>
        <v>RL</v>
      </c>
      <c r="F424" s="41" t="str">
        <v/>
      </c>
      <c r="G424" s="41" t="str">
        <v/>
      </c>
      <c r="H424" s="117">
        <f t="shared" si="1"/>
        <v>0</v>
      </c>
      <c r="I424" s="117">
        <f t="shared" si="2"/>
        <v>10</v>
      </c>
      <c r="J424" s="117">
        <f t="shared" si="3"/>
        <v>10.039999999999999</v>
      </c>
      <c r="K424" s="117" t="str">
        <f t="shared" si="4"/>
        <v>BR</v>
      </c>
      <c r="L424" s="42" t="str">
        <v>BR1004</v>
      </c>
      <c r="M424" s="121" t="str">
        <v/>
      </c>
      <c r="N424" s="121" t="str">
        <v/>
      </c>
      <c r="O424" s="121" t="str">
        <v/>
      </c>
      <c r="P424" s="121" t="str">
        <v/>
      </c>
      <c r="Q424" s="121" t="str">
        <v/>
      </c>
      <c r="R424" s="121" t="str">
        <v/>
      </c>
      <c r="S424" s="121" t="str">
        <v>Sort criteria, to sort the search results</v>
      </c>
      <c r="T424" s="119" t="str">
        <f>IF($C424&lt;4,IF($C424=3,T425,IF($C424=2,T$1,"")),Q424&amp;R424&amp;IF(LEN(S424)=0,"",Preferences!$C$2&amp;S424)&amp;IF(J425=J424,IF(LEN(R424&amp;S424)=0,"","
")&amp;T425,""))</f>
        <v xml:space="preserve">	• Sort criteria, to sort the search results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4" s="122" t="str">
        <v/>
      </c>
      <c r="V424" s="42"/>
      <c r="W424" s="42"/>
      <c r="X424" s="42"/>
      <c r="Y424" s="42"/>
      <c r="Z424" s="42"/>
      <c r="AA424" s="42"/>
      <c r="AB424" s="42"/>
    </row>
    <row r="425" spans="1:28" x14ac:dyDescent="0.25">
      <c r="A425" s="42" t="str">
        <v>1.10.4.1.4</v>
      </c>
      <c r="B425" s="121" t="str">
        <v>Filter criteria applicable to the presented products search results list</v>
      </c>
      <c r="C425" s="41">
        <v>5</v>
      </c>
      <c r="D425" s="41" t="str">
        <v>RL</v>
      </c>
      <c r="E425" s="117" t="str">
        <f t="shared" si="0"/>
        <v>RL</v>
      </c>
      <c r="F425" s="41" t="str">
        <v/>
      </c>
      <c r="G425" s="41" t="str">
        <v/>
      </c>
      <c r="H425" s="117">
        <f t="shared" si="1"/>
        <v>0</v>
      </c>
      <c r="I425" s="117">
        <f t="shared" si="2"/>
        <v>10</v>
      </c>
      <c r="J425" s="117">
        <f t="shared" si="3"/>
        <v>10.039999999999999</v>
      </c>
      <c r="K425" s="117" t="str">
        <f t="shared" si="4"/>
        <v>BR</v>
      </c>
      <c r="L425" s="42" t="str">
        <v>BR1004</v>
      </c>
      <c r="M425" s="121" t="str">
        <v/>
      </c>
      <c r="N425" s="121" t="str">
        <v/>
      </c>
      <c r="O425" s="121" t="str">
        <v/>
      </c>
      <c r="P425" s="121" t="str">
        <v/>
      </c>
      <c r="Q425" s="121" t="str">
        <v/>
      </c>
      <c r="R425" s="121" t="str">
        <v/>
      </c>
      <c r="S425" s="121" t="str">
        <v>Filter criteria applicable to the presented products search results list</v>
      </c>
      <c r="T425" s="119" t="str">
        <f>IF($C425&lt;4,IF($C425=3,T426,IF($C425=2,T$1,"")),Q425&amp;R425&amp;IF(LEN(S425)=0,"",Preferences!$C$2&amp;S425)&amp;IF(J426=J425,IF(LEN(R425&amp;S425)=0,"","
")&amp;T426,""))</f>
        <v xml:space="preserve">	• Filter criteria applicable to the presented products search results list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5" s="122" t="str">
        <v/>
      </c>
      <c r="V425" s="42"/>
      <c r="W425" s="42"/>
      <c r="X425" s="42"/>
      <c r="Y425" s="42"/>
      <c r="Z425" s="42"/>
      <c r="AA425" s="42"/>
      <c r="AB425" s="42"/>
    </row>
    <row r="426" spans="1:28" x14ac:dyDescent="0.25">
      <c r="A426" s="42" t="str">
        <v>1.10.4.1.5</v>
      </c>
      <c r="B426" s="121" t="str">
        <v>Presented search results, with the sort and filter criteria applied.</v>
      </c>
      <c r="C426" s="41">
        <v>5</v>
      </c>
      <c r="D426" s="41" t="str">
        <v>RL</v>
      </c>
      <c r="E426" s="117" t="str">
        <f t="shared" si="0"/>
        <v>RL</v>
      </c>
      <c r="F426" s="41" t="str">
        <v/>
      </c>
      <c r="G426" s="41" t="str">
        <v/>
      </c>
      <c r="H426" s="117">
        <f t="shared" si="1"/>
        <v>0</v>
      </c>
      <c r="I426" s="117">
        <f t="shared" si="2"/>
        <v>10</v>
      </c>
      <c r="J426" s="117">
        <f t="shared" si="3"/>
        <v>10.039999999999999</v>
      </c>
      <c r="K426" s="117" t="str">
        <f t="shared" si="4"/>
        <v>BR</v>
      </c>
      <c r="L426" s="42" t="str">
        <v>BR1004</v>
      </c>
      <c r="M426" s="121" t="str">
        <v/>
      </c>
      <c r="N426" s="121" t="str">
        <v/>
      </c>
      <c r="O426" s="121" t="str">
        <v/>
      </c>
      <c r="P426" s="121" t="str">
        <v/>
      </c>
      <c r="Q426" s="121" t="str">
        <v/>
      </c>
      <c r="R426" s="121" t="str">
        <v/>
      </c>
      <c r="S426" s="121" t="str">
        <v>Presented search results, with the sort and filter criteria applied.</v>
      </c>
      <c r="T426" s="119" t="str">
        <f>IF($C426&lt;4,IF($C426=3,T427,IF($C426=2,T$1,"")),Q426&amp;R426&amp;IF(LEN(S426)=0,"",Preferences!$C$2&amp;S426)&amp;IF(J427=J426,IF(LEN(R426&amp;S426)=0,"","
")&amp;T427,""))</f>
        <v xml:space="preserve">	• Presented search results, with the sort and filter criteria applied.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6" s="122" t="str">
        <v/>
      </c>
      <c r="V426" s="42"/>
      <c r="W426" s="42"/>
      <c r="X426" s="42"/>
      <c r="Y426" s="42"/>
      <c r="Z426" s="42"/>
      <c r="AA426" s="42"/>
      <c r="AB426" s="42"/>
    </row>
    <row r="427" spans="1:28" x14ac:dyDescent="0.25">
      <c r="A427" s="42" t="str">
        <v>1.10.4.1.6</v>
      </c>
      <c r="B427" s="121" t="str">
        <v>Pager navigation for presenting the next set (configurable count) of results</v>
      </c>
      <c r="C427" s="41">
        <v>5</v>
      </c>
      <c r="D427" s="41" t="str">
        <v>RL</v>
      </c>
      <c r="E427" s="117" t="str">
        <f t="shared" si="0"/>
        <v>RL</v>
      </c>
      <c r="F427" s="41" t="str">
        <v/>
      </c>
      <c r="G427" s="41" t="str">
        <v/>
      </c>
      <c r="H427" s="117">
        <f t="shared" si="1"/>
        <v>0</v>
      </c>
      <c r="I427" s="117">
        <f t="shared" si="2"/>
        <v>10</v>
      </c>
      <c r="J427" s="117">
        <f t="shared" si="3"/>
        <v>10.039999999999999</v>
      </c>
      <c r="K427" s="117" t="str">
        <f t="shared" si="4"/>
        <v>BR</v>
      </c>
      <c r="L427" s="42" t="str">
        <v>BR1004</v>
      </c>
      <c r="M427" s="121" t="str">
        <v/>
      </c>
      <c r="N427" s="121" t="str">
        <v/>
      </c>
      <c r="O427" s="121" t="str">
        <v/>
      </c>
      <c r="P427" s="121" t="str">
        <v/>
      </c>
      <c r="Q427" s="121" t="str">
        <v/>
      </c>
      <c r="R427" s="121" t="str">
        <v/>
      </c>
      <c r="S427" s="121" t="str">
        <v>Pager navigation for presenting the next set (configurable count) of results</v>
      </c>
      <c r="T427" s="119" t="str">
        <f>IF($C427&lt;4,IF($C427=3,T428,IF($C427=2,T$1,"")),Q427&amp;R427&amp;IF(LEN(S427)=0,"",Preferences!$C$2&amp;S427)&amp;IF(J428=J427,IF(LEN(R427&amp;S427)=0,"","
")&amp;T428,""))</f>
        <v xml:space="preserve">	• Pager navigation for presenting the next set (configurable count) of results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7" s="122" t="str">
        <v/>
      </c>
      <c r="V427" s="42"/>
      <c r="W427" s="42"/>
      <c r="X427" s="42"/>
      <c r="Y427" s="42"/>
      <c r="Z427" s="42"/>
      <c r="AA427" s="42"/>
      <c r="AB427" s="42"/>
    </row>
    <row r="428" spans="1:28" x14ac:dyDescent="0.25">
      <c r="A428" s="42" t="str">
        <v>1.10.4.1.7</v>
      </c>
      <c r="B428" s="121" t="str">
        <v>On the side, advertisements, matched to the search results</v>
      </c>
      <c r="C428" s="41">
        <v>5</v>
      </c>
      <c r="D428" s="41" t="str">
        <v>RL</v>
      </c>
      <c r="E428" s="117" t="str">
        <f t="shared" si="0"/>
        <v>RL</v>
      </c>
      <c r="F428" s="41" t="str">
        <v/>
      </c>
      <c r="G428" s="41" t="str">
        <v/>
      </c>
      <c r="H428" s="117">
        <f t="shared" si="1"/>
        <v>0</v>
      </c>
      <c r="I428" s="117">
        <f t="shared" si="2"/>
        <v>10</v>
      </c>
      <c r="J428" s="117">
        <f t="shared" si="3"/>
        <v>10.039999999999999</v>
      </c>
      <c r="K428" s="117" t="str">
        <f t="shared" si="4"/>
        <v>BR</v>
      </c>
      <c r="L428" s="42" t="str">
        <v>BR1004</v>
      </c>
      <c r="M428" s="121" t="str">
        <v/>
      </c>
      <c r="N428" s="121" t="str">
        <v/>
      </c>
      <c r="O428" s="121" t="str">
        <v/>
      </c>
      <c r="P428" s="121" t="str">
        <v/>
      </c>
      <c r="Q428" s="121" t="str">
        <v/>
      </c>
      <c r="R428" s="121" t="str">
        <v/>
      </c>
      <c r="S428" s="121" t="str">
        <v>On the side, advertisements, matched to the search results</v>
      </c>
      <c r="T428" s="119" t="str">
        <f>IF($C428&lt;4,IF($C428=3,T429,IF($C428=2,T$1,"")),Q428&amp;R428&amp;IF(LEN(S428)=0,"",Preferences!$C$2&amp;S428)&amp;IF(J429=J428,IF(LEN(R428&amp;S428)=0,"","
")&amp;T429,""))</f>
        <v xml:space="preserve">	• On the side, advertisements, matched to the search results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8" s="122" t="str">
        <v/>
      </c>
      <c r="V428" s="42"/>
      <c r="W428" s="42"/>
      <c r="X428" s="42"/>
      <c r="Y428" s="42"/>
      <c r="Z428" s="42"/>
      <c r="AA428" s="42"/>
      <c r="AB428" s="42"/>
    </row>
    <row r="429" spans="1:28" x14ac:dyDescent="0.25">
      <c r="A429" s="42" t="str">
        <v>1.10.4.1.8</v>
      </c>
      <c r="B429" s="121" t="str">
        <v>On the side, recommended articles, matched to the search results</v>
      </c>
      <c r="C429" s="41">
        <v>5</v>
      </c>
      <c r="D429" s="41" t="str">
        <v>RL</v>
      </c>
      <c r="E429" s="117" t="str">
        <f t="shared" si="0"/>
        <v>RL</v>
      </c>
      <c r="F429" s="41" t="str">
        <v/>
      </c>
      <c r="G429" s="41" t="str">
        <v/>
      </c>
      <c r="H429" s="117">
        <f t="shared" si="1"/>
        <v>0</v>
      </c>
      <c r="I429" s="117">
        <f t="shared" si="2"/>
        <v>10</v>
      </c>
      <c r="J429" s="117">
        <f t="shared" si="3"/>
        <v>10.039999999999999</v>
      </c>
      <c r="K429" s="117" t="str">
        <f t="shared" si="4"/>
        <v>BR</v>
      </c>
      <c r="L429" s="42" t="str">
        <v>BR1004</v>
      </c>
      <c r="M429" s="121" t="str">
        <v/>
      </c>
      <c r="N429" s="121" t="str">
        <v/>
      </c>
      <c r="O429" s="121" t="str">
        <v/>
      </c>
      <c r="P429" s="121" t="str">
        <v/>
      </c>
      <c r="Q429" s="121" t="str">
        <v/>
      </c>
      <c r="R429" s="121" t="str">
        <v/>
      </c>
      <c r="S429" s="121" t="str">
        <v>On the side, recommended articles, matched to the search results</v>
      </c>
      <c r="T429" s="119" t="str">
        <f>IF($C429&lt;4,IF($C429=3,T430,IF($C429=2,T$1,"")),Q429&amp;R429&amp;IF(LEN(S429)=0,"",Preferences!$C$2&amp;S429)&amp;IF(J430=J429,IF(LEN(R429&amp;S429)=0,"","
")&amp;T430,""))</f>
        <v xml:space="preserve">	• On the side, recommended articles, matched to the search results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29" s="122" t="str">
        <v/>
      </c>
      <c r="V429" s="42"/>
      <c r="W429" s="42"/>
      <c r="X429" s="42"/>
      <c r="Y429" s="42"/>
      <c r="Z429" s="42"/>
      <c r="AA429" s="42"/>
      <c r="AB429" s="42"/>
    </row>
    <row r="430" spans="1:28" x14ac:dyDescent="0.25">
      <c r="A430" s="42" t="str">
        <v>1.10.4.2</v>
      </c>
      <c r="B430" s="121" t="str">
        <v>The filter criteria applicable to the current results are always shown next to the search results.</v>
      </c>
      <c r="C430" s="41">
        <v>4</v>
      </c>
      <c r="D430" s="41" t="str">
        <v>RD</v>
      </c>
      <c r="E430" s="117" t="str">
        <f t="shared" si="0"/>
        <v>RD</v>
      </c>
      <c r="F430" s="41" t="str">
        <v/>
      </c>
      <c r="G430" s="41" t="str">
        <v/>
      </c>
      <c r="H430" s="117">
        <f t="shared" si="1"/>
        <v>0</v>
      </c>
      <c r="I430" s="117">
        <f t="shared" si="2"/>
        <v>10</v>
      </c>
      <c r="J430" s="117">
        <f t="shared" si="3"/>
        <v>10.039999999999999</v>
      </c>
      <c r="K430" s="117" t="str">
        <f t="shared" si="4"/>
        <v>BR</v>
      </c>
      <c r="L430" s="42" t="str">
        <v>BR1004</v>
      </c>
      <c r="M430" s="121" t="str">
        <v/>
      </c>
      <c r="N430" s="121" t="str">
        <v/>
      </c>
      <c r="O430" s="121" t="str">
        <v/>
      </c>
      <c r="P430" s="121" t="str">
        <v/>
      </c>
      <c r="Q430" s="121" t="str">
        <v xml:space="preserve"> 2. </v>
      </c>
      <c r="R430" s="121" t="str">
        <v>The filter criteria applicable to the current results are always shown next to the search results.</v>
      </c>
      <c r="S430" s="121" t="str">
        <v/>
      </c>
      <c r="T430" s="119" t="str">
        <f>IF($C430&lt;4,IF($C430=3,T431,IF($C430=2,T$1,"")),Q430&amp;R430&amp;IF(LEN(S430)=0,"",Preferences!$C$2&amp;S430)&amp;IF(J431=J430,IF(LEN(R430&amp;S430)=0,"","
")&amp;T431,""))</f>
        <v xml:space="preserve"> 2. The filter criteria applicable to the current results are always shown next to the search results.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0" s="122" t="str">
        <v/>
      </c>
      <c r="V430" s="42"/>
      <c r="W430" s="42"/>
      <c r="X430" s="42"/>
      <c r="Y430" s="42"/>
      <c r="Z430" s="42"/>
      <c r="AA430" s="42"/>
      <c r="AB430" s="42"/>
    </row>
    <row r="431" spans="1:28" x14ac:dyDescent="0.25">
      <c r="A431" s="42" t="str">
        <v>1.10.4.2.1</v>
      </c>
      <c r="B431" s="121" t="str">
        <v>For each filter dimension, the current number of matches per criteria entry is listed with the item.</v>
      </c>
      <c r="C431" s="41">
        <v>5</v>
      </c>
      <c r="D431" s="41" t="str">
        <v>RL</v>
      </c>
      <c r="E431" s="117" t="str">
        <f t="shared" si="0"/>
        <v>RL</v>
      </c>
      <c r="F431" s="41" t="str">
        <v/>
      </c>
      <c r="G431" s="41" t="str">
        <v/>
      </c>
      <c r="H431" s="117">
        <f t="shared" si="1"/>
        <v>0</v>
      </c>
      <c r="I431" s="117">
        <f t="shared" si="2"/>
        <v>10</v>
      </c>
      <c r="J431" s="117">
        <f t="shared" si="3"/>
        <v>10.039999999999999</v>
      </c>
      <c r="K431" s="117" t="str">
        <f t="shared" si="4"/>
        <v>BR</v>
      </c>
      <c r="L431" s="42" t="str">
        <v>BR1004</v>
      </c>
      <c r="M431" s="121" t="str">
        <v/>
      </c>
      <c r="N431" s="121" t="str">
        <v/>
      </c>
      <c r="O431" s="121" t="str">
        <v/>
      </c>
      <c r="P431" s="121" t="str">
        <v/>
      </c>
      <c r="Q431" s="121" t="str">
        <v/>
      </c>
      <c r="R431" s="121" t="str">
        <v/>
      </c>
      <c r="S431" s="121" t="str">
        <v>For each filter dimension, the current number of matches per criteria entry is listed with the item.</v>
      </c>
      <c r="T431" s="119" t="str">
        <f>IF($C431&lt;4,IF($C431=3,T432,IF($C431=2,T$1,"")),Q431&amp;R431&amp;IF(LEN(S431)=0,"",Preferences!$C$2&amp;S431)&amp;IF(J432=J431,IF(LEN(R431&amp;S431)=0,"","
")&amp;T432,""))</f>
        <v xml:space="preserve">	• For each filter dimension, the current number of matches per criteria entry is listed with the item.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1" s="122" t="str">
        <v/>
      </c>
      <c r="V431" s="42"/>
      <c r="W431" s="42"/>
      <c r="X431" s="42"/>
      <c r="Y431" s="42"/>
      <c r="Z431" s="42"/>
      <c r="AA431" s="42"/>
      <c r="AB431" s="42"/>
    </row>
    <row r="432" spans="1:28" x14ac:dyDescent="0.25">
      <c r="A432" s="42" t="str">
        <v>1.10.4.3</v>
      </c>
      <c r="B432" s="121" t="str">
        <v>The user may change the filter criteria applied to the search results.</v>
      </c>
      <c r="C432" s="41">
        <v>4</v>
      </c>
      <c r="D432" s="41" t="str">
        <v>RD</v>
      </c>
      <c r="E432" s="117" t="str">
        <f t="shared" si="0"/>
        <v>RD</v>
      </c>
      <c r="F432" s="41" t="str">
        <v/>
      </c>
      <c r="G432" s="41" t="str">
        <v/>
      </c>
      <c r="H432" s="117">
        <f t="shared" si="1"/>
        <v>0</v>
      </c>
      <c r="I432" s="117">
        <f t="shared" si="2"/>
        <v>10</v>
      </c>
      <c r="J432" s="117">
        <f t="shared" si="3"/>
        <v>10.039999999999999</v>
      </c>
      <c r="K432" s="117" t="str">
        <f t="shared" si="4"/>
        <v>BR</v>
      </c>
      <c r="L432" s="42" t="str">
        <v>BR1004</v>
      </c>
      <c r="M432" s="121" t="str">
        <v/>
      </c>
      <c r="N432" s="121" t="str">
        <v/>
      </c>
      <c r="O432" s="121" t="str">
        <v/>
      </c>
      <c r="P432" s="121" t="str">
        <v/>
      </c>
      <c r="Q432" s="121" t="str">
        <v xml:space="preserve"> 3. </v>
      </c>
      <c r="R432" s="121" t="str">
        <v>The user may change the filter criteria applied to the search results.</v>
      </c>
      <c r="S432" s="121" t="str">
        <v/>
      </c>
      <c r="T432" s="119" t="str">
        <f>IF($C432&lt;4,IF($C432=3,T433,IF($C432=2,T$1,"")),Q432&amp;R432&amp;IF(LEN(S432)=0,"",Preferences!$C$2&amp;S432)&amp;IF(J433=J432,IF(LEN(R432&amp;S432)=0,"","
")&amp;T433,""))</f>
        <v xml:space="preserve"> 3. The user may change the filter criteria applied to the search results.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2" s="122" t="str">
        <v/>
      </c>
      <c r="V432" s="42"/>
      <c r="W432" s="42"/>
      <c r="X432" s="42"/>
      <c r="Y432" s="42"/>
      <c r="Z432" s="42"/>
      <c r="AA432" s="42"/>
      <c r="AB432" s="42"/>
    </row>
    <row r="433" spans="1:28" x14ac:dyDescent="0.25">
      <c r="A433" s="42" t="str">
        <v>1.10.4.3.1</v>
      </c>
      <c r="B433" s="121" t="str">
        <v>When a user changes any filter criteria, all the filter criteria are presented together, to enable the user to apply multiple changes together.</v>
      </c>
      <c r="C433" s="41">
        <v>5</v>
      </c>
      <c r="D433" s="41" t="str">
        <v>RL</v>
      </c>
      <c r="E433" s="117" t="str">
        <f t="shared" si="0"/>
        <v>RL</v>
      </c>
      <c r="F433" s="41" t="str">
        <v/>
      </c>
      <c r="G433" s="41" t="str">
        <v/>
      </c>
      <c r="H433" s="117">
        <f t="shared" si="1"/>
        <v>0</v>
      </c>
      <c r="I433" s="117">
        <f t="shared" si="2"/>
        <v>10</v>
      </c>
      <c r="J433" s="117">
        <f t="shared" si="3"/>
        <v>10.039999999999999</v>
      </c>
      <c r="K433" s="117" t="str">
        <f t="shared" si="4"/>
        <v>BR</v>
      </c>
      <c r="L433" s="42" t="str">
        <v>BR1004</v>
      </c>
      <c r="M433" s="121" t="str">
        <v/>
      </c>
      <c r="N433" s="121" t="str">
        <v/>
      </c>
      <c r="O433" s="121" t="str">
        <v/>
      </c>
      <c r="P433" s="121" t="str">
        <v/>
      </c>
      <c r="Q433" s="121" t="str">
        <v/>
      </c>
      <c r="R433" s="121" t="str">
        <v/>
      </c>
      <c r="S433" s="121" t="str">
        <v>When a user changes any filter criteria, all the filter criteria are presented together, to enable the user to apply multiple changes together.</v>
      </c>
      <c r="T433" s="119" t="str">
        <f>IF($C433&lt;4,IF($C433=3,T434,IF($C433=2,T$1,"")),Q433&amp;R433&amp;IF(LEN(S433)=0,"",Preferences!$C$2&amp;S433)&amp;IF(J434=J433,IF(LEN(R433&amp;S433)=0,"","
")&amp;T434,""))</f>
        <v xml:space="preserve">	• When a user changes any filter criteria, all the filter criteria are presented together, to enable the user to apply multiple changes together.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3" s="122" t="str">
        <v/>
      </c>
      <c r="V433" s="42"/>
      <c r="W433" s="42"/>
      <c r="X433" s="42"/>
      <c r="Y433" s="42"/>
      <c r="Z433" s="42"/>
      <c r="AA433" s="42"/>
      <c r="AB433" s="42"/>
    </row>
    <row r="434" spans="1:28" x14ac:dyDescent="0.25">
      <c r="A434" s="42" t="str">
        <v>1.10.4.3.2</v>
      </c>
      <c r="B434" s="121" t="str">
        <v>For any given filter dimension, the user may select multiple items.</v>
      </c>
      <c r="C434" s="41">
        <v>5</v>
      </c>
      <c r="D434" s="41" t="str">
        <v>RL</v>
      </c>
      <c r="E434" s="117" t="str">
        <f t="shared" si="0"/>
        <v>RL</v>
      </c>
      <c r="F434" s="41" t="str">
        <v/>
      </c>
      <c r="G434" s="41" t="str">
        <v/>
      </c>
      <c r="H434" s="117">
        <f t="shared" si="1"/>
        <v>0</v>
      </c>
      <c r="I434" s="117">
        <f t="shared" si="2"/>
        <v>10</v>
      </c>
      <c r="J434" s="117">
        <f t="shared" si="3"/>
        <v>10.039999999999999</v>
      </c>
      <c r="K434" s="117" t="str">
        <f t="shared" si="4"/>
        <v>BR</v>
      </c>
      <c r="L434" s="42" t="str">
        <v>BR1004</v>
      </c>
      <c r="M434" s="121" t="str">
        <v/>
      </c>
      <c r="N434" s="121" t="str">
        <v/>
      </c>
      <c r="O434" s="121" t="str">
        <v/>
      </c>
      <c r="P434" s="121" t="str">
        <v/>
      </c>
      <c r="Q434" s="121" t="str">
        <v/>
      </c>
      <c r="R434" s="121" t="str">
        <v/>
      </c>
      <c r="S434" s="121" t="str">
        <v>For any given filter dimension, the user may select multiple items.</v>
      </c>
      <c r="T434" s="119" t="str">
        <f>IF($C434&lt;4,IF($C434=3,T435,IF($C434=2,T$1,"")),Q434&amp;R434&amp;IF(LEN(S434)=0,"",Preferences!$C$2&amp;S434)&amp;IF(J435=J434,IF(LEN(R434&amp;S434)=0,"","
")&amp;T435,""))</f>
        <v xml:space="preserve">	• For any given filter dimension, the user may select multiple items.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4" s="122" t="str">
        <v/>
      </c>
      <c r="V434" s="42"/>
      <c r="W434" s="42"/>
      <c r="X434" s="42"/>
      <c r="Y434" s="42"/>
      <c r="Z434" s="42"/>
      <c r="AA434" s="42"/>
      <c r="AB434" s="42"/>
    </row>
    <row r="435" spans="1:28" x14ac:dyDescent="0.25">
      <c r="A435" s="42" t="str">
        <v>1.10.4.4</v>
      </c>
      <c r="B435" s="121" t="str">
        <v>The user may change the following filter criteria dimensions, as may be applicable to the search results:</v>
      </c>
      <c r="C435" s="41">
        <v>4</v>
      </c>
      <c r="D435" s="41" t="str">
        <v>RD</v>
      </c>
      <c r="E435" s="117" t="str">
        <f t="shared" si="0"/>
        <v>RD</v>
      </c>
      <c r="F435" s="41" t="str">
        <v/>
      </c>
      <c r="G435" s="41" t="str">
        <v/>
      </c>
      <c r="H435" s="117">
        <f t="shared" si="1"/>
        <v>0</v>
      </c>
      <c r="I435" s="117">
        <f t="shared" si="2"/>
        <v>10</v>
      </c>
      <c r="J435" s="117">
        <f t="shared" si="3"/>
        <v>10.039999999999999</v>
      </c>
      <c r="K435" s="117" t="str">
        <f t="shared" si="4"/>
        <v>BR</v>
      </c>
      <c r="L435" s="42" t="str">
        <v>BR1004</v>
      </c>
      <c r="M435" s="121" t="str">
        <v/>
      </c>
      <c r="N435" s="121" t="str">
        <v/>
      </c>
      <c r="O435" s="121" t="str">
        <v/>
      </c>
      <c r="P435" s="121" t="str">
        <v/>
      </c>
      <c r="Q435" s="121" t="str">
        <v xml:space="preserve"> 4. </v>
      </c>
      <c r="R435" s="121" t="str">
        <v>The user may change the following filter criteria dimensions, as may be applicable to the search results:</v>
      </c>
      <c r="S435" s="121" t="str">
        <v/>
      </c>
      <c r="T435" s="119" t="str">
        <f>IF($C435&lt;4,IF($C435=3,T436,IF($C435=2,T$1,"")),Q435&amp;R435&amp;IF(LEN(S435)=0,"",Preferences!$C$2&amp;S435)&amp;IF(J436=J435,IF(LEN(R435&amp;S435)=0,"","
")&amp;T436,""))</f>
        <v xml:space="preserve"> 4. The user may change the following filter criteria dimensions, as may be applicable to the search results: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5" s="122" t="str">
        <v/>
      </c>
      <c r="V435" s="42"/>
      <c r="W435" s="42"/>
      <c r="X435" s="42"/>
      <c r="Y435" s="42"/>
      <c r="Z435" s="42"/>
      <c r="AA435" s="42"/>
      <c r="AB435" s="42"/>
    </row>
    <row r="436" spans="1:28" x14ac:dyDescent="0.25">
      <c r="A436" s="42" t="str">
        <v>1.10.4.4.1</v>
      </c>
      <c r="B436" s="121" t="str">
        <v>Main product category hierarchy</v>
      </c>
      <c r="C436" s="41">
        <v>5</v>
      </c>
      <c r="D436" s="41" t="str">
        <v>RL</v>
      </c>
      <c r="E436" s="117" t="str">
        <f t="shared" si="0"/>
        <v>RL</v>
      </c>
      <c r="F436" s="41" t="str">
        <v/>
      </c>
      <c r="G436" s="41" t="str">
        <v/>
      </c>
      <c r="H436" s="117">
        <f t="shared" si="1"/>
        <v>0</v>
      </c>
      <c r="I436" s="117">
        <f t="shared" si="2"/>
        <v>10</v>
      </c>
      <c r="J436" s="117">
        <f t="shared" si="3"/>
        <v>10.039999999999999</v>
      </c>
      <c r="K436" s="117" t="str">
        <f t="shared" si="4"/>
        <v>BR</v>
      </c>
      <c r="L436" s="42" t="str">
        <v>BR1004</v>
      </c>
      <c r="M436" s="121" t="str">
        <v/>
      </c>
      <c r="N436" s="121" t="str">
        <v/>
      </c>
      <c r="O436" s="121" t="str">
        <v/>
      </c>
      <c r="P436" s="121" t="str">
        <v/>
      </c>
      <c r="Q436" s="121" t="str">
        <v/>
      </c>
      <c r="R436" s="121" t="str">
        <v/>
      </c>
      <c r="S436" s="121" t="str">
        <v>Main product category hierarchy</v>
      </c>
      <c r="T436" s="119" t="str">
        <f>IF($C436&lt;4,IF($C436=3,T437,IF($C436=2,T$1,"")),Q436&amp;R436&amp;IF(LEN(S436)=0,"",Preferences!$C$2&amp;S436)&amp;IF(J437=J436,IF(LEN(R436&amp;S436)=0,"","
")&amp;T437,""))</f>
        <v xml:space="preserve">	• Main product category hierarchy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6" s="122" t="str">
        <v/>
      </c>
      <c r="V436" s="42"/>
      <c r="W436" s="42"/>
      <c r="X436" s="42"/>
      <c r="Y436" s="42"/>
      <c r="Z436" s="42"/>
      <c r="AA436" s="42"/>
      <c r="AB436" s="42"/>
    </row>
    <row r="437" spans="1:28" x14ac:dyDescent="0.25">
      <c r="A437" s="42" t="str">
        <v>1.10.4.4.2</v>
      </c>
      <c r="B437" s="121" t="str">
        <v>Price bands</v>
      </c>
      <c r="C437" s="41">
        <v>5</v>
      </c>
      <c r="D437" s="41" t="str">
        <v>RL</v>
      </c>
      <c r="E437" s="117" t="str">
        <f t="shared" si="0"/>
        <v>RL</v>
      </c>
      <c r="F437" s="41" t="str">
        <v/>
      </c>
      <c r="G437" s="41" t="str">
        <v/>
      </c>
      <c r="H437" s="117">
        <f t="shared" si="1"/>
        <v>0</v>
      </c>
      <c r="I437" s="117">
        <f t="shared" si="2"/>
        <v>10</v>
      </c>
      <c r="J437" s="117">
        <f t="shared" si="3"/>
        <v>10.039999999999999</v>
      </c>
      <c r="K437" s="117" t="str">
        <f t="shared" si="4"/>
        <v>BR</v>
      </c>
      <c r="L437" s="42" t="str">
        <v>BR1004</v>
      </c>
      <c r="M437" s="121" t="str">
        <v/>
      </c>
      <c r="N437" s="121" t="str">
        <v/>
      </c>
      <c r="O437" s="121" t="str">
        <v/>
      </c>
      <c r="P437" s="121" t="str">
        <v/>
      </c>
      <c r="Q437" s="121" t="str">
        <v/>
      </c>
      <c r="R437" s="121" t="str">
        <v/>
      </c>
      <c r="S437" s="121" t="str">
        <v>Price bands</v>
      </c>
      <c r="T437" s="119" t="str">
        <f>IF($C437&lt;4,IF($C437=3,T438,IF($C437=2,T$1,"")),Q437&amp;R437&amp;IF(LEN(S437)=0,"",Preferences!$C$2&amp;S437)&amp;IF(J438=J437,IF(LEN(R437&amp;S437)=0,"","
")&amp;T438,""))</f>
        <v xml:space="preserve">	• Price bands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7" s="122" t="str">
        <v/>
      </c>
      <c r="V437" s="42"/>
      <c r="W437" s="42"/>
      <c r="X437" s="42"/>
      <c r="Y437" s="42"/>
      <c r="Z437" s="42"/>
      <c r="AA437" s="42"/>
      <c r="AB437" s="42"/>
    </row>
    <row r="438" spans="1:28" x14ac:dyDescent="0.25">
      <c r="A438" s="42" t="str">
        <v>1.10.4.4.3</v>
      </c>
      <c r="B438" s="121" t="str">
        <v>Brands</v>
      </c>
      <c r="C438" s="41">
        <v>5</v>
      </c>
      <c r="D438" s="41" t="str">
        <v>RL</v>
      </c>
      <c r="E438" s="117" t="str">
        <f t="shared" si="0"/>
        <v>RL</v>
      </c>
      <c r="F438" s="41" t="str">
        <v/>
      </c>
      <c r="G438" s="41" t="str">
        <v/>
      </c>
      <c r="H438" s="117">
        <f t="shared" si="1"/>
        <v>0</v>
      </c>
      <c r="I438" s="117">
        <f t="shared" si="2"/>
        <v>10</v>
      </c>
      <c r="J438" s="117">
        <f t="shared" si="3"/>
        <v>10.039999999999999</v>
      </c>
      <c r="K438" s="117" t="str">
        <f t="shared" si="4"/>
        <v>BR</v>
      </c>
      <c r="L438" s="42" t="str">
        <v>BR1004</v>
      </c>
      <c r="M438" s="121" t="str">
        <v/>
      </c>
      <c r="N438" s="121" t="str">
        <v/>
      </c>
      <c r="O438" s="121" t="str">
        <v/>
      </c>
      <c r="P438" s="121" t="str">
        <v/>
      </c>
      <c r="Q438" s="121" t="str">
        <v/>
      </c>
      <c r="R438" s="121" t="str">
        <v/>
      </c>
      <c r="S438" s="121" t="str">
        <v>Brands</v>
      </c>
      <c r="T438" s="119" t="str">
        <f>IF($C438&lt;4,IF($C438=3,T439,IF($C438=2,T$1,"")),Q438&amp;R438&amp;IF(LEN(S438)=0,"",Preferences!$C$2&amp;S438)&amp;IF(J439=J438,IF(LEN(R438&amp;S438)=0,"","
")&amp;T439,""))</f>
        <v xml:space="preserve">	• Brands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8" s="122" t="str">
        <v/>
      </c>
      <c r="V438" s="42"/>
      <c r="W438" s="42"/>
      <c r="X438" s="42"/>
      <c r="Y438" s="42"/>
      <c r="Z438" s="42"/>
      <c r="AA438" s="42"/>
      <c r="AB438" s="42"/>
    </row>
    <row r="439" spans="1:28" x14ac:dyDescent="0.25">
      <c r="A439" s="42" t="str">
        <v>1.10.4.4.4</v>
      </c>
      <c r="B439" s="121" t="str">
        <v>Availability</v>
      </c>
      <c r="C439" s="41">
        <v>5</v>
      </c>
      <c r="D439" s="41" t="str">
        <v>RL</v>
      </c>
      <c r="E439" s="117" t="str">
        <f t="shared" si="0"/>
        <v>RL</v>
      </c>
      <c r="F439" s="41" t="str">
        <v/>
      </c>
      <c r="G439" s="41" t="str">
        <v/>
      </c>
      <c r="H439" s="117">
        <f t="shared" si="1"/>
        <v>0</v>
      </c>
      <c r="I439" s="117">
        <f t="shared" si="2"/>
        <v>10</v>
      </c>
      <c r="J439" s="117">
        <f t="shared" si="3"/>
        <v>10.039999999999999</v>
      </c>
      <c r="K439" s="117" t="str">
        <f t="shared" si="4"/>
        <v>BR</v>
      </c>
      <c r="L439" s="42" t="str">
        <v>BR1004</v>
      </c>
      <c r="M439" s="121" t="str">
        <v/>
      </c>
      <c r="N439" s="121" t="str">
        <v/>
      </c>
      <c r="O439" s="121" t="str">
        <v/>
      </c>
      <c r="P439" s="121" t="str">
        <v/>
      </c>
      <c r="Q439" s="121" t="str">
        <v/>
      </c>
      <c r="R439" s="121" t="str">
        <v/>
      </c>
      <c r="S439" s="121" t="str">
        <v>Availability</v>
      </c>
      <c r="T439" s="119" t="str">
        <f>IF($C439&lt;4,IF($C439=3,T440,IF($C439=2,T$1,"")),Q439&amp;R439&amp;IF(LEN(S439)=0,"",Preferences!$C$2&amp;S439)&amp;IF(J440=J439,IF(LEN(R439&amp;S439)=0,"","
")&amp;T440,""))</f>
        <v xml:space="preserve">	• Availability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39" s="122" t="str">
        <v/>
      </c>
      <c r="V439" s="42"/>
      <c r="W439" s="42"/>
      <c r="X439" s="42"/>
      <c r="Y439" s="42"/>
      <c r="Z439" s="42"/>
      <c r="AA439" s="42"/>
      <c r="AB439" s="42"/>
    </row>
    <row r="440" spans="1:28" x14ac:dyDescent="0.25">
      <c r="A440" s="42" t="str">
        <v>1.10.4.4.5</v>
      </c>
      <c r="B440" s="121" t="str">
        <v>Properties meta-tag hierarchies</v>
      </c>
      <c r="C440" s="41">
        <v>5</v>
      </c>
      <c r="D440" s="41" t="str">
        <v>RL</v>
      </c>
      <c r="E440" s="117" t="str">
        <f t="shared" si="0"/>
        <v>RL</v>
      </c>
      <c r="F440" s="41" t="str">
        <v/>
      </c>
      <c r="G440" s="41" t="str">
        <v/>
      </c>
      <c r="H440" s="117">
        <f t="shared" si="1"/>
        <v>0</v>
      </c>
      <c r="I440" s="117">
        <f t="shared" si="2"/>
        <v>10</v>
      </c>
      <c r="J440" s="117">
        <f t="shared" si="3"/>
        <v>10.039999999999999</v>
      </c>
      <c r="K440" s="117" t="str">
        <f t="shared" si="4"/>
        <v>BR</v>
      </c>
      <c r="L440" s="42" t="str">
        <v>BR1004</v>
      </c>
      <c r="M440" s="121" t="str">
        <v/>
      </c>
      <c r="N440" s="121" t="str">
        <v/>
      </c>
      <c r="O440" s="121" t="str">
        <v/>
      </c>
      <c r="P440" s="121" t="str">
        <v/>
      </c>
      <c r="Q440" s="121" t="str">
        <v/>
      </c>
      <c r="R440" s="121" t="str">
        <v/>
      </c>
      <c r="S440" s="121" t="str">
        <v>Properties meta-tag hierarchies</v>
      </c>
      <c r="T440" s="119" t="str">
        <f>IF($C440&lt;4,IF($C440=3,T441,IF($C440=2,T$1,"")),Q440&amp;R440&amp;IF(LEN(S440)=0,"",Preferences!$C$2&amp;S440)&amp;IF(J441=J440,IF(LEN(R440&amp;S440)=0,"","
")&amp;T441,""))</f>
        <v xml:space="preserve">	• Properties meta-tag hierarchies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0" s="122" t="str">
        <v/>
      </c>
      <c r="V440" s="42"/>
      <c r="W440" s="42"/>
      <c r="X440" s="42"/>
      <c r="Y440" s="42"/>
      <c r="Z440" s="42"/>
      <c r="AA440" s="42"/>
      <c r="AB440" s="42"/>
    </row>
    <row r="441" spans="1:28" x14ac:dyDescent="0.25">
      <c r="A441" s="42" t="str">
        <v>1.10.4.4.6</v>
      </c>
      <c r="B441" s="121" t="str">
        <v>Promotion</v>
      </c>
      <c r="C441" s="41">
        <v>5</v>
      </c>
      <c r="D441" s="41" t="str">
        <v>RL</v>
      </c>
      <c r="E441" s="117" t="str">
        <f t="shared" si="0"/>
        <v>RL</v>
      </c>
      <c r="F441" s="41" t="str">
        <v/>
      </c>
      <c r="G441" s="41" t="str">
        <v/>
      </c>
      <c r="H441" s="117">
        <f t="shared" si="1"/>
        <v>0</v>
      </c>
      <c r="I441" s="117">
        <f t="shared" si="2"/>
        <v>10</v>
      </c>
      <c r="J441" s="117">
        <f t="shared" si="3"/>
        <v>10.039999999999999</v>
      </c>
      <c r="K441" s="117" t="str">
        <f t="shared" si="4"/>
        <v>BR</v>
      </c>
      <c r="L441" s="42" t="str">
        <v>BR1004</v>
      </c>
      <c r="M441" s="121" t="str">
        <v/>
      </c>
      <c r="N441" s="121" t="str">
        <v/>
      </c>
      <c r="O441" s="121" t="str">
        <v/>
      </c>
      <c r="P441" s="121" t="str">
        <v/>
      </c>
      <c r="Q441" s="121" t="str">
        <v/>
      </c>
      <c r="R441" s="121" t="str">
        <v/>
      </c>
      <c r="S441" s="121" t="str">
        <v>Promotion</v>
      </c>
      <c r="T441" s="119" t="str">
        <f>IF($C441&lt;4,IF($C441=3,T442,IF($C441=2,T$1,"")),Q441&amp;R441&amp;IF(LEN(S441)=0,"",Preferences!$C$2&amp;S441)&amp;IF(J442=J441,IF(LEN(R441&amp;S441)=0,"","
")&amp;T442,""))</f>
        <v xml:space="preserve">	• Promotion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1" s="122" t="str">
        <v/>
      </c>
      <c r="V441" s="42"/>
      <c r="W441" s="42"/>
      <c r="X441" s="42"/>
      <c r="Y441" s="42"/>
      <c r="Z441" s="42"/>
      <c r="AA441" s="42"/>
      <c r="AB441" s="42"/>
    </row>
    <row r="442" spans="1:28" x14ac:dyDescent="0.25">
      <c r="A442" s="42" t="str">
        <v>1.10.4.4.7</v>
      </c>
      <c r="B442" s="121" t="str">
        <v>Special event</v>
      </c>
      <c r="C442" s="41">
        <v>5</v>
      </c>
      <c r="D442" s="41" t="str">
        <v>RL</v>
      </c>
      <c r="E442" s="117" t="str">
        <f t="shared" si="0"/>
        <v>RL</v>
      </c>
      <c r="F442" s="41" t="str">
        <v/>
      </c>
      <c r="G442" s="41" t="str">
        <v/>
      </c>
      <c r="H442" s="117">
        <f t="shared" si="1"/>
        <v>0</v>
      </c>
      <c r="I442" s="117">
        <f t="shared" si="2"/>
        <v>10</v>
      </c>
      <c r="J442" s="117">
        <f t="shared" si="3"/>
        <v>10.039999999999999</v>
      </c>
      <c r="K442" s="117" t="str">
        <f t="shared" si="4"/>
        <v>BR</v>
      </c>
      <c r="L442" s="42" t="str">
        <v>BR1004</v>
      </c>
      <c r="M442" s="121" t="str">
        <v/>
      </c>
      <c r="N442" s="121" t="str">
        <v/>
      </c>
      <c r="O442" s="121" t="str">
        <v/>
      </c>
      <c r="P442" s="121" t="str">
        <v/>
      </c>
      <c r="Q442" s="121" t="str">
        <v/>
      </c>
      <c r="R442" s="121" t="str">
        <v/>
      </c>
      <c r="S442" s="121" t="str">
        <v>Special event</v>
      </c>
      <c r="T442" s="119" t="str">
        <f>IF($C442&lt;4,IF($C442=3,T443,IF($C442=2,T$1,"")),Q442&amp;R442&amp;IF(LEN(S442)=0,"",Preferences!$C$2&amp;S442)&amp;IF(J443=J442,IF(LEN(R442&amp;S442)=0,"","
")&amp;T443,""))</f>
        <v xml:space="preserve">	• Special event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2" s="122" t="str">
        <v/>
      </c>
      <c r="V442" s="42"/>
      <c r="W442" s="42"/>
      <c r="X442" s="42"/>
      <c r="Y442" s="42"/>
      <c r="Z442" s="42"/>
      <c r="AA442" s="42"/>
      <c r="AB442" s="42"/>
    </row>
    <row r="443" spans="1:28" x14ac:dyDescent="0.25">
      <c r="A443" s="42" t="str">
        <v>1.10.4.5</v>
      </c>
      <c r="B443" s="121" t="str">
        <v>The user may change the sort order for the search results:</v>
      </c>
      <c r="C443" s="41">
        <v>4</v>
      </c>
      <c r="D443" s="41" t="str">
        <v>RD</v>
      </c>
      <c r="E443" s="117" t="str">
        <f t="shared" si="0"/>
        <v>RD</v>
      </c>
      <c r="F443" s="41" t="str">
        <v/>
      </c>
      <c r="G443" s="41" t="str">
        <v/>
      </c>
      <c r="H443" s="117">
        <f t="shared" si="1"/>
        <v>0</v>
      </c>
      <c r="I443" s="117">
        <f t="shared" si="2"/>
        <v>10</v>
      </c>
      <c r="J443" s="117">
        <f t="shared" si="3"/>
        <v>10.039999999999999</v>
      </c>
      <c r="K443" s="117" t="str">
        <f t="shared" si="4"/>
        <v>BR</v>
      </c>
      <c r="L443" s="42" t="str">
        <v>BR1004</v>
      </c>
      <c r="M443" s="121" t="str">
        <v/>
      </c>
      <c r="N443" s="121" t="str">
        <v/>
      </c>
      <c r="O443" s="121" t="str">
        <v/>
      </c>
      <c r="P443" s="121" t="str">
        <v/>
      </c>
      <c r="Q443" s="121" t="str">
        <v xml:space="preserve"> 5. </v>
      </c>
      <c r="R443" s="121" t="str">
        <v>The user may change the sort order for the search results:</v>
      </c>
      <c r="S443" s="121" t="str">
        <v/>
      </c>
      <c r="T443" s="119" t="str">
        <f>IF($C443&lt;4,IF($C443=3,T444,IF($C443=2,T$1,"")),Q443&amp;R443&amp;IF(LEN(S443)=0,"",Preferences!$C$2&amp;S443)&amp;IF(J444=J443,IF(LEN(R443&amp;S443)=0,"","
")&amp;T444,""))</f>
        <v xml:space="preserve"> 5. The user may change the sort order for the search results: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3" s="122" t="str">
        <v/>
      </c>
      <c r="V443" s="42"/>
      <c r="W443" s="42"/>
      <c r="X443" s="42"/>
      <c r="Y443" s="42"/>
      <c r="Z443" s="42"/>
      <c r="AA443" s="42"/>
      <c r="AB443" s="42"/>
    </row>
    <row r="444" spans="1:28" x14ac:dyDescent="0.25">
      <c r="A444" s="42" t="str">
        <v>1.10.4.5.1</v>
      </c>
      <c r="B444" s="121" t="str">
        <v>When a user changes sort criteria, the change is applied immediately, with the search results refreshed in the new order.</v>
      </c>
      <c r="C444" s="41">
        <v>5</v>
      </c>
      <c r="D444" s="41" t="str">
        <v>RL</v>
      </c>
      <c r="E444" s="117" t="str">
        <f t="shared" si="0"/>
        <v>RL</v>
      </c>
      <c r="F444" s="41" t="str">
        <v/>
      </c>
      <c r="G444" s="41" t="str">
        <v/>
      </c>
      <c r="H444" s="117">
        <f t="shared" si="1"/>
        <v>0</v>
      </c>
      <c r="I444" s="117">
        <f t="shared" si="2"/>
        <v>10</v>
      </c>
      <c r="J444" s="117">
        <f t="shared" si="3"/>
        <v>10.039999999999999</v>
      </c>
      <c r="K444" s="117" t="str">
        <f t="shared" si="4"/>
        <v>BR</v>
      </c>
      <c r="L444" s="42" t="str">
        <v>BR1004</v>
      </c>
      <c r="M444" s="121" t="str">
        <v/>
      </c>
      <c r="N444" s="121" t="str">
        <v/>
      </c>
      <c r="O444" s="121" t="str">
        <v/>
      </c>
      <c r="P444" s="121" t="str">
        <v/>
      </c>
      <c r="Q444" s="121" t="str">
        <v/>
      </c>
      <c r="R444" s="121" t="str">
        <v/>
      </c>
      <c r="S444" s="121" t="str">
        <v>When a user changes sort criteria, the change is applied immediately, with the search results refreshed in the new order.</v>
      </c>
      <c r="T444" s="119" t="str">
        <f>IF($C444&lt;4,IF($C444=3,T445,IF($C444=2,T$1,"")),Q444&amp;R444&amp;IF(LEN(S444)=0,"",Preferences!$C$2&amp;S444)&amp;IF(J445=J444,IF(LEN(R444&amp;S444)=0,"","
")&amp;T445,""))</f>
        <v xml:space="preserve">	• When a user changes sort criteria, the change is applied immediately, with the search results refreshed in the new order.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4" s="122" t="str">
        <v/>
      </c>
      <c r="V444" s="42"/>
      <c r="W444" s="42"/>
      <c r="X444" s="42"/>
      <c r="Y444" s="42"/>
      <c r="Z444" s="42"/>
      <c r="AA444" s="42"/>
      <c r="AB444" s="42"/>
    </row>
    <row r="445" spans="1:28" x14ac:dyDescent="0.25">
      <c r="A445" s="42" t="str">
        <v>1.10.4.5.2</v>
      </c>
      <c r="B445" s="121" t="str">
        <v>When changing the sort order, the user is returned to the first item in the (sorted) results list.</v>
      </c>
      <c r="C445" s="41">
        <v>5</v>
      </c>
      <c r="D445" s="41" t="str">
        <v>RL</v>
      </c>
      <c r="E445" s="117" t="str">
        <f t="shared" si="0"/>
        <v>RL</v>
      </c>
      <c r="F445" s="41" t="str">
        <v/>
      </c>
      <c r="G445" s="41" t="str">
        <v/>
      </c>
      <c r="H445" s="117">
        <f t="shared" si="1"/>
        <v>0</v>
      </c>
      <c r="I445" s="117">
        <f t="shared" si="2"/>
        <v>10</v>
      </c>
      <c r="J445" s="117">
        <f t="shared" si="3"/>
        <v>10.039999999999999</v>
      </c>
      <c r="K445" s="117" t="str">
        <f t="shared" si="4"/>
        <v>BR</v>
      </c>
      <c r="L445" s="42" t="str">
        <v>BR1004</v>
      </c>
      <c r="M445" s="121" t="str">
        <v/>
      </c>
      <c r="N445" s="121" t="str">
        <v/>
      </c>
      <c r="O445" s="121" t="str">
        <v/>
      </c>
      <c r="P445" s="121" t="str">
        <v/>
      </c>
      <c r="Q445" s="121" t="str">
        <v/>
      </c>
      <c r="R445" s="121" t="str">
        <v/>
      </c>
      <c r="S445" s="121" t="str">
        <v>When changing the sort order, the user is returned to the first item in the (sorted) results list.</v>
      </c>
      <c r="T445" s="119" t="str">
        <f>IF($C445&lt;4,IF($C445=3,T446,IF($C445=2,T$1,"")),Q445&amp;R445&amp;IF(LEN(S445)=0,"",Preferences!$C$2&amp;S445)&amp;IF(J446=J445,IF(LEN(R445&amp;S445)=0,"","
")&amp;T446,""))</f>
        <v xml:space="preserve">	• When changing the sort order, the user is returned to the first item in the (sorted) results list.
 6. Back-office users must be presented the same shop-front as customers.
 7. Relevant promoted advertisements and articles are presented alongside the search results.
 8. Relevant promoted products and articles are presented on a product page.</v>
      </c>
      <c r="U445" s="122" t="str">
        <v/>
      </c>
      <c r="V445" s="42"/>
      <c r="W445" s="42"/>
      <c r="X445" s="42"/>
      <c r="Y445" s="42"/>
      <c r="Z445" s="42"/>
      <c r="AA445" s="42"/>
      <c r="AB445" s="42"/>
    </row>
    <row r="446" spans="1:28" x14ac:dyDescent="0.25">
      <c r="A446" s="42" t="str">
        <v>1.10.4.6</v>
      </c>
      <c r="B446" s="121" t="str">
        <v>Back-office users must be presented the same shop-front as customers.</v>
      </c>
      <c r="C446" s="41">
        <v>4</v>
      </c>
      <c r="D446" s="41" t="str">
        <v>RD</v>
      </c>
      <c r="E446" s="117" t="str">
        <f t="shared" si="0"/>
        <v>RD</v>
      </c>
      <c r="F446" s="41" t="str">
        <v/>
      </c>
      <c r="G446" s="41" t="str">
        <v/>
      </c>
      <c r="H446" s="117">
        <f t="shared" si="1"/>
        <v>0</v>
      </c>
      <c r="I446" s="117">
        <f t="shared" si="2"/>
        <v>10</v>
      </c>
      <c r="J446" s="117">
        <f t="shared" si="3"/>
        <v>10.039999999999999</v>
      </c>
      <c r="K446" s="117" t="str">
        <f t="shared" si="4"/>
        <v>BR</v>
      </c>
      <c r="L446" s="42" t="str">
        <v>BR1004</v>
      </c>
      <c r="M446" s="121" t="str">
        <v/>
      </c>
      <c r="N446" s="121" t="str">
        <v/>
      </c>
      <c r="O446" s="121" t="str">
        <v/>
      </c>
      <c r="P446" s="121" t="str">
        <v/>
      </c>
      <c r="Q446" s="121" t="str">
        <v xml:space="preserve"> 6. </v>
      </c>
      <c r="R446" s="121" t="str">
        <v>Back-office users must be presented the same shop-front as customers.</v>
      </c>
      <c r="S446" s="121" t="str">
        <v/>
      </c>
      <c r="T446" s="119" t="str">
        <f>IF($C446&lt;4,IF($C446=3,T447,IF($C446=2,T$1,"")),Q446&amp;R446&amp;IF(LEN(S446)=0,"",Preferences!$C$2&amp;S446)&amp;IF(J447=J446,IF(LEN(R446&amp;S446)=0,"","
")&amp;T447,""))</f>
        <v xml:space="preserve"> 6. Back-office users must be presented the same shop-front as customers.
 7. Relevant promoted advertisements and articles are presented alongside the search results.
 8. Relevant promoted products and articles are presented on a product page.</v>
      </c>
      <c r="U446" s="122" t="str">
        <v/>
      </c>
      <c r="V446" s="42"/>
      <c r="W446" s="42"/>
      <c r="X446" s="42"/>
      <c r="Y446" s="42"/>
      <c r="Z446" s="42"/>
      <c r="AA446" s="42"/>
      <c r="AB446" s="42"/>
    </row>
    <row r="447" spans="1:28" x14ac:dyDescent="0.25">
      <c r="A447" s="42" t="str">
        <v>1.10.4.7</v>
      </c>
      <c r="B447" s="121" t="str">
        <v>Relevant promoted advertisements and articles are presented alongside the search results.</v>
      </c>
      <c r="C447" s="41">
        <v>4</v>
      </c>
      <c r="D447" s="41" t="str">
        <v>RD</v>
      </c>
      <c r="E447" s="117" t="str">
        <f t="shared" si="0"/>
        <v>RD</v>
      </c>
      <c r="F447" s="41" t="str">
        <v/>
      </c>
      <c r="G447" s="41" t="str">
        <v/>
      </c>
      <c r="H447" s="117">
        <f t="shared" si="1"/>
        <v>0</v>
      </c>
      <c r="I447" s="117">
        <f t="shared" si="2"/>
        <v>10</v>
      </c>
      <c r="J447" s="117">
        <f t="shared" si="3"/>
        <v>10.039999999999999</v>
      </c>
      <c r="K447" s="117" t="str">
        <f t="shared" si="4"/>
        <v>BR</v>
      </c>
      <c r="L447" s="42" t="str">
        <v>BR1004</v>
      </c>
      <c r="M447" s="121" t="str">
        <v/>
      </c>
      <c r="N447" s="121" t="str">
        <v/>
      </c>
      <c r="O447" s="121" t="str">
        <v/>
      </c>
      <c r="P447" s="121" t="str">
        <v/>
      </c>
      <c r="Q447" s="121" t="str">
        <v xml:space="preserve"> 7. </v>
      </c>
      <c r="R447" s="121" t="str">
        <v>Relevant promoted advertisements and articles are presented alongside the search results.</v>
      </c>
      <c r="S447" s="121" t="str">
        <v/>
      </c>
      <c r="T447" s="119" t="str">
        <f>IF($C447&lt;4,IF($C447=3,T448,IF($C447=2,T$1,"")),Q447&amp;R447&amp;IF(LEN(S447)=0,"",Preferences!$C$2&amp;S447)&amp;IF(J448=J447,IF(LEN(R447&amp;S447)=0,"","
")&amp;T448,""))</f>
        <v xml:space="preserve"> 7. Relevant promoted advertisements and articles are presented alongside the search results.
 8. Relevant promoted products and articles are presented on a product page.</v>
      </c>
      <c r="U447" s="122" t="str">
        <v/>
      </c>
      <c r="V447" s="42"/>
      <c r="W447" s="42"/>
      <c r="X447" s="42"/>
      <c r="Y447" s="42"/>
      <c r="Z447" s="42"/>
      <c r="AA447" s="42"/>
      <c r="AB447" s="42"/>
    </row>
    <row r="448" spans="1:28" x14ac:dyDescent="0.25">
      <c r="A448" s="42" t="str">
        <v>1.10.4.8</v>
      </c>
      <c r="B448" s="121" t="str">
        <v>Relevant promoted products and articles are presented on a product page.</v>
      </c>
      <c r="C448" s="41">
        <v>4</v>
      </c>
      <c r="D448" s="41" t="str">
        <v>RD</v>
      </c>
      <c r="E448" s="117" t="str">
        <f t="shared" si="0"/>
        <v>RD</v>
      </c>
      <c r="F448" s="41" t="str">
        <v/>
      </c>
      <c r="G448" s="41" t="str">
        <v/>
      </c>
      <c r="H448" s="117">
        <f t="shared" si="1"/>
        <v>0</v>
      </c>
      <c r="I448" s="117">
        <f t="shared" si="2"/>
        <v>10</v>
      </c>
      <c r="J448" s="117">
        <f t="shared" si="3"/>
        <v>10.039999999999999</v>
      </c>
      <c r="K448" s="117" t="str">
        <f t="shared" si="4"/>
        <v>BR</v>
      </c>
      <c r="L448" s="42" t="str">
        <v>BR1004</v>
      </c>
      <c r="M448" s="121" t="str">
        <v/>
      </c>
      <c r="N448" s="121" t="str">
        <v/>
      </c>
      <c r="O448" s="121" t="str">
        <v/>
      </c>
      <c r="P448" s="121" t="str">
        <v/>
      </c>
      <c r="Q448" s="121" t="str">
        <v xml:space="preserve"> 8. </v>
      </c>
      <c r="R448" s="121" t="str">
        <v>Relevant promoted products and articles are presented on a product page.</v>
      </c>
      <c r="S448" s="121" t="str">
        <v/>
      </c>
      <c r="T448" s="119" t="str">
        <f>IF($C448&lt;4,IF($C448=3,T449,IF($C448=2,T$1,"")),Q448&amp;R448&amp;IF(LEN(S448)=0,"",Preferences!$C$2&amp;S448)&amp;IF(J449=J448,IF(LEN(R448&amp;S448)=0,"","
")&amp;T449,""))</f>
        <v xml:space="preserve"> 8. Relevant promoted products and articles are presented on a product page.</v>
      </c>
      <c r="U448" s="122" t="str">
        <v/>
      </c>
      <c r="V448" s="42"/>
      <c r="W448" s="42"/>
      <c r="X448" s="42"/>
      <c r="Y448" s="42"/>
      <c r="Z448" s="42"/>
      <c r="AA448" s="42"/>
      <c r="AB448" s="42"/>
    </row>
    <row r="449" spans="1:28" x14ac:dyDescent="0.25">
      <c r="A449" s="42" t="str">
        <v>1.10.5</v>
      </c>
      <c r="B449" s="121" t="str">
        <v>10.5 Present product in the online shop</v>
      </c>
      <c r="C449" s="41">
        <v>3</v>
      </c>
      <c r="D449" s="41" t="str">
        <v>R</v>
      </c>
      <c r="E449" s="117" t="str">
        <f t="shared" si="0"/>
        <v>R</v>
      </c>
      <c r="F449" s="41" t="str">
        <v/>
      </c>
      <c r="G449" s="41" t="str">
        <v/>
      </c>
      <c r="H449" s="117">
        <f t="shared" si="1"/>
        <v>0</v>
      </c>
      <c r="I449" s="117">
        <f t="shared" si="2"/>
        <v>10</v>
      </c>
      <c r="J449" s="117">
        <f t="shared" si="3"/>
        <v>10.049999999999999</v>
      </c>
      <c r="K449" s="117" t="str">
        <f t="shared" si="4"/>
        <v>BR</v>
      </c>
      <c r="L449" s="42" t="str">
        <v>BR1005</v>
      </c>
      <c r="M449" s="121" t="str">
        <v/>
      </c>
      <c r="N449" s="121" t="str">
        <v/>
      </c>
      <c r="O449" s="121" t="str">
        <v>BR1005</v>
      </c>
      <c r="P449" s="121" t="str">
        <v>Present product in the online shop</v>
      </c>
      <c r="Q449" s="121" t="str">
        <v/>
      </c>
      <c r="R449" s="121" t="str">
        <v/>
      </c>
      <c r="S449" s="121" t="str">
        <v/>
      </c>
      <c r="T449" s="119" t="str">
        <f>IF($C449&lt;4,IF($C449=3,T450,IF($C449=2,T$1,"")),Q449&amp;R449&amp;IF(LEN(S449)=0,"",Preferences!$C$2&amp;S449)&amp;IF(J450=J449,IF(LEN(R449&amp;S449)=0,"","
")&amp;T450,""))</f>
        <v xml:space="preserve"> 1. The search results teaser view of a product contains at least the following:
	• Title (link to product)
	• Thumbnail image (of default; link to product)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49" s="122" t="str">
        <v/>
      </c>
      <c r="V449" s="42"/>
      <c r="W449" s="42"/>
      <c r="X449" s="42"/>
      <c r="Y449" s="42"/>
      <c r="Z449" s="42"/>
      <c r="AA449" s="42"/>
      <c r="AB449" s="42"/>
    </row>
    <row r="450" spans="1:28" x14ac:dyDescent="0.25">
      <c r="A450" s="42" t="str">
        <v>1.10.5.1</v>
      </c>
      <c r="B450" s="121" t="str">
        <v>The search results teaser view of a product contains at least the following:</v>
      </c>
      <c r="C450" s="41">
        <v>4</v>
      </c>
      <c r="D450" s="41" t="str">
        <v>RD</v>
      </c>
      <c r="E450" s="117" t="str">
        <f t="shared" si="0"/>
        <v>RD</v>
      </c>
      <c r="F450" s="41" t="str">
        <v/>
      </c>
      <c r="G450" s="41" t="str">
        <v/>
      </c>
      <c r="H450" s="117">
        <f t="shared" si="1"/>
        <v>0</v>
      </c>
      <c r="I450" s="117">
        <f t="shared" si="2"/>
        <v>10</v>
      </c>
      <c r="J450" s="117">
        <f t="shared" si="3"/>
        <v>10.049999999999999</v>
      </c>
      <c r="K450" s="117" t="str">
        <f t="shared" si="4"/>
        <v>BR</v>
      </c>
      <c r="L450" s="42" t="str">
        <v>BR1005</v>
      </c>
      <c r="M450" s="121" t="str">
        <v/>
      </c>
      <c r="N450" s="121" t="str">
        <v/>
      </c>
      <c r="O450" s="121" t="str">
        <v/>
      </c>
      <c r="P450" s="121" t="str">
        <v/>
      </c>
      <c r="Q450" s="121" t="str">
        <v xml:space="preserve"> 1. </v>
      </c>
      <c r="R450" s="121" t="str">
        <v>The search results teaser view of a product contains at least the following:</v>
      </c>
      <c r="S450" s="121" t="str">
        <v/>
      </c>
      <c r="T450" s="119" t="str">
        <f>IF($C450&lt;4,IF($C450=3,T451,IF($C450=2,T$1,"")),Q450&amp;R450&amp;IF(LEN(S450)=0,"",Preferences!$C$2&amp;S450)&amp;IF(J451=J450,IF(LEN(R450&amp;S450)=0,"","
")&amp;T451,""))</f>
        <v xml:space="preserve"> 1. The search results teaser view of a product contains at least the following:
	• Title (link to product)
	• Thumbnail image (of default; link to product)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0" s="122" t="str">
        <v/>
      </c>
      <c r="V450" s="42"/>
      <c r="W450" s="42"/>
      <c r="X450" s="42"/>
      <c r="Y450" s="42"/>
      <c r="Z450" s="42"/>
      <c r="AA450" s="42"/>
      <c r="AB450" s="42"/>
    </row>
    <row r="451" spans="1:28" x14ac:dyDescent="0.25">
      <c r="A451" s="42" t="str">
        <v>1.10.5.1.1</v>
      </c>
      <c r="B451" s="121" t="str">
        <v>Title (link to product)</v>
      </c>
      <c r="C451" s="41">
        <v>5</v>
      </c>
      <c r="D451" s="41" t="str">
        <v>RL</v>
      </c>
      <c r="E451" s="117" t="str">
        <f t="shared" si="0"/>
        <v>RL</v>
      </c>
      <c r="F451" s="41" t="str">
        <v/>
      </c>
      <c r="G451" s="41" t="str">
        <v/>
      </c>
      <c r="H451" s="117">
        <f t="shared" si="1"/>
        <v>0</v>
      </c>
      <c r="I451" s="117">
        <f t="shared" si="2"/>
        <v>10</v>
      </c>
      <c r="J451" s="117">
        <f t="shared" si="3"/>
        <v>10.049999999999999</v>
      </c>
      <c r="K451" s="117" t="str">
        <f t="shared" si="4"/>
        <v>BR</v>
      </c>
      <c r="L451" s="42" t="str">
        <v>BR1005</v>
      </c>
      <c r="M451" s="121" t="str">
        <v/>
      </c>
      <c r="N451" s="121" t="str">
        <v/>
      </c>
      <c r="O451" s="121" t="str">
        <v/>
      </c>
      <c r="P451" s="121" t="str">
        <v/>
      </c>
      <c r="Q451" s="121" t="str">
        <v/>
      </c>
      <c r="R451" s="121" t="str">
        <v/>
      </c>
      <c r="S451" s="121" t="str">
        <v>Title (link to product)</v>
      </c>
      <c r="T451" s="119" t="str">
        <f>IF($C451&lt;4,IF($C451=3,T452,IF($C451=2,T$1,"")),Q451&amp;R451&amp;IF(LEN(S451)=0,"",Preferences!$C$2&amp;S451)&amp;IF(J452=J451,IF(LEN(R451&amp;S451)=0,"","
")&amp;T452,""))</f>
        <v xml:space="preserve">	• Title (link to product)
	• Thumbnail image (of default; link to product)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1" s="122" t="str">
        <v/>
      </c>
      <c r="V451" s="42"/>
      <c r="W451" s="42"/>
      <c r="X451" s="42"/>
      <c r="Y451" s="42"/>
      <c r="Z451" s="42"/>
      <c r="AA451" s="42"/>
      <c r="AB451" s="42"/>
    </row>
    <row r="452" spans="1:28" x14ac:dyDescent="0.25">
      <c r="A452" s="42" t="str">
        <v>1.10.5.1.2</v>
      </c>
      <c r="B452" s="121" t="str">
        <v>Thumbnail image (of default; link to product)</v>
      </c>
      <c r="C452" s="41">
        <v>5</v>
      </c>
      <c r="D452" s="41" t="str">
        <v>RL</v>
      </c>
      <c r="E452" s="117" t="str">
        <f t="shared" si="0"/>
        <v>RL</v>
      </c>
      <c r="F452" s="41" t="str">
        <v/>
      </c>
      <c r="G452" s="41" t="str">
        <v/>
      </c>
      <c r="H452" s="117">
        <f t="shared" si="1"/>
        <v>0</v>
      </c>
      <c r="I452" s="117">
        <f t="shared" si="2"/>
        <v>10</v>
      </c>
      <c r="J452" s="117">
        <f t="shared" si="3"/>
        <v>10.049999999999999</v>
      </c>
      <c r="K452" s="117" t="str">
        <f t="shared" si="4"/>
        <v>BR</v>
      </c>
      <c r="L452" s="42" t="str">
        <v>BR1005</v>
      </c>
      <c r="M452" s="121" t="str">
        <v/>
      </c>
      <c r="N452" s="121" t="str">
        <v/>
      </c>
      <c r="O452" s="121" t="str">
        <v/>
      </c>
      <c r="P452" s="121" t="str">
        <v/>
      </c>
      <c r="Q452" s="121" t="str">
        <v/>
      </c>
      <c r="R452" s="121" t="str">
        <v/>
      </c>
      <c r="S452" s="121" t="str">
        <v>Thumbnail image (of default; link to product)</v>
      </c>
      <c r="T452" s="119" t="str">
        <f>IF($C452&lt;4,IF($C452=3,T453,IF($C452=2,T$1,"")),Q452&amp;R452&amp;IF(LEN(S452)=0,"",Preferences!$C$2&amp;S452)&amp;IF(J453=J452,IF(LEN(R452&amp;S452)=0,"","
")&amp;T453,""))</f>
        <v xml:space="preserve">	• Thumbnail image (of default; link to product)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2" s="122" t="str">
        <v/>
      </c>
      <c r="V452" s="42"/>
      <c r="W452" s="42"/>
      <c r="X452" s="42"/>
      <c r="Y452" s="42"/>
      <c r="Z452" s="42"/>
      <c r="AA452" s="42"/>
      <c r="AB452" s="42"/>
    </row>
    <row r="453" spans="1:28" x14ac:dyDescent="0.25">
      <c r="A453" s="42" t="str">
        <v>1.10.5.1.3</v>
      </c>
      <c r="B453" s="121" t="str">
        <v>Brand</v>
      </c>
      <c r="C453" s="41">
        <v>5</v>
      </c>
      <c r="D453" s="41" t="str">
        <v>RL</v>
      </c>
      <c r="E453" s="117" t="str">
        <f t="shared" si="0"/>
        <v>RL</v>
      </c>
      <c r="F453" s="41" t="str">
        <v/>
      </c>
      <c r="G453" s="41" t="str">
        <v/>
      </c>
      <c r="H453" s="117">
        <f t="shared" si="1"/>
        <v>0</v>
      </c>
      <c r="I453" s="117">
        <f t="shared" si="2"/>
        <v>10</v>
      </c>
      <c r="J453" s="117">
        <f t="shared" si="3"/>
        <v>10.049999999999999</v>
      </c>
      <c r="K453" s="117" t="str">
        <f t="shared" si="4"/>
        <v>BR</v>
      </c>
      <c r="L453" s="42" t="str">
        <v>BR1005</v>
      </c>
      <c r="M453" s="121" t="str">
        <v/>
      </c>
      <c r="N453" s="121" t="str">
        <v/>
      </c>
      <c r="O453" s="121" t="str">
        <v/>
      </c>
      <c r="P453" s="121" t="str">
        <v/>
      </c>
      <c r="Q453" s="121" t="str">
        <v/>
      </c>
      <c r="R453" s="121" t="str">
        <v/>
      </c>
      <c r="S453" s="121" t="str">
        <v>Brand</v>
      </c>
      <c r="T453" s="119" t="str">
        <f>IF($C453&lt;4,IF($C453=3,T454,IF($C453=2,T$1,"")),Q453&amp;R453&amp;IF(LEN(S453)=0,"",Preferences!$C$2&amp;S453)&amp;IF(J454=J453,IF(LEN(R453&amp;S453)=0,"","
")&amp;T454,""))</f>
        <v xml:space="preserve">	• Brand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3" s="122" t="str">
        <v/>
      </c>
      <c r="V453" s="42"/>
      <c r="W453" s="42"/>
      <c r="X453" s="42"/>
      <c r="Y453" s="42"/>
      <c r="Z453" s="42"/>
      <c r="AA453" s="42"/>
      <c r="AB453" s="42"/>
    </row>
    <row r="454" spans="1:28" x14ac:dyDescent="0.25">
      <c r="A454" s="42" t="str">
        <v>1.10.5.1.4</v>
      </c>
      <c r="B454" s="121" t="str">
        <v>Teaser</v>
      </c>
      <c r="C454" s="41">
        <v>5</v>
      </c>
      <c r="D454" s="41" t="str">
        <v>RL</v>
      </c>
      <c r="E454" s="117" t="str">
        <f t="shared" si="0"/>
        <v>RL</v>
      </c>
      <c r="F454" s="41" t="str">
        <v/>
      </c>
      <c r="G454" s="41" t="str">
        <v/>
      </c>
      <c r="H454" s="117">
        <f t="shared" si="1"/>
        <v>0</v>
      </c>
      <c r="I454" s="117">
        <f t="shared" si="2"/>
        <v>10</v>
      </c>
      <c r="J454" s="117">
        <f t="shared" si="3"/>
        <v>10.049999999999999</v>
      </c>
      <c r="K454" s="117" t="str">
        <f t="shared" si="4"/>
        <v>BR</v>
      </c>
      <c r="L454" s="42" t="str">
        <v>BR1005</v>
      </c>
      <c r="M454" s="121" t="str">
        <v/>
      </c>
      <c r="N454" s="121" t="str">
        <v/>
      </c>
      <c r="O454" s="121" t="str">
        <v/>
      </c>
      <c r="P454" s="121" t="str">
        <v/>
      </c>
      <c r="Q454" s="121" t="str">
        <v/>
      </c>
      <c r="R454" s="121" t="str">
        <v/>
      </c>
      <c r="S454" s="121" t="str">
        <v>Teaser</v>
      </c>
      <c r="T454" s="119" t="str">
        <f>IF($C454&lt;4,IF($C454=3,T455,IF($C454=2,T$1,"")),Q454&amp;R454&amp;IF(LEN(S454)=0,"",Preferences!$C$2&amp;S454)&amp;IF(J455=J454,IF(LEN(R454&amp;S454)=0,"","
")&amp;T455,""))</f>
        <v xml:space="preserve">	• Teaser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4" s="122" t="str">
        <v/>
      </c>
      <c r="V454" s="42"/>
      <c r="W454" s="42"/>
      <c r="X454" s="42"/>
      <c r="Y454" s="42"/>
      <c r="Z454" s="42"/>
      <c r="AA454" s="42"/>
      <c r="AB454" s="42"/>
    </row>
    <row r="455" spans="1:28" x14ac:dyDescent="0.25">
      <c r="A455" s="42" t="str">
        <v>1.10.5.1.5</v>
      </c>
      <c r="B455" s="121" t="str">
        <v>Price (incl.)</v>
      </c>
      <c r="C455" s="41">
        <v>5</v>
      </c>
      <c r="D455" s="41" t="str">
        <v>RL</v>
      </c>
      <c r="E455" s="117" t="str">
        <f t="shared" si="0"/>
        <v>RL</v>
      </c>
      <c r="F455" s="41" t="str">
        <v/>
      </c>
      <c r="G455" s="41" t="str">
        <v/>
      </c>
      <c r="H455" s="117">
        <f t="shared" si="1"/>
        <v>0</v>
      </c>
      <c r="I455" s="117">
        <f t="shared" si="2"/>
        <v>10</v>
      </c>
      <c r="J455" s="117">
        <f t="shared" si="3"/>
        <v>10.049999999999999</v>
      </c>
      <c r="K455" s="117" t="str">
        <f t="shared" si="4"/>
        <v>BR</v>
      </c>
      <c r="L455" s="42" t="str">
        <v>BR1005</v>
      </c>
      <c r="M455" s="121" t="str">
        <v/>
      </c>
      <c r="N455" s="121" t="str">
        <v/>
      </c>
      <c r="O455" s="121" t="str">
        <v/>
      </c>
      <c r="P455" s="121" t="str">
        <v/>
      </c>
      <c r="Q455" s="121" t="str">
        <v/>
      </c>
      <c r="R455" s="121" t="str">
        <v/>
      </c>
      <c r="S455" s="121" t="str">
        <v>Price (incl.)</v>
      </c>
      <c r="T455" s="119" t="str">
        <f>IF($C455&lt;4,IF($C455=3,T456,IF($C455=2,T$1,"")),Q455&amp;R455&amp;IF(LEN(S455)=0,"",Preferences!$C$2&amp;S455)&amp;IF(J456=J455,IF(LEN(R455&amp;S455)=0,"","
")&amp;T456,""))</f>
        <v xml:space="preserve">	• Price (incl.)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5" s="122" t="str">
        <v/>
      </c>
      <c r="V455" s="42"/>
      <c r="W455" s="42"/>
      <c r="X455" s="42"/>
      <c r="Y455" s="42"/>
      <c r="Z455" s="42"/>
      <c r="AA455" s="42"/>
      <c r="AB455" s="42"/>
    </row>
    <row r="456" spans="1:28" x14ac:dyDescent="0.25">
      <c r="A456" s="42" t="str">
        <v>1.10.5.1.6</v>
      </c>
      <c r="B456" s="121" t="str">
        <v>Icons to add the product to: Shopping Cart, Favourites, Wish-list</v>
      </c>
      <c r="C456" s="41">
        <v>5</v>
      </c>
      <c r="D456" s="41" t="str">
        <v>RL</v>
      </c>
      <c r="E456" s="117" t="str">
        <f t="shared" si="0"/>
        <v>RL</v>
      </c>
      <c r="F456" s="41" t="str">
        <v/>
      </c>
      <c r="G456" s="41" t="str">
        <v/>
      </c>
      <c r="H456" s="117">
        <f t="shared" si="1"/>
        <v>0</v>
      </c>
      <c r="I456" s="117">
        <f t="shared" si="2"/>
        <v>10</v>
      </c>
      <c r="J456" s="117">
        <f t="shared" si="3"/>
        <v>10.049999999999999</v>
      </c>
      <c r="K456" s="117" t="str">
        <f t="shared" si="4"/>
        <v>BR</v>
      </c>
      <c r="L456" s="42" t="str">
        <v>BR1005</v>
      </c>
      <c r="M456" s="121" t="str">
        <v/>
      </c>
      <c r="N456" s="121" t="str">
        <v/>
      </c>
      <c r="O456" s="121" t="str">
        <v/>
      </c>
      <c r="P456" s="121" t="str">
        <v/>
      </c>
      <c r="Q456" s="121" t="str">
        <v/>
      </c>
      <c r="R456" s="121" t="str">
        <v/>
      </c>
      <c r="S456" s="121" t="str">
        <v>Icons to add the product to: Shopping Cart, Favourites, Wish-list</v>
      </c>
      <c r="T456" s="119" t="str">
        <f>IF($C456&lt;4,IF($C456=3,T457,IF($C456=2,T$1,"")),Q456&amp;R456&amp;IF(LEN(S456)=0,"",Preferences!$C$2&amp;S456)&amp;IF(J457=J456,IF(LEN(R456&amp;S456)=0,"","
")&amp;T457,""))</f>
        <v xml:space="preserve">	• Icons to add the product to: Shopping Cart, Favourites, Wish-list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6" s="122" t="str">
        <v/>
      </c>
      <c r="V456" s="42"/>
      <c r="W456" s="42"/>
      <c r="X456" s="42"/>
      <c r="Y456" s="42"/>
      <c r="Z456" s="42"/>
      <c r="AA456" s="42"/>
      <c r="AB456" s="42"/>
    </row>
    <row r="457" spans="1:28" x14ac:dyDescent="0.25">
      <c r="A457" s="42" t="str">
        <v>1.10.5.1.7</v>
      </c>
      <c r="B457" s="121" t="str">
        <v>Promotion type (if applicable)</v>
      </c>
      <c r="C457" s="41">
        <v>5</v>
      </c>
      <c r="D457" s="41" t="str">
        <v>RL</v>
      </c>
      <c r="E457" s="117" t="str">
        <f t="shared" si="0"/>
        <v>RL</v>
      </c>
      <c r="F457" s="41" t="str">
        <v/>
      </c>
      <c r="G457" s="41" t="str">
        <v/>
      </c>
      <c r="H457" s="117">
        <f t="shared" si="1"/>
        <v>0</v>
      </c>
      <c r="I457" s="117">
        <f t="shared" si="2"/>
        <v>10</v>
      </c>
      <c r="J457" s="117">
        <f t="shared" si="3"/>
        <v>10.049999999999999</v>
      </c>
      <c r="K457" s="117" t="str">
        <f t="shared" si="4"/>
        <v>BR</v>
      </c>
      <c r="L457" s="42" t="str">
        <v>BR1005</v>
      </c>
      <c r="M457" s="121" t="str">
        <v/>
      </c>
      <c r="N457" s="121" t="str">
        <v/>
      </c>
      <c r="O457" s="121" t="str">
        <v/>
      </c>
      <c r="P457" s="121" t="str">
        <v/>
      </c>
      <c r="Q457" s="121" t="str">
        <v/>
      </c>
      <c r="R457" s="121" t="str">
        <v/>
      </c>
      <c r="S457" s="121" t="str">
        <v>Promotion type (if applicable)</v>
      </c>
      <c r="T457" s="119" t="str">
        <f>IF($C457&lt;4,IF($C457=3,T458,IF($C457=2,T$1,"")),Q457&amp;R457&amp;IF(LEN(S457)=0,"",Preferences!$C$2&amp;S457)&amp;IF(J458=J457,IF(LEN(R457&amp;S457)=0,"","
")&amp;T458,""))</f>
        <v xml:space="preserve">	• Promotion type (if applicable)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7" s="122" t="str">
        <v/>
      </c>
      <c r="V457" s="42"/>
      <c r="W457" s="42"/>
      <c r="X457" s="42"/>
      <c r="Y457" s="42"/>
      <c r="Z457" s="42"/>
      <c r="AA457" s="42"/>
      <c r="AB457" s="42"/>
    </row>
    <row r="458" spans="1:28" x14ac:dyDescent="0.25">
      <c r="A458" s="42" t="str">
        <v>1.10.5.2</v>
      </c>
      <c r="B458" s="121" t="str">
        <v>The recommended product teaser view of a product contains at least the following:</v>
      </c>
      <c r="C458" s="41">
        <v>4</v>
      </c>
      <c r="D458" s="41" t="str">
        <v>RD</v>
      </c>
      <c r="E458" s="117" t="str">
        <f t="shared" si="0"/>
        <v>RD</v>
      </c>
      <c r="F458" s="41" t="str">
        <v/>
      </c>
      <c r="G458" s="41" t="str">
        <v/>
      </c>
      <c r="H458" s="117">
        <f t="shared" si="1"/>
        <v>0</v>
      </c>
      <c r="I458" s="117">
        <f t="shared" si="2"/>
        <v>10</v>
      </c>
      <c r="J458" s="117">
        <f t="shared" si="3"/>
        <v>10.049999999999999</v>
      </c>
      <c r="K458" s="117" t="str">
        <f t="shared" si="4"/>
        <v>BR</v>
      </c>
      <c r="L458" s="42" t="str">
        <v>BR1005</v>
      </c>
      <c r="M458" s="121" t="str">
        <v/>
      </c>
      <c r="N458" s="121" t="str">
        <v/>
      </c>
      <c r="O458" s="121" t="str">
        <v/>
      </c>
      <c r="P458" s="121" t="str">
        <v/>
      </c>
      <c r="Q458" s="121" t="str">
        <v xml:space="preserve"> 2. </v>
      </c>
      <c r="R458" s="121" t="str">
        <v>The recommended product teaser view of a product contains at least the following:</v>
      </c>
      <c r="S458" s="121" t="str">
        <v/>
      </c>
      <c r="T458" s="119" t="str">
        <f>IF($C458&lt;4,IF($C458=3,T459,IF($C458=2,T$1,"")),Q458&amp;R458&amp;IF(LEN(S458)=0,"",Preferences!$C$2&amp;S458)&amp;IF(J459=J458,IF(LEN(R458&amp;S458)=0,"","
")&amp;T459,""))</f>
        <v xml:space="preserve"> 2. The recommended product teaser view of a product contains at least the following: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8" s="122" t="str">
        <v/>
      </c>
      <c r="V458" s="42"/>
      <c r="W458" s="42"/>
      <c r="X458" s="42"/>
      <c r="Y458" s="42"/>
      <c r="Z458" s="42"/>
      <c r="AA458" s="42"/>
      <c r="AB458" s="42"/>
    </row>
    <row r="459" spans="1:28" x14ac:dyDescent="0.25">
      <c r="A459" s="42" t="str">
        <v>1.10.5.2.1</v>
      </c>
      <c r="B459" s="121" t="str">
        <v>Title (link to product)</v>
      </c>
      <c r="C459" s="41">
        <v>5</v>
      </c>
      <c r="D459" s="41" t="str">
        <v>RL</v>
      </c>
      <c r="E459" s="117" t="str">
        <f t="shared" si="0"/>
        <v>RL</v>
      </c>
      <c r="F459" s="41" t="str">
        <v/>
      </c>
      <c r="G459" s="41" t="str">
        <v/>
      </c>
      <c r="H459" s="117">
        <f t="shared" si="1"/>
        <v>0</v>
      </c>
      <c r="I459" s="117">
        <f t="shared" si="2"/>
        <v>10</v>
      </c>
      <c r="J459" s="117">
        <f t="shared" si="3"/>
        <v>10.049999999999999</v>
      </c>
      <c r="K459" s="117" t="str">
        <f t="shared" si="4"/>
        <v>BR</v>
      </c>
      <c r="L459" s="42" t="str">
        <v>BR1005</v>
      </c>
      <c r="M459" s="121" t="str">
        <v/>
      </c>
      <c r="N459" s="121" t="str">
        <v/>
      </c>
      <c r="O459" s="121" t="str">
        <v/>
      </c>
      <c r="P459" s="121" t="str">
        <v/>
      </c>
      <c r="Q459" s="121" t="str">
        <v/>
      </c>
      <c r="R459" s="121" t="str">
        <v/>
      </c>
      <c r="S459" s="121" t="str">
        <v>Title (link to product)</v>
      </c>
      <c r="T459" s="119" t="str">
        <f>IF($C459&lt;4,IF($C459=3,T460,IF($C459=2,T$1,"")),Q459&amp;R459&amp;IF(LEN(S459)=0,"",Preferences!$C$2&amp;S459)&amp;IF(J460=J459,IF(LEN(R459&amp;S459)=0,"","
")&amp;T460,""))</f>
        <v xml:space="preserve">	• Title (link to product)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59" s="122" t="str">
        <v/>
      </c>
      <c r="V459" s="42"/>
      <c r="W459" s="42"/>
      <c r="X459" s="42"/>
      <c r="Y459" s="42"/>
      <c r="Z459" s="42"/>
      <c r="AA459" s="42"/>
      <c r="AB459" s="42"/>
    </row>
    <row r="460" spans="1:28" x14ac:dyDescent="0.25">
      <c r="A460" s="42" t="str">
        <v>1.10.5.2.2</v>
      </c>
      <c r="B460" s="121" t="str">
        <v>Small image (of default; link to product)</v>
      </c>
      <c r="C460" s="41">
        <v>5</v>
      </c>
      <c r="D460" s="41" t="str">
        <v>RL</v>
      </c>
      <c r="E460" s="117" t="str">
        <f t="shared" si="0"/>
        <v>RL</v>
      </c>
      <c r="F460" s="41" t="str">
        <v/>
      </c>
      <c r="G460" s="41" t="str">
        <v/>
      </c>
      <c r="H460" s="117">
        <f t="shared" si="1"/>
        <v>0</v>
      </c>
      <c r="I460" s="117">
        <f t="shared" si="2"/>
        <v>10</v>
      </c>
      <c r="J460" s="117">
        <f t="shared" si="3"/>
        <v>10.049999999999999</v>
      </c>
      <c r="K460" s="117" t="str">
        <f t="shared" si="4"/>
        <v>BR</v>
      </c>
      <c r="L460" s="42" t="str">
        <v>BR1005</v>
      </c>
      <c r="M460" s="121" t="str">
        <v/>
      </c>
      <c r="N460" s="121" t="str">
        <v/>
      </c>
      <c r="O460" s="121" t="str">
        <v/>
      </c>
      <c r="P460" s="121" t="str">
        <v/>
      </c>
      <c r="Q460" s="121" t="str">
        <v/>
      </c>
      <c r="R460" s="121" t="str">
        <v/>
      </c>
      <c r="S460" s="121" t="str">
        <v>Small image (of default; link to product)</v>
      </c>
      <c r="T460" s="119" t="str">
        <f>IF($C460&lt;4,IF($C460=3,T461,IF($C460=2,T$1,"")),Q460&amp;R460&amp;IF(LEN(S460)=0,"",Preferences!$C$2&amp;S460)&amp;IF(J461=J460,IF(LEN(R460&amp;S460)=0,"","
")&amp;T461,""))</f>
        <v xml:space="preserve">	• Small image (of default; link to product)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0" s="122" t="str">
        <v/>
      </c>
      <c r="V460" s="42"/>
      <c r="W460" s="42"/>
      <c r="X460" s="42"/>
      <c r="Y460" s="42"/>
      <c r="Z460" s="42"/>
      <c r="AA460" s="42"/>
      <c r="AB460" s="42"/>
    </row>
    <row r="461" spans="1:28" x14ac:dyDescent="0.25">
      <c r="A461" s="42" t="str">
        <v>1.10.5.2.3</v>
      </c>
      <c r="B461" s="121" t="str">
        <v>Price (incl.)</v>
      </c>
      <c r="C461" s="41">
        <v>5</v>
      </c>
      <c r="D461" s="41" t="str">
        <v>RL</v>
      </c>
      <c r="E461" s="117" t="str">
        <f t="shared" si="0"/>
        <v>RL</v>
      </c>
      <c r="F461" s="41" t="str">
        <v/>
      </c>
      <c r="G461" s="41" t="str">
        <v/>
      </c>
      <c r="H461" s="117">
        <f t="shared" si="1"/>
        <v>0</v>
      </c>
      <c r="I461" s="117">
        <f t="shared" si="2"/>
        <v>10</v>
      </c>
      <c r="J461" s="117">
        <f t="shared" si="3"/>
        <v>10.049999999999999</v>
      </c>
      <c r="K461" s="117" t="str">
        <f t="shared" si="4"/>
        <v>BR</v>
      </c>
      <c r="L461" s="42" t="str">
        <v>BR1005</v>
      </c>
      <c r="M461" s="121" t="str">
        <v/>
      </c>
      <c r="N461" s="121" t="str">
        <v/>
      </c>
      <c r="O461" s="121" t="str">
        <v/>
      </c>
      <c r="P461" s="121" t="str">
        <v/>
      </c>
      <c r="Q461" s="121" t="str">
        <v/>
      </c>
      <c r="R461" s="121" t="str">
        <v/>
      </c>
      <c r="S461" s="121" t="str">
        <v>Price (incl.)</v>
      </c>
      <c r="T461" s="119" t="str">
        <f>IF($C461&lt;4,IF($C461=3,T462,IF($C461=2,T$1,"")),Q461&amp;R461&amp;IF(LEN(S461)=0,"",Preferences!$C$2&amp;S461)&amp;IF(J462=J461,IF(LEN(R461&amp;S461)=0,"","
")&amp;T462,""))</f>
        <v xml:space="preserve">	• Price (incl.)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1" s="122" t="str">
        <v/>
      </c>
      <c r="V461" s="42"/>
      <c r="W461" s="42"/>
      <c r="X461" s="42"/>
      <c r="Y461" s="42"/>
      <c r="Z461" s="42"/>
      <c r="AA461" s="42"/>
      <c r="AB461" s="42"/>
    </row>
    <row r="462" spans="1:28" x14ac:dyDescent="0.25">
      <c r="A462" s="42" t="str">
        <v>1.10.5.2.4</v>
      </c>
      <c r="B462" s="121" t="str">
        <v>Icons to add the product to: Shopping Cart, Favourites, Wish-list</v>
      </c>
      <c r="C462" s="41">
        <v>5</v>
      </c>
      <c r="D462" s="41" t="str">
        <v>RL</v>
      </c>
      <c r="E462" s="117" t="str">
        <f t="shared" si="0"/>
        <v>RL</v>
      </c>
      <c r="F462" s="41" t="str">
        <v/>
      </c>
      <c r="G462" s="41" t="str">
        <v/>
      </c>
      <c r="H462" s="117">
        <f t="shared" si="1"/>
        <v>0</v>
      </c>
      <c r="I462" s="117">
        <f t="shared" si="2"/>
        <v>10</v>
      </c>
      <c r="J462" s="117">
        <f t="shared" si="3"/>
        <v>10.049999999999999</v>
      </c>
      <c r="K462" s="117" t="str">
        <f t="shared" si="4"/>
        <v>BR</v>
      </c>
      <c r="L462" s="42" t="str">
        <v>BR1005</v>
      </c>
      <c r="M462" s="121" t="str">
        <v/>
      </c>
      <c r="N462" s="121" t="str">
        <v/>
      </c>
      <c r="O462" s="121" t="str">
        <v/>
      </c>
      <c r="P462" s="121" t="str">
        <v/>
      </c>
      <c r="Q462" s="121" t="str">
        <v/>
      </c>
      <c r="R462" s="121" t="str">
        <v/>
      </c>
      <c r="S462" s="121" t="str">
        <v>Icons to add the product to: Shopping Cart, Favourites, Wish-list</v>
      </c>
      <c r="T462" s="119" t="str">
        <f>IF($C462&lt;4,IF($C462=3,T463,IF($C462=2,T$1,"")),Q462&amp;R462&amp;IF(LEN(S462)=0,"",Preferences!$C$2&amp;S462)&amp;IF(J463=J462,IF(LEN(R462&amp;S462)=0,"","
")&amp;T463,""))</f>
        <v xml:space="preserve">	• Icons to add the product to: Shopping Cart, Favourites, Wish-list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2" s="122" t="str">
        <v/>
      </c>
      <c r="V462" s="42"/>
      <c r="W462" s="42"/>
      <c r="X462" s="42"/>
      <c r="Y462" s="42"/>
      <c r="Z462" s="42"/>
      <c r="AA462" s="42"/>
      <c r="AB462" s="42"/>
    </row>
    <row r="463" spans="1:28" x14ac:dyDescent="0.25">
      <c r="A463" s="42" t="str">
        <v>1.10.5.2.5</v>
      </c>
      <c r="B463" s="121" t="str">
        <v>Promotion type (if applicable)</v>
      </c>
      <c r="C463" s="41">
        <v>5</v>
      </c>
      <c r="D463" s="41" t="str">
        <v>RL</v>
      </c>
      <c r="E463" s="117" t="str">
        <f t="shared" si="0"/>
        <v>RL</v>
      </c>
      <c r="F463" s="41" t="str">
        <v/>
      </c>
      <c r="G463" s="41" t="str">
        <v/>
      </c>
      <c r="H463" s="117">
        <f t="shared" si="1"/>
        <v>0</v>
      </c>
      <c r="I463" s="117">
        <f t="shared" si="2"/>
        <v>10</v>
      </c>
      <c r="J463" s="117">
        <f t="shared" si="3"/>
        <v>10.049999999999999</v>
      </c>
      <c r="K463" s="117" t="str">
        <f t="shared" si="4"/>
        <v>BR</v>
      </c>
      <c r="L463" s="42" t="str">
        <v>BR1005</v>
      </c>
      <c r="M463" s="121" t="str">
        <v/>
      </c>
      <c r="N463" s="121" t="str">
        <v/>
      </c>
      <c r="O463" s="121" t="str">
        <v/>
      </c>
      <c r="P463" s="121" t="str">
        <v/>
      </c>
      <c r="Q463" s="121" t="str">
        <v/>
      </c>
      <c r="R463" s="121" t="str">
        <v/>
      </c>
      <c r="S463" s="121" t="str">
        <v>Promotion type (if applicable)</v>
      </c>
      <c r="T463" s="119" t="str">
        <f>IF($C463&lt;4,IF($C463=3,T464,IF($C463=2,T$1,"")),Q463&amp;R463&amp;IF(LEN(S463)=0,"",Preferences!$C$2&amp;S463)&amp;IF(J464=J463,IF(LEN(R463&amp;S463)=0,"","
")&amp;T464,""))</f>
        <v xml:space="preserve">	• Promotion type (if applicable)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3" s="122" t="str">
        <v/>
      </c>
      <c r="V463" s="42"/>
      <c r="W463" s="42"/>
      <c r="X463" s="42"/>
      <c r="Y463" s="42"/>
      <c r="Z463" s="42"/>
      <c r="AA463" s="42"/>
      <c r="AB463" s="42"/>
    </row>
    <row r="464" spans="1:28" x14ac:dyDescent="0.25">
      <c r="A464" s="42" t="str">
        <v>1.10.5.3</v>
      </c>
      <c r="B464" s="121" t="str">
        <v>The full page view of a product contains at least the following:</v>
      </c>
      <c r="C464" s="41">
        <v>4</v>
      </c>
      <c r="D464" s="41" t="str">
        <v>RD</v>
      </c>
      <c r="E464" s="117" t="str">
        <f t="shared" si="0"/>
        <v>RD</v>
      </c>
      <c r="F464" s="41" t="str">
        <v/>
      </c>
      <c r="G464" s="41" t="str">
        <v/>
      </c>
      <c r="H464" s="117">
        <f t="shared" si="1"/>
        <v>0</v>
      </c>
      <c r="I464" s="117">
        <f t="shared" si="2"/>
        <v>10</v>
      </c>
      <c r="J464" s="117">
        <f t="shared" si="3"/>
        <v>10.049999999999999</v>
      </c>
      <c r="K464" s="117" t="str">
        <f t="shared" si="4"/>
        <v>BR</v>
      </c>
      <c r="L464" s="42" t="str">
        <v>BR1005</v>
      </c>
      <c r="M464" s="121" t="str">
        <v/>
      </c>
      <c r="N464" s="121" t="str">
        <v/>
      </c>
      <c r="O464" s="121" t="str">
        <v/>
      </c>
      <c r="P464" s="121" t="str">
        <v/>
      </c>
      <c r="Q464" s="121" t="str">
        <v xml:space="preserve"> 3. </v>
      </c>
      <c r="R464" s="121" t="str">
        <v>The full page view of a product contains at least the following:</v>
      </c>
      <c r="S464" s="121" t="str">
        <v/>
      </c>
      <c r="T464" s="119" t="str">
        <f>IF($C464&lt;4,IF($C464=3,T465,IF($C464=2,T$1,"")),Q464&amp;R464&amp;IF(LEN(S464)=0,"",Preferences!$C$2&amp;S464)&amp;IF(J465=J464,IF(LEN(R464&amp;S464)=0,"","
")&amp;T465,""))</f>
        <v xml:space="preserve"> 3. The full page view of a product contains at least the following: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4" s="122" t="str">
        <v/>
      </c>
      <c r="V464" s="42"/>
      <c r="W464" s="42"/>
      <c r="X464" s="42"/>
      <c r="Y464" s="42"/>
      <c r="Z464" s="42"/>
      <c r="AA464" s="42"/>
      <c r="AB464" s="42"/>
    </row>
    <row r="465" spans="1:28" x14ac:dyDescent="0.25">
      <c r="A465" s="42" t="str">
        <v>1.10.5.3.1</v>
      </c>
      <c r="B465" s="121" t="str">
        <v>Title</v>
      </c>
      <c r="C465" s="41">
        <v>5</v>
      </c>
      <c r="D465" s="41" t="str">
        <v>RL</v>
      </c>
      <c r="E465" s="117" t="str">
        <f t="shared" si="0"/>
        <v>RL</v>
      </c>
      <c r="F465" s="41" t="str">
        <v/>
      </c>
      <c r="G465" s="41" t="str">
        <v/>
      </c>
      <c r="H465" s="117">
        <f t="shared" si="1"/>
        <v>0</v>
      </c>
      <c r="I465" s="117">
        <f t="shared" si="2"/>
        <v>10</v>
      </c>
      <c r="J465" s="117">
        <f t="shared" si="3"/>
        <v>10.049999999999999</v>
      </c>
      <c r="K465" s="117" t="str">
        <f t="shared" si="4"/>
        <v>BR</v>
      </c>
      <c r="L465" s="42" t="str">
        <v>BR1005</v>
      </c>
      <c r="M465" s="121" t="str">
        <v/>
      </c>
      <c r="N465" s="121" t="str">
        <v/>
      </c>
      <c r="O465" s="121" t="str">
        <v/>
      </c>
      <c r="P465" s="121" t="str">
        <v/>
      </c>
      <c r="Q465" s="121" t="str">
        <v/>
      </c>
      <c r="R465" s="121" t="str">
        <v/>
      </c>
      <c r="S465" s="121" t="str">
        <v>Title</v>
      </c>
      <c r="T465" s="119" t="str">
        <f>IF($C465&lt;4,IF($C465=3,T466,IF($C465=2,T$1,"")),Q465&amp;R465&amp;IF(LEN(S465)=0,"",Preferences!$C$2&amp;S465)&amp;IF(J466=J465,IF(LEN(R465&amp;S465)=0,"","
")&amp;T466,""))</f>
        <v xml:space="preserve">	• Title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5" s="122" t="str">
        <v/>
      </c>
      <c r="V465" s="42"/>
      <c r="W465" s="42"/>
      <c r="X465" s="42"/>
      <c r="Y465" s="42"/>
      <c r="Z465" s="42"/>
      <c r="AA465" s="42"/>
      <c r="AB465" s="42"/>
    </row>
    <row r="466" spans="1:28" x14ac:dyDescent="0.25">
      <c r="A466" s="42" t="str">
        <v>1.10.5.3.2</v>
      </c>
      <c r="B466" s="121" t="str">
        <v>Meta-tag hierarchy (category hierarchy as breadcrumb; links to category search)</v>
      </c>
      <c r="C466" s="41">
        <v>5</v>
      </c>
      <c r="D466" s="41" t="str">
        <v>RL</v>
      </c>
      <c r="E466" s="117" t="str">
        <f t="shared" si="0"/>
        <v>RL</v>
      </c>
      <c r="F466" s="41" t="str">
        <v/>
      </c>
      <c r="G466" s="41" t="str">
        <v/>
      </c>
      <c r="H466" s="117">
        <f t="shared" si="1"/>
        <v>0</v>
      </c>
      <c r="I466" s="117">
        <f t="shared" si="2"/>
        <v>10</v>
      </c>
      <c r="J466" s="117">
        <f t="shared" si="3"/>
        <v>10.049999999999999</v>
      </c>
      <c r="K466" s="117" t="str">
        <f t="shared" si="4"/>
        <v>BR</v>
      </c>
      <c r="L466" s="42" t="str">
        <v>BR1005</v>
      </c>
      <c r="M466" s="121" t="str">
        <v/>
      </c>
      <c r="N466" s="121" t="str">
        <v/>
      </c>
      <c r="O466" s="121" t="str">
        <v/>
      </c>
      <c r="P466" s="121" t="str">
        <v/>
      </c>
      <c r="Q466" s="121" t="str">
        <v/>
      </c>
      <c r="R466" s="121" t="str">
        <v/>
      </c>
      <c r="S466" s="121" t="str">
        <v>Meta-tag hierarchy (category hierarchy as breadcrumb; links to category search)</v>
      </c>
      <c r="T466" s="119" t="str">
        <f>IF($C466&lt;4,IF($C466=3,T467,IF($C466=2,T$1,"")),Q466&amp;R466&amp;IF(LEN(S466)=0,"",Preferences!$C$2&amp;S466)&amp;IF(J467=J466,IF(LEN(R466&amp;S466)=0,"","
")&amp;T467,""))</f>
        <v xml:space="preserve">	• Meta-tag hierarchy (category hierarchy as breadcrumb; links to category search)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6" s="122" t="str">
        <v/>
      </c>
      <c r="V466" s="42"/>
      <c r="W466" s="42"/>
      <c r="X466" s="42"/>
      <c r="Y466" s="42"/>
      <c r="Z466" s="42"/>
      <c r="AA466" s="42"/>
      <c r="AB466" s="42"/>
    </row>
    <row r="467" spans="1:28" x14ac:dyDescent="0.25">
      <c r="A467" s="42" t="str">
        <v>1.10.5.3.3</v>
      </c>
      <c r="B467" s="121" t="str">
        <v>Medium Image (of default, with option to view all images in full)</v>
      </c>
      <c r="C467" s="41">
        <v>5</v>
      </c>
      <c r="D467" s="41" t="str">
        <v>RL</v>
      </c>
      <c r="E467" s="117" t="str">
        <f t="shared" si="0"/>
        <v>RL</v>
      </c>
      <c r="F467" s="41" t="str">
        <v/>
      </c>
      <c r="G467" s="41" t="str">
        <v/>
      </c>
      <c r="H467" s="117">
        <f t="shared" si="1"/>
        <v>0</v>
      </c>
      <c r="I467" s="117">
        <f t="shared" si="2"/>
        <v>10</v>
      </c>
      <c r="J467" s="117">
        <f t="shared" si="3"/>
        <v>10.049999999999999</v>
      </c>
      <c r="K467" s="117" t="str">
        <f t="shared" si="4"/>
        <v>BR</v>
      </c>
      <c r="L467" s="42" t="str">
        <v>BR1005</v>
      </c>
      <c r="M467" s="121" t="str">
        <v/>
      </c>
      <c r="N467" s="121" t="str">
        <v/>
      </c>
      <c r="O467" s="121" t="str">
        <v/>
      </c>
      <c r="P467" s="121" t="str">
        <v/>
      </c>
      <c r="Q467" s="121" t="str">
        <v/>
      </c>
      <c r="R467" s="121" t="str">
        <v/>
      </c>
      <c r="S467" s="121" t="str">
        <v>Medium Image (of default, with option to view all images in full)</v>
      </c>
      <c r="T467" s="119" t="str">
        <f>IF($C467&lt;4,IF($C467=3,T468,IF($C467=2,T$1,"")),Q467&amp;R467&amp;IF(LEN(S467)=0,"",Preferences!$C$2&amp;S467)&amp;IF(J468=J467,IF(LEN(R467&amp;S467)=0,"","
")&amp;T468,""))</f>
        <v xml:space="preserve">	• Medium Image (of default, with option to view all images in full)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7" s="122" t="str">
        <v/>
      </c>
      <c r="V467" s="42"/>
      <c r="W467" s="42"/>
      <c r="X467" s="42"/>
      <c r="Y467" s="42"/>
      <c r="Z467" s="42"/>
      <c r="AA467" s="42"/>
      <c r="AB467" s="42"/>
    </row>
    <row r="468" spans="1:28" x14ac:dyDescent="0.25">
      <c r="A468" s="42" t="str">
        <v>1.10.5.3.4</v>
      </c>
      <c r="B468" s="121" t="str">
        <v>Brand</v>
      </c>
      <c r="C468" s="41">
        <v>5</v>
      </c>
      <c r="D468" s="41" t="str">
        <v>RL</v>
      </c>
      <c r="E468" s="117" t="str">
        <f t="shared" si="0"/>
        <v>RL</v>
      </c>
      <c r="F468" s="41" t="str">
        <v/>
      </c>
      <c r="G468" s="41" t="str">
        <v/>
      </c>
      <c r="H468" s="117">
        <f t="shared" si="1"/>
        <v>0</v>
      </c>
      <c r="I468" s="117">
        <f t="shared" si="2"/>
        <v>10</v>
      </c>
      <c r="J468" s="117">
        <f t="shared" si="3"/>
        <v>10.049999999999999</v>
      </c>
      <c r="K468" s="117" t="str">
        <f t="shared" si="4"/>
        <v>BR</v>
      </c>
      <c r="L468" s="42" t="str">
        <v>BR1005</v>
      </c>
      <c r="M468" s="121" t="str">
        <v/>
      </c>
      <c r="N468" s="121" t="str">
        <v/>
      </c>
      <c r="O468" s="121" t="str">
        <v/>
      </c>
      <c r="P468" s="121" t="str">
        <v/>
      </c>
      <c r="Q468" s="121" t="str">
        <v/>
      </c>
      <c r="R468" s="121" t="str">
        <v/>
      </c>
      <c r="S468" s="121" t="str">
        <v>Brand</v>
      </c>
      <c r="T468" s="119" t="str">
        <f>IF($C468&lt;4,IF($C468=3,T469,IF($C468=2,T$1,"")),Q468&amp;R468&amp;IF(LEN(S468)=0,"",Preferences!$C$2&amp;S468)&amp;IF(J469=J468,IF(LEN(R468&amp;S468)=0,"","
")&amp;T469,""))</f>
        <v xml:space="preserve">	• Brand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8" s="122" t="str">
        <v/>
      </c>
      <c r="V468" s="42"/>
      <c r="W468" s="42"/>
      <c r="X468" s="42"/>
      <c r="Y468" s="42"/>
      <c r="Z468" s="42"/>
      <c r="AA468" s="42"/>
      <c r="AB468" s="42"/>
    </row>
    <row r="469" spans="1:28" x14ac:dyDescent="0.25">
      <c r="A469" s="42" t="str">
        <v>1.10.5.3.5</v>
      </c>
      <c r="B469" s="121" t="str">
        <v>Price (incl.)</v>
      </c>
      <c r="C469" s="41">
        <v>5</v>
      </c>
      <c r="D469" s="41" t="str">
        <v>RL</v>
      </c>
      <c r="E469" s="117" t="str">
        <f t="shared" si="0"/>
        <v>RL</v>
      </c>
      <c r="F469" s="41" t="str">
        <v/>
      </c>
      <c r="G469" s="41" t="str">
        <v/>
      </c>
      <c r="H469" s="117">
        <f t="shared" si="1"/>
        <v>0</v>
      </c>
      <c r="I469" s="117">
        <f t="shared" si="2"/>
        <v>10</v>
      </c>
      <c r="J469" s="117">
        <f t="shared" si="3"/>
        <v>10.049999999999999</v>
      </c>
      <c r="K469" s="117" t="str">
        <f t="shared" si="4"/>
        <v>BR</v>
      </c>
      <c r="L469" s="42" t="str">
        <v>BR1005</v>
      </c>
      <c r="M469" s="121" t="str">
        <v/>
      </c>
      <c r="N469" s="121" t="str">
        <v/>
      </c>
      <c r="O469" s="121" t="str">
        <v/>
      </c>
      <c r="P469" s="121" t="str">
        <v/>
      </c>
      <c r="Q469" s="121" t="str">
        <v/>
      </c>
      <c r="R469" s="121" t="str">
        <v/>
      </c>
      <c r="S469" s="121" t="str">
        <v>Price (incl.)</v>
      </c>
      <c r="T469" s="119" t="str">
        <f>IF($C469&lt;4,IF($C469=3,T470,IF($C469=2,T$1,"")),Q469&amp;R469&amp;IF(LEN(S469)=0,"",Preferences!$C$2&amp;S469)&amp;IF(J470=J469,IF(LEN(R469&amp;S469)=0,"","
")&amp;T470,""))</f>
        <v xml:space="preserve">	• Price (incl.)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69" s="122" t="str">
        <v/>
      </c>
      <c r="V469" s="42"/>
      <c r="W469" s="42"/>
      <c r="X469" s="42"/>
      <c r="Y469" s="42"/>
      <c r="Z469" s="42"/>
      <c r="AA469" s="42"/>
      <c r="AB469" s="42"/>
    </row>
    <row r="470" spans="1:28" x14ac:dyDescent="0.25">
      <c r="A470" s="42" t="str">
        <v>1.10.5.3.6</v>
      </c>
      <c r="B470" s="121" t="str">
        <v>Description (full text)</v>
      </c>
      <c r="C470" s="41">
        <v>5</v>
      </c>
      <c r="D470" s="41" t="str">
        <v>RL</v>
      </c>
      <c r="E470" s="117" t="str">
        <f t="shared" si="0"/>
        <v>RL</v>
      </c>
      <c r="F470" s="41" t="str">
        <v/>
      </c>
      <c r="G470" s="41" t="str">
        <v/>
      </c>
      <c r="H470" s="117">
        <f t="shared" si="1"/>
        <v>0</v>
      </c>
      <c r="I470" s="117">
        <f t="shared" si="2"/>
        <v>10</v>
      </c>
      <c r="J470" s="117">
        <f t="shared" si="3"/>
        <v>10.049999999999999</v>
      </c>
      <c r="K470" s="117" t="str">
        <f t="shared" si="4"/>
        <v>BR</v>
      </c>
      <c r="L470" s="42" t="str">
        <v>BR1005</v>
      </c>
      <c r="M470" s="121" t="str">
        <v/>
      </c>
      <c r="N470" s="121" t="str">
        <v/>
      </c>
      <c r="O470" s="121" t="str">
        <v/>
      </c>
      <c r="P470" s="121" t="str">
        <v/>
      </c>
      <c r="Q470" s="121" t="str">
        <v/>
      </c>
      <c r="R470" s="121" t="str">
        <v/>
      </c>
      <c r="S470" s="121" t="str">
        <v>Description (full text)</v>
      </c>
      <c r="T470" s="119" t="str">
        <f>IF($C470&lt;4,IF($C470=3,T471,IF($C470=2,T$1,"")),Q470&amp;R470&amp;IF(LEN(S470)=0,"",Preferences!$C$2&amp;S470)&amp;IF(J471=J470,IF(LEN(R470&amp;S470)=0,"","
")&amp;T471,""))</f>
        <v xml:space="preserve">	• Description (full text)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0" s="122" t="str">
        <v/>
      </c>
      <c r="V470" s="42"/>
      <c r="W470" s="42"/>
      <c r="X470" s="42"/>
      <c r="Y470" s="42"/>
      <c r="Z470" s="42"/>
      <c r="AA470" s="42"/>
      <c r="AB470" s="42"/>
    </row>
    <row r="471" spans="1:28" x14ac:dyDescent="0.25">
      <c r="A471" s="42" t="str">
        <v>1.10.5.3.7</v>
      </c>
      <c r="B471" s="121" t="str">
        <v>Specification</v>
      </c>
      <c r="C471" s="41">
        <v>5</v>
      </c>
      <c r="D471" s="41" t="str">
        <v>RL</v>
      </c>
      <c r="E471" s="117" t="str">
        <f t="shared" si="0"/>
        <v>RL</v>
      </c>
      <c r="F471" s="41" t="str">
        <v/>
      </c>
      <c r="G471" s="41" t="str">
        <v/>
      </c>
      <c r="H471" s="117">
        <f t="shared" si="1"/>
        <v>0</v>
      </c>
      <c r="I471" s="117">
        <f t="shared" si="2"/>
        <v>10</v>
      </c>
      <c r="J471" s="117">
        <f t="shared" si="3"/>
        <v>10.049999999999999</v>
      </c>
      <c r="K471" s="117" t="str">
        <f t="shared" si="4"/>
        <v>BR</v>
      </c>
      <c r="L471" s="42" t="str">
        <v>BR1005</v>
      </c>
      <c r="M471" s="121" t="str">
        <v/>
      </c>
      <c r="N471" s="121" t="str">
        <v/>
      </c>
      <c r="O471" s="121" t="str">
        <v/>
      </c>
      <c r="P471" s="121" t="str">
        <v/>
      </c>
      <c r="Q471" s="121" t="str">
        <v/>
      </c>
      <c r="R471" s="121" t="str">
        <v/>
      </c>
      <c r="S471" s="121" t="str">
        <v>Specification</v>
      </c>
      <c r="T471" s="119" t="str">
        <f>IF($C471&lt;4,IF($C471=3,T472,IF($C471=2,T$1,"")),Q471&amp;R471&amp;IF(LEN(S471)=0,"",Preferences!$C$2&amp;S471)&amp;IF(J472=J471,IF(LEN(R471&amp;S471)=0,"","
")&amp;T472,""))</f>
        <v xml:space="preserve">	• Specification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1" s="122" t="str">
        <v/>
      </c>
      <c r="V471" s="42"/>
      <c r="W471" s="42"/>
      <c r="X471" s="42"/>
      <c r="Y471" s="42"/>
      <c r="Z471" s="42"/>
      <c r="AA471" s="42"/>
      <c r="AB471" s="42"/>
    </row>
    <row r="472" spans="1:28" x14ac:dyDescent="0.25">
      <c r="A472" s="42" t="str">
        <v>1.10.5.3.8</v>
      </c>
      <c r="B472" s="121" t="str">
        <v>Icons, to add the product to the: Shopping Cart, Favourites, Wish-list</v>
      </c>
      <c r="C472" s="41">
        <v>5</v>
      </c>
      <c r="D472" s="41" t="str">
        <v>RL</v>
      </c>
      <c r="E472" s="117" t="str">
        <f t="shared" si="0"/>
        <v>RL</v>
      </c>
      <c r="F472" s="41" t="str">
        <v/>
      </c>
      <c r="G472" s="41" t="str">
        <v/>
      </c>
      <c r="H472" s="117">
        <f t="shared" si="1"/>
        <v>0</v>
      </c>
      <c r="I472" s="117">
        <f t="shared" si="2"/>
        <v>10</v>
      </c>
      <c r="J472" s="117">
        <f t="shared" si="3"/>
        <v>10.049999999999999</v>
      </c>
      <c r="K472" s="117" t="str">
        <f t="shared" si="4"/>
        <v>BR</v>
      </c>
      <c r="L472" s="42" t="str">
        <v>BR1005</v>
      </c>
      <c r="M472" s="121" t="str">
        <v/>
      </c>
      <c r="N472" s="121" t="str">
        <v/>
      </c>
      <c r="O472" s="121" t="str">
        <v/>
      </c>
      <c r="P472" s="121" t="str">
        <v/>
      </c>
      <c r="Q472" s="121" t="str">
        <v/>
      </c>
      <c r="R472" s="121" t="str">
        <v/>
      </c>
      <c r="S472" s="121" t="str">
        <v>Icons, to add the product to the: Shopping Cart, Favourites, Wish-list</v>
      </c>
      <c r="T472" s="119" t="str">
        <f>IF($C472&lt;4,IF($C472=3,T473,IF($C472=2,T$1,"")),Q472&amp;R472&amp;IF(LEN(S472)=0,"",Preferences!$C$2&amp;S472)&amp;IF(J473=J472,IF(LEN(R472&amp;S472)=0,"","
")&amp;T473,""))</f>
        <v xml:space="preserve">	• Icons, to add the product to the: Shopping Cart, Favourites, Wish-list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2" s="122" t="str">
        <v/>
      </c>
      <c r="V472" s="42"/>
      <c r="W472" s="42"/>
      <c r="X472" s="42"/>
      <c r="Y472" s="42"/>
      <c r="Z472" s="42"/>
      <c r="AA472" s="42"/>
      <c r="AB472" s="42"/>
    </row>
    <row r="473" spans="1:28" x14ac:dyDescent="0.25">
      <c r="A473" s="42" t="str">
        <v>1.10.5.4</v>
      </c>
      <c r="B473" s="121" t="str">
        <v>On a product page, other products may be promoted:</v>
      </c>
      <c r="C473" s="41">
        <v>4</v>
      </c>
      <c r="D473" s="41" t="str">
        <v>RD</v>
      </c>
      <c r="E473" s="117" t="str">
        <f t="shared" si="0"/>
        <v>RD</v>
      </c>
      <c r="F473" s="41" t="str">
        <v/>
      </c>
      <c r="G473" s="41" t="str">
        <v/>
      </c>
      <c r="H473" s="117">
        <f t="shared" si="1"/>
        <v>0</v>
      </c>
      <c r="I473" s="117">
        <f t="shared" si="2"/>
        <v>10</v>
      </c>
      <c r="J473" s="117">
        <f t="shared" si="3"/>
        <v>10.049999999999999</v>
      </c>
      <c r="K473" s="117" t="str">
        <f t="shared" si="4"/>
        <v>BR</v>
      </c>
      <c r="L473" s="42" t="str">
        <v>BR1005</v>
      </c>
      <c r="M473" s="121" t="str">
        <v/>
      </c>
      <c r="N473" s="121" t="str">
        <v/>
      </c>
      <c r="O473" s="121" t="str">
        <v/>
      </c>
      <c r="P473" s="121" t="str">
        <v/>
      </c>
      <c r="Q473" s="121" t="str">
        <v xml:space="preserve"> 4. </v>
      </c>
      <c r="R473" s="121" t="str">
        <v>On a product page, other products may be promoted:</v>
      </c>
      <c r="S473" s="121" t="str">
        <v/>
      </c>
      <c r="T473" s="119" t="str">
        <f>IF($C473&lt;4,IF($C473=3,T474,IF($C473=2,T$1,"")),Q473&amp;R473&amp;IF(LEN(S473)=0,"",Preferences!$C$2&amp;S473)&amp;IF(J474=J473,IF(LEN(R473&amp;S473)=0,"","
")&amp;T474,""))</f>
        <v xml:space="preserve"> 4. On a product page, other products may be promoted: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3" s="122" t="str">
        <v/>
      </c>
      <c r="V473" s="42"/>
      <c r="W473" s="42"/>
      <c r="X473" s="42"/>
      <c r="Y473" s="42"/>
      <c r="Z473" s="42"/>
      <c r="AA473" s="42"/>
      <c r="AB473" s="42"/>
    </row>
    <row r="474" spans="1:28" x14ac:dyDescent="0.25">
      <c r="A474" s="42" t="str">
        <v>1.10.5.4.1</v>
      </c>
      <c r="B474" s="121" t="str">
        <v>Similar products (same meta-tags)</v>
      </c>
      <c r="C474" s="41">
        <v>5</v>
      </c>
      <c r="D474" s="41" t="str">
        <v>RL</v>
      </c>
      <c r="E474" s="117" t="str">
        <f t="shared" si="0"/>
        <v>RL</v>
      </c>
      <c r="F474" s="41" t="str">
        <v/>
      </c>
      <c r="G474" s="41" t="str">
        <v/>
      </c>
      <c r="H474" s="117">
        <f t="shared" si="1"/>
        <v>0</v>
      </c>
      <c r="I474" s="117">
        <f t="shared" si="2"/>
        <v>10</v>
      </c>
      <c r="J474" s="117">
        <f t="shared" si="3"/>
        <v>10.049999999999999</v>
      </c>
      <c r="K474" s="117" t="str">
        <f t="shared" si="4"/>
        <v>BR</v>
      </c>
      <c r="L474" s="42" t="str">
        <v>BR1005</v>
      </c>
      <c r="M474" s="121" t="str">
        <v/>
      </c>
      <c r="N474" s="121" t="str">
        <v/>
      </c>
      <c r="O474" s="121" t="str">
        <v/>
      </c>
      <c r="P474" s="121" t="str">
        <v/>
      </c>
      <c r="Q474" s="121" t="str">
        <v/>
      </c>
      <c r="R474" s="121" t="str">
        <v/>
      </c>
      <c r="S474" s="121" t="str">
        <v>Similar products (same meta-tags)</v>
      </c>
      <c r="T474" s="119" t="str">
        <f>IF($C474&lt;4,IF($C474=3,T475,IF($C474=2,T$1,"")),Q474&amp;R474&amp;IF(LEN(S474)=0,"",Preferences!$C$2&amp;S474)&amp;IF(J475=J474,IF(LEN(R474&amp;S474)=0,"","
")&amp;T475,""))</f>
        <v xml:space="preserve">	• Similar products (same meta-tags)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4" s="122" t="str">
        <v/>
      </c>
      <c r="V474" s="42"/>
      <c r="W474" s="42"/>
      <c r="X474" s="42"/>
      <c r="Y474" s="42"/>
      <c r="Z474" s="42"/>
      <c r="AA474" s="42"/>
      <c r="AB474" s="42"/>
    </row>
    <row r="475" spans="1:28" x14ac:dyDescent="0.25">
      <c r="A475" s="42" t="str">
        <v>1.10.5.4.2</v>
      </c>
      <c r="B475" s="121" t="str">
        <v>Also bought</v>
      </c>
      <c r="C475" s="41">
        <v>5</v>
      </c>
      <c r="D475" s="41" t="str">
        <v>RL</v>
      </c>
      <c r="E475" s="117" t="str">
        <f t="shared" si="0"/>
        <v>RL</v>
      </c>
      <c r="F475" s="41" t="str">
        <v/>
      </c>
      <c r="G475" s="41" t="str">
        <v/>
      </c>
      <c r="H475" s="117">
        <f t="shared" si="1"/>
        <v>0</v>
      </c>
      <c r="I475" s="117">
        <f t="shared" si="2"/>
        <v>10</v>
      </c>
      <c r="J475" s="117">
        <f t="shared" si="3"/>
        <v>10.049999999999999</v>
      </c>
      <c r="K475" s="117" t="str">
        <f t="shared" si="4"/>
        <v>BR</v>
      </c>
      <c r="L475" s="42" t="str">
        <v>BR1005</v>
      </c>
      <c r="M475" s="121" t="str">
        <v/>
      </c>
      <c r="N475" s="121" t="str">
        <v/>
      </c>
      <c r="O475" s="121" t="str">
        <v/>
      </c>
      <c r="P475" s="121" t="str">
        <v/>
      </c>
      <c r="Q475" s="121" t="str">
        <v/>
      </c>
      <c r="R475" s="121" t="str">
        <v/>
      </c>
      <c r="S475" s="121" t="str">
        <v>Also bought</v>
      </c>
      <c r="T475" s="119" t="str">
        <f>IF($C475&lt;4,IF($C475=3,T476,IF($C475=2,T$1,"")),Q475&amp;R475&amp;IF(LEN(S475)=0,"",Preferences!$C$2&amp;S475)&amp;IF(J476=J475,IF(LEN(R475&amp;S475)=0,"","
")&amp;T476,""))</f>
        <v xml:space="preserve">	• Also bought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5" s="122" t="str">
        <v/>
      </c>
      <c r="V475" s="42"/>
      <c r="W475" s="42"/>
      <c r="X475" s="42"/>
      <c r="Y475" s="42"/>
      <c r="Z475" s="42"/>
      <c r="AA475" s="42"/>
      <c r="AB475" s="42"/>
    </row>
    <row r="476" spans="1:28" x14ac:dyDescent="0.25">
      <c r="A476" s="42" t="str">
        <v>1.10.5.5</v>
      </c>
      <c r="B476" s="121" t="str">
        <v>Also see the Enrich product meta-data for online use requirements of the Enrich Content section.</v>
      </c>
      <c r="C476" s="41">
        <v>4</v>
      </c>
      <c r="D476" s="41" t="str">
        <v>RD</v>
      </c>
      <c r="E476" s="117" t="str">
        <f t="shared" si="0"/>
        <v>RD</v>
      </c>
      <c r="F476" s="41" t="str">
        <v/>
      </c>
      <c r="G476" s="41" t="str">
        <v/>
      </c>
      <c r="H476" s="117">
        <f t="shared" si="1"/>
        <v>0</v>
      </c>
      <c r="I476" s="117">
        <f t="shared" si="2"/>
        <v>10</v>
      </c>
      <c r="J476" s="117">
        <f t="shared" si="3"/>
        <v>10.049999999999999</v>
      </c>
      <c r="K476" s="117" t="str">
        <f t="shared" si="4"/>
        <v>BR</v>
      </c>
      <c r="L476" s="42" t="str">
        <v>BR1005</v>
      </c>
      <c r="M476" s="121" t="str">
        <v/>
      </c>
      <c r="N476" s="121" t="str">
        <v/>
      </c>
      <c r="O476" s="121" t="str">
        <v/>
      </c>
      <c r="P476" s="121" t="str">
        <v/>
      </c>
      <c r="Q476" s="121" t="str">
        <v xml:space="preserve"> 5. </v>
      </c>
      <c r="R476" s="121" t="str">
        <v>Also see the Enrich product meta-data for online use requirements of the Enrich Content section.</v>
      </c>
      <c r="S476" s="121" t="str">
        <v/>
      </c>
      <c r="T476" s="119" t="str">
        <f>IF($C476&lt;4,IF($C476=3,T477,IF($C476=2,T$1,"")),Q476&amp;R476&amp;IF(LEN(S476)=0,"",Preferences!$C$2&amp;S476)&amp;IF(J477=J476,IF(LEN(R476&amp;S476)=0,"","
")&amp;T477,""))</f>
        <v xml:space="preserve"> 5. Also see the Enrich product meta-data for online use requirements of the Enrich Content section.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6" s="122" t="str">
        <v/>
      </c>
      <c r="V476" s="42"/>
      <c r="W476" s="42"/>
      <c r="X476" s="42"/>
      <c r="Y476" s="42"/>
      <c r="Z476" s="42"/>
      <c r="AA476" s="42"/>
      <c r="AB476" s="42"/>
    </row>
    <row r="477" spans="1:28" x14ac:dyDescent="0.25">
      <c r="A477" s="42" t="str">
        <v>1.10.5.6</v>
      </c>
      <c r="B477" s="121" t="str">
        <v>On a product page, present a list of similar products, as detailed in the Identify appropriate products to promote on a product page requirement of the Online Shop Recommended Content section.</v>
      </c>
      <c r="C477" s="41">
        <v>4</v>
      </c>
      <c r="D477" s="41" t="str">
        <v>RD</v>
      </c>
      <c r="E477" s="117" t="str">
        <f t="shared" si="0"/>
        <v>RD</v>
      </c>
      <c r="F477" s="41" t="str">
        <v/>
      </c>
      <c r="G477" s="41" t="str">
        <v/>
      </c>
      <c r="H477" s="117">
        <f t="shared" si="1"/>
        <v>0</v>
      </c>
      <c r="I477" s="117">
        <f t="shared" si="2"/>
        <v>10</v>
      </c>
      <c r="J477" s="117">
        <f t="shared" si="3"/>
        <v>10.049999999999999</v>
      </c>
      <c r="K477" s="117" t="str">
        <f t="shared" si="4"/>
        <v>BR</v>
      </c>
      <c r="L477" s="42" t="str">
        <v>BR1005</v>
      </c>
      <c r="M477" s="121" t="str">
        <v/>
      </c>
      <c r="N477" s="121" t="str">
        <v/>
      </c>
      <c r="O477" s="121" t="str">
        <v/>
      </c>
      <c r="P477" s="121" t="str">
        <v/>
      </c>
      <c r="Q477" s="121" t="str">
        <v xml:space="preserve"> 6. </v>
      </c>
      <c r="R477" s="121" t="str">
        <v>On a product page, present a list of similar products, as detailed in the Identify appropriate products to promote on a product page requirement of the Online Shop Recommended Content section.</v>
      </c>
      <c r="S477" s="121" t="str">
        <v/>
      </c>
      <c r="T477" s="119" t="str">
        <f>IF($C477&lt;4,IF($C477=3,T478,IF($C477=2,T$1,"")),Q477&amp;R477&amp;IF(LEN(S477)=0,"",Preferences!$C$2&amp;S477)&amp;IF(J478=J477,IF(LEN(R477&amp;S477)=0,"","
")&amp;T478,""))</f>
        <v xml:space="preserve"> 6. On a product page, present a list of similar products, as detailed in the Identify appropriate products to promote on a product page requirement of the Online Shop Recommended Content section.
 7. On a product page, present a list of also-bought products, as detailed in the Identify appropriate products to promote on a product page requirement of the Online Shop Recommended Content section.</v>
      </c>
      <c r="U477" s="122" t="str">
        <v/>
      </c>
      <c r="V477" s="42"/>
      <c r="W477" s="42"/>
      <c r="X477" s="42"/>
      <c r="Y477" s="42"/>
      <c r="Z477" s="42"/>
      <c r="AA477" s="42"/>
      <c r="AB477" s="42"/>
    </row>
    <row r="478" spans="1:28" x14ac:dyDescent="0.25">
      <c r="A478" s="42" t="str">
        <v>1.10.5.7</v>
      </c>
      <c r="B478" s="121" t="str">
        <v>On a product page, present a list of also-bought products, as detailed in the Identify appropriate products to promote on a product page requirement of the Online Shop Recommended Content section.</v>
      </c>
      <c r="C478" s="41">
        <v>4</v>
      </c>
      <c r="D478" s="41" t="str">
        <v>RD</v>
      </c>
      <c r="E478" s="117" t="str">
        <f t="shared" si="0"/>
        <v>RD</v>
      </c>
      <c r="F478" s="41" t="str">
        <v/>
      </c>
      <c r="G478" s="41" t="str">
        <v/>
      </c>
      <c r="H478" s="117">
        <f t="shared" si="1"/>
        <v>0</v>
      </c>
      <c r="I478" s="117">
        <f t="shared" si="2"/>
        <v>10</v>
      </c>
      <c r="J478" s="117">
        <f t="shared" si="3"/>
        <v>10.049999999999999</v>
      </c>
      <c r="K478" s="117" t="str">
        <f t="shared" si="4"/>
        <v>BR</v>
      </c>
      <c r="L478" s="42" t="str">
        <v>BR1005</v>
      </c>
      <c r="M478" s="121" t="str">
        <v/>
      </c>
      <c r="N478" s="121" t="str">
        <v/>
      </c>
      <c r="O478" s="121" t="str">
        <v/>
      </c>
      <c r="P478" s="121" t="str">
        <v/>
      </c>
      <c r="Q478" s="121" t="str">
        <v xml:space="preserve"> 7. </v>
      </c>
      <c r="R478" s="121" t="str">
        <v>On a product page, present a list of also-bought products, as detailed in the Identify appropriate products to promote on a product page requirement of the Online Shop Recommended Content section.</v>
      </c>
      <c r="S478" s="121" t="str">
        <v/>
      </c>
      <c r="T478" s="119" t="str">
        <f>IF($C478&lt;4,IF($C478=3,T479,IF($C478=2,T$1,"")),Q478&amp;R478&amp;IF(LEN(S478)=0,"",Preferences!$C$2&amp;S478)&amp;IF(J479=J478,IF(LEN(R478&amp;S478)=0,"","
")&amp;T479,""))</f>
        <v xml:space="preserve"> 7. On a product page, present a list of also-bought products, as detailed in the Identify appropriate products to promote on a product page requirement of the Online Shop Recommended Content section.</v>
      </c>
      <c r="U478" s="122" t="str">
        <v/>
      </c>
      <c r="V478" s="42"/>
      <c r="W478" s="42"/>
      <c r="X478" s="42"/>
      <c r="Y478" s="42"/>
      <c r="Z478" s="42"/>
      <c r="AA478" s="42"/>
      <c r="AB478" s="42"/>
    </row>
    <row r="479" spans="1:28" x14ac:dyDescent="0.25">
      <c r="A479" s="42" t="str">
        <v>1.10.6</v>
      </c>
      <c r="B479" s="121" t="str">
        <v>10.6 Present advertisement in the online shop</v>
      </c>
      <c r="C479" s="41">
        <v>3</v>
      </c>
      <c r="D479" s="41" t="str">
        <v>R</v>
      </c>
      <c r="E479" s="117" t="str">
        <f t="shared" si="0"/>
        <v>R</v>
      </c>
      <c r="F479" s="41" t="str">
        <v/>
      </c>
      <c r="G479" s="41" t="str">
        <v/>
      </c>
      <c r="H479" s="117">
        <f t="shared" si="1"/>
        <v>0</v>
      </c>
      <c r="I479" s="117">
        <f t="shared" si="2"/>
        <v>10</v>
      </c>
      <c r="J479" s="117">
        <f t="shared" si="3"/>
        <v>10.059999999999999</v>
      </c>
      <c r="K479" s="117" t="str">
        <f t="shared" si="4"/>
        <v>BR</v>
      </c>
      <c r="L479" s="42" t="str">
        <v>BR1006</v>
      </c>
      <c r="M479" s="121" t="str">
        <v/>
      </c>
      <c r="N479" s="121" t="str">
        <v/>
      </c>
      <c r="O479" s="121" t="str">
        <v>BR1006</v>
      </c>
      <c r="P479" s="121" t="str">
        <v>Present advertisement in the online shop</v>
      </c>
      <c r="Q479" s="121" t="str">
        <v/>
      </c>
      <c r="R479" s="121" t="str">
        <v/>
      </c>
      <c r="S479" s="121" t="str">
        <v/>
      </c>
      <c r="T479" s="119" t="str">
        <f>IF($C479&lt;4,IF($C479=3,T480,IF($C479=2,T$1,"")),Q479&amp;R479&amp;IF(LEN(S479)=0,"",Preferences!$C$2&amp;S479)&amp;IF(J480=J479,IF(LEN(R479&amp;S479)=0,"","
")&amp;T480,""))</f>
        <v xml:space="preserve"> 1. The banner view of an advertisement contains at least the following:
	• Banner image (of default; link to advertisement)
	• Price (incl.)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79" s="122" t="str">
        <v/>
      </c>
      <c r="V479" s="42"/>
      <c r="W479" s="42"/>
      <c r="X479" s="42"/>
      <c r="Y479" s="42"/>
      <c r="Z479" s="42"/>
      <c r="AA479" s="42"/>
      <c r="AB479" s="42"/>
    </row>
    <row r="480" spans="1:28" x14ac:dyDescent="0.25">
      <c r="A480" s="42" t="str">
        <v>1.10.6.1</v>
      </c>
      <c r="B480" s="121" t="str">
        <v>The banner view of an advertisement contains at least the following:</v>
      </c>
      <c r="C480" s="41">
        <v>4</v>
      </c>
      <c r="D480" s="41" t="str">
        <v>RD</v>
      </c>
      <c r="E480" s="117" t="str">
        <f t="shared" si="0"/>
        <v>RD</v>
      </c>
      <c r="F480" s="41" t="str">
        <v/>
      </c>
      <c r="G480" s="41" t="str">
        <v/>
      </c>
      <c r="H480" s="117">
        <f t="shared" si="1"/>
        <v>0</v>
      </c>
      <c r="I480" s="117">
        <f t="shared" si="2"/>
        <v>10</v>
      </c>
      <c r="J480" s="117">
        <f t="shared" si="3"/>
        <v>10.059999999999999</v>
      </c>
      <c r="K480" s="117" t="str">
        <f t="shared" si="4"/>
        <v>BR</v>
      </c>
      <c r="L480" s="42" t="str">
        <v>BR1006</v>
      </c>
      <c r="M480" s="121" t="str">
        <v/>
      </c>
      <c r="N480" s="121" t="str">
        <v/>
      </c>
      <c r="O480" s="121" t="str">
        <v/>
      </c>
      <c r="P480" s="121" t="str">
        <v/>
      </c>
      <c r="Q480" s="121" t="str">
        <v xml:space="preserve"> 1. </v>
      </c>
      <c r="R480" s="121" t="str">
        <v>The banner view of an advertisement contains at least the following:</v>
      </c>
      <c r="S480" s="121" t="str">
        <v/>
      </c>
      <c r="T480" s="119" t="str">
        <f>IF($C480&lt;4,IF($C480=3,T481,IF($C480=2,T$1,"")),Q480&amp;R480&amp;IF(LEN(S480)=0,"",Preferences!$C$2&amp;S480)&amp;IF(J481=J480,IF(LEN(R480&amp;S480)=0,"","
")&amp;T481,""))</f>
        <v xml:space="preserve"> 1. The banner view of an advertisement contains at least the following:
	• Banner image (of default; link to advertisement)
	• Price (incl.)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0" s="122" t="str">
        <v/>
      </c>
      <c r="V480" s="42"/>
      <c r="W480" s="42"/>
      <c r="X480" s="42"/>
      <c r="Y480" s="42"/>
      <c r="Z480" s="42"/>
      <c r="AA480" s="42"/>
      <c r="AB480" s="42"/>
    </row>
    <row r="481" spans="1:28" x14ac:dyDescent="0.25">
      <c r="A481" s="42" t="str">
        <v>1.10.6.1.1</v>
      </c>
      <c r="B481" s="121" t="str">
        <v>Banner image (of default; link to advertisement)</v>
      </c>
      <c r="C481" s="41">
        <v>5</v>
      </c>
      <c r="D481" s="41" t="str">
        <v>RL</v>
      </c>
      <c r="E481" s="117" t="str">
        <f t="shared" si="0"/>
        <v>RL</v>
      </c>
      <c r="F481" s="41" t="str">
        <v/>
      </c>
      <c r="G481" s="41" t="str">
        <v/>
      </c>
      <c r="H481" s="117">
        <f t="shared" si="1"/>
        <v>0</v>
      </c>
      <c r="I481" s="117">
        <f t="shared" si="2"/>
        <v>10</v>
      </c>
      <c r="J481" s="117">
        <f t="shared" si="3"/>
        <v>10.059999999999999</v>
      </c>
      <c r="K481" s="117" t="str">
        <f t="shared" si="4"/>
        <v>BR</v>
      </c>
      <c r="L481" s="42" t="str">
        <v>BR1006</v>
      </c>
      <c r="M481" s="121" t="str">
        <v/>
      </c>
      <c r="N481" s="121" t="str">
        <v/>
      </c>
      <c r="O481" s="121" t="str">
        <v/>
      </c>
      <c r="P481" s="121" t="str">
        <v/>
      </c>
      <c r="Q481" s="121" t="str">
        <v/>
      </c>
      <c r="R481" s="121" t="str">
        <v/>
      </c>
      <c r="S481" s="121" t="str">
        <v>Banner image (of default; link to advertisement)</v>
      </c>
      <c r="T481" s="119" t="str">
        <f>IF($C481&lt;4,IF($C481=3,T482,IF($C481=2,T$1,"")),Q481&amp;R481&amp;IF(LEN(S481)=0,"",Preferences!$C$2&amp;S481)&amp;IF(J482=J481,IF(LEN(R481&amp;S481)=0,"","
")&amp;T482,""))</f>
        <v xml:space="preserve">	• Banner image (of default; link to advertisement)
	• Price (incl.)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1" s="122" t="str">
        <v/>
      </c>
      <c r="V481" s="42"/>
      <c r="W481" s="42"/>
      <c r="X481" s="42"/>
      <c r="Y481" s="42"/>
      <c r="Z481" s="42"/>
      <c r="AA481" s="42"/>
      <c r="AB481" s="42"/>
    </row>
    <row r="482" spans="1:28" x14ac:dyDescent="0.25">
      <c r="A482" s="42" t="str">
        <v>1.10.6.1.2</v>
      </c>
      <c r="B482" s="121" t="str">
        <v>Price (incl.)</v>
      </c>
      <c r="C482" s="41">
        <v>5</v>
      </c>
      <c r="D482" s="41" t="str">
        <v>RL</v>
      </c>
      <c r="E482" s="117" t="str">
        <f t="shared" si="0"/>
        <v>RL</v>
      </c>
      <c r="F482" s="41" t="str">
        <v/>
      </c>
      <c r="G482" s="41" t="str">
        <v/>
      </c>
      <c r="H482" s="117">
        <f t="shared" si="1"/>
        <v>0</v>
      </c>
      <c r="I482" s="117">
        <f t="shared" si="2"/>
        <v>10</v>
      </c>
      <c r="J482" s="117">
        <f t="shared" si="3"/>
        <v>10.059999999999999</v>
      </c>
      <c r="K482" s="117" t="str">
        <f t="shared" si="4"/>
        <v>BR</v>
      </c>
      <c r="L482" s="42" t="str">
        <v>BR1006</v>
      </c>
      <c r="M482" s="121" t="str">
        <v/>
      </c>
      <c r="N482" s="121" t="str">
        <v/>
      </c>
      <c r="O482" s="121" t="str">
        <v/>
      </c>
      <c r="P482" s="121" t="str">
        <v/>
      </c>
      <c r="Q482" s="121" t="str">
        <v/>
      </c>
      <c r="R482" s="121" t="str">
        <v/>
      </c>
      <c r="S482" s="121" t="str">
        <v>Price (incl.)</v>
      </c>
      <c r="T482" s="119" t="str">
        <f>IF($C482&lt;4,IF($C482=3,T483,IF($C482=2,T$1,"")),Q482&amp;R482&amp;IF(LEN(S482)=0,"",Preferences!$C$2&amp;S482)&amp;IF(J483=J482,IF(LEN(R482&amp;S482)=0,"","
")&amp;T483,""))</f>
        <v xml:space="preserve">	• Price (incl.)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2" s="122" t="str">
        <v/>
      </c>
      <c r="V482" s="42"/>
      <c r="W482" s="42"/>
      <c r="X482" s="42"/>
      <c r="Y482" s="42"/>
      <c r="Z482" s="42"/>
      <c r="AA482" s="42"/>
      <c r="AB482" s="42"/>
    </row>
    <row r="483" spans="1:28" x14ac:dyDescent="0.25">
      <c r="A483" s="42" t="str">
        <v>1.10.6.1.3</v>
      </c>
      <c r="B483" s="121" t="str">
        <v>Title &amp; Teaser (presented on hover)</v>
      </c>
      <c r="C483" s="41">
        <v>5</v>
      </c>
      <c r="D483" s="41" t="str">
        <v>RL</v>
      </c>
      <c r="E483" s="117" t="str">
        <f t="shared" si="0"/>
        <v>RL</v>
      </c>
      <c r="F483" s="41" t="str">
        <v/>
      </c>
      <c r="G483" s="41" t="str">
        <v/>
      </c>
      <c r="H483" s="117">
        <f t="shared" si="1"/>
        <v>0</v>
      </c>
      <c r="I483" s="117">
        <f t="shared" si="2"/>
        <v>10</v>
      </c>
      <c r="J483" s="117">
        <f t="shared" si="3"/>
        <v>10.059999999999999</v>
      </c>
      <c r="K483" s="117" t="str">
        <f t="shared" si="4"/>
        <v>BR</v>
      </c>
      <c r="L483" s="42" t="str">
        <v>BR1006</v>
      </c>
      <c r="M483" s="121" t="str">
        <v/>
      </c>
      <c r="N483" s="121" t="str">
        <v/>
      </c>
      <c r="O483" s="121" t="str">
        <v/>
      </c>
      <c r="P483" s="121" t="str">
        <v/>
      </c>
      <c r="Q483" s="121" t="str">
        <v/>
      </c>
      <c r="R483" s="121" t="str">
        <v/>
      </c>
      <c r="S483" s="121" t="str">
        <v>Title &amp; Teaser (presented on hover)</v>
      </c>
      <c r="T483" s="119" t="str">
        <f>IF($C483&lt;4,IF($C483=3,T484,IF($C483=2,T$1,"")),Q483&amp;R483&amp;IF(LEN(S483)=0,"",Preferences!$C$2&amp;S483)&amp;IF(J484=J483,IF(LEN(R483&amp;S483)=0,"","
")&amp;T484,""))</f>
        <v xml:space="preserve">	• Title &amp; Teaser (presented on hover)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3" s="122" t="str">
        <v/>
      </c>
      <c r="V483" s="42"/>
      <c r="W483" s="42"/>
      <c r="X483" s="42"/>
      <c r="Y483" s="42"/>
      <c r="Z483" s="42"/>
      <c r="AA483" s="42"/>
      <c r="AB483" s="42"/>
    </row>
    <row r="484" spans="1:28" x14ac:dyDescent="0.25">
      <c r="A484" s="42" t="str">
        <v>1.10.6.2</v>
      </c>
      <c r="B484" s="121" t="str">
        <v>The search results teaser view of an advertisement contains at least the following:</v>
      </c>
      <c r="C484" s="41">
        <v>4</v>
      </c>
      <c r="D484" s="41" t="str">
        <v>RD</v>
      </c>
      <c r="E484" s="117" t="str">
        <f t="shared" si="0"/>
        <v>RD</v>
      </c>
      <c r="F484" s="41" t="str">
        <v/>
      </c>
      <c r="G484" s="41" t="str">
        <v/>
      </c>
      <c r="H484" s="117">
        <f t="shared" si="1"/>
        <v>0</v>
      </c>
      <c r="I484" s="117">
        <f t="shared" si="2"/>
        <v>10</v>
      </c>
      <c r="J484" s="117">
        <f t="shared" si="3"/>
        <v>10.059999999999999</v>
      </c>
      <c r="K484" s="117" t="str">
        <f t="shared" si="4"/>
        <v>BR</v>
      </c>
      <c r="L484" s="42" t="str">
        <v>BR1006</v>
      </c>
      <c r="M484" s="121" t="str">
        <v/>
      </c>
      <c r="N484" s="121" t="str">
        <v/>
      </c>
      <c r="O484" s="121" t="str">
        <v/>
      </c>
      <c r="P484" s="121" t="str">
        <v/>
      </c>
      <c r="Q484" s="121" t="str">
        <v xml:space="preserve"> 2. </v>
      </c>
      <c r="R484" s="121" t="str">
        <v>The search results teaser view of an advertisement contains at least the following:</v>
      </c>
      <c r="S484" s="121" t="str">
        <v/>
      </c>
      <c r="T484" s="119" t="str">
        <f>IF($C484&lt;4,IF($C484=3,T485,IF($C484=2,T$1,"")),Q484&amp;R484&amp;IF(LEN(S484)=0,"",Preferences!$C$2&amp;S484)&amp;IF(J485=J484,IF(LEN(R484&amp;S484)=0,"","
")&amp;T485,""))</f>
        <v xml:space="preserve"> 2. The search results teaser view of an advertisement contains at least the following: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4" s="122" t="str">
        <v/>
      </c>
      <c r="V484" s="42"/>
      <c r="W484" s="42"/>
      <c r="X484" s="42"/>
      <c r="Y484" s="42"/>
      <c r="Z484" s="42"/>
      <c r="AA484" s="42"/>
      <c r="AB484" s="42"/>
    </row>
    <row r="485" spans="1:28" x14ac:dyDescent="0.25">
      <c r="A485" s="42" t="str">
        <v>1.10.6.2.1</v>
      </c>
      <c r="B485" s="121" t="str">
        <v>Title (link to advertisement)</v>
      </c>
      <c r="C485" s="41">
        <v>5</v>
      </c>
      <c r="D485" s="41" t="str">
        <v>RL</v>
      </c>
      <c r="E485" s="117" t="str">
        <f t="shared" si="0"/>
        <v>RL</v>
      </c>
      <c r="F485" s="41" t="str">
        <v/>
      </c>
      <c r="G485" s="41" t="str">
        <v/>
      </c>
      <c r="H485" s="117">
        <f t="shared" si="1"/>
        <v>0</v>
      </c>
      <c r="I485" s="117">
        <f t="shared" si="2"/>
        <v>10</v>
      </c>
      <c r="J485" s="117">
        <f t="shared" si="3"/>
        <v>10.059999999999999</v>
      </c>
      <c r="K485" s="117" t="str">
        <f t="shared" si="4"/>
        <v>BR</v>
      </c>
      <c r="L485" s="42" t="str">
        <v>BR1006</v>
      </c>
      <c r="M485" s="121" t="str">
        <v/>
      </c>
      <c r="N485" s="121" t="str">
        <v/>
      </c>
      <c r="O485" s="121" t="str">
        <v/>
      </c>
      <c r="P485" s="121" t="str">
        <v/>
      </c>
      <c r="Q485" s="121" t="str">
        <v/>
      </c>
      <c r="R485" s="121" t="str">
        <v/>
      </c>
      <c r="S485" s="121" t="str">
        <v>Title (link to advertisement)</v>
      </c>
      <c r="T485" s="119" t="str">
        <f>IF($C485&lt;4,IF($C485=3,T486,IF($C485=2,T$1,"")),Q485&amp;R485&amp;IF(LEN(S485)=0,"",Preferences!$C$2&amp;S485)&amp;IF(J486=J485,IF(LEN(R485&amp;S485)=0,"","
")&amp;T486,""))</f>
        <v xml:space="preserve">	• Title (link to advertisement)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5" s="122" t="str">
        <v/>
      </c>
      <c r="V485" s="42"/>
      <c r="W485" s="42"/>
      <c r="X485" s="42"/>
      <c r="Y485" s="42"/>
      <c r="Z485" s="42"/>
      <c r="AA485" s="42"/>
      <c r="AB485" s="42"/>
    </row>
    <row r="486" spans="1:28" x14ac:dyDescent="0.25">
      <c r="A486" s="42" t="str">
        <v>1.10.6.2.2</v>
      </c>
      <c r="B486" s="121" t="str">
        <v>Thumbnail image (of default; link to advertisement)</v>
      </c>
      <c r="C486" s="41">
        <v>5</v>
      </c>
      <c r="D486" s="41" t="str">
        <v>RL</v>
      </c>
      <c r="E486" s="117" t="str">
        <f t="shared" si="0"/>
        <v>RL</v>
      </c>
      <c r="F486" s="41" t="str">
        <v/>
      </c>
      <c r="G486" s="41" t="str">
        <v/>
      </c>
      <c r="H486" s="117">
        <f t="shared" si="1"/>
        <v>0</v>
      </c>
      <c r="I486" s="117">
        <f t="shared" si="2"/>
        <v>10</v>
      </c>
      <c r="J486" s="117">
        <f t="shared" si="3"/>
        <v>10.059999999999999</v>
      </c>
      <c r="K486" s="117" t="str">
        <f t="shared" si="4"/>
        <v>BR</v>
      </c>
      <c r="L486" s="42" t="str">
        <v>BR1006</v>
      </c>
      <c r="M486" s="121" t="str">
        <v/>
      </c>
      <c r="N486" s="121" t="str">
        <v/>
      </c>
      <c r="O486" s="121" t="str">
        <v/>
      </c>
      <c r="P486" s="121" t="str">
        <v/>
      </c>
      <c r="Q486" s="121" t="str">
        <v/>
      </c>
      <c r="R486" s="121" t="str">
        <v/>
      </c>
      <c r="S486" s="121" t="str">
        <v>Thumbnail image (of default; link to advertisement)</v>
      </c>
      <c r="T486" s="119" t="str">
        <f>IF($C486&lt;4,IF($C486=3,T487,IF($C486=2,T$1,"")),Q486&amp;R486&amp;IF(LEN(S486)=0,"",Preferences!$C$2&amp;S486)&amp;IF(J487=J486,IF(LEN(R486&amp;S486)=0,"","
")&amp;T487,""))</f>
        <v xml:space="preserve">	• Thumbnail image (of default; link to advertisement)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6" s="122" t="str">
        <v/>
      </c>
      <c r="V486" s="42"/>
      <c r="W486" s="42"/>
      <c r="X486" s="42"/>
      <c r="Y486" s="42"/>
      <c r="Z486" s="42"/>
      <c r="AA486" s="42"/>
      <c r="AB486" s="42"/>
    </row>
    <row r="487" spans="1:28" x14ac:dyDescent="0.25">
      <c r="A487" s="42" t="str">
        <v>1.10.6.2.3</v>
      </c>
      <c r="B487" s="121" t="str">
        <v>Teaser</v>
      </c>
      <c r="C487" s="41">
        <v>5</v>
      </c>
      <c r="D487" s="41" t="str">
        <v>RL</v>
      </c>
      <c r="E487" s="117" t="str">
        <f t="shared" si="0"/>
        <v>RL</v>
      </c>
      <c r="F487" s="41" t="str">
        <v/>
      </c>
      <c r="G487" s="41" t="str">
        <v/>
      </c>
      <c r="H487" s="117">
        <f t="shared" si="1"/>
        <v>0</v>
      </c>
      <c r="I487" s="117">
        <f t="shared" si="2"/>
        <v>10</v>
      </c>
      <c r="J487" s="117">
        <f t="shared" si="3"/>
        <v>10.059999999999999</v>
      </c>
      <c r="K487" s="117" t="str">
        <f t="shared" si="4"/>
        <v>BR</v>
      </c>
      <c r="L487" s="42" t="str">
        <v>BR1006</v>
      </c>
      <c r="M487" s="121" t="str">
        <v/>
      </c>
      <c r="N487" s="121" t="str">
        <v/>
      </c>
      <c r="O487" s="121" t="str">
        <v/>
      </c>
      <c r="P487" s="121" t="str">
        <v/>
      </c>
      <c r="Q487" s="121" t="str">
        <v/>
      </c>
      <c r="R487" s="121" t="str">
        <v/>
      </c>
      <c r="S487" s="121" t="str">
        <v>Teaser</v>
      </c>
      <c r="T487" s="119" t="str">
        <f>IF($C487&lt;4,IF($C487=3,T488,IF($C487=2,T$1,"")),Q487&amp;R487&amp;IF(LEN(S487)=0,"",Preferences!$C$2&amp;S487)&amp;IF(J488=J487,IF(LEN(R487&amp;S487)=0,"","
")&amp;T488,""))</f>
        <v xml:space="preserve">	• Teaser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7" s="122" t="str">
        <v/>
      </c>
      <c r="V487" s="42"/>
      <c r="W487" s="42"/>
      <c r="X487" s="42"/>
      <c r="Y487" s="42"/>
      <c r="Z487" s="42"/>
      <c r="AA487" s="42"/>
      <c r="AB487" s="42"/>
    </row>
    <row r="488" spans="1:28" x14ac:dyDescent="0.25">
      <c r="A488" s="42" t="str">
        <v>1.10.6.2.4</v>
      </c>
      <c r="B488" s="121" t="str">
        <v>Price (incl.)</v>
      </c>
      <c r="C488" s="41">
        <v>5</v>
      </c>
      <c r="D488" s="41" t="str">
        <v>RL</v>
      </c>
      <c r="E488" s="117" t="str">
        <f t="shared" si="0"/>
        <v>RL</v>
      </c>
      <c r="F488" s="41" t="str">
        <v/>
      </c>
      <c r="G488" s="41" t="str">
        <v/>
      </c>
      <c r="H488" s="117">
        <f t="shared" si="1"/>
        <v>0</v>
      </c>
      <c r="I488" s="117">
        <f t="shared" si="2"/>
        <v>10</v>
      </c>
      <c r="J488" s="117">
        <f t="shared" si="3"/>
        <v>10.059999999999999</v>
      </c>
      <c r="K488" s="117" t="str">
        <f t="shared" si="4"/>
        <v>BR</v>
      </c>
      <c r="L488" s="42" t="str">
        <v>BR1006</v>
      </c>
      <c r="M488" s="121" t="str">
        <v/>
      </c>
      <c r="N488" s="121" t="str">
        <v/>
      </c>
      <c r="O488" s="121" t="str">
        <v/>
      </c>
      <c r="P488" s="121" t="str">
        <v/>
      </c>
      <c r="Q488" s="121" t="str">
        <v/>
      </c>
      <c r="R488" s="121" t="str">
        <v/>
      </c>
      <c r="S488" s="121" t="str">
        <v>Price (incl.)</v>
      </c>
      <c r="T488" s="119" t="str">
        <f>IF($C488&lt;4,IF($C488=3,T489,IF($C488=2,T$1,"")),Q488&amp;R488&amp;IF(LEN(S488)=0,"",Preferences!$C$2&amp;S488)&amp;IF(J489=J488,IF(LEN(R488&amp;S488)=0,"","
")&amp;T489,""))</f>
        <v xml:space="preserve">	• Price (incl.)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8" s="122" t="str">
        <v/>
      </c>
      <c r="V488" s="42"/>
      <c r="W488" s="42"/>
      <c r="X488" s="42"/>
      <c r="Y488" s="42"/>
      <c r="Z488" s="42"/>
      <c r="AA488" s="42"/>
      <c r="AB488" s="42"/>
    </row>
    <row r="489" spans="1:28" x14ac:dyDescent="0.25">
      <c r="A489" s="42" t="str">
        <v>1.10.6.2.5</v>
      </c>
      <c r="B489" s="121" t="str">
        <v>Promotion type</v>
      </c>
      <c r="C489" s="41">
        <v>5</v>
      </c>
      <c r="D489" s="41" t="str">
        <v>RL</v>
      </c>
      <c r="E489" s="117" t="str">
        <f t="shared" si="0"/>
        <v>RL</v>
      </c>
      <c r="F489" s="41" t="str">
        <v/>
      </c>
      <c r="G489" s="41" t="str">
        <v/>
      </c>
      <c r="H489" s="117">
        <f t="shared" si="1"/>
        <v>0</v>
      </c>
      <c r="I489" s="117">
        <f t="shared" si="2"/>
        <v>10</v>
      </c>
      <c r="J489" s="117">
        <f t="shared" si="3"/>
        <v>10.059999999999999</v>
      </c>
      <c r="K489" s="117" t="str">
        <f t="shared" si="4"/>
        <v>BR</v>
      </c>
      <c r="L489" s="42" t="str">
        <v>BR1006</v>
      </c>
      <c r="M489" s="121" t="str">
        <v/>
      </c>
      <c r="N489" s="121" t="str">
        <v/>
      </c>
      <c r="O489" s="121" t="str">
        <v/>
      </c>
      <c r="P489" s="121" t="str">
        <v/>
      </c>
      <c r="Q489" s="121" t="str">
        <v/>
      </c>
      <c r="R489" s="121" t="str">
        <v/>
      </c>
      <c r="S489" s="121" t="str">
        <v>Promotion type</v>
      </c>
      <c r="T489" s="119" t="str">
        <f>IF($C489&lt;4,IF($C489=3,T490,IF($C489=2,T$1,"")),Q489&amp;R489&amp;IF(LEN(S489)=0,"",Preferences!$C$2&amp;S489)&amp;IF(J490=J489,IF(LEN(R489&amp;S489)=0,"","
")&amp;T490,""))</f>
        <v xml:space="preserve">	• Promotion type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89" s="122" t="str">
        <v/>
      </c>
      <c r="V489" s="42"/>
      <c r="W489" s="42"/>
      <c r="X489" s="42"/>
      <c r="Y489" s="42"/>
      <c r="Z489" s="42"/>
      <c r="AA489" s="42"/>
      <c r="AB489" s="42"/>
    </row>
    <row r="490" spans="1:28" x14ac:dyDescent="0.25">
      <c r="A490" s="42" t="str">
        <v>1.10.6.2.6</v>
      </c>
      <c r="B490" s="121" t="str">
        <v>Icons to add the product to: Shopping Cart, Favourites, Wish-list</v>
      </c>
      <c r="C490" s="41">
        <v>5</v>
      </c>
      <c r="D490" s="41" t="str">
        <v>RL</v>
      </c>
      <c r="E490" s="117" t="str">
        <f t="shared" si="0"/>
        <v>RL</v>
      </c>
      <c r="F490" s="41" t="str">
        <v/>
      </c>
      <c r="G490" s="41" t="str">
        <v/>
      </c>
      <c r="H490" s="117">
        <f t="shared" si="1"/>
        <v>0</v>
      </c>
      <c r="I490" s="117">
        <f t="shared" si="2"/>
        <v>10</v>
      </c>
      <c r="J490" s="117">
        <f t="shared" si="3"/>
        <v>10.059999999999999</v>
      </c>
      <c r="K490" s="117" t="str">
        <f t="shared" si="4"/>
        <v>BR</v>
      </c>
      <c r="L490" s="42" t="str">
        <v>BR1006</v>
      </c>
      <c r="M490" s="121" t="str">
        <v/>
      </c>
      <c r="N490" s="121" t="str">
        <v/>
      </c>
      <c r="O490" s="121" t="str">
        <v/>
      </c>
      <c r="P490" s="121" t="str">
        <v/>
      </c>
      <c r="Q490" s="121" t="str">
        <v/>
      </c>
      <c r="R490" s="121" t="str">
        <v/>
      </c>
      <c r="S490" s="121" t="str">
        <v>Icons to add the product to: Shopping Cart, Favourites, Wish-list</v>
      </c>
      <c r="T490" s="119" t="str">
        <f>IF($C490&lt;4,IF($C490=3,T491,IF($C490=2,T$1,"")),Q490&amp;R490&amp;IF(LEN(S490)=0,"",Preferences!$C$2&amp;S490)&amp;IF(J491=J490,IF(LEN(R490&amp;S490)=0,"","
")&amp;T491,""))</f>
        <v xml:space="preserve">	• Icons to add the product to: Shopping Cart, Favourites, Wish-list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0" s="122" t="str">
        <v/>
      </c>
      <c r="V490" s="42"/>
      <c r="W490" s="42"/>
      <c r="X490" s="42"/>
      <c r="Y490" s="42"/>
      <c r="Z490" s="42"/>
      <c r="AA490" s="42"/>
      <c r="AB490" s="42"/>
    </row>
    <row r="491" spans="1:28" x14ac:dyDescent="0.25">
      <c r="A491" s="42" t="str">
        <v>1.10.6.3</v>
      </c>
      <c r="B491" s="121" t="str">
        <v>The promoted advertisement teaser view contains at least the following:</v>
      </c>
      <c r="C491" s="41">
        <v>4</v>
      </c>
      <c r="D491" s="41" t="str">
        <v>RD</v>
      </c>
      <c r="E491" s="117" t="str">
        <f t="shared" si="0"/>
        <v>RD</v>
      </c>
      <c r="F491" s="41" t="str">
        <v/>
      </c>
      <c r="G491" s="41" t="str">
        <v/>
      </c>
      <c r="H491" s="117">
        <f t="shared" si="1"/>
        <v>0</v>
      </c>
      <c r="I491" s="117">
        <f t="shared" si="2"/>
        <v>10</v>
      </c>
      <c r="J491" s="117">
        <f t="shared" si="3"/>
        <v>10.059999999999999</v>
      </c>
      <c r="K491" s="117" t="str">
        <f t="shared" si="4"/>
        <v>BR</v>
      </c>
      <c r="L491" s="42" t="str">
        <v>BR1006</v>
      </c>
      <c r="M491" s="121" t="str">
        <v/>
      </c>
      <c r="N491" s="121" t="str">
        <v/>
      </c>
      <c r="O491" s="121" t="str">
        <v/>
      </c>
      <c r="P491" s="121" t="str">
        <v/>
      </c>
      <c r="Q491" s="121" t="str">
        <v xml:space="preserve"> 3. </v>
      </c>
      <c r="R491" s="121" t="str">
        <v>The promoted advertisement teaser view contains at least the following:</v>
      </c>
      <c r="S491" s="121" t="str">
        <v/>
      </c>
      <c r="T491" s="119" t="str">
        <f>IF($C491&lt;4,IF($C491=3,T492,IF($C491=2,T$1,"")),Q491&amp;R491&amp;IF(LEN(S491)=0,"",Preferences!$C$2&amp;S491)&amp;IF(J492=J491,IF(LEN(R491&amp;S491)=0,"","
")&amp;T492,""))</f>
        <v xml:space="preserve"> 3. The promoted advertisement teaser view contains at least the following: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1" s="122" t="str">
        <v/>
      </c>
      <c r="V491" s="42"/>
      <c r="W491" s="42"/>
      <c r="X491" s="42"/>
      <c r="Y491" s="42"/>
      <c r="Z491" s="42"/>
      <c r="AA491" s="42"/>
      <c r="AB491" s="42"/>
    </row>
    <row r="492" spans="1:28" x14ac:dyDescent="0.25">
      <c r="A492" s="42" t="str">
        <v>1.10.6.3.1</v>
      </c>
      <c r="B492" s="121" t="str">
        <v>Title (link to advertisement)</v>
      </c>
      <c r="C492" s="41">
        <v>5</v>
      </c>
      <c r="D492" s="41" t="str">
        <v>RL</v>
      </c>
      <c r="E492" s="117" t="str">
        <f t="shared" si="0"/>
        <v>RL</v>
      </c>
      <c r="F492" s="41" t="str">
        <v/>
      </c>
      <c r="G492" s="41" t="str">
        <v/>
      </c>
      <c r="H492" s="117">
        <f t="shared" si="1"/>
        <v>0</v>
      </c>
      <c r="I492" s="117">
        <f t="shared" si="2"/>
        <v>10</v>
      </c>
      <c r="J492" s="117">
        <f t="shared" si="3"/>
        <v>10.059999999999999</v>
      </c>
      <c r="K492" s="117" t="str">
        <f t="shared" si="4"/>
        <v>BR</v>
      </c>
      <c r="L492" s="42" t="str">
        <v>BR1006</v>
      </c>
      <c r="M492" s="121" t="str">
        <v/>
      </c>
      <c r="N492" s="121" t="str">
        <v/>
      </c>
      <c r="O492" s="121" t="str">
        <v/>
      </c>
      <c r="P492" s="121" t="str">
        <v/>
      </c>
      <c r="Q492" s="121" t="str">
        <v/>
      </c>
      <c r="R492" s="121" t="str">
        <v/>
      </c>
      <c r="S492" s="121" t="str">
        <v>Title (link to advertisement)</v>
      </c>
      <c r="T492" s="119" t="str">
        <f>IF($C492&lt;4,IF($C492=3,T493,IF($C492=2,T$1,"")),Q492&amp;R492&amp;IF(LEN(S492)=0,"",Preferences!$C$2&amp;S492)&amp;IF(J493=J492,IF(LEN(R492&amp;S492)=0,"","
")&amp;T493,""))</f>
        <v xml:space="preserve">	• Title (link to advertisement)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2" s="122" t="str">
        <v/>
      </c>
      <c r="V492" s="42"/>
      <c r="W492" s="42"/>
      <c r="X492" s="42"/>
      <c r="Y492" s="42"/>
      <c r="Z492" s="42"/>
      <c r="AA492" s="42"/>
      <c r="AB492" s="42"/>
    </row>
    <row r="493" spans="1:28" x14ac:dyDescent="0.25">
      <c r="A493" s="42" t="str">
        <v>1.10.6.3.2</v>
      </c>
      <c r="B493" s="121" t="str">
        <v>Small image (of default; link to advertisement)</v>
      </c>
      <c r="C493" s="41">
        <v>5</v>
      </c>
      <c r="D493" s="41" t="str">
        <v>RL</v>
      </c>
      <c r="E493" s="117" t="str">
        <f t="shared" si="0"/>
        <v>RL</v>
      </c>
      <c r="F493" s="41" t="str">
        <v/>
      </c>
      <c r="G493" s="41" t="str">
        <v/>
      </c>
      <c r="H493" s="117">
        <f t="shared" si="1"/>
        <v>0</v>
      </c>
      <c r="I493" s="117">
        <f t="shared" si="2"/>
        <v>10</v>
      </c>
      <c r="J493" s="117">
        <f t="shared" si="3"/>
        <v>10.059999999999999</v>
      </c>
      <c r="K493" s="117" t="str">
        <f t="shared" si="4"/>
        <v>BR</v>
      </c>
      <c r="L493" s="42" t="str">
        <v>BR1006</v>
      </c>
      <c r="M493" s="121" t="str">
        <v/>
      </c>
      <c r="N493" s="121" t="str">
        <v/>
      </c>
      <c r="O493" s="121" t="str">
        <v/>
      </c>
      <c r="P493" s="121" t="str">
        <v/>
      </c>
      <c r="Q493" s="121" t="str">
        <v/>
      </c>
      <c r="R493" s="121" t="str">
        <v/>
      </c>
      <c r="S493" s="121" t="str">
        <v>Small image (of default; link to advertisement)</v>
      </c>
      <c r="T493" s="119" t="str">
        <f>IF($C493&lt;4,IF($C493=3,T494,IF($C493=2,T$1,"")),Q493&amp;R493&amp;IF(LEN(S493)=0,"",Preferences!$C$2&amp;S493)&amp;IF(J494=J493,IF(LEN(R493&amp;S493)=0,"","
")&amp;T494,""))</f>
        <v xml:space="preserve">	• Small image (of default; link to advertisement)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3" s="122" t="str">
        <v/>
      </c>
      <c r="V493" s="42"/>
      <c r="W493" s="42"/>
      <c r="X493" s="42"/>
      <c r="Y493" s="42"/>
      <c r="Z493" s="42"/>
      <c r="AA493" s="42"/>
      <c r="AB493" s="42"/>
    </row>
    <row r="494" spans="1:28" x14ac:dyDescent="0.25">
      <c r="A494" s="42" t="str">
        <v>1.10.6.3.3</v>
      </c>
      <c r="B494" s="121" t="str">
        <v>Teaser</v>
      </c>
      <c r="C494" s="41">
        <v>5</v>
      </c>
      <c r="D494" s="41" t="str">
        <v>RL</v>
      </c>
      <c r="E494" s="117" t="str">
        <f t="shared" si="0"/>
        <v>RL</v>
      </c>
      <c r="F494" s="41" t="str">
        <v/>
      </c>
      <c r="G494" s="41" t="str">
        <v/>
      </c>
      <c r="H494" s="117">
        <f t="shared" si="1"/>
        <v>0</v>
      </c>
      <c r="I494" s="117">
        <f t="shared" si="2"/>
        <v>10</v>
      </c>
      <c r="J494" s="117">
        <f t="shared" si="3"/>
        <v>10.059999999999999</v>
      </c>
      <c r="K494" s="117" t="str">
        <f t="shared" si="4"/>
        <v>BR</v>
      </c>
      <c r="L494" s="42" t="str">
        <v>BR1006</v>
      </c>
      <c r="M494" s="121" t="str">
        <v/>
      </c>
      <c r="N494" s="121" t="str">
        <v/>
      </c>
      <c r="O494" s="121" t="str">
        <v/>
      </c>
      <c r="P494" s="121" t="str">
        <v/>
      </c>
      <c r="Q494" s="121" t="str">
        <v/>
      </c>
      <c r="R494" s="121" t="str">
        <v/>
      </c>
      <c r="S494" s="121" t="str">
        <v>Teaser</v>
      </c>
      <c r="T494" s="119" t="str">
        <f>IF($C494&lt;4,IF($C494=3,T495,IF($C494=2,T$1,"")),Q494&amp;R494&amp;IF(LEN(S494)=0,"",Preferences!$C$2&amp;S494)&amp;IF(J495=J494,IF(LEN(R494&amp;S494)=0,"","
")&amp;T495,""))</f>
        <v xml:space="preserve">	• Teaser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4" s="122" t="str">
        <v/>
      </c>
      <c r="V494" s="42"/>
      <c r="W494" s="42"/>
      <c r="X494" s="42"/>
      <c r="Y494" s="42"/>
      <c r="Z494" s="42"/>
      <c r="AA494" s="42"/>
      <c r="AB494" s="42"/>
    </row>
    <row r="495" spans="1:28" x14ac:dyDescent="0.25">
      <c r="A495" s="42" t="str">
        <v>1.10.6.3.4</v>
      </c>
      <c r="B495" s="121" t="str">
        <v>Price (incl.)</v>
      </c>
      <c r="C495" s="41">
        <v>5</v>
      </c>
      <c r="D495" s="41" t="str">
        <v>RL</v>
      </c>
      <c r="E495" s="117" t="str">
        <f t="shared" si="0"/>
        <v>RL</v>
      </c>
      <c r="F495" s="41" t="str">
        <v/>
      </c>
      <c r="G495" s="41" t="str">
        <v/>
      </c>
      <c r="H495" s="117">
        <f t="shared" si="1"/>
        <v>0</v>
      </c>
      <c r="I495" s="117">
        <f t="shared" si="2"/>
        <v>10</v>
      </c>
      <c r="J495" s="117">
        <f t="shared" si="3"/>
        <v>10.059999999999999</v>
      </c>
      <c r="K495" s="117" t="str">
        <f t="shared" si="4"/>
        <v>BR</v>
      </c>
      <c r="L495" s="42" t="str">
        <v>BR1006</v>
      </c>
      <c r="M495" s="121" t="str">
        <v/>
      </c>
      <c r="N495" s="121" t="str">
        <v/>
      </c>
      <c r="O495" s="121" t="str">
        <v/>
      </c>
      <c r="P495" s="121" t="str">
        <v/>
      </c>
      <c r="Q495" s="121" t="str">
        <v/>
      </c>
      <c r="R495" s="121" t="str">
        <v/>
      </c>
      <c r="S495" s="121" t="str">
        <v>Price (incl.)</v>
      </c>
      <c r="T495" s="119" t="str">
        <f>IF($C495&lt;4,IF($C495=3,T496,IF($C495=2,T$1,"")),Q495&amp;R495&amp;IF(LEN(S495)=0,"",Preferences!$C$2&amp;S495)&amp;IF(J496=J495,IF(LEN(R495&amp;S495)=0,"","
")&amp;T496,""))</f>
        <v xml:space="preserve">	• Price (incl.)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5" s="122" t="str">
        <v/>
      </c>
      <c r="V495" s="42"/>
      <c r="W495" s="42"/>
      <c r="X495" s="42"/>
      <c r="Y495" s="42"/>
      <c r="Z495" s="42"/>
      <c r="AA495" s="42"/>
      <c r="AB495" s="42"/>
    </row>
    <row r="496" spans="1:28" x14ac:dyDescent="0.25">
      <c r="A496" s="42" t="str">
        <v>1.10.6.3.5</v>
      </c>
      <c r="B496" s="121" t="str">
        <v>Promotion type</v>
      </c>
      <c r="C496" s="41">
        <v>5</v>
      </c>
      <c r="D496" s="41" t="str">
        <v>RL</v>
      </c>
      <c r="E496" s="117" t="str">
        <f t="shared" si="0"/>
        <v>RL</v>
      </c>
      <c r="F496" s="41" t="str">
        <v/>
      </c>
      <c r="G496" s="41" t="str">
        <v/>
      </c>
      <c r="H496" s="117">
        <f t="shared" si="1"/>
        <v>0</v>
      </c>
      <c r="I496" s="117">
        <f t="shared" si="2"/>
        <v>10</v>
      </c>
      <c r="J496" s="117">
        <f t="shared" si="3"/>
        <v>10.059999999999999</v>
      </c>
      <c r="K496" s="117" t="str">
        <f t="shared" si="4"/>
        <v>BR</v>
      </c>
      <c r="L496" s="42" t="str">
        <v>BR1006</v>
      </c>
      <c r="M496" s="121" t="str">
        <v/>
      </c>
      <c r="N496" s="121" t="str">
        <v/>
      </c>
      <c r="O496" s="121" t="str">
        <v/>
      </c>
      <c r="P496" s="121" t="str">
        <v/>
      </c>
      <c r="Q496" s="121" t="str">
        <v/>
      </c>
      <c r="R496" s="121" t="str">
        <v/>
      </c>
      <c r="S496" s="121" t="str">
        <v>Promotion type</v>
      </c>
      <c r="T496" s="119" t="str">
        <f>IF($C496&lt;4,IF($C496=3,T497,IF($C496=2,T$1,"")),Q496&amp;R496&amp;IF(LEN(S496)=0,"",Preferences!$C$2&amp;S496)&amp;IF(J497=J496,IF(LEN(R496&amp;S496)=0,"","
")&amp;T497,""))</f>
        <v xml:space="preserve">	• Promotion type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6" s="122" t="str">
        <v/>
      </c>
      <c r="V496" s="42"/>
      <c r="W496" s="42"/>
      <c r="X496" s="42"/>
      <c r="Y496" s="42"/>
      <c r="Z496" s="42"/>
      <c r="AA496" s="42"/>
      <c r="AB496" s="42"/>
    </row>
    <row r="497" spans="1:28" x14ac:dyDescent="0.25">
      <c r="A497" s="42" t="str">
        <v>1.10.6.3.6</v>
      </c>
      <c r="B497" s="121" t="str">
        <v>Icons to add the product to: Shopping Cart, Favourites, Wish-list</v>
      </c>
      <c r="C497" s="41">
        <v>5</v>
      </c>
      <c r="D497" s="41" t="str">
        <v>RL</v>
      </c>
      <c r="E497" s="117" t="str">
        <f t="shared" si="0"/>
        <v>RL</v>
      </c>
      <c r="F497" s="41" t="str">
        <v/>
      </c>
      <c r="G497" s="41" t="str">
        <v/>
      </c>
      <c r="H497" s="117">
        <f t="shared" si="1"/>
        <v>0</v>
      </c>
      <c r="I497" s="117">
        <f t="shared" si="2"/>
        <v>10</v>
      </c>
      <c r="J497" s="117">
        <f t="shared" si="3"/>
        <v>10.059999999999999</v>
      </c>
      <c r="K497" s="117" t="str">
        <f t="shared" si="4"/>
        <v>BR</v>
      </c>
      <c r="L497" s="42" t="str">
        <v>BR1006</v>
      </c>
      <c r="M497" s="121" t="str">
        <v/>
      </c>
      <c r="N497" s="121" t="str">
        <v/>
      </c>
      <c r="O497" s="121" t="str">
        <v/>
      </c>
      <c r="P497" s="121" t="str">
        <v/>
      </c>
      <c r="Q497" s="121" t="str">
        <v/>
      </c>
      <c r="R497" s="121" t="str">
        <v/>
      </c>
      <c r="S497" s="121" t="str">
        <v>Icons to add the product to: Shopping Cart, Favourites, Wish-list</v>
      </c>
      <c r="T497" s="119" t="str">
        <f>IF($C497&lt;4,IF($C497=3,T498,IF($C497=2,T$1,"")),Q497&amp;R497&amp;IF(LEN(S497)=0,"",Preferences!$C$2&amp;S497)&amp;IF(J498=J497,IF(LEN(R497&amp;S497)=0,"","
")&amp;T498,""))</f>
        <v xml:space="preserve">	• Icons to add the product to: Shopping Cart, Favourites, Wish-list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7" s="122" t="str">
        <v/>
      </c>
      <c r="V497" s="42"/>
      <c r="W497" s="42"/>
      <c r="X497" s="42"/>
      <c r="Y497" s="42"/>
      <c r="Z497" s="42"/>
      <c r="AA497" s="42"/>
      <c r="AB497" s="42"/>
    </row>
    <row r="498" spans="1:28" x14ac:dyDescent="0.25">
      <c r="A498" s="42" t="str">
        <v>1.10.6.4</v>
      </c>
      <c r="B498" s="121" t="str">
        <v>The full page view of an advertisement contains at least the following:</v>
      </c>
      <c r="C498" s="41">
        <v>4</v>
      </c>
      <c r="D498" s="41" t="str">
        <v>RD</v>
      </c>
      <c r="E498" s="117" t="str">
        <f t="shared" si="0"/>
        <v>RD</v>
      </c>
      <c r="F498" s="41" t="str">
        <v/>
      </c>
      <c r="G498" s="41" t="str">
        <v/>
      </c>
      <c r="H498" s="117">
        <f t="shared" si="1"/>
        <v>0</v>
      </c>
      <c r="I498" s="117">
        <f t="shared" si="2"/>
        <v>10</v>
      </c>
      <c r="J498" s="117">
        <f t="shared" si="3"/>
        <v>10.059999999999999</v>
      </c>
      <c r="K498" s="117" t="str">
        <f t="shared" si="4"/>
        <v>BR</v>
      </c>
      <c r="L498" s="42" t="str">
        <v>BR1006</v>
      </c>
      <c r="M498" s="121" t="str">
        <v/>
      </c>
      <c r="N498" s="121" t="str">
        <v/>
      </c>
      <c r="O498" s="121" t="str">
        <v/>
      </c>
      <c r="P498" s="121" t="str">
        <v/>
      </c>
      <c r="Q498" s="121" t="str">
        <v xml:space="preserve"> 4. </v>
      </c>
      <c r="R498" s="121" t="str">
        <v>The full page view of an advertisement contains at least the following:</v>
      </c>
      <c r="S498" s="121" t="str">
        <v/>
      </c>
      <c r="T498" s="119" t="str">
        <f>IF($C498&lt;4,IF($C498=3,T499,IF($C498=2,T$1,"")),Q498&amp;R498&amp;IF(LEN(S498)=0,"",Preferences!$C$2&amp;S498)&amp;IF(J499=J498,IF(LEN(R498&amp;S498)=0,"","
")&amp;T499,""))</f>
        <v xml:space="preserve"> 4. The full page view of an advertisement contains at least the following: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8" s="122" t="str">
        <v/>
      </c>
      <c r="V498" s="42"/>
      <c r="W498" s="42"/>
      <c r="X498" s="42"/>
      <c r="Y498" s="42"/>
      <c r="Z498" s="42"/>
      <c r="AA498" s="42"/>
      <c r="AB498" s="42"/>
    </row>
    <row r="499" spans="1:28" x14ac:dyDescent="0.25">
      <c r="A499" s="42" t="str">
        <v>1.10.6.4.1</v>
      </c>
      <c r="B499" s="121" t="str">
        <v>Title</v>
      </c>
      <c r="C499" s="41">
        <v>5</v>
      </c>
      <c r="D499" s="41" t="str">
        <v>RL</v>
      </c>
      <c r="E499" s="117" t="str">
        <f t="shared" si="0"/>
        <v>RL</v>
      </c>
      <c r="F499" s="41" t="str">
        <v/>
      </c>
      <c r="G499" s="41" t="str">
        <v/>
      </c>
      <c r="H499" s="117">
        <f t="shared" si="1"/>
        <v>0</v>
      </c>
      <c r="I499" s="117">
        <f t="shared" si="2"/>
        <v>10</v>
      </c>
      <c r="J499" s="117">
        <f t="shared" si="3"/>
        <v>10.059999999999999</v>
      </c>
      <c r="K499" s="117" t="str">
        <f t="shared" si="4"/>
        <v>BR</v>
      </c>
      <c r="L499" s="42" t="str">
        <v>BR1006</v>
      </c>
      <c r="M499" s="121" t="str">
        <v/>
      </c>
      <c r="N499" s="121" t="str">
        <v/>
      </c>
      <c r="O499" s="121" t="str">
        <v/>
      </c>
      <c r="P499" s="121" t="str">
        <v/>
      </c>
      <c r="Q499" s="121" t="str">
        <v/>
      </c>
      <c r="R499" s="121" t="str">
        <v/>
      </c>
      <c r="S499" s="121" t="str">
        <v>Title</v>
      </c>
      <c r="T499" s="119" t="str">
        <f>IF($C499&lt;4,IF($C499=3,T500,IF($C499=2,T$1,"")),Q499&amp;R499&amp;IF(LEN(S499)=0,"",Preferences!$C$2&amp;S499)&amp;IF(J500=J499,IF(LEN(R499&amp;S499)=0,"","
")&amp;T500,""))</f>
        <v xml:space="preserve">	• Title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499" s="122" t="str">
        <v/>
      </c>
      <c r="V499" s="42"/>
      <c r="W499" s="42"/>
      <c r="X499" s="42"/>
      <c r="Y499" s="42"/>
      <c r="Z499" s="42"/>
      <c r="AA499" s="42"/>
      <c r="AB499" s="42"/>
    </row>
    <row r="500" spans="1:28" x14ac:dyDescent="0.25">
      <c r="A500" s="42" t="str">
        <v>1.10.6.4.2</v>
      </c>
      <c r="B500" s="121" t="str">
        <v>Medium Image (of default, with option to view all images in full)</v>
      </c>
      <c r="C500" s="41">
        <v>5</v>
      </c>
      <c r="D500" s="41" t="str">
        <v>RL</v>
      </c>
      <c r="E500" s="117" t="str">
        <f t="shared" si="0"/>
        <v>RL</v>
      </c>
      <c r="F500" s="41" t="str">
        <v/>
      </c>
      <c r="G500" s="41" t="str">
        <v/>
      </c>
      <c r="H500" s="117">
        <f t="shared" si="1"/>
        <v>0</v>
      </c>
      <c r="I500" s="117">
        <f t="shared" si="2"/>
        <v>10</v>
      </c>
      <c r="J500" s="117">
        <f t="shared" si="3"/>
        <v>10.059999999999999</v>
      </c>
      <c r="K500" s="117" t="str">
        <f t="shared" si="4"/>
        <v>BR</v>
      </c>
      <c r="L500" s="42" t="str">
        <v>BR1006</v>
      </c>
      <c r="M500" s="121" t="str">
        <v/>
      </c>
      <c r="N500" s="121" t="str">
        <v/>
      </c>
      <c r="O500" s="121" t="str">
        <v/>
      </c>
      <c r="P500" s="121" t="str">
        <v/>
      </c>
      <c r="Q500" s="121" t="str">
        <v/>
      </c>
      <c r="R500" s="121" t="str">
        <v/>
      </c>
      <c r="S500" s="121" t="str">
        <v>Medium Image (of default, with option to view all images in full)</v>
      </c>
      <c r="T500" s="119" t="str">
        <f>IF($C500&lt;4,IF($C500=3,T501,IF($C500=2,T$1,"")),Q500&amp;R500&amp;IF(LEN(S500)=0,"",Preferences!$C$2&amp;S500)&amp;IF(J501=J500,IF(LEN(R500&amp;S500)=0,"","
")&amp;T501,""))</f>
        <v xml:space="preserve">	• Medium Image (of default, with option to view all images in full)
	• Price (incl.)
	• Description (full text with images)
	• Icons, to add the product to the: Shopping Cart, Favourites, Wish-list
 5. Also see the Enrich advertisement meta-data for online use requirements of the Enrich Content section.</v>
      </c>
      <c r="U500" s="122" t="str">
        <v/>
      </c>
      <c r="V500" s="42"/>
      <c r="W500" s="42"/>
      <c r="X500" s="42"/>
      <c r="Y500" s="42"/>
      <c r="Z500" s="42"/>
      <c r="AA500" s="42"/>
      <c r="AB500" s="42"/>
    </row>
    <row r="501" spans="1:28" x14ac:dyDescent="0.25">
      <c r="A501" s="42" t="str">
        <v>1.10.6.4.3</v>
      </c>
      <c r="B501" s="121" t="str">
        <v>Price (incl.)</v>
      </c>
      <c r="C501" s="41">
        <v>5</v>
      </c>
      <c r="D501" s="41" t="str">
        <v>RL</v>
      </c>
      <c r="E501" s="117" t="str">
        <f t="shared" si="0"/>
        <v>RL</v>
      </c>
      <c r="F501" s="41" t="str">
        <v/>
      </c>
      <c r="G501" s="41" t="str">
        <v/>
      </c>
      <c r="H501" s="117">
        <f t="shared" si="1"/>
        <v>0</v>
      </c>
      <c r="I501" s="117">
        <f t="shared" si="2"/>
        <v>10</v>
      </c>
      <c r="J501" s="117">
        <f t="shared" si="3"/>
        <v>10.059999999999999</v>
      </c>
      <c r="K501" s="117" t="str">
        <f t="shared" si="4"/>
        <v>BR</v>
      </c>
      <c r="L501" s="42" t="str">
        <v>BR1006</v>
      </c>
      <c r="M501" s="121" t="str">
        <v/>
      </c>
      <c r="N501" s="121" t="str">
        <v/>
      </c>
      <c r="O501" s="121" t="str">
        <v/>
      </c>
      <c r="P501" s="121" t="str">
        <v/>
      </c>
      <c r="Q501" s="121" t="str">
        <v/>
      </c>
      <c r="R501" s="121" t="str">
        <v/>
      </c>
      <c r="S501" s="121" t="str">
        <v>Price (incl.)</v>
      </c>
      <c r="T501" s="119" t="str">
        <f>IF($C501&lt;4,IF($C501=3,T502,IF($C501=2,T$1,"")),Q501&amp;R501&amp;IF(LEN(S501)=0,"",Preferences!$C$2&amp;S501)&amp;IF(J502=J501,IF(LEN(R501&amp;S501)=0,"","
")&amp;T502,""))</f>
        <v xml:space="preserve">	• Price (incl.)
	• Description (full text with images)
	• Icons, to add the product to the: Shopping Cart, Favourites, Wish-list
 5. Also see the Enrich advertisement meta-data for online use requirements of the Enrich Content section.</v>
      </c>
      <c r="U501" s="122" t="str">
        <v/>
      </c>
      <c r="V501" s="42"/>
      <c r="W501" s="42"/>
      <c r="X501" s="42"/>
      <c r="Y501" s="42"/>
      <c r="Z501" s="42"/>
      <c r="AA501" s="42"/>
      <c r="AB501" s="42"/>
    </row>
    <row r="502" spans="1:28" x14ac:dyDescent="0.25">
      <c r="A502" s="42" t="str">
        <v>1.10.6.4.4</v>
      </c>
      <c r="B502" s="121" t="str">
        <v>Description (full text with images)</v>
      </c>
      <c r="C502" s="41">
        <v>5</v>
      </c>
      <c r="D502" s="41" t="str">
        <v>RL</v>
      </c>
      <c r="E502" s="117" t="str">
        <f t="shared" si="0"/>
        <v>RL</v>
      </c>
      <c r="F502" s="41" t="str">
        <v/>
      </c>
      <c r="G502" s="41" t="str">
        <v/>
      </c>
      <c r="H502" s="117">
        <f t="shared" si="1"/>
        <v>0</v>
      </c>
      <c r="I502" s="117">
        <f t="shared" si="2"/>
        <v>10</v>
      </c>
      <c r="J502" s="117">
        <f t="shared" si="3"/>
        <v>10.059999999999999</v>
      </c>
      <c r="K502" s="117" t="str">
        <f t="shared" si="4"/>
        <v>BR</v>
      </c>
      <c r="L502" s="42" t="str">
        <v>BR1006</v>
      </c>
      <c r="M502" s="121" t="str">
        <v/>
      </c>
      <c r="N502" s="121" t="str">
        <v/>
      </c>
      <c r="O502" s="121" t="str">
        <v/>
      </c>
      <c r="P502" s="121" t="str">
        <v/>
      </c>
      <c r="Q502" s="121" t="str">
        <v/>
      </c>
      <c r="R502" s="121" t="str">
        <v/>
      </c>
      <c r="S502" s="121" t="str">
        <v>Description (full text with images)</v>
      </c>
      <c r="T502" s="119" t="str">
        <f>IF($C502&lt;4,IF($C502=3,T503,IF($C502=2,T$1,"")),Q502&amp;R502&amp;IF(LEN(S502)=0,"",Preferences!$C$2&amp;S502)&amp;IF(J503=J502,IF(LEN(R502&amp;S502)=0,"","
")&amp;T503,""))</f>
        <v xml:space="preserve">	• Description (full text with images)
	• Icons, to add the product to the: Shopping Cart, Favourites, Wish-list
 5. Also see the Enrich advertisement meta-data for online use requirements of the Enrich Content section.</v>
      </c>
      <c r="U502" s="122" t="str">
        <v/>
      </c>
      <c r="V502" s="42"/>
      <c r="W502" s="42"/>
      <c r="X502" s="42"/>
      <c r="Y502" s="42"/>
      <c r="Z502" s="42"/>
      <c r="AA502" s="42"/>
      <c r="AB502" s="42"/>
    </row>
    <row r="503" spans="1:28" x14ac:dyDescent="0.25">
      <c r="A503" s="42" t="str">
        <v>1.10.6.4.5</v>
      </c>
      <c r="B503" s="121" t="str">
        <v>Icons, to add the product to the: Shopping Cart, Favourites, Wish-list</v>
      </c>
      <c r="C503" s="41">
        <v>5</v>
      </c>
      <c r="D503" s="41" t="str">
        <v>RL</v>
      </c>
      <c r="E503" s="117" t="str">
        <f t="shared" si="0"/>
        <v>RL</v>
      </c>
      <c r="F503" s="41" t="str">
        <v/>
      </c>
      <c r="G503" s="41" t="str">
        <v/>
      </c>
      <c r="H503" s="117">
        <f t="shared" si="1"/>
        <v>0</v>
      </c>
      <c r="I503" s="117">
        <f t="shared" si="2"/>
        <v>10</v>
      </c>
      <c r="J503" s="117">
        <f t="shared" si="3"/>
        <v>10.059999999999999</v>
      </c>
      <c r="K503" s="117" t="str">
        <f t="shared" si="4"/>
        <v>BR</v>
      </c>
      <c r="L503" s="42" t="str">
        <v>BR1006</v>
      </c>
      <c r="M503" s="121" t="str">
        <v/>
      </c>
      <c r="N503" s="121" t="str">
        <v/>
      </c>
      <c r="O503" s="121" t="str">
        <v/>
      </c>
      <c r="P503" s="121" t="str">
        <v/>
      </c>
      <c r="Q503" s="121" t="str">
        <v/>
      </c>
      <c r="R503" s="121" t="str">
        <v/>
      </c>
      <c r="S503" s="121" t="str">
        <v>Icons, to add the product to the: Shopping Cart, Favourites, Wish-list</v>
      </c>
      <c r="T503" s="119" t="str">
        <f>IF($C503&lt;4,IF($C503=3,T504,IF($C503=2,T$1,"")),Q503&amp;R503&amp;IF(LEN(S503)=0,"",Preferences!$C$2&amp;S503)&amp;IF(J504=J503,IF(LEN(R503&amp;S503)=0,"","
")&amp;T504,""))</f>
        <v xml:space="preserve">	• Icons, to add the product to the: Shopping Cart, Favourites, Wish-list
 5. Also see the Enrich advertisement meta-data for online use requirements of the Enrich Content section.</v>
      </c>
      <c r="U503" s="122" t="str">
        <v/>
      </c>
      <c r="V503" s="42"/>
      <c r="W503" s="42"/>
      <c r="X503" s="42"/>
      <c r="Y503" s="42"/>
      <c r="Z503" s="42"/>
      <c r="AA503" s="42"/>
      <c r="AB503" s="42"/>
    </row>
    <row r="504" spans="1:28" x14ac:dyDescent="0.25">
      <c r="A504" s="42" t="str">
        <v>1.10.6.5</v>
      </c>
      <c r="B504" s="121" t="str">
        <v>Also see the Enrich advertisement meta-data for online use requirements of the Enrich Content section.</v>
      </c>
      <c r="C504" s="41">
        <v>4</v>
      </c>
      <c r="D504" s="41" t="str">
        <v>RD</v>
      </c>
      <c r="E504" s="117" t="str">
        <f t="shared" si="0"/>
        <v>RD</v>
      </c>
      <c r="F504" s="41" t="str">
        <v/>
      </c>
      <c r="G504" s="41" t="str">
        <v/>
      </c>
      <c r="H504" s="117">
        <f t="shared" si="1"/>
        <v>0</v>
      </c>
      <c r="I504" s="117">
        <f t="shared" si="2"/>
        <v>10</v>
      </c>
      <c r="J504" s="117">
        <f t="shared" si="3"/>
        <v>10.059999999999999</v>
      </c>
      <c r="K504" s="117" t="str">
        <f t="shared" si="4"/>
        <v>BR</v>
      </c>
      <c r="L504" s="42" t="str">
        <v>BR1006</v>
      </c>
      <c r="M504" s="121" t="str">
        <v/>
      </c>
      <c r="N504" s="121" t="str">
        <v/>
      </c>
      <c r="O504" s="121" t="str">
        <v/>
      </c>
      <c r="P504" s="121" t="str">
        <v/>
      </c>
      <c r="Q504" s="121" t="str">
        <v xml:space="preserve"> 5. </v>
      </c>
      <c r="R504" s="121" t="str">
        <v>Also see the Enrich advertisement meta-data for online use requirements of the Enrich Content section.</v>
      </c>
      <c r="S504" s="121" t="str">
        <v/>
      </c>
      <c r="T504" s="119" t="str">
        <f>IF($C504&lt;4,IF($C504=3,T505,IF($C504=2,T$1,"")),Q504&amp;R504&amp;IF(LEN(S504)=0,"",Preferences!$C$2&amp;S504)&amp;IF(J505=J504,IF(LEN(R504&amp;S504)=0,"","
")&amp;T505,""))</f>
        <v xml:space="preserve"> 5. Also see the Enrich advertisement meta-data for online use requirements of the Enrich Content section.</v>
      </c>
      <c r="U504" s="122" t="str">
        <v/>
      </c>
      <c r="V504" s="42"/>
      <c r="W504" s="42"/>
      <c r="X504" s="42"/>
      <c r="Y504" s="42"/>
      <c r="Z504" s="42"/>
      <c r="AA504" s="42"/>
      <c r="AB504" s="42"/>
    </row>
    <row r="505" spans="1:28" x14ac:dyDescent="0.25">
      <c r="A505" s="42" t="str">
        <v>1.10.7</v>
      </c>
      <c r="B505" s="121" t="str">
        <v>10.7 Present article in the online shop</v>
      </c>
      <c r="C505" s="41">
        <v>3</v>
      </c>
      <c r="D505" s="41" t="str">
        <v>R</v>
      </c>
      <c r="E505" s="117" t="str">
        <f t="shared" si="0"/>
        <v>R</v>
      </c>
      <c r="F505" s="41" t="str">
        <v/>
      </c>
      <c r="G505" s="41" t="str">
        <v/>
      </c>
      <c r="H505" s="117">
        <f t="shared" si="1"/>
        <v>0</v>
      </c>
      <c r="I505" s="117">
        <f t="shared" si="2"/>
        <v>10</v>
      </c>
      <c r="J505" s="117">
        <f t="shared" si="3"/>
        <v>10.069999999999999</v>
      </c>
      <c r="K505" s="117" t="str">
        <f t="shared" si="4"/>
        <v>BR</v>
      </c>
      <c r="L505" s="42" t="str">
        <v>BR1007</v>
      </c>
      <c r="M505" s="121" t="str">
        <v/>
      </c>
      <c r="N505" s="121" t="str">
        <v/>
      </c>
      <c r="O505" s="121" t="str">
        <v>BR1007</v>
      </c>
      <c r="P505" s="121" t="str">
        <v>Present article in the online shop</v>
      </c>
      <c r="Q505" s="121" t="str">
        <v/>
      </c>
      <c r="R505" s="121" t="str">
        <v/>
      </c>
      <c r="S505" s="121" t="str">
        <v/>
      </c>
      <c r="T505" s="119" t="str">
        <f>IF($C505&lt;4,IF($C505=3,T506,IF($C505=2,T$1,"")),Q505&amp;R505&amp;IF(LEN(S505)=0,"",Preferences!$C$2&amp;S505)&amp;IF(J506=J505,IF(LEN(R505&amp;S505)=0,"","
")&amp;T506,""))</f>
        <v xml:space="preserve"> 1. The search results teaser view of an article contains at least the following:
	• Title (link to article)
	• Thumbnail image (of default; link to article)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05" s="122" t="str">
        <v/>
      </c>
      <c r="V505" s="42"/>
      <c r="W505" s="42"/>
      <c r="X505" s="42"/>
      <c r="Y505" s="42"/>
      <c r="Z505" s="42"/>
      <c r="AA505" s="42"/>
      <c r="AB505" s="42"/>
    </row>
    <row r="506" spans="1:28" x14ac:dyDescent="0.25">
      <c r="A506" s="42" t="str">
        <v>1.10.7.1</v>
      </c>
      <c r="B506" s="121" t="str">
        <v>The search results teaser view of an article contains at least the following:</v>
      </c>
      <c r="C506" s="41">
        <v>4</v>
      </c>
      <c r="D506" s="41" t="str">
        <v>RD</v>
      </c>
      <c r="E506" s="117" t="str">
        <f t="shared" si="0"/>
        <v>RD</v>
      </c>
      <c r="F506" s="41" t="str">
        <v/>
      </c>
      <c r="G506" s="41" t="str">
        <v/>
      </c>
      <c r="H506" s="117">
        <f t="shared" si="1"/>
        <v>0</v>
      </c>
      <c r="I506" s="117">
        <f t="shared" si="2"/>
        <v>10</v>
      </c>
      <c r="J506" s="117">
        <f t="shared" si="3"/>
        <v>10.069999999999999</v>
      </c>
      <c r="K506" s="117" t="str">
        <f t="shared" si="4"/>
        <v>BR</v>
      </c>
      <c r="L506" s="42" t="str">
        <v>BR1007</v>
      </c>
      <c r="M506" s="121" t="str">
        <v/>
      </c>
      <c r="N506" s="121" t="str">
        <v/>
      </c>
      <c r="O506" s="121" t="str">
        <v/>
      </c>
      <c r="P506" s="121" t="str">
        <v/>
      </c>
      <c r="Q506" s="121" t="str">
        <v xml:space="preserve"> 1. </v>
      </c>
      <c r="R506" s="121" t="str">
        <v>The search results teaser view of an article contains at least the following:</v>
      </c>
      <c r="S506" s="121" t="str">
        <v/>
      </c>
      <c r="T506" s="119" t="str">
        <f>IF($C506&lt;4,IF($C506=3,T507,IF($C506=2,T$1,"")),Q506&amp;R506&amp;IF(LEN(S506)=0,"",Preferences!$C$2&amp;S506)&amp;IF(J507=J506,IF(LEN(R506&amp;S506)=0,"","
")&amp;T507,""))</f>
        <v xml:space="preserve"> 1. The search results teaser view of an article contains at least the following:
	• Title (link to article)
	• Thumbnail image (of default; link to article)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06" s="122" t="str">
        <v/>
      </c>
      <c r="V506" s="42"/>
      <c r="W506" s="42"/>
      <c r="X506" s="42"/>
      <c r="Y506" s="42"/>
      <c r="Z506" s="42"/>
      <c r="AA506" s="42"/>
      <c r="AB506" s="42"/>
    </row>
    <row r="507" spans="1:28" x14ac:dyDescent="0.25">
      <c r="A507" s="42" t="str">
        <v>1.10.7.1.1</v>
      </c>
      <c r="B507" s="121" t="str">
        <v>Title (link to article)</v>
      </c>
      <c r="C507" s="41">
        <v>5</v>
      </c>
      <c r="D507" s="41" t="str">
        <v>RL</v>
      </c>
      <c r="E507" s="117" t="str">
        <f t="shared" si="0"/>
        <v>RL</v>
      </c>
      <c r="F507" s="41" t="str">
        <v/>
      </c>
      <c r="G507" s="41" t="str">
        <v/>
      </c>
      <c r="H507" s="117">
        <f t="shared" si="1"/>
        <v>0</v>
      </c>
      <c r="I507" s="117">
        <f t="shared" si="2"/>
        <v>10</v>
      </c>
      <c r="J507" s="117">
        <f t="shared" si="3"/>
        <v>10.069999999999999</v>
      </c>
      <c r="K507" s="117" t="str">
        <f t="shared" si="4"/>
        <v>BR</v>
      </c>
      <c r="L507" s="42" t="str">
        <v>BR1007</v>
      </c>
      <c r="M507" s="121" t="str">
        <v/>
      </c>
      <c r="N507" s="121" t="str">
        <v/>
      </c>
      <c r="O507" s="121" t="str">
        <v/>
      </c>
      <c r="P507" s="121" t="str">
        <v/>
      </c>
      <c r="Q507" s="121" t="str">
        <v/>
      </c>
      <c r="R507" s="121" t="str">
        <v/>
      </c>
      <c r="S507" s="121" t="str">
        <v>Title (link to article)</v>
      </c>
      <c r="T507" s="119" t="str">
        <f>IF($C507&lt;4,IF($C507=3,T508,IF($C507=2,T$1,"")),Q507&amp;R507&amp;IF(LEN(S507)=0,"",Preferences!$C$2&amp;S507)&amp;IF(J508=J507,IF(LEN(R507&amp;S507)=0,"","
")&amp;T508,""))</f>
        <v xml:space="preserve">	• Title (link to article)
	• Thumbnail image (of default; link to article)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07" s="122" t="str">
        <v/>
      </c>
      <c r="V507" s="42"/>
      <c r="W507" s="42"/>
      <c r="X507" s="42"/>
      <c r="Y507" s="42"/>
      <c r="Z507" s="42"/>
      <c r="AA507" s="42"/>
      <c r="AB507" s="42"/>
    </row>
    <row r="508" spans="1:28" x14ac:dyDescent="0.25">
      <c r="A508" s="42" t="str">
        <v>1.10.7.1.2</v>
      </c>
      <c r="B508" s="121" t="str">
        <v>Thumbnail image (of default; link to article)</v>
      </c>
      <c r="C508" s="41">
        <v>5</v>
      </c>
      <c r="D508" s="41" t="str">
        <v>RL</v>
      </c>
      <c r="E508" s="117" t="str">
        <f t="shared" si="0"/>
        <v>RL</v>
      </c>
      <c r="F508" s="41" t="str">
        <v/>
      </c>
      <c r="G508" s="41" t="str">
        <v/>
      </c>
      <c r="H508" s="117">
        <f t="shared" si="1"/>
        <v>0</v>
      </c>
      <c r="I508" s="117">
        <f t="shared" si="2"/>
        <v>10</v>
      </c>
      <c r="J508" s="117">
        <f t="shared" si="3"/>
        <v>10.069999999999999</v>
      </c>
      <c r="K508" s="117" t="str">
        <f t="shared" si="4"/>
        <v>BR</v>
      </c>
      <c r="L508" s="42" t="str">
        <v>BR1007</v>
      </c>
      <c r="M508" s="121" t="str">
        <v/>
      </c>
      <c r="N508" s="121" t="str">
        <v/>
      </c>
      <c r="O508" s="121" t="str">
        <v/>
      </c>
      <c r="P508" s="121" t="str">
        <v/>
      </c>
      <c r="Q508" s="121" t="str">
        <v/>
      </c>
      <c r="R508" s="121" t="str">
        <v/>
      </c>
      <c r="S508" s="121" t="str">
        <v>Thumbnail image (of default; link to article)</v>
      </c>
      <c r="T508" s="119" t="str">
        <f>IF($C508&lt;4,IF($C508=3,T509,IF($C508=2,T$1,"")),Q508&amp;R508&amp;IF(LEN(S508)=0,"",Preferences!$C$2&amp;S508)&amp;IF(J509=J508,IF(LEN(R508&amp;S508)=0,"","
")&amp;T509,""))</f>
        <v xml:space="preserve">	• Thumbnail image (of default; link to article)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08" s="122" t="str">
        <v/>
      </c>
      <c r="V508" s="42"/>
      <c r="W508" s="42"/>
      <c r="X508" s="42"/>
      <c r="Y508" s="42"/>
      <c r="Z508" s="42"/>
      <c r="AA508" s="42"/>
      <c r="AB508" s="42"/>
    </row>
    <row r="509" spans="1:28" x14ac:dyDescent="0.25">
      <c r="A509" s="42" t="str">
        <v>1.10.7.1.3</v>
      </c>
      <c r="B509" s="121" t="str">
        <v>Teaser</v>
      </c>
      <c r="C509" s="41">
        <v>5</v>
      </c>
      <c r="D509" s="41" t="str">
        <v>RL</v>
      </c>
      <c r="E509" s="117" t="str">
        <f t="shared" si="0"/>
        <v>RL</v>
      </c>
      <c r="F509" s="41" t="str">
        <v/>
      </c>
      <c r="G509" s="41" t="str">
        <v/>
      </c>
      <c r="H509" s="117">
        <f t="shared" si="1"/>
        <v>0</v>
      </c>
      <c r="I509" s="117">
        <f t="shared" si="2"/>
        <v>10</v>
      </c>
      <c r="J509" s="117">
        <f t="shared" si="3"/>
        <v>10.069999999999999</v>
      </c>
      <c r="K509" s="117" t="str">
        <f t="shared" si="4"/>
        <v>BR</v>
      </c>
      <c r="L509" s="42" t="str">
        <v>BR1007</v>
      </c>
      <c r="M509" s="121" t="str">
        <v/>
      </c>
      <c r="N509" s="121" t="str">
        <v/>
      </c>
      <c r="O509" s="121" t="str">
        <v/>
      </c>
      <c r="P509" s="121" t="str">
        <v/>
      </c>
      <c r="Q509" s="121" t="str">
        <v/>
      </c>
      <c r="R509" s="121" t="str">
        <v/>
      </c>
      <c r="S509" s="121" t="str">
        <v>Teaser</v>
      </c>
      <c r="T509" s="119" t="str">
        <f>IF($C509&lt;4,IF($C509=3,T510,IF($C509=2,T$1,"")),Q509&amp;R509&amp;IF(LEN(S509)=0,"",Preferences!$C$2&amp;S509)&amp;IF(J510=J509,IF(LEN(R509&amp;S509)=0,"","
")&amp;T510,""))</f>
        <v xml:space="preserve">	• Teaser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09" s="122" t="str">
        <v/>
      </c>
      <c r="V509" s="42"/>
      <c r="W509" s="42"/>
      <c r="X509" s="42"/>
      <c r="Y509" s="42"/>
      <c r="Z509" s="42"/>
      <c r="AA509" s="42"/>
      <c r="AB509" s="42"/>
    </row>
    <row r="510" spans="1:28" x14ac:dyDescent="0.25">
      <c r="A510" s="42" t="str">
        <v>1.10.7.1.4</v>
      </c>
      <c r="B510" s="121" t="str">
        <v>Icon to add the product to Article Library</v>
      </c>
      <c r="C510" s="41">
        <v>5</v>
      </c>
      <c r="D510" s="41" t="str">
        <v>RL</v>
      </c>
      <c r="E510" s="117" t="str">
        <f t="shared" si="0"/>
        <v>RL</v>
      </c>
      <c r="F510" s="41" t="str">
        <v/>
      </c>
      <c r="G510" s="41" t="str">
        <v/>
      </c>
      <c r="H510" s="117">
        <f t="shared" si="1"/>
        <v>0</v>
      </c>
      <c r="I510" s="117">
        <f t="shared" si="2"/>
        <v>10</v>
      </c>
      <c r="J510" s="117">
        <f t="shared" si="3"/>
        <v>10.069999999999999</v>
      </c>
      <c r="K510" s="117" t="str">
        <f t="shared" si="4"/>
        <v>BR</v>
      </c>
      <c r="L510" s="42" t="str">
        <v>BR1007</v>
      </c>
      <c r="M510" s="121" t="str">
        <v/>
      </c>
      <c r="N510" s="121" t="str">
        <v/>
      </c>
      <c r="O510" s="121" t="str">
        <v/>
      </c>
      <c r="P510" s="121" t="str">
        <v/>
      </c>
      <c r="Q510" s="121" t="str">
        <v/>
      </c>
      <c r="R510" s="121" t="str">
        <v/>
      </c>
      <c r="S510" s="121" t="str">
        <v>Icon to add the product to Article Library</v>
      </c>
      <c r="T510" s="119" t="str">
        <f>IF($C510&lt;4,IF($C510=3,T511,IF($C510=2,T$1,"")),Q510&amp;R510&amp;IF(LEN(S510)=0,"",Preferences!$C$2&amp;S510)&amp;IF(J511=J510,IF(LEN(R510&amp;S510)=0,"","
")&amp;T511,""))</f>
        <v xml:space="preserve">	• Icon to add the product to Article Library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0" s="122" t="str">
        <v/>
      </c>
      <c r="V510" s="42"/>
      <c r="W510" s="42"/>
      <c r="X510" s="42"/>
      <c r="Y510" s="42"/>
      <c r="Z510" s="42"/>
      <c r="AA510" s="42"/>
      <c r="AB510" s="42"/>
    </row>
    <row r="511" spans="1:28" x14ac:dyDescent="0.25">
      <c r="A511" s="42" t="str">
        <v>1.10.7.2</v>
      </c>
      <c r="B511" s="121" t="str">
        <v>The teaser view of an article contains at least the following:</v>
      </c>
      <c r="C511" s="41">
        <v>4</v>
      </c>
      <c r="D511" s="41" t="str">
        <v>RD</v>
      </c>
      <c r="E511" s="117" t="str">
        <f t="shared" si="0"/>
        <v>RD</v>
      </c>
      <c r="F511" s="41" t="str">
        <v/>
      </c>
      <c r="G511" s="41" t="str">
        <v/>
      </c>
      <c r="H511" s="117">
        <f t="shared" si="1"/>
        <v>0</v>
      </c>
      <c r="I511" s="117">
        <f t="shared" si="2"/>
        <v>10</v>
      </c>
      <c r="J511" s="117">
        <f t="shared" si="3"/>
        <v>10.069999999999999</v>
      </c>
      <c r="K511" s="117" t="str">
        <f t="shared" si="4"/>
        <v>BR</v>
      </c>
      <c r="L511" s="42" t="str">
        <v>BR1007</v>
      </c>
      <c r="M511" s="121" t="str">
        <v/>
      </c>
      <c r="N511" s="121" t="str">
        <v/>
      </c>
      <c r="O511" s="121" t="str">
        <v/>
      </c>
      <c r="P511" s="121" t="str">
        <v/>
      </c>
      <c r="Q511" s="121" t="str">
        <v xml:space="preserve"> 2. </v>
      </c>
      <c r="R511" s="121" t="str">
        <v>The teaser view of an article contains at least the following:</v>
      </c>
      <c r="S511" s="121" t="str">
        <v/>
      </c>
      <c r="T511" s="119" t="str">
        <f>IF($C511&lt;4,IF($C511=3,T512,IF($C511=2,T$1,"")),Q511&amp;R511&amp;IF(LEN(S511)=0,"",Preferences!$C$2&amp;S511)&amp;IF(J512=J511,IF(LEN(R511&amp;S511)=0,"","
")&amp;T512,""))</f>
        <v xml:space="preserve"> 2. The teaser view of an article contains at least the following: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1" s="122" t="str">
        <v/>
      </c>
      <c r="V511" s="42"/>
      <c r="W511" s="42"/>
      <c r="X511" s="42"/>
      <c r="Y511" s="42"/>
      <c r="Z511" s="42"/>
      <c r="AA511" s="42"/>
      <c r="AB511" s="42"/>
    </row>
    <row r="512" spans="1:28" x14ac:dyDescent="0.25">
      <c r="A512" s="42" t="str">
        <v>1.10.7.2.1</v>
      </c>
      <c r="B512" s="121" t="str">
        <v>Title (link to article)</v>
      </c>
      <c r="C512" s="41">
        <v>5</v>
      </c>
      <c r="D512" s="41" t="str">
        <v>RL</v>
      </c>
      <c r="E512" s="117" t="str">
        <f t="shared" si="0"/>
        <v>RL</v>
      </c>
      <c r="F512" s="41" t="str">
        <v/>
      </c>
      <c r="G512" s="41" t="str">
        <v/>
      </c>
      <c r="H512" s="117">
        <f t="shared" si="1"/>
        <v>0</v>
      </c>
      <c r="I512" s="117">
        <f t="shared" si="2"/>
        <v>10</v>
      </c>
      <c r="J512" s="117">
        <f t="shared" si="3"/>
        <v>10.069999999999999</v>
      </c>
      <c r="K512" s="117" t="str">
        <f t="shared" si="4"/>
        <v>BR</v>
      </c>
      <c r="L512" s="42" t="str">
        <v>BR1007</v>
      </c>
      <c r="M512" s="121" t="str">
        <v/>
      </c>
      <c r="N512" s="121" t="str">
        <v/>
      </c>
      <c r="O512" s="121" t="str">
        <v/>
      </c>
      <c r="P512" s="121" t="str">
        <v/>
      </c>
      <c r="Q512" s="121" t="str">
        <v/>
      </c>
      <c r="R512" s="121" t="str">
        <v/>
      </c>
      <c r="S512" s="121" t="str">
        <v>Title (link to article)</v>
      </c>
      <c r="T512" s="119" t="str">
        <f>IF($C512&lt;4,IF($C512=3,T513,IF($C512=2,T$1,"")),Q512&amp;R512&amp;IF(LEN(S512)=0,"",Preferences!$C$2&amp;S512)&amp;IF(J513=J512,IF(LEN(R512&amp;S512)=0,"","
")&amp;T513,""))</f>
        <v xml:space="preserve">	• Title (link to article)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2" s="122" t="str">
        <v/>
      </c>
      <c r="V512" s="42"/>
      <c r="W512" s="42"/>
      <c r="X512" s="42"/>
      <c r="Y512" s="42"/>
      <c r="Z512" s="42"/>
      <c r="AA512" s="42"/>
      <c r="AB512" s="42"/>
    </row>
    <row r="513" spans="1:28" x14ac:dyDescent="0.25">
      <c r="A513" s="42" t="str">
        <v>1.10.7.2.2</v>
      </c>
      <c r="B513" s="121" t="str">
        <v>Small Image (of default; link to article)</v>
      </c>
      <c r="C513" s="41">
        <v>5</v>
      </c>
      <c r="D513" s="41" t="str">
        <v>RL</v>
      </c>
      <c r="E513" s="117" t="str">
        <f t="shared" si="0"/>
        <v>RL</v>
      </c>
      <c r="F513" s="41" t="str">
        <v/>
      </c>
      <c r="G513" s="41" t="str">
        <v/>
      </c>
      <c r="H513" s="117">
        <f t="shared" si="1"/>
        <v>0</v>
      </c>
      <c r="I513" s="117">
        <f t="shared" si="2"/>
        <v>10</v>
      </c>
      <c r="J513" s="117">
        <f t="shared" si="3"/>
        <v>10.069999999999999</v>
      </c>
      <c r="K513" s="117" t="str">
        <f t="shared" si="4"/>
        <v>BR</v>
      </c>
      <c r="L513" s="42" t="str">
        <v>BR1007</v>
      </c>
      <c r="M513" s="121" t="str">
        <v/>
      </c>
      <c r="N513" s="121" t="str">
        <v/>
      </c>
      <c r="O513" s="121" t="str">
        <v/>
      </c>
      <c r="P513" s="121" t="str">
        <v/>
      </c>
      <c r="Q513" s="121" t="str">
        <v/>
      </c>
      <c r="R513" s="121" t="str">
        <v/>
      </c>
      <c r="S513" s="121" t="str">
        <v>Small Image (of default; link to article)</v>
      </c>
      <c r="T513" s="119" t="str">
        <f>IF($C513&lt;4,IF($C513=3,T514,IF($C513=2,T$1,"")),Q513&amp;R513&amp;IF(LEN(S513)=0,"",Preferences!$C$2&amp;S513)&amp;IF(J514=J513,IF(LEN(R513&amp;S513)=0,"","
")&amp;T514,""))</f>
        <v xml:space="preserve">	• Small Image (of default; link to article)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3" s="122" t="str">
        <v/>
      </c>
      <c r="V513" s="42"/>
      <c r="W513" s="42"/>
      <c r="X513" s="42"/>
      <c r="Y513" s="42"/>
      <c r="Z513" s="42"/>
      <c r="AA513" s="42"/>
      <c r="AB513" s="42"/>
    </row>
    <row r="514" spans="1:28" x14ac:dyDescent="0.25">
      <c r="A514" s="42" t="str">
        <v>1.10.7.2.3</v>
      </c>
      <c r="B514" s="121" t="str">
        <v>Teaser</v>
      </c>
      <c r="C514" s="41">
        <v>5</v>
      </c>
      <c r="D514" s="41" t="str">
        <v>RL</v>
      </c>
      <c r="E514" s="117" t="str">
        <f t="shared" si="0"/>
        <v>RL</v>
      </c>
      <c r="F514" s="41" t="str">
        <v/>
      </c>
      <c r="G514" s="41" t="str">
        <v/>
      </c>
      <c r="H514" s="117">
        <f t="shared" si="1"/>
        <v>0</v>
      </c>
      <c r="I514" s="117">
        <f t="shared" si="2"/>
        <v>10</v>
      </c>
      <c r="J514" s="117">
        <f t="shared" si="3"/>
        <v>10.069999999999999</v>
      </c>
      <c r="K514" s="117" t="str">
        <f t="shared" si="4"/>
        <v>BR</v>
      </c>
      <c r="L514" s="42" t="str">
        <v>BR1007</v>
      </c>
      <c r="M514" s="121" t="str">
        <v/>
      </c>
      <c r="N514" s="121" t="str">
        <v/>
      </c>
      <c r="O514" s="121" t="str">
        <v/>
      </c>
      <c r="P514" s="121" t="str">
        <v/>
      </c>
      <c r="Q514" s="121" t="str">
        <v/>
      </c>
      <c r="R514" s="121" t="str">
        <v/>
      </c>
      <c r="S514" s="121" t="str">
        <v>Teaser</v>
      </c>
      <c r="T514" s="119" t="str">
        <f>IF($C514&lt;4,IF($C514=3,T515,IF($C514=2,T$1,"")),Q514&amp;R514&amp;IF(LEN(S514)=0,"",Preferences!$C$2&amp;S514)&amp;IF(J515=J514,IF(LEN(R514&amp;S514)=0,"","
")&amp;T515,""))</f>
        <v xml:space="preserve">	• Teaser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4" s="122" t="str">
        <v/>
      </c>
      <c r="V514" s="42"/>
      <c r="W514" s="42"/>
      <c r="X514" s="42"/>
      <c r="Y514" s="42"/>
      <c r="Z514" s="42"/>
      <c r="AA514" s="42"/>
      <c r="AB514" s="42"/>
    </row>
    <row r="515" spans="1:28" x14ac:dyDescent="0.25">
      <c r="A515" s="42" t="str">
        <v>1.10.7.2.4</v>
      </c>
      <c r="B515" s="121" t="str">
        <v>Icon to add the product to Article Library</v>
      </c>
      <c r="C515" s="41">
        <v>5</v>
      </c>
      <c r="D515" s="41" t="str">
        <v>RL</v>
      </c>
      <c r="E515" s="117" t="str">
        <f t="shared" si="0"/>
        <v>RL</v>
      </c>
      <c r="F515" s="41" t="str">
        <v/>
      </c>
      <c r="G515" s="41" t="str">
        <v/>
      </c>
      <c r="H515" s="117">
        <f t="shared" si="1"/>
        <v>0</v>
      </c>
      <c r="I515" s="117">
        <f t="shared" si="2"/>
        <v>10</v>
      </c>
      <c r="J515" s="117">
        <f t="shared" si="3"/>
        <v>10.069999999999999</v>
      </c>
      <c r="K515" s="117" t="str">
        <f t="shared" si="4"/>
        <v>BR</v>
      </c>
      <c r="L515" s="42" t="str">
        <v>BR1007</v>
      </c>
      <c r="M515" s="121" t="str">
        <v/>
      </c>
      <c r="N515" s="121" t="str">
        <v/>
      </c>
      <c r="O515" s="121" t="str">
        <v/>
      </c>
      <c r="P515" s="121" t="str">
        <v/>
      </c>
      <c r="Q515" s="121" t="str">
        <v/>
      </c>
      <c r="R515" s="121" t="str">
        <v/>
      </c>
      <c r="S515" s="121" t="str">
        <v>Icon to add the product to Article Library</v>
      </c>
      <c r="T515" s="119" t="str">
        <f>IF($C515&lt;4,IF($C515=3,T516,IF($C515=2,T$1,"")),Q515&amp;R515&amp;IF(LEN(S515)=0,"",Preferences!$C$2&amp;S515)&amp;IF(J516=J515,IF(LEN(R515&amp;S515)=0,"","
")&amp;T516,""))</f>
        <v xml:space="preserve">	• Icon to add the product to Article Library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5" s="122" t="str">
        <v/>
      </c>
      <c r="V515" s="42"/>
      <c r="W515" s="42"/>
      <c r="X515" s="42"/>
      <c r="Y515" s="42"/>
      <c r="Z515" s="42"/>
      <c r="AA515" s="42"/>
      <c r="AB515" s="42"/>
    </row>
    <row r="516" spans="1:28" x14ac:dyDescent="0.25">
      <c r="A516" s="42" t="str">
        <v>1.10.7.3</v>
      </c>
      <c r="B516" s="121" t="str">
        <v>The full page view of an article contains at least the following:</v>
      </c>
      <c r="C516" s="41">
        <v>4</v>
      </c>
      <c r="D516" s="41" t="str">
        <v>RD</v>
      </c>
      <c r="E516" s="117" t="str">
        <f t="shared" si="0"/>
        <v>RD</v>
      </c>
      <c r="F516" s="41" t="str">
        <v/>
      </c>
      <c r="G516" s="41" t="str">
        <v/>
      </c>
      <c r="H516" s="117">
        <f t="shared" si="1"/>
        <v>0</v>
      </c>
      <c r="I516" s="117">
        <f t="shared" si="2"/>
        <v>10</v>
      </c>
      <c r="J516" s="117">
        <f t="shared" si="3"/>
        <v>10.069999999999999</v>
      </c>
      <c r="K516" s="117" t="str">
        <f t="shared" si="4"/>
        <v>BR</v>
      </c>
      <c r="L516" s="42" t="str">
        <v>BR1007</v>
      </c>
      <c r="M516" s="121" t="str">
        <v/>
      </c>
      <c r="N516" s="121" t="str">
        <v/>
      </c>
      <c r="O516" s="121" t="str">
        <v/>
      </c>
      <c r="P516" s="121" t="str">
        <v/>
      </c>
      <c r="Q516" s="121" t="str">
        <v xml:space="preserve"> 3. </v>
      </c>
      <c r="R516" s="121" t="str">
        <v>The full page view of an article contains at least the following:</v>
      </c>
      <c r="S516" s="121" t="str">
        <v/>
      </c>
      <c r="T516" s="119" t="str">
        <f>IF($C516&lt;4,IF($C516=3,T517,IF($C516=2,T$1,"")),Q516&amp;R516&amp;IF(LEN(S516)=0,"",Preferences!$C$2&amp;S516)&amp;IF(J517=J516,IF(LEN(R516&amp;S516)=0,"","
")&amp;T517,""))</f>
        <v xml:space="preserve"> 3. The full page view of an article contains at least the following:
	• Title
	• Medium Image (of default, with option to view all images in full)
	• Price (incl.)
	• Description (full text with images)
	• Icon to add the product to Article Library
 4. Also see the Enrich special content meta-data for online use requirements of the Enrich Content section.</v>
      </c>
      <c r="U516" s="122" t="str">
        <v/>
      </c>
      <c r="V516" s="42"/>
      <c r="W516" s="42"/>
      <c r="X516" s="42"/>
      <c r="Y516" s="42"/>
      <c r="Z516" s="42"/>
      <c r="AA516" s="42"/>
      <c r="AB516" s="42"/>
    </row>
    <row r="517" spans="1:28" x14ac:dyDescent="0.25">
      <c r="A517" s="42" t="str">
        <v>1.10.7.3.1</v>
      </c>
      <c r="B517" s="121" t="str">
        <v>Title</v>
      </c>
      <c r="C517" s="41">
        <v>5</v>
      </c>
      <c r="D517" s="41" t="str">
        <v>RL</v>
      </c>
      <c r="E517" s="117" t="str">
        <f t="shared" si="0"/>
        <v>RL</v>
      </c>
      <c r="F517" s="41" t="str">
        <v/>
      </c>
      <c r="G517" s="41" t="str">
        <v/>
      </c>
      <c r="H517" s="117">
        <f t="shared" si="1"/>
        <v>0</v>
      </c>
      <c r="I517" s="117">
        <f t="shared" si="2"/>
        <v>10</v>
      </c>
      <c r="J517" s="117">
        <f t="shared" si="3"/>
        <v>10.069999999999999</v>
      </c>
      <c r="K517" s="117" t="str">
        <f t="shared" si="4"/>
        <v>BR</v>
      </c>
      <c r="L517" s="42" t="str">
        <v>BR1007</v>
      </c>
      <c r="M517" s="121" t="str">
        <v/>
      </c>
      <c r="N517" s="121" t="str">
        <v/>
      </c>
      <c r="O517" s="121" t="str">
        <v/>
      </c>
      <c r="P517" s="121" t="str">
        <v/>
      </c>
      <c r="Q517" s="121" t="str">
        <v/>
      </c>
      <c r="R517" s="121" t="str">
        <v/>
      </c>
      <c r="S517" s="121" t="str">
        <v>Title</v>
      </c>
      <c r="T517" s="119" t="str">
        <f>IF($C517&lt;4,IF($C517=3,T518,IF($C517=2,T$1,"")),Q517&amp;R517&amp;IF(LEN(S517)=0,"",Preferences!$C$2&amp;S517)&amp;IF(J518=J517,IF(LEN(R517&amp;S517)=0,"","
")&amp;T518,""))</f>
        <v xml:space="preserve">	• Title
	• Medium Image (of default, with option to view all images in full)
	• Price (incl.)
	• Description (full text with images)
	• Icon to add the product to Article Library
 4. Also see the Enrich special content meta-data for online use requirements of the Enrich Content section.</v>
      </c>
      <c r="U517" s="122" t="str">
        <v/>
      </c>
      <c r="V517" s="42"/>
      <c r="W517" s="42"/>
      <c r="X517" s="42"/>
      <c r="Y517" s="42"/>
      <c r="Z517" s="42"/>
      <c r="AA517" s="42"/>
      <c r="AB517" s="42"/>
    </row>
    <row r="518" spans="1:28" x14ac:dyDescent="0.25">
      <c r="A518" s="42" t="str">
        <v>1.10.7.3.2</v>
      </c>
      <c r="B518" s="121" t="str">
        <v>Medium Image (of default, with option to view all images in full)</v>
      </c>
      <c r="C518" s="41">
        <v>5</v>
      </c>
      <c r="D518" s="41" t="str">
        <v>RL</v>
      </c>
      <c r="E518" s="117" t="str">
        <f t="shared" si="0"/>
        <v>RL</v>
      </c>
      <c r="F518" s="41" t="str">
        <v/>
      </c>
      <c r="G518" s="41" t="str">
        <v/>
      </c>
      <c r="H518" s="117">
        <f t="shared" si="1"/>
        <v>0</v>
      </c>
      <c r="I518" s="117">
        <f t="shared" si="2"/>
        <v>10</v>
      </c>
      <c r="J518" s="117">
        <f t="shared" si="3"/>
        <v>10.069999999999999</v>
      </c>
      <c r="K518" s="117" t="str">
        <f t="shared" si="4"/>
        <v>BR</v>
      </c>
      <c r="L518" s="42" t="str">
        <v>BR1007</v>
      </c>
      <c r="M518" s="121" t="str">
        <v/>
      </c>
      <c r="N518" s="121" t="str">
        <v/>
      </c>
      <c r="O518" s="121" t="str">
        <v/>
      </c>
      <c r="P518" s="121" t="str">
        <v/>
      </c>
      <c r="Q518" s="121" t="str">
        <v/>
      </c>
      <c r="R518" s="121" t="str">
        <v/>
      </c>
      <c r="S518" s="121" t="str">
        <v>Medium Image (of default, with option to view all images in full)</v>
      </c>
      <c r="T518" s="119" t="str">
        <f>IF($C518&lt;4,IF($C518=3,T519,IF($C518=2,T$1,"")),Q518&amp;R518&amp;IF(LEN(S518)=0,"",Preferences!$C$2&amp;S518)&amp;IF(J519=J518,IF(LEN(R518&amp;S518)=0,"","
")&amp;T519,""))</f>
        <v xml:space="preserve">	• Medium Image (of default, with option to view all images in full)
	• Price (incl.)
	• Description (full text with images)
	• Icon to add the product to Article Library
 4. Also see the Enrich special content meta-data for online use requirements of the Enrich Content section.</v>
      </c>
      <c r="U518" s="122" t="str">
        <v/>
      </c>
      <c r="V518" s="42"/>
      <c r="W518" s="42"/>
      <c r="X518" s="42"/>
      <c r="Y518" s="42"/>
      <c r="Z518" s="42"/>
      <c r="AA518" s="42"/>
      <c r="AB518" s="42"/>
    </row>
    <row r="519" spans="1:28" x14ac:dyDescent="0.25">
      <c r="A519" s="42" t="str">
        <v>1.10.7.3.3</v>
      </c>
      <c r="B519" s="121" t="str">
        <v>Price (incl.)</v>
      </c>
      <c r="C519" s="41">
        <v>5</v>
      </c>
      <c r="D519" s="41" t="str">
        <v>RL</v>
      </c>
      <c r="E519" s="117" t="str">
        <f t="shared" si="0"/>
        <v>RL</v>
      </c>
      <c r="F519" s="41" t="str">
        <v/>
      </c>
      <c r="G519" s="41" t="str">
        <v/>
      </c>
      <c r="H519" s="117">
        <f t="shared" si="1"/>
        <v>0</v>
      </c>
      <c r="I519" s="117">
        <f t="shared" si="2"/>
        <v>10</v>
      </c>
      <c r="J519" s="117">
        <f t="shared" si="3"/>
        <v>10.069999999999999</v>
      </c>
      <c r="K519" s="117" t="str">
        <f t="shared" si="4"/>
        <v>BR</v>
      </c>
      <c r="L519" s="42" t="str">
        <v>BR1007</v>
      </c>
      <c r="M519" s="121" t="str">
        <v/>
      </c>
      <c r="N519" s="121" t="str">
        <v/>
      </c>
      <c r="O519" s="121" t="str">
        <v/>
      </c>
      <c r="P519" s="121" t="str">
        <v/>
      </c>
      <c r="Q519" s="121" t="str">
        <v/>
      </c>
      <c r="R519" s="121" t="str">
        <v/>
      </c>
      <c r="S519" s="121" t="str">
        <v>Price (incl.)</v>
      </c>
      <c r="T519" s="119" t="str">
        <f>IF($C519&lt;4,IF($C519=3,T520,IF($C519=2,T$1,"")),Q519&amp;R519&amp;IF(LEN(S519)=0,"",Preferences!$C$2&amp;S519)&amp;IF(J520=J519,IF(LEN(R519&amp;S519)=0,"","
")&amp;T520,""))</f>
        <v xml:space="preserve">	• Price (incl.)
	• Description (full text with images)
	• Icon to add the product to Article Library
 4. Also see the Enrich special content meta-data for online use requirements of the Enrich Content section.</v>
      </c>
      <c r="U519" s="122" t="str">
        <v/>
      </c>
      <c r="V519" s="42"/>
      <c r="W519" s="42"/>
      <c r="X519" s="42"/>
      <c r="Y519" s="42"/>
      <c r="Z519" s="42"/>
      <c r="AA519" s="42"/>
      <c r="AB519" s="42"/>
    </row>
    <row r="520" spans="1:28" x14ac:dyDescent="0.25">
      <c r="A520" s="42" t="str">
        <v>1.10.7.3.4</v>
      </c>
      <c r="B520" s="121" t="str">
        <v>Description (full text with images)</v>
      </c>
      <c r="C520" s="41">
        <v>5</v>
      </c>
      <c r="D520" s="41" t="str">
        <v>RL</v>
      </c>
      <c r="E520" s="117" t="str">
        <f t="shared" si="0"/>
        <v>RL</v>
      </c>
      <c r="F520" s="41" t="str">
        <v/>
      </c>
      <c r="G520" s="41" t="str">
        <v/>
      </c>
      <c r="H520" s="117">
        <f t="shared" si="1"/>
        <v>0</v>
      </c>
      <c r="I520" s="117">
        <f t="shared" si="2"/>
        <v>10</v>
      </c>
      <c r="J520" s="117">
        <f t="shared" si="3"/>
        <v>10.069999999999999</v>
      </c>
      <c r="K520" s="117" t="str">
        <f t="shared" si="4"/>
        <v>BR</v>
      </c>
      <c r="L520" s="42" t="str">
        <v>BR1007</v>
      </c>
      <c r="M520" s="121" t="str">
        <v/>
      </c>
      <c r="N520" s="121" t="str">
        <v/>
      </c>
      <c r="O520" s="121" t="str">
        <v/>
      </c>
      <c r="P520" s="121" t="str">
        <v/>
      </c>
      <c r="Q520" s="121" t="str">
        <v/>
      </c>
      <c r="R520" s="121" t="str">
        <v/>
      </c>
      <c r="S520" s="121" t="str">
        <v>Description (full text with images)</v>
      </c>
      <c r="T520" s="119" t="str">
        <f>IF($C520&lt;4,IF($C520=3,T521,IF($C520=2,T$1,"")),Q520&amp;R520&amp;IF(LEN(S520)=0,"",Preferences!$C$2&amp;S520)&amp;IF(J521=J520,IF(LEN(R520&amp;S520)=0,"","
")&amp;T521,""))</f>
        <v xml:space="preserve">	• Description (full text with images)
	• Icon to add the product to Article Library
 4. Also see the Enrich special content meta-data for online use requirements of the Enrich Content section.</v>
      </c>
      <c r="U520" s="122" t="str">
        <v/>
      </c>
      <c r="V520" s="42"/>
      <c r="W520" s="42"/>
      <c r="X520" s="42"/>
      <c r="Y520" s="42"/>
      <c r="Z520" s="42"/>
      <c r="AA520" s="42"/>
      <c r="AB520" s="42"/>
    </row>
    <row r="521" spans="1:28" x14ac:dyDescent="0.25">
      <c r="A521" s="42" t="str">
        <v>1.10.7.3.5</v>
      </c>
      <c r="B521" s="121" t="str">
        <v>Icon to add the product to Article Library</v>
      </c>
      <c r="C521" s="41">
        <v>5</v>
      </c>
      <c r="D521" s="41" t="str">
        <v>RL</v>
      </c>
      <c r="E521" s="117" t="str">
        <f t="shared" si="0"/>
        <v>RL</v>
      </c>
      <c r="F521" s="41" t="str">
        <v/>
      </c>
      <c r="G521" s="41" t="str">
        <v/>
      </c>
      <c r="H521" s="117">
        <f t="shared" si="1"/>
        <v>0</v>
      </c>
      <c r="I521" s="117">
        <f t="shared" si="2"/>
        <v>10</v>
      </c>
      <c r="J521" s="117">
        <f t="shared" si="3"/>
        <v>10.069999999999999</v>
      </c>
      <c r="K521" s="117" t="str">
        <f t="shared" si="4"/>
        <v>BR</v>
      </c>
      <c r="L521" s="42" t="str">
        <v>BR1007</v>
      </c>
      <c r="M521" s="121" t="str">
        <v/>
      </c>
      <c r="N521" s="121" t="str">
        <v/>
      </c>
      <c r="O521" s="121" t="str">
        <v/>
      </c>
      <c r="P521" s="121" t="str">
        <v/>
      </c>
      <c r="Q521" s="121" t="str">
        <v/>
      </c>
      <c r="R521" s="121" t="str">
        <v/>
      </c>
      <c r="S521" s="121" t="str">
        <v>Icon to add the product to Article Library</v>
      </c>
      <c r="T521" s="119" t="str">
        <f>IF($C521&lt;4,IF($C521=3,T522,IF($C521=2,T$1,"")),Q521&amp;R521&amp;IF(LEN(S521)=0,"",Preferences!$C$2&amp;S521)&amp;IF(J522=J521,IF(LEN(R521&amp;S521)=0,"","
")&amp;T522,""))</f>
        <v xml:space="preserve">	• Icon to add the product to Article Library
 4. Also see the Enrich special content meta-data for online use requirements of the Enrich Content section.</v>
      </c>
      <c r="U521" s="122" t="str">
        <v/>
      </c>
      <c r="V521" s="42"/>
      <c r="W521" s="42"/>
      <c r="X521" s="42"/>
      <c r="Y521" s="42"/>
      <c r="Z521" s="42"/>
      <c r="AA521" s="42"/>
      <c r="AB521" s="42"/>
    </row>
    <row r="522" spans="1:28" x14ac:dyDescent="0.25">
      <c r="A522" s="42" t="str">
        <v>1.10.7.4</v>
      </c>
      <c r="B522" s="121" t="str">
        <v>Also see the Enrich special content meta-data for online use requirements of the Enrich Content section.</v>
      </c>
      <c r="C522" s="41">
        <v>4</v>
      </c>
      <c r="D522" s="41" t="str">
        <v>RD</v>
      </c>
      <c r="E522" s="117" t="str">
        <f t="shared" si="0"/>
        <v>RD</v>
      </c>
      <c r="F522" s="41" t="str">
        <v/>
      </c>
      <c r="G522" s="41" t="str">
        <v/>
      </c>
      <c r="H522" s="117">
        <f t="shared" si="1"/>
        <v>0</v>
      </c>
      <c r="I522" s="117">
        <f t="shared" si="2"/>
        <v>10</v>
      </c>
      <c r="J522" s="117">
        <f t="shared" si="3"/>
        <v>10.069999999999999</v>
      </c>
      <c r="K522" s="117" t="str">
        <f t="shared" si="4"/>
        <v>BR</v>
      </c>
      <c r="L522" s="42" t="str">
        <v>BR1007</v>
      </c>
      <c r="M522" s="121" t="str">
        <v/>
      </c>
      <c r="N522" s="121" t="str">
        <v/>
      </c>
      <c r="O522" s="121" t="str">
        <v/>
      </c>
      <c r="P522" s="121" t="str">
        <v/>
      </c>
      <c r="Q522" s="121" t="str">
        <v xml:space="preserve"> 4. </v>
      </c>
      <c r="R522" s="121" t="str">
        <v>Also see the Enrich special content meta-data for online use requirements of the Enrich Content section.</v>
      </c>
      <c r="S522" s="121" t="str">
        <v/>
      </c>
      <c r="T522" s="119" t="str">
        <f>IF($C522&lt;4,IF($C522=3,T523,IF($C522=2,T$1,"")),Q522&amp;R522&amp;IF(LEN(S522)=0,"",Preferences!$C$2&amp;S522)&amp;IF(J523=J522,IF(LEN(R522&amp;S522)=0,"","
")&amp;T523,""))</f>
        <v xml:space="preserve"> 4. Also see the Enrich special content meta-data for online use requirements of the Enrich Content section.</v>
      </c>
      <c r="U522" s="122" t="str">
        <v/>
      </c>
      <c r="V522" s="42"/>
      <c r="W522" s="42"/>
      <c r="X522" s="42"/>
      <c r="Y522" s="42"/>
      <c r="Z522" s="42"/>
      <c r="AA522" s="42"/>
      <c r="AB522" s="42"/>
    </row>
    <row r="523" spans="1:28" x14ac:dyDescent="0.25">
      <c r="A523" s="42" t="str">
        <v>1.10.8</v>
      </c>
      <c r="B523" s="121" t="str">
        <v>10.8 Present information about the business (About Us)</v>
      </c>
      <c r="C523" s="41">
        <v>3</v>
      </c>
      <c r="D523" s="41" t="str">
        <v>R</v>
      </c>
      <c r="E523" s="117" t="str">
        <f t="shared" si="0"/>
        <v>R</v>
      </c>
      <c r="F523" s="41" t="str">
        <v/>
      </c>
      <c r="G523" s="41" t="str">
        <v/>
      </c>
      <c r="H523" s="117">
        <f t="shared" si="1"/>
        <v>0</v>
      </c>
      <c r="I523" s="117">
        <f t="shared" si="2"/>
        <v>10</v>
      </c>
      <c r="J523" s="117">
        <f t="shared" si="3"/>
        <v>10.079999999999998</v>
      </c>
      <c r="K523" s="117" t="str">
        <f t="shared" si="4"/>
        <v>BR</v>
      </c>
      <c r="L523" s="42" t="str">
        <v>BR1008</v>
      </c>
      <c r="M523" s="121" t="str">
        <v/>
      </c>
      <c r="N523" s="121" t="str">
        <v/>
      </c>
      <c r="O523" s="121" t="str">
        <v>BR1008</v>
      </c>
      <c r="P523" s="121" t="str">
        <v>Present information about the business (About Us)</v>
      </c>
      <c r="Q523" s="121" t="str">
        <v/>
      </c>
      <c r="R523" s="121" t="str">
        <v/>
      </c>
      <c r="S523" s="121" t="str">
        <v/>
      </c>
      <c r="T523" s="119" t="str">
        <f>IF($C523&lt;4,IF($C523=3,T524,IF($C523=2,T$1,"")),Q523&amp;R523&amp;IF(LEN(S523)=0,"",Preferences!$C$2&amp;S523)&amp;IF(J524=J523,IF(LEN(R523&amp;S523)=0,"","
")&amp;T524,""))</f>
        <v xml:space="preserve"> 1. The About Us page must detail at least the following about the business:
	• Company registration details
	• Company address
	• Company Directors [TBC]
	• Main brand identity and positioning message</v>
      </c>
      <c r="U523" s="122" t="str">
        <v/>
      </c>
      <c r="V523" s="42"/>
      <c r="W523" s="42"/>
      <c r="X523" s="42"/>
      <c r="Y523" s="42"/>
      <c r="Z523" s="42"/>
      <c r="AA523" s="42"/>
      <c r="AB523" s="42"/>
    </row>
    <row r="524" spans="1:28" x14ac:dyDescent="0.25">
      <c r="A524" s="42" t="str">
        <v>1.10.8.1</v>
      </c>
      <c r="B524" s="121" t="str">
        <v>The About Us page must detail at least the following about the business:</v>
      </c>
      <c r="C524" s="41">
        <v>4</v>
      </c>
      <c r="D524" s="41" t="str">
        <v>RD</v>
      </c>
      <c r="E524" s="117" t="str">
        <f t="shared" si="0"/>
        <v>RD</v>
      </c>
      <c r="F524" s="41" t="str">
        <v/>
      </c>
      <c r="G524" s="41" t="str">
        <v/>
      </c>
      <c r="H524" s="117">
        <f t="shared" si="1"/>
        <v>0</v>
      </c>
      <c r="I524" s="117">
        <f t="shared" si="2"/>
        <v>10</v>
      </c>
      <c r="J524" s="117">
        <f t="shared" si="3"/>
        <v>10.079999999999998</v>
      </c>
      <c r="K524" s="117" t="str">
        <f t="shared" si="4"/>
        <v>BR</v>
      </c>
      <c r="L524" s="42" t="str">
        <v>BR1008</v>
      </c>
      <c r="M524" s="121" t="str">
        <v/>
      </c>
      <c r="N524" s="121" t="str">
        <v/>
      </c>
      <c r="O524" s="121" t="str">
        <v/>
      </c>
      <c r="P524" s="121" t="str">
        <v/>
      </c>
      <c r="Q524" s="121" t="str">
        <v xml:space="preserve"> 1. </v>
      </c>
      <c r="R524" s="121" t="str">
        <v>The About Us page must detail at least the following about the business:</v>
      </c>
      <c r="S524" s="121" t="str">
        <v/>
      </c>
      <c r="T524" s="119" t="str">
        <f>IF($C524&lt;4,IF($C524=3,T525,IF($C524=2,T$1,"")),Q524&amp;R524&amp;IF(LEN(S524)=0,"",Preferences!$C$2&amp;S524)&amp;IF(J525=J524,IF(LEN(R524&amp;S524)=0,"","
")&amp;T525,""))</f>
        <v xml:space="preserve"> 1. The About Us page must detail at least the following about the business:
	• Company registration details
	• Company address
	• Company Directors [TBC]
	• Main brand identity and positioning message</v>
      </c>
      <c r="U524" s="122" t="str">
        <v/>
      </c>
      <c r="V524" s="42"/>
      <c r="W524" s="42"/>
      <c r="X524" s="42"/>
      <c r="Y524" s="42"/>
      <c r="Z524" s="42"/>
      <c r="AA524" s="42"/>
      <c r="AB524" s="42"/>
    </row>
    <row r="525" spans="1:28" x14ac:dyDescent="0.25">
      <c r="A525" s="42" t="str">
        <v>1.10.8.1.1</v>
      </c>
      <c r="B525" s="121" t="str">
        <v>Company registration details</v>
      </c>
      <c r="C525" s="41">
        <v>5</v>
      </c>
      <c r="D525" s="41" t="str">
        <v>RL</v>
      </c>
      <c r="E525" s="117" t="str">
        <f t="shared" si="0"/>
        <v>RL</v>
      </c>
      <c r="F525" s="41" t="str">
        <v/>
      </c>
      <c r="G525" s="41" t="str">
        <v/>
      </c>
      <c r="H525" s="117">
        <f t="shared" si="1"/>
        <v>0</v>
      </c>
      <c r="I525" s="117">
        <f t="shared" si="2"/>
        <v>10</v>
      </c>
      <c r="J525" s="117">
        <f t="shared" si="3"/>
        <v>10.079999999999998</v>
      </c>
      <c r="K525" s="117" t="str">
        <f t="shared" si="4"/>
        <v>BR</v>
      </c>
      <c r="L525" s="42" t="str">
        <v>BR1008</v>
      </c>
      <c r="M525" s="121" t="str">
        <v/>
      </c>
      <c r="N525" s="121" t="str">
        <v/>
      </c>
      <c r="O525" s="121" t="str">
        <v/>
      </c>
      <c r="P525" s="121" t="str">
        <v/>
      </c>
      <c r="Q525" s="121" t="str">
        <v/>
      </c>
      <c r="R525" s="121" t="str">
        <v/>
      </c>
      <c r="S525" s="121" t="str">
        <v>Company registration details</v>
      </c>
      <c r="T525" s="119" t="str">
        <f>IF($C525&lt;4,IF($C525=3,T526,IF($C525=2,T$1,"")),Q525&amp;R525&amp;IF(LEN(S525)=0,"",Preferences!$C$2&amp;S525)&amp;IF(J526=J525,IF(LEN(R525&amp;S525)=0,"","
")&amp;T526,""))</f>
        <v xml:space="preserve">	• Company registration details
	• Company address
	• Company Directors [TBC]
	• Main brand identity and positioning message</v>
      </c>
      <c r="U525" s="122" t="str">
        <v/>
      </c>
      <c r="V525" s="42"/>
      <c r="W525" s="42"/>
      <c r="X525" s="42"/>
      <c r="Y525" s="42"/>
      <c r="Z525" s="42"/>
      <c r="AA525" s="42"/>
      <c r="AB525" s="42"/>
    </row>
    <row r="526" spans="1:28" x14ac:dyDescent="0.25">
      <c r="A526" s="42" t="str">
        <v>1.10.8.1.2</v>
      </c>
      <c r="B526" s="121" t="str">
        <v>Company address</v>
      </c>
      <c r="C526" s="41">
        <v>5</v>
      </c>
      <c r="D526" s="41" t="str">
        <v>RL</v>
      </c>
      <c r="E526" s="117" t="str">
        <f t="shared" si="0"/>
        <v>RL</v>
      </c>
      <c r="F526" s="41" t="str">
        <v/>
      </c>
      <c r="G526" s="41" t="str">
        <v/>
      </c>
      <c r="H526" s="117">
        <f t="shared" si="1"/>
        <v>0</v>
      </c>
      <c r="I526" s="117">
        <f t="shared" si="2"/>
        <v>10</v>
      </c>
      <c r="J526" s="117">
        <f t="shared" si="3"/>
        <v>10.079999999999998</v>
      </c>
      <c r="K526" s="117" t="str">
        <f t="shared" si="4"/>
        <v>BR</v>
      </c>
      <c r="L526" s="42" t="str">
        <v>BR1008</v>
      </c>
      <c r="M526" s="121" t="str">
        <v/>
      </c>
      <c r="N526" s="121" t="str">
        <v/>
      </c>
      <c r="O526" s="121" t="str">
        <v/>
      </c>
      <c r="P526" s="121" t="str">
        <v/>
      </c>
      <c r="Q526" s="121" t="str">
        <v/>
      </c>
      <c r="R526" s="121" t="str">
        <v/>
      </c>
      <c r="S526" s="121" t="str">
        <v>Company address</v>
      </c>
      <c r="T526" s="119" t="str">
        <f>IF($C526&lt;4,IF($C526=3,T527,IF($C526=2,T$1,"")),Q526&amp;R526&amp;IF(LEN(S526)=0,"",Preferences!$C$2&amp;S526)&amp;IF(J527=J526,IF(LEN(R526&amp;S526)=0,"","
")&amp;T527,""))</f>
        <v xml:space="preserve">	• Company address
	• Company Directors [TBC]
	• Main brand identity and positioning message</v>
      </c>
      <c r="U526" s="122" t="str">
        <v/>
      </c>
      <c r="V526" s="42"/>
      <c r="W526" s="42"/>
      <c r="X526" s="42"/>
      <c r="Y526" s="42"/>
      <c r="Z526" s="42"/>
      <c r="AA526" s="42"/>
      <c r="AB526" s="42"/>
    </row>
    <row r="527" spans="1:28" x14ac:dyDescent="0.25">
      <c r="A527" s="42" t="str">
        <v>1.10.8.1.3</v>
      </c>
      <c r="B527" s="121" t="str">
        <v>Company Directors [TBC]</v>
      </c>
      <c r="C527" s="41">
        <v>5</v>
      </c>
      <c r="D527" s="41" t="str">
        <v>RL</v>
      </c>
      <c r="E527" s="117" t="str">
        <f t="shared" si="0"/>
        <v>RL</v>
      </c>
      <c r="F527" s="41" t="str">
        <v/>
      </c>
      <c r="G527" s="41" t="str">
        <v/>
      </c>
      <c r="H527" s="117">
        <f t="shared" si="1"/>
        <v>0</v>
      </c>
      <c r="I527" s="117">
        <f t="shared" si="2"/>
        <v>10</v>
      </c>
      <c r="J527" s="117">
        <f t="shared" si="3"/>
        <v>10.079999999999998</v>
      </c>
      <c r="K527" s="117" t="str">
        <f t="shared" si="4"/>
        <v>BR</v>
      </c>
      <c r="L527" s="42" t="str">
        <v>BR1008</v>
      </c>
      <c r="M527" s="121" t="str">
        <v/>
      </c>
      <c r="N527" s="121" t="str">
        <v/>
      </c>
      <c r="O527" s="121" t="str">
        <v/>
      </c>
      <c r="P527" s="121" t="str">
        <v/>
      </c>
      <c r="Q527" s="121" t="str">
        <v/>
      </c>
      <c r="R527" s="121" t="str">
        <v/>
      </c>
      <c r="S527" s="121" t="str">
        <v>Company Directors [TBC]</v>
      </c>
      <c r="T527" s="119" t="str">
        <f>IF($C527&lt;4,IF($C527=3,T528,IF($C527=2,T$1,"")),Q527&amp;R527&amp;IF(LEN(S527)=0,"",Preferences!$C$2&amp;S527)&amp;IF(J528=J527,IF(LEN(R527&amp;S527)=0,"","
")&amp;T528,""))</f>
        <v xml:space="preserve">	• Company Directors [TBC]
	• Main brand identity and positioning message</v>
      </c>
      <c r="U527" s="122" t="str">
        <v/>
      </c>
      <c r="V527" s="42"/>
      <c r="W527" s="42"/>
      <c r="X527" s="42"/>
      <c r="Y527" s="42"/>
      <c r="Z527" s="42"/>
      <c r="AA527" s="42"/>
      <c r="AB527" s="42"/>
    </row>
    <row r="528" spans="1:28" x14ac:dyDescent="0.25">
      <c r="A528" s="42" t="str">
        <v>1.10.8.1.4</v>
      </c>
      <c r="B528" s="121" t="str">
        <v>Main brand identity and positioning message</v>
      </c>
      <c r="C528" s="41">
        <v>5</v>
      </c>
      <c r="D528" s="41" t="str">
        <v>RL</v>
      </c>
      <c r="E528" s="117" t="str">
        <f t="shared" si="0"/>
        <v>RL</v>
      </c>
      <c r="F528" s="41" t="str">
        <v/>
      </c>
      <c r="G528" s="41" t="str">
        <v/>
      </c>
      <c r="H528" s="117">
        <f t="shared" si="1"/>
        <v>0</v>
      </c>
      <c r="I528" s="117">
        <f t="shared" si="2"/>
        <v>10</v>
      </c>
      <c r="J528" s="117">
        <f t="shared" si="3"/>
        <v>10.079999999999998</v>
      </c>
      <c r="K528" s="117" t="str">
        <f t="shared" si="4"/>
        <v>BR</v>
      </c>
      <c r="L528" s="42" t="str">
        <v>BR1008</v>
      </c>
      <c r="M528" s="121" t="str">
        <v/>
      </c>
      <c r="N528" s="121" t="str">
        <v/>
      </c>
      <c r="O528" s="121" t="str">
        <v/>
      </c>
      <c r="P528" s="121" t="str">
        <v/>
      </c>
      <c r="Q528" s="121" t="str">
        <v/>
      </c>
      <c r="R528" s="121" t="str">
        <v/>
      </c>
      <c r="S528" s="121" t="str">
        <v>Main brand identity and positioning message</v>
      </c>
      <c r="T528" s="119" t="str">
        <f>IF($C528&lt;4,IF($C528=3,T529,IF($C528=2,T$1,"")),Q528&amp;R528&amp;IF(LEN(S528)=0,"",Preferences!$C$2&amp;S528)&amp;IF(J529=J528,IF(LEN(R528&amp;S528)=0,"","
")&amp;T529,""))</f>
        <v xml:space="preserve">	• Main brand identity and positioning message</v>
      </c>
      <c r="U528" s="122" t="str">
        <v/>
      </c>
      <c r="V528" s="42"/>
      <c r="W528" s="42"/>
      <c r="X528" s="42"/>
      <c r="Y528" s="42"/>
      <c r="Z528" s="42"/>
      <c r="AA528" s="42"/>
      <c r="AB528" s="42"/>
    </row>
    <row r="529" spans="1:28" x14ac:dyDescent="0.25">
      <c r="A529" s="42" t="str">
        <v>1.10.9</v>
      </c>
      <c r="B529" s="121" t="str">
        <v>10.9 Provide the ability to contact the business (Contact Us)</v>
      </c>
      <c r="C529" s="41">
        <v>3</v>
      </c>
      <c r="D529" s="41" t="str">
        <v>R</v>
      </c>
      <c r="E529" s="117" t="str">
        <f t="shared" si="0"/>
        <v>R</v>
      </c>
      <c r="F529" s="41" t="str">
        <v/>
      </c>
      <c r="G529" s="41" t="str">
        <v/>
      </c>
      <c r="H529" s="117">
        <f t="shared" si="1"/>
        <v>0</v>
      </c>
      <c r="I529" s="117">
        <f t="shared" si="2"/>
        <v>10</v>
      </c>
      <c r="J529" s="117">
        <f t="shared" si="3"/>
        <v>10.089999999999998</v>
      </c>
      <c r="K529" s="117" t="str">
        <f t="shared" si="4"/>
        <v>BR</v>
      </c>
      <c r="L529" s="42" t="str">
        <v>BR1009</v>
      </c>
      <c r="M529" s="121" t="str">
        <v/>
      </c>
      <c r="N529" s="121" t="str">
        <v/>
      </c>
      <c r="O529" s="121" t="str">
        <v>BR1009</v>
      </c>
      <c r="P529" s="121" t="str">
        <v>Provide the ability to contact the business (Contact Us)</v>
      </c>
      <c r="Q529" s="121" t="str">
        <v/>
      </c>
      <c r="R529" s="121" t="str">
        <v/>
      </c>
      <c r="S529" s="121" t="str">
        <v/>
      </c>
      <c r="T529" s="119" t="str">
        <f>IF($C529&lt;4,IF($C529=3,T530,IF($C529=2,T$1,"")),Q529&amp;R529&amp;IF(LEN(S529)=0,"",Preferences!$C$2&amp;S529)&amp;IF(J530=J529,IF(LEN(R529&amp;S529)=0,"","
")&amp;T530,""))</f>
        <v xml:space="preserve"> 1. The Contact Us page must contain at least the following:
 2. Contact details for the business contact centre
 3. Contact form, to enable a visitor/user to submit a message to the business: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29" s="122" t="str">
        <v/>
      </c>
      <c r="V529" s="42"/>
      <c r="W529" s="42"/>
      <c r="X529" s="42"/>
      <c r="Y529" s="42"/>
      <c r="Z529" s="42"/>
      <c r="AA529" s="42"/>
      <c r="AB529" s="42"/>
    </row>
    <row r="530" spans="1:28" x14ac:dyDescent="0.25">
      <c r="A530" s="42" t="str">
        <v>1.10.9.1</v>
      </c>
      <c r="B530" s="121" t="str">
        <v>The Contact Us page must contain at least the following:</v>
      </c>
      <c r="C530" s="41">
        <v>4</v>
      </c>
      <c r="D530" s="41" t="str">
        <v>RD</v>
      </c>
      <c r="E530" s="117" t="str">
        <f t="shared" si="0"/>
        <v>RD</v>
      </c>
      <c r="F530" s="41" t="str">
        <v/>
      </c>
      <c r="G530" s="41" t="str">
        <v/>
      </c>
      <c r="H530" s="117">
        <f t="shared" si="1"/>
        <v>0</v>
      </c>
      <c r="I530" s="117">
        <f t="shared" si="2"/>
        <v>10</v>
      </c>
      <c r="J530" s="117">
        <f t="shared" si="3"/>
        <v>10.089999999999998</v>
      </c>
      <c r="K530" s="117" t="str">
        <f t="shared" si="4"/>
        <v>BR</v>
      </c>
      <c r="L530" s="42" t="str">
        <v>BR1009</v>
      </c>
      <c r="M530" s="121" t="str">
        <v/>
      </c>
      <c r="N530" s="121" t="str">
        <v/>
      </c>
      <c r="O530" s="121" t="str">
        <v/>
      </c>
      <c r="P530" s="121" t="str">
        <v/>
      </c>
      <c r="Q530" s="121" t="str">
        <v xml:space="preserve"> 1. </v>
      </c>
      <c r="R530" s="121" t="str">
        <v>The Contact Us page must contain at least the following:</v>
      </c>
      <c r="S530" s="121" t="str">
        <v/>
      </c>
      <c r="T530" s="119" t="str">
        <f>IF($C530&lt;4,IF($C530=3,T531,IF($C530=2,T$1,"")),Q530&amp;R530&amp;IF(LEN(S530)=0,"",Preferences!$C$2&amp;S530)&amp;IF(J531=J530,IF(LEN(R530&amp;S530)=0,"","
")&amp;T531,""))</f>
        <v xml:space="preserve"> 1. The Contact Us page must contain at least the following:
 2. Contact details for the business contact centre
 3. Contact form, to enable a visitor/user to submit a message to the business: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0" s="122" t="str">
        <v/>
      </c>
      <c r="V530" s="42"/>
      <c r="W530" s="42"/>
      <c r="X530" s="42"/>
      <c r="Y530" s="42"/>
      <c r="Z530" s="42"/>
      <c r="AA530" s="42"/>
      <c r="AB530" s="42"/>
    </row>
    <row r="531" spans="1:28" x14ac:dyDescent="0.25">
      <c r="A531" s="42" t="str">
        <v>1.10.9.2</v>
      </c>
      <c r="B531" s="121" t="str">
        <v>Contact details for the business contact centre</v>
      </c>
      <c r="C531" s="41">
        <v>4</v>
      </c>
      <c r="D531" s="41" t="str">
        <v>RD</v>
      </c>
      <c r="E531" s="117" t="str">
        <f t="shared" si="0"/>
        <v>RD</v>
      </c>
      <c r="F531" s="41" t="str">
        <v/>
      </c>
      <c r="G531" s="41" t="str">
        <v/>
      </c>
      <c r="H531" s="117">
        <f t="shared" si="1"/>
        <v>0</v>
      </c>
      <c r="I531" s="117">
        <f t="shared" si="2"/>
        <v>10</v>
      </c>
      <c r="J531" s="117">
        <f t="shared" si="3"/>
        <v>10.089999999999998</v>
      </c>
      <c r="K531" s="117" t="str">
        <f t="shared" si="4"/>
        <v>BR</v>
      </c>
      <c r="L531" s="42" t="str">
        <v>BR1009</v>
      </c>
      <c r="M531" s="121" t="str">
        <v/>
      </c>
      <c r="N531" s="121" t="str">
        <v/>
      </c>
      <c r="O531" s="121" t="str">
        <v/>
      </c>
      <c r="P531" s="121" t="str">
        <v/>
      </c>
      <c r="Q531" s="121" t="str">
        <v xml:space="preserve"> 2. </v>
      </c>
      <c r="R531" s="121" t="str">
        <v>Contact details for the business contact centre</v>
      </c>
      <c r="S531" s="121" t="str">
        <v/>
      </c>
      <c r="T531" s="119" t="str">
        <f>IF($C531&lt;4,IF($C531=3,T532,IF($C531=2,T$1,"")),Q531&amp;R531&amp;IF(LEN(S531)=0,"",Preferences!$C$2&amp;S531)&amp;IF(J532=J531,IF(LEN(R531&amp;S531)=0,"","
")&amp;T532,""))</f>
        <v xml:space="preserve"> 2. Contact details for the business contact centre
 3. Contact form, to enable a visitor/user to submit a message to the business: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1" s="122" t="str">
        <v/>
      </c>
      <c r="V531" s="42"/>
      <c r="W531" s="42"/>
      <c r="X531" s="42"/>
      <c r="Y531" s="42"/>
      <c r="Z531" s="42"/>
      <c r="AA531" s="42"/>
      <c r="AB531" s="42"/>
    </row>
    <row r="532" spans="1:28" x14ac:dyDescent="0.25">
      <c r="A532" s="42" t="str">
        <v>1.10.9.3</v>
      </c>
      <c r="B532" s="121" t="str">
        <v>Contact form, to enable a visitor/user to submit a message to the business:</v>
      </c>
      <c r="C532" s="41">
        <v>4</v>
      </c>
      <c r="D532" s="41" t="str">
        <v>RD</v>
      </c>
      <c r="E532" s="117" t="str">
        <f t="shared" si="0"/>
        <v>RD</v>
      </c>
      <c r="F532" s="41" t="str">
        <v/>
      </c>
      <c r="G532" s="41" t="str">
        <v/>
      </c>
      <c r="H532" s="117">
        <f t="shared" si="1"/>
        <v>0</v>
      </c>
      <c r="I532" s="117">
        <f t="shared" si="2"/>
        <v>10</v>
      </c>
      <c r="J532" s="117">
        <f t="shared" si="3"/>
        <v>10.089999999999998</v>
      </c>
      <c r="K532" s="117" t="str">
        <f t="shared" si="4"/>
        <v>BR</v>
      </c>
      <c r="L532" s="42" t="str">
        <v>BR1009</v>
      </c>
      <c r="M532" s="121" t="str">
        <v/>
      </c>
      <c r="N532" s="121" t="str">
        <v/>
      </c>
      <c r="O532" s="121" t="str">
        <v/>
      </c>
      <c r="P532" s="121" t="str">
        <v/>
      </c>
      <c r="Q532" s="121" t="str">
        <v xml:space="preserve"> 3. </v>
      </c>
      <c r="R532" s="121" t="str">
        <v>Contact form, to enable a visitor/user to submit a message to the business:</v>
      </c>
      <c r="S532" s="121" t="str">
        <v/>
      </c>
      <c r="T532" s="119" t="str">
        <f>IF($C532&lt;4,IF($C532=3,T533,IF($C532=2,T$1,"")),Q532&amp;R532&amp;IF(LEN(S532)=0,"",Preferences!$C$2&amp;S532)&amp;IF(J533=J532,IF(LEN(R532&amp;S532)=0,"","
")&amp;T533,""))</f>
        <v xml:space="preserve"> 3. Contact form, to enable a visitor/user to submit a message to the business: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2" s="122" t="str">
        <v/>
      </c>
      <c r="V532" s="42"/>
      <c r="W532" s="42"/>
      <c r="X532" s="42"/>
      <c r="Y532" s="42"/>
      <c r="Z532" s="42"/>
      <c r="AA532" s="42"/>
      <c r="AB532" s="42"/>
    </row>
    <row r="533" spans="1:28" x14ac:dyDescent="0.25">
      <c r="A533" s="42" t="str">
        <v>1.10.9.3.1</v>
      </c>
      <c r="B533" s="121" t="str">
        <v>Name</v>
      </c>
      <c r="C533" s="41">
        <v>5</v>
      </c>
      <c r="D533" s="41" t="str">
        <v>RL</v>
      </c>
      <c r="E533" s="117" t="str">
        <f t="shared" si="0"/>
        <v>RL</v>
      </c>
      <c r="F533" s="41" t="str">
        <v/>
      </c>
      <c r="G533" s="41" t="str">
        <v/>
      </c>
      <c r="H533" s="117">
        <f t="shared" si="1"/>
        <v>0</v>
      </c>
      <c r="I533" s="117">
        <f t="shared" si="2"/>
        <v>10</v>
      </c>
      <c r="J533" s="117">
        <f t="shared" si="3"/>
        <v>10.089999999999998</v>
      </c>
      <c r="K533" s="117" t="str">
        <f t="shared" si="4"/>
        <v>BR</v>
      </c>
      <c r="L533" s="42" t="str">
        <v>BR1009</v>
      </c>
      <c r="M533" s="121" t="str">
        <v/>
      </c>
      <c r="N533" s="121" t="str">
        <v/>
      </c>
      <c r="O533" s="121" t="str">
        <v/>
      </c>
      <c r="P533" s="121" t="str">
        <v/>
      </c>
      <c r="Q533" s="121" t="str">
        <v/>
      </c>
      <c r="R533" s="121" t="str">
        <v/>
      </c>
      <c r="S533" s="121" t="str">
        <v>Name</v>
      </c>
      <c r="T533" s="119" t="str">
        <f>IF($C533&lt;4,IF($C533=3,T534,IF($C533=2,T$1,"")),Q533&amp;R533&amp;IF(LEN(S533)=0,"",Preferences!$C$2&amp;S533)&amp;IF(J534=J533,IF(LEN(R533&amp;S533)=0,"","
")&amp;T534,""))</f>
        <v xml:space="preserve">	• Name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3" s="122" t="str">
        <v/>
      </c>
      <c r="V533" s="42"/>
      <c r="W533" s="42"/>
      <c r="X533" s="42"/>
      <c r="Y533" s="42"/>
      <c r="Z533" s="42"/>
      <c r="AA533" s="42"/>
      <c r="AB533" s="42"/>
    </row>
    <row r="534" spans="1:28" x14ac:dyDescent="0.25">
      <c r="A534" s="42" t="str">
        <v>1.10.9.3.2</v>
      </c>
      <c r="B534" s="121" t="str">
        <v>Email address (logged-in user cannot modify)</v>
      </c>
      <c r="C534" s="41">
        <v>5</v>
      </c>
      <c r="D534" s="41" t="str">
        <v>RL</v>
      </c>
      <c r="E534" s="117" t="str">
        <f t="shared" si="0"/>
        <v>RL</v>
      </c>
      <c r="F534" s="41" t="str">
        <v/>
      </c>
      <c r="G534" s="41" t="str">
        <v/>
      </c>
      <c r="H534" s="117">
        <f t="shared" si="1"/>
        <v>0</v>
      </c>
      <c r="I534" s="117">
        <f t="shared" si="2"/>
        <v>10</v>
      </c>
      <c r="J534" s="117">
        <f t="shared" si="3"/>
        <v>10.089999999999998</v>
      </c>
      <c r="K534" s="117" t="str">
        <f t="shared" si="4"/>
        <v>BR</v>
      </c>
      <c r="L534" s="42" t="str">
        <v>BR1009</v>
      </c>
      <c r="M534" s="121" t="str">
        <v/>
      </c>
      <c r="N534" s="121" t="str">
        <v/>
      </c>
      <c r="O534" s="121" t="str">
        <v/>
      </c>
      <c r="P534" s="121" t="str">
        <v/>
      </c>
      <c r="Q534" s="121" t="str">
        <v/>
      </c>
      <c r="R534" s="121" t="str">
        <v/>
      </c>
      <c r="S534" s="121" t="str">
        <v>Email address (logged-in user cannot modify)</v>
      </c>
      <c r="T534" s="119" t="str">
        <f>IF($C534&lt;4,IF($C534=3,T535,IF($C534=2,T$1,"")),Q534&amp;R534&amp;IF(LEN(S534)=0,"",Preferences!$C$2&amp;S534)&amp;IF(J535=J534,IF(LEN(R534&amp;S534)=0,"","
")&amp;T535,""))</f>
        <v xml:space="preserve">	• Email address (logged-in user cannot modify)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4" s="122" t="str">
        <v/>
      </c>
      <c r="V534" s="42"/>
      <c r="W534" s="42"/>
      <c r="X534" s="42"/>
      <c r="Y534" s="42"/>
      <c r="Z534" s="42"/>
      <c r="AA534" s="42"/>
      <c r="AB534" s="42"/>
    </row>
    <row r="535" spans="1:28" x14ac:dyDescent="0.25">
      <c r="A535" s="42" t="str">
        <v>1.10.9.3.3</v>
      </c>
      <c r="B535" s="121" t="str">
        <v>Reference (order / return reference)</v>
      </c>
      <c r="C535" s="41">
        <v>5</v>
      </c>
      <c r="D535" s="41" t="str">
        <v>RL</v>
      </c>
      <c r="E535" s="117" t="str">
        <f t="shared" si="0"/>
        <v>RL</v>
      </c>
      <c r="F535" s="41" t="str">
        <v/>
      </c>
      <c r="G535" s="41" t="str">
        <v/>
      </c>
      <c r="H535" s="117">
        <f t="shared" si="1"/>
        <v>0</v>
      </c>
      <c r="I535" s="117">
        <f t="shared" si="2"/>
        <v>10</v>
      </c>
      <c r="J535" s="117">
        <f t="shared" si="3"/>
        <v>10.089999999999998</v>
      </c>
      <c r="K535" s="117" t="str">
        <f t="shared" si="4"/>
        <v>BR</v>
      </c>
      <c r="L535" s="42" t="str">
        <v>BR1009</v>
      </c>
      <c r="M535" s="121" t="str">
        <v/>
      </c>
      <c r="N535" s="121" t="str">
        <v/>
      </c>
      <c r="O535" s="121" t="str">
        <v/>
      </c>
      <c r="P535" s="121" t="str">
        <v/>
      </c>
      <c r="Q535" s="121" t="str">
        <v/>
      </c>
      <c r="R535" s="121" t="str">
        <v/>
      </c>
      <c r="S535" s="121" t="str">
        <v>Reference (order / return reference)</v>
      </c>
      <c r="T535" s="119" t="str">
        <f>IF($C535&lt;4,IF($C535=3,T536,IF($C535=2,T$1,"")),Q535&amp;R535&amp;IF(LEN(S535)=0,"",Preferences!$C$2&amp;S535)&amp;IF(J536=J535,IF(LEN(R535&amp;S535)=0,"","
")&amp;T536,""))</f>
        <v xml:space="preserve">	• Reference (order / return reference)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5" s="122" t="str">
        <v/>
      </c>
      <c r="V535" s="42"/>
      <c r="W535" s="42"/>
      <c r="X535" s="42"/>
      <c r="Y535" s="42"/>
      <c r="Z535" s="42"/>
      <c r="AA535" s="42"/>
      <c r="AB535" s="42"/>
    </row>
    <row r="536" spans="1:28" x14ac:dyDescent="0.25">
      <c r="A536" s="42" t="str">
        <v>1.10.9.3.4</v>
      </c>
      <c r="B536" s="121" t="str">
        <v>Subject</v>
      </c>
      <c r="C536" s="41">
        <v>5</v>
      </c>
      <c r="D536" s="41" t="str">
        <v>RL</v>
      </c>
      <c r="E536" s="117" t="str">
        <f t="shared" si="0"/>
        <v>RL</v>
      </c>
      <c r="F536" s="41" t="str">
        <v/>
      </c>
      <c r="G536" s="41" t="str">
        <v/>
      </c>
      <c r="H536" s="117">
        <f t="shared" si="1"/>
        <v>0</v>
      </c>
      <c r="I536" s="117">
        <f t="shared" si="2"/>
        <v>10</v>
      </c>
      <c r="J536" s="117">
        <f t="shared" si="3"/>
        <v>10.089999999999998</v>
      </c>
      <c r="K536" s="117" t="str">
        <f t="shared" si="4"/>
        <v>BR</v>
      </c>
      <c r="L536" s="42" t="str">
        <v>BR1009</v>
      </c>
      <c r="M536" s="121" t="str">
        <v/>
      </c>
      <c r="N536" s="121" t="str">
        <v/>
      </c>
      <c r="O536" s="121" t="str">
        <v/>
      </c>
      <c r="P536" s="121" t="str">
        <v/>
      </c>
      <c r="Q536" s="121" t="str">
        <v/>
      </c>
      <c r="R536" s="121" t="str">
        <v/>
      </c>
      <c r="S536" s="121" t="str">
        <v>Subject</v>
      </c>
      <c r="T536" s="119" t="str">
        <f>IF($C536&lt;4,IF($C536=3,T537,IF($C536=2,T$1,"")),Q536&amp;R536&amp;IF(LEN(S536)=0,"",Preferences!$C$2&amp;S536)&amp;IF(J537=J536,IF(LEN(R536&amp;S536)=0,"","
")&amp;T537,""))</f>
        <v xml:space="preserve">	• Subject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6" s="122" t="str">
        <v/>
      </c>
      <c r="V536" s="42"/>
      <c r="W536" s="42"/>
      <c r="X536" s="42"/>
      <c r="Y536" s="42"/>
      <c r="Z536" s="42"/>
      <c r="AA536" s="42"/>
      <c r="AB536" s="42"/>
    </row>
    <row r="537" spans="1:28" x14ac:dyDescent="0.25">
      <c r="A537" s="42" t="str">
        <v>1.10.9.3.5</v>
      </c>
      <c r="B537" s="121" t="str">
        <v>Text description (plain text, but multi-line)</v>
      </c>
      <c r="C537" s="41">
        <v>5</v>
      </c>
      <c r="D537" s="41" t="str">
        <v>RL</v>
      </c>
      <c r="E537" s="117" t="str">
        <f t="shared" si="0"/>
        <v>RL</v>
      </c>
      <c r="F537" s="41" t="str">
        <v/>
      </c>
      <c r="G537" s="41" t="str">
        <v/>
      </c>
      <c r="H537" s="117">
        <f t="shared" si="1"/>
        <v>0</v>
      </c>
      <c r="I537" s="117">
        <f t="shared" si="2"/>
        <v>10</v>
      </c>
      <c r="J537" s="117">
        <f t="shared" si="3"/>
        <v>10.089999999999998</v>
      </c>
      <c r="K537" s="117" t="str">
        <f t="shared" si="4"/>
        <v>BR</v>
      </c>
      <c r="L537" s="42" t="str">
        <v>BR1009</v>
      </c>
      <c r="M537" s="121" t="str">
        <v/>
      </c>
      <c r="N537" s="121" t="str">
        <v/>
      </c>
      <c r="O537" s="121" t="str">
        <v/>
      </c>
      <c r="P537" s="121" t="str">
        <v/>
      </c>
      <c r="Q537" s="121" t="str">
        <v/>
      </c>
      <c r="R537" s="121" t="str">
        <v/>
      </c>
      <c r="S537" s="121" t="str">
        <v>Text description (plain text, but multi-line)</v>
      </c>
      <c r="T537" s="119" t="str">
        <f>IF($C537&lt;4,IF($C537=3,T538,IF($C537=2,T$1,"")),Q537&amp;R537&amp;IF(LEN(S537)=0,"",Preferences!$C$2&amp;S537)&amp;IF(J538=J537,IF(LEN(R537&amp;S537)=0,"","
")&amp;T538,""))</f>
        <v xml:space="preserve">	• Text description (plain text, but multi-line)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7" s="122" t="str">
        <v/>
      </c>
      <c r="V537" s="42"/>
      <c r="W537" s="42"/>
      <c r="X537" s="42"/>
      <c r="Y537" s="42"/>
      <c r="Z537" s="42"/>
      <c r="AA537" s="42"/>
      <c r="AB537" s="42"/>
    </row>
    <row r="538" spans="1:28" x14ac:dyDescent="0.25">
      <c r="A538" s="42" t="str">
        <v>1.10.9.3.6</v>
      </c>
      <c r="B538" s="121" t="str">
        <v>For anonymous visitors, a CAPTCHA prompt is recommended to be required.</v>
      </c>
      <c r="C538" s="41">
        <v>5</v>
      </c>
      <c r="D538" s="41" t="str">
        <v>RL</v>
      </c>
      <c r="E538" s="117" t="str">
        <f t="shared" si="0"/>
        <v>RL</v>
      </c>
      <c r="F538" s="41" t="str">
        <v/>
      </c>
      <c r="G538" s="41" t="str">
        <v/>
      </c>
      <c r="H538" s="117">
        <f t="shared" si="1"/>
        <v>0</v>
      </c>
      <c r="I538" s="117">
        <f t="shared" si="2"/>
        <v>10</v>
      </c>
      <c r="J538" s="117">
        <f t="shared" si="3"/>
        <v>10.089999999999998</v>
      </c>
      <c r="K538" s="117" t="str">
        <f t="shared" si="4"/>
        <v>BR</v>
      </c>
      <c r="L538" s="42" t="str">
        <v>BR1009</v>
      </c>
      <c r="M538" s="121" t="str">
        <v/>
      </c>
      <c r="N538" s="121" t="str">
        <v/>
      </c>
      <c r="O538" s="121" t="str">
        <v/>
      </c>
      <c r="P538" s="121" t="str">
        <v/>
      </c>
      <c r="Q538" s="121" t="str">
        <v/>
      </c>
      <c r="R538" s="121" t="str">
        <v/>
      </c>
      <c r="S538" s="121" t="str">
        <v>For anonymous visitors, a CAPTCHA prompt is recommended to be required.</v>
      </c>
      <c r="T538" s="119" t="str">
        <f>IF($C538&lt;4,IF($C538=3,T539,IF($C538=2,T$1,"")),Q538&amp;R538&amp;IF(LEN(S538)=0,"",Preferences!$C$2&amp;S538)&amp;IF(J539=J538,IF(LEN(R538&amp;S538)=0,"","
")&amp;T539,""))</f>
        <v xml:space="preserve">	• For anonymous visitors, a CAPTCHA prompt is recommended to be required.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8" s="122" t="str">
        <v/>
      </c>
      <c r="V538" s="42"/>
      <c r="W538" s="42"/>
      <c r="X538" s="42"/>
      <c r="Y538" s="42"/>
      <c r="Z538" s="42"/>
      <c r="AA538" s="42"/>
      <c r="AB538" s="42"/>
    </row>
    <row r="539" spans="1:28" x14ac:dyDescent="0.25">
      <c r="A539" s="42" t="str">
        <v>1.10.9.4</v>
      </c>
      <c r="B539" s="121" t="str">
        <v>Cater for at least the following topics via the online shop contact form:</v>
      </c>
      <c r="C539" s="41">
        <v>4</v>
      </c>
      <c r="D539" s="41" t="str">
        <v>RD</v>
      </c>
      <c r="E539" s="117" t="str">
        <f t="shared" si="0"/>
        <v>RD</v>
      </c>
      <c r="F539" s="41" t="str">
        <v/>
      </c>
      <c r="G539" s="41" t="str">
        <v/>
      </c>
      <c r="H539" s="117">
        <f t="shared" si="1"/>
        <v>0</v>
      </c>
      <c r="I539" s="117">
        <f t="shared" si="2"/>
        <v>10</v>
      </c>
      <c r="J539" s="117">
        <f t="shared" si="3"/>
        <v>10.089999999999998</v>
      </c>
      <c r="K539" s="117" t="str">
        <f t="shared" si="4"/>
        <v>BR</v>
      </c>
      <c r="L539" s="42" t="str">
        <v>BR1009</v>
      </c>
      <c r="M539" s="121" t="str">
        <v/>
      </c>
      <c r="N539" s="121" t="str">
        <v/>
      </c>
      <c r="O539" s="121" t="str">
        <v/>
      </c>
      <c r="P539" s="121" t="str">
        <v/>
      </c>
      <c r="Q539" s="121" t="str">
        <v xml:space="preserve"> 4. </v>
      </c>
      <c r="R539" s="121" t="str">
        <v>Cater for at least the following topics via the online shop contact form:</v>
      </c>
      <c r="S539" s="121" t="str">
        <v/>
      </c>
      <c r="T539" s="119" t="str">
        <f>IF($C539&lt;4,IF($C539=3,T540,IF($C539=2,T$1,"")),Q539&amp;R539&amp;IF(LEN(S539)=0,"",Preferences!$C$2&amp;S539)&amp;IF(J540=J539,IF(LEN(R539&amp;S539)=0,"","
")&amp;T540,""))</f>
        <v xml:space="preserve"> 4. Cater for at least the following topics via the online shop contact form: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39" s="122" t="str">
        <v/>
      </c>
      <c r="V539" s="42"/>
      <c r="W539" s="42"/>
      <c r="X539" s="42"/>
      <c r="Y539" s="42"/>
      <c r="Z539" s="42"/>
      <c r="AA539" s="42"/>
      <c r="AB539" s="42"/>
    </row>
    <row r="540" spans="1:28" x14ac:dyDescent="0.25">
      <c r="A540" s="42" t="str">
        <v>1.10.9.4.1</v>
      </c>
      <c r="B540" s="121" t="str">
        <v>Shopping General Issue / Suggestion</v>
      </c>
      <c r="C540" s="41">
        <v>5</v>
      </c>
      <c r="D540" s="41" t="str">
        <v>RL</v>
      </c>
      <c r="E540" s="117" t="str">
        <f t="shared" si="0"/>
        <v>RL</v>
      </c>
      <c r="F540" s="41" t="str">
        <v/>
      </c>
      <c r="G540" s="41" t="str">
        <v/>
      </c>
      <c r="H540" s="117">
        <f t="shared" si="1"/>
        <v>0</v>
      </c>
      <c r="I540" s="117">
        <f t="shared" si="2"/>
        <v>10</v>
      </c>
      <c r="J540" s="117">
        <f t="shared" si="3"/>
        <v>10.089999999999998</v>
      </c>
      <c r="K540" s="117" t="str">
        <f t="shared" si="4"/>
        <v>BR</v>
      </c>
      <c r="L540" s="42" t="str">
        <v>BR1009</v>
      </c>
      <c r="M540" s="121" t="str">
        <v/>
      </c>
      <c r="N540" s="121" t="str">
        <v/>
      </c>
      <c r="O540" s="121" t="str">
        <v/>
      </c>
      <c r="P540" s="121" t="str">
        <v/>
      </c>
      <c r="Q540" s="121" t="str">
        <v/>
      </c>
      <c r="R540" s="121" t="str">
        <v/>
      </c>
      <c r="S540" s="121" t="str">
        <v>Shopping General Issue / Suggestion</v>
      </c>
      <c r="T540" s="119" t="str">
        <f>IF($C540&lt;4,IF($C540=3,T541,IF($C540=2,T$1,"")),Q540&amp;R540&amp;IF(LEN(S540)=0,"",Preferences!$C$2&amp;S540)&amp;IF(J541=J540,IF(LEN(R540&amp;S540)=0,"","
")&amp;T541,""))</f>
        <v xml:space="preserve">	• Shopping General Issue / Suggestion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0" s="122" t="str">
        <v/>
      </c>
      <c r="V540" s="42"/>
      <c r="W540" s="42"/>
      <c r="X540" s="42"/>
      <c r="Y540" s="42"/>
      <c r="Z540" s="42"/>
      <c r="AA540" s="42"/>
      <c r="AB540" s="42"/>
    </row>
    <row r="541" spans="1:28" x14ac:dyDescent="0.25">
      <c r="A541" s="42" t="str">
        <v>1.10.9.4.2</v>
      </c>
      <c r="B541" s="121" t="str">
        <v>Complaint / Compliment</v>
      </c>
      <c r="C541" s="41">
        <v>5</v>
      </c>
      <c r="D541" s="41" t="str">
        <v>RL</v>
      </c>
      <c r="E541" s="117" t="str">
        <f t="shared" si="0"/>
        <v>RL</v>
      </c>
      <c r="F541" s="41" t="str">
        <v/>
      </c>
      <c r="G541" s="41" t="str">
        <v/>
      </c>
      <c r="H541" s="117">
        <f t="shared" si="1"/>
        <v>0</v>
      </c>
      <c r="I541" s="117">
        <f t="shared" si="2"/>
        <v>10</v>
      </c>
      <c r="J541" s="117">
        <f t="shared" si="3"/>
        <v>10.089999999999998</v>
      </c>
      <c r="K541" s="117" t="str">
        <f t="shared" si="4"/>
        <v>BR</v>
      </c>
      <c r="L541" s="42" t="str">
        <v>BR1009</v>
      </c>
      <c r="M541" s="121" t="str">
        <v/>
      </c>
      <c r="N541" s="121" t="str">
        <v/>
      </c>
      <c r="O541" s="121" t="str">
        <v/>
      </c>
      <c r="P541" s="121" t="str">
        <v/>
      </c>
      <c r="Q541" s="121" t="str">
        <v/>
      </c>
      <c r="R541" s="121" t="str">
        <v/>
      </c>
      <c r="S541" s="121" t="str">
        <v>Complaint / Compliment</v>
      </c>
      <c r="T541" s="119" t="str">
        <f>IF($C541&lt;4,IF($C541=3,T542,IF($C541=2,T$1,"")),Q541&amp;R541&amp;IF(LEN(S541)=0,"",Preferences!$C$2&amp;S541)&amp;IF(J542=J541,IF(LEN(R541&amp;S541)=0,"","
")&amp;T542,""))</f>
        <v xml:space="preserve">	• Complaint / Compliment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1" s="122" t="str">
        <v/>
      </c>
      <c r="V541" s="42"/>
      <c r="W541" s="42"/>
      <c r="X541" s="42"/>
      <c r="Y541" s="42"/>
      <c r="Z541" s="42"/>
      <c r="AA541" s="42"/>
      <c r="AB541" s="42"/>
    </row>
    <row r="542" spans="1:28" x14ac:dyDescent="0.25">
      <c r="A542" s="42" t="str">
        <v>1.10.9.4.3</v>
      </c>
      <c r="B542" s="121" t="str">
        <v>Advertisement</v>
      </c>
      <c r="C542" s="41">
        <v>5</v>
      </c>
      <c r="D542" s="41" t="str">
        <v>RL</v>
      </c>
      <c r="E542" s="117" t="str">
        <f t="shared" si="0"/>
        <v>RL</v>
      </c>
      <c r="F542" s="41" t="str">
        <v/>
      </c>
      <c r="G542" s="41" t="str">
        <v/>
      </c>
      <c r="H542" s="117">
        <f t="shared" si="1"/>
        <v>0</v>
      </c>
      <c r="I542" s="117">
        <f t="shared" si="2"/>
        <v>10</v>
      </c>
      <c r="J542" s="117">
        <f t="shared" si="3"/>
        <v>10.089999999999998</v>
      </c>
      <c r="K542" s="117" t="str">
        <f t="shared" si="4"/>
        <v>BR</v>
      </c>
      <c r="L542" s="42" t="str">
        <v>BR1009</v>
      </c>
      <c r="M542" s="121" t="str">
        <v/>
      </c>
      <c r="N542" s="121" t="str">
        <v/>
      </c>
      <c r="O542" s="121" t="str">
        <v/>
      </c>
      <c r="P542" s="121" t="str">
        <v/>
      </c>
      <c r="Q542" s="121" t="str">
        <v/>
      </c>
      <c r="R542" s="121" t="str">
        <v/>
      </c>
      <c r="S542" s="121" t="str">
        <v>Advertisement</v>
      </c>
      <c r="T542" s="119" t="str">
        <f>IF($C542&lt;4,IF($C542=3,T543,IF($C542=2,T$1,"")),Q542&amp;R542&amp;IF(LEN(S542)=0,"",Preferences!$C$2&amp;S542)&amp;IF(J543=J542,IF(LEN(R542&amp;S542)=0,"","
")&amp;T543,""))</f>
        <v xml:space="preserve">	• Advertisement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2" s="122" t="str">
        <v/>
      </c>
      <c r="V542" s="42"/>
      <c r="W542" s="42"/>
      <c r="X542" s="42"/>
      <c r="Y542" s="42"/>
      <c r="Z542" s="42"/>
      <c r="AA542" s="42"/>
      <c r="AB542" s="42"/>
    </row>
    <row r="543" spans="1:28" x14ac:dyDescent="0.25">
      <c r="A543" s="42" t="str">
        <v>1.10.9.4.4</v>
      </c>
      <c r="B543" s="121" t="str">
        <v>Product Issue / Suggestion</v>
      </c>
      <c r="C543" s="41">
        <v>5</v>
      </c>
      <c r="D543" s="41" t="str">
        <v>RL</v>
      </c>
      <c r="E543" s="117" t="str">
        <f t="shared" si="0"/>
        <v>RL</v>
      </c>
      <c r="F543" s="41" t="str">
        <v/>
      </c>
      <c r="G543" s="41" t="str">
        <v/>
      </c>
      <c r="H543" s="117">
        <f t="shared" si="1"/>
        <v>0</v>
      </c>
      <c r="I543" s="117">
        <f t="shared" si="2"/>
        <v>10</v>
      </c>
      <c r="J543" s="117">
        <f t="shared" si="3"/>
        <v>10.089999999999998</v>
      </c>
      <c r="K543" s="117" t="str">
        <f t="shared" si="4"/>
        <v>BR</v>
      </c>
      <c r="L543" s="42" t="str">
        <v>BR1009</v>
      </c>
      <c r="M543" s="121" t="str">
        <v/>
      </c>
      <c r="N543" s="121" t="str">
        <v/>
      </c>
      <c r="O543" s="121" t="str">
        <v/>
      </c>
      <c r="P543" s="121" t="str">
        <v/>
      </c>
      <c r="Q543" s="121" t="str">
        <v/>
      </c>
      <c r="R543" s="121" t="str">
        <v/>
      </c>
      <c r="S543" s="121" t="str">
        <v>Product Issue / Suggestion</v>
      </c>
      <c r="T543" s="119" t="str">
        <f>IF($C543&lt;4,IF($C543=3,T544,IF($C543=2,T$1,"")),Q543&amp;R543&amp;IF(LEN(S543)=0,"",Preferences!$C$2&amp;S543)&amp;IF(J544=J543,IF(LEN(R543&amp;S543)=0,"","
")&amp;T544,""))</f>
        <v xml:space="preserve">	• Product Issue / Suggestion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3" s="122" t="str">
        <v/>
      </c>
      <c r="V543" s="42"/>
      <c r="W543" s="42"/>
      <c r="X543" s="42"/>
      <c r="Y543" s="42"/>
      <c r="Z543" s="42"/>
      <c r="AA543" s="42"/>
      <c r="AB543" s="42"/>
    </row>
    <row r="544" spans="1:28" x14ac:dyDescent="0.25">
      <c r="A544" s="42" t="str">
        <v>1.10.9.4.5</v>
      </c>
      <c r="B544" s="121" t="str">
        <v>Price</v>
      </c>
      <c r="C544" s="41">
        <v>5</v>
      </c>
      <c r="D544" s="41" t="str">
        <v>RL</v>
      </c>
      <c r="E544" s="117" t="str">
        <f t="shared" si="0"/>
        <v>RL</v>
      </c>
      <c r="F544" s="41" t="str">
        <v/>
      </c>
      <c r="G544" s="41" t="str">
        <v/>
      </c>
      <c r="H544" s="117">
        <f t="shared" si="1"/>
        <v>0</v>
      </c>
      <c r="I544" s="117">
        <f t="shared" si="2"/>
        <v>10</v>
      </c>
      <c r="J544" s="117">
        <f t="shared" si="3"/>
        <v>10.089999999999998</v>
      </c>
      <c r="K544" s="117" t="str">
        <f t="shared" si="4"/>
        <v>BR</v>
      </c>
      <c r="L544" s="42" t="str">
        <v>BR1009</v>
      </c>
      <c r="M544" s="121" t="str">
        <v/>
      </c>
      <c r="N544" s="121" t="str">
        <v/>
      </c>
      <c r="O544" s="121" t="str">
        <v/>
      </c>
      <c r="P544" s="121" t="str">
        <v/>
      </c>
      <c r="Q544" s="121" t="str">
        <v/>
      </c>
      <c r="R544" s="121" t="str">
        <v/>
      </c>
      <c r="S544" s="121" t="str">
        <v>Price</v>
      </c>
      <c r="T544" s="119" t="str">
        <f>IF($C544&lt;4,IF($C544=3,T545,IF($C544=2,T$1,"")),Q544&amp;R544&amp;IF(LEN(S544)=0,"",Preferences!$C$2&amp;S544)&amp;IF(J545=J544,IF(LEN(R544&amp;S544)=0,"","
")&amp;T545,""))</f>
        <v xml:space="preserve">	• Price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4" s="122" t="str">
        <v/>
      </c>
      <c r="V544" s="42"/>
      <c r="W544" s="42"/>
      <c r="X544" s="42"/>
      <c r="Y544" s="42"/>
      <c r="Z544" s="42"/>
      <c r="AA544" s="42"/>
      <c r="AB544" s="42"/>
    </row>
    <row r="545" spans="1:28" x14ac:dyDescent="0.25">
      <c r="A545" s="42" t="str">
        <v>1.10.9.4.6</v>
      </c>
      <c r="B545" s="121" t="str">
        <v>Article Issue / Suggestion</v>
      </c>
      <c r="C545" s="41">
        <v>5</v>
      </c>
      <c r="D545" s="41" t="str">
        <v>RL</v>
      </c>
      <c r="E545" s="117" t="str">
        <f t="shared" si="0"/>
        <v>RL</v>
      </c>
      <c r="F545" s="41" t="str">
        <v/>
      </c>
      <c r="G545" s="41" t="str">
        <v/>
      </c>
      <c r="H545" s="117">
        <f t="shared" si="1"/>
        <v>0</v>
      </c>
      <c r="I545" s="117">
        <f t="shared" si="2"/>
        <v>10</v>
      </c>
      <c r="J545" s="117">
        <f t="shared" si="3"/>
        <v>10.089999999999998</v>
      </c>
      <c r="K545" s="117" t="str">
        <f t="shared" si="4"/>
        <v>BR</v>
      </c>
      <c r="L545" s="42" t="str">
        <v>BR1009</v>
      </c>
      <c r="M545" s="121" t="str">
        <v/>
      </c>
      <c r="N545" s="121" t="str">
        <v/>
      </c>
      <c r="O545" s="121" t="str">
        <v/>
      </c>
      <c r="P545" s="121" t="str">
        <v/>
      </c>
      <c r="Q545" s="121" t="str">
        <v/>
      </c>
      <c r="R545" s="121" t="str">
        <v/>
      </c>
      <c r="S545" s="121" t="str">
        <v>Article Issue / Suggestion</v>
      </c>
      <c r="T545" s="119" t="str">
        <f>IF($C545&lt;4,IF($C545=3,T546,IF($C545=2,T$1,"")),Q545&amp;R545&amp;IF(LEN(S545)=0,"",Preferences!$C$2&amp;S545)&amp;IF(J546=J545,IF(LEN(R545&amp;S545)=0,"","
")&amp;T546,""))</f>
        <v xml:space="preserve">	• Article Issue / Suggestion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5" s="122" t="str">
        <v/>
      </c>
      <c r="V545" s="42"/>
      <c r="W545" s="42"/>
      <c r="X545" s="42"/>
      <c r="Y545" s="42"/>
      <c r="Z545" s="42"/>
      <c r="AA545" s="42"/>
      <c r="AB545" s="42"/>
    </row>
    <row r="546" spans="1:28" x14ac:dyDescent="0.25">
      <c r="A546" s="42" t="str">
        <v>1.10.9.4.7</v>
      </c>
      <c r="B546" s="121" t="str">
        <v>Checkout and Payment Issue / Suggestion</v>
      </c>
      <c r="C546" s="41">
        <v>5</v>
      </c>
      <c r="D546" s="41" t="str">
        <v>RL</v>
      </c>
      <c r="E546" s="117" t="str">
        <f t="shared" si="0"/>
        <v>RL</v>
      </c>
      <c r="F546" s="41" t="str">
        <v/>
      </c>
      <c r="G546" s="41" t="str">
        <v/>
      </c>
      <c r="H546" s="117">
        <f t="shared" si="1"/>
        <v>0</v>
      </c>
      <c r="I546" s="117">
        <f t="shared" si="2"/>
        <v>10</v>
      </c>
      <c r="J546" s="117">
        <f t="shared" si="3"/>
        <v>10.089999999999998</v>
      </c>
      <c r="K546" s="117" t="str">
        <f t="shared" si="4"/>
        <v>BR</v>
      </c>
      <c r="L546" s="42" t="str">
        <v>BR1009</v>
      </c>
      <c r="M546" s="121" t="str">
        <v/>
      </c>
      <c r="N546" s="121" t="str">
        <v/>
      </c>
      <c r="O546" s="121" t="str">
        <v/>
      </c>
      <c r="P546" s="121" t="str">
        <v/>
      </c>
      <c r="Q546" s="121" t="str">
        <v/>
      </c>
      <c r="R546" s="121" t="str">
        <v/>
      </c>
      <c r="S546" s="121" t="str">
        <v>Checkout and Payment Issue / Suggestion</v>
      </c>
      <c r="T546" s="119" t="str">
        <f>IF($C546&lt;4,IF($C546=3,T547,IF($C546=2,T$1,"")),Q546&amp;R546&amp;IF(LEN(S546)=0,"",Preferences!$C$2&amp;S546)&amp;IF(J547=J546,IF(LEN(R546&amp;S546)=0,"","
")&amp;T547,""))</f>
        <v xml:space="preserve">	• Checkout and Payment Issue / Suggestion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6" s="122" t="str">
        <v/>
      </c>
      <c r="V546" s="42"/>
      <c r="W546" s="42"/>
      <c r="X546" s="42"/>
      <c r="Y546" s="42"/>
      <c r="Z546" s="42"/>
      <c r="AA546" s="42"/>
      <c r="AB546" s="42"/>
    </row>
    <row r="547" spans="1:28" x14ac:dyDescent="0.25">
      <c r="A547" s="42" t="str">
        <v>1.10.9.5</v>
      </c>
      <c r="B547" s="121" t="str">
        <v>Provide information to direct the customer to the appropriate area for the following:</v>
      </c>
      <c r="C547" s="41">
        <v>4</v>
      </c>
      <c r="D547" s="41" t="str">
        <v>RD</v>
      </c>
      <c r="E547" s="117" t="str">
        <f t="shared" si="0"/>
        <v>RD</v>
      </c>
      <c r="F547" s="41" t="str">
        <v/>
      </c>
      <c r="G547" s="41" t="str">
        <v/>
      </c>
      <c r="H547" s="117">
        <f t="shared" si="1"/>
        <v>0</v>
      </c>
      <c r="I547" s="117">
        <f t="shared" si="2"/>
        <v>10</v>
      </c>
      <c r="J547" s="117">
        <f t="shared" si="3"/>
        <v>10.089999999999998</v>
      </c>
      <c r="K547" s="117" t="str">
        <f t="shared" si="4"/>
        <v>BR</v>
      </c>
      <c r="L547" s="42" t="str">
        <v>BR1009</v>
      </c>
      <c r="M547" s="121" t="str">
        <v/>
      </c>
      <c r="N547" s="121" t="str">
        <v/>
      </c>
      <c r="O547" s="121" t="str">
        <v/>
      </c>
      <c r="P547" s="121" t="str">
        <v/>
      </c>
      <c r="Q547" s="121" t="str">
        <v xml:space="preserve"> 5. </v>
      </c>
      <c r="R547" s="121" t="str">
        <v>Provide information to direct the customer to the appropriate area for the following:</v>
      </c>
      <c r="S547" s="121" t="str">
        <v/>
      </c>
      <c r="T547" s="119" t="str">
        <f>IF($C547&lt;4,IF($C547=3,T548,IF($C547=2,T$1,"")),Q547&amp;R547&amp;IF(LEN(S547)=0,"",Preferences!$C$2&amp;S547)&amp;IF(J548=J547,IF(LEN(R547&amp;S547)=0,"","
")&amp;T548,""))</f>
        <v xml:space="preserve"> 5. Provide information to direct the customer to the appropriate area for the following: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7" s="122" t="str">
        <v/>
      </c>
      <c r="V547" s="42"/>
      <c r="W547" s="42"/>
      <c r="X547" s="42"/>
      <c r="Y547" s="42"/>
      <c r="Z547" s="42"/>
      <c r="AA547" s="42"/>
      <c r="AB547" s="42"/>
    </row>
    <row r="548" spans="1:28" x14ac:dyDescent="0.25">
      <c r="A548" s="42" t="str">
        <v>1.10.9.5.1</v>
      </c>
      <c r="B548" s="121" t="str">
        <v>Order Enquiry</v>
      </c>
      <c r="C548" s="41">
        <v>5</v>
      </c>
      <c r="D548" s="41" t="str">
        <v>RL</v>
      </c>
      <c r="E548" s="117" t="str">
        <f t="shared" si="0"/>
        <v>RL</v>
      </c>
      <c r="F548" s="41" t="str">
        <v/>
      </c>
      <c r="G548" s="41" t="str">
        <v/>
      </c>
      <c r="H548" s="117">
        <f t="shared" si="1"/>
        <v>0</v>
      </c>
      <c r="I548" s="117">
        <f t="shared" si="2"/>
        <v>10</v>
      </c>
      <c r="J548" s="117">
        <f t="shared" si="3"/>
        <v>10.089999999999998</v>
      </c>
      <c r="K548" s="117" t="str">
        <f t="shared" si="4"/>
        <v>BR</v>
      </c>
      <c r="L548" s="42" t="str">
        <v>BR1009</v>
      </c>
      <c r="M548" s="121" t="str">
        <v/>
      </c>
      <c r="N548" s="121" t="str">
        <v/>
      </c>
      <c r="O548" s="121" t="str">
        <v/>
      </c>
      <c r="P548" s="121" t="str">
        <v/>
      </c>
      <c r="Q548" s="121" t="str">
        <v/>
      </c>
      <c r="R548" s="121" t="str">
        <v/>
      </c>
      <c r="S548" s="121" t="str">
        <v>Order Enquiry</v>
      </c>
      <c r="T548" s="119" t="str">
        <f>IF($C548&lt;4,IF($C548=3,T549,IF($C548=2,T$1,"")),Q548&amp;R548&amp;IF(LEN(S548)=0,"",Preferences!$C$2&amp;S548)&amp;IF(J549=J548,IF(LEN(R548&amp;S548)=0,"","
")&amp;T549,""))</f>
        <v xml:space="preserve">	• Order Enquiry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8" s="122" t="str">
        <v/>
      </c>
      <c r="V548" s="42"/>
      <c r="W548" s="42"/>
      <c r="X548" s="42"/>
      <c r="Y548" s="42"/>
      <c r="Z548" s="42"/>
      <c r="AA548" s="42"/>
      <c r="AB548" s="42"/>
    </row>
    <row r="549" spans="1:28" x14ac:dyDescent="0.25">
      <c r="A549" s="42" t="str">
        <v>1.10.9.5.2</v>
      </c>
      <c r="B549" s="121" t="str">
        <v>Order Cancellation Request</v>
      </c>
      <c r="C549" s="41">
        <v>5</v>
      </c>
      <c r="D549" s="41" t="str">
        <v>RL</v>
      </c>
      <c r="E549" s="117" t="str">
        <f t="shared" si="0"/>
        <v>RL</v>
      </c>
      <c r="F549" s="41" t="str">
        <v/>
      </c>
      <c r="G549" s="41" t="str">
        <v/>
      </c>
      <c r="H549" s="117">
        <f t="shared" si="1"/>
        <v>0</v>
      </c>
      <c r="I549" s="117">
        <f t="shared" si="2"/>
        <v>10</v>
      </c>
      <c r="J549" s="117">
        <f t="shared" si="3"/>
        <v>10.089999999999998</v>
      </c>
      <c r="K549" s="117" t="str">
        <f t="shared" si="4"/>
        <v>BR</v>
      </c>
      <c r="L549" s="42" t="str">
        <v>BR1009</v>
      </c>
      <c r="M549" s="121" t="str">
        <v/>
      </c>
      <c r="N549" s="121" t="str">
        <v/>
      </c>
      <c r="O549" s="121" t="str">
        <v/>
      </c>
      <c r="P549" s="121" t="str">
        <v/>
      </c>
      <c r="Q549" s="121" t="str">
        <v/>
      </c>
      <c r="R549" s="121" t="str">
        <v/>
      </c>
      <c r="S549" s="121" t="str">
        <v>Order Cancellation Request</v>
      </c>
      <c r="T549" s="119" t="str">
        <f>IF($C549&lt;4,IF($C549=3,T550,IF($C549=2,T$1,"")),Q549&amp;R549&amp;IF(LEN(S549)=0,"",Preferences!$C$2&amp;S549)&amp;IF(J550=J549,IF(LEN(R549&amp;S549)=0,"","
")&amp;T550,""))</f>
        <v xml:space="preserve">	• Order Cancellation Request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49" s="122" t="str">
        <v/>
      </c>
      <c r="V549" s="42"/>
      <c r="W549" s="42"/>
      <c r="X549" s="42"/>
      <c r="Y549" s="42"/>
      <c r="Z549" s="42"/>
      <c r="AA549" s="42"/>
      <c r="AB549" s="42"/>
    </row>
    <row r="550" spans="1:28" x14ac:dyDescent="0.25">
      <c r="A550" s="42" t="str">
        <v>1.10.9.5.3</v>
      </c>
      <c r="B550" s="121" t="str">
        <v>Return Request</v>
      </c>
      <c r="C550" s="41">
        <v>5</v>
      </c>
      <c r="D550" s="41" t="str">
        <v>RL</v>
      </c>
      <c r="E550" s="117" t="str">
        <f t="shared" si="0"/>
        <v>RL</v>
      </c>
      <c r="F550" s="41" t="str">
        <v/>
      </c>
      <c r="G550" s="41" t="str">
        <v/>
      </c>
      <c r="H550" s="117">
        <f t="shared" si="1"/>
        <v>0</v>
      </c>
      <c r="I550" s="117">
        <f t="shared" si="2"/>
        <v>10</v>
      </c>
      <c r="J550" s="117">
        <f t="shared" si="3"/>
        <v>10.089999999999998</v>
      </c>
      <c r="K550" s="117" t="str">
        <f t="shared" si="4"/>
        <v>BR</v>
      </c>
      <c r="L550" s="42" t="str">
        <v>BR1009</v>
      </c>
      <c r="M550" s="121" t="str">
        <v/>
      </c>
      <c r="N550" s="121" t="str">
        <v/>
      </c>
      <c r="O550" s="121" t="str">
        <v/>
      </c>
      <c r="P550" s="121" t="str">
        <v/>
      </c>
      <c r="Q550" s="121" t="str">
        <v/>
      </c>
      <c r="R550" s="121" t="str">
        <v/>
      </c>
      <c r="S550" s="121" t="str">
        <v>Return Request</v>
      </c>
      <c r="T550" s="119" t="str">
        <f>IF($C550&lt;4,IF($C550=3,T551,IF($C550=2,T$1,"")),Q550&amp;R550&amp;IF(LEN(S550)=0,"",Preferences!$C$2&amp;S550)&amp;IF(J551=J550,IF(LEN(R550&amp;S550)=0,"","
")&amp;T551,""))</f>
        <v xml:space="preserve">	• Return Request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0" s="122" t="str">
        <v/>
      </c>
      <c r="V550" s="42"/>
      <c r="W550" s="42"/>
      <c r="X550" s="42"/>
      <c r="Y550" s="42"/>
      <c r="Z550" s="42"/>
      <c r="AA550" s="42"/>
      <c r="AB550" s="42"/>
    </row>
    <row r="551" spans="1:28" x14ac:dyDescent="0.25">
      <c r="A551" s="42" t="str">
        <v>1.10.9.5.4</v>
      </c>
      <c r="B551" s="121" t="str">
        <v>Return Enquiry</v>
      </c>
      <c r="C551" s="41">
        <v>5</v>
      </c>
      <c r="D551" s="41" t="str">
        <v>RL</v>
      </c>
      <c r="E551" s="117" t="str">
        <f t="shared" si="0"/>
        <v>RL</v>
      </c>
      <c r="F551" s="41" t="str">
        <v/>
      </c>
      <c r="G551" s="41" t="str">
        <v/>
      </c>
      <c r="H551" s="117">
        <f t="shared" si="1"/>
        <v>0</v>
      </c>
      <c r="I551" s="117">
        <f t="shared" si="2"/>
        <v>10</v>
      </c>
      <c r="J551" s="117">
        <f t="shared" si="3"/>
        <v>10.089999999999998</v>
      </c>
      <c r="K551" s="117" t="str">
        <f t="shared" si="4"/>
        <v>BR</v>
      </c>
      <c r="L551" s="42" t="str">
        <v>BR1009</v>
      </c>
      <c r="M551" s="121" t="str">
        <v/>
      </c>
      <c r="N551" s="121" t="str">
        <v/>
      </c>
      <c r="O551" s="121" t="str">
        <v/>
      </c>
      <c r="P551" s="121" t="str">
        <v/>
      </c>
      <c r="Q551" s="121" t="str">
        <v/>
      </c>
      <c r="R551" s="121" t="str">
        <v/>
      </c>
      <c r="S551" s="121" t="str">
        <v>Return Enquiry</v>
      </c>
      <c r="T551" s="119" t="str">
        <f>IF($C551&lt;4,IF($C551=3,T552,IF($C551=2,T$1,"")),Q551&amp;R551&amp;IF(LEN(S551)=0,"",Preferences!$C$2&amp;S551)&amp;IF(J552=J551,IF(LEN(R551&amp;S551)=0,"","
")&amp;T552,""))</f>
        <v xml:space="preserve">	• Return Enquiry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1" s="122" t="str">
        <v/>
      </c>
      <c r="V551" s="42"/>
      <c r="W551" s="42"/>
      <c r="X551" s="42"/>
      <c r="Y551" s="42"/>
      <c r="Z551" s="42"/>
      <c r="AA551" s="42"/>
      <c r="AB551" s="42"/>
    </row>
    <row r="552" spans="1:28" x14ac:dyDescent="0.25">
      <c r="A552" s="42" t="str">
        <v>1.10.9.6</v>
      </c>
      <c r="B552" s="121" t="str">
        <v>A contact form submission is processed as follows:</v>
      </c>
      <c r="C552" s="41">
        <v>4</v>
      </c>
      <c r="D552" s="41" t="str">
        <v>RD</v>
      </c>
      <c r="E552" s="117" t="str">
        <f t="shared" si="0"/>
        <v>RD</v>
      </c>
      <c r="F552" s="41" t="str">
        <v/>
      </c>
      <c r="G552" s="41" t="str">
        <v/>
      </c>
      <c r="H552" s="117">
        <f t="shared" si="1"/>
        <v>0</v>
      </c>
      <c r="I552" s="117">
        <f t="shared" si="2"/>
        <v>10</v>
      </c>
      <c r="J552" s="117">
        <f t="shared" si="3"/>
        <v>10.089999999999998</v>
      </c>
      <c r="K552" s="117" t="str">
        <f t="shared" si="4"/>
        <v>BR</v>
      </c>
      <c r="L552" s="42" t="str">
        <v>BR1009</v>
      </c>
      <c r="M552" s="121" t="str">
        <v/>
      </c>
      <c r="N552" s="121" t="str">
        <v/>
      </c>
      <c r="O552" s="121" t="str">
        <v/>
      </c>
      <c r="P552" s="121" t="str">
        <v/>
      </c>
      <c r="Q552" s="121" t="str">
        <v xml:space="preserve"> 6. </v>
      </c>
      <c r="R552" s="121" t="str">
        <v>A contact form submission is processed as follows:</v>
      </c>
      <c r="S552" s="121" t="str">
        <v/>
      </c>
      <c r="T552" s="119" t="str">
        <f>IF($C552&lt;4,IF($C552=3,T553,IF($C552=2,T$1,"")),Q552&amp;R552&amp;IF(LEN(S552)=0,"",Preferences!$C$2&amp;S552)&amp;IF(J553=J552,IF(LEN(R552&amp;S552)=0,"","
")&amp;T553,""))</f>
        <v xml:space="preserve"> 6. A contact form submission is processed as follows: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2" s="122" t="str">
        <v/>
      </c>
      <c r="V552" s="42"/>
      <c r="W552" s="42"/>
      <c r="X552" s="42"/>
      <c r="Y552" s="42"/>
      <c r="Z552" s="42"/>
      <c r="AA552" s="42"/>
      <c r="AB552" s="42"/>
    </row>
    <row r="553" spans="1:28" x14ac:dyDescent="0.25">
      <c r="A553" s="42" t="str">
        <v>1.10.9.6.1</v>
      </c>
      <c r="B553" s="121" t="str">
        <v>A submission confirmation message is presented, thanking the user for their submission.</v>
      </c>
      <c r="C553" s="41">
        <v>5</v>
      </c>
      <c r="D553" s="41" t="str">
        <v>RL</v>
      </c>
      <c r="E553" s="117" t="str">
        <f t="shared" si="0"/>
        <v>RL</v>
      </c>
      <c r="F553" s="41" t="str">
        <v/>
      </c>
      <c r="G553" s="41" t="str">
        <v/>
      </c>
      <c r="H553" s="117">
        <f t="shared" si="1"/>
        <v>0</v>
      </c>
      <c r="I553" s="117">
        <f t="shared" si="2"/>
        <v>10</v>
      </c>
      <c r="J553" s="117">
        <f t="shared" si="3"/>
        <v>10.089999999999998</v>
      </c>
      <c r="K553" s="117" t="str">
        <f t="shared" si="4"/>
        <v>BR</v>
      </c>
      <c r="L553" s="42" t="str">
        <v>BR1009</v>
      </c>
      <c r="M553" s="121" t="str">
        <v/>
      </c>
      <c r="N553" s="121" t="str">
        <v/>
      </c>
      <c r="O553" s="121" t="str">
        <v/>
      </c>
      <c r="P553" s="121" t="str">
        <v/>
      </c>
      <c r="Q553" s="121" t="str">
        <v/>
      </c>
      <c r="R553" s="121" t="str">
        <v/>
      </c>
      <c r="S553" s="121" t="str">
        <v>A submission confirmation message is presented, thanking the user for their submission.</v>
      </c>
      <c r="T553" s="119" t="str">
        <f>IF($C553&lt;4,IF($C553=3,T554,IF($C553=2,T$1,"")),Q553&amp;R553&amp;IF(LEN(S553)=0,"",Preferences!$C$2&amp;S553)&amp;IF(J554=J553,IF(LEN(R553&amp;S553)=0,"","
")&amp;T554,""))</f>
        <v xml:space="preserve">	• A submission confirmation message is presented, thanking the user for their submission.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3" s="122" t="str">
        <v/>
      </c>
      <c r="V553" s="42"/>
      <c r="W553" s="42"/>
      <c r="X553" s="42"/>
      <c r="Y553" s="42"/>
      <c r="Z553" s="42"/>
      <c r="AA553" s="42"/>
      <c r="AB553" s="42"/>
    </row>
    <row r="554" spans="1:28" x14ac:dyDescent="0.25">
      <c r="A554" s="42" t="str">
        <v>1.10.9.6.2</v>
      </c>
      <c r="B554" s="121" t="str">
        <v>A copy of the submitted contact form is sent to the supplied email address.</v>
      </c>
      <c r="C554" s="41">
        <v>5</v>
      </c>
      <c r="D554" s="41" t="str">
        <v>RL</v>
      </c>
      <c r="E554" s="117" t="str">
        <f t="shared" si="0"/>
        <v>RL</v>
      </c>
      <c r="F554" s="41" t="str">
        <v/>
      </c>
      <c r="G554" s="41" t="str">
        <v/>
      </c>
      <c r="H554" s="117">
        <f t="shared" si="1"/>
        <v>0</v>
      </c>
      <c r="I554" s="117">
        <f t="shared" si="2"/>
        <v>10</v>
      </c>
      <c r="J554" s="117">
        <f t="shared" si="3"/>
        <v>10.089999999999998</v>
      </c>
      <c r="K554" s="117" t="str">
        <f t="shared" si="4"/>
        <v>BR</v>
      </c>
      <c r="L554" s="42" t="str">
        <v>BR1009</v>
      </c>
      <c r="M554" s="121" t="str">
        <v/>
      </c>
      <c r="N554" s="121" t="str">
        <v/>
      </c>
      <c r="O554" s="121" t="str">
        <v/>
      </c>
      <c r="P554" s="121" t="str">
        <v/>
      </c>
      <c r="Q554" s="121" t="str">
        <v/>
      </c>
      <c r="R554" s="121" t="str">
        <v/>
      </c>
      <c r="S554" s="121" t="str">
        <v>A copy of the submitted contact form is sent to the supplied email address.</v>
      </c>
      <c r="T554" s="119" t="str">
        <f>IF($C554&lt;4,IF($C554=3,T555,IF($C554=2,T$1,"")),Q554&amp;R554&amp;IF(LEN(S554)=0,"",Preferences!$C$2&amp;S554)&amp;IF(J555=J554,IF(LEN(R554&amp;S554)=0,"","
")&amp;T555,""))</f>
        <v xml:space="preserve">	• A copy of the submitted contact form is sent to the supplied email address.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4" s="122" t="str">
        <v/>
      </c>
      <c r="V554" s="42"/>
      <c r="W554" s="42"/>
      <c r="X554" s="42"/>
      <c r="Y554" s="42"/>
      <c r="Z554" s="42"/>
      <c r="AA554" s="42"/>
      <c r="AB554" s="42"/>
    </row>
    <row r="555" spans="1:28" x14ac:dyDescent="0.25">
      <c r="A555" s="42" t="str">
        <v>1.10.9.6.3</v>
      </c>
      <c r="B555" s="121" t="str">
        <v>Compliments and complains are directed to Marketing</v>
      </c>
      <c r="C555" s="41">
        <v>5</v>
      </c>
      <c r="D555" s="41" t="str">
        <v>RL</v>
      </c>
      <c r="E555" s="117" t="str">
        <f t="shared" si="0"/>
        <v>RL</v>
      </c>
      <c r="F555" s="41" t="str">
        <v/>
      </c>
      <c r="G555" s="41" t="str">
        <v/>
      </c>
      <c r="H555" s="117">
        <f t="shared" si="1"/>
        <v>0</v>
      </c>
      <c r="I555" s="117">
        <f t="shared" si="2"/>
        <v>10</v>
      </c>
      <c r="J555" s="117">
        <f t="shared" si="3"/>
        <v>10.089999999999998</v>
      </c>
      <c r="K555" s="117" t="str">
        <f t="shared" si="4"/>
        <v>BR</v>
      </c>
      <c r="L555" s="42" t="str">
        <v>BR1009</v>
      </c>
      <c r="M555" s="121" t="str">
        <v/>
      </c>
      <c r="N555" s="121" t="str">
        <v/>
      </c>
      <c r="O555" s="121" t="str">
        <v/>
      </c>
      <c r="P555" s="121" t="str">
        <v/>
      </c>
      <c r="Q555" s="121" t="str">
        <v/>
      </c>
      <c r="R555" s="121" t="str">
        <v/>
      </c>
      <c r="S555" s="121" t="str">
        <v>Compliments and complains are directed to Marketing</v>
      </c>
      <c r="T555" s="119" t="str">
        <f>IF($C555&lt;4,IF($C555=3,T556,IF($C555=2,T$1,"")),Q555&amp;R555&amp;IF(LEN(S555)=0,"",Preferences!$C$2&amp;S555)&amp;IF(J556=J555,IF(LEN(R555&amp;S555)=0,"","
")&amp;T556,""))</f>
        <v xml:space="preserve">	• Compliments and complains are directed to Marketing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5" s="122" t="str">
        <v/>
      </c>
      <c r="V555" s="42"/>
      <c r="W555" s="42"/>
      <c r="X555" s="42"/>
      <c r="Y555" s="42"/>
      <c r="Z555" s="42"/>
      <c r="AA555" s="42"/>
      <c r="AB555" s="42"/>
    </row>
    <row r="556" spans="1:28" x14ac:dyDescent="0.25">
      <c r="A556" s="42" t="str">
        <v>1.10.9.6.4</v>
      </c>
      <c r="B556" s="121" t="str">
        <v>Orders and returns are directed to Orders management</v>
      </c>
      <c r="C556" s="41">
        <v>5</v>
      </c>
      <c r="D556" s="41" t="str">
        <v>RL</v>
      </c>
      <c r="E556" s="117" t="str">
        <f t="shared" si="0"/>
        <v>RL</v>
      </c>
      <c r="F556" s="41" t="str">
        <v/>
      </c>
      <c r="G556" s="41" t="str">
        <v/>
      </c>
      <c r="H556" s="117">
        <f t="shared" si="1"/>
        <v>0</v>
      </c>
      <c r="I556" s="117">
        <f t="shared" si="2"/>
        <v>10</v>
      </c>
      <c r="J556" s="117">
        <f t="shared" si="3"/>
        <v>10.089999999999998</v>
      </c>
      <c r="K556" s="117" t="str">
        <f t="shared" si="4"/>
        <v>BR</v>
      </c>
      <c r="L556" s="42" t="str">
        <v>BR1009</v>
      </c>
      <c r="M556" s="121" t="str">
        <v/>
      </c>
      <c r="N556" s="121" t="str">
        <v/>
      </c>
      <c r="O556" s="121" t="str">
        <v/>
      </c>
      <c r="P556" s="121" t="str">
        <v/>
      </c>
      <c r="Q556" s="121" t="str">
        <v/>
      </c>
      <c r="R556" s="121" t="str">
        <v/>
      </c>
      <c r="S556" s="121" t="str">
        <v>Orders and returns are directed to Orders management</v>
      </c>
      <c r="T556" s="119" t="str">
        <f>IF($C556&lt;4,IF($C556=3,T557,IF($C556=2,T$1,"")),Q556&amp;R556&amp;IF(LEN(S556)=0,"",Preferences!$C$2&amp;S556)&amp;IF(J557=J556,IF(LEN(R556&amp;S556)=0,"","
")&amp;T557,""))</f>
        <v xml:space="preserve">	• Orders and returns are directed to Orders management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6" s="122" t="str">
        <v/>
      </c>
      <c r="V556" s="42"/>
      <c r="W556" s="42"/>
      <c r="X556" s="42"/>
      <c r="Y556" s="42"/>
      <c r="Z556" s="42"/>
      <c r="AA556" s="42"/>
      <c r="AB556" s="42"/>
    </row>
    <row r="557" spans="1:28" x14ac:dyDescent="0.25">
      <c r="A557" s="42" t="str">
        <v>1.10.9.6.5</v>
      </c>
      <c r="B557" s="121" t="str">
        <v>All other submissions are directed to the call centre</v>
      </c>
      <c r="C557" s="41">
        <v>5</v>
      </c>
      <c r="D557" s="41" t="str">
        <v>RL</v>
      </c>
      <c r="E557" s="117" t="str">
        <f t="shared" si="0"/>
        <v>RL</v>
      </c>
      <c r="F557" s="41" t="str">
        <v/>
      </c>
      <c r="G557" s="41" t="str">
        <v/>
      </c>
      <c r="H557" s="117">
        <f t="shared" si="1"/>
        <v>0</v>
      </c>
      <c r="I557" s="117">
        <f t="shared" si="2"/>
        <v>10</v>
      </c>
      <c r="J557" s="117">
        <f t="shared" si="3"/>
        <v>10.089999999999998</v>
      </c>
      <c r="K557" s="117" t="str">
        <f t="shared" si="4"/>
        <v>BR</v>
      </c>
      <c r="L557" s="42" t="str">
        <v>BR1009</v>
      </c>
      <c r="M557" s="121" t="str">
        <v/>
      </c>
      <c r="N557" s="121" t="str">
        <v/>
      </c>
      <c r="O557" s="121" t="str">
        <v/>
      </c>
      <c r="P557" s="121" t="str">
        <v/>
      </c>
      <c r="Q557" s="121" t="str">
        <v/>
      </c>
      <c r="R557" s="121" t="str">
        <v/>
      </c>
      <c r="S557" s="121" t="str">
        <v>All other submissions are directed to the call centre</v>
      </c>
      <c r="T557" s="119" t="str">
        <f>IF($C557&lt;4,IF($C557=3,T558,IF($C557=2,T$1,"")),Q557&amp;R557&amp;IF(LEN(S557)=0,"",Preferences!$C$2&amp;S557)&amp;IF(J558=J557,IF(LEN(R557&amp;S557)=0,"","
")&amp;T558,""))</f>
        <v xml:space="preserve">	• All other submissions are directed to the call centre
 7. Also see the following requirements:
	• Enquire about order in the View Orders section
	• Request product return in the Return Products section
	• Enquire about return request in the Return Products section
	• Customer Messages section</v>
      </c>
      <c r="U557" s="122" t="str">
        <v/>
      </c>
      <c r="V557" s="42"/>
      <c r="W557" s="42"/>
      <c r="X557" s="42"/>
      <c r="Y557" s="42"/>
      <c r="Z557" s="42"/>
      <c r="AA557" s="42"/>
      <c r="AB557" s="42"/>
    </row>
    <row r="558" spans="1:28" x14ac:dyDescent="0.25">
      <c r="A558" s="42" t="str">
        <v>1.10.9.7</v>
      </c>
      <c r="B558" s="121" t="str">
        <v>Also see the following requirements:</v>
      </c>
      <c r="C558" s="41">
        <v>4</v>
      </c>
      <c r="D558" s="41" t="str">
        <v>RD</v>
      </c>
      <c r="E558" s="117" t="str">
        <f t="shared" si="0"/>
        <v>RD</v>
      </c>
      <c r="F558" s="41" t="str">
        <v/>
      </c>
      <c r="G558" s="41" t="str">
        <v/>
      </c>
      <c r="H558" s="117">
        <f t="shared" si="1"/>
        <v>0</v>
      </c>
      <c r="I558" s="117">
        <f t="shared" si="2"/>
        <v>10</v>
      </c>
      <c r="J558" s="117">
        <f t="shared" si="3"/>
        <v>10.089999999999998</v>
      </c>
      <c r="K558" s="117" t="str">
        <f t="shared" si="4"/>
        <v>BR</v>
      </c>
      <c r="L558" s="42" t="str">
        <v>BR1009</v>
      </c>
      <c r="M558" s="121" t="str">
        <v/>
      </c>
      <c r="N558" s="121" t="str">
        <v/>
      </c>
      <c r="O558" s="121" t="str">
        <v/>
      </c>
      <c r="P558" s="121" t="str">
        <v/>
      </c>
      <c r="Q558" s="121" t="str">
        <v xml:space="preserve"> 7. </v>
      </c>
      <c r="R558" s="121" t="str">
        <v>Also see the following requirements:</v>
      </c>
      <c r="S558" s="121" t="str">
        <v/>
      </c>
      <c r="T558" s="119" t="str">
        <f>IF($C558&lt;4,IF($C558=3,T559,IF($C558=2,T$1,"")),Q558&amp;R558&amp;IF(LEN(S558)=0,"",Preferences!$C$2&amp;S558)&amp;IF(J559=J558,IF(LEN(R558&amp;S558)=0,"","
")&amp;T559,""))</f>
        <v xml:space="preserve"> 7. Also see the following requirements:
	• Enquire about order in the View Orders section
	• Request product return in the Return Products section
	• Enquire about return request in the Return Products section
	• Customer Messages section</v>
      </c>
      <c r="U558" s="122" t="str">
        <v/>
      </c>
      <c r="V558" s="42"/>
      <c r="W558" s="42"/>
      <c r="X558" s="42"/>
      <c r="Y558" s="42"/>
      <c r="Z558" s="42"/>
      <c r="AA558" s="42"/>
      <c r="AB558" s="42"/>
    </row>
    <row r="559" spans="1:28" x14ac:dyDescent="0.25">
      <c r="A559" s="42" t="str">
        <v>1.10.9.7.1</v>
      </c>
      <c r="B559" s="121" t="str">
        <v>Enquire about order in the View Orders section</v>
      </c>
      <c r="C559" s="41">
        <v>5</v>
      </c>
      <c r="D559" s="41" t="str">
        <v>RL</v>
      </c>
      <c r="E559" s="117" t="str">
        <f t="shared" si="0"/>
        <v>RL</v>
      </c>
      <c r="F559" s="41" t="str">
        <v/>
      </c>
      <c r="G559" s="41" t="str">
        <v/>
      </c>
      <c r="H559" s="117">
        <f t="shared" si="1"/>
        <v>0</v>
      </c>
      <c r="I559" s="117">
        <f t="shared" si="2"/>
        <v>10</v>
      </c>
      <c r="J559" s="117">
        <f t="shared" si="3"/>
        <v>10.089999999999998</v>
      </c>
      <c r="K559" s="117" t="str">
        <f t="shared" si="4"/>
        <v>BR</v>
      </c>
      <c r="L559" s="42" t="str">
        <v>BR1009</v>
      </c>
      <c r="M559" s="121" t="str">
        <v/>
      </c>
      <c r="N559" s="121" t="str">
        <v/>
      </c>
      <c r="O559" s="121" t="str">
        <v/>
      </c>
      <c r="P559" s="121" t="str">
        <v/>
      </c>
      <c r="Q559" s="121" t="str">
        <v/>
      </c>
      <c r="R559" s="121" t="str">
        <v/>
      </c>
      <c r="S559" s="121" t="str">
        <v>Enquire about order in the View Orders section</v>
      </c>
      <c r="T559" s="119" t="str">
        <f>IF($C559&lt;4,IF($C559=3,T560,IF($C559=2,T$1,"")),Q559&amp;R559&amp;IF(LEN(S559)=0,"",Preferences!$C$2&amp;S559)&amp;IF(J560=J559,IF(LEN(R559&amp;S559)=0,"","
")&amp;T560,""))</f>
        <v xml:space="preserve">	• Enquire about order in the View Orders section
	• Request product return in the Return Products section
	• Enquire about return request in the Return Products section
	• Customer Messages section</v>
      </c>
      <c r="U559" s="122" t="str">
        <v/>
      </c>
      <c r="V559" s="42"/>
      <c r="W559" s="42"/>
      <c r="X559" s="42"/>
      <c r="Y559" s="42"/>
      <c r="Z559" s="42"/>
      <c r="AA559" s="42"/>
      <c r="AB559" s="42"/>
    </row>
    <row r="560" spans="1:28" x14ac:dyDescent="0.25">
      <c r="A560" s="42" t="str">
        <v>1.10.9.7.2</v>
      </c>
      <c r="B560" s="121" t="str">
        <v>Request product return in the Return Products section</v>
      </c>
      <c r="C560" s="41">
        <v>5</v>
      </c>
      <c r="D560" s="41" t="str">
        <v>RL</v>
      </c>
      <c r="E560" s="117" t="str">
        <f t="shared" si="0"/>
        <v>RL</v>
      </c>
      <c r="F560" s="41" t="str">
        <v/>
      </c>
      <c r="G560" s="41" t="str">
        <v/>
      </c>
      <c r="H560" s="117">
        <f t="shared" si="1"/>
        <v>0</v>
      </c>
      <c r="I560" s="117">
        <f t="shared" si="2"/>
        <v>10</v>
      </c>
      <c r="J560" s="117">
        <f t="shared" si="3"/>
        <v>10.089999999999998</v>
      </c>
      <c r="K560" s="117" t="str">
        <f t="shared" si="4"/>
        <v>BR</v>
      </c>
      <c r="L560" s="42" t="str">
        <v>BR1009</v>
      </c>
      <c r="M560" s="121" t="str">
        <v/>
      </c>
      <c r="N560" s="121" t="str">
        <v/>
      </c>
      <c r="O560" s="121" t="str">
        <v/>
      </c>
      <c r="P560" s="121" t="str">
        <v/>
      </c>
      <c r="Q560" s="121" t="str">
        <v/>
      </c>
      <c r="R560" s="121" t="str">
        <v/>
      </c>
      <c r="S560" s="121" t="str">
        <v>Request product return in the Return Products section</v>
      </c>
      <c r="T560" s="119" t="str">
        <f>IF($C560&lt;4,IF($C560=3,T561,IF($C560=2,T$1,"")),Q560&amp;R560&amp;IF(LEN(S560)=0,"",Preferences!$C$2&amp;S560)&amp;IF(J561=J560,IF(LEN(R560&amp;S560)=0,"","
")&amp;T561,""))</f>
        <v xml:space="preserve">	• Request product return in the Return Products section
	• Enquire about return request in the Return Products section
	• Customer Messages section</v>
      </c>
      <c r="U560" s="122" t="str">
        <v/>
      </c>
      <c r="V560" s="42"/>
      <c r="W560" s="42"/>
      <c r="X560" s="42"/>
      <c r="Y560" s="42"/>
      <c r="Z560" s="42"/>
      <c r="AA560" s="42"/>
      <c r="AB560" s="42"/>
    </row>
    <row r="561" spans="1:28" x14ac:dyDescent="0.25">
      <c r="A561" s="42" t="str">
        <v>1.10.9.7.3</v>
      </c>
      <c r="B561" s="121" t="str">
        <v>Enquire about return request in the Return Products section</v>
      </c>
      <c r="C561" s="41">
        <v>5</v>
      </c>
      <c r="D561" s="41" t="str">
        <v>RL</v>
      </c>
      <c r="E561" s="117" t="str">
        <f t="shared" si="0"/>
        <v>RL</v>
      </c>
      <c r="F561" s="41" t="str">
        <v/>
      </c>
      <c r="G561" s="41" t="str">
        <v/>
      </c>
      <c r="H561" s="117">
        <f t="shared" si="1"/>
        <v>0</v>
      </c>
      <c r="I561" s="117">
        <f t="shared" si="2"/>
        <v>10</v>
      </c>
      <c r="J561" s="117">
        <f t="shared" si="3"/>
        <v>10.089999999999998</v>
      </c>
      <c r="K561" s="117" t="str">
        <f t="shared" si="4"/>
        <v>BR</v>
      </c>
      <c r="L561" s="42" t="str">
        <v>BR1009</v>
      </c>
      <c r="M561" s="121" t="str">
        <v/>
      </c>
      <c r="N561" s="121" t="str">
        <v/>
      </c>
      <c r="O561" s="121" t="str">
        <v/>
      </c>
      <c r="P561" s="121" t="str">
        <v/>
      </c>
      <c r="Q561" s="121" t="str">
        <v/>
      </c>
      <c r="R561" s="121" t="str">
        <v/>
      </c>
      <c r="S561" s="121" t="str">
        <v>Enquire about return request in the Return Products section</v>
      </c>
      <c r="T561" s="119" t="str">
        <f>IF($C561&lt;4,IF($C561=3,T562,IF($C561=2,T$1,"")),Q561&amp;R561&amp;IF(LEN(S561)=0,"",Preferences!$C$2&amp;S561)&amp;IF(J562=J561,IF(LEN(R561&amp;S561)=0,"","
")&amp;T562,""))</f>
        <v xml:space="preserve">	• Enquire about return request in the Return Products section
	• Customer Messages section</v>
      </c>
      <c r="U561" s="122" t="str">
        <v/>
      </c>
      <c r="V561" s="42"/>
      <c r="W561" s="42"/>
      <c r="X561" s="42"/>
      <c r="Y561" s="42"/>
      <c r="Z561" s="42"/>
      <c r="AA561" s="42"/>
      <c r="AB561" s="42"/>
    </row>
    <row r="562" spans="1:28" x14ac:dyDescent="0.25">
      <c r="A562" s="42" t="str">
        <v>1.10.9.7.4</v>
      </c>
      <c r="B562" s="121" t="str">
        <v>Customer Messages section</v>
      </c>
      <c r="C562" s="41">
        <v>5</v>
      </c>
      <c r="D562" s="41" t="str">
        <v>RL</v>
      </c>
      <c r="E562" s="117" t="str">
        <f t="shared" si="0"/>
        <v>RL</v>
      </c>
      <c r="F562" s="41" t="str">
        <v/>
      </c>
      <c r="G562" s="41" t="str">
        <v/>
      </c>
      <c r="H562" s="117">
        <f t="shared" si="1"/>
        <v>0</v>
      </c>
      <c r="I562" s="117">
        <f t="shared" si="2"/>
        <v>10</v>
      </c>
      <c r="J562" s="117">
        <f t="shared" si="3"/>
        <v>10.089999999999998</v>
      </c>
      <c r="K562" s="117" t="str">
        <f t="shared" si="4"/>
        <v>BR</v>
      </c>
      <c r="L562" s="42" t="str">
        <v>BR1009</v>
      </c>
      <c r="M562" s="121" t="str">
        <v/>
      </c>
      <c r="N562" s="121" t="str">
        <v/>
      </c>
      <c r="O562" s="121" t="str">
        <v/>
      </c>
      <c r="P562" s="121" t="str">
        <v/>
      </c>
      <c r="Q562" s="121" t="str">
        <v/>
      </c>
      <c r="R562" s="121" t="str">
        <v/>
      </c>
      <c r="S562" s="121" t="str">
        <v>Customer Messages section</v>
      </c>
      <c r="T562" s="119" t="str">
        <f>IF($C562&lt;4,IF($C562=3,T563,IF($C562=2,T$1,"")),Q562&amp;R562&amp;IF(LEN(S562)=0,"",Preferences!$C$2&amp;S562)&amp;IF(J563=J562,IF(LEN(R562&amp;S562)=0,"","
")&amp;T563,""))</f>
        <v xml:space="preserve">	• Customer Messages section</v>
      </c>
      <c r="U562" s="122" t="str">
        <v/>
      </c>
      <c r="V562" s="42"/>
      <c r="W562" s="42"/>
      <c r="X562" s="42"/>
      <c r="Y562" s="42"/>
      <c r="Z562" s="42"/>
      <c r="AA562" s="42"/>
      <c r="AB562" s="42"/>
    </row>
    <row r="563" spans="1:28" x14ac:dyDescent="0.25">
      <c r="A563" s="42" t="str">
        <v>1.10.10</v>
      </c>
      <c r="B563" s="121" t="str">
        <v>10.10 Present a footer on all pages for all users</v>
      </c>
      <c r="C563" s="41">
        <v>3</v>
      </c>
      <c r="D563" s="41" t="str">
        <v>R</v>
      </c>
      <c r="E563" s="117" t="str">
        <f t="shared" si="0"/>
        <v>R</v>
      </c>
      <c r="F563" s="41" t="str">
        <v/>
      </c>
      <c r="G563" s="41" t="str">
        <v/>
      </c>
      <c r="H563" s="117">
        <f t="shared" si="1"/>
        <v>0</v>
      </c>
      <c r="I563" s="117">
        <f t="shared" si="2"/>
        <v>10</v>
      </c>
      <c r="J563" s="117">
        <f t="shared" si="3"/>
        <v>10.099999999999998</v>
      </c>
      <c r="K563" s="117" t="str">
        <f t="shared" si="4"/>
        <v>BR</v>
      </c>
      <c r="L563" s="42" t="str">
        <v>BR1010</v>
      </c>
      <c r="M563" s="121" t="str">
        <v/>
      </c>
      <c r="N563" s="121" t="str">
        <v/>
      </c>
      <c r="O563" s="121" t="str">
        <v>BR1010</v>
      </c>
      <c r="P563" s="121" t="str">
        <v>Present a footer on all pages for all users</v>
      </c>
      <c r="Q563" s="121" t="str">
        <v/>
      </c>
      <c r="R563" s="121" t="str">
        <v/>
      </c>
      <c r="S563" s="121" t="str">
        <v/>
      </c>
      <c r="T563" s="119" t="str">
        <f>IF($C563&lt;4,IF($C563=3,T564,IF($C563=2,T$1,"")),Q563&amp;R563&amp;IF(LEN(S563)=0,"",Preferences!$C$2&amp;S563)&amp;IF(J564=J563,IF(LEN(R563&amp;S563)=0,"","
")&amp;T564,""))</f>
        <v xml:space="preserve"> 1. The footer must contain at least the following:
	• Copyright notice for online shop and content
	• Link to display the online shop terms and conditions
	• Link display the B2C Co privacy policy</v>
      </c>
      <c r="U563" s="122" t="str">
        <v/>
      </c>
      <c r="V563" s="42"/>
      <c r="W563" s="42"/>
      <c r="X563" s="42"/>
      <c r="Y563" s="42"/>
      <c r="Z563" s="42"/>
      <c r="AA563" s="42"/>
      <c r="AB563" s="42"/>
    </row>
    <row r="564" spans="1:28" x14ac:dyDescent="0.25">
      <c r="A564" s="42" t="str">
        <v>1.10.10.1</v>
      </c>
      <c r="B564" s="121" t="str">
        <v>The footer must contain at least the following:</v>
      </c>
      <c r="C564" s="41">
        <v>4</v>
      </c>
      <c r="D564" s="41" t="str">
        <v>RD</v>
      </c>
      <c r="E564" s="117" t="str">
        <f t="shared" si="0"/>
        <v>RD</v>
      </c>
      <c r="F564" s="41" t="str">
        <v/>
      </c>
      <c r="G564" s="41" t="str">
        <v/>
      </c>
      <c r="H564" s="117">
        <f t="shared" si="1"/>
        <v>0</v>
      </c>
      <c r="I564" s="117">
        <f t="shared" si="2"/>
        <v>10</v>
      </c>
      <c r="J564" s="117">
        <f t="shared" si="3"/>
        <v>10.099999999999998</v>
      </c>
      <c r="K564" s="117" t="str">
        <f t="shared" si="4"/>
        <v>BR</v>
      </c>
      <c r="L564" s="42" t="str">
        <v>BR1010</v>
      </c>
      <c r="M564" s="121" t="str">
        <v/>
      </c>
      <c r="N564" s="121" t="str">
        <v/>
      </c>
      <c r="O564" s="121" t="str">
        <v/>
      </c>
      <c r="P564" s="121" t="str">
        <v/>
      </c>
      <c r="Q564" s="121" t="str">
        <v xml:space="preserve"> 1. </v>
      </c>
      <c r="R564" s="121" t="str">
        <v>The footer must contain at least the following:</v>
      </c>
      <c r="S564" s="121" t="str">
        <v/>
      </c>
      <c r="T564" s="119" t="str">
        <f>IF($C564&lt;4,IF($C564=3,T565,IF($C564=2,T$1,"")),Q564&amp;R564&amp;IF(LEN(S564)=0,"",Preferences!$C$2&amp;S564)&amp;IF(J565=J564,IF(LEN(R564&amp;S564)=0,"","
")&amp;T565,""))</f>
        <v xml:space="preserve"> 1. The footer must contain at least the following:
	• Copyright notice for online shop and content
	• Link to display the online shop terms and conditions
	• Link display the B2C Co privacy policy</v>
      </c>
      <c r="U564" s="122" t="str">
        <v/>
      </c>
      <c r="V564" s="42"/>
      <c r="W564" s="42"/>
      <c r="X564" s="42"/>
      <c r="Y564" s="42"/>
      <c r="Z564" s="42"/>
      <c r="AA564" s="42"/>
      <c r="AB564" s="42"/>
    </row>
    <row r="565" spans="1:28" x14ac:dyDescent="0.25">
      <c r="A565" s="42" t="str">
        <v>1.10.10.1.1</v>
      </c>
      <c r="B565" s="121" t="str">
        <v>Copyright notice for online shop and content</v>
      </c>
      <c r="C565" s="41">
        <v>5</v>
      </c>
      <c r="D565" s="41" t="str">
        <v>RL</v>
      </c>
      <c r="E565" s="117" t="str">
        <f t="shared" si="0"/>
        <v>RL</v>
      </c>
      <c r="F565" s="41" t="str">
        <v/>
      </c>
      <c r="G565" s="41" t="str">
        <v/>
      </c>
      <c r="H565" s="117">
        <f t="shared" si="1"/>
        <v>0</v>
      </c>
      <c r="I565" s="117">
        <f t="shared" si="2"/>
        <v>10</v>
      </c>
      <c r="J565" s="117">
        <f t="shared" si="3"/>
        <v>10.099999999999998</v>
      </c>
      <c r="K565" s="117" t="str">
        <f t="shared" si="4"/>
        <v>BR</v>
      </c>
      <c r="L565" s="42" t="str">
        <v>BR1010</v>
      </c>
      <c r="M565" s="121" t="str">
        <v/>
      </c>
      <c r="N565" s="121" t="str">
        <v/>
      </c>
      <c r="O565" s="121" t="str">
        <v/>
      </c>
      <c r="P565" s="121" t="str">
        <v/>
      </c>
      <c r="Q565" s="121" t="str">
        <v/>
      </c>
      <c r="R565" s="121" t="str">
        <v/>
      </c>
      <c r="S565" s="121" t="str">
        <v>Copyright notice for online shop and content</v>
      </c>
      <c r="T565" s="119" t="str">
        <f>IF($C565&lt;4,IF($C565=3,T566,IF($C565=2,T$1,"")),Q565&amp;R565&amp;IF(LEN(S565)=0,"",Preferences!$C$2&amp;S565)&amp;IF(J566=J565,IF(LEN(R565&amp;S565)=0,"","
")&amp;T566,""))</f>
        <v xml:space="preserve">	• Copyright notice for online shop and content
	• Link to display the online shop terms and conditions
	• Link display the B2C Co privacy policy</v>
      </c>
      <c r="U565" s="122" t="str">
        <v/>
      </c>
      <c r="V565" s="42"/>
      <c r="W565" s="42"/>
      <c r="X565" s="42"/>
      <c r="Y565" s="42"/>
      <c r="Z565" s="42"/>
      <c r="AA565" s="42"/>
      <c r="AB565" s="42"/>
    </row>
    <row r="566" spans="1:28" x14ac:dyDescent="0.25">
      <c r="A566" s="42" t="str">
        <v>1.10.10.1.2</v>
      </c>
      <c r="B566" s="121" t="str">
        <v>Link to display the online shop terms and conditions</v>
      </c>
      <c r="C566" s="41">
        <v>5</v>
      </c>
      <c r="D566" s="41" t="str">
        <v>RL</v>
      </c>
      <c r="E566" s="117" t="str">
        <f t="shared" si="0"/>
        <v>RL</v>
      </c>
      <c r="F566" s="41" t="str">
        <v/>
      </c>
      <c r="G566" s="41" t="str">
        <v/>
      </c>
      <c r="H566" s="117">
        <f t="shared" si="1"/>
        <v>0</v>
      </c>
      <c r="I566" s="117">
        <f t="shared" si="2"/>
        <v>10</v>
      </c>
      <c r="J566" s="117">
        <f t="shared" si="3"/>
        <v>10.099999999999998</v>
      </c>
      <c r="K566" s="117" t="str">
        <f t="shared" si="4"/>
        <v>BR</v>
      </c>
      <c r="L566" s="42" t="str">
        <v>BR1010</v>
      </c>
      <c r="M566" s="121" t="str">
        <v/>
      </c>
      <c r="N566" s="121" t="str">
        <v/>
      </c>
      <c r="O566" s="121" t="str">
        <v/>
      </c>
      <c r="P566" s="121" t="str">
        <v/>
      </c>
      <c r="Q566" s="121" t="str">
        <v/>
      </c>
      <c r="R566" s="121" t="str">
        <v/>
      </c>
      <c r="S566" s="121" t="str">
        <v>Link to display the online shop terms and conditions</v>
      </c>
      <c r="T566" s="119" t="str">
        <f>IF($C566&lt;4,IF($C566=3,T567,IF($C566=2,T$1,"")),Q566&amp;R566&amp;IF(LEN(S566)=0,"",Preferences!$C$2&amp;S566)&amp;IF(J567=J566,IF(LEN(R566&amp;S566)=0,"","
")&amp;T567,""))</f>
        <v xml:space="preserve">	• Link to display the online shop terms and conditions
	• Link display the B2C Co privacy policy</v>
      </c>
      <c r="U566" s="122" t="str">
        <v/>
      </c>
      <c r="V566" s="42"/>
      <c r="W566" s="42"/>
      <c r="X566" s="42"/>
      <c r="Y566" s="42"/>
      <c r="Z566" s="42"/>
      <c r="AA566" s="42"/>
      <c r="AB566" s="42"/>
    </row>
    <row r="567" spans="1:28" x14ac:dyDescent="0.25">
      <c r="A567" s="42" t="str">
        <v>1.10.10.1.3</v>
      </c>
      <c r="B567" s="121" t="str">
        <v>Link display the B2C Co privacy policy</v>
      </c>
      <c r="C567" s="41">
        <v>5</v>
      </c>
      <c r="D567" s="41" t="str">
        <v>RL</v>
      </c>
      <c r="E567" s="117" t="str">
        <f t="shared" si="0"/>
        <v>RL</v>
      </c>
      <c r="F567" s="41" t="str">
        <v/>
      </c>
      <c r="G567" s="41" t="str">
        <v/>
      </c>
      <c r="H567" s="117">
        <f t="shared" si="1"/>
        <v>0</v>
      </c>
      <c r="I567" s="117">
        <f t="shared" si="2"/>
        <v>10</v>
      </c>
      <c r="J567" s="117">
        <f t="shared" si="3"/>
        <v>10.099999999999998</v>
      </c>
      <c r="K567" s="117" t="str">
        <f t="shared" si="4"/>
        <v>BR</v>
      </c>
      <c r="L567" s="42" t="str">
        <v>BR1010</v>
      </c>
      <c r="M567" s="121" t="str">
        <v/>
      </c>
      <c r="N567" s="121" t="str">
        <v/>
      </c>
      <c r="O567" s="121" t="str">
        <v/>
      </c>
      <c r="P567" s="121" t="str">
        <v/>
      </c>
      <c r="Q567" s="121" t="str">
        <v/>
      </c>
      <c r="R567" s="121" t="str">
        <v/>
      </c>
      <c r="S567" s="121" t="str">
        <v>Link display the B2C Co privacy policy</v>
      </c>
      <c r="T567" s="119" t="str">
        <f>IF($C567&lt;4,IF($C567=3,T568,IF($C567=2,T$1,"")),Q567&amp;R567&amp;IF(LEN(S567)=0,"",Preferences!$C$2&amp;S567)&amp;IF(J568=J567,IF(LEN(R567&amp;S567)=0,"","
")&amp;T568,""))</f>
        <v xml:space="preserve">	• Link display the B2C Co privacy policy</v>
      </c>
      <c r="U567" s="122" t="str">
        <v/>
      </c>
      <c r="V567" s="42"/>
      <c r="W567" s="42"/>
      <c r="X567" s="42"/>
      <c r="Y567" s="42"/>
      <c r="Z567" s="42"/>
      <c r="AA567" s="42"/>
      <c r="AB567" s="42"/>
    </row>
    <row r="568" spans="1:28" x14ac:dyDescent="0.25">
      <c r="A568" s="42" t="str">
        <v>1.10.11</v>
      </c>
      <c r="B568" s="121" t="str">
        <v>10.11 Present the online shop terms and conditions of use</v>
      </c>
      <c r="C568" s="41">
        <v>3</v>
      </c>
      <c r="D568" s="41" t="str">
        <v>R</v>
      </c>
      <c r="E568" s="117" t="str">
        <f t="shared" si="0"/>
        <v>R</v>
      </c>
      <c r="F568" s="41" t="str">
        <v/>
      </c>
      <c r="G568" s="41" t="str">
        <v/>
      </c>
      <c r="H568" s="117">
        <f t="shared" si="1"/>
        <v>0</v>
      </c>
      <c r="I568" s="117">
        <f t="shared" si="2"/>
        <v>10</v>
      </c>
      <c r="J568" s="117">
        <f t="shared" si="3"/>
        <v>10.109999999999998</v>
      </c>
      <c r="K568" s="117" t="str">
        <f t="shared" si="4"/>
        <v>BR</v>
      </c>
      <c r="L568" s="42" t="str">
        <v>BR1011</v>
      </c>
      <c r="M568" s="121" t="str">
        <v/>
      </c>
      <c r="N568" s="121" t="str">
        <v/>
      </c>
      <c r="O568" s="121" t="str">
        <v>BR1011</v>
      </c>
      <c r="P568" s="121" t="str">
        <v>Present the online shop terms and conditions of use</v>
      </c>
      <c r="Q568" s="121" t="str">
        <v/>
      </c>
      <c r="R568" s="121" t="str">
        <v/>
      </c>
      <c r="S568" s="121" t="str">
        <v/>
      </c>
      <c r="T568" s="119" t="str">
        <f>IF($C568&lt;4,IF($C568=3,T569,IF($C568=2,T$1,"")),Q568&amp;R568&amp;IF(LEN(S568)=0,"",Preferences!$C$2&amp;S568)&amp;IF(J569=J568,IF(LEN(R568&amp;S568)=0,"","
")&amp;T569,""))</f>
        <v xml:space="preserve"> 1. When selecting the Terms and Conditions link, the online shop usage terms and conditions must be presented as a new page/tab.
 2. The title and full text of the terms and conditions must be presented on the page.
 3. The date last updated must be clearly presented.
 4. The use must be able to download a copy of the text as a pdf file.
	• The file must be contain the business name, title of the page and revision date (yyyymmdd)</v>
      </c>
      <c r="U568" s="122" t="str">
        <v/>
      </c>
      <c r="V568" s="42"/>
      <c r="W568" s="42"/>
      <c r="X568" s="42"/>
      <c r="Y568" s="42"/>
      <c r="Z568" s="42"/>
      <c r="AA568" s="42"/>
      <c r="AB568" s="42"/>
    </row>
    <row r="569" spans="1:28" x14ac:dyDescent="0.25">
      <c r="A569" s="42" t="str">
        <v>1.10.11.1</v>
      </c>
      <c r="B569" s="121" t="str">
        <v>When selecting the Terms and Conditions link, the online shop usage terms and conditions must be presented as a new page/tab.</v>
      </c>
      <c r="C569" s="41">
        <v>4</v>
      </c>
      <c r="D569" s="41" t="str">
        <v>RD</v>
      </c>
      <c r="E569" s="117" t="str">
        <f t="shared" si="0"/>
        <v>RD</v>
      </c>
      <c r="F569" s="41" t="str">
        <v/>
      </c>
      <c r="G569" s="41" t="str">
        <v/>
      </c>
      <c r="H569" s="117">
        <f t="shared" si="1"/>
        <v>0</v>
      </c>
      <c r="I569" s="117">
        <f t="shared" si="2"/>
        <v>10</v>
      </c>
      <c r="J569" s="117">
        <f t="shared" si="3"/>
        <v>10.109999999999998</v>
      </c>
      <c r="K569" s="117" t="str">
        <f t="shared" si="4"/>
        <v>BR</v>
      </c>
      <c r="L569" s="42" t="str">
        <v>BR1011</v>
      </c>
      <c r="M569" s="121" t="str">
        <v/>
      </c>
      <c r="N569" s="121" t="str">
        <v/>
      </c>
      <c r="O569" s="121" t="str">
        <v/>
      </c>
      <c r="P569" s="121" t="str">
        <v/>
      </c>
      <c r="Q569" s="121" t="str">
        <v xml:space="preserve"> 1. </v>
      </c>
      <c r="R569" s="121" t="str">
        <v>When selecting the Terms and Conditions link, the online shop usage terms and conditions must be presented as a new page/tab.</v>
      </c>
      <c r="S569" s="121" t="str">
        <v/>
      </c>
      <c r="T569" s="119" t="str">
        <f>IF($C569&lt;4,IF($C569=3,T570,IF($C569=2,T$1,"")),Q569&amp;R569&amp;IF(LEN(S569)=0,"",Preferences!$C$2&amp;S569)&amp;IF(J570=J569,IF(LEN(R569&amp;S569)=0,"","
")&amp;T570,""))</f>
        <v xml:space="preserve"> 1. When selecting the Terms and Conditions link, the online shop usage terms and conditions must be presented as a new page/tab.
 2. The title and full text of the terms and conditions must be presented on the page.
 3. The date last updated must be clearly presented.
 4. The use must be able to download a copy of the text as a pdf file.
	• The file must be contain the business name, title of the page and revision date (yyyymmdd)</v>
      </c>
      <c r="U569" s="122" t="str">
        <v/>
      </c>
      <c r="V569" s="42"/>
      <c r="W569" s="42"/>
      <c r="X569" s="42"/>
      <c r="Y569" s="42"/>
      <c r="Z569" s="42"/>
      <c r="AA569" s="42"/>
      <c r="AB569" s="42"/>
    </row>
    <row r="570" spans="1:28" x14ac:dyDescent="0.25">
      <c r="A570" s="42" t="str">
        <v>1.10.11.2</v>
      </c>
      <c r="B570" s="121" t="str">
        <v>The title and full text of the terms and conditions must be presented on the page.</v>
      </c>
      <c r="C570" s="41">
        <v>4</v>
      </c>
      <c r="D570" s="41" t="str">
        <v>RD</v>
      </c>
      <c r="E570" s="117" t="str">
        <f t="shared" si="0"/>
        <v>RD</v>
      </c>
      <c r="F570" s="41" t="str">
        <v/>
      </c>
      <c r="G570" s="41" t="str">
        <v/>
      </c>
      <c r="H570" s="117">
        <f t="shared" si="1"/>
        <v>0</v>
      </c>
      <c r="I570" s="117">
        <f t="shared" si="2"/>
        <v>10</v>
      </c>
      <c r="J570" s="117">
        <f t="shared" si="3"/>
        <v>10.109999999999998</v>
      </c>
      <c r="K570" s="117" t="str">
        <f t="shared" si="4"/>
        <v>BR</v>
      </c>
      <c r="L570" s="42" t="str">
        <v>BR1011</v>
      </c>
      <c r="M570" s="121" t="str">
        <v/>
      </c>
      <c r="N570" s="121" t="str">
        <v/>
      </c>
      <c r="O570" s="121" t="str">
        <v/>
      </c>
      <c r="P570" s="121" t="str">
        <v/>
      </c>
      <c r="Q570" s="121" t="str">
        <v xml:space="preserve"> 2. </v>
      </c>
      <c r="R570" s="121" t="str">
        <v>The title and full text of the terms and conditions must be presented on the page.</v>
      </c>
      <c r="S570" s="121" t="str">
        <v/>
      </c>
      <c r="T570" s="119" t="str">
        <f>IF($C570&lt;4,IF($C570=3,T571,IF($C570=2,T$1,"")),Q570&amp;R570&amp;IF(LEN(S570)=0,"",Preferences!$C$2&amp;S570)&amp;IF(J571=J570,IF(LEN(R570&amp;S570)=0,"","
")&amp;T571,""))</f>
        <v xml:space="preserve"> 2. The title and full text of the terms and conditions must be presented on the page.
 3. The date last updated must be clearly presented.
 4. The use must be able to download a copy of the text as a pdf file.
	• The file must be contain the business name, title of the page and revision date (yyyymmdd)</v>
      </c>
      <c r="U570" s="122" t="str">
        <v/>
      </c>
      <c r="V570" s="42"/>
      <c r="W570" s="42"/>
      <c r="X570" s="42"/>
      <c r="Y570" s="42"/>
      <c r="Z570" s="42"/>
      <c r="AA570" s="42"/>
      <c r="AB570" s="42"/>
    </row>
    <row r="571" spans="1:28" x14ac:dyDescent="0.25">
      <c r="A571" s="42" t="str">
        <v>1.10.11.3</v>
      </c>
      <c r="B571" s="121" t="str">
        <v>The date last updated must be clearly presented.</v>
      </c>
      <c r="C571" s="41">
        <v>4</v>
      </c>
      <c r="D571" s="41" t="str">
        <v>RD</v>
      </c>
      <c r="E571" s="117" t="str">
        <f t="shared" si="0"/>
        <v>RD</v>
      </c>
      <c r="F571" s="41" t="str">
        <v/>
      </c>
      <c r="G571" s="41" t="str">
        <v/>
      </c>
      <c r="H571" s="117">
        <f t="shared" si="1"/>
        <v>0</v>
      </c>
      <c r="I571" s="117">
        <f t="shared" si="2"/>
        <v>10</v>
      </c>
      <c r="J571" s="117">
        <f t="shared" si="3"/>
        <v>10.109999999999998</v>
      </c>
      <c r="K571" s="117" t="str">
        <f t="shared" si="4"/>
        <v>BR</v>
      </c>
      <c r="L571" s="42" t="str">
        <v>BR1011</v>
      </c>
      <c r="M571" s="121" t="str">
        <v/>
      </c>
      <c r="N571" s="121" t="str">
        <v/>
      </c>
      <c r="O571" s="121" t="str">
        <v/>
      </c>
      <c r="P571" s="121" t="str">
        <v/>
      </c>
      <c r="Q571" s="121" t="str">
        <v xml:space="preserve"> 3. </v>
      </c>
      <c r="R571" s="121" t="str">
        <v>The date last updated must be clearly presented.</v>
      </c>
      <c r="S571" s="121" t="str">
        <v/>
      </c>
      <c r="T571" s="119" t="str">
        <f>IF($C571&lt;4,IF($C571=3,T572,IF($C571=2,T$1,"")),Q571&amp;R571&amp;IF(LEN(S571)=0,"",Preferences!$C$2&amp;S571)&amp;IF(J572=J571,IF(LEN(R571&amp;S571)=0,"","
")&amp;T572,""))</f>
        <v xml:space="preserve"> 3. The date last updated must be clearly presented.
 4. The use must be able to download a copy of the text as a pdf file.
	• The file must be contain the business name, title of the page and revision date (yyyymmdd)</v>
      </c>
      <c r="U571" s="122" t="str">
        <v/>
      </c>
      <c r="V571" s="42"/>
      <c r="W571" s="42"/>
      <c r="X571" s="42"/>
      <c r="Y571" s="42"/>
      <c r="Z571" s="42"/>
      <c r="AA571" s="42"/>
      <c r="AB571" s="42"/>
    </row>
    <row r="572" spans="1:28" x14ac:dyDescent="0.25">
      <c r="A572" s="42" t="str">
        <v>1.10.11.4</v>
      </c>
      <c r="B572" s="121" t="str">
        <v>The use must be able to download a copy of the text as a pdf file.</v>
      </c>
      <c r="C572" s="41">
        <v>4</v>
      </c>
      <c r="D572" s="41" t="str">
        <v>RD</v>
      </c>
      <c r="E572" s="117" t="str">
        <f t="shared" si="0"/>
        <v>RD</v>
      </c>
      <c r="F572" s="41" t="str">
        <v/>
      </c>
      <c r="G572" s="41" t="str">
        <v/>
      </c>
      <c r="H572" s="117">
        <f t="shared" si="1"/>
        <v>0</v>
      </c>
      <c r="I572" s="117">
        <f t="shared" si="2"/>
        <v>10</v>
      </c>
      <c r="J572" s="117">
        <f t="shared" si="3"/>
        <v>10.109999999999998</v>
      </c>
      <c r="K572" s="117" t="str">
        <f t="shared" si="4"/>
        <v>BR</v>
      </c>
      <c r="L572" s="42" t="str">
        <v>BR1011</v>
      </c>
      <c r="M572" s="121" t="str">
        <v/>
      </c>
      <c r="N572" s="121" t="str">
        <v/>
      </c>
      <c r="O572" s="121" t="str">
        <v/>
      </c>
      <c r="P572" s="121" t="str">
        <v/>
      </c>
      <c r="Q572" s="121" t="str">
        <v xml:space="preserve"> 4. </v>
      </c>
      <c r="R572" s="121" t="str">
        <v>The use must be able to download a copy of the text as a pdf file.</v>
      </c>
      <c r="S572" s="121" t="str">
        <v/>
      </c>
      <c r="T572" s="119" t="str">
        <f>IF($C572&lt;4,IF($C572=3,T573,IF($C572=2,T$1,"")),Q572&amp;R572&amp;IF(LEN(S572)=0,"",Preferences!$C$2&amp;S572)&amp;IF(J573=J572,IF(LEN(R572&amp;S572)=0,"","
")&amp;T573,""))</f>
        <v xml:space="preserve"> 4. The use must be able to download a copy of the text as a pdf file.
	• The file must be contain the business name, title of the page and revision date (yyyymmdd)</v>
      </c>
      <c r="U572" s="122" t="str">
        <v/>
      </c>
      <c r="V572" s="42"/>
      <c r="W572" s="42"/>
      <c r="X572" s="42"/>
      <c r="Y572" s="42"/>
      <c r="Z572" s="42"/>
      <c r="AA572" s="42"/>
      <c r="AB572" s="42"/>
    </row>
    <row r="573" spans="1:28" x14ac:dyDescent="0.25">
      <c r="A573" s="42" t="str">
        <v>1.10.11.4.1</v>
      </c>
      <c r="B573" s="121" t="str">
        <v>The file must be contain the business name, title of the page and revision date (yyyymmdd)</v>
      </c>
      <c r="C573" s="41">
        <v>5</v>
      </c>
      <c r="D573" s="41" t="str">
        <v>RL</v>
      </c>
      <c r="E573" s="117" t="str">
        <f t="shared" si="0"/>
        <v>RL</v>
      </c>
      <c r="F573" s="41" t="str">
        <v/>
      </c>
      <c r="G573" s="41" t="str">
        <v/>
      </c>
      <c r="H573" s="117">
        <f t="shared" si="1"/>
        <v>0</v>
      </c>
      <c r="I573" s="117">
        <f t="shared" si="2"/>
        <v>10</v>
      </c>
      <c r="J573" s="117">
        <f t="shared" si="3"/>
        <v>10.109999999999998</v>
      </c>
      <c r="K573" s="117" t="str">
        <f t="shared" si="4"/>
        <v>BR</v>
      </c>
      <c r="L573" s="42" t="str">
        <v>BR1011</v>
      </c>
      <c r="M573" s="121" t="str">
        <v/>
      </c>
      <c r="N573" s="121" t="str">
        <v/>
      </c>
      <c r="O573" s="121" t="str">
        <v/>
      </c>
      <c r="P573" s="121" t="str">
        <v/>
      </c>
      <c r="Q573" s="121" t="str">
        <v/>
      </c>
      <c r="R573" s="121" t="str">
        <v/>
      </c>
      <c r="S573" s="121" t="str">
        <v>The file must be contain the business name, title of the page and revision date (yyyymmdd)</v>
      </c>
      <c r="T573" s="119" t="str">
        <f>IF($C573&lt;4,IF($C573=3,T574,IF($C573=2,T$1,"")),Q573&amp;R573&amp;IF(LEN(S573)=0,"",Preferences!$C$2&amp;S573)&amp;IF(J574=J573,IF(LEN(R573&amp;S573)=0,"","
")&amp;T574,""))</f>
        <v xml:space="preserve">	• The file must be contain the business name, title of the page and revision date (yyyymmdd)</v>
      </c>
      <c r="U573" s="122" t="str">
        <v/>
      </c>
      <c r="V573" s="42"/>
      <c r="W573" s="42"/>
      <c r="X573" s="42"/>
      <c r="Y573" s="42"/>
      <c r="Z573" s="42"/>
      <c r="AA573" s="42"/>
      <c r="AB573" s="42"/>
    </row>
    <row r="574" spans="1:28" x14ac:dyDescent="0.25">
      <c r="A574" s="42" t="str">
        <v>1.10.12</v>
      </c>
      <c r="B574" s="121" t="str">
        <v>10.12 Present the B2C Co Information Privacy Policy</v>
      </c>
      <c r="C574" s="41">
        <v>3</v>
      </c>
      <c r="D574" s="41" t="str">
        <v>R</v>
      </c>
      <c r="E574" s="117" t="str">
        <f t="shared" si="0"/>
        <v>R</v>
      </c>
      <c r="F574" s="41" t="str">
        <v/>
      </c>
      <c r="G574" s="41" t="str">
        <v/>
      </c>
      <c r="H574" s="117">
        <f t="shared" si="1"/>
        <v>0</v>
      </c>
      <c r="I574" s="117">
        <f t="shared" si="2"/>
        <v>10</v>
      </c>
      <c r="J574" s="117">
        <f t="shared" si="3"/>
        <v>10.119999999999997</v>
      </c>
      <c r="K574" s="117" t="str">
        <f t="shared" si="4"/>
        <v>BR</v>
      </c>
      <c r="L574" s="42" t="str">
        <v>BR1012</v>
      </c>
      <c r="M574" s="121" t="str">
        <v/>
      </c>
      <c r="N574" s="121" t="str">
        <v/>
      </c>
      <c r="O574" s="121" t="str">
        <v>BR1012</v>
      </c>
      <c r="P574" s="121" t="str">
        <v>Present the B2C Co Information Privacy Policy</v>
      </c>
      <c r="Q574" s="121" t="str">
        <v/>
      </c>
      <c r="R574" s="121" t="str">
        <v/>
      </c>
      <c r="S574" s="121" t="str">
        <v/>
      </c>
      <c r="T574" s="119" t="str">
        <f>IF($C574&lt;4,IF($C574=3,T575,IF($C574=2,T$1,"")),Q574&amp;R574&amp;IF(LEN(S574)=0,"",Preferences!$C$2&amp;S574)&amp;IF(J575=J574,IF(LEN(R574&amp;S574)=0,"","
")&amp;T575,""))</f>
        <v xml:space="preserve"> 1. When selecting the privacy policy link, the B2C Co information privacy policy must be presented as a new page/tab.
 2. The title and full text of the privacy policy must be presented on the page.
 3. The use must be able to download a copy of the text as a pdf file.
	• The file must be contain the business name, title of the page and revision date (yyyymmdd)</v>
      </c>
      <c r="U574" s="122" t="str">
        <v/>
      </c>
      <c r="V574" s="42"/>
      <c r="W574" s="42"/>
      <c r="X574" s="42"/>
      <c r="Y574" s="42"/>
      <c r="Z574" s="42"/>
      <c r="AA574" s="42"/>
      <c r="AB574" s="42"/>
    </row>
    <row r="575" spans="1:28" x14ac:dyDescent="0.25">
      <c r="A575" s="42" t="str">
        <v>1.10.12.1</v>
      </c>
      <c r="B575" s="121" t="str">
        <v>When selecting the privacy policy link, the B2C Co information privacy policy must be presented as a new page/tab.</v>
      </c>
      <c r="C575" s="41">
        <v>4</v>
      </c>
      <c r="D575" s="41" t="str">
        <v>RD</v>
      </c>
      <c r="E575" s="117" t="str">
        <f t="shared" si="0"/>
        <v>RD</v>
      </c>
      <c r="F575" s="41" t="str">
        <v/>
      </c>
      <c r="G575" s="41" t="str">
        <v/>
      </c>
      <c r="H575" s="117">
        <f t="shared" si="1"/>
        <v>0</v>
      </c>
      <c r="I575" s="117">
        <f t="shared" si="2"/>
        <v>10</v>
      </c>
      <c r="J575" s="117">
        <f t="shared" si="3"/>
        <v>10.119999999999997</v>
      </c>
      <c r="K575" s="117" t="str">
        <f t="shared" si="4"/>
        <v>BR</v>
      </c>
      <c r="L575" s="42" t="str">
        <v>BR1012</v>
      </c>
      <c r="M575" s="121" t="str">
        <v/>
      </c>
      <c r="N575" s="121" t="str">
        <v/>
      </c>
      <c r="O575" s="121" t="str">
        <v/>
      </c>
      <c r="P575" s="121" t="str">
        <v/>
      </c>
      <c r="Q575" s="121" t="str">
        <v xml:space="preserve"> 1. </v>
      </c>
      <c r="R575" s="121" t="str">
        <v>When selecting the privacy policy link, the B2C Co information privacy policy must be presented as a new page/tab.</v>
      </c>
      <c r="S575" s="121" t="str">
        <v/>
      </c>
      <c r="T575" s="119" t="str">
        <f>IF($C575&lt;4,IF($C575=3,T576,IF($C575=2,T$1,"")),Q575&amp;R575&amp;IF(LEN(S575)=0,"",Preferences!$C$2&amp;S575)&amp;IF(J576=J575,IF(LEN(R575&amp;S575)=0,"","
")&amp;T576,""))</f>
        <v xml:space="preserve"> 1. When selecting the privacy policy link, the B2C Co information privacy policy must be presented as a new page/tab.
 2. The title and full text of the privacy policy must be presented on the page.
 3. The use must be able to download a copy of the text as a pdf file.
	• The file must be contain the business name, title of the page and revision date (yyyymmdd)</v>
      </c>
      <c r="U575" s="122" t="str">
        <v/>
      </c>
      <c r="V575" s="42"/>
      <c r="W575" s="42"/>
      <c r="X575" s="42"/>
      <c r="Y575" s="42"/>
      <c r="Z575" s="42"/>
      <c r="AA575" s="42"/>
      <c r="AB575" s="42"/>
    </row>
    <row r="576" spans="1:28" x14ac:dyDescent="0.25">
      <c r="A576" s="42" t="str">
        <v>1.10.12.2</v>
      </c>
      <c r="B576" s="121" t="str">
        <v>The title and full text of the privacy policy must be presented on the page.</v>
      </c>
      <c r="C576" s="41">
        <v>4</v>
      </c>
      <c r="D576" s="41" t="str">
        <v>RD</v>
      </c>
      <c r="E576" s="117" t="str">
        <f t="shared" si="0"/>
        <v>RD</v>
      </c>
      <c r="F576" s="41" t="str">
        <v/>
      </c>
      <c r="G576" s="41" t="str">
        <v/>
      </c>
      <c r="H576" s="117">
        <f t="shared" si="1"/>
        <v>0</v>
      </c>
      <c r="I576" s="117">
        <f t="shared" si="2"/>
        <v>10</v>
      </c>
      <c r="J576" s="117">
        <f t="shared" si="3"/>
        <v>10.119999999999997</v>
      </c>
      <c r="K576" s="117" t="str">
        <f t="shared" si="4"/>
        <v>BR</v>
      </c>
      <c r="L576" s="42" t="str">
        <v>BR1012</v>
      </c>
      <c r="M576" s="121" t="str">
        <v/>
      </c>
      <c r="N576" s="121" t="str">
        <v/>
      </c>
      <c r="O576" s="121" t="str">
        <v/>
      </c>
      <c r="P576" s="121" t="str">
        <v/>
      </c>
      <c r="Q576" s="121" t="str">
        <v xml:space="preserve"> 2. </v>
      </c>
      <c r="R576" s="121" t="str">
        <v>The title and full text of the privacy policy must be presented on the page.</v>
      </c>
      <c r="S576" s="121" t="str">
        <v/>
      </c>
      <c r="T576" s="119" t="str">
        <f>IF($C576&lt;4,IF($C576=3,T577,IF($C576=2,T$1,"")),Q576&amp;R576&amp;IF(LEN(S576)=0,"",Preferences!$C$2&amp;S576)&amp;IF(J577=J576,IF(LEN(R576&amp;S576)=0,"","
")&amp;T577,""))</f>
        <v xml:space="preserve"> 2. The title and full text of the privacy policy must be presented on the page.
 3. The use must be able to download a copy of the text as a pdf file.
	• The file must be contain the business name, title of the page and revision date (yyyymmdd)</v>
      </c>
      <c r="U576" s="122" t="str">
        <v/>
      </c>
      <c r="V576" s="42"/>
      <c r="W576" s="42"/>
      <c r="X576" s="42"/>
      <c r="Y576" s="42"/>
      <c r="Z576" s="42"/>
      <c r="AA576" s="42"/>
      <c r="AB576" s="42"/>
    </row>
    <row r="577" spans="1:28" x14ac:dyDescent="0.25">
      <c r="A577" s="42" t="str">
        <v>1.10.12.3</v>
      </c>
      <c r="B577" s="121" t="str">
        <v>The use must be able to download a copy of the text as a pdf file.</v>
      </c>
      <c r="C577" s="41">
        <v>4</v>
      </c>
      <c r="D577" s="41" t="str">
        <v>RD</v>
      </c>
      <c r="E577" s="117" t="str">
        <f t="shared" si="0"/>
        <v>RD</v>
      </c>
      <c r="F577" s="41" t="str">
        <v/>
      </c>
      <c r="G577" s="41" t="str">
        <v/>
      </c>
      <c r="H577" s="117">
        <f t="shared" si="1"/>
        <v>0</v>
      </c>
      <c r="I577" s="117">
        <f t="shared" si="2"/>
        <v>10</v>
      </c>
      <c r="J577" s="117">
        <f t="shared" si="3"/>
        <v>10.119999999999997</v>
      </c>
      <c r="K577" s="117" t="str">
        <f t="shared" si="4"/>
        <v>BR</v>
      </c>
      <c r="L577" s="42" t="str">
        <v>BR1012</v>
      </c>
      <c r="M577" s="121" t="str">
        <v/>
      </c>
      <c r="N577" s="121" t="str">
        <v/>
      </c>
      <c r="O577" s="121" t="str">
        <v/>
      </c>
      <c r="P577" s="121" t="str">
        <v/>
      </c>
      <c r="Q577" s="121" t="str">
        <v xml:space="preserve"> 3. </v>
      </c>
      <c r="R577" s="121" t="str">
        <v>The use must be able to download a copy of the text as a pdf file.</v>
      </c>
      <c r="S577" s="121" t="str">
        <v/>
      </c>
      <c r="T577" s="119" t="str">
        <f>IF($C577&lt;4,IF($C577=3,T578,IF($C577=2,T$1,"")),Q577&amp;R577&amp;IF(LEN(S577)=0,"",Preferences!$C$2&amp;S577)&amp;IF(J578=J577,IF(LEN(R577&amp;S577)=0,"","
")&amp;T578,""))</f>
        <v xml:space="preserve"> 3. The use must be able to download a copy of the text as a pdf file.
	• The file must be contain the business name, title of the page and revision date (yyyymmdd)</v>
      </c>
      <c r="U577" s="122" t="str">
        <v/>
      </c>
      <c r="V577" s="42"/>
      <c r="W577" s="42"/>
      <c r="X577" s="42"/>
      <c r="Y577" s="42"/>
      <c r="Z577" s="42"/>
      <c r="AA577" s="42"/>
      <c r="AB577" s="42"/>
    </row>
    <row r="578" spans="1:28" x14ac:dyDescent="0.25">
      <c r="A578" s="42" t="str">
        <v>1.10.12.3.1</v>
      </c>
      <c r="B578" s="121" t="str">
        <v>The file must be contain the business name, title of the page and revision date (yyyymmdd)</v>
      </c>
      <c r="C578" s="41">
        <v>5</v>
      </c>
      <c r="D578" s="41" t="str">
        <v>RL</v>
      </c>
      <c r="E578" s="117" t="str">
        <f t="shared" si="0"/>
        <v>RL</v>
      </c>
      <c r="F578" s="41" t="str">
        <v/>
      </c>
      <c r="G578" s="41" t="str">
        <v/>
      </c>
      <c r="H578" s="117">
        <f t="shared" si="1"/>
        <v>0</v>
      </c>
      <c r="I578" s="117">
        <f t="shared" si="2"/>
        <v>10</v>
      </c>
      <c r="J578" s="117">
        <f t="shared" si="3"/>
        <v>10.119999999999997</v>
      </c>
      <c r="K578" s="117" t="str">
        <f t="shared" si="4"/>
        <v>BR</v>
      </c>
      <c r="L578" s="42" t="str">
        <v>BR1012</v>
      </c>
      <c r="M578" s="121" t="str">
        <v/>
      </c>
      <c r="N578" s="121" t="str">
        <v/>
      </c>
      <c r="O578" s="121" t="str">
        <v/>
      </c>
      <c r="P578" s="121" t="str">
        <v/>
      </c>
      <c r="Q578" s="121" t="str">
        <v/>
      </c>
      <c r="R578" s="121" t="str">
        <v/>
      </c>
      <c r="S578" s="121" t="str">
        <v>The file must be contain the business name, title of the page and revision date (yyyymmdd)</v>
      </c>
      <c r="T578" s="119" t="str">
        <f>IF($C578&lt;4,IF($C578=3,T579,IF($C578=2,T$1,"")),Q578&amp;R578&amp;IF(LEN(S578)=0,"",Preferences!$C$2&amp;S578)&amp;IF(J579=J578,IF(LEN(R578&amp;S578)=0,"","
")&amp;T579,""))</f>
        <v xml:space="preserve">	• The file must be contain the business name, title of the page and revision date (yyyymmdd)</v>
      </c>
      <c r="U578" s="122" t="str">
        <v/>
      </c>
      <c r="V578" s="42"/>
      <c r="W578" s="42"/>
      <c r="X578" s="42"/>
      <c r="Y578" s="42"/>
      <c r="Z578" s="42"/>
      <c r="AA578" s="42"/>
      <c r="AB578" s="42"/>
    </row>
    <row r="579" spans="1:28" x14ac:dyDescent="0.25">
      <c r="A579" s="42" t="str">
        <v>1.11</v>
      </c>
      <c r="B579" s="121" t="str">
        <v>11 Online Shop Navigation</v>
      </c>
      <c r="C579" s="41">
        <v>2</v>
      </c>
      <c r="D579" s="41" t="str">
        <v>RS</v>
      </c>
      <c r="E579" s="117" t="str">
        <f t="shared" si="0"/>
        <v>RS</v>
      </c>
      <c r="F579" s="41" t="str">
        <v/>
      </c>
      <c r="G579" s="41" t="str">
        <v/>
      </c>
      <c r="H579" s="117">
        <f t="shared" si="1"/>
        <v>0</v>
      </c>
      <c r="I579" s="117">
        <f t="shared" si="2"/>
        <v>11</v>
      </c>
      <c r="J579" s="117">
        <f t="shared" si="3"/>
        <v>11</v>
      </c>
      <c r="K579" s="117" t="str">
        <f t="shared" si="4"/>
        <v>BR</v>
      </c>
      <c r="L579" s="42">
        <v>11</v>
      </c>
      <c r="M579" s="121" t="str">
        <v/>
      </c>
      <c r="N579" s="121" t="str">
        <v>11 Online Shop Navigation</v>
      </c>
      <c r="O579" s="121" t="str">
        <v>ReqID</v>
      </c>
      <c r="P579" s="121" t="e">
        <v>#N/A</v>
      </c>
      <c r="Q579" s="121" t="str">
        <v/>
      </c>
      <c r="R579" s="121" t="str">
        <v/>
      </c>
      <c r="S579" s="121" t="str">
        <v/>
      </c>
      <c r="T579" s="119" t="str">
        <f>IF($C579&lt;4,IF($C579=3,T580,IF($C579=2,T$1,"")),Q579&amp;R579&amp;IF(LEN(S579)=0,"",Preferences!$C$2&amp;S579)&amp;IF(J580=J579,IF(LEN(R579&amp;S579)=0,"","
")&amp;T580,""))</f>
        <v>Description</v>
      </c>
      <c r="U579" s="122" t="str">
        <v/>
      </c>
      <c r="V579" s="42"/>
      <c r="W579" s="42"/>
      <c r="X579" s="42"/>
      <c r="Y579" s="42"/>
      <c r="Z579" s="42"/>
      <c r="AA579" s="42"/>
      <c r="AB579" s="42"/>
    </row>
    <row r="580" spans="1:28" x14ac:dyDescent="0.25">
      <c r="A580" s="42" t="str">
        <v>1.11.1</v>
      </c>
      <c r="B580" s="121" t="str">
        <v>11.1 Search for products or articles</v>
      </c>
      <c r="C580" s="41">
        <v>3</v>
      </c>
      <c r="D580" s="41" t="str">
        <v>R</v>
      </c>
      <c r="E580" s="117" t="str">
        <f t="shared" si="0"/>
        <v>R</v>
      </c>
      <c r="F580" s="41" t="str">
        <v/>
      </c>
      <c r="G580" s="41" t="str">
        <v/>
      </c>
      <c r="H580" s="117">
        <f t="shared" si="1"/>
        <v>0</v>
      </c>
      <c r="I580" s="117">
        <f t="shared" si="2"/>
        <v>11</v>
      </c>
      <c r="J580" s="117">
        <f t="shared" si="3"/>
        <v>11.01</v>
      </c>
      <c r="K580" s="117" t="str">
        <f t="shared" si="4"/>
        <v>BR</v>
      </c>
      <c r="L580" s="42" t="str">
        <v>BR1101</v>
      </c>
      <c r="M580" s="121" t="str">
        <v/>
      </c>
      <c r="N580" s="121" t="str">
        <v/>
      </c>
      <c r="O580" s="121" t="str">
        <v>BR1101</v>
      </c>
      <c r="P580" s="121" t="str">
        <v>Search for products or articles</v>
      </c>
      <c r="Q580" s="121" t="str">
        <v/>
      </c>
      <c r="R580" s="121" t="str">
        <v/>
      </c>
      <c r="S580" s="121" t="str">
        <v/>
      </c>
      <c r="T580" s="119" t="str">
        <f>IF($C580&lt;4,IF($C580=3,T581,IF($C580=2,T$1,"")),Q580&amp;R580&amp;IF(LEN(S580)=0,"",Preferences!$C$2&amp;S580)&amp;IF(J581=J580,IF(LEN(R580&amp;S580)=0,"","
")&amp;T581,""))</f>
        <v xml:space="preserve"> 1. The user submits one or more full or partial words to search with.
	• The in-progress search is visually indicated to the user (e.g. spinning circle, hourglass, etc.)
 2. Alternately, a search is triggered when they click a link in an article checklist.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0" s="122" t="str">
        <v/>
      </c>
      <c r="V580" s="42"/>
      <c r="W580" s="42"/>
      <c r="X580" s="42"/>
      <c r="Y580" s="42"/>
      <c r="Z580" s="42"/>
      <c r="AA580" s="42"/>
      <c r="AB580" s="42"/>
    </row>
    <row r="581" spans="1:28" x14ac:dyDescent="0.25">
      <c r="A581" s="42" t="str">
        <v>1.11.1.1</v>
      </c>
      <c r="B581" s="121" t="str">
        <v>The user submits one or more full or partial words to search with.</v>
      </c>
      <c r="C581" s="41">
        <v>4</v>
      </c>
      <c r="D581" s="41" t="str">
        <v>RD</v>
      </c>
      <c r="E581" s="117" t="str">
        <f t="shared" si="0"/>
        <v>RD</v>
      </c>
      <c r="F581" s="41" t="str">
        <v/>
      </c>
      <c r="G581" s="41" t="str">
        <v/>
      </c>
      <c r="H581" s="117">
        <f t="shared" si="1"/>
        <v>0</v>
      </c>
      <c r="I581" s="117">
        <f t="shared" si="2"/>
        <v>11</v>
      </c>
      <c r="J581" s="117">
        <f t="shared" si="3"/>
        <v>11.01</v>
      </c>
      <c r="K581" s="117" t="str">
        <f t="shared" si="4"/>
        <v>BR</v>
      </c>
      <c r="L581" s="42" t="str">
        <v>BR1101</v>
      </c>
      <c r="M581" s="121" t="str">
        <v/>
      </c>
      <c r="N581" s="121" t="str">
        <v/>
      </c>
      <c r="O581" s="121" t="str">
        <v/>
      </c>
      <c r="P581" s="121" t="str">
        <v/>
      </c>
      <c r="Q581" s="121" t="str">
        <v xml:space="preserve"> 1. </v>
      </c>
      <c r="R581" s="121" t="str">
        <v>The user submits one or more full or partial words to search with.</v>
      </c>
      <c r="S581" s="121" t="str">
        <v/>
      </c>
      <c r="T581" s="119" t="str">
        <f>IF($C581&lt;4,IF($C581=3,T582,IF($C581=2,T$1,"")),Q581&amp;R581&amp;IF(LEN(S581)=0,"",Preferences!$C$2&amp;S581)&amp;IF(J582=J581,IF(LEN(R581&amp;S581)=0,"","
")&amp;T582,""))</f>
        <v xml:space="preserve"> 1. The user submits one or more full or partial words to search with.
	• The in-progress search is visually indicated to the user (e.g. spinning circle, hourglass, etc.)
 2. Alternately, a search is triggered when they click a link in an article checklist.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1" s="122" t="str">
        <v/>
      </c>
      <c r="V581" s="42"/>
      <c r="W581" s="42"/>
      <c r="X581" s="42"/>
      <c r="Y581" s="42"/>
      <c r="Z581" s="42"/>
      <c r="AA581" s="42"/>
      <c r="AB581" s="42"/>
    </row>
    <row r="582" spans="1:28" x14ac:dyDescent="0.25">
      <c r="A582" s="42" t="str">
        <v>1.11.1.1.1</v>
      </c>
      <c r="B582" s="121" t="str">
        <v>The in-progress search is visually indicated to the user (e.g. spinning circle, hourglass, etc.)</v>
      </c>
      <c r="C582" s="41">
        <v>5</v>
      </c>
      <c r="D582" s="41" t="str">
        <v>RL</v>
      </c>
      <c r="E582" s="117" t="str">
        <f t="shared" si="0"/>
        <v>RL</v>
      </c>
      <c r="F582" s="41" t="str">
        <v/>
      </c>
      <c r="G582" s="41" t="str">
        <v/>
      </c>
      <c r="H582" s="117">
        <f t="shared" si="1"/>
        <v>0</v>
      </c>
      <c r="I582" s="117">
        <f t="shared" si="2"/>
        <v>11</v>
      </c>
      <c r="J582" s="117">
        <f t="shared" si="3"/>
        <v>11.01</v>
      </c>
      <c r="K582" s="117" t="str">
        <f t="shared" si="4"/>
        <v>BR</v>
      </c>
      <c r="L582" s="42" t="str">
        <v>BR1101</v>
      </c>
      <c r="M582" s="121" t="str">
        <v/>
      </c>
      <c r="N582" s="121" t="str">
        <v/>
      </c>
      <c r="O582" s="121" t="str">
        <v/>
      </c>
      <c r="P582" s="121" t="str">
        <v/>
      </c>
      <c r="Q582" s="121" t="str">
        <v/>
      </c>
      <c r="R582" s="121" t="str">
        <v/>
      </c>
      <c r="S582" s="121" t="str">
        <v>The in-progress search is visually indicated to the user (e.g. spinning circle, hourglass, etc.)</v>
      </c>
      <c r="T582" s="119" t="str">
        <f>IF($C582&lt;4,IF($C582=3,T583,IF($C582=2,T$1,"")),Q582&amp;R582&amp;IF(LEN(S582)=0,"",Preferences!$C$2&amp;S582)&amp;IF(J583=J582,IF(LEN(R582&amp;S582)=0,"","
")&amp;T583,""))</f>
        <v xml:space="preserve">	• The in-progress search is visually indicated to the user (e.g. spinning circle, hourglass, etc.)
 2. Alternately, a search is triggered when they click a link in an article checklist.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2" s="122" t="str">
        <v/>
      </c>
      <c r="V582" s="42"/>
      <c r="W582" s="42"/>
      <c r="X582" s="42"/>
      <c r="Y582" s="42"/>
      <c r="Z582" s="42"/>
      <c r="AA582" s="42"/>
      <c r="AB582" s="42"/>
    </row>
    <row r="583" spans="1:28" x14ac:dyDescent="0.25">
      <c r="A583" s="42" t="str">
        <v>1.11.1.2</v>
      </c>
      <c r="B583" s="121" t="str">
        <v>Alternately, a search is triggered when they click a link in an article checklist.</v>
      </c>
      <c r="C583" s="41">
        <v>4</v>
      </c>
      <c r="D583" s="41" t="str">
        <v>RD</v>
      </c>
      <c r="E583" s="117" t="str">
        <f t="shared" si="0"/>
        <v>RD</v>
      </c>
      <c r="F583" s="41" t="str">
        <v/>
      </c>
      <c r="G583" s="41" t="str">
        <v/>
      </c>
      <c r="H583" s="117">
        <f t="shared" si="1"/>
        <v>0</v>
      </c>
      <c r="I583" s="117">
        <f t="shared" si="2"/>
        <v>11</v>
      </c>
      <c r="J583" s="117">
        <f t="shared" si="3"/>
        <v>11.01</v>
      </c>
      <c r="K583" s="117" t="str">
        <f t="shared" si="4"/>
        <v>BR</v>
      </c>
      <c r="L583" s="42" t="str">
        <v>BR1101</v>
      </c>
      <c r="M583" s="121" t="str">
        <v/>
      </c>
      <c r="N583" s="121" t="str">
        <v/>
      </c>
      <c r="O583" s="121" t="str">
        <v/>
      </c>
      <c r="P583" s="121" t="str">
        <v/>
      </c>
      <c r="Q583" s="121" t="str">
        <v xml:space="preserve"> 2. </v>
      </c>
      <c r="R583" s="121" t="str">
        <v>Alternately, a search is triggered when they click a link in an article checklist.</v>
      </c>
      <c r="S583" s="121" t="str">
        <v/>
      </c>
      <c r="T583" s="119" t="str">
        <f>IF($C583&lt;4,IF($C583=3,T584,IF($C583=2,T$1,"")),Q583&amp;R583&amp;IF(LEN(S583)=0,"",Preferences!$C$2&amp;S583)&amp;IF(J584=J583,IF(LEN(R583&amp;S583)=0,"","
")&amp;T584,""))</f>
        <v xml:space="preserve"> 2. Alternately, a search is triggered when they click a link in an article checklist.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3" s="122" t="str">
        <v/>
      </c>
      <c r="V583" s="42"/>
      <c r="W583" s="42"/>
      <c r="X583" s="42"/>
      <c r="Y583" s="42"/>
      <c r="Z583" s="42"/>
      <c r="AA583" s="42"/>
      <c r="AB583" s="42"/>
    </row>
    <row r="584" spans="1:28" x14ac:dyDescent="0.25">
      <c r="A584" s="42" t="str">
        <v>1.11.1.3</v>
      </c>
      <c r="B584" s="121" t="str">
        <v>The search results list is presented, consisting of a combination of the following:</v>
      </c>
      <c r="C584" s="41">
        <v>4</v>
      </c>
      <c r="D584" s="41" t="str">
        <v>RD</v>
      </c>
      <c r="E584" s="117" t="str">
        <f t="shared" si="0"/>
        <v>RD</v>
      </c>
      <c r="F584" s="41" t="str">
        <v/>
      </c>
      <c r="G584" s="41" t="str">
        <v/>
      </c>
      <c r="H584" s="117">
        <f t="shared" si="1"/>
        <v>0</v>
      </c>
      <c r="I584" s="117">
        <f t="shared" si="2"/>
        <v>11</v>
      </c>
      <c r="J584" s="117">
        <f t="shared" si="3"/>
        <v>11.01</v>
      </c>
      <c r="K584" s="117" t="str">
        <f t="shared" si="4"/>
        <v>BR</v>
      </c>
      <c r="L584" s="42" t="str">
        <v>BR1101</v>
      </c>
      <c r="M584" s="121" t="str">
        <v/>
      </c>
      <c r="N584" s="121" t="str">
        <v/>
      </c>
      <c r="O584" s="121" t="str">
        <v/>
      </c>
      <c r="P584" s="121" t="str">
        <v/>
      </c>
      <c r="Q584" s="121" t="str">
        <v xml:space="preserve"> 3. </v>
      </c>
      <c r="R584" s="121" t="str">
        <v>The search results list is presented, consisting of a combination of the following:</v>
      </c>
      <c r="S584" s="121" t="str">
        <v/>
      </c>
      <c r="T584" s="119" t="str">
        <f>IF($C584&lt;4,IF($C584=3,T585,IF($C584=2,T$1,"")),Q584&amp;R584&amp;IF(LEN(S584)=0,"",Preferences!$C$2&amp;S584)&amp;IF(J585=J584,IF(LEN(R584&amp;S584)=0,"","
")&amp;T585,""))</f>
        <v xml:space="preserve"> 3. The search results list is presented, consisting of a combination of the following: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4" s="122" t="str">
        <v/>
      </c>
      <c r="V584" s="42"/>
      <c r="W584" s="42"/>
      <c r="X584" s="42"/>
      <c r="Y584" s="42"/>
      <c r="Z584" s="42"/>
      <c r="AA584" s="42"/>
      <c r="AB584" s="42"/>
    </row>
    <row r="585" spans="1:28" x14ac:dyDescent="0.25">
      <c r="A585" s="42" t="str">
        <v>1.11.1.3.1</v>
      </c>
      <c r="B585" s="121" t="str">
        <v>Priority Advertisements</v>
      </c>
      <c r="C585" s="41">
        <v>5</v>
      </c>
      <c r="D585" s="41" t="str">
        <v>RL</v>
      </c>
      <c r="E585" s="117" t="str">
        <f t="shared" si="0"/>
        <v>RL</v>
      </c>
      <c r="F585" s="41" t="str">
        <v/>
      </c>
      <c r="G585" s="41" t="str">
        <v/>
      </c>
      <c r="H585" s="117">
        <f t="shared" si="1"/>
        <v>0</v>
      </c>
      <c r="I585" s="117">
        <f t="shared" si="2"/>
        <v>11</v>
      </c>
      <c r="J585" s="117">
        <f t="shared" si="3"/>
        <v>11.01</v>
      </c>
      <c r="K585" s="117" t="str">
        <f t="shared" si="4"/>
        <v>BR</v>
      </c>
      <c r="L585" s="42" t="str">
        <v>BR1101</v>
      </c>
      <c r="M585" s="121" t="str">
        <v/>
      </c>
      <c r="N585" s="121" t="str">
        <v/>
      </c>
      <c r="O585" s="121" t="str">
        <v/>
      </c>
      <c r="P585" s="121" t="str">
        <v/>
      </c>
      <c r="Q585" s="121" t="str">
        <v/>
      </c>
      <c r="R585" s="121" t="str">
        <v/>
      </c>
      <c r="S585" s="121" t="str">
        <v>Priority Advertisements</v>
      </c>
      <c r="T585" s="119" t="str">
        <f>IF($C585&lt;4,IF($C585=3,T586,IF($C585=2,T$1,"")),Q585&amp;R585&amp;IF(LEN(S585)=0,"",Preferences!$C$2&amp;S585)&amp;IF(J586=J585,IF(LEN(R585&amp;S585)=0,"","
")&amp;T586,""))</f>
        <v xml:space="preserve">	• Priority Advertisements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5" s="122" t="str">
        <v/>
      </c>
      <c r="V585" s="42"/>
      <c r="W585" s="42"/>
      <c r="X585" s="42"/>
      <c r="Y585" s="42"/>
      <c r="Z585" s="42"/>
      <c r="AA585" s="42"/>
      <c r="AB585" s="42"/>
    </row>
    <row r="586" spans="1:28" x14ac:dyDescent="0.25">
      <c r="A586" s="42" t="str">
        <v>1.11.1.3.2</v>
      </c>
      <c r="B586" s="121" t="str">
        <v>Priority Articles</v>
      </c>
      <c r="C586" s="41">
        <v>5</v>
      </c>
      <c r="D586" s="41" t="str">
        <v>RL</v>
      </c>
      <c r="E586" s="117" t="str">
        <f t="shared" si="0"/>
        <v>RL</v>
      </c>
      <c r="F586" s="41" t="str">
        <v/>
      </c>
      <c r="G586" s="41" t="str">
        <v/>
      </c>
      <c r="H586" s="117">
        <f t="shared" si="1"/>
        <v>0</v>
      </c>
      <c r="I586" s="117">
        <f t="shared" si="2"/>
        <v>11</v>
      </c>
      <c r="J586" s="117">
        <f t="shared" si="3"/>
        <v>11.01</v>
      </c>
      <c r="K586" s="117" t="str">
        <f t="shared" si="4"/>
        <v>BR</v>
      </c>
      <c r="L586" s="42" t="str">
        <v>BR1101</v>
      </c>
      <c r="M586" s="121" t="str">
        <v/>
      </c>
      <c r="N586" s="121" t="str">
        <v/>
      </c>
      <c r="O586" s="121" t="str">
        <v/>
      </c>
      <c r="P586" s="121" t="str">
        <v/>
      </c>
      <c r="Q586" s="121" t="str">
        <v/>
      </c>
      <c r="R586" s="121" t="str">
        <v/>
      </c>
      <c r="S586" s="121" t="str">
        <v>Priority Articles</v>
      </c>
      <c r="T586" s="119" t="str">
        <f>IF($C586&lt;4,IF($C586=3,T587,IF($C586=2,T$1,"")),Q586&amp;R586&amp;IF(LEN(S586)=0,"",Preferences!$C$2&amp;S586)&amp;IF(J587=J586,IF(LEN(R586&amp;S586)=0,"","
")&amp;T587,""))</f>
        <v xml:space="preserve">	• Priority Articles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6" s="122" t="str">
        <v/>
      </c>
      <c r="V586" s="42"/>
      <c r="W586" s="42"/>
      <c r="X586" s="42"/>
      <c r="Y586" s="42"/>
      <c r="Z586" s="42"/>
      <c r="AA586" s="42"/>
      <c r="AB586" s="42"/>
    </row>
    <row r="587" spans="1:28" x14ac:dyDescent="0.25">
      <c r="A587" s="42" t="str">
        <v>1.11.1.3.3</v>
      </c>
      <c r="B587" s="121" t="str">
        <v>Products</v>
      </c>
      <c r="C587" s="41">
        <v>5</v>
      </c>
      <c r="D587" s="41" t="str">
        <v>RL</v>
      </c>
      <c r="E587" s="117" t="str">
        <f t="shared" si="0"/>
        <v>RL</v>
      </c>
      <c r="F587" s="41" t="str">
        <v/>
      </c>
      <c r="G587" s="41" t="str">
        <v/>
      </c>
      <c r="H587" s="117">
        <f t="shared" si="1"/>
        <v>0</v>
      </c>
      <c r="I587" s="117">
        <f t="shared" si="2"/>
        <v>11</v>
      </c>
      <c r="J587" s="117">
        <f t="shared" si="3"/>
        <v>11.01</v>
      </c>
      <c r="K587" s="117" t="str">
        <f t="shared" si="4"/>
        <v>BR</v>
      </c>
      <c r="L587" s="42" t="str">
        <v>BR1101</v>
      </c>
      <c r="M587" s="121" t="str">
        <v/>
      </c>
      <c r="N587" s="121" t="str">
        <v/>
      </c>
      <c r="O587" s="121" t="str">
        <v/>
      </c>
      <c r="P587" s="121" t="str">
        <v/>
      </c>
      <c r="Q587" s="121" t="str">
        <v/>
      </c>
      <c r="R587" s="121" t="str">
        <v/>
      </c>
      <c r="S587" s="121" t="str">
        <v>Products</v>
      </c>
      <c r="T587" s="119" t="str">
        <f>IF($C587&lt;4,IF($C587=3,T588,IF($C587=2,T$1,"")),Q587&amp;R587&amp;IF(LEN(S587)=0,"",Preferences!$C$2&amp;S587)&amp;IF(J588=J587,IF(LEN(R587&amp;S587)=0,"","
")&amp;T588,""))</f>
        <v xml:space="preserve">	• Products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7" s="122" t="str">
        <v/>
      </c>
      <c r="V587" s="42"/>
      <c r="W587" s="42"/>
      <c r="X587" s="42"/>
      <c r="Y587" s="42"/>
      <c r="Z587" s="42"/>
      <c r="AA587" s="42"/>
      <c r="AB587" s="42"/>
    </row>
    <row r="588" spans="1:28" x14ac:dyDescent="0.25">
      <c r="A588" s="42" t="str">
        <v>1.11.1.4</v>
      </c>
      <c r="B588" s="121" t="str">
        <v>In addition, the following is placed in promotion areas on the side of the search results:</v>
      </c>
      <c r="C588" s="41">
        <v>4</v>
      </c>
      <c r="D588" s="41" t="str">
        <v>RD</v>
      </c>
      <c r="E588" s="117" t="str">
        <f t="shared" si="0"/>
        <v>RD</v>
      </c>
      <c r="F588" s="41" t="str">
        <v/>
      </c>
      <c r="G588" s="41" t="str">
        <v/>
      </c>
      <c r="H588" s="117">
        <f t="shared" si="1"/>
        <v>0</v>
      </c>
      <c r="I588" s="117">
        <f t="shared" si="2"/>
        <v>11</v>
      </c>
      <c r="J588" s="117">
        <f t="shared" si="3"/>
        <v>11.01</v>
      </c>
      <c r="K588" s="117" t="str">
        <f t="shared" si="4"/>
        <v>BR</v>
      </c>
      <c r="L588" s="42" t="str">
        <v>BR1101</v>
      </c>
      <c r="M588" s="121" t="str">
        <v/>
      </c>
      <c r="N588" s="121" t="str">
        <v/>
      </c>
      <c r="O588" s="121" t="str">
        <v/>
      </c>
      <c r="P588" s="121" t="str">
        <v/>
      </c>
      <c r="Q588" s="121" t="str">
        <v xml:space="preserve"> 4. </v>
      </c>
      <c r="R588" s="121" t="str">
        <v>In addition, the following is placed in promotion areas on the side of the search results:</v>
      </c>
      <c r="S588" s="121" t="str">
        <v/>
      </c>
      <c r="T588" s="119" t="str">
        <f>IF($C588&lt;4,IF($C588=3,T589,IF($C588=2,T$1,"")),Q588&amp;R588&amp;IF(LEN(S588)=0,"",Preferences!$C$2&amp;S588)&amp;IF(J589=J588,IF(LEN(R588&amp;S588)=0,"","
")&amp;T589,""))</f>
        <v xml:space="preserve"> 4. In addition, the following is placed in promotion areas on the side of the search results: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8" s="122" t="str">
        <v/>
      </c>
      <c r="V588" s="42"/>
      <c r="W588" s="42"/>
      <c r="X588" s="42"/>
      <c r="Y588" s="42"/>
      <c r="Z588" s="42"/>
      <c r="AA588" s="42"/>
      <c r="AB588" s="42"/>
    </row>
    <row r="589" spans="1:28" x14ac:dyDescent="0.25">
      <c r="A589" s="42" t="str">
        <v>1.11.1.4.1</v>
      </c>
      <c r="B589" s="121" t="str">
        <v>Advertisements matching the current meta-tags (excluding those already listed in the search results)</v>
      </c>
      <c r="C589" s="41">
        <v>5</v>
      </c>
      <c r="D589" s="41" t="str">
        <v>RL</v>
      </c>
      <c r="E589" s="117" t="str">
        <f t="shared" si="0"/>
        <v>RL</v>
      </c>
      <c r="F589" s="41" t="str">
        <v/>
      </c>
      <c r="G589" s="41" t="str">
        <v/>
      </c>
      <c r="H589" s="117">
        <f t="shared" si="1"/>
        <v>0</v>
      </c>
      <c r="I589" s="117">
        <f t="shared" si="2"/>
        <v>11</v>
      </c>
      <c r="J589" s="117">
        <f t="shared" si="3"/>
        <v>11.01</v>
      </c>
      <c r="K589" s="117" t="str">
        <f t="shared" si="4"/>
        <v>BR</v>
      </c>
      <c r="L589" s="42" t="str">
        <v>BR1101</v>
      </c>
      <c r="M589" s="121" t="str">
        <v/>
      </c>
      <c r="N589" s="121" t="str">
        <v/>
      </c>
      <c r="O589" s="121" t="str">
        <v/>
      </c>
      <c r="P589" s="121" t="str">
        <v/>
      </c>
      <c r="Q589" s="121" t="str">
        <v/>
      </c>
      <c r="R589" s="121" t="str">
        <v/>
      </c>
      <c r="S589" s="121" t="str">
        <v>Advertisements matching the current meta-tags (excluding those already listed in the search results)</v>
      </c>
      <c r="T589" s="119" t="str">
        <f>IF($C589&lt;4,IF($C589=3,T590,IF($C589=2,T$1,"")),Q589&amp;R589&amp;IF(LEN(S589)=0,"",Preferences!$C$2&amp;S589)&amp;IF(J590=J589,IF(LEN(R589&amp;S589)=0,"","
")&amp;T590,""))</f>
        <v xml:space="preserve">	• Advertisements matching the current meta-tags (excluding those already listed in the search results)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89" s="122" t="str">
        <v/>
      </c>
      <c r="V589" s="42"/>
      <c r="W589" s="42"/>
      <c r="X589" s="42"/>
      <c r="Y589" s="42"/>
      <c r="Z589" s="42"/>
      <c r="AA589" s="42"/>
      <c r="AB589" s="42"/>
    </row>
    <row r="590" spans="1:28" x14ac:dyDescent="0.25">
      <c r="A590" s="42" t="str">
        <v>1.11.1.4.2</v>
      </c>
      <c r="B590" s="121" t="str">
        <v>Articles matching the current meta-tags (excluding those already listed in the search results)</v>
      </c>
      <c r="C590" s="41">
        <v>5</v>
      </c>
      <c r="D590" s="41" t="str">
        <v>RL</v>
      </c>
      <c r="E590" s="117" t="str">
        <f t="shared" si="0"/>
        <v>RL</v>
      </c>
      <c r="F590" s="41" t="str">
        <v/>
      </c>
      <c r="G590" s="41" t="str">
        <v/>
      </c>
      <c r="H590" s="117">
        <f t="shared" si="1"/>
        <v>0</v>
      </c>
      <c r="I590" s="117">
        <f t="shared" si="2"/>
        <v>11</v>
      </c>
      <c r="J590" s="117">
        <f t="shared" si="3"/>
        <v>11.01</v>
      </c>
      <c r="K590" s="117" t="str">
        <f t="shared" si="4"/>
        <v>BR</v>
      </c>
      <c r="L590" s="42" t="str">
        <v>BR1101</v>
      </c>
      <c r="M590" s="121" t="str">
        <v/>
      </c>
      <c r="N590" s="121" t="str">
        <v/>
      </c>
      <c r="O590" s="121" t="str">
        <v/>
      </c>
      <c r="P590" s="121" t="str">
        <v/>
      </c>
      <c r="Q590" s="121" t="str">
        <v/>
      </c>
      <c r="R590" s="121" t="str">
        <v/>
      </c>
      <c r="S590" s="121" t="str">
        <v>Articles matching the current meta-tags (excluding those already listed in the search results)</v>
      </c>
      <c r="T590" s="119" t="str">
        <f>IF($C590&lt;4,IF($C590=3,T591,IF($C590=2,T$1,"")),Q590&amp;R590&amp;IF(LEN(S590)=0,"",Preferences!$C$2&amp;S590)&amp;IF(J591=J590,IF(LEN(R590&amp;S590)=0,"","
")&amp;T591,""))</f>
        <v xml:space="preserve">	• Articles matching the current meta-tags (excluding those already listed in the search results)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90" s="122" t="str">
        <v/>
      </c>
      <c r="V590" s="42"/>
      <c r="W590" s="42"/>
      <c r="X590" s="42"/>
      <c r="Y590" s="42"/>
      <c r="Z590" s="42"/>
      <c r="AA590" s="42"/>
      <c r="AB590" s="42"/>
    </row>
    <row r="591" spans="1:28" x14ac:dyDescent="0.25">
      <c r="A591" s="42" t="str">
        <v>1.11.1.4.3</v>
      </c>
      <c r="B591" s="121" t="str">
        <v>Advertisements and articles are selected to fill a limited number of promotion display positions.</v>
      </c>
      <c r="C591" s="41">
        <v>5</v>
      </c>
      <c r="D591" s="41" t="str">
        <v>RL</v>
      </c>
      <c r="E591" s="117" t="str">
        <f t="shared" si="0"/>
        <v>RL</v>
      </c>
      <c r="F591" s="41" t="str">
        <v/>
      </c>
      <c r="G591" s="41" t="str">
        <v/>
      </c>
      <c r="H591" s="117">
        <f t="shared" si="1"/>
        <v>0</v>
      </c>
      <c r="I591" s="117">
        <f t="shared" si="2"/>
        <v>11</v>
      </c>
      <c r="J591" s="117">
        <f t="shared" si="3"/>
        <v>11.01</v>
      </c>
      <c r="K591" s="117" t="str">
        <f t="shared" si="4"/>
        <v>BR</v>
      </c>
      <c r="L591" s="42" t="str">
        <v>BR1101</v>
      </c>
      <c r="M591" s="121" t="str">
        <v/>
      </c>
      <c r="N591" s="121" t="str">
        <v/>
      </c>
      <c r="O591" s="121" t="str">
        <v/>
      </c>
      <c r="P591" s="121" t="str">
        <v/>
      </c>
      <c r="Q591" s="121" t="str">
        <v/>
      </c>
      <c r="R591" s="121" t="str">
        <v/>
      </c>
      <c r="S591" s="121" t="str">
        <v>Advertisements and articles are selected to fill a limited number of promotion display positions.</v>
      </c>
      <c r="T591" s="119" t="str">
        <f>IF($C591&lt;4,IF($C591=3,T592,IF($C591=2,T$1,"")),Q591&amp;R591&amp;IF(LEN(S591)=0,"",Preferences!$C$2&amp;S591)&amp;IF(J592=J591,IF(LEN(R591&amp;S591)=0,"","
")&amp;T592,""))</f>
        <v xml:space="preserve">	• Advertisements and articles are selected to fill a limited number of promotion display positions.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91" s="122" t="str">
        <v/>
      </c>
      <c r="V591" s="42"/>
      <c r="W591" s="42"/>
      <c r="X591" s="42"/>
      <c r="Y591" s="42"/>
      <c r="Z591" s="42"/>
      <c r="AA591" s="42"/>
      <c r="AB591" s="42"/>
    </row>
    <row r="592" spans="1:28" x14ac:dyDescent="0.25">
      <c r="A592" s="42" t="str">
        <v>1.11.1.5</v>
      </c>
      <c r="B592" s="121" t="str">
        <v>The filter criteria presents the meta-tag dimensions and related meta-tag items found in the search results.</v>
      </c>
      <c r="C592" s="41">
        <v>4</v>
      </c>
      <c r="D592" s="41" t="str">
        <v>RD</v>
      </c>
      <c r="E592" s="117" t="str">
        <f t="shared" si="0"/>
        <v>RD</v>
      </c>
      <c r="F592" s="41" t="str">
        <v/>
      </c>
      <c r="G592" s="41" t="str">
        <v/>
      </c>
      <c r="H592" s="117">
        <f t="shared" si="1"/>
        <v>0</v>
      </c>
      <c r="I592" s="117">
        <f t="shared" si="2"/>
        <v>11</v>
      </c>
      <c r="J592" s="117">
        <f t="shared" si="3"/>
        <v>11.01</v>
      </c>
      <c r="K592" s="117" t="str">
        <f t="shared" si="4"/>
        <v>BR</v>
      </c>
      <c r="L592" s="42" t="str">
        <v>BR1101</v>
      </c>
      <c r="M592" s="121" t="str">
        <v/>
      </c>
      <c r="N592" s="121" t="str">
        <v/>
      </c>
      <c r="O592" s="121" t="str">
        <v/>
      </c>
      <c r="P592" s="121" t="str">
        <v/>
      </c>
      <c r="Q592" s="121" t="str">
        <v xml:space="preserve"> 5. </v>
      </c>
      <c r="R592" s="121" t="str">
        <v>The filter criteria presents the meta-tag dimensions and related meta-tag items found in the search results.</v>
      </c>
      <c r="S592" s="121" t="str">
        <v/>
      </c>
      <c r="T592" s="119" t="str">
        <f>IF($C592&lt;4,IF($C592=3,T593,IF($C592=2,T$1,"")),Q592&amp;R592&amp;IF(LEN(S592)=0,"",Preferences!$C$2&amp;S592)&amp;IF(J593=J592,IF(LEN(R592&amp;S592)=0,"","
")&amp;T593,""))</f>
        <v xml:space="preserve"> 5. The filter criteria presents the meta-tag dimensions and related meta-tag items found in the search results.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92" s="122" t="str">
        <v/>
      </c>
      <c r="V592" s="42"/>
      <c r="W592" s="42"/>
      <c r="X592" s="42"/>
      <c r="Y592" s="42"/>
      <c r="Z592" s="42"/>
      <c r="AA592" s="42"/>
      <c r="AB592" s="42"/>
    </row>
    <row r="593" spans="1:28" x14ac:dyDescent="0.25">
      <c r="A593" s="42" t="str">
        <v>1.11.1.6</v>
      </c>
      <c r="B593" s="121" t="str">
        <v>Whenever the user makes a selection from the filter criteria, the results list is further refined.</v>
      </c>
      <c r="C593" s="41">
        <v>4</v>
      </c>
      <c r="D593" s="41" t="str">
        <v>RD</v>
      </c>
      <c r="E593" s="117" t="str">
        <f t="shared" si="0"/>
        <v>RD</v>
      </c>
      <c r="F593" s="41" t="str">
        <v/>
      </c>
      <c r="G593" s="41" t="str">
        <v/>
      </c>
      <c r="H593" s="117">
        <f t="shared" si="1"/>
        <v>0</v>
      </c>
      <c r="I593" s="117">
        <f t="shared" si="2"/>
        <v>11</v>
      </c>
      <c r="J593" s="117">
        <f t="shared" si="3"/>
        <v>11.01</v>
      </c>
      <c r="K593" s="117" t="str">
        <f t="shared" si="4"/>
        <v>BR</v>
      </c>
      <c r="L593" s="42" t="str">
        <v>BR1101</v>
      </c>
      <c r="M593" s="121" t="str">
        <v/>
      </c>
      <c r="N593" s="121" t="str">
        <v/>
      </c>
      <c r="O593" s="121" t="str">
        <v/>
      </c>
      <c r="P593" s="121" t="str">
        <v/>
      </c>
      <c r="Q593" s="121" t="str">
        <v xml:space="preserve"> 6. </v>
      </c>
      <c r="R593" s="121" t="str">
        <v>Whenever the user makes a selection from the filter criteria, the results list is further refined.</v>
      </c>
      <c r="S593" s="121" t="str">
        <v/>
      </c>
      <c r="T593" s="119" t="str">
        <f>IF($C593&lt;4,IF($C593=3,T594,IF($C593=2,T$1,"")),Q593&amp;R593&amp;IF(LEN(S593)=0,"",Preferences!$C$2&amp;S593)&amp;IF(J594=J593,IF(LEN(R593&amp;S593)=0,"","
")&amp;T594,""))</f>
        <v xml:space="preserve"> 6. Whenever the user makes a selection from the filter criteria, the results list is further refined.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93" s="122" t="str">
        <v/>
      </c>
      <c r="V593" s="42"/>
      <c r="W593" s="42"/>
      <c r="X593" s="42"/>
      <c r="Y593" s="42"/>
      <c r="Z593" s="42"/>
      <c r="AA593" s="42"/>
      <c r="AB593" s="42"/>
    </row>
    <row r="594" spans="1:28" x14ac:dyDescent="0.25">
      <c r="A594" s="42" t="str">
        <v>1.11.1.6.1</v>
      </c>
      <c r="B594" s="121" t="str">
        <v>The items displayed in the promotion areas are also refreshed.</v>
      </c>
      <c r="C594" s="41">
        <v>5</v>
      </c>
      <c r="D594" s="41" t="str">
        <v>RL</v>
      </c>
      <c r="E594" s="117" t="str">
        <f t="shared" si="0"/>
        <v>RL</v>
      </c>
      <c r="F594" s="41" t="str">
        <v/>
      </c>
      <c r="G594" s="41" t="str">
        <v/>
      </c>
      <c r="H594" s="117">
        <f t="shared" si="1"/>
        <v>0</v>
      </c>
      <c r="I594" s="117">
        <f t="shared" si="2"/>
        <v>11</v>
      </c>
      <c r="J594" s="117">
        <f t="shared" si="3"/>
        <v>11.01</v>
      </c>
      <c r="K594" s="117" t="str">
        <f t="shared" si="4"/>
        <v>BR</v>
      </c>
      <c r="L594" s="42" t="str">
        <v>BR1101</v>
      </c>
      <c r="M594" s="121" t="str">
        <v/>
      </c>
      <c r="N594" s="121" t="str">
        <v/>
      </c>
      <c r="O594" s="121" t="str">
        <v/>
      </c>
      <c r="P594" s="121" t="str">
        <v/>
      </c>
      <c r="Q594" s="121" t="str">
        <v/>
      </c>
      <c r="R594" s="121" t="str">
        <v/>
      </c>
      <c r="S594" s="121" t="str">
        <v>The items displayed in the promotion areas are also refreshed.</v>
      </c>
      <c r="T594" s="119" t="str">
        <f>IF($C594&lt;4,IF($C594=3,T595,IF($C594=2,T$1,"")),Q594&amp;R594&amp;IF(LEN(S594)=0,"",Preferences!$C$2&amp;S594)&amp;IF(J595=J594,IF(LEN(R594&amp;S594)=0,"","
")&amp;T595,""))</f>
        <v xml:space="preserve">	• The items displayed in the promotion areas are also refreshed.
 7. Also refer to the requirements in the following sections:
	• Online Shop
	• Online Shop Recommended Content section
 8. By choosing a category/subcategory from the main menu, the search is reset and that selection is applied as the new search.</v>
      </c>
      <c r="U594" s="122" t="str">
        <v/>
      </c>
      <c r="V594" s="42"/>
      <c r="W594" s="42"/>
      <c r="X594" s="42"/>
      <c r="Y594" s="42"/>
      <c r="Z594" s="42"/>
      <c r="AA594" s="42"/>
      <c r="AB594" s="42"/>
    </row>
    <row r="595" spans="1:28" x14ac:dyDescent="0.25">
      <c r="A595" s="42" t="str">
        <v>1.11.1.7</v>
      </c>
      <c r="B595" s="121" t="str">
        <v>Also refer to the requirements in the following sections:</v>
      </c>
      <c r="C595" s="41">
        <v>4</v>
      </c>
      <c r="D595" s="41" t="str">
        <v>RD</v>
      </c>
      <c r="E595" s="117" t="str">
        <f t="shared" si="0"/>
        <v>RD</v>
      </c>
      <c r="F595" s="41" t="str">
        <v/>
      </c>
      <c r="G595" s="41" t="str">
        <v/>
      </c>
      <c r="H595" s="117">
        <f t="shared" si="1"/>
        <v>0</v>
      </c>
      <c r="I595" s="117">
        <f t="shared" si="2"/>
        <v>11</v>
      </c>
      <c r="J595" s="117">
        <f t="shared" si="3"/>
        <v>11.01</v>
      </c>
      <c r="K595" s="117" t="str">
        <f t="shared" si="4"/>
        <v>BR</v>
      </c>
      <c r="L595" s="42" t="str">
        <v>BR1101</v>
      </c>
      <c r="M595" s="121" t="str">
        <v/>
      </c>
      <c r="N595" s="121" t="str">
        <v/>
      </c>
      <c r="O595" s="121" t="str">
        <v/>
      </c>
      <c r="P595" s="121" t="str">
        <v/>
      </c>
      <c r="Q595" s="121" t="str">
        <v xml:space="preserve"> 7. </v>
      </c>
      <c r="R595" s="121" t="str">
        <v>Also refer to the requirements in the following sections:</v>
      </c>
      <c r="S595" s="121" t="str">
        <v/>
      </c>
      <c r="T595" s="119" t="str">
        <f>IF($C595&lt;4,IF($C595=3,T596,IF($C595=2,T$1,"")),Q595&amp;R595&amp;IF(LEN(S595)=0,"",Preferences!$C$2&amp;S595)&amp;IF(J596=J595,IF(LEN(R595&amp;S595)=0,"","
")&amp;T596,""))</f>
        <v xml:space="preserve"> 7. Also refer to the requirements in the following sections:
	• Online Shop
	• Online Shop Recommended Content section
 8. By choosing a category/subcategory from the main menu, the search is reset and that selection is applied as the new search.</v>
      </c>
      <c r="U595" s="122" t="str">
        <v/>
      </c>
      <c r="V595" s="42"/>
      <c r="W595" s="42"/>
      <c r="X595" s="42"/>
      <c r="Y595" s="42"/>
      <c r="Z595" s="42"/>
      <c r="AA595" s="42"/>
      <c r="AB595" s="42"/>
    </row>
    <row r="596" spans="1:28" x14ac:dyDescent="0.25">
      <c r="A596" s="42" t="str">
        <v>1.11.1.7.1</v>
      </c>
      <c r="B596" s="121" t="str">
        <v>Online Shop</v>
      </c>
      <c r="C596" s="41">
        <v>5</v>
      </c>
      <c r="D596" s="41" t="str">
        <v>RL</v>
      </c>
      <c r="E596" s="117" t="str">
        <f t="shared" si="0"/>
        <v>RL</v>
      </c>
      <c r="F596" s="41" t="str">
        <v/>
      </c>
      <c r="G596" s="41" t="str">
        <v/>
      </c>
      <c r="H596" s="117">
        <f t="shared" si="1"/>
        <v>0</v>
      </c>
      <c r="I596" s="117">
        <f t="shared" si="2"/>
        <v>11</v>
      </c>
      <c r="J596" s="117">
        <f t="shared" si="3"/>
        <v>11.01</v>
      </c>
      <c r="K596" s="117" t="str">
        <f t="shared" si="4"/>
        <v>BR</v>
      </c>
      <c r="L596" s="42" t="str">
        <v>BR1101</v>
      </c>
      <c r="M596" s="121" t="str">
        <v/>
      </c>
      <c r="N596" s="121" t="str">
        <v/>
      </c>
      <c r="O596" s="121" t="str">
        <v/>
      </c>
      <c r="P596" s="121" t="str">
        <v/>
      </c>
      <c r="Q596" s="121" t="str">
        <v/>
      </c>
      <c r="R596" s="121" t="str">
        <v/>
      </c>
      <c r="S596" s="121" t="str">
        <v>Online Shop</v>
      </c>
      <c r="T596" s="119" t="str">
        <f>IF($C596&lt;4,IF($C596=3,T597,IF($C596=2,T$1,"")),Q596&amp;R596&amp;IF(LEN(S596)=0,"",Preferences!$C$2&amp;S596)&amp;IF(J597=J596,IF(LEN(R596&amp;S596)=0,"","
")&amp;T597,""))</f>
        <v xml:space="preserve">	• Online Shop
	• Online Shop Recommended Content section
 8. By choosing a category/subcategory from the main menu, the search is reset and that selection is applied as the new search.</v>
      </c>
      <c r="U596" s="122" t="str">
        <v/>
      </c>
      <c r="V596" s="42"/>
      <c r="W596" s="42"/>
      <c r="X596" s="42"/>
      <c r="Y596" s="42"/>
      <c r="Z596" s="42"/>
      <c r="AA596" s="42"/>
      <c r="AB596" s="42"/>
    </row>
    <row r="597" spans="1:28" x14ac:dyDescent="0.25">
      <c r="A597" s="42" t="str">
        <v>1.11.1.7.2</v>
      </c>
      <c r="B597" s="121" t="str">
        <v>Online Shop Recommended Content section</v>
      </c>
      <c r="C597" s="41">
        <v>5</v>
      </c>
      <c r="D597" s="41" t="str">
        <v>RL</v>
      </c>
      <c r="E597" s="117" t="str">
        <f t="shared" si="0"/>
        <v>RL</v>
      </c>
      <c r="F597" s="41" t="str">
        <v/>
      </c>
      <c r="G597" s="41" t="str">
        <v/>
      </c>
      <c r="H597" s="117">
        <f t="shared" si="1"/>
        <v>0</v>
      </c>
      <c r="I597" s="117">
        <f t="shared" si="2"/>
        <v>11</v>
      </c>
      <c r="J597" s="117">
        <f t="shared" si="3"/>
        <v>11.01</v>
      </c>
      <c r="K597" s="117" t="str">
        <f t="shared" si="4"/>
        <v>BR</v>
      </c>
      <c r="L597" s="42" t="str">
        <v>BR1101</v>
      </c>
      <c r="M597" s="121" t="str">
        <v/>
      </c>
      <c r="N597" s="121" t="str">
        <v/>
      </c>
      <c r="O597" s="121" t="str">
        <v/>
      </c>
      <c r="P597" s="121" t="str">
        <v/>
      </c>
      <c r="Q597" s="121" t="str">
        <v/>
      </c>
      <c r="R597" s="121" t="str">
        <v/>
      </c>
      <c r="S597" s="121" t="str">
        <v>Online Shop Recommended Content section</v>
      </c>
      <c r="T597" s="119" t="str">
        <f>IF($C597&lt;4,IF($C597=3,T598,IF($C597=2,T$1,"")),Q597&amp;R597&amp;IF(LEN(S597)=0,"",Preferences!$C$2&amp;S597)&amp;IF(J598=J597,IF(LEN(R597&amp;S597)=0,"","
")&amp;T598,""))</f>
        <v xml:space="preserve">	• Online Shop Recommended Content section
 8. By choosing a category/subcategory from the main menu, the search is reset and that selection is applied as the new search.</v>
      </c>
      <c r="U597" s="122" t="str">
        <v/>
      </c>
      <c r="V597" s="42"/>
      <c r="W597" s="42"/>
      <c r="X597" s="42"/>
      <c r="Y597" s="42"/>
      <c r="Z597" s="42"/>
      <c r="AA597" s="42"/>
      <c r="AB597" s="42"/>
    </row>
    <row r="598" spans="1:28" x14ac:dyDescent="0.25">
      <c r="A598" s="42" t="str">
        <v>1.11.1.8</v>
      </c>
      <c r="B598" s="121" t="str">
        <v>By choosing a category/subcategory from the main menu, the search is reset and that selection is applied as the new search.</v>
      </c>
      <c r="C598" s="41">
        <v>4</v>
      </c>
      <c r="D598" s="41" t="str">
        <v>RD</v>
      </c>
      <c r="E598" s="117" t="str">
        <f t="shared" si="0"/>
        <v>RD</v>
      </c>
      <c r="F598" s="41" t="str">
        <v/>
      </c>
      <c r="G598" s="41" t="str">
        <v/>
      </c>
      <c r="H598" s="117">
        <f t="shared" si="1"/>
        <v>0</v>
      </c>
      <c r="I598" s="117">
        <f t="shared" si="2"/>
        <v>11</v>
      </c>
      <c r="J598" s="117">
        <f t="shared" si="3"/>
        <v>11.01</v>
      </c>
      <c r="K598" s="117" t="str">
        <f t="shared" si="4"/>
        <v>BR</v>
      </c>
      <c r="L598" s="42" t="str">
        <v>BR1101</v>
      </c>
      <c r="M598" s="121" t="str">
        <v/>
      </c>
      <c r="N598" s="121" t="str">
        <v/>
      </c>
      <c r="O598" s="121" t="str">
        <v/>
      </c>
      <c r="P598" s="121" t="str">
        <v/>
      </c>
      <c r="Q598" s="121" t="str">
        <v xml:space="preserve"> 8. </v>
      </c>
      <c r="R598" s="121" t="str">
        <v>By choosing a category/subcategory from the main menu, the search is reset and that selection is applied as the new search.</v>
      </c>
      <c r="S598" s="121" t="str">
        <v/>
      </c>
      <c r="T598" s="119" t="str">
        <f>IF($C598&lt;4,IF($C598=3,T599,IF($C598=2,T$1,"")),Q598&amp;R598&amp;IF(LEN(S598)=0,"",Preferences!$C$2&amp;S598)&amp;IF(J599=J598,IF(LEN(R598&amp;S598)=0,"","
")&amp;T599,""))</f>
        <v xml:space="preserve"> 8. By choosing a category/subcategory from the main menu, the search is reset and that selection is applied as the new search.</v>
      </c>
      <c r="U598" s="122" t="str">
        <v/>
      </c>
      <c r="V598" s="42"/>
      <c r="W598" s="42"/>
      <c r="X598" s="42"/>
      <c r="Y598" s="42"/>
      <c r="Z598" s="42"/>
      <c r="AA598" s="42"/>
      <c r="AB598" s="42"/>
    </row>
    <row r="599" spans="1:28" x14ac:dyDescent="0.25">
      <c r="A599" s="42" t="str">
        <v>1.11.2</v>
      </c>
      <c r="B599" s="121" t="str">
        <v>11.2 View a product</v>
      </c>
      <c r="C599" s="41">
        <v>3</v>
      </c>
      <c r="D599" s="41" t="str">
        <v>R</v>
      </c>
      <c r="E599" s="117" t="str">
        <f t="shared" si="0"/>
        <v>R</v>
      </c>
      <c r="F599" s="41" t="str">
        <v/>
      </c>
      <c r="G599" s="41" t="str">
        <v/>
      </c>
      <c r="H599" s="117">
        <f t="shared" si="1"/>
        <v>0</v>
      </c>
      <c r="I599" s="117">
        <f t="shared" si="2"/>
        <v>11</v>
      </c>
      <c r="J599" s="117">
        <f t="shared" si="3"/>
        <v>11.02</v>
      </c>
      <c r="K599" s="117" t="str">
        <f t="shared" si="4"/>
        <v>BR</v>
      </c>
      <c r="L599" s="42" t="str">
        <v>BR1102</v>
      </c>
      <c r="M599" s="121" t="str">
        <v/>
      </c>
      <c r="N599" s="121" t="str">
        <v/>
      </c>
      <c r="O599" s="121" t="str">
        <v>BR1102</v>
      </c>
      <c r="P599" s="121" t="str">
        <v>View a product</v>
      </c>
      <c r="Q599" s="121" t="str">
        <v/>
      </c>
      <c r="R599" s="121" t="str">
        <v/>
      </c>
      <c r="S599" s="121" t="str">
        <v/>
      </c>
      <c r="T599" s="119" t="str">
        <f>IF($C599&lt;4,IF($C599=3,T600,IF($C599=2,T$1,"")),Q599&amp;R599&amp;IF(LEN(S599)=0,"",Preferences!$C$2&amp;S599)&amp;IF(J600=J599,IF(LEN(R599&amp;S599)=0,"","
")&amp;T600,""))</f>
        <v xml:space="preserve"> 1. A user may choose to view the full version of a product in the online shop:
	• From their favourites list
	• From their wish-list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599" s="122" t="str">
        <v/>
      </c>
      <c r="V599" s="42"/>
      <c r="W599" s="42"/>
      <c r="X599" s="42"/>
      <c r="Y599" s="42"/>
      <c r="Z599" s="42"/>
      <c r="AA599" s="42"/>
      <c r="AB599" s="42"/>
    </row>
    <row r="600" spans="1:28" x14ac:dyDescent="0.25">
      <c r="A600" s="42" t="str">
        <v>1.11.2.1</v>
      </c>
      <c r="B600" s="121" t="str">
        <v>A user may choose to view the full version of a product in the online shop:</v>
      </c>
      <c r="C600" s="41">
        <v>4</v>
      </c>
      <c r="D600" s="41" t="str">
        <v>RD</v>
      </c>
      <c r="E600" s="117" t="str">
        <f t="shared" si="0"/>
        <v>RD</v>
      </c>
      <c r="F600" s="41" t="str">
        <v/>
      </c>
      <c r="G600" s="41" t="str">
        <v/>
      </c>
      <c r="H600" s="117">
        <f t="shared" si="1"/>
        <v>0</v>
      </c>
      <c r="I600" s="117">
        <f t="shared" si="2"/>
        <v>11</v>
      </c>
      <c r="J600" s="117">
        <f t="shared" si="3"/>
        <v>11.02</v>
      </c>
      <c r="K600" s="117" t="str">
        <f t="shared" si="4"/>
        <v>BR</v>
      </c>
      <c r="L600" s="42" t="str">
        <v>BR1102</v>
      </c>
      <c r="M600" s="121" t="str">
        <v/>
      </c>
      <c r="N600" s="121" t="str">
        <v/>
      </c>
      <c r="O600" s="121" t="str">
        <v/>
      </c>
      <c r="P600" s="121" t="str">
        <v/>
      </c>
      <c r="Q600" s="121" t="str">
        <v xml:space="preserve"> 1. </v>
      </c>
      <c r="R600" s="121" t="str">
        <v>A user may choose to view the full version of a product in the online shop:</v>
      </c>
      <c r="S600" s="121" t="str">
        <v/>
      </c>
      <c r="T600" s="119" t="str">
        <f>IF($C600&lt;4,IF($C600=3,T601,IF($C600=2,T$1,"")),Q600&amp;R600&amp;IF(LEN(S600)=0,"",Preferences!$C$2&amp;S600)&amp;IF(J601=J600,IF(LEN(R600&amp;S600)=0,"","
")&amp;T601,""))</f>
        <v xml:space="preserve"> 1. A user may choose to view the full version of a product in the online shop:
	• From their favourites list
	• From their wish-list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0" s="122" t="str">
        <v/>
      </c>
      <c r="V600" s="42"/>
      <c r="W600" s="42"/>
      <c r="X600" s="42"/>
      <c r="Y600" s="42"/>
      <c r="Z600" s="42"/>
      <c r="AA600" s="42"/>
      <c r="AB600" s="42"/>
    </row>
    <row r="601" spans="1:28" x14ac:dyDescent="0.25">
      <c r="A601" s="42" t="str">
        <v>1.11.2.1.1</v>
      </c>
      <c r="B601" s="121" t="str">
        <v>From their favourites list</v>
      </c>
      <c r="C601" s="41">
        <v>5</v>
      </c>
      <c r="D601" s="41" t="str">
        <v>RL</v>
      </c>
      <c r="E601" s="117" t="str">
        <f t="shared" si="0"/>
        <v>RL</v>
      </c>
      <c r="F601" s="41" t="str">
        <v/>
      </c>
      <c r="G601" s="41" t="str">
        <v/>
      </c>
      <c r="H601" s="117">
        <f t="shared" si="1"/>
        <v>0</v>
      </c>
      <c r="I601" s="117">
        <f t="shared" si="2"/>
        <v>11</v>
      </c>
      <c r="J601" s="117">
        <f t="shared" si="3"/>
        <v>11.02</v>
      </c>
      <c r="K601" s="117" t="str">
        <f t="shared" si="4"/>
        <v>BR</v>
      </c>
      <c r="L601" s="42" t="str">
        <v>BR1102</v>
      </c>
      <c r="M601" s="121" t="str">
        <v/>
      </c>
      <c r="N601" s="121" t="str">
        <v/>
      </c>
      <c r="O601" s="121" t="str">
        <v/>
      </c>
      <c r="P601" s="121" t="str">
        <v/>
      </c>
      <c r="Q601" s="121" t="str">
        <v/>
      </c>
      <c r="R601" s="121" t="str">
        <v/>
      </c>
      <c r="S601" s="121" t="str">
        <v>From their favourites list</v>
      </c>
      <c r="T601" s="119" t="str">
        <f>IF($C601&lt;4,IF($C601=3,T602,IF($C601=2,T$1,"")),Q601&amp;R601&amp;IF(LEN(S601)=0,"",Preferences!$C$2&amp;S601)&amp;IF(J602=J601,IF(LEN(R601&amp;S601)=0,"","
")&amp;T602,""))</f>
        <v xml:space="preserve">	• From their favourites list
	• From their wish-list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1" s="122" t="str">
        <v/>
      </c>
      <c r="V601" s="42"/>
      <c r="W601" s="42"/>
      <c r="X601" s="42"/>
      <c r="Y601" s="42"/>
      <c r="Z601" s="42"/>
      <c r="AA601" s="42"/>
      <c r="AB601" s="42"/>
    </row>
    <row r="602" spans="1:28" x14ac:dyDescent="0.25">
      <c r="A602" s="42" t="str">
        <v>1.11.2.1.2</v>
      </c>
      <c r="B602" s="121" t="str">
        <v>From their wish-list</v>
      </c>
      <c r="C602" s="41">
        <v>5</v>
      </c>
      <c r="D602" s="41" t="str">
        <v>RL</v>
      </c>
      <c r="E602" s="117" t="str">
        <f t="shared" si="0"/>
        <v>RL</v>
      </c>
      <c r="F602" s="41" t="str">
        <v/>
      </c>
      <c r="G602" s="41" t="str">
        <v/>
      </c>
      <c r="H602" s="117">
        <f t="shared" si="1"/>
        <v>0</v>
      </c>
      <c r="I602" s="117">
        <f t="shared" si="2"/>
        <v>11</v>
      </c>
      <c r="J602" s="117">
        <f t="shared" si="3"/>
        <v>11.02</v>
      </c>
      <c r="K602" s="117" t="str">
        <f t="shared" si="4"/>
        <v>BR</v>
      </c>
      <c r="L602" s="42" t="str">
        <v>BR1102</v>
      </c>
      <c r="M602" s="121" t="str">
        <v/>
      </c>
      <c r="N602" s="121" t="str">
        <v/>
      </c>
      <c r="O602" s="121" t="str">
        <v/>
      </c>
      <c r="P602" s="121" t="str">
        <v/>
      </c>
      <c r="Q602" s="121" t="str">
        <v/>
      </c>
      <c r="R602" s="121" t="str">
        <v/>
      </c>
      <c r="S602" s="121" t="str">
        <v>From their wish-list</v>
      </c>
      <c r="T602" s="119" t="str">
        <f>IF($C602&lt;4,IF($C602=3,T603,IF($C602=2,T$1,"")),Q602&amp;R602&amp;IF(LEN(S602)=0,"",Preferences!$C$2&amp;S602)&amp;IF(J603=J602,IF(LEN(R602&amp;S602)=0,"","
")&amp;T603,""))</f>
        <v xml:space="preserve">	• From their wish-list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2" s="122" t="str">
        <v/>
      </c>
      <c r="V602" s="42"/>
      <c r="W602" s="42"/>
      <c r="X602" s="42"/>
      <c r="Y602" s="42"/>
      <c r="Z602" s="42"/>
      <c r="AA602" s="42"/>
      <c r="AB602" s="42"/>
    </row>
    <row r="603" spans="1:28" x14ac:dyDescent="0.25">
      <c r="A603" s="42" t="str">
        <v>1.11.2.1.3</v>
      </c>
      <c r="B603" s="121" t="str">
        <v>From the similar or also-bought products lists on a product page</v>
      </c>
      <c r="C603" s="41">
        <v>5</v>
      </c>
      <c r="D603" s="41" t="str">
        <v>RL</v>
      </c>
      <c r="E603" s="117" t="str">
        <f t="shared" si="0"/>
        <v>RL</v>
      </c>
      <c r="F603" s="41" t="str">
        <v/>
      </c>
      <c r="G603" s="41" t="str">
        <v/>
      </c>
      <c r="H603" s="117">
        <f t="shared" si="1"/>
        <v>0</v>
      </c>
      <c r="I603" s="117">
        <f t="shared" si="2"/>
        <v>11</v>
      </c>
      <c r="J603" s="117">
        <f t="shared" si="3"/>
        <v>11.02</v>
      </c>
      <c r="K603" s="117" t="str">
        <f t="shared" si="4"/>
        <v>BR</v>
      </c>
      <c r="L603" s="42" t="str">
        <v>BR1102</v>
      </c>
      <c r="M603" s="121" t="str">
        <v/>
      </c>
      <c r="N603" s="121" t="str">
        <v/>
      </c>
      <c r="O603" s="121" t="str">
        <v/>
      </c>
      <c r="P603" s="121" t="str">
        <v/>
      </c>
      <c r="Q603" s="121" t="str">
        <v/>
      </c>
      <c r="R603" s="121" t="str">
        <v/>
      </c>
      <c r="S603" s="121" t="str">
        <v>From the similar or also-bought products lists on a product page</v>
      </c>
      <c r="T603" s="119" t="str">
        <f>IF($C603&lt;4,IF($C603=3,T604,IF($C603=2,T$1,"")),Q603&amp;R603&amp;IF(LEN(S603)=0,"",Preferences!$C$2&amp;S603)&amp;IF(J604=J603,IF(LEN(R603&amp;S603)=0,"","
")&amp;T604,""))</f>
        <v xml:space="preserve">	• From the similar or also-bought products lists on a product page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3" s="122" t="str">
        <v/>
      </c>
      <c r="V603" s="42"/>
      <c r="W603" s="42"/>
      <c r="X603" s="42"/>
      <c r="Y603" s="42"/>
      <c r="Z603" s="42"/>
      <c r="AA603" s="42"/>
      <c r="AB603" s="42"/>
    </row>
    <row r="604" spans="1:28" x14ac:dyDescent="0.25">
      <c r="A604" s="42" t="str">
        <v>1.11.2.1.4</v>
      </c>
      <c r="B604" s="121" t="str">
        <v>From their shopping cart</v>
      </c>
      <c r="C604" s="41">
        <v>5</v>
      </c>
      <c r="D604" s="41" t="str">
        <v>RL</v>
      </c>
      <c r="E604" s="117" t="str">
        <f t="shared" si="0"/>
        <v>RL</v>
      </c>
      <c r="F604" s="41" t="str">
        <v/>
      </c>
      <c r="G604" s="41" t="str">
        <v/>
      </c>
      <c r="H604" s="117">
        <f t="shared" si="1"/>
        <v>0</v>
      </c>
      <c r="I604" s="117">
        <f t="shared" si="2"/>
        <v>11</v>
      </c>
      <c r="J604" s="117">
        <f t="shared" si="3"/>
        <v>11.02</v>
      </c>
      <c r="K604" s="117" t="str">
        <f t="shared" si="4"/>
        <v>BR</v>
      </c>
      <c r="L604" s="42" t="str">
        <v>BR1102</v>
      </c>
      <c r="M604" s="121" t="str">
        <v/>
      </c>
      <c r="N604" s="121" t="str">
        <v/>
      </c>
      <c r="O604" s="121" t="str">
        <v/>
      </c>
      <c r="P604" s="121" t="str">
        <v/>
      </c>
      <c r="Q604" s="121" t="str">
        <v/>
      </c>
      <c r="R604" s="121" t="str">
        <v/>
      </c>
      <c r="S604" s="121" t="str">
        <v>From their shopping cart</v>
      </c>
      <c r="T604" s="119" t="str">
        <f>IF($C604&lt;4,IF($C604=3,T605,IF($C604=2,T$1,"")),Q604&amp;R604&amp;IF(LEN(S604)=0,"",Preferences!$C$2&amp;S604)&amp;IF(J605=J604,IF(LEN(R604&amp;S604)=0,"","
")&amp;T605,""))</f>
        <v xml:space="preserve">	• From their shopping cart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4" s="122" t="str">
        <v/>
      </c>
      <c r="V604" s="42"/>
      <c r="W604" s="42"/>
      <c r="X604" s="42"/>
      <c r="Y604" s="42"/>
      <c r="Z604" s="42"/>
      <c r="AA604" s="42"/>
      <c r="AB604" s="42"/>
    </row>
    <row r="605" spans="1:28" x14ac:dyDescent="0.25">
      <c r="A605" s="42" t="str">
        <v>1.11.2.1.5</v>
      </c>
      <c r="B605" s="121" t="str">
        <v>From the search results</v>
      </c>
      <c r="C605" s="41">
        <v>5</v>
      </c>
      <c r="D605" s="41" t="str">
        <v>RL</v>
      </c>
      <c r="E605" s="117" t="str">
        <f t="shared" si="0"/>
        <v>RL</v>
      </c>
      <c r="F605" s="41" t="str">
        <v/>
      </c>
      <c r="G605" s="41" t="str">
        <v/>
      </c>
      <c r="H605" s="117">
        <f t="shared" si="1"/>
        <v>0</v>
      </c>
      <c r="I605" s="117">
        <f t="shared" si="2"/>
        <v>11</v>
      </c>
      <c r="J605" s="117">
        <f t="shared" si="3"/>
        <v>11.02</v>
      </c>
      <c r="K605" s="117" t="str">
        <f t="shared" si="4"/>
        <v>BR</v>
      </c>
      <c r="L605" s="42" t="str">
        <v>BR1102</v>
      </c>
      <c r="M605" s="121" t="str">
        <v/>
      </c>
      <c r="N605" s="121" t="str">
        <v/>
      </c>
      <c r="O605" s="121" t="str">
        <v/>
      </c>
      <c r="P605" s="121" t="str">
        <v/>
      </c>
      <c r="Q605" s="121" t="str">
        <v/>
      </c>
      <c r="R605" s="121" t="str">
        <v/>
      </c>
      <c r="S605" s="121" t="str">
        <v>From the search results</v>
      </c>
      <c r="T605" s="119" t="str">
        <f>IF($C605&lt;4,IF($C605=3,T606,IF($C605=2,T$1,"")),Q605&amp;R605&amp;IF(LEN(S605)=0,"",Preferences!$C$2&amp;S605)&amp;IF(J606=J605,IF(LEN(R605&amp;S605)=0,"","
")&amp;T606,""))</f>
        <v xml:space="preserve">	• From the search results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5" s="122" t="str">
        <v/>
      </c>
      <c r="V605" s="42"/>
      <c r="W605" s="42"/>
      <c r="X605" s="42"/>
      <c r="Y605" s="42"/>
      <c r="Z605" s="42"/>
      <c r="AA605" s="42"/>
      <c r="AB605" s="42"/>
    </row>
    <row r="606" spans="1:28" x14ac:dyDescent="0.25">
      <c r="A606" s="42" t="str">
        <v>1.11.2.1.6</v>
      </c>
      <c r="B606" s="121" t="str">
        <v>From an advertisement on the online shop</v>
      </c>
      <c r="C606" s="41">
        <v>5</v>
      </c>
      <c r="D606" s="41" t="str">
        <v>RL</v>
      </c>
      <c r="E606" s="117" t="str">
        <f t="shared" si="0"/>
        <v>RL</v>
      </c>
      <c r="F606" s="41" t="str">
        <v/>
      </c>
      <c r="G606" s="41" t="str">
        <v/>
      </c>
      <c r="H606" s="117">
        <f t="shared" si="1"/>
        <v>0</v>
      </c>
      <c r="I606" s="117">
        <f t="shared" si="2"/>
        <v>11</v>
      </c>
      <c r="J606" s="117">
        <f t="shared" si="3"/>
        <v>11.02</v>
      </c>
      <c r="K606" s="117" t="str">
        <f t="shared" si="4"/>
        <v>BR</v>
      </c>
      <c r="L606" s="42" t="str">
        <v>BR1102</v>
      </c>
      <c r="M606" s="121" t="str">
        <v/>
      </c>
      <c r="N606" s="121" t="str">
        <v/>
      </c>
      <c r="O606" s="121" t="str">
        <v/>
      </c>
      <c r="P606" s="121" t="str">
        <v/>
      </c>
      <c r="Q606" s="121" t="str">
        <v/>
      </c>
      <c r="R606" s="121" t="str">
        <v/>
      </c>
      <c r="S606" s="121" t="str">
        <v>From an advertisement on the online shop</v>
      </c>
      <c r="T606" s="119" t="str">
        <f>IF($C606&lt;4,IF($C606=3,T607,IF($C606=2,T$1,"")),Q606&amp;R606&amp;IF(LEN(S606)=0,"",Preferences!$C$2&amp;S606)&amp;IF(J607=J606,IF(LEN(R606&amp;S606)=0,"","
")&amp;T607,""))</f>
        <v xml:space="preserve">	• From an advertisement on the online shop
	• From a link in an article
	• From a link in an email they received (referral is recorded)
	• From a link in an advertisement published elsewhere on the internet (referral is recorded)
 2. Also see the Present product in the online shop requirement in the Online Shop section.</v>
      </c>
      <c r="U606" s="122" t="str">
        <v/>
      </c>
      <c r="V606" s="42"/>
      <c r="W606" s="42"/>
      <c r="X606" s="42"/>
      <c r="Y606" s="42"/>
      <c r="Z606" s="42"/>
      <c r="AA606" s="42"/>
      <c r="AB606" s="42"/>
    </row>
    <row r="607" spans="1:28" x14ac:dyDescent="0.25">
      <c r="A607" s="42" t="str">
        <v>1.11.2.1.7</v>
      </c>
      <c r="B607" s="121" t="str">
        <v>From a link in an article</v>
      </c>
      <c r="C607" s="41">
        <v>5</v>
      </c>
      <c r="D607" s="41" t="str">
        <v>RL</v>
      </c>
      <c r="E607" s="117" t="str">
        <f t="shared" si="0"/>
        <v>RL</v>
      </c>
      <c r="F607" s="41" t="str">
        <v/>
      </c>
      <c r="G607" s="41" t="str">
        <v/>
      </c>
      <c r="H607" s="117">
        <f t="shared" si="1"/>
        <v>0</v>
      </c>
      <c r="I607" s="117">
        <f t="shared" si="2"/>
        <v>11</v>
      </c>
      <c r="J607" s="117">
        <f t="shared" si="3"/>
        <v>11.02</v>
      </c>
      <c r="K607" s="117" t="str">
        <f t="shared" si="4"/>
        <v>BR</v>
      </c>
      <c r="L607" s="42" t="str">
        <v>BR1102</v>
      </c>
      <c r="M607" s="121" t="str">
        <v/>
      </c>
      <c r="N607" s="121" t="str">
        <v/>
      </c>
      <c r="O607" s="121" t="str">
        <v/>
      </c>
      <c r="P607" s="121" t="str">
        <v/>
      </c>
      <c r="Q607" s="121" t="str">
        <v/>
      </c>
      <c r="R607" s="121" t="str">
        <v/>
      </c>
      <c r="S607" s="121" t="str">
        <v>From a link in an article</v>
      </c>
      <c r="T607" s="119" t="str">
        <f>IF($C607&lt;4,IF($C607=3,T608,IF($C607=2,T$1,"")),Q607&amp;R607&amp;IF(LEN(S607)=0,"",Preferences!$C$2&amp;S607)&amp;IF(J608=J607,IF(LEN(R607&amp;S607)=0,"","
")&amp;T608,""))</f>
        <v xml:space="preserve">	• From a link in an article
	• From a link in an email they received (referral is recorded)
	• From a link in an advertisement published elsewhere on the internet (referral is recorded)
 2. Also see the Present product in the online shop requirement in the Online Shop section.</v>
      </c>
      <c r="U607" s="122" t="str">
        <v/>
      </c>
      <c r="V607" s="42"/>
      <c r="W607" s="42"/>
      <c r="X607" s="42"/>
      <c r="Y607" s="42"/>
      <c r="Z607" s="42"/>
      <c r="AA607" s="42"/>
      <c r="AB607" s="42"/>
    </row>
    <row r="608" spans="1:28" x14ac:dyDescent="0.25">
      <c r="A608" s="42" t="str">
        <v>1.11.2.1.8</v>
      </c>
      <c r="B608" s="121" t="str">
        <v>From a link in an email they received (referral is recorded)</v>
      </c>
      <c r="C608" s="41">
        <v>5</v>
      </c>
      <c r="D608" s="41" t="str">
        <v>RL</v>
      </c>
      <c r="E608" s="117" t="str">
        <f t="shared" si="0"/>
        <v>RL</v>
      </c>
      <c r="F608" s="41" t="str">
        <v/>
      </c>
      <c r="G608" s="41" t="str">
        <v/>
      </c>
      <c r="H608" s="117">
        <f t="shared" si="1"/>
        <v>0</v>
      </c>
      <c r="I608" s="117">
        <f t="shared" si="2"/>
        <v>11</v>
      </c>
      <c r="J608" s="117">
        <f t="shared" si="3"/>
        <v>11.02</v>
      </c>
      <c r="K608" s="117" t="str">
        <f t="shared" si="4"/>
        <v>BR</v>
      </c>
      <c r="L608" s="42" t="str">
        <v>BR1102</v>
      </c>
      <c r="M608" s="121" t="str">
        <v/>
      </c>
      <c r="N608" s="121" t="str">
        <v/>
      </c>
      <c r="O608" s="121" t="str">
        <v/>
      </c>
      <c r="P608" s="121" t="str">
        <v/>
      </c>
      <c r="Q608" s="121" t="str">
        <v/>
      </c>
      <c r="R608" s="121" t="str">
        <v/>
      </c>
      <c r="S608" s="121" t="str">
        <v>From a link in an email they received (referral is recorded)</v>
      </c>
      <c r="T608" s="119" t="str">
        <f>IF($C608&lt;4,IF($C608=3,T609,IF($C608=2,T$1,"")),Q608&amp;R608&amp;IF(LEN(S608)=0,"",Preferences!$C$2&amp;S608)&amp;IF(J609=J608,IF(LEN(R608&amp;S608)=0,"","
")&amp;T609,""))</f>
        <v xml:space="preserve">	• From a link in an email they received (referral is recorded)
	• From a link in an advertisement published elsewhere on the internet (referral is recorded)
 2. Also see the Present product in the online shop requirement in the Online Shop section.</v>
      </c>
      <c r="U608" s="122" t="str">
        <v/>
      </c>
      <c r="V608" s="42"/>
      <c r="W608" s="42"/>
      <c r="X608" s="42"/>
      <c r="Y608" s="42"/>
      <c r="Z608" s="42"/>
      <c r="AA608" s="42"/>
      <c r="AB608" s="42"/>
    </row>
    <row r="609" spans="1:28" x14ac:dyDescent="0.25">
      <c r="A609" s="42" t="str">
        <v>1.11.2.1.9</v>
      </c>
      <c r="B609" s="121" t="str">
        <v>From a link in an advertisement published elsewhere on the internet (referral is recorded)</v>
      </c>
      <c r="C609" s="41">
        <v>5</v>
      </c>
      <c r="D609" s="41" t="str">
        <v>RL</v>
      </c>
      <c r="E609" s="117" t="str">
        <f t="shared" si="0"/>
        <v>RL</v>
      </c>
      <c r="F609" s="41" t="str">
        <v/>
      </c>
      <c r="G609" s="41" t="str">
        <v/>
      </c>
      <c r="H609" s="117">
        <f t="shared" si="1"/>
        <v>0</v>
      </c>
      <c r="I609" s="117">
        <f t="shared" si="2"/>
        <v>11</v>
      </c>
      <c r="J609" s="117">
        <f t="shared" si="3"/>
        <v>11.02</v>
      </c>
      <c r="K609" s="117" t="str">
        <f t="shared" si="4"/>
        <v>BR</v>
      </c>
      <c r="L609" s="42" t="str">
        <v>BR1102</v>
      </c>
      <c r="M609" s="121" t="str">
        <v/>
      </c>
      <c r="N609" s="121" t="str">
        <v/>
      </c>
      <c r="O609" s="121" t="str">
        <v/>
      </c>
      <c r="P609" s="121" t="str">
        <v/>
      </c>
      <c r="Q609" s="121" t="str">
        <v/>
      </c>
      <c r="R609" s="121" t="str">
        <v/>
      </c>
      <c r="S609" s="121" t="str">
        <v>From a link in an advertisement published elsewhere on the internet (referral is recorded)</v>
      </c>
      <c r="T609" s="119" t="str">
        <f>IF($C609&lt;4,IF($C609=3,T610,IF($C609=2,T$1,"")),Q609&amp;R609&amp;IF(LEN(S609)=0,"",Preferences!$C$2&amp;S609)&amp;IF(J610=J609,IF(LEN(R609&amp;S609)=0,"","
")&amp;T610,""))</f>
        <v xml:space="preserve">	• From a link in an advertisement published elsewhere on the internet (referral is recorded)
 2. Also see the Present product in the online shop requirement in the Online Shop section.</v>
      </c>
      <c r="U609" s="122" t="str">
        <v/>
      </c>
      <c r="V609" s="42"/>
      <c r="W609" s="42"/>
      <c r="X609" s="42"/>
      <c r="Y609" s="42"/>
      <c r="Z609" s="42"/>
      <c r="AA609" s="42"/>
      <c r="AB609" s="42"/>
    </row>
    <row r="610" spans="1:28" x14ac:dyDescent="0.25">
      <c r="A610" s="42" t="str">
        <v>1.11.2.2</v>
      </c>
      <c r="B610" s="121" t="str">
        <v>Also see the Present product in the online shop requirement in the Online Shop section.</v>
      </c>
      <c r="C610" s="41">
        <v>4</v>
      </c>
      <c r="D610" s="41" t="str">
        <v>RD</v>
      </c>
      <c r="E610" s="117" t="str">
        <f t="shared" si="0"/>
        <v>RD</v>
      </c>
      <c r="F610" s="41" t="str">
        <v/>
      </c>
      <c r="G610" s="41" t="str">
        <v/>
      </c>
      <c r="H610" s="117">
        <f t="shared" si="1"/>
        <v>0</v>
      </c>
      <c r="I610" s="117">
        <f t="shared" si="2"/>
        <v>11</v>
      </c>
      <c r="J610" s="117">
        <f t="shared" si="3"/>
        <v>11.02</v>
      </c>
      <c r="K610" s="117" t="str">
        <f t="shared" si="4"/>
        <v>BR</v>
      </c>
      <c r="L610" s="42" t="str">
        <v>BR1102</v>
      </c>
      <c r="M610" s="121" t="str">
        <v/>
      </c>
      <c r="N610" s="121" t="str">
        <v/>
      </c>
      <c r="O610" s="121" t="str">
        <v/>
      </c>
      <c r="P610" s="121" t="str">
        <v/>
      </c>
      <c r="Q610" s="121" t="str">
        <v xml:space="preserve"> 2. </v>
      </c>
      <c r="R610" s="121" t="str">
        <v>Also see the Present product in the online shop requirement in the Online Shop section.</v>
      </c>
      <c r="S610" s="121" t="str">
        <v/>
      </c>
      <c r="T610" s="119" t="str">
        <f>IF($C610&lt;4,IF($C610=3,T611,IF($C610=2,T$1,"")),Q610&amp;R610&amp;IF(LEN(S610)=0,"",Preferences!$C$2&amp;S610)&amp;IF(J611=J610,IF(LEN(R610&amp;S610)=0,"","
")&amp;T611,""))</f>
        <v xml:space="preserve"> 2. Also see the Present product in the online shop requirement in the Online Shop section.</v>
      </c>
      <c r="U610" s="122" t="str">
        <v/>
      </c>
      <c r="V610" s="42"/>
      <c r="W610" s="42"/>
      <c r="X610" s="42"/>
      <c r="Y610" s="42"/>
      <c r="Z610" s="42"/>
      <c r="AA610" s="42"/>
      <c r="AB610" s="42"/>
    </row>
    <row r="611" spans="1:28" x14ac:dyDescent="0.25">
      <c r="A611" s="42" t="str">
        <v>1.11.3</v>
      </c>
      <c r="B611" s="121" t="str">
        <v>11.3 View an advertisement</v>
      </c>
      <c r="C611" s="41">
        <v>3</v>
      </c>
      <c r="D611" s="41" t="str">
        <v>R</v>
      </c>
      <c r="E611" s="117" t="str">
        <f t="shared" si="0"/>
        <v>R</v>
      </c>
      <c r="F611" s="41" t="str">
        <v/>
      </c>
      <c r="G611" s="41" t="str">
        <v/>
      </c>
      <c r="H611" s="117">
        <f t="shared" si="1"/>
        <v>0</v>
      </c>
      <c r="I611" s="117">
        <f t="shared" si="2"/>
        <v>11</v>
      </c>
      <c r="J611" s="117">
        <f t="shared" si="3"/>
        <v>11.03</v>
      </c>
      <c r="K611" s="117" t="str">
        <f t="shared" si="4"/>
        <v>BR</v>
      </c>
      <c r="L611" s="42" t="str">
        <v>BR1103</v>
      </c>
      <c r="M611" s="121" t="str">
        <v/>
      </c>
      <c r="N611" s="121" t="str">
        <v/>
      </c>
      <c r="O611" s="121" t="str">
        <v>BR1103</v>
      </c>
      <c r="P611" s="121" t="str">
        <v>View an advertisement</v>
      </c>
      <c r="Q611" s="121" t="str">
        <v/>
      </c>
      <c r="R611" s="121" t="str">
        <v/>
      </c>
      <c r="S611" s="121" t="str">
        <v/>
      </c>
      <c r="T611" s="119" t="str">
        <f>IF($C611&lt;4,IF($C611=3,T612,IF($C611=2,T$1,"")),Q611&amp;R611&amp;IF(LEN(S611)=0,"",Preferences!$C$2&amp;S611)&amp;IF(J612=J611,IF(LEN(R611&amp;S611)=0,"","
")&amp;T612,""))</f>
        <v xml:space="preserve"> 1. A user may choose to view the full version of an advertisement in the online shop:
	• From the search results
	• From a promoted advertisement banner on the online shop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U611" s="122" t="str">
        <v/>
      </c>
      <c r="V611" s="42"/>
      <c r="W611" s="42"/>
      <c r="X611" s="42"/>
      <c r="Y611" s="42"/>
      <c r="Z611" s="42"/>
      <c r="AA611" s="42"/>
      <c r="AB611" s="42"/>
    </row>
    <row r="612" spans="1:28" x14ac:dyDescent="0.25">
      <c r="A612" s="42" t="str">
        <v>1.11.3.1</v>
      </c>
      <c r="B612" s="121" t="str">
        <v>A user may choose to view the full version of an advertisement in the online shop:</v>
      </c>
      <c r="C612" s="41">
        <v>4</v>
      </c>
      <c r="D612" s="41" t="str">
        <v>RD</v>
      </c>
      <c r="E612" s="117" t="str">
        <f t="shared" si="0"/>
        <v>RD</v>
      </c>
      <c r="F612" s="41" t="str">
        <v/>
      </c>
      <c r="G612" s="41" t="str">
        <v/>
      </c>
      <c r="H612" s="117">
        <f t="shared" si="1"/>
        <v>0</v>
      </c>
      <c r="I612" s="117">
        <f t="shared" si="2"/>
        <v>11</v>
      </c>
      <c r="J612" s="117">
        <f t="shared" si="3"/>
        <v>11.03</v>
      </c>
      <c r="K612" s="117" t="str">
        <f t="shared" si="4"/>
        <v>BR</v>
      </c>
      <c r="L612" s="42" t="str">
        <v>BR1103</v>
      </c>
      <c r="M612" s="121" t="str">
        <v/>
      </c>
      <c r="N612" s="121" t="str">
        <v/>
      </c>
      <c r="O612" s="121" t="str">
        <v/>
      </c>
      <c r="P612" s="121" t="str">
        <v/>
      </c>
      <c r="Q612" s="121" t="str">
        <v xml:space="preserve"> 1. </v>
      </c>
      <c r="R612" s="121" t="str">
        <v>A user may choose to view the full version of an advertisement in the online shop:</v>
      </c>
      <c r="S612" s="121" t="str">
        <v/>
      </c>
      <c r="T612" s="119" t="str">
        <f>IF($C612&lt;4,IF($C612=3,T613,IF($C612=2,T$1,"")),Q612&amp;R612&amp;IF(LEN(S612)=0,"",Preferences!$C$2&amp;S612)&amp;IF(J613=J612,IF(LEN(R612&amp;S612)=0,"","
")&amp;T613,""))</f>
        <v xml:space="preserve"> 1. A user may choose to view the full version of an advertisement in the online shop:
	• From the search results
	• From a promoted advertisement banner on the online shop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U612" s="122" t="str">
        <v/>
      </c>
      <c r="V612" s="42"/>
      <c r="W612" s="42"/>
      <c r="X612" s="42"/>
      <c r="Y612" s="42"/>
      <c r="Z612" s="42"/>
      <c r="AA612" s="42"/>
      <c r="AB612" s="42"/>
    </row>
    <row r="613" spans="1:28" x14ac:dyDescent="0.25">
      <c r="A613" s="42" t="str">
        <v>1.11.3.1.1</v>
      </c>
      <c r="B613" s="121" t="str">
        <v>From the search results</v>
      </c>
      <c r="C613" s="41">
        <v>5</v>
      </c>
      <c r="D613" s="41" t="str">
        <v>RL</v>
      </c>
      <c r="E613" s="117" t="str">
        <f t="shared" si="0"/>
        <v>RL</v>
      </c>
      <c r="F613" s="41" t="str">
        <v/>
      </c>
      <c r="G613" s="41" t="str">
        <v/>
      </c>
      <c r="H613" s="117">
        <f t="shared" si="1"/>
        <v>0</v>
      </c>
      <c r="I613" s="117">
        <f t="shared" si="2"/>
        <v>11</v>
      </c>
      <c r="J613" s="117">
        <f t="shared" si="3"/>
        <v>11.03</v>
      </c>
      <c r="K613" s="117" t="str">
        <f t="shared" si="4"/>
        <v>BR</v>
      </c>
      <c r="L613" s="42" t="str">
        <v>BR1103</v>
      </c>
      <c r="M613" s="121" t="str">
        <v/>
      </c>
      <c r="N613" s="121" t="str">
        <v/>
      </c>
      <c r="O613" s="121" t="str">
        <v/>
      </c>
      <c r="P613" s="121" t="str">
        <v/>
      </c>
      <c r="Q613" s="121" t="str">
        <v/>
      </c>
      <c r="R613" s="121" t="str">
        <v/>
      </c>
      <c r="S613" s="121" t="str">
        <v>From the search results</v>
      </c>
      <c r="T613" s="119" t="str">
        <f>IF($C613&lt;4,IF($C613=3,T614,IF($C613=2,T$1,"")),Q613&amp;R613&amp;IF(LEN(S613)=0,"",Preferences!$C$2&amp;S613)&amp;IF(J614=J613,IF(LEN(R613&amp;S613)=0,"","
")&amp;T614,""))</f>
        <v xml:space="preserve">	• From the search results
	• From a promoted advertisement banner on the online shop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U613" s="122" t="str">
        <v/>
      </c>
      <c r="V613" s="42"/>
      <c r="W613" s="42"/>
      <c r="X613" s="42"/>
      <c r="Y613" s="42"/>
      <c r="Z613" s="42"/>
      <c r="AA613" s="42"/>
      <c r="AB613" s="42"/>
    </row>
    <row r="614" spans="1:28" x14ac:dyDescent="0.25">
      <c r="A614" s="42" t="str">
        <v>1.11.3.1.2</v>
      </c>
      <c r="B614" s="121" t="str">
        <v>From a promoted advertisement banner on the online shop</v>
      </c>
      <c r="C614" s="41">
        <v>5</v>
      </c>
      <c r="D614" s="41" t="str">
        <v>RL</v>
      </c>
      <c r="E614" s="117" t="str">
        <f t="shared" si="0"/>
        <v>RL</v>
      </c>
      <c r="F614" s="41" t="str">
        <v/>
      </c>
      <c r="G614" s="41" t="str">
        <v/>
      </c>
      <c r="H614" s="117">
        <f t="shared" si="1"/>
        <v>0</v>
      </c>
      <c r="I614" s="117">
        <f t="shared" si="2"/>
        <v>11</v>
      </c>
      <c r="J614" s="117">
        <f t="shared" si="3"/>
        <v>11.03</v>
      </c>
      <c r="K614" s="117" t="str">
        <f t="shared" si="4"/>
        <v>BR</v>
      </c>
      <c r="L614" s="42" t="str">
        <v>BR1103</v>
      </c>
      <c r="M614" s="121" t="str">
        <v/>
      </c>
      <c r="N614" s="121" t="str">
        <v/>
      </c>
      <c r="O614" s="121" t="str">
        <v/>
      </c>
      <c r="P614" s="121" t="str">
        <v/>
      </c>
      <c r="Q614" s="121" t="str">
        <v/>
      </c>
      <c r="R614" s="121" t="str">
        <v/>
      </c>
      <c r="S614" s="121" t="str">
        <v>From a promoted advertisement banner on the online shop</v>
      </c>
      <c r="T614" s="119" t="str">
        <f>IF($C614&lt;4,IF($C614=3,T615,IF($C614=2,T$1,"")),Q614&amp;R614&amp;IF(LEN(S614)=0,"",Preferences!$C$2&amp;S614)&amp;IF(J615=J614,IF(LEN(R614&amp;S614)=0,"","
")&amp;T615,""))</f>
        <v xml:space="preserve">	• From a promoted advertisement banner on the online shop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U614" s="122" t="str">
        <v/>
      </c>
      <c r="V614" s="42"/>
      <c r="W614" s="42"/>
      <c r="X614" s="42"/>
      <c r="Y614" s="42"/>
      <c r="Z614" s="42"/>
      <c r="AA614" s="42"/>
      <c r="AB614" s="42"/>
    </row>
    <row r="615" spans="1:28" x14ac:dyDescent="0.25">
      <c r="A615" s="42" t="str">
        <v>1.11.3.1.3</v>
      </c>
      <c r="B615" s="121" t="str">
        <v>From a promoted advertisement on the online shop</v>
      </c>
      <c r="C615" s="41">
        <v>5</v>
      </c>
      <c r="D615" s="41" t="str">
        <v>RL</v>
      </c>
      <c r="E615" s="117" t="str">
        <f t="shared" si="0"/>
        <v>RL</v>
      </c>
      <c r="F615" s="41" t="str">
        <v/>
      </c>
      <c r="G615" s="41" t="str">
        <v/>
      </c>
      <c r="H615" s="117">
        <f t="shared" si="1"/>
        <v>0</v>
      </c>
      <c r="I615" s="117">
        <f t="shared" si="2"/>
        <v>11</v>
      </c>
      <c r="J615" s="117">
        <f t="shared" si="3"/>
        <v>11.03</v>
      </c>
      <c r="K615" s="117" t="str">
        <f t="shared" si="4"/>
        <v>BR</v>
      </c>
      <c r="L615" s="42" t="str">
        <v>BR1103</v>
      </c>
      <c r="M615" s="121" t="str">
        <v/>
      </c>
      <c r="N615" s="121" t="str">
        <v/>
      </c>
      <c r="O615" s="121" t="str">
        <v/>
      </c>
      <c r="P615" s="121" t="str">
        <v/>
      </c>
      <c r="Q615" s="121" t="str">
        <v/>
      </c>
      <c r="R615" s="121" t="str">
        <v/>
      </c>
      <c r="S615" s="121" t="str">
        <v>From a promoted advertisement on the online shop</v>
      </c>
      <c r="T615" s="119" t="str">
        <f>IF($C615&lt;4,IF($C615=3,T616,IF($C615=2,T$1,"")),Q615&amp;R615&amp;IF(LEN(S615)=0,"",Preferences!$C$2&amp;S615)&amp;IF(J616=J615,IF(LEN(R615&amp;S615)=0,"","
")&amp;T616,""))</f>
        <v xml:space="preserve">	• From a promoted advertisement on the online shop
	• From a link in an email they received (referral is recorded)
	• From a link in an advertisement published elsewhere on the internet (referral is recorded)
 2. Also see the Present advertisement in the online shop requirement in the Online Shop section.</v>
      </c>
      <c r="U615" s="122" t="str">
        <v/>
      </c>
      <c r="V615" s="42"/>
      <c r="W615" s="42"/>
      <c r="X615" s="42"/>
      <c r="Y615" s="42"/>
      <c r="Z615" s="42"/>
      <c r="AA615" s="42"/>
      <c r="AB615" s="42"/>
    </row>
    <row r="616" spans="1:28" x14ac:dyDescent="0.25">
      <c r="A616" s="42" t="str">
        <v>1.11.3.1.4</v>
      </c>
      <c r="B616" s="121" t="str">
        <v>From a link in an email they received (referral is recorded)</v>
      </c>
      <c r="C616" s="41">
        <v>5</v>
      </c>
      <c r="D616" s="41" t="str">
        <v>RL</v>
      </c>
      <c r="E616" s="117" t="str">
        <f t="shared" si="0"/>
        <v>RL</v>
      </c>
      <c r="F616" s="41" t="str">
        <v/>
      </c>
      <c r="G616" s="41" t="str">
        <v/>
      </c>
      <c r="H616" s="117">
        <f t="shared" si="1"/>
        <v>0</v>
      </c>
      <c r="I616" s="117">
        <f t="shared" si="2"/>
        <v>11</v>
      </c>
      <c r="J616" s="117">
        <f t="shared" si="3"/>
        <v>11.03</v>
      </c>
      <c r="K616" s="117" t="str">
        <f t="shared" si="4"/>
        <v>BR</v>
      </c>
      <c r="L616" s="42" t="str">
        <v>BR1103</v>
      </c>
      <c r="M616" s="121" t="str">
        <v/>
      </c>
      <c r="N616" s="121" t="str">
        <v/>
      </c>
      <c r="O616" s="121" t="str">
        <v/>
      </c>
      <c r="P616" s="121" t="str">
        <v/>
      </c>
      <c r="Q616" s="121" t="str">
        <v/>
      </c>
      <c r="R616" s="121" t="str">
        <v/>
      </c>
      <c r="S616" s="121" t="str">
        <v>From a link in an email they received (referral is recorded)</v>
      </c>
      <c r="T616" s="119" t="str">
        <f>IF($C616&lt;4,IF($C616=3,T617,IF($C616=2,T$1,"")),Q616&amp;R616&amp;IF(LEN(S616)=0,"",Preferences!$C$2&amp;S616)&amp;IF(J617=J616,IF(LEN(R616&amp;S616)=0,"","
")&amp;T617,""))</f>
        <v xml:space="preserve">	• From a link in an email they received (referral is recorded)
	• From a link in an advertisement published elsewhere on the internet (referral is recorded)
 2. Also see the Present advertisement in the online shop requirement in the Online Shop section.</v>
      </c>
      <c r="U616" s="122" t="str">
        <v/>
      </c>
      <c r="V616" s="42"/>
      <c r="W616" s="42"/>
      <c r="X616" s="42"/>
      <c r="Y616" s="42"/>
      <c r="Z616" s="42"/>
      <c r="AA616" s="42"/>
      <c r="AB616" s="42"/>
    </row>
    <row r="617" spans="1:28" x14ac:dyDescent="0.25">
      <c r="A617" s="42" t="str">
        <v>1.11.3.1.5</v>
      </c>
      <c r="B617" s="121" t="str">
        <v>From a link in an advertisement published elsewhere on the internet (referral is recorded)</v>
      </c>
      <c r="C617" s="41">
        <v>5</v>
      </c>
      <c r="D617" s="41" t="str">
        <v>RL</v>
      </c>
      <c r="E617" s="117" t="str">
        <f t="shared" si="0"/>
        <v>RL</v>
      </c>
      <c r="F617" s="41" t="str">
        <v/>
      </c>
      <c r="G617" s="41" t="str">
        <v/>
      </c>
      <c r="H617" s="117">
        <f t="shared" si="1"/>
        <v>0</v>
      </c>
      <c r="I617" s="117">
        <f t="shared" si="2"/>
        <v>11</v>
      </c>
      <c r="J617" s="117">
        <f t="shared" si="3"/>
        <v>11.03</v>
      </c>
      <c r="K617" s="117" t="str">
        <f t="shared" si="4"/>
        <v>BR</v>
      </c>
      <c r="L617" s="42" t="str">
        <v>BR1103</v>
      </c>
      <c r="M617" s="121" t="str">
        <v/>
      </c>
      <c r="N617" s="121" t="str">
        <v/>
      </c>
      <c r="O617" s="121" t="str">
        <v/>
      </c>
      <c r="P617" s="121" t="str">
        <v/>
      </c>
      <c r="Q617" s="121" t="str">
        <v/>
      </c>
      <c r="R617" s="121" t="str">
        <v/>
      </c>
      <c r="S617" s="121" t="str">
        <v>From a link in an advertisement published elsewhere on the internet (referral is recorded)</v>
      </c>
      <c r="T617" s="119" t="str">
        <f>IF($C617&lt;4,IF($C617=3,T618,IF($C617=2,T$1,"")),Q617&amp;R617&amp;IF(LEN(S617)=0,"",Preferences!$C$2&amp;S617)&amp;IF(J618=J617,IF(LEN(R617&amp;S617)=0,"","
")&amp;T618,""))</f>
        <v xml:space="preserve">	• From a link in an advertisement published elsewhere on the internet (referral is recorded)
 2. Also see the Present advertisement in the online shop requirement in the Online Shop section.</v>
      </c>
      <c r="U617" s="122" t="str">
        <v/>
      </c>
      <c r="V617" s="42"/>
      <c r="W617" s="42"/>
      <c r="X617" s="42"/>
      <c r="Y617" s="42"/>
      <c r="Z617" s="42"/>
      <c r="AA617" s="42"/>
      <c r="AB617" s="42"/>
    </row>
    <row r="618" spans="1:28" x14ac:dyDescent="0.25">
      <c r="A618" s="42" t="str">
        <v>1.11.3.2</v>
      </c>
      <c r="B618" s="121" t="str">
        <v>Also see the Present advertisement in the online shop requirement in the Online Shop section.</v>
      </c>
      <c r="C618" s="41">
        <v>4</v>
      </c>
      <c r="D618" s="41" t="str">
        <v>RD</v>
      </c>
      <c r="E618" s="117" t="str">
        <f t="shared" si="0"/>
        <v>RD</v>
      </c>
      <c r="F618" s="41" t="str">
        <v/>
      </c>
      <c r="G618" s="41" t="str">
        <v/>
      </c>
      <c r="H618" s="117">
        <f t="shared" si="1"/>
        <v>0</v>
      </c>
      <c r="I618" s="117">
        <f t="shared" si="2"/>
        <v>11</v>
      </c>
      <c r="J618" s="117">
        <f t="shared" si="3"/>
        <v>11.03</v>
      </c>
      <c r="K618" s="117" t="str">
        <f t="shared" si="4"/>
        <v>BR</v>
      </c>
      <c r="L618" s="42" t="str">
        <v>BR1103</v>
      </c>
      <c r="M618" s="121" t="str">
        <v/>
      </c>
      <c r="N618" s="121" t="str">
        <v/>
      </c>
      <c r="O618" s="121" t="str">
        <v/>
      </c>
      <c r="P618" s="121" t="str">
        <v/>
      </c>
      <c r="Q618" s="121" t="str">
        <v xml:space="preserve"> 2. </v>
      </c>
      <c r="R618" s="121" t="str">
        <v>Also see the Present advertisement in the online shop requirement in the Online Shop section.</v>
      </c>
      <c r="S618" s="121" t="str">
        <v/>
      </c>
      <c r="T618" s="119" t="str">
        <f>IF($C618&lt;4,IF($C618=3,T619,IF($C618=2,T$1,"")),Q618&amp;R618&amp;IF(LEN(S618)=0,"",Preferences!$C$2&amp;S618)&amp;IF(J619=J618,IF(LEN(R618&amp;S618)=0,"","
")&amp;T619,""))</f>
        <v xml:space="preserve"> 2. Also see the Present advertisement in the online shop requirement in the Online Shop section.</v>
      </c>
      <c r="U618" s="122" t="str">
        <v/>
      </c>
      <c r="V618" s="42"/>
      <c r="W618" s="42"/>
      <c r="X618" s="42"/>
      <c r="Y618" s="42"/>
      <c r="Z618" s="42"/>
      <c r="AA618" s="42"/>
      <c r="AB618" s="42"/>
    </row>
    <row r="619" spans="1:28" x14ac:dyDescent="0.25">
      <c r="A619" s="42" t="str">
        <v>1.11.4</v>
      </c>
      <c r="B619" s="121" t="str">
        <v>11.4 View an article</v>
      </c>
      <c r="C619" s="41">
        <v>3</v>
      </c>
      <c r="D619" s="41" t="str">
        <v>R</v>
      </c>
      <c r="E619" s="117" t="str">
        <f t="shared" si="0"/>
        <v>R</v>
      </c>
      <c r="F619" s="41" t="str">
        <v/>
      </c>
      <c r="G619" s="41" t="str">
        <v/>
      </c>
      <c r="H619" s="117">
        <f t="shared" si="1"/>
        <v>0</v>
      </c>
      <c r="I619" s="117">
        <f t="shared" si="2"/>
        <v>11</v>
      </c>
      <c r="J619" s="117">
        <f t="shared" si="3"/>
        <v>11.04</v>
      </c>
      <c r="K619" s="117" t="str">
        <f t="shared" si="4"/>
        <v>BR</v>
      </c>
      <c r="L619" s="42" t="str">
        <v>BR1104</v>
      </c>
      <c r="M619" s="121" t="str">
        <v/>
      </c>
      <c r="N619" s="121" t="str">
        <v/>
      </c>
      <c r="O619" s="121" t="str">
        <v>BR1104</v>
      </c>
      <c r="P619" s="121" t="str">
        <v>View an article</v>
      </c>
      <c r="Q619" s="121" t="str">
        <v/>
      </c>
      <c r="R619" s="121" t="str">
        <v/>
      </c>
      <c r="S619" s="121" t="str">
        <v/>
      </c>
      <c r="T619" s="119" t="str">
        <f>IF($C619&lt;4,IF($C619=3,T620,IF($C619=2,T$1,"")),Q619&amp;R619&amp;IF(LEN(S619)=0,"",Preferences!$C$2&amp;S619)&amp;IF(J620=J619,IF(LEN(R619&amp;S619)=0,"","
")&amp;T620,""))</f>
        <v xml:space="preserve"> 1. A user may choose to view the full version of an article in the online shop:
	• From their articles library
	• From the search results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U619" s="122" t="str">
        <v/>
      </c>
      <c r="V619" s="42"/>
      <c r="W619" s="42"/>
      <c r="X619" s="42"/>
      <c r="Y619" s="42"/>
      <c r="Z619" s="42"/>
      <c r="AA619" s="42"/>
      <c r="AB619" s="42"/>
    </row>
    <row r="620" spans="1:28" x14ac:dyDescent="0.25">
      <c r="A620" s="42" t="str">
        <v>1.11.4.1</v>
      </c>
      <c r="B620" s="121" t="str">
        <v>A user may choose to view the full version of an article in the online shop:</v>
      </c>
      <c r="C620" s="41">
        <v>4</v>
      </c>
      <c r="D620" s="41" t="str">
        <v>RD</v>
      </c>
      <c r="E620" s="117" t="str">
        <f t="shared" si="0"/>
        <v>RD</v>
      </c>
      <c r="F620" s="41" t="str">
        <v/>
      </c>
      <c r="G620" s="41" t="str">
        <v/>
      </c>
      <c r="H620" s="117">
        <f t="shared" si="1"/>
        <v>0</v>
      </c>
      <c r="I620" s="117">
        <f t="shared" si="2"/>
        <v>11</v>
      </c>
      <c r="J620" s="117">
        <f t="shared" si="3"/>
        <v>11.04</v>
      </c>
      <c r="K620" s="117" t="str">
        <f t="shared" si="4"/>
        <v>BR</v>
      </c>
      <c r="L620" s="42" t="str">
        <v>BR1104</v>
      </c>
      <c r="M620" s="121" t="str">
        <v/>
      </c>
      <c r="N620" s="121" t="str">
        <v/>
      </c>
      <c r="O620" s="121" t="str">
        <v/>
      </c>
      <c r="P620" s="121" t="str">
        <v/>
      </c>
      <c r="Q620" s="121" t="str">
        <v xml:space="preserve"> 1. </v>
      </c>
      <c r="R620" s="121" t="str">
        <v>A user may choose to view the full version of an article in the online shop:</v>
      </c>
      <c r="S620" s="121" t="str">
        <v/>
      </c>
      <c r="T620" s="119" t="str">
        <f>IF($C620&lt;4,IF($C620=3,T621,IF($C620=2,T$1,"")),Q620&amp;R620&amp;IF(LEN(S620)=0,"",Preferences!$C$2&amp;S620)&amp;IF(J621=J620,IF(LEN(R620&amp;S620)=0,"","
")&amp;T621,""))</f>
        <v xml:space="preserve"> 1. A user may choose to view the full version of an article in the online shop:
	• From their articles library
	• From the search results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U620" s="122" t="str">
        <v/>
      </c>
      <c r="V620" s="42"/>
      <c r="W620" s="42"/>
      <c r="X620" s="42"/>
      <c r="Y620" s="42"/>
      <c r="Z620" s="42"/>
      <c r="AA620" s="42"/>
      <c r="AB620" s="42"/>
    </row>
    <row r="621" spans="1:28" x14ac:dyDescent="0.25">
      <c r="A621" s="42" t="str">
        <v>1.11.4.1.1</v>
      </c>
      <c r="B621" s="121" t="str">
        <v>From their articles library</v>
      </c>
      <c r="C621" s="41">
        <v>5</v>
      </c>
      <c r="D621" s="41" t="str">
        <v>RL</v>
      </c>
      <c r="E621" s="117" t="str">
        <f t="shared" si="0"/>
        <v>RL</v>
      </c>
      <c r="F621" s="41" t="str">
        <v/>
      </c>
      <c r="G621" s="41" t="str">
        <v/>
      </c>
      <c r="H621" s="117">
        <f t="shared" si="1"/>
        <v>0</v>
      </c>
      <c r="I621" s="117">
        <f t="shared" si="2"/>
        <v>11</v>
      </c>
      <c r="J621" s="117">
        <f t="shared" si="3"/>
        <v>11.04</v>
      </c>
      <c r="K621" s="117" t="str">
        <f t="shared" si="4"/>
        <v>BR</v>
      </c>
      <c r="L621" s="42" t="str">
        <v>BR1104</v>
      </c>
      <c r="M621" s="121" t="str">
        <v/>
      </c>
      <c r="N621" s="121" t="str">
        <v/>
      </c>
      <c r="O621" s="121" t="str">
        <v/>
      </c>
      <c r="P621" s="121" t="str">
        <v/>
      </c>
      <c r="Q621" s="121" t="str">
        <v/>
      </c>
      <c r="R621" s="121" t="str">
        <v/>
      </c>
      <c r="S621" s="121" t="str">
        <v>From their articles library</v>
      </c>
      <c r="T621" s="119" t="str">
        <f>IF($C621&lt;4,IF($C621=3,T622,IF($C621=2,T$1,"")),Q621&amp;R621&amp;IF(LEN(S621)=0,"",Preferences!$C$2&amp;S621)&amp;IF(J622=J621,IF(LEN(R621&amp;S621)=0,"","
")&amp;T622,""))</f>
        <v xml:space="preserve">	• From their articles library
	• From the search results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U621" s="122" t="str">
        <v/>
      </c>
      <c r="V621" s="42"/>
      <c r="W621" s="42"/>
      <c r="X621" s="42"/>
      <c r="Y621" s="42"/>
      <c r="Z621" s="42"/>
      <c r="AA621" s="42"/>
      <c r="AB621" s="42"/>
    </row>
    <row r="622" spans="1:28" x14ac:dyDescent="0.25">
      <c r="A622" s="42" t="str">
        <v>1.11.4.1.2</v>
      </c>
      <c r="B622" s="121" t="str">
        <v>From the search results</v>
      </c>
      <c r="C622" s="41">
        <v>5</v>
      </c>
      <c r="D622" s="41" t="str">
        <v>RL</v>
      </c>
      <c r="E622" s="117" t="str">
        <f t="shared" si="0"/>
        <v>RL</v>
      </c>
      <c r="F622" s="41" t="str">
        <v/>
      </c>
      <c r="G622" s="41" t="str">
        <v/>
      </c>
      <c r="H622" s="117">
        <f t="shared" si="1"/>
        <v>0</v>
      </c>
      <c r="I622" s="117">
        <f t="shared" si="2"/>
        <v>11</v>
      </c>
      <c r="J622" s="117">
        <f t="shared" si="3"/>
        <v>11.04</v>
      </c>
      <c r="K622" s="117" t="str">
        <f t="shared" si="4"/>
        <v>BR</v>
      </c>
      <c r="L622" s="42" t="str">
        <v>BR1104</v>
      </c>
      <c r="M622" s="121" t="str">
        <v/>
      </c>
      <c r="N622" s="121" t="str">
        <v/>
      </c>
      <c r="O622" s="121" t="str">
        <v/>
      </c>
      <c r="P622" s="121" t="str">
        <v/>
      </c>
      <c r="Q622" s="121" t="str">
        <v/>
      </c>
      <c r="R622" s="121" t="str">
        <v/>
      </c>
      <c r="S622" s="121" t="str">
        <v>From the search results</v>
      </c>
      <c r="T622" s="119" t="str">
        <f>IF($C622&lt;4,IF($C622=3,T623,IF($C622=2,T$1,"")),Q622&amp;R622&amp;IF(LEN(S622)=0,"",Preferences!$C$2&amp;S622)&amp;IF(J623=J622,IF(LEN(R622&amp;S622)=0,"","
")&amp;T623,""))</f>
        <v xml:space="preserve">	• From the search results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U622" s="122" t="str">
        <v/>
      </c>
      <c r="V622" s="42"/>
      <c r="W622" s="42"/>
      <c r="X622" s="42"/>
      <c r="Y622" s="42"/>
      <c r="Z622" s="42"/>
      <c r="AA622" s="42"/>
      <c r="AB622" s="42"/>
    </row>
    <row r="623" spans="1:28" x14ac:dyDescent="0.25">
      <c r="A623" s="42" t="str">
        <v>1.11.4.1.3</v>
      </c>
      <c r="B623" s="121" t="str">
        <v>From a promoted article on the online shop</v>
      </c>
      <c r="C623" s="41">
        <v>5</v>
      </c>
      <c r="D623" s="41" t="str">
        <v>RL</v>
      </c>
      <c r="E623" s="117" t="str">
        <f t="shared" si="0"/>
        <v>RL</v>
      </c>
      <c r="F623" s="41" t="str">
        <v/>
      </c>
      <c r="G623" s="41" t="str">
        <v/>
      </c>
      <c r="H623" s="117">
        <f t="shared" si="1"/>
        <v>0</v>
      </c>
      <c r="I623" s="117">
        <f t="shared" si="2"/>
        <v>11</v>
      </c>
      <c r="J623" s="117">
        <f t="shared" si="3"/>
        <v>11.04</v>
      </c>
      <c r="K623" s="117" t="str">
        <f t="shared" si="4"/>
        <v>BR</v>
      </c>
      <c r="L623" s="42" t="str">
        <v>BR1104</v>
      </c>
      <c r="M623" s="121" t="str">
        <v/>
      </c>
      <c r="N623" s="121" t="str">
        <v/>
      </c>
      <c r="O623" s="121" t="str">
        <v/>
      </c>
      <c r="P623" s="121" t="str">
        <v/>
      </c>
      <c r="Q623" s="121" t="str">
        <v/>
      </c>
      <c r="R623" s="121" t="str">
        <v/>
      </c>
      <c r="S623" s="121" t="str">
        <v>From a promoted article on the online shop</v>
      </c>
      <c r="T623" s="119" t="str">
        <f>IF($C623&lt;4,IF($C623=3,T624,IF($C623=2,T$1,"")),Q623&amp;R623&amp;IF(LEN(S623)=0,"",Preferences!$C$2&amp;S623)&amp;IF(J624=J623,IF(LEN(R623&amp;S623)=0,"","
")&amp;T624,""))</f>
        <v xml:space="preserve">	• From a promoted article on the online shop
	• From a link in an email they received (referral is recorded)
	• From a link in a publication/advertisement published elsewhere on the internet (referral is recorded)
 2. Also see the Present article in the online shop requirement in the Online Shop section.</v>
      </c>
      <c r="U623" s="122" t="str">
        <v/>
      </c>
      <c r="V623" s="42"/>
      <c r="W623" s="42"/>
      <c r="X623" s="42"/>
      <c r="Y623" s="42"/>
      <c r="Z623" s="42"/>
      <c r="AA623" s="42"/>
      <c r="AB623" s="42"/>
    </row>
    <row r="624" spans="1:28" x14ac:dyDescent="0.25">
      <c r="A624" s="42" t="str">
        <v>1.11.4.1.4</v>
      </c>
      <c r="B624" s="121" t="str">
        <v>From a link in an email they received (referral is recorded)</v>
      </c>
      <c r="C624" s="41">
        <v>5</v>
      </c>
      <c r="D624" s="41" t="str">
        <v>RL</v>
      </c>
      <c r="E624" s="117" t="str">
        <f t="shared" si="0"/>
        <v>RL</v>
      </c>
      <c r="F624" s="41" t="str">
        <v/>
      </c>
      <c r="G624" s="41" t="str">
        <v/>
      </c>
      <c r="H624" s="117">
        <f t="shared" si="1"/>
        <v>0</v>
      </c>
      <c r="I624" s="117">
        <f t="shared" si="2"/>
        <v>11</v>
      </c>
      <c r="J624" s="117">
        <f t="shared" si="3"/>
        <v>11.04</v>
      </c>
      <c r="K624" s="117" t="str">
        <f t="shared" si="4"/>
        <v>BR</v>
      </c>
      <c r="L624" s="42" t="str">
        <v>BR1104</v>
      </c>
      <c r="M624" s="121" t="str">
        <v/>
      </c>
      <c r="N624" s="121" t="str">
        <v/>
      </c>
      <c r="O624" s="121" t="str">
        <v/>
      </c>
      <c r="P624" s="121" t="str">
        <v/>
      </c>
      <c r="Q624" s="121" t="str">
        <v/>
      </c>
      <c r="R624" s="121" t="str">
        <v/>
      </c>
      <c r="S624" s="121" t="str">
        <v>From a link in an email they received (referral is recorded)</v>
      </c>
      <c r="T624" s="119" t="str">
        <f>IF($C624&lt;4,IF($C624=3,T625,IF($C624=2,T$1,"")),Q624&amp;R624&amp;IF(LEN(S624)=0,"",Preferences!$C$2&amp;S624)&amp;IF(J625=J624,IF(LEN(R624&amp;S624)=0,"","
")&amp;T625,""))</f>
        <v xml:space="preserve">	• From a link in an email they received (referral is recorded)
	• From a link in a publication/advertisement published elsewhere on the internet (referral is recorded)
 2. Also see the Present article in the online shop requirement in the Online Shop section.</v>
      </c>
      <c r="U624" s="122" t="str">
        <v/>
      </c>
      <c r="V624" s="42"/>
      <c r="W624" s="42"/>
      <c r="X624" s="42"/>
      <c r="Y624" s="42"/>
      <c r="Z624" s="42"/>
      <c r="AA624" s="42"/>
      <c r="AB624" s="42"/>
    </row>
    <row r="625" spans="1:28" x14ac:dyDescent="0.25">
      <c r="A625" s="42" t="str">
        <v>1.11.4.1.5</v>
      </c>
      <c r="B625" s="121" t="str">
        <v>From a link in a publication/advertisement published elsewhere on the internet (referral is recorded)</v>
      </c>
      <c r="C625" s="41">
        <v>5</v>
      </c>
      <c r="D625" s="41" t="str">
        <v>RL</v>
      </c>
      <c r="E625" s="117" t="str">
        <f t="shared" si="0"/>
        <v>RL</v>
      </c>
      <c r="F625" s="41" t="str">
        <v/>
      </c>
      <c r="G625" s="41" t="str">
        <v/>
      </c>
      <c r="H625" s="117">
        <f t="shared" si="1"/>
        <v>0</v>
      </c>
      <c r="I625" s="117">
        <f t="shared" si="2"/>
        <v>11</v>
      </c>
      <c r="J625" s="117">
        <f t="shared" si="3"/>
        <v>11.04</v>
      </c>
      <c r="K625" s="117" t="str">
        <f t="shared" si="4"/>
        <v>BR</v>
      </c>
      <c r="L625" s="42" t="str">
        <v>BR1104</v>
      </c>
      <c r="M625" s="121" t="str">
        <v/>
      </c>
      <c r="N625" s="121" t="str">
        <v/>
      </c>
      <c r="O625" s="121" t="str">
        <v/>
      </c>
      <c r="P625" s="121" t="str">
        <v/>
      </c>
      <c r="Q625" s="121" t="str">
        <v/>
      </c>
      <c r="R625" s="121" t="str">
        <v/>
      </c>
      <c r="S625" s="121" t="str">
        <v>From a link in a publication/advertisement published elsewhere on the internet (referral is recorded)</v>
      </c>
      <c r="T625" s="119" t="str">
        <f>IF($C625&lt;4,IF($C625=3,T626,IF($C625=2,T$1,"")),Q625&amp;R625&amp;IF(LEN(S625)=0,"",Preferences!$C$2&amp;S625)&amp;IF(J626=J625,IF(LEN(R625&amp;S625)=0,"","
")&amp;T626,""))</f>
        <v xml:space="preserve">	• From a link in a publication/advertisement published elsewhere on the internet (referral is recorded)
 2. Also see the Present article in the online shop requirement in the Online Shop section.</v>
      </c>
      <c r="U625" s="122" t="str">
        <v/>
      </c>
      <c r="V625" s="42"/>
      <c r="W625" s="42"/>
      <c r="X625" s="42"/>
      <c r="Y625" s="42"/>
      <c r="Z625" s="42"/>
      <c r="AA625" s="42"/>
      <c r="AB625" s="42"/>
    </row>
    <row r="626" spans="1:28" x14ac:dyDescent="0.25">
      <c r="A626" s="42" t="str">
        <v>1.11.4.2</v>
      </c>
      <c r="B626" s="121" t="str">
        <v>Also see the Present article in the online shop requirement in the Online Shop section.</v>
      </c>
      <c r="C626" s="41">
        <v>4</v>
      </c>
      <c r="D626" s="41" t="str">
        <v>RD</v>
      </c>
      <c r="E626" s="117" t="str">
        <f t="shared" si="0"/>
        <v>RD</v>
      </c>
      <c r="F626" s="41" t="str">
        <v/>
      </c>
      <c r="G626" s="41" t="str">
        <v/>
      </c>
      <c r="H626" s="117">
        <f t="shared" si="1"/>
        <v>0</v>
      </c>
      <c r="I626" s="117">
        <f t="shared" si="2"/>
        <v>11</v>
      </c>
      <c r="J626" s="117">
        <f t="shared" si="3"/>
        <v>11.04</v>
      </c>
      <c r="K626" s="117" t="str">
        <f t="shared" si="4"/>
        <v>BR</v>
      </c>
      <c r="L626" s="42" t="str">
        <v>BR1104</v>
      </c>
      <c r="M626" s="121" t="str">
        <v/>
      </c>
      <c r="N626" s="121" t="str">
        <v/>
      </c>
      <c r="O626" s="121" t="str">
        <v/>
      </c>
      <c r="P626" s="121" t="str">
        <v/>
      </c>
      <c r="Q626" s="121" t="str">
        <v xml:space="preserve"> 2. </v>
      </c>
      <c r="R626" s="121" t="str">
        <v>Also see the Present article in the online shop requirement in the Online Shop section.</v>
      </c>
      <c r="S626" s="121" t="str">
        <v/>
      </c>
      <c r="T626" s="119" t="str">
        <f>IF($C626&lt;4,IF($C626=3,T627,IF($C626=2,T$1,"")),Q626&amp;R626&amp;IF(LEN(S626)=0,"",Preferences!$C$2&amp;S626)&amp;IF(J627=J626,IF(LEN(R626&amp;S626)=0,"","
")&amp;T627,""))</f>
        <v xml:space="preserve"> 2. Also see the Present article in the online shop requirement in the Online Shop section.</v>
      </c>
      <c r="U626" s="122" t="str">
        <v/>
      </c>
      <c r="V626" s="42"/>
      <c r="W626" s="42"/>
      <c r="X626" s="42"/>
      <c r="Y626" s="42"/>
      <c r="Z626" s="42"/>
      <c r="AA626" s="42"/>
      <c r="AB626" s="42"/>
    </row>
    <row r="627" spans="1:28" x14ac:dyDescent="0.25">
      <c r="A627" s="42" t="str">
        <v>1.11.5</v>
      </c>
      <c r="B627" s="121" t="str">
        <v>11.5 Add a product to the shopping cart</v>
      </c>
      <c r="C627" s="41">
        <v>3</v>
      </c>
      <c r="D627" s="41" t="str">
        <v>R</v>
      </c>
      <c r="E627" s="117" t="str">
        <f t="shared" si="0"/>
        <v>R</v>
      </c>
      <c r="F627" s="41" t="str">
        <v/>
      </c>
      <c r="G627" s="41" t="str">
        <v/>
      </c>
      <c r="H627" s="117">
        <f t="shared" si="1"/>
        <v>0</v>
      </c>
      <c r="I627" s="117">
        <f t="shared" si="2"/>
        <v>11</v>
      </c>
      <c r="J627" s="117">
        <f t="shared" si="3"/>
        <v>11.049999999999999</v>
      </c>
      <c r="K627" s="117" t="str">
        <f t="shared" si="4"/>
        <v>BR</v>
      </c>
      <c r="L627" s="42" t="str">
        <v>BR1105</v>
      </c>
      <c r="M627" s="121" t="str">
        <v/>
      </c>
      <c r="N627" s="121" t="str">
        <v/>
      </c>
      <c r="O627" s="121" t="str">
        <v>BR1105</v>
      </c>
      <c r="P627" s="121" t="str">
        <v>Add a product to the shopping cart</v>
      </c>
      <c r="Q627" s="121" t="str">
        <v/>
      </c>
      <c r="R627" s="121" t="str">
        <v/>
      </c>
      <c r="S627" s="121" t="str">
        <v/>
      </c>
      <c r="T627" s="119" t="str">
        <f>IF($C627&lt;4,IF($C627=3,T628,IF($C627=2,T$1,"")),Q627&amp;R627&amp;IF(LEN(S627)=0,"",Preferences!$C$2&amp;S627)&amp;IF(J628=J627,IF(LEN(R627&amp;S627)=0,"","
")&amp;T628,""))</f>
        <v xml:space="preserve"> 1. A user may add a product to their shopping cart:
	• From the search results
	• When viewing a product
	• When viewing an advertisement
	• From the similar products list on a product page
	• From the also-bought products list on a product page
	• From their favourites
	• From their wish-list</v>
      </c>
      <c r="U627" s="122" t="str">
        <v/>
      </c>
      <c r="V627" s="42"/>
      <c r="W627" s="42"/>
      <c r="X627" s="42"/>
      <c r="Y627" s="42"/>
      <c r="Z627" s="42"/>
      <c r="AA627" s="42"/>
      <c r="AB627" s="42"/>
    </row>
    <row r="628" spans="1:28" x14ac:dyDescent="0.25">
      <c r="A628" s="42" t="str">
        <v>1.11.5.1</v>
      </c>
      <c r="B628" s="121" t="str">
        <v>A user may add a product to their shopping cart:</v>
      </c>
      <c r="C628" s="41">
        <v>4</v>
      </c>
      <c r="D628" s="41" t="str">
        <v>RD</v>
      </c>
      <c r="E628" s="117" t="str">
        <f t="shared" si="0"/>
        <v>RD</v>
      </c>
      <c r="F628" s="41" t="str">
        <v/>
      </c>
      <c r="G628" s="41" t="str">
        <v/>
      </c>
      <c r="H628" s="117">
        <f t="shared" si="1"/>
        <v>0</v>
      </c>
      <c r="I628" s="117">
        <f t="shared" si="2"/>
        <v>11</v>
      </c>
      <c r="J628" s="117">
        <f t="shared" si="3"/>
        <v>11.049999999999999</v>
      </c>
      <c r="K628" s="117" t="str">
        <f t="shared" si="4"/>
        <v>BR</v>
      </c>
      <c r="L628" s="42" t="str">
        <v>BR1105</v>
      </c>
      <c r="M628" s="121" t="str">
        <v/>
      </c>
      <c r="N628" s="121" t="str">
        <v/>
      </c>
      <c r="O628" s="121" t="str">
        <v/>
      </c>
      <c r="P628" s="121" t="str">
        <v/>
      </c>
      <c r="Q628" s="121" t="str">
        <v xml:space="preserve"> 1. </v>
      </c>
      <c r="R628" s="121" t="str">
        <v>A user may add a product to their shopping cart:</v>
      </c>
      <c r="S628" s="121" t="str">
        <v/>
      </c>
      <c r="T628" s="119" t="str">
        <f>IF($C628&lt;4,IF($C628=3,T629,IF($C628=2,T$1,"")),Q628&amp;R628&amp;IF(LEN(S628)=0,"",Preferences!$C$2&amp;S628)&amp;IF(J629=J628,IF(LEN(R628&amp;S628)=0,"","
")&amp;T629,""))</f>
        <v xml:space="preserve"> 1. A user may add a product to their shopping cart:
	• From the search results
	• When viewing a product
	• When viewing an advertisement
	• From the similar products list on a product page
	• From the also-bought products list on a product page
	• From their favourites
	• From their wish-list</v>
      </c>
      <c r="U628" s="122" t="str">
        <v/>
      </c>
      <c r="V628" s="42"/>
      <c r="W628" s="42"/>
      <c r="X628" s="42"/>
      <c r="Y628" s="42"/>
      <c r="Z628" s="42"/>
      <c r="AA628" s="42"/>
      <c r="AB628" s="42"/>
    </row>
    <row r="629" spans="1:28" x14ac:dyDescent="0.25">
      <c r="A629" s="42" t="str">
        <v>1.11.5.1.1</v>
      </c>
      <c r="B629" s="121" t="str">
        <v>From the search results</v>
      </c>
      <c r="C629" s="41">
        <v>5</v>
      </c>
      <c r="D629" s="41" t="str">
        <v>RL</v>
      </c>
      <c r="E629" s="117" t="str">
        <f t="shared" si="0"/>
        <v>RL</v>
      </c>
      <c r="F629" s="41" t="str">
        <v/>
      </c>
      <c r="G629" s="41" t="str">
        <v/>
      </c>
      <c r="H629" s="117">
        <f t="shared" si="1"/>
        <v>0</v>
      </c>
      <c r="I629" s="117">
        <f t="shared" si="2"/>
        <v>11</v>
      </c>
      <c r="J629" s="117">
        <f t="shared" si="3"/>
        <v>11.049999999999999</v>
      </c>
      <c r="K629" s="117" t="str">
        <f t="shared" si="4"/>
        <v>BR</v>
      </c>
      <c r="L629" s="42" t="str">
        <v>BR1105</v>
      </c>
      <c r="M629" s="121" t="str">
        <v/>
      </c>
      <c r="N629" s="121" t="str">
        <v/>
      </c>
      <c r="O629" s="121" t="str">
        <v/>
      </c>
      <c r="P629" s="121" t="str">
        <v/>
      </c>
      <c r="Q629" s="121" t="str">
        <v/>
      </c>
      <c r="R629" s="121" t="str">
        <v/>
      </c>
      <c r="S629" s="121" t="str">
        <v>From the search results</v>
      </c>
      <c r="T629" s="119" t="str">
        <f>IF($C629&lt;4,IF($C629=3,T630,IF($C629=2,T$1,"")),Q629&amp;R629&amp;IF(LEN(S629)=0,"",Preferences!$C$2&amp;S629)&amp;IF(J630=J629,IF(LEN(R629&amp;S629)=0,"","
")&amp;T630,""))</f>
        <v xml:space="preserve">	• From the search results
	• When viewing a product
	• When viewing an advertisement
	• From the similar products list on a product page
	• From the also-bought products list on a product page
	• From their favourites
	• From their wish-list</v>
      </c>
      <c r="U629" s="122" t="str">
        <v/>
      </c>
      <c r="V629" s="42"/>
      <c r="W629" s="42"/>
      <c r="X629" s="42"/>
      <c r="Y629" s="42"/>
      <c r="Z629" s="42"/>
      <c r="AA629" s="42"/>
      <c r="AB629" s="42"/>
    </row>
    <row r="630" spans="1:28" x14ac:dyDescent="0.25">
      <c r="A630" s="42" t="str">
        <v>1.11.5.1.2</v>
      </c>
      <c r="B630" s="121" t="str">
        <v>When viewing a product</v>
      </c>
      <c r="C630" s="41">
        <v>5</v>
      </c>
      <c r="D630" s="41" t="str">
        <v>RL</v>
      </c>
      <c r="E630" s="117" t="str">
        <f t="shared" si="0"/>
        <v>RL</v>
      </c>
      <c r="F630" s="41" t="str">
        <v/>
      </c>
      <c r="G630" s="41" t="str">
        <v/>
      </c>
      <c r="H630" s="117">
        <f t="shared" si="1"/>
        <v>0</v>
      </c>
      <c r="I630" s="117">
        <f t="shared" si="2"/>
        <v>11</v>
      </c>
      <c r="J630" s="117">
        <f t="shared" si="3"/>
        <v>11.049999999999999</v>
      </c>
      <c r="K630" s="117" t="str">
        <f t="shared" si="4"/>
        <v>BR</v>
      </c>
      <c r="L630" s="42" t="str">
        <v>BR1105</v>
      </c>
      <c r="M630" s="121" t="str">
        <v/>
      </c>
      <c r="N630" s="121" t="str">
        <v/>
      </c>
      <c r="O630" s="121" t="str">
        <v/>
      </c>
      <c r="P630" s="121" t="str">
        <v/>
      </c>
      <c r="Q630" s="121" t="str">
        <v/>
      </c>
      <c r="R630" s="121" t="str">
        <v/>
      </c>
      <c r="S630" s="121" t="str">
        <v>When viewing a product</v>
      </c>
      <c r="T630" s="119" t="str">
        <f>IF($C630&lt;4,IF($C630=3,T631,IF($C630=2,T$1,"")),Q630&amp;R630&amp;IF(LEN(S630)=0,"",Preferences!$C$2&amp;S630)&amp;IF(J631=J630,IF(LEN(R630&amp;S630)=0,"","
")&amp;T631,""))</f>
        <v xml:space="preserve">	• When viewing a product
	• When viewing an advertisement
	• From the similar products list on a product page
	• From the also-bought products list on a product page
	• From their favourites
	• From their wish-list</v>
      </c>
      <c r="U630" s="122" t="str">
        <v/>
      </c>
      <c r="V630" s="42"/>
      <c r="W630" s="42"/>
      <c r="X630" s="42"/>
      <c r="Y630" s="42"/>
      <c r="Z630" s="42"/>
      <c r="AA630" s="42"/>
      <c r="AB630" s="42"/>
    </row>
    <row r="631" spans="1:28" x14ac:dyDescent="0.25">
      <c r="A631" s="42" t="str">
        <v>1.11.5.1.3</v>
      </c>
      <c r="B631" s="121" t="str">
        <v>When viewing an advertisement</v>
      </c>
      <c r="C631" s="41">
        <v>5</v>
      </c>
      <c r="D631" s="41" t="str">
        <v>RL</v>
      </c>
      <c r="E631" s="117" t="str">
        <f t="shared" si="0"/>
        <v>RL</v>
      </c>
      <c r="F631" s="41" t="str">
        <v/>
      </c>
      <c r="G631" s="41" t="str">
        <v/>
      </c>
      <c r="H631" s="117">
        <f t="shared" si="1"/>
        <v>0</v>
      </c>
      <c r="I631" s="117">
        <f t="shared" si="2"/>
        <v>11</v>
      </c>
      <c r="J631" s="117">
        <f t="shared" si="3"/>
        <v>11.049999999999999</v>
      </c>
      <c r="K631" s="117" t="str">
        <f t="shared" si="4"/>
        <v>BR</v>
      </c>
      <c r="L631" s="42" t="str">
        <v>BR1105</v>
      </c>
      <c r="M631" s="121" t="str">
        <v/>
      </c>
      <c r="N631" s="121" t="str">
        <v/>
      </c>
      <c r="O631" s="121" t="str">
        <v/>
      </c>
      <c r="P631" s="121" t="str">
        <v/>
      </c>
      <c r="Q631" s="121" t="str">
        <v/>
      </c>
      <c r="R631" s="121" t="str">
        <v/>
      </c>
      <c r="S631" s="121" t="str">
        <v>When viewing an advertisement</v>
      </c>
      <c r="T631" s="119" t="str">
        <f>IF($C631&lt;4,IF($C631=3,T632,IF($C631=2,T$1,"")),Q631&amp;R631&amp;IF(LEN(S631)=0,"",Preferences!$C$2&amp;S631)&amp;IF(J632=J631,IF(LEN(R631&amp;S631)=0,"","
")&amp;T632,""))</f>
        <v xml:space="preserve">	• When viewing an advertisement
	• From the similar products list on a product page
	• From the also-bought products list on a product page
	• From their favourites
	• From their wish-list</v>
      </c>
      <c r="U631" s="122" t="str">
        <v/>
      </c>
      <c r="V631" s="42"/>
      <c r="W631" s="42"/>
      <c r="X631" s="42"/>
      <c r="Y631" s="42"/>
      <c r="Z631" s="42"/>
      <c r="AA631" s="42"/>
      <c r="AB631" s="42"/>
    </row>
    <row r="632" spans="1:28" x14ac:dyDescent="0.25">
      <c r="A632" s="42" t="str">
        <v>1.11.5.1.4</v>
      </c>
      <c r="B632" s="121" t="str">
        <v>From the similar products list on a product page</v>
      </c>
      <c r="C632" s="41">
        <v>5</v>
      </c>
      <c r="D632" s="41" t="str">
        <v>RL</v>
      </c>
      <c r="E632" s="117" t="str">
        <f t="shared" si="0"/>
        <v>RL</v>
      </c>
      <c r="F632" s="41" t="str">
        <v/>
      </c>
      <c r="G632" s="41" t="str">
        <v/>
      </c>
      <c r="H632" s="117">
        <f t="shared" si="1"/>
        <v>0</v>
      </c>
      <c r="I632" s="117">
        <f t="shared" si="2"/>
        <v>11</v>
      </c>
      <c r="J632" s="117">
        <f t="shared" si="3"/>
        <v>11.049999999999999</v>
      </c>
      <c r="K632" s="117" t="str">
        <f t="shared" si="4"/>
        <v>BR</v>
      </c>
      <c r="L632" s="42" t="str">
        <v>BR1105</v>
      </c>
      <c r="M632" s="121" t="str">
        <v/>
      </c>
      <c r="N632" s="121" t="str">
        <v/>
      </c>
      <c r="O632" s="121" t="str">
        <v/>
      </c>
      <c r="P632" s="121" t="str">
        <v/>
      </c>
      <c r="Q632" s="121" t="str">
        <v/>
      </c>
      <c r="R632" s="121" t="str">
        <v/>
      </c>
      <c r="S632" s="121" t="str">
        <v>From the similar products list on a product page</v>
      </c>
      <c r="T632" s="119" t="str">
        <f>IF($C632&lt;4,IF($C632=3,T633,IF($C632=2,T$1,"")),Q632&amp;R632&amp;IF(LEN(S632)=0,"",Preferences!$C$2&amp;S632)&amp;IF(J633=J632,IF(LEN(R632&amp;S632)=0,"","
")&amp;T633,""))</f>
        <v xml:space="preserve">	• From the similar products list on a product page
	• From the also-bought products list on a product page
	• From their favourites
	• From their wish-list</v>
      </c>
      <c r="U632" s="122" t="str">
        <v/>
      </c>
      <c r="V632" s="42"/>
      <c r="W632" s="42"/>
      <c r="X632" s="42"/>
      <c r="Y632" s="42"/>
      <c r="Z632" s="42"/>
      <c r="AA632" s="42"/>
      <c r="AB632" s="42"/>
    </row>
    <row r="633" spans="1:28" x14ac:dyDescent="0.25">
      <c r="A633" s="42" t="str">
        <v>1.11.5.1.5</v>
      </c>
      <c r="B633" s="121" t="str">
        <v>From the also-bought products list on a product page</v>
      </c>
      <c r="C633" s="41">
        <v>5</v>
      </c>
      <c r="D633" s="41" t="str">
        <v>RL</v>
      </c>
      <c r="E633" s="117" t="str">
        <f t="shared" si="0"/>
        <v>RL</v>
      </c>
      <c r="F633" s="41" t="str">
        <v/>
      </c>
      <c r="G633" s="41" t="str">
        <v/>
      </c>
      <c r="H633" s="117">
        <f t="shared" si="1"/>
        <v>0</v>
      </c>
      <c r="I633" s="117">
        <f t="shared" si="2"/>
        <v>11</v>
      </c>
      <c r="J633" s="117">
        <f t="shared" si="3"/>
        <v>11.049999999999999</v>
      </c>
      <c r="K633" s="117" t="str">
        <f t="shared" si="4"/>
        <v>BR</v>
      </c>
      <c r="L633" s="42" t="str">
        <v>BR1105</v>
      </c>
      <c r="M633" s="121" t="str">
        <v/>
      </c>
      <c r="N633" s="121" t="str">
        <v/>
      </c>
      <c r="O633" s="121" t="str">
        <v/>
      </c>
      <c r="P633" s="121" t="str">
        <v/>
      </c>
      <c r="Q633" s="121" t="str">
        <v/>
      </c>
      <c r="R633" s="121" t="str">
        <v/>
      </c>
      <c r="S633" s="121" t="str">
        <v>From the also-bought products list on a product page</v>
      </c>
      <c r="T633" s="119" t="str">
        <f>IF($C633&lt;4,IF($C633=3,T634,IF($C633=2,T$1,"")),Q633&amp;R633&amp;IF(LEN(S633)=0,"",Preferences!$C$2&amp;S633)&amp;IF(J634=J633,IF(LEN(R633&amp;S633)=0,"","
")&amp;T634,""))</f>
        <v xml:space="preserve">	• From the also-bought products list on a product page
	• From their favourites
	• From their wish-list</v>
      </c>
      <c r="U633" s="122" t="str">
        <v/>
      </c>
      <c r="V633" s="42"/>
      <c r="W633" s="42"/>
      <c r="X633" s="42"/>
      <c r="Y633" s="42"/>
      <c r="Z633" s="42"/>
      <c r="AA633" s="42"/>
      <c r="AB633" s="42"/>
    </row>
    <row r="634" spans="1:28" x14ac:dyDescent="0.25">
      <c r="A634" s="42" t="str">
        <v>1.11.5.1.6</v>
      </c>
      <c r="B634" s="121" t="str">
        <v>From their favourites</v>
      </c>
      <c r="C634" s="41">
        <v>5</v>
      </c>
      <c r="D634" s="41" t="str">
        <v>RL</v>
      </c>
      <c r="E634" s="117" t="str">
        <f t="shared" si="0"/>
        <v>RL</v>
      </c>
      <c r="F634" s="41" t="str">
        <v/>
      </c>
      <c r="G634" s="41" t="str">
        <v/>
      </c>
      <c r="H634" s="117">
        <f t="shared" si="1"/>
        <v>0</v>
      </c>
      <c r="I634" s="117">
        <f t="shared" si="2"/>
        <v>11</v>
      </c>
      <c r="J634" s="117">
        <f t="shared" si="3"/>
        <v>11.049999999999999</v>
      </c>
      <c r="K634" s="117" t="str">
        <f t="shared" si="4"/>
        <v>BR</v>
      </c>
      <c r="L634" s="42" t="str">
        <v>BR1105</v>
      </c>
      <c r="M634" s="121" t="str">
        <v/>
      </c>
      <c r="N634" s="121" t="str">
        <v/>
      </c>
      <c r="O634" s="121" t="str">
        <v/>
      </c>
      <c r="P634" s="121" t="str">
        <v/>
      </c>
      <c r="Q634" s="121" t="str">
        <v/>
      </c>
      <c r="R634" s="121" t="str">
        <v/>
      </c>
      <c r="S634" s="121" t="str">
        <v>From their favourites</v>
      </c>
      <c r="T634" s="119" t="str">
        <f>IF($C634&lt;4,IF($C634=3,T635,IF($C634=2,T$1,"")),Q634&amp;R634&amp;IF(LEN(S634)=0,"",Preferences!$C$2&amp;S634)&amp;IF(J635=J634,IF(LEN(R634&amp;S634)=0,"","
")&amp;T635,""))</f>
        <v xml:space="preserve">	• From their favourites
	• From their wish-list</v>
      </c>
      <c r="U634" s="122" t="str">
        <v/>
      </c>
      <c r="V634" s="42"/>
      <c r="W634" s="42"/>
      <c r="X634" s="42"/>
      <c r="Y634" s="42"/>
      <c r="Z634" s="42"/>
      <c r="AA634" s="42"/>
      <c r="AB634" s="42"/>
    </row>
    <row r="635" spans="1:28" x14ac:dyDescent="0.25">
      <c r="A635" s="42" t="str">
        <v>1.11.5.1.7</v>
      </c>
      <c r="B635" s="121" t="str">
        <v>From their wish-list</v>
      </c>
      <c r="C635" s="41">
        <v>5</v>
      </c>
      <c r="D635" s="41" t="str">
        <v>RL</v>
      </c>
      <c r="E635" s="117" t="str">
        <f t="shared" si="0"/>
        <v>RL</v>
      </c>
      <c r="F635" s="41" t="str">
        <v/>
      </c>
      <c r="G635" s="41" t="str">
        <v/>
      </c>
      <c r="H635" s="117">
        <f t="shared" si="1"/>
        <v>0</v>
      </c>
      <c r="I635" s="117">
        <f t="shared" si="2"/>
        <v>11</v>
      </c>
      <c r="J635" s="117">
        <f t="shared" si="3"/>
        <v>11.049999999999999</v>
      </c>
      <c r="K635" s="117" t="str">
        <f t="shared" si="4"/>
        <v>BR</v>
      </c>
      <c r="L635" s="42" t="str">
        <v>BR1105</v>
      </c>
      <c r="M635" s="121" t="str">
        <v/>
      </c>
      <c r="N635" s="121" t="str">
        <v/>
      </c>
      <c r="O635" s="121" t="str">
        <v/>
      </c>
      <c r="P635" s="121" t="str">
        <v/>
      </c>
      <c r="Q635" s="121" t="str">
        <v/>
      </c>
      <c r="R635" s="121" t="str">
        <v/>
      </c>
      <c r="S635" s="121" t="str">
        <v>From their wish-list</v>
      </c>
      <c r="T635" s="119" t="str">
        <f>IF($C635&lt;4,IF($C635=3,T636,IF($C635=2,T$1,"")),Q635&amp;R635&amp;IF(LEN(S635)=0,"",Preferences!$C$2&amp;S635)&amp;IF(J636=J635,IF(LEN(R635&amp;S635)=0,"","
")&amp;T636,""))</f>
        <v xml:space="preserve">	• From their wish-list</v>
      </c>
      <c r="U635" s="122" t="str">
        <v/>
      </c>
      <c r="V635" s="42"/>
      <c r="W635" s="42"/>
      <c r="X635" s="42"/>
      <c r="Y635" s="42"/>
      <c r="Z635" s="42"/>
      <c r="AA635" s="42"/>
      <c r="AB635" s="42"/>
    </row>
    <row r="636" spans="1:28" x14ac:dyDescent="0.25">
      <c r="A636" s="42" t="str">
        <v>1.11.6</v>
      </c>
      <c r="B636" s="121" t="str">
        <v>11.6 Add a product to the favourites or wish-list</v>
      </c>
      <c r="C636" s="41">
        <v>3</v>
      </c>
      <c r="D636" s="41" t="str">
        <v>R</v>
      </c>
      <c r="E636" s="117" t="str">
        <f t="shared" si="0"/>
        <v>R</v>
      </c>
      <c r="F636" s="41" t="str">
        <v/>
      </c>
      <c r="G636" s="41" t="str">
        <v/>
      </c>
      <c r="H636" s="117">
        <f t="shared" si="1"/>
        <v>0</v>
      </c>
      <c r="I636" s="117">
        <f t="shared" si="2"/>
        <v>11</v>
      </c>
      <c r="J636" s="117">
        <f t="shared" si="3"/>
        <v>11.059999999999999</v>
      </c>
      <c r="K636" s="117" t="str">
        <f t="shared" si="4"/>
        <v>BR</v>
      </c>
      <c r="L636" s="42" t="str">
        <v>BR1106</v>
      </c>
      <c r="M636" s="121" t="str">
        <v/>
      </c>
      <c r="N636" s="121" t="str">
        <v/>
      </c>
      <c r="O636" s="121" t="str">
        <v>BR1106</v>
      </c>
      <c r="P636" s="121" t="str">
        <v>Add a product to the favourites or wish-list</v>
      </c>
      <c r="Q636" s="121" t="str">
        <v/>
      </c>
      <c r="R636" s="121" t="str">
        <v/>
      </c>
      <c r="S636" s="121" t="str">
        <v/>
      </c>
      <c r="T636" s="119" t="str">
        <f>IF($C636&lt;4,IF($C636=3,T637,IF($C636=2,T$1,"")),Q636&amp;R636&amp;IF(LEN(S636)=0,"",Preferences!$C$2&amp;S636)&amp;IF(J637=J636,IF(LEN(R636&amp;S636)=0,"","
")&amp;T637,""))</f>
        <v xml:space="preserve"> 1. A user may add/remove a product to their favourites:
	• From the search results
	• When viewing a product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36" s="122" t="str">
        <v/>
      </c>
      <c r="V636" s="42"/>
      <c r="W636" s="42"/>
      <c r="X636" s="42"/>
      <c r="Y636" s="42"/>
      <c r="Z636" s="42"/>
      <c r="AA636" s="42"/>
      <c r="AB636" s="42"/>
    </row>
    <row r="637" spans="1:28" x14ac:dyDescent="0.25">
      <c r="A637" s="42" t="str">
        <v>1.11.6.1</v>
      </c>
      <c r="B637" s="121" t="str">
        <v>A user may add/remove a product to their favourites:</v>
      </c>
      <c r="C637" s="41">
        <v>4</v>
      </c>
      <c r="D637" s="41" t="str">
        <v>RD</v>
      </c>
      <c r="E637" s="117" t="str">
        <f t="shared" si="0"/>
        <v>RD</v>
      </c>
      <c r="F637" s="41" t="str">
        <v/>
      </c>
      <c r="G637" s="41" t="str">
        <v/>
      </c>
      <c r="H637" s="117">
        <f t="shared" si="1"/>
        <v>0</v>
      </c>
      <c r="I637" s="117">
        <f t="shared" si="2"/>
        <v>11</v>
      </c>
      <c r="J637" s="117">
        <f t="shared" si="3"/>
        <v>11.059999999999999</v>
      </c>
      <c r="K637" s="117" t="str">
        <f t="shared" si="4"/>
        <v>BR</v>
      </c>
      <c r="L637" s="42" t="str">
        <v>BR1106</v>
      </c>
      <c r="M637" s="121" t="str">
        <v/>
      </c>
      <c r="N637" s="121" t="str">
        <v/>
      </c>
      <c r="O637" s="121" t="str">
        <v/>
      </c>
      <c r="P637" s="121" t="str">
        <v/>
      </c>
      <c r="Q637" s="121" t="str">
        <v xml:space="preserve"> 1. </v>
      </c>
      <c r="R637" s="121" t="str">
        <v>A user may add/remove a product to their favourites:</v>
      </c>
      <c r="S637" s="121" t="str">
        <v/>
      </c>
      <c r="T637" s="119" t="str">
        <f>IF($C637&lt;4,IF($C637=3,T638,IF($C637=2,T$1,"")),Q637&amp;R637&amp;IF(LEN(S637)=0,"",Preferences!$C$2&amp;S637)&amp;IF(J638=J637,IF(LEN(R637&amp;S637)=0,"","
")&amp;T638,""))</f>
        <v xml:space="preserve"> 1. A user may add/remove a product to their favourites:
	• From the search results
	• When viewing a product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37" s="122" t="str">
        <v/>
      </c>
      <c r="V637" s="42"/>
      <c r="W637" s="42"/>
      <c r="X637" s="42"/>
      <c r="Y637" s="42"/>
      <c r="Z637" s="42"/>
      <c r="AA637" s="42"/>
      <c r="AB637" s="42"/>
    </row>
    <row r="638" spans="1:28" x14ac:dyDescent="0.25">
      <c r="A638" s="42" t="str">
        <v>1.11.6.1.1</v>
      </c>
      <c r="B638" s="121" t="str">
        <v>From the search results</v>
      </c>
      <c r="C638" s="41">
        <v>5</v>
      </c>
      <c r="D638" s="41" t="str">
        <v>RL</v>
      </c>
      <c r="E638" s="117" t="str">
        <f t="shared" si="0"/>
        <v>RL</v>
      </c>
      <c r="F638" s="41" t="str">
        <v/>
      </c>
      <c r="G638" s="41" t="str">
        <v/>
      </c>
      <c r="H638" s="117">
        <f t="shared" si="1"/>
        <v>0</v>
      </c>
      <c r="I638" s="117">
        <f t="shared" si="2"/>
        <v>11</v>
      </c>
      <c r="J638" s="117">
        <f t="shared" si="3"/>
        <v>11.059999999999999</v>
      </c>
      <c r="K638" s="117" t="str">
        <f t="shared" si="4"/>
        <v>BR</v>
      </c>
      <c r="L638" s="42" t="str">
        <v>BR1106</v>
      </c>
      <c r="M638" s="121" t="str">
        <v/>
      </c>
      <c r="N638" s="121" t="str">
        <v/>
      </c>
      <c r="O638" s="121" t="str">
        <v/>
      </c>
      <c r="P638" s="121" t="str">
        <v/>
      </c>
      <c r="Q638" s="121" t="str">
        <v/>
      </c>
      <c r="R638" s="121" t="str">
        <v/>
      </c>
      <c r="S638" s="121" t="str">
        <v>From the search results</v>
      </c>
      <c r="T638" s="119" t="str">
        <f>IF($C638&lt;4,IF($C638=3,T639,IF($C638=2,T$1,"")),Q638&amp;R638&amp;IF(LEN(S638)=0,"",Preferences!$C$2&amp;S638)&amp;IF(J639=J638,IF(LEN(R638&amp;S638)=0,"","
")&amp;T639,""))</f>
        <v xml:space="preserve">	• From the search results
	• When viewing a product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38" s="122" t="str">
        <v/>
      </c>
      <c r="V638" s="42"/>
      <c r="W638" s="42"/>
      <c r="X638" s="42"/>
      <c r="Y638" s="42"/>
      <c r="Z638" s="42"/>
      <c r="AA638" s="42"/>
      <c r="AB638" s="42"/>
    </row>
    <row r="639" spans="1:28" x14ac:dyDescent="0.25">
      <c r="A639" s="42" t="str">
        <v>1.11.6.1.2</v>
      </c>
      <c r="B639" s="121" t="str">
        <v>When viewing a product</v>
      </c>
      <c r="C639" s="41">
        <v>5</v>
      </c>
      <c r="D639" s="41" t="str">
        <v>RL</v>
      </c>
      <c r="E639" s="117" t="str">
        <f t="shared" si="0"/>
        <v>RL</v>
      </c>
      <c r="F639" s="41" t="str">
        <v/>
      </c>
      <c r="G639" s="41" t="str">
        <v/>
      </c>
      <c r="H639" s="117">
        <f t="shared" si="1"/>
        <v>0</v>
      </c>
      <c r="I639" s="117">
        <f t="shared" si="2"/>
        <v>11</v>
      </c>
      <c r="J639" s="117">
        <f t="shared" si="3"/>
        <v>11.059999999999999</v>
      </c>
      <c r="K639" s="117" t="str">
        <f t="shared" si="4"/>
        <v>BR</v>
      </c>
      <c r="L639" s="42" t="str">
        <v>BR1106</v>
      </c>
      <c r="M639" s="121" t="str">
        <v/>
      </c>
      <c r="N639" s="121" t="str">
        <v/>
      </c>
      <c r="O639" s="121" t="str">
        <v/>
      </c>
      <c r="P639" s="121" t="str">
        <v/>
      </c>
      <c r="Q639" s="121" t="str">
        <v/>
      </c>
      <c r="R639" s="121" t="str">
        <v/>
      </c>
      <c r="S639" s="121" t="str">
        <v>When viewing a product</v>
      </c>
      <c r="T639" s="119" t="str">
        <f>IF($C639&lt;4,IF($C639=3,T640,IF($C639=2,T$1,"")),Q639&amp;R639&amp;IF(LEN(S639)=0,"",Preferences!$C$2&amp;S639)&amp;IF(J640=J639,IF(LEN(R639&amp;S639)=0,"","
")&amp;T640,""))</f>
        <v xml:space="preserve">	• When viewing a product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39" s="122" t="str">
        <v/>
      </c>
      <c r="V639" s="42"/>
      <c r="W639" s="42"/>
      <c r="X639" s="42"/>
      <c r="Y639" s="42"/>
      <c r="Z639" s="42"/>
      <c r="AA639" s="42"/>
      <c r="AB639" s="42"/>
    </row>
    <row r="640" spans="1:28" x14ac:dyDescent="0.25">
      <c r="A640" s="42" t="str">
        <v>1.11.6.1.3</v>
      </c>
      <c r="B640" s="121" t="str">
        <v>From the similar products list on a product page</v>
      </c>
      <c r="C640" s="41">
        <v>5</v>
      </c>
      <c r="D640" s="41" t="str">
        <v>RL</v>
      </c>
      <c r="E640" s="117" t="str">
        <f t="shared" si="0"/>
        <v>RL</v>
      </c>
      <c r="F640" s="41" t="str">
        <v/>
      </c>
      <c r="G640" s="41" t="str">
        <v/>
      </c>
      <c r="H640" s="117">
        <f t="shared" si="1"/>
        <v>0</v>
      </c>
      <c r="I640" s="117">
        <f t="shared" si="2"/>
        <v>11</v>
      </c>
      <c r="J640" s="117">
        <f t="shared" si="3"/>
        <v>11.059999999999999</v>
      </c>
      <c r="K640" s="117" t="str">
        <f t="shared" si="4"/>
        <v>BR</v>
      </c>
      <c r="L640" s="42" t="str">
        <v>BR1106</v>
      </c>
      <c r="M640" s="121" t="str">
        <v/>
      </c>
      <c r="N640" s="121" t="str">
        <v/>
      </c>
      <c r="O640" s="121" t="str">
        <v/>
      </c>
      <c r="P640" s="121" t="str">
        <v/>
      </c>
      <c r="Q640" s="121" t="str">
        <v/>
      </c>
      <c r="R640" s="121" t="str">
        <v/>
      </c>
      <c r="S640" s="121" t="str">
        <v>From the similar products list on a product page</v>
      </c>
      <c r="T640" s="119" t="str">
        <f>IF($C640&lt;4,IF($C640=3,T641,IF($C640=2,T$1,"")),Q640&amp;R640&amp;IF(LEN(S640)=0,"",Preferences!$C$2&amp;S640)&amp;IF(J641=J640,IF(LEN(R640&amp;S640)=0,"","
")&amp;T641,""))</f>
        <v xml:space="preserve">	• From the similar products list on a product page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40" s="122" t="str">
        <v/>
      </c>
      <c r="V640" s="42"/>
      <c r="W640" s="42"/>
      <c r="X640" s="42"/>
      <c r="Y640" s="42"/>
      <c r="Z640" s="42"/>
      <c r="AA640" s="42"/>
      <c r="AB640" s="42"/>
    </row>
    <row r="641" spans="1:28" x14ac:dyDescent="0.25">
      <c r="A641" s="42" t="str">
        <v>1.11.6.1.4</v>
      </c>
      <c r="B641" s="121" t="str">
        <v>From the also-bought products list on a product page</v>
      </c>
      <c r="C641" s="41">
        <v>5</v>
      </c>
      <c r="D641" s="41" t="str">
        <v>RL</v>
      </c>
      <c r="E641" s="117" t="str">
        <f t="shared" si="0"/>
        <v>RL</v>
      </c>
      <c r="F641" s="41" t="str">
        <v/>
      </c>
      <c r="G641" s="41" t="str">
        <v/>
      </c>
      <c r="H641" s="117">
        <f t="shared" si="1"/>
        <v>0</v>
      </c>
      <c r="I641" s="117">
        <f t="shared" si="2"/>
        <v>11</v>
      </c>
      <c r="J641" s="117">
        <f t="shared" si="3"/>
        <v>11.059999999999999</v>
      </c>
      <c r="K641" s="117" t="str">
        <f t="shared" si="4"/>
        <v>BR</v>
      </c>
      <c r="L641" s="42" t="str">
        <v>BR1106</v>
      </c>
      <c r="M641" s="121" t="str">
        <v/>
      </c>
      <c r="N641" s="121" t="str">
        <v/>
      </c>
      <c r="O641" s="121" t="str">
        <v/>
      </c>
      <c r="P641" s="121" t="str">
        <v/>
      </c>
      <c r="Q641" s="121" t="str">
        <v/>
      </c>
      <c r="R641" s="121" t="str">
        <v/>
      </c>
      <c r="S641" s="121" t="str">
        <v>From the also-bought products list on a product page</v>
      </c>
      <c r="T641" s="119" t="str">
        <f>IF($C641&lt;4,IF($C641=3,T642,IF($C641=2,T$1,"")),Q641&amp;R641&amp;IF(LEN(S641)=0,"",Preferences!$C$2&amp;S641)&amp;IF(J642=J641,IF(LEN(R641&amp;S641)=0,"","
")&amp;T642,""))</f>
        <v xml:space="preserve">	• From the also-bought products list on a product page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41" s="122" t="str">
        <v/>
      </c>
      <c r="V641" s="42"/>
      <c r="W641" s="42"/>
      <c r="X641" s="42"/>
      <c r="Y641" s="42"/>
      <c r="Z641" s="42"/>
      <c r="AA641" s="42"/>
      <c r="AB641" s="42"/>
    </row>
    <row r="642" spans="1:28" x14ac:dyDescent="0.25">
      <c r="A642" s="42" t="str">
        <v>1.11.6.1.5</v>
      </c>
      <c r="B642" s="121" t="str">
        <v>When viewing an advertisement</v>
      </c>
      <c r="C642" s="41">
        <v>5</v>
      </c>
      <c r="D642" s="41" t="str">
        <v>RL</v>
      </c>
      <c r="E642" s="117" t="str">
        <f t="shared" si="0"/>
        <v>RL</v>
      </c>
      <c r="F642" s="41" t="str">
        <v/>
      </c>
      <c r="G642" s="41" t="str">
        <v/>
      </c>
      <c r="H642" s="117">
        <f t="shared" si="1"/>
        <v>0</v>
      </c>
      <c r="I642" s="117">
        <f t="shared" si="2"/>
        <v>11</v>
      </c>
      <c r="J642" s="117">
        <f t="shared" si="3"/>
        <v>11.059999999999999</v>
      </c>
      <c r="K642" s="117" t="str">
        <f t="shared" si="4"/>
        <v>BR</v>
      </c>
      <c r="L642" s="42" t="str">
        <v>BR1106</v>
      </c>
      <c r="M642" s="121" t="str">
        <v/>
      </c>
      <c r="N642" s="121" t="str">
        <v/>
      </c>
      <c r="O642" s="121" t="str">
        <v/>
      </c>
      <c r="P642" s="121" t="str">
        <v/>
      </c>
      <c r="Q642" s="121" t="str">
        <v/>
      </c>
      <c r="R642" s="121" t="str">
        <v/>
      </c>
      <c r="S642" s="121" t="str">
        <v>When viewing an advertisement</v>
      </c>
      <c r="T642" s="119" t="str">
        <f>IF($C642&lt;4,IF($C642=3,T643,IF($C642=2,T$1,"")),Q642&amp;R642&amp;IF(LEN(S642)=0,"",Preferences!$C$2&amp;S642)&amp;IF(J643=J642,IF(LEN(R642&amp;S642)=0,"","
")&amp;T643,""))</f>
        <v xml:space="preserve">	• When viewing an advertisement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42" s="122" t="str">
        <v/>
      </c>
      <c r="V642" s="42"/>
      <c r="W642" s="42"/>
      <c r="X642" s="42"/>
      <c r="Y642" s="42"/>
      <c r="Z642" s="42"/>
      <c r="AA642" s="42"/>
      <c r="AB642" s="42"/>
    </row>
    <row r="643" spans="1:28" x14ac:dyDescent="0.25">
      <c r="A643" s="42" t="str">
        <v>1.11.6.1.6</v>
      </c>
      <c r="B643" s="121" t="str">
        <v>From their wish-list to their favourites list</v>
      </c>
      <c r="C643" s="41">
        <v>5</v>
      </c>
      <c r="D643" s="41" t="str">
        <v>RL</v>
      </c>
      <c r="E643" s="117" t="str">
        <f t="shared" si="0"/>
        <v>RL</v>
      </c>
      <c r="F643" s="41" t="str">
        <v/>
      </c>
      <c r="G643" s="41" t="str">
        <v/>
      </c>
      <c r="H643" s="117">
        <f t="shared" si="1"/>
        <v>0</v>
      </c>
      <c r="I643" s="117">
        <f t="shared" si="2"/>
        <v>11</v>
      </c>
      <c r="J643" s="117">
        <f t="shared" si="3"/>
        <v>11.059999999999999</v>
      </c>
      <c r="K643" s="117" t="str">
        <f t="shared" si="4"/>
        <v>BR</v>
      </c>
      <c r="L643" s="42" t="str">
        <v>BR1106</v>
      </c>
      <c r="M643" s="121" t="str">
        <v/>
      </c>
      <c r="N643" s="121" t="str">
        <v/>
      </c>
      <c r="O643" s="121" t="str">
        <v/>
      </c>
      <c r="P643" s="121" t="str">
        <v/>
      </c>
      <c r="Q643" s="121" t="str">
        <v/>
      </c>
      <c r="R643" s="121" t="str">
        <v/>
      </c>
      <c r="S643" s="121" t="str">
        <v>From their wish-list to their favourites list</v>
      </c>
      <c r="T643" s="119" t="str">
        <f>IF($C643&lt;4,IF($C643=3,T644,IF($C643=2,T$1,"")),Q643&amp;R643&amp;IF(LEN(S643)=0,"",Preferences!$C$2&amp;S643)&amp;IF(J644=J643,IF(LEN(R643&amp;S643)=0,"","
")&amp;T644,""))</f>
        <v xml:space="preserve">	• From their wish-list to their favourites list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43" s="122" t="str">
        <v/>
      </c>
      <c r="V643" s="42"/>
      <c r="W643" s="42"/>
      <c r="X643" s="42"/>
      <c r="Y643" s="42"/>
      <c r="Z643" s="42"/>
      <c r="AA643" s="42"/>
      <c r="AB643" s="42"/>
    </row>
    <row r="644" spans="1:28" x14ac:dyDescent="0.25">
      <c r="A644" s="42" t="str">
        <v>1.11.6.1.7</v>
      </c>
      <c r="B644" s="121" t="str">
        <v>From their wish-list (add/move)</v>
      </c>
      <c r="C644" s="41">
        <v>5</v>
      </c>
      <c r="D644" s="41" t="str">
        <v>RL</v>
      </c>
      <c r="E644" s="117" t="str">
        <f t="shared" si="0"/>
        <v>RL</v>
      </c>
      <c r="F644" s="41" t="str">
        <v/>
      </c>
      <c r="G644" s="41" t="str">
        <v/>
      </c>
      <c r="H644" s="117">
        <f t="shared" si="1"/>
        <v>0</v>
      </c>
      <c r="I644" s="117">
        <f t="shared" si="2"/>
        <v>11</v>
      </c>
      <c r="J644" s="117">
        <f t="shared" si="3"/>
        <v>11.059999999999999</v>
      </c>
      <c r="K644" s="117" t="str">
        <f t="shared" si="4"/>
        <v>BR</v>
      </c>
      <c r="L644" s="42" t="str">
        <v>BR1106</v>
      </c>
      <c r="M644" s="121" t="str">
        <v/>
      </c>
      <c r="N644" s="121" t="str">
        <v/>
      </c>
      <c r="O644" s="121" t="str">
        <v/>
      </c>
      <c r="P644" s="121" t="str">
        <v/>
      </c>
      <c r="Q644" s="121" t="str">
        <v/>
      </c>
      <c r="R644" s="121" t="str">
        <v/>
      </c>
      <c r="S644" s="121" t="str">
        <v>From their wish-list (add/move)</v>
      </c>
      <c r="T644" s="119" t="str">
        <f>IF($C644&lt;4,IF($C644=3,T645,IF($C644=2,T$1,"")),Q644&amp;R644&amp;IF(LEN(S644)=0,"",Preferences!$C$2&amp;S644)&amp;IF(J645=J644,IF(LEN(R644&amp;S644)=0,"","
")&amp;T645,""))</f>
        <v xml:space="preserve">	• From their wish-list (add/move)
 2. A user may add/remove a product to their wish-list:
	• From the search results
	• When viewing a product
	• From the similar products list on a product page
	• From the also-bought products list on a product page
	• When viewing an advertisement
	• From their favourites (add/move)</v>
      </c>
      <c r="U644" s="122" t="str">
        <v/>
      </c>
      <c r="V644" s="42"/>
      <c r="W644" s="42"/>
      <c r="X644" s="42"/>
      <c r="Y644" s="42"/>
      <c r="Z644" s="42"/>
      <c r="AA644" s="42"/>
      <c r="AB644" s="42"/>
    </row>
    <row r="645" spans="1:28" x14ac:dyDescent="0.25">
      <c r="A645" s="42" t="str">
        <v>1.11.6.2</v>
      </c>
      <c r="B645" s="121" t="str">
        <v>A user may add/remove a product to their wish-list:</v>
      </c>
      <c r="C645" s="41">
        <v>4</v>
      </c>
      <c r="D645" s="41" t="str">
        <v>RD</v>
      </c>
      <c r="E645" s="117" t="str">
        <f t="shared" si="0"/>
        <v>RD</v>
      </c>
      <c r="F645" s="41" t="str">
        <v/>
      </c>
      <c r="G645" s="41" t="str">
        <v/>
      </c>
      <c r="H645" s="117">
        <f t="shared" si="1"/>
        <v>0</v>
      </c>
      <c r="I645" s="117">
        <f t="shared" si="2"/>
        <v>11</v>
      </c>
      <c r="J645" s="117">
        <f t="shared" si="3"/>
        <v>11.059999999999999</v>
      </c>
      <c r="K645" s="117" t="str">
        <f t="shared" si="4"/>
        <v>BR</v>
      </c>
      <c r="L645" s="42" t="str">
        <v>BR1106</v>
      </c>
      <c r="M645" s="121" t="str">
        <v/>
      </c>
      <c r="N645" s="121" t="str">
        <v/>
      </c>
      <c r="O645" s="121" t="str">
        <v/>
      </c>
      <c r="P645" s="121" t="str">
        <v/>
      </c>
      <c r="Q645" s="121" t="str">
        <v xml:space="preserve"> 2. </v>
      </c>
      <c r="R645" s="121" t="str">
        <v>A user may add/remove a product to their wish-list:</v>
      </c>
      <c r="S645" s="121" t="str">
        <v/>
      </c>
      <c r="T645" s="119" t="str">
        <f>IF($C645&lt;4,IF($C645=3,T646,IF($C645=2,T$1,"")),Q645&amp;R645&amp;IF(LEN(S645)=0,"",Preferences!$C$2&amp;S645)&amp;IF(J646=J645,IF(LEN(R645&amp;S645)=0,"","
")&amp;T646,""))</f>
        <v xml:space="preserve"> 2. A user may add/remove a product to their wish-list:
	• From the search results
	• When viewing a product
	• From the similar products list on a product page
	• From the also-bought products list on a product page
	• When viewing an advertisement
	• From their favourites (add/move)</v>
      </c>
      <c r="U645" s="122" t="str">
        <v/>
      </c>
      <c r="V645" s="42"/>
      <c r="W645" s="42"/>
      <c r="X645" s="42"/>
      <c r="Y645" s="42"/>
      <c r="Z645" s="42"/>
      <c r="AA645" s="42"/>
      <c r="AB645" s="42"/>
    </row>
    <row r="646" spans="1:28" x14ac:dyDescent="0.25">
      <c r="A646" s="42" t="str">
        <v>1.11.6.2.1</v>
      </c>
      <c r="B646" s="121" t="str">
        <v>From the search results</v>
      </c>
      <c r="C646" s="41">
        <v>5</v>
      </c>
      <c r="D646" s="41" t="str">
        <v>RL</v>
      </c>
      <c r="E646" s="117" t="str">
        <f t="shared" si="0"/>
        <v>RL</v>
      </c>
      <c r="F646" s="41" t="str">
        <v/>
      </c>
      <c r="G646" s="41" t="str">
        <v/>
      </c>
      <c r="H646" s="117">
        <f t="shared" si="1"/>
        <v>0</v>
      </c>
      <c r="I646" s="117">
        <f t="shared" si="2"/>
        <v>11</v>
      </c>
      <c r="J646" s="117">
        <f t="shared" si="3"/>
        <v>11.059999999999999</v>
      </c>
      <c r="K646" s="117" t="str">
        <f t="shared" si="4"/>
        <v>BR</v>
      </c>
      <c r="L646" s="42" t="str">
        <v>BR1106</v>
      </c>
      <c r="M646" s="121" t="str">
        <v/>
      </c>
      <c r="N646" s="121" t="str">
        <v/>
      </c>
      <c r="O646" s="121" t="str">
        <v/>
      </c>
      <c r="P646" s="121" t="str">
        <v/>
      </c>
      <c r="Q646" s="121" t="str">
        <v/>
      </c>
      <c r="R646" s="121" t="str">
        <v/>
      </c>
      <c r="S646" s="121" t="str">
        <v>From the search results</v>
      </c>
      <c r="T646" s="119" t="str">
        <f>IF($C646&lt;4,IF($C646=3,T647,IF($C646=2,T$1,"")),Q646&amp;R646&amp;IF(LEN(S646)=0,"",Preferences!$C$2&amp;S646)&amp;IF(J647=J646,IF(LEN(R646&amp;S646)=0,"","
")&amp;T647,""))</f>
        <v xml:space="preserve">	• From the search results
	• When viewing a product
	• From the similar products list on a product page
	• From the also-bought products list on a product page
	• When viewing an advertisement
	• From their favourites (add/move)</v>
      </c>
      <c r="U646" s="122" t="str">
        <v/>
      </c>
      <c r="V646" s="42"/>
      <c r="W646" s="42"/>
      <c r="X646" s="42"/>
      <c r="Y646" s="42"/>
      <c r="Z646" s="42"/>
      <c r="AA646" s="42"/>
      <c r="AB646" s="42"/>
    </row>
    <row r="647" spans="1:28" x14ac:dyDescent="0.25">
      <c r="A647" s="42" t="str">
        <v>1.11.6.2.2</v>
      </c>
      <c r="B647" s="121" t="str">
        <v>When viewing a product</v>
      </c>
      <c r="C647" s="41">
        <v>5</v>
      </c>
      <c r="D647" s="41" t="str">
        <v>RL</v>
      </c>
      <c r="E647" s="117" t="str">
        <f t="shared" si="0"/>
        <v>RL</v>
      </c>
      <c r="F647" s="41" t="str">
        <v/>
      </c>
      <c r="G647" s="41" t="str">
        <v/>
      </c>
      <c r="H647" s="117">
        <f t="shared" si="1"/>
        <v>0</v>
      </c>
      <c r="I647" s="117">
        <f t="shared" si="2"/>
        <v>11</v>
      </c>
      <c r="J647" s="117">
        <f t="shared" si="3"/>
        <v>11.059999999999999</v>
      </c>
      <c r="K647" s="117" t="str">
        <f t="shared" si="4"/>
        <v>BR</v>
      </c>
      <c r="L647" s="42" t="str">
        <v>BR1106</v>
      </c>
      <c r="M647" s="121" t="str">
        <v/>
      </c>
      <c r="N647" s="121" t="str">
        <v/>
      </c>
      <c r="O647" s="121" t="str">
        <v/>
      </c>
      <c r="P647" s="121" t="str">
        <v/>
      </c>
      <c r="Q647" s="121" t="str">
        <v/>
      </c>
      <c r="R647" s="121" t="str">
        <v/>
      </c>
      <c r="S647" s="121" t="str">
        <v>When viewing a product</v>
      </c>
      <c r="T647" s="119" t="str">
        <f>IF($C647&lt;4,IF($C647=3,T648,IF($C647=2,T$1,"")),Q647&amp;R647&amp;IF(LEN(S647)=0,"",Preferences!$C$2&amp;S647)&amp;IF(J648=J647,IF(LEN(R647&amp;S647)=0,"","
")&amp;T648,""))</f>
        <v xml:space="preserve">	• When viewing a product
	• From the similar products list on a product page
	• From the also-bought products list on a product page
	• When viewing an advertisement
	• From their favourites (add/move)</v>
      </c>
      <c r="U647" s="122" t="str">
        <v/>
      </c>
      <c r="V647" s="42"/>
      <c r="W647" s="42"/>
      <c r="X647" s="42"/>
      <c r="Y647" s="42"/>
      <c r="Z647" s="42"/>
      <c r="AA647" s="42"/>
      <c r="AB647" s="42"/>
    </row>
    <row r="648" spans="1:28" x14ac:dyDescent="0.25">
      <c r="A648" s="42" t="str">
        <v>1.11.6.2.3</v>
      </c>
      <c r="B648" s="121" t="str">
        <v>From the similar products list on a product page</v>
      </c>
      <c r="C648" s="41">
        <v>5</v>
      </c>
      <c r="D648" s="41" t="str">
        <v>RL</v>
      </c>
      <c r="E648" s="117" t="str">
        <f t="shared" si="0"/>
        <v>RL</v>
      </c>
      <c r="F648" s="41" t="str">
        <v/>
      </c>
      <c r="G648" s="41" t="str">
        <v/>
      </c>
      <c r="H648" s="117">
        <f t="shared" si="1"/>
        <v>0</v>
      </c>
      <c r="I648" s="117">
        <f t="shared" si="2"/>
        <v>11</v>
      </c>
      <c r="J648" s="117">
        <f t="shared" si="3"/>
        <v>11.059999999999999</v>
      </c>
      <c r="K648" s="117" t="str">
        <f t="shared" si="4"/>
        <v>BR</v>
      </c>
      <c r="L648" s="42" t="str">
        <v>BR1106</v>
      </c>
      <c r="M648" s="121" t="str">
        <v/>
      </c>
      <c r="N648" s="121" t="str">
        <v/>
      </c>
      <c r="O648" s="121" t="str">
        <v/>
      </c>
      <c r="P648" s="121" t="str">
        <v/>
      </c>
      <c r="Q648" s="121" t="str">
        <v/>
      </c>
      <c r="R648" s="121" t="str">
        <v/>
      </c>
      <c r="S648" s="121" t="str">
        <v>From the similar products list on a product page</v>
      </c>
      <c r="T648" s="119" t="str">
        <f>IF($C648&lt;4,IF($C648=3,T649,IF($C648=2,T$1,"")),Q648&amp;R648&amp;IF(LEN(S648)=0,"",Preferences!$C$2&amp;S648)&amp;IF(J649=J648,IF(LEN(R648&amp;S648)=0,"","
")&amp;T649,""))</f>
        <v xml:space="preserve">	• From the similar products list on a product page
	• From the also-bought products list on a product page
	• When viewing an advertisement
	• From their favourites (add/move)</v>
      </c>
      <c r="U648" s="122" t="str">
        <v/>
      </c>
      <c r="V648" s="42"/>
      <c r="W648" s="42"/>
      <c r="X648" s="42"/>
      <c r="Y648" s="42"/>
      <c r="Z648" s="42"/>
      <c r="AA648" s="42"/>
      <c r="AB648" s="42"/>
    </row>
    <row r="649" spans="1:28" x14ac:dyDescent="0.25">
      <c r="A649" s="42" t="str">
        <v>1.11.6.2.4</v>
      </c>
      <c r="B649" s="121" t="str">
        <v>From the also-bought products list on a product page</v>
      </c>
      <c r="C649" s="41">
        <v>5</v>
      </c>
      <c r="D649" s="41" t="str">
        <v>RL</v>
      </c>
      <c r="E649" s="117" t="str">
        <f t="shared" si="0"/>
        <v>RL</v>
      </c>
      <c r="F649" s="41" t="str">
        <v/>
      </c>
      <c r="G649" s="41" t="str">
        <v/>
      </c>
      <c r="H649" s="117">
        <f t="shared" si="1"/>
        <v>0</v>
      </c>
      <c r="I649" s="117">
        <f t="shared" si="2"/>
        <v>11</v>
      </c>
      <c r="J649" s="117">
        <f t="shared" si="3"/>
        <v>11.059999999999999</v>
      </c>
      <c r="K649" s="117" t="str">
        <f t="shared" si="4"/>
        <v>BR</v>
      </c>
      <c r="L649" s="42" t="str">
        <v>BR1106</v>
      </c>
      <c r="M649" s="121" t="str">
        <v/>
      </c>
      <c r="N649" s="121" t="str">
        <v/>
      </c>
      <c r="O649" s="121" t="str">
        <v/>
      </c>
      <c r="P649" s="121" t="str">
        <v/>
      </c>
      <c r="Q649" s="121" t="str">
        <v/>
      </c>
      <c r="R649" s="121" t="str">
        <v/>
      </c>
      <c r="S649" s="121" t="str">
        <v>From the also-bought products list on a product page</v>
      </c>
      <c r="T649" s="119" t="str">
        <f>IF($C649&lt;4,IF($C649=3,T650,IF($C649=2,T$1,"")),Q649&amp;R649&amp;IF(LEN(S649)=0,"",Preferences!$C$2&amp;S649)&amp;IF(J650=J649,IF(LEN(R649&amp;S649)=0,"","
")&amp;T650,""))</f>
        <v xml:space="preserve">	• From the also-bought products list on a product page
	• When viewing an advertisement
	• From their favourites (add/move)</v>
      </c>
      <c r="U649" s="122" t="str">
        <v/>
      </c>
      <c r="V649" s="42"/>
      <c r="W649" s="42"/>
      <c r="X649" s="42"/>
      <c r="Y649" s="42"/>
      <c r="Z649" s="42"/>
      <c r="AA649" s="42"/>
      <c r="AB649" s="42"/>
    </row>
    <row r="650" spans="1:28" x14ac:dyDescent="0.25">
      <c r="A650" s="42" t="str">
        <v>1.11.6.2.5</v>
      </c>
      <c r="B650" s="121" t="str">
        <v>When viewing an advertisement</v>
      </c>
      <c r="C650" s="41">
        <v>5</v>
      </c>
      <c r="D650" s="41" t="str">
        <v>RL</v>
      </c>
      <c r="E650" s="117" t="str">
        <f t="shared" si="0"/>
        <v>RL</v>
      </c>
      <c r="F650" s="41" t="str">
        <v/>
      </c>
      <c r="G650" s="41" t="str">
        <v/>
      </c>
      <c r="H650" s="117">
        <f t="shared" si="1"/>
        <v>0</v>
      </c>
      <c r="I650" s="117">
        <f t="shared" si="2"/>
        <v>11</v>
      </c>
      <c r="J650" s="117">
        <f t="shared" si="3"/>
        <v>11.059999999999999</v>
      </c>
      <c r="K650" s="117" t="str">
        <f t="shared" si="4"/>
        <v>BR</v>
      </c>
      <c r="L650" s="42" t="str">
        <v>BR1106</v>
      </c>
      <c r="M650" s="121" t="str">
        <v/>
      </c>
      <c r="N650" s="121" t="str">
        <v/>
      </c>
      <c r="O650" s="121" t="str">
        <v/>
      </c>
      <c r="P650" s="121" t="str">
        <v/>
      </c>
      <c r="Q650" s="121" t="str">
        <v/>
      </c>
      <c r="R650" s="121" t="str">
        <v/>
      </c>
      <c r="S650" s="121" t="str">
        <v>When viewing an advertisement</v>
      </c>
      <c r="T650" s="119" t="str">
        <f>IF($C650&lt;4,IF($C650=3,T651,IF($C650=2,T$1,"")),Q650&amp;R650&amp;IF(LEN(S650)=0,"",Preferences!$C$2&amp;S650)&amp;IF(J651=J650,IF(LEN(R650&amp;S650)=0,"","
")&amp;T651,""))</f>
        <v xml:space="preserve">	• When viewing an advertisement
	• From their favourites (add/move)</v>
      </c>
      <c r="U650" s="122" t="str">
        <v/>
      </c>
      <c r="V650" s="42"/>
      <c r="W650" s="42"/>
      <c r="X650" s="42"/>
      <c r="Y650" s="42"/>
      <c r="Z650" s="42"/>
      <c r="AA650" s="42"/>
      <c r="AB650" s="42"/>
    </row>
    <row r="651" spans="1:28" x14ac:dyDescent="0.25">
      <c r="A651" s="42" t="str">
        <v>1.11.6.2.6</v>
      </c>
      <c r="B651" s="121" t="str">
        <v>From their favourites (add/move)</v>
      </c>
      <c r="C651" s="41">
        <v>5</v>
      </c>
      <c r="D651" s="41" t="str">
        <v>RL</v>
      </c>
      <c r="E651" s="117" t="str">
        <f t="shared" si="0"/>
        <v>RL</v>
      </c>
      <c r="F651" s="41" t="str">
        <v/>
      </c>
      <c r="G651" s="41" t="str">
        <v/>
      </c>
      <c r="H651" s="117">
        <f t="shared" si="1"/>
        <v>0</v>
      </c>
      <c r="I651" s="117">
        <f t="shared" si="2"/>
        <v>11</v>
      </c>
      <c r="J651" s="117">
        <f t="shared" si="3"/>
        <v>11.059999999999999</v>
      </c>
      <c r="K651" s="117" t="str">
        <f t="shared" si="4"/>
        <v>BR</v>
      </c>
      <c r="L651" s="42" t="str">
        <v>BR1106</v>
      </c>
      <c r="M651" s="121" t="str">
        <v/>
      </c>
      <c r="N651" s="121" t="str">
        <v/>
      </c>
      <c r="O651" s="121" t="str">
        <v/>
      </c>
      <c r="P651" s="121" t="str">
        <v/>
      </c>
      <c r="Q651" s="121" t="str">
        <v/>
      </c>
      <c r="R651" s="121" t="str">
        <v/>
      </c>
      <c r="S651" s="121" t="str">
        <v>From their favourites (add/move)</v>
      </c>
      <c r="T651" s="119" t="str">
        <f>IF($C651&lt;4,IF($C651=3,T652,IF($C651=2,T$1,"")),Q651&amp;R651&amp;IF(LEN(S651)=0,"",Preferences!$C$2&amp;S651)&amp;IF(J652=J651,IF(LEN(R651&amp;S651)=0,"","
")&amp;T652,""))</f>
        <v xml:space="preserve">	• From their favourites (add/move)</v>
      </c>
      <c r="U651" s="122" t="str">
        <v/>
      </c>
      <c r="V651" s="42"/>
      <c r="W651" s="42"/>
      <c r="X651" s="42"/>
      <c r="Y651" s="42"/>
      <c r="Z651" s="42"/>
      <c r="AA651" s="42"/>
      <c r="AB651" s="42"/>
    </row>
    <row r="652" spans="1:28" x14ac:dyDescent="0.25">
      <c r="A652" s="42" t="str">
        <v>1.11.7</v>
      </c>
      <c r="B652" s="121" t="str">
        <v>11.7 Add article to articles library</v>
      </c>
      <c r="C652" s="41">
        <v>3</v>
      </c>
      <c r="D652" s="41" t="str">
        <v>R</v>
      </c>
      <c r="E652" s="117" t="str">
        <f t="shared" si="0"/>
        <v>R</v>
      </c>
      <c r="F652" s="41" t="str">
        <v/>
      </c>
      <c r="G652" s="41" t="str">
        <v/>
      </c>
      <c r="H652" s="117">
        <f t="shared" si="1"/>
        <v>0</v>
      </c>
      <c r="I652" s="117">
        <f t="shared" si="2"/>
        <v>11</v>
      </c>
      <c r="J652" s="117">
        <f t="shared" si="3"/>
        <v>11.069999999999999</v>
      </c>
      <c r="K652" s="117" t="str">
        <f t="shared" si="4"/>
        <v>BR</v>
      </c>
      <c r="L652" s="42" t="str">
        <v>BR1107</v>
      </c>
      <c r="M652" s="121" t="str">
        <v/>
      </c>
      <c r="N652" s="121" t="str">
        <v/>
      </c>
      <c r="O652" s="121" t="str">
        <v>BR1107</v>
      </c>
      <c r="P652" s="121" t="str">
        <v>Add article to articles library</v>
      </c>
      <c r="Q652" s="121" t="str">
        <v/>
      </c>
      <c r="R652" s="121" t="str">
        <v/>
      </c>
      <c r="S652" s="121" t="str">
        <v/>
      </c>
      <c r="T652" s="119" t="str">
        <f>IF($C652&lt;4,IF($C652=3,T653,IF($C652=2,T$1,"")),Q652&amp;R652&amp;IF(LEN(S652)=0,"",Preferences!$C$2&amp;S652)&amp;IF(J653=J652,IF(LEN(R652&amp;S652)=0,"","
")&amp;T653,""))</f>
        <v xml:space="preserve"> 1. A user may add/remove an article to their articles library:
	• From the search results
	• When viewing a promoted article
	• When viewing a full article</v>
      </c>
      <c r="U652" s="122" t="str">
        <v/>
      </c>
      <c r="V652" s="42"/>
      <c r="W652" s="42"/>
      <c r="X652" s="42"/>
      <c r="Y652" s="42"/>
      <c r="Z652" s="42"/>
      <c r="AA652" s="42"/>
      <c r="AB652" s="42"/>
    </row>
    <row r="653" spans="1:28" x14ac:dyDescent="0.25">
      <c r="A653" s="42" t="str">
        <v>1.11.7.1</v>
      </c>
      <c r="B653" s="121" t="str">
        <v>A user may add/remove an article to their articles library:</v>
      </c>
      <c r="C653" s="41">
        <v>4</v>
      </c>
      <c r="D653" s="41" t="str">
        <v>RD</v>
      </c>
      <c r="E653" s="117" t="str">
        <f t="shared" si="0"/>
        <v>RD</v>
      </c>
      <c r="F653" s="41" t="str">
        <v/>
      </c>
      <c r="G653" s="41" t="str">
        <v/>
      </c>
      <c r="H653" s="117">
        <f t="shared" si="1"/>
        <v>0</v>
      </c>
      <c r="I653" s="117">
        <f t="shared" si="2"/>
        <v>11</v>
      </c>
      <c r="J653" s="117">
        <f t="shared" si="3"/>
        <v>11.069999999999999</v>
      </c>
      <c r="K653" s="117" t="str">
        <f t="shared" si="4"/>
        <v>BR</v>
      </c>
      <c r="L653" s="42" t="str">
        <v>BR1107</v>
      </c>
      <c r="M653" s="121" t="str">
        <v/>
      </c>
      <c r="N653" s="121" t="str">
        <v/>
      </c>
      <c r="O653" s="121" t="str">
        <v/>
      </c>
      <c r="P653" s="121" t="str">
        <v/>
      </c>
      <c r="Q653" s="121" t="str">
        <v xml:space="preserve"> 1. </v>
      </c>
      <c r="R653" s="121" t="str">
        <v>A user may add/remove an article to their articles library:</v>
      </c>
      <c r="S653" s="121" t="str">
        <v/>
      </c>
      <c r="T653" s="119" t="str">
        <f>IF($C653&lt;4,IF($C653=3,T654,IF($C653=2,T$1,"")),Q653&amp;R653&amp;IF(LEN(S653)=0,"",Preferences!$C$2&amp;S653)&amp;IF(J654=J653,IF(LEN(R653&amp;S653)=0,"","
")&amp;T654,""))</f>
        <v xml:space="preserve"> 1. A user may add/remove an article to their articles library:
	• From the search results
	• When viewing a promoted article
	• When viewing a full article</v>
      </c>
      <c r="U653" s="122" t="str">
        <v/>
      </c>
      <c r="V653" s="42"/>
      <c r="W653" s="42"/>
      <c r="X653" s="42"/>
      <c r="Y653" s="42"/>
      <c r="Z653" s="42"/>
      <c r="AA653" s="42"/>
      <c r="AB653" s="42"/>
    </row>
    <row r="654" spans="1:28" x14ac:dyDescent="0.25">
      <c r="A654" s="42" t="str">
        <v>1.11.7.1.1</v>
      </c>
      <c r="B654" s="121" t="str">
        <v>From the search results</v>
      </c>
      <c r="C654" s="41">
        <v>5</v>
      </c>
      <c r="D654" s="41" t="str">
        <v>RL</v>
      </c>
      <c r="E654" s="117" t="str">
        <f t="shared" si="0"/>
        <v>RL</v>
      </c>
      <c r="F654" s="41" t="str">
        <v/>
      </c>
      <c r="G654" s="41" t="str">
        <v/>
      </c>
      <c r="H654" s="117">
        <f t="shared" si="1"/>
        <v>0</v>
      </c>
      <c r="I654" s="117">
        <f t="shared" si="2"/>
        <v>11</v>
      </c>
      <c r="J654" s="117">
        <f t="shared" si="3"/>
        <v>11.069999999999999</v>
      </c>
      <c r="K654" s="117" t="str">
        <f t="shared" si="4"/>
        <v>BR</v>
      </c>
      <c r="L654" s="42" t="str">
        <v>BR1107</v>
      </c>
      <c r="M654" s="121" t="str">
        <v/>
      </c>
      <c r="N654" s="121" t="str">
        <v/>
      </c>
      <c r="O654" s="121" t="str">
        <v/>
      </c>
      <c r="P654" s="121" t="str">
        <v/>
      </c>
      <c r="Q654" s="121" t="str">
        <v/>
      </c>
      <c r="R654" s="121" t="str">
        <v/>
      </c>
      <c r="S654" s="121" t="str">
        <v>From the search results</v>
      </c>
      <c r="T654" s="119" t="str">
        <f>IF($C654&lt;4,IF($C654=3,T655,IF($C654=2,T$1,"")),Q654&amp;R654&amp;IF(LEN(S654)=0,"",Preferences!$C$2&amp;S654)&amp;IF(J655=J654,IF(LEN(R654&amp;S654)=0,"","
")&amp;T655,""))</f>
        <v xml:space="preserve">	• From the search results
	• When viewing a promoted article
	• When viewing a full article</v>
      </c>
      <c r="U654" s="122" t="str">
        <v/>
      </c>
      <c r="V654" s="42"/>
      <c r="W654" s="42"/>
      <c r="X654" s="42"/>
      <c r="Y654" s="42"/>
      <c r="Z654" s="42"/>
      <c r="AA654" s="42"/>
      <c r="AB654" s="42"/>
    </row>
    <row r="655" spans="1:28" x14ac:dyDescent="0.25">
      <c r="A655" s="42" t="str">
        <v>1.11.7.1.2</v>
      </c>
      <c r="B655" s="121" t="str">
        <v>When viewing a promoted article</v>
      </c>
      <c r="C655" s="41">
        <v>5</v>
      </c>
      <c r="D655" s="41" t="str">
        <v>RL</v>
      </c>
      <c r="E655" s="117" t="str">
        <f t="shared" si="0"/>
        <v>RL</v>
      </c>
      <c r="F655" s="41" t="str">
        <v/>
      </c>
      <c r="G655" s="41" t="str">
        <v/>
      </c>
      <c r="H655" s="117">
        <f t="shared" si="1"/>
        <v>0</v>
      </c>
      <c r="I655" s="117">
        <f t="shared" si="2"/>
        <v>11</v>
      </c>
      <c r="J655" s="117">
        <f t="shared" si="3"/>
        <v>11.069999999999999</v>
      </c>
      <c r="K655" s="117" t="str">
        <f t="shared" si="4"/>
        <v>BR</v>
      </c>
      <c r="L655" s="42" t="str">
        <v>BR1107</v>
      </c>
      <c r="M655" s="121" t="str">
        <v/>
      </c>
      <c r="N655" s="121" t="str">
        <v/>
      </c>
      <c r="O655" s="121" t="str">
        <v/>
      </c>
      <c r="P655" s="121" t="str">
        <v/>
      </c>
      <c r="Q655" s="121" t="str">
        <v/>
      </c>
      <c r="R655" s="121" t="str">
        <v/>
      </c>
      <c r="S655" s="121" t="str">
        <v>When viewing a promoted article</v>
      </c>
      <c r="T655" s="119" t="str">
        <f>IF($C655&lt;4,IF($C655=3,T656,IF($C655=2,T$1,"")),Q655&amp;R655&amp;IF(LEN(S655)=0,"",Preferences!$C$2&amp;S655)&amp;IF(J656=J655,IF(LEN(R655&amp;S655)=0,"","
")&amp;T656,""))</f>
        <v xml:space="preserve">	• When viewing a promoted article
	• When viewing a full article</v>
      </c>
      <c r="U655" s="122" t="str">
        <v/>
      </c>
      <c r="V655" s="42"/>
      <c r="W655" s="42"/>
      <c r="X655" s="42"/>
      <c r="Y655" s="42"/>
      <c r="Z655" s="42"/>
      <c r="AA655" s="42"/>
      <c r="AB655" s="42"/>
    </row>
    <row r="656" spans="1:28" x14ac:dyDescent="0.25">
      <c r="A656" s="42" t="str">
        <v>1.11.7.1.3</v>
      </c>
      <c r="B656" s="121" t="str">
        <v>When viewing a full article</v>
      </c>
      <c r="C656" s="41">
        <v>5</v>
      </c>
      <c r="D656" s="41" t="str">
        <v>RL</v>
      </c>
      <c r="E656" s="117" t="str">
        <f t="shared" si="0"/>
        <v>RL</v>
      </c>
      <c r="F656" s="41" t="str">
        <v/>
      </c>
      <c r="G656" s="41" t="str">
        <v/>
      </c>
      <c r="H656" s="117">
        <f t="shared" si="1"/>
        <v>0</v>
      </c>
      <c r="I656" s="117">
        <f t="shared" si="2"/>
        <v>11</v>
      </c>
      <c r="J656" s="117">
        <f t="shared" si="3"/>
        <v>11.069999999999999</v>
      </c>
      <c r="K656" s="117" t="str">
        <f t="shared" si="4"/>
        <v>BR</v>
      </c>
      <c r="L656" s="42" t="str">
        <v>BR1107</v>
      </c>
      <c r="M656" s="121" t="str">
        <v/>
      </c>
      <c r="N656" s="121" t="str">
        <v/>
      </c>
      <c r="O656" s="121" t="str">
        <v/>
      </c>
      <c r="P656" s="121" t="str">
        <v/>
      </c>
      <c r="Q656" s="121" t="str">
        <v/>
      </c>
      <c r="R656" s="121" t="str">
        <v/>
      </c>
      <c r="S656" s="121" t="str">
        <v>When viewing a full article</v>
      </c>
      <c r="T656" s="119" t="str">
        <f>IF($C656&lt;4,IF($C656=3,T657,IF($C656=2,T$1,"")),Q656&amp;R656&amp;IF(LEN(S656)=0,"",Preferences!$C$2&amp;S656)&amp;IF(J657=J656,IF(LEN(R656&amp;S656)=0,"","
")&amp;T657,""))</f>
        <v xml:space="preserve">	• When viewing a full article</v>
      </c>
      <c r="U656" s="122" t="str">
        <v/>
      </c>
      <c r="V656" s="42"/>
      <c r="W656" s="42"/>
      <c r="X656" s="42"/>
      <c r="Y656" s="42"/>
      <c r="Z656" s="42"/>
      <c r="AA656" s="42"/>
      <c r="AB656" s="42"/>
    </row>
    <row r="657" spans="1:28" x14ac:dyDescent="0.25">
      <c r="A657" s="42" t="str">
        <v>1.12</v>
      </c>
      <c r="B657" s="121" t="str">
        <v>12 Back-office User Registration</v>
      </c>
      <c r="C657" s="41">
        <v>2</v>
      </c>
      <c r="D657" s="41" t="str">
        <v>RS</v>
      </c>
      <c r="E657" s="117" t="str">
        <f t="shared" si="0"/>
        <v>RS</v>
      </c>
      <c r="F657" s="41" t="str">
        <v/>
      </c>
      <c r="G657" s="41" t="str">
        <v/>
      </c>
      <c r="H657" s="117">
        <f t="shared" si="1"/>
        <v>0</v>
      </c>
      <c r="I657" s="117">
        <f t="shared" si="2"/>
        <v>12</v>
      </c>
      <c r="J657" s="117">
        <f t="shared" si="3"/>
        <v>12</v>
      </c>
      <c r="K657" s="117" t="str">
        <f t="shared" si="4"/>
        <v>BR</v>
      </c>
      <c r="L657" s="42">
        <v>12</v>
      </c>
      <c r="M657" s="121" t="str">
        <v/>
      </c>
      <c r="N657" s="121" t="str">
        <v>12 Back-office User Registration</v>
      </c>
      <c r="O657" s="121" t="str">
        <v>ReqID</v>
      </c>
      <c r="P657" s="121" t="e">
        <v>#N/A</v>
      </c>
      <c r="Q657" s="121" t="str">
        <v/>
      </c>
      <c r="R657" s="121" t="str">
        <v/>
      </c>
      <c r="S657" s="121" t="str">
        <v/>
      </c>
      <c r="T657" s="119" t="str">
        <f>IF($C657&lt;4,IF($C657=3,T658,IF($C657=2,T$1,"")),Q657&amp;R657&amp;IF(LEN(S657)=0,"",Preferences!$C$2&amp;S657)&amp;IF(J658=J657,IF(LEN(R657&amp;S657)=0,"","
")&amp;T658,""))</f>
        <v>Description</v>
      </c>
      <c r="U657" s="122" t="str">
        <v/>
      </c>
      <c r="V657" s="42"/>
      <c r="W657" s="42"/>
      <c r="X657" s="42"/>
      <c r="Y657" s="42"/>
      <c r="Z657" s="42"/>
      <c r="AA657" s="42"/>
      <c r="AB657" s="42"/>
    </row>
    <row r="658" spans="1:28" x14ac:dyDescent="0.25">
      <c r="A658" s="42" t="str">
        <v>1.12.1</v>
      </c>
      <c r="B658" s="121" t="str">
        <v>12.1 Register back-office users</v>
      </c>
      <c r="C658" s="41">
        <v>3</v>
      </c>
      <c r="D658" s="41" t="str">
        <v>R</v>
      </c>
      <c r="E658" s="117" t="str">
        <f t="shared" si="0"/>
        <v>R</v>
      </c>
      <c r="F658" s="41" t="str">
        <v/>
      </c>
      <c r="G658" s="41" t="str">
        <v/>
      </c>
      <c r="H658" s="117">
        <f t="shared" si="1"/>
        <v>0</v>
      </c>
      <c r="I658" s="117">
        <f t="shared" si="2"/>
        <v>12</v>
      </c>
      <c r="J658" s="117">
        <f t="shared" si="3"/>
        <v>12.01</v>
      </c>
      <c r="K658" s="117" t="str">
        <f t="shared" si="4"/>
        <v>BR</v>
      </c>
      <c r="L658" s="42" t="str">
        <v>BR1201</v>
      </c>
      <c r="M658" s="121" t="str">
        <v/>
      </c>
      <c r="N658" s="121" t="str">
        <v/>
      </c>
      <c r="O658" s="121" t="str">
        <v>BR1201</v>
      </c>
      <c r="P658" s="121" t="str">
        <v>Register back-office users</v>
      </c>
      <c r="Q658" s="121" t="str">
        <v/>
      </c>
      <c r="R658" s="121" t="str">
        <v/>
      </c>
      <c r="S658" s="121" t="str">
        <v/>
      </c>
      <c r="T658" s="119" t="str">
        <f>IF($C658&lt;4,IF($C658=3,T659,IF($C658=2,T$1,"")),Q658&amp;R658&amp;IF(LEN(S658)=0,"",Preferences!$C$2&amp;S658)&amp;IF(J659=J658,IF(LEN(R658&amp;S658)=0,"","
")&amp;T659,""))</f>
        <v xml:space="preserve"> 1. Manually register the following B2C users, based on managerial approval:
	• Business
	• Customer service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58" s="122" t="str">
        <v/>
      </c>
      <c r="V658" s="42"/>
      <c r="W658" s="42"/>
      <c r="X658" s="42"/>
      <c r="Y658" s="42"/>
      <c r="Z658" s="42"/>
      <c r="AA658" s="42"/>
      <c r="AB658" s="42"/>
    </row>
    <row r="659" spans="1:28" x14ac:dyDescent="0.25">
      <c r="A659" s="42" t="str">
        <v>1.12.1.1</v>
      </c>
      <c r="B659" s="121" t="str">
        <v>Manually register the following B2C users, based on managerial approval:</v>
      </c>
      <c r="C659" s="41">
        <v>4</v>
      </c>
      <c r="D659" s="41" t="str">
        <v>RD</v>
      </c>
      <c r="E659" s="117" t="str">
        <f t="shared" si="0"/>
        <v>RD</v>
      </c>
      <c r="F659" s="41" t="str">
        <v/>
      </c>
      <c r="G659" s="41" t="str">
        <v/>
      </c>
      <c r="H659" s="117">
        <f t="shared" si="1"/>
        <v>0</v>
      </c>
      <c r="I659" s="117">
        <f t="shared" si="2"/>
        <v>12</v>
      </c>
      <c r="J659" s="117">
        <f t="shared" si="3"/>
        <v>12.01</v>
      </c>
      <c r="K659" s="117" t="str">
        <f t="shared" si="4"/>
        <v>BR</v>
      </c>
      <c r="L659" s="42" t="str">
        <v>BR1201</v>
      </c>
      <c r="M659" s="121" t="str">
        <v/>
      </c>
      <c r="N659" s="121" t="str">
        <v/>
      </c>
      <c r="O659" s="121" t="str">
        <v/>
      </c>
      <c r="P659" s="121" t="str">
        <v/>
      </c>
      <c r="Q659" s="121" t="str">
        <v xml:space="preserve"> 1. </v>
      </c>
      <c r="R659" s="121" t="str">
        <v>Manually register the following B2C users, based on managerial approval:</v>
      </c>
      <c r="S659" s="121" t="str">
        <v/>
      </c>
      <c r="T659" s="119" t="str">
        <f>IF($C659&lt;4,IF($C659=3,T660,IF($C659=2,T$1,"")),Q659&amp;R659&amp;IF(LEN(S659)=0,"",Preferences!$C$2&amp;S659)&amp;IF(J660=J659,IF(LEN(R659&amp;S659)=0,"","
")&amp;T660,""))</f>
        <v xml:space="preserve"> 1. Manually register the following B2C users, based on managerial approval:
	• Business
	• Customer service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59" s="122" t="str">
        <v/>
      </c>
      <c r="V659" s="42"/>
      <c r="W659" s="42"/>
      <c r="X659" s="42"/>
      <c r="Y659" s="42"/>
      <c r="Z659" s="42"/>
      <c r="AA659" s="42"/>
      <c r="AB659" s="42"/>
    </row>
    <row r="660" spans="1:28" x14ac:dyDescent="0.25">
      <c r="A660" s="42" t="str">
        <v>1.12.1.1.1</v>
      </c>
      <c r="B660" s="121" t="str">
        <v>Business</v>
      </c>
      <c r="C660" s="41">
        <v>5</v>
      </c>
      <c r="D660" s="41" t="str">
        <v>RL</v>
      </c>
      <c r="E660" s="117" t="str">
        <f t="shared" si="0"/>
        <v>RL</v>
      </c>
      <c r="F660" s="41" t="str">
        <v/>
      </c>
      <c r="G660" s="41" t="str">
        <v/>
      </c>
      <c r="H660" s="117">
        <f t="shared" si="1"/>
        <v>0</v>
      </c>
      <c r="I660" s="117">
        <f t="shared" si="2"/>
        <v>12</v>
      </c>
      <c r="J660" s="117">
        <f t="shared" si="3"/>
        <v>12.01</v>
      </c>
      <c r="K660" s="117" t="str">
        <f t="shared" si="4"/>
        <v>BR</v>
      </c>
      <c r="L660" s="42" t="str">
        <v>BR1201</v>
      </c>
      <c r="M660" s="121" t="str">
        <v/>
      </c>
      <c r="N660" s="121" t="str">
        <v/>
      </c>
      <c r="O660" s="121" t="str">
        <v/>
      </c>
      <c r="P660" s="121" t="str">
        <v/>
      </c>
      <c r="Q660" s="121" t="str">
        <v/>
      </c>
      <c r="R660" s="121" t="str">
        <v/>
      </c>
      <c r="S660" s="121" t="str">
        <v>Business</v>
      </c>
      <c r="T660" s="119" t="str">
        <f>IF($C660&lt;4,IF($C660=3,T661,IF($C660=2,T$1,"")),Q660&amp;R660&amp;IF(LEN(S660)=0,"",Preferences!$C$2&amp;S660)&amp;IF(J661=J660,IF(LEN(R660&amp;S660)=0,"","
")&amp;T661,""))</f>
        <v xml:space="preserve">	• Business
	• Customer service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60" s="122" t="str">
        <v/>
      </c>
      <c r="V660" s="42"/>
      <c r="W660" s="42"/>
      <c r="X660" s="42"/>
      <c r="Y660" s="42"/>
      <c r="Z660" s="42"/>
      <c r="AA660" s="42"/>
      <c r="AB660" s="42"/>
    </row>
    <row r="661" spans="1:28" x14ac:dyDescent="0.25">
      <c r="A661" s="42" t="str">
        <v>1.12.1.1.2</v>
      </c>
      <c r="B661" s="121" t="str">
        <v>Customer service</v>
      </c>
      <c r="C661" s="41">
        <v>5</v>
      </c>
      <c r="D661" s="41" t="str">
        <v>RL</v>
      </c>
      <c r="E661" s="117" t="str">
        <f t="shared" si="0"/>
        <v>RL</v>
      </c>
      <c r="F661" s="41" t="str">
        <v/>
      </c>
      <c r="G661" s="41" t="str">
        <v/>
      </c>
      <c r="H661" s="117">
        <f t="shared" si="1"/>
        <v>0</v>
      </c>
      <c r="I661" s="117">
        <f t="shared" si="2"/>
        <v>12</v>
      </c>
      <c r="J661" s="117">
        <f t="shared" si="3"/>
        <v>12.01</v>
      </c>
      <c r="K661" s="117" t="str">
        <f t="shared" si="4"/>
        <v>BR</v>
      </c>
      <c r="L661" s="42" t="str">
        <v>BR1201</v>
      </c>
      <c r="M661" s="121" t="str">
        <v/>
      </c>
      <c r="N661" s="121" t="str">
        <v/>
      </c>
      <c r="O661" s="121" t="str">
        <v/>
      </c>
      <c r="P661" s="121" t="str">
        <v/>
      </c>
      <c r="Q661" s="121" t="str">
        <v/>
      </c>
      <c r="R661" s="121" t="str">
        <v/>
      </c>
      <c r="S661" s="121" t="str">
        <v>Customer service</v>
      </c>
      <c r="T661" s="119" t="str">
        <f>IF($C661&lt;4,IF($C661=3,T662,IF($C661=2,T$1,"")),Q661&amp;R661&amp;IF(LEN(S661)=0,"",Preferences!$C$2&amp;S661)&amp;IF(J662=J661,IF(LEN(R661&amp;S661)=0,"","
")&amp;T662,""))</f>
        <v xml:space="preserve">	• Customer service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61" s="122" t="str">
        <v/>
      </c>
      <c r="V661" s="42"/>
      <c r="W661" s="42"/>
      <c r="X661" s="42"/>
      <c r="Y661" s="42"/>
      <c r="Z661" s="42"/>
      <c r="AA661" s="42"/>
      <c r="AB661" s="42"/>
    </row>
    <row r="662" spans="1:28" x14ac:dyDescent="0.25">
      <c r="A662" s="42" t="str">
        <v>1.12.1.1.3</v>
      </c>
      <c r="B662" s="121" t="str">
        <v>IT Support</v>
      </c>
      <c r="C662" s="41">
        <v>5</v>
      </c>
      <c r="D662" s="41" t="str">
        <v>RL</v>
      </c>
      <c r="E662" s="117" t="str">
        <f t="shared" si="0"/>
        <v>RL</v>
      </c>
      <c r="F662" s="41" t="str">
        <v/>
      </c>
      <c r="G662" s="41" t="str">
        <v/>
      </c>
      <c r="H662" s="117">
        <f t="shared" si="1"/>
        <v>0</v>
      </c>
      <c r="I662" s="117">
        <f t="shared" si="2"/>
        <v>12</v>
      </c>
      <c r="J662" s="117">
        <f t="shared" si="3"/>
        <v>12.01</v>
      </c>
      <c r="K662" s="117" t="str">
        <f t="shared" si="4"/>
        <v>BR</v>
      </c>
      <c r="L662" s="42" t="str">
        <v>BR1201</v>
      </c>
      <c r="M662" s="121" t="str">
        <v/>
      </c>
      <c r="N662" s="121" t="str">
        <v/>
      </c>
      <c r="O662" s="121" t="str">
        <v/>
      </c>
      <c r="P662" s="121" t="str">
        <v/>
      </c>
      <c r="Q662" s="121" t="str">
        <v/>
      </c>
      <c r="R662" s="121" t="str">
        <v/>
      </c>
      <c r="S662" s="121" t="str">
        <v>IT Support</v>
      </c>
      <c r="T662" s="119" t="str">
        <f>IF($C662&lt;4,IF($C662=3,T663,IF($C662=2,T$1,"")),Q662&amp;R662&amp;IF(LEN(S662)=0,"",Preferences!$C$2&amp;S662)&amp;IF(J663=J662,IF(LEN(R662&amp;S662)=0,"","
")&amp;T663,""))</f>
        <v xml:space="preserve">	• IT Support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62" s="122" t="str">
        <v/>
      </c>
      <c r="V662" s="42"/>
      <c r="W662" s="42"/>
      <c r="X662" s="42"/>
      <c r="Y662" s="42"/>
      <c r="Z662" s="42"/>
      <c r="AA662" s="42"/>
      <c r="AB662" s="42"/>
    </row>
    <row r="663" spans="1:28" x14ac:dyDescent="0.25">
      <c r="A663" s="42" t="str">
        <v>1.12.1.2</v>
      </c>
      <c r="B663" s="121" t="str">
        <v>Manually register the following non-B2C users, based on managerial approval:</v>
      </c>
      <c r="C663" s="41">
        <v>4</v>
      </c>
      <c r="D663" s="41" t="str">
        <v>RD</v>
      </c>
      <c r="E663" s="117" t="str">
        <f t="shared" si="0"/>
        <v>RD</v>
      </c>
      <c r="F663" s="41" t="str">
        <v/>
      </c>
      <c r="G663" s="41" t="str">
        <v/>
      </c>
      <c r="H663" s="117">
        <f t="shared" si="1"/>
        <v>0</v>
      </c>
      <c r="I663" s="117">
        <f t="shared" si="2"/>
        <v>12</v>
      </c>
      <c r="J663" s="117">
        <f t="shared" si="3"/>
        <v>12.01</v>
      </c>
      <c r="K663" s="117" t="str">
        <f t="shared" si="4"/>
        <v>BR</v>
      </c>
      <c r="L663" s="42" t="str">
        <v>BR1201</v>
      </c>
      <c r="M663" s="121" t="str">
        <v/>
      </c>
      <c r="N663" s="121" t="str">
        <v/>
      </c>
      <c r="O663" s="121" t="str">
        <v/>
      </c>
      <c r="P663" s="121" t="str">
        <v/>
      </c>
      <c r="Q663" s="121" t="str">
        <v xml:space="preserve"> 2. </v>
      </c>
      <c r="R663" s="121" t="str">
        <v>Manually register the following non-B2C users, based on managerial approval:</v>
      </c>
      <c r="S663" s="121" t="str">
        <v/>
      </c>
      <c r="T663" s="119" t="str">
        <f>IF($C663&lt;4,IF($C663=3,T664,IF($C663=2,T$1,"")),Q663&amp;R663&amp;IF(LEN(S663)=0,"",Preferences!$C$2&amp;S663)&amp;IF(J664=J663,IF(LEN(R663&amp;S663)=0,"","
")&amp;T664,""))</f>
        <v xml:space="preserve"> 2. Manually register the following non-B2C users, based on managerial approval:
	• Supplier Order Fulfilment (for customer statement and waybill printing - see Supplier Orders Fulfilment section)
 3. Also see the Authenticate online user requirements in the Users section.
 4. Business Rule: The same email address may not be used for more than one active user.</v>
      </c>
      <c r="U663" s="122" t="str">
        <v/>
      </c>
      <c r="V663" s="42"/>
      <c r="W663" s="42"/>
      <c r="X663" s="42"/>
      <c r="Y663" s="42"/>
      <c r="Z663" s="42"/>
      <c r="AA663" s="42"/>
      <c r="AB663" s="42"/>
    </row>
    <row r="664" spans="1:28" x14ac:dyDescent="0.25">
      <c r="A664" s="42" t="str">
        <v>1.12.1.2.1</v>
      </c>
      <c r="B664" s="121" t="str">
        <v>Supplier Order Fulfilment (for customer statement and waybill printing - see Supplier Orders Fulfilment section)</v>
      </c>
      <c r="C664" s="41">
        <v>5</v>
      </c>
      <c r="D664" s="41" t="str">
        <v>RL</v>
      </c>
      <c r="E664" s="117" t="str">
        <f t="shared" si="0"/>
        <v>RL</v>
      </c>
      <c r="F664" s="41" t="str">
        <v/>
      </c>
      <c r="G664" s="41" t="str">
        <v/>
      </c>
      <c r="H664" s="117">
        <f t="shared" si="1"/>
        <v>0</v>
      </c>
      <c r="I664" s="117">
        <f t="shared" si="2"/>
        <v>12</v>
      </c>
      <c r="J664" s="117">
        <f t="shared" si="3"/>
        <v>12.01</v>
      </c>
      <c r="K664" s="117" t="str">
        <f t="shared" si="4"/>
        <v>BR</v>
      </c>
      <c r="L664" s="42" t="str">
        <v>BR1201</v>
      </c>
      <c r="M664" s="121" t="str">
        <v/>
      </c>
      <c r="N664" s="121" t="str">
        <v/>
      </c>
      <c r="O664" s="121" t="str">
        <v/>
      </c>
      <c r="P664" s="121" t="str">
        <v/>
      </c>
      <c r="Q664" s="121" t="str">
        <v/>
      </c>
      <c r="R664" s="121" t="str">
        <v/>
      </c>
      <c r="S664" s="121" t="str">
        <v>Supplier Order Fulfilment (for customer statement and waybill printing - see Supplier Orders Fulfilment section)</v>
      </c>
      <c r="T664" s="119" t="str">
        <f>IF($C664&lt;4,IF($C664=3,T665,IF($C664=2,T$1,"")),Q664&amp;R664&amp;IF(LEN(S664)=0,"",Preferences!$C$2&amp;S664)&amp;IF(J665=J664,IF(LEN(R664&amp;S664)=0,"","
")&amp;T665,""))</f>
        <v xml:space="preserve">	• Supplier Order Fulfilment (for customer statement and waybill printing - see Supplier Orders Fulfilment section)
 3. Also see the Authenticate online user requirements in the Users section.
 4. Business Rule: The same email address may not be used for more than one active user.</v>
      </c>
      <c r="U664" s="122" t="str">
        <v/>
      </c>
      <c r="V664" s="42"/>
      <c r="W664" s="42"/>
      <c r="X664" s="42"/>
      <c r="Y664" s="42"/>
      <c r="Z664" s="42"/>
      <c r="AA664" s="42"/>
      <c r="AB664" s="42"/>
    </row>
    <row r="665" spans="1:28" x14ac:dyDescent="0.25">
      <c r="A665" s="42" t="str">
        <v>1.12.1.3</v>
      </c>
      <c r="B665" s="121" t="str">
        <v>Also see the Authenticate online user requirements in the Users section.</v>
      </c>
      <c r="C665" s="41">
        <v>4</v>
      </c>
      <c r="D665" s="41" t="str">
        <v>RD</v>
      </c>
      <c r="E665" s="117" t="str">
        <f t="shared" si="0"/>
        <v>RD</v>
      </c>
      <c r="F665" s="41" t="str">
        <v/>
      </c>
      <c r="G665" s="41" t="str">
        <v/>
      </c>
      <c r="H665" s="117">
        <f t="shared" si="1"/>
        <v>0</v>
      </c>
      <c r="I665" s="117">
        <f t="shared" si="2"/>
        <v>12</v>
      </c>
      <c r="J665" s="117">
        <f t="shared" si="3"/>
        <v>12.01</v>
      </c>
      <c r="K665" s="117" t="str">
        <f t="shared" si="4"/>
        <v>BR</v>
      </c>
      <c r="L665" s="42" t="str">
        <v>BR1201</v>
      </c>
      <c r="M665" s="121" t="str">
        <v/>
      </c>
      <c r="N665" s="121" t="str">
        <v/>
      </c>
      <c r="O665" s="121" t="str">
        <v/>
      </c>
      <c r="P665" s="121" t="str">
        <v/>
      </c>
      <c r="Q665" s="121" t="str">
        <v xml:space="preserve"> 3. </v>
      </c>
      <c r="R665" s="121" t="str">
        <v>Also see the Authenticate online user requirements in the Users section.</v>
      </c>
      <c r="S665" s="121" t="str">
        <v/>
      </c>
      <c r="T665" s="119" t="str">
        <f>IF($C665&lt;4,IF($C665=3,T666,IF($C665=2,T$1,"")),Q665&amp;R665&amp;IF(LEN(S665)=0,"",Preferences!$C$2&amp;S665)&amp;IF(J666=J665,IF(LEN(R665&amp;S665)=0,"","
")&amp;T666,""))</f>
        <v xml:space="preserve"> 3. Also see the Authenticate online user requirements in the Users section.
 4. Business Rule: The same email address may not be used for more than one active user.</v>
      </c>
      <c r="U665" s="122" t="str">
        <v/>
      </c>
      <c r="V665" s="42"/>
      <c r="W665" s="42"/>
      <c r="X665" s="42"/>
      <c r="Y665" s="42"/>
      <c r="Z665" s="42"/>
      <c r="AA665" s="42"/>
      <c r="AB665" s="42"/>
    </row>
    <row r="666" spans="1:28" x14ac:dyDescent="0.25">
      <c r="A666" s="42" t="str">
        <v>1.12.1.4</v>
      </c>
      <c r="B666" s="121" t="str">
        <v>Business Rule: The same email address may not be used for more than one active user.</v>
      </c>
      <c r="C666" s="41">
        <v>4</v>
      </c>
      <c r="D666" s="41" t="str">
        <v>RD</v>
      </c>
      <c r="E666" s="117" t="str">
        <f t="shared" si="0"/>
        <v>RD</v>
      </c>
      <c r="F666" s="41" t="str">
        <v/>
      </c>
      <c r="G666" s="41" t="str">
        <v/>
      </c>
      <c r="H666" s="117">
        <f t="shared" si="1"/>
        <v>0</v>
      </c>
      <c r="I666" s="117">
        <f t="shared" si="2"/>
        <v>12</v>
      </c>
      <c r="J666" s="117">
        <f t="shared" si="3"/>
        <v>12.01</v>
      </c>
      <c r="K666" s="117" t="str">
        <f t="shared" si="4"/>
        <v>BR</v>
      </c>
      <c r="L666" s="42" t="str">
        <v>BR1201</v>
      </c>
      <c r="M666" s="121" t="str">
        <v/>
      </c>
      <c r="N666" s="121" t="str">
        <v/>
      </c>
      <c r="O666" s="121" t="str">
        <v/>
      </c>
      <c r="P666" s="121" t="str">
        <v/>
      </c>
      <c r="Q666" s="121" t="str">
        <v xml:space="preserve"> 4. </v>
      </c>
      <c r="R666" s="121" t="str">
        <v>Business Rule: The same email address may not be used for more than one active user.</v>
      </c>
      <c r="S666" s="121" t="str">
        <v/>
      </c>
      <c r="T666" s="119" t="str">
        <f>IF($C666&lt;4,IF($C666=3,T667,IF($C666=2,T$1,"")),Q666&amp;R666&amp;IF(LEN(S666)=0,"",Preferences!$C$2&amp;S666)&amp;IF(J667=J666,IF(LEN(R666&amp;S666)=0,"","
")&amp;T667,""))</f>
        <v xml:space="preserve"> 4. Business Rule: The same email address may not be used for more than one active user.</v>
      </c>
      <c r="U666" s="122" t="str">
        <v/>
      </c>
      <c r="V666" s="42"/>
      <c r="W666" s="42"/>
      <c r="X666" s="42"/>
      <c r="Y666" s="42"/>
      <c r="Z666" s="42"/>
      <c r="AA666" s="42"/>
      <c r="AB666" s="42"/>
    </row>
    <row r="667" spans="1:28" x14ac:dyDescent="0.25">
      <c r="A667" s="42" t="str">
        <v>1.12.2</v>
      </c>
      <c r="B667" s="121" t="str">
        <v>12.2 Unregister back-office users</v>
      </c>
      <c r="C667" s="41">
        <v>3</v>
      </c>
      <c r="D667" s="41" t="str">
        <v>R</v>
      </c>
      <c r="E667" s="117" t="str">
        <f t="shared" si="0"/>
        <v>R</v>
      </c>
      <c r="F667" s="41" t="str">
        <v/>
      </c>
      <c r="G667" s="41" t="str">
        <v/>
      </c>
      <c r="H667" s="117">
        <f t="shared" si="1"/>
        <v>0</v>
      </c>
      <c r="I667" s="117">
        <f t="shared" si="2"/>
        <v>12</v>
      </c>
      <c r="J667" s="117">
        <f t="shared" si="3"/>
        <v>12.02</v>
      </c>
      <c r="K667" s="117" t="str">
        <f t="shared" si="4"/>
        <v>BR</v>
      </c>
      <c r="L667" s="42" t="str">
        <v>BR1202</v>
      </c>
      <c r="M667" s="121" t="str">
        <v/>
      </c>
      <c r="N667" s="121" t="str">
        <v/>
      </c>
      <c r="O667" s="121" t="str">
        <v>BR1202</v>
      </c>
      <c r="P667" s="121" t="str">
        <v>Unregister back-office users</v>
      </c>
      <c r="Q667" s="121" t="str">
        <v/>
      </c>
      <c r="R667" s="121" t="str">
        <v/>
      </c>
      <c r="S667" s="121" t="str">
        <v/>
      </c>
      <c r="T667" s="119" t="str">
        <f>IF($C667&lt;4,IF($C667=3,T668,IF($C667=2,T$1,"")),Q667&amp;R667&amp;IF(LEN(S667)=0,"",Preferences!$C$2&amp;S667)&amp;IF(J668=J667,IF(LEN(R667&amp;S667)=0,"","
")&amp;T668,""))</f>
        <v xml:space="preserve"> 1. Manually unregister business users:
	• On management instruction
	• After resignation from the organisation</v>
      </c>
      <c r="U667" s="122" t="str">
        <v/>
      </c>
      <c r="V667" s="42"/>
      <c r="W667" s="42"/>
      <c r="X667" s="42"/>
      <c r="Y667" s="42"/>
      <c r="Z667" s="42"/>
      <c r="AA667" s="42"/>
      <c r="AB667" s="42"/>
    </row>
    <row r="668" spans="1:28" x14ac:dyDescent="0.25">
      <c r="A668" s="42" t="str">
        <v>1.12.2.1</v>
      </c>
      <c r="B668" s="121" t="str">
        <v>Manually unregister business users:</v>
      </c>
      <c r="C668" s="41">
        <v>4</v>
      </c>
      <c r="D668" s="41" t="str">
        <v>RD</v>
      </c>
      <c r="E668" s="117" t="str">
        <f t="shared" si="0"/>
        <v>RD</v>
      </c>
      <c r="F668" s="41" t="str">
        <v/>
      </c>
      <c r="G668" s="41" t="str">
        <v/>
      </c>
      <c r="H668" s="117">
        <f t="shared" si="1"/>
        <v>0</v>
      </c>
      <c r="I668" s="117">
        <f t="shared" si="2"/>
        <v>12</v>
      </c>
      <c r="J668" s="117">
        <f t="shared" si="3"/>
        <v>12.02</v>
      </c>
      <c r="K668" s="117" t="str">
        <f t="shared" si="4"/>
        <v>BR</v>
      </c>
      <c r="L668" s="42" t="str">
        <v>BR1202</v>
      </c>
      <c r="M668" s="121" t="str">
        <v/>
      </c>
      <c r="N668" s="121" t="str">
        <v/>
      </c>
      <c r="O668" s="121" t="str">
        <v/>
      </c>
      <c r="P668" s="121" t="str">
        <v/>
      </c>
      <c r="Q668" s="121" t="str">
        <v xml:space="preserve"> 1. </v>
      </c>
      <c r="R668" s="121" t="str">
        <v>Manually unregister business users:</v>
      </c>
      <c r="S668" s="121" t="str">
        <v/>
      </c>
      <c r="T668" s="119" t="str">
        <f>IF($C668&lt;4,IF($C668=3,T669,IF($C668=2,T$1,"")),Q668&amp;R668&amp;IF(LEN(S668)=0,"",Preferences!$C$2&amp;S668)&amp;IF(J669=J668,IF(LEN(R668&amp;S668)=0,"","
")&amp;T669,""))</f>
        <v xml:space="preserve"> 1. Manually unregister business users:
	• On management instruction
	• After resignation from the organisation</v>
      </c>
      <c r="U668" s="122" t="str">
        <v/>
      </c>
      <c r="V668" s="42"/>
      <c r="W668" s="42"/>
      <c r="X668" s="42"/>
      <c r="Y668" s="42"/>
      <c r="Z668" s="42"/>
      <c r="AA668" s="42"/>
      <c r="AB668" s="42"/>
    </row>
    <row r="669" spans="1:28" x14ac:dyDescent="0.25">
      <c r="A669" s="42" t="str">
        <v>1.12.2.1.1</v>
      </c>
      <c r="B669" s="121" t="str">
        <v>On management instruction</v>
      </c>
      <c r="C669" s="41">
        <v>5</v>
      </c>
      <c r="D669" s="41" t="str">
        <v>RL</v>
      </c>
      <c r="E669" s="117" t="str">
        <f t="shared" si="0"/>
        <v>RL</v>
      </c>
      <c r="F669" s="41" t="str">
        <v/>
      </c>
      <c r="G669" s="41" t="str">
        <v/>
      </c>
      <c r="H669" s="117">
        <f t="shared" si="1"/>
        <v>0</v>
      </c>
      <c r="I669" s="117">
        <f t="shared" si="2"/>
        <v>12</v>
      </c>
      <c r="J669" s="117">
        <f t="shared" si="3"/>
        <v>12.02</v>
      </c>
      <c r="K669" s="117" t="str">
        <f t="shared" si="4"/>
        <v>BR</v>
      </c>
      <c r="L669" s="42" t="str">
        <v>BR1202</v>
      </c>
      <c r="M669" s="121" t="str">
        <v/>
      </c>
      <c r="N669" s="121" t="str">
        <v/>
      </c>
      <c r="O669" s="121" t="str">
        <v/>
      </c>
      <c r="P669" s="121" t="str">
        <v/>
      </c>
      <c r="Q669" s="121" t="str">
        <v/>
      </c>
      <c r="R669" s="121" t="str">
        <v/>
      </c>
      <c r="S669" s="121" t="str">
        <v>On management instruction</v>
      </c>
      <c r="T669" s="119" t="str">
        <f>IF($C669&lt;4,IF($C669=3,T670,IF($C669=2,T$1,"")),Q669&amp;R669&amp;IF(LEN(S669)=0,"",Preferences!$C$2&amp;S669)&amp;IF(J670=J669,IF(LEN(R669&amp;S669)=0,"","
")&amp;T670,""))</f>
        <v xml:space="preserve">	• On management instruction
	• After resignation from the organisation</v>
      </c>
      <c r="U669" s="122" t="str">
        <v/>
      </c>
      <c r="V669" s="42"/>
      <c r="W669" s="42"/>
      <c r="X669" s="42"/>
      <c r="Y669" s="42"/>
      <c r="Z669" s="42"/>
      <c r="AA669" s="42"/>
      <c r="AB669" s="42"/>
    </row>
    <row r="670" spans="1:28" x14ac:dyDescent="0.25">
      <c r="A670" s="42" t="str">
        <v>1.12.2.1.2</v>
      </c>
      <c r="B670" s="121" t="str">
        <v>After resignation from the organisation</v>
      </c>
      <c r="C670" s="41">
        <v>5</v>
      </c>
      <c r="D670" s="41" t="str">
        <v>RL</v>
      </c>
      <c r="E670" s="117" t="str">
        <f t="shared" si="0"/>
        <v>RL</v>
      </c>
      <c r="F670" s="41" t="str">
        <v/>
      </c>
      <c r="G670" s="41" t="str">
        <v/>
      </c>
      <c r="H670" s="117">
        <f t="shared" si="1"/>
        <v>0</v>
      </c>
      <c r="I670" s="117">
        <f t="shared" si="2"/>
        <v>12</v>
      </c>
      <c r="J670" s="117">
        <f t="shared" si="3"/>
        <v>12.02</v>
      </c>
      <c r="K670" s="117" t="str">
        <f t="shared" si="4"/>
        <v>BR</v>
      </c>
      <c r="L670" s="42" t="str">
        <v>BR1202</v>
      </c>
      <c r="M670" s="121" t="str">
        <v/>
      </c>
      <c r="N670" s="121" t="str">
        <v/>
      </c>
      <c r="O670" s="121" t="str">
        <v/>
      </c>
      <c r="P670" s="121" t="str">
        <v/>
      </c>
      <c r="Q670" s="121" t="str">
        <v/>
      </c>
      <c r="R670" s="121" t="str">
        <v/>
      </c>
      <c r="S670" s="121" t="str">
        <v>After resignation from the organisation</v>
      </c>
      <c r="T670" s="119" t="str">
        <f>IF($C670&lt;4,IF($C670=3,T671,IF($C670=2,T$1,"")),Q670&amp;R670&amp;IF(LEN(S670)=0,"",Preferences!$C$2&amp;S670)&amp;IF(J671=J670,IF(LEN(R670&amp;S670)=0,"","
")&amp;T671,""))</f>
        <v xml:space="preserve">	• After resignation from the organisation</v>
      </c>
      <c r="U670" s="122" t="str">
        <v/>
      </c>
      <c r="V670" s="42"/>
      <c r="W670" s="42"/>
      <c r="X670" s="42"/>
      <c r="Y670" s="42"/>
      <c r="Z670" s="42"/>
      <c r="AA670" s="42"/>
      <c r="AB670" s="42"/>
    </row>
    <row r="671" spans="1:28" x14ac:dyDescent="0.25">
      <c r="A671" s="42" t="str">
        <v>1.13</v>
      </c>
      <c r="B671" s="121" t="str">
        <v>13 Back-office User Profile</v>
      </c>
      <c r="C671" s="41">
        <v>2</v>
      </c>
      <c r="D671" s="41" t="str">
        <v>RS</v>
      </c>
      <c r="E671" s="117" t="str">
        <f t="shared" si="0"/>
        <v>RS</v>
      </c>
      <c r="F671" s="41" t="str">
        <v/>
      </c>
      <c r="G671" s="41" t="str">
        <v/>
      </c>
      <c r="H671" s="117">
        <f t="shared" si="1"/>
        <v>0</v>
      </c>
      <c r="I671" s="117">
        <f t="shared" si="2"/>
        <v>13</v>
      </c>
      <c r="J671" s="117">
        <f t="shared" si="3"/>
        <v>13</v>
      </c>
      <c r="K671" s="117" t="str">
        <f t="shared" si="4"/>
        <v>BR</v>
      </c>
      <c r="L671" s="42">
        <v>13</v>
      </c>
      <c r="M671" s="121" t="str">
        <v/>
      </c>
      <c r="N671" s="121" t="str">
        <v>13 Back-office User Profile</v>
      </c>
      <c r="O671" s="121" t="str">
        <v>ReqID</v>
      </c>
      <c r="P671" s="121" t="e">
        <v>#N/A</v>
      </c>
      <c r="Q671" s="121" t="str">
        <v/>
      </c>
      <c r="R671" s="121" t="str">
        <v/>
      </c>
      <c r="S671" s="121" t="str">
        <v/>
      </c>
      <c r="T671" s="119" t="str">
        <f>IF($C671&lt;4,IF($C671=3,T672,IF($C671=2,T$1,"")),Q671&amp;R671&amp;IF(LEN(S671)=0,"",Preferences!$C$2&amp;S671)&amp;IF(J672=J671,IF(LEN(R671&amp;S671)=0,"","
")&amp;T672,""))</f>
        <v>Description</v>
      </c>
      <c r="U671" s="122" t="str">
        <v/>
      </c>
      <c r="V671" s="42"/>
      <c r="W671" s="42"/>
      <c r="X671" s="42"/>
      <c r="Y671" s="42"/>
      <c r="Z671" s="42"/>
      <c r="AA671" s="42"/>
      <c r="AB671" s="42"/>
    </row>
    <row r="672" spans="1:28" x14ac:dyDescent="0.25">
      <c r="A672" s="42" t="str">
        <v>1.13.1</v>
      </c>
      <c r="B672" s="121" t="str">
        <v>13.1 View back-office user profile</v>
      </c>
      <c r="C672" s="41">
        <v>3</v>
      </c>
      <c r="D672" s="41" t="str">
        <v>R</v>
      </c>
      <c r="E672" s="117" t="str">
        <f t="shared" si="0"/>
        <v>R</v>
      </c>
      <c r="F672" s="41" t="str">
        <v/>
      </c>
      <c r="G672" s="41" t="str">
        <v/>
      </c>
      <c r="H672" s="117">
        <f t="shared" si="1"/>
        <v>0</v>
      </c>
      <c r="I672" s="117">
        <f t="shared" si="2"/>
        <v>13</v>
      </c>
      <c r="J672" s="117">
        <f t="shared" si="3"/>
        <v>13.01</v>
      </c>
      <c r="K672" s="117" t="str">
        <f t="shared" si="4"/>
        <v>BR</v>
      </c>
      <c r="L672" s="42" t="str">
        <v>BR1301</v>
      </c>
      <c r="M672" s="121" t="str">
        <v/>
      </c>
      <c r="N672" s="121" t="str">
        <v/>
      </c>
      <c r="O672" s="121" t="str">
        <v>BR1301</v>
      </c>
      <c r="P672" s="121" t="str">
        <v>View back-office user profile</v>
      </c>
      <c r="Q672" s="121" t="str">
        <v/>
      </c>
      <c r="R672" s="121" t="str">
        <v/>
      </c>
      <c r="S672" s="121" t="str">
        <v/>
      </c>
      <c r="T672" s="119" t="str">
        <f>IF($C672&lt;4,IF($C672=3,T673,IF($C672=2,T$1,"")),Q672&amp;R672&amp;IF(LEN(S672)=0,"",Preferences!$C$2&amp;S672)&amp;IF(J673=J672,IF(LEN(R672&amp;S672)=0,"","
")&amp;T673,""))</f>
        <v xml:space="preserve"> 1. A back-office user may at any time choose an option from their user menu/links, to view their back-office user profile.
 2. A back-office user profile consists of the following:
	• User details
	• Change password</v>
      </c>
      <c r="U672" s="122" t="str">
        <v/>
      </c>
      <c r="V672" s="42"/>
      <c r="W672" s="42"/>
      <c r="X672" s="42"/>
      <c r="Y672" s="42"/>
      <c r="Z672" s="42"/>
      <c r="AA672" s="42"/>
      <c r="AB672" s="42"/>
    </row>
    <row r="673" spans="1:28" x14ac:dyDescent="0.25">
      <c r="A673" s="42" t="str">
        <v>1.13.1.1</v>
      </c>
      <c r="B673" s="121" t="str">
        <v>A back-office user may at any time choose an option from their user menu/links, to view their back-office user profile.</v>
      </c>
      <c r="C673" s="41">
        <v>4</v>
      </c>
      <c r="D673" s="41" t="str">
        <v>RD</v>
      </c>
      <c r="E673" s="117" t="str">
        <f t="shared" si="0"/>
        <v>RD</v>
      </c>
      <c r="F673" s="41" t="str">
        <v/>
      </c>
      <c r="G673" s="41" t="str">
        <v/>
      </c>
      <c r="H673" s="117">
        <f t="shared" si="1"/>
        <v>0</v>
      </c>
      <c r="I673" s="117">
        <f t="shared" si="2"/>
        <v>13</v>
      </c>
      <c r="J673" s="117">
        <f t="shared" si="3"/>
        <v>13.01</v>
      </c>
      <c r="K673" s="117" t="str">
        <f t="shared" si="4"/>
        <v>BR</v>
      </c>
      <c r="L673" s="42" t="str">
        <v>BR1301</v>
      </c>
      <c r="M673" s="121" t="str">
        <v/>
      </c>
      <c r="N673" s="121" t="str">
        <v/>
      </c>
      <c r="O673" s="121" t="str">
        <v/>
      </c>
      <c r="P673" s="121" t="str">
        <v/>
      </c>
      <c r="Q673" s="121" t="str">
        <v xml:space="preserve"> 1. </v>
      </c>
      <c r="R673" s="121" t="str">
        <v>A back-office user may at any time choose an option from their user menu/links, to view their back-office user profile.</v>
      </c>
      <c r="S673" s="121" t="str">
        <v/>
      </c>
      <c r="T673" s="119" t="str">
        <f>IF($C673&lt;4,IF($C673=3,T674,IF($C673=2,T$1,"")),Q673&amp;R673&amp;IF(LEN(S673)=0,"",Preferences!$C$2&amp;S673)&amp;IF(J674=J673,IF(LEN(R673&amp;S673)=0,"","
")&amp;T674,""))</f>
        <v xml:space="preserve"> 1. A back-office user may at any time choose an option from their user menu/links, to view their back-office user profile.
 2. A back-office user profile consists of the following:
	• User details
	• Change password</v>
      </c>
      <c r="U673" s="122" t="str">
        <v/>
      </c>
      <c r="V673" s="42"/>
      <c r="W673" s="42"/>
      <c r="X673" s="42"/>
      <c r="Y673" s="42"/>
      <c r="Z673" s="42"/>
      <c r="AA673" s="42"/>
      <c r="AB673" s="42"/>
    </row>
    <row r="674" spans="1:28" x14ac:dyDescent="0.25">
      <c r="A674" s="42" t="str">
        <v>1.13.1.2</v>
      </c>
      <c r="B674" s="121" t="str">
        <v>A back-office user profile consists of the following:</v>
      </c>
      <c r="C674" s="41">
        <v>4</v>
      </c>
      <c r="D674" s="41" t="str">
        <v>RD</v>
      </c>
      <c r="E674" s="117" t="str">
        <f t="shared" si="0"/>
        <v>RD</v>
      </c>
      <c r="F674" s="41" t="str">
        <v/>
      </c>
      <c r="G674" s="41" t="str">
        <v/>
      </c>
      <c r="H674" s="117">
        <f t="shared" si="1"/>
        <v>0</v>
      </c>
      <c r="I674" s="117">
        <f t="shared" si="2"/>
        <v>13</v>
      </c>
      <c r="J674" s="117">
        <f t="shared" si="3"/>
        <v>13.01</v>
      </c>
      <c r="K674" s="117" t="str">
        <f t="shared" si="4"/>
        <v>BR</v>
      </c>
      <c r="L674" s="42" t="str">
        <v>BR1301</v>
      </c>
      <c r="M674" s="121" t="str">
        <v/>
      </c>
      <c r="N674" s="121" t="str">
        <v/>
      </c>
      <c r="O674" s="121" t="str">
        <v/>
      </c>
      <c r="P674" s="121" t="str">
        <v/>
      </c>
      <c r="Q674" s="121" t="str">
        <v xml:space="preserve"> 2. </v>
      </c>
      <c r="R674" s="121" t="str">
        <v>A back-office user profile consists of the following:</v>
      </c>
      <c r="S674" s="121" t="str">
        <v/>
      </c>
      <c r="T674" s="119" t="str">
        <f>IF($C674&lt;4,IF($C674=3,T675,IF($C674=2,T$1,"")),Q674&amp;R674&amp;IF(LEN(S674)=0,"",Preferences!$C$2&amp;S674)&amp;IF(J675=J674,IF(LEN(R674&amp;S674)=0,"","
")&amp;T675,""))</f>
        <v xml:space="preserve"> 2. A back-office user profile consists of the following:
	• User details
	• Change password</v>
      </c>
      <c r="U674" s="122" t="str">
        <v/>
      </c>
      <c r="V674" s="42"/>
      <c r="W674" s="42"/>
      <c r="X674" s="42"/>
      <c r="Y674" s="42"/>
      <c r="Z674" s="42"/>
      <c r="AA674" s="42"/>
      <c r="AB674" s="42"/>
    </row>
    <row r="675" spans="1:28" x14ac:dyDescent="0.25">
      <c r="A675" s="42" t="str">
        <v>1.13.1.2.1</v>
      </c>
      <c r="B675" s="121" t="str">
        <v>User details</v>
      </c>
      <c r="C675" s="41">
        <v>5</v>
      </c>
      <c r="D675" s="41" t="str">
        <v>RL</v>
      </c>
      <c r="E675" s="117" t="str">
        <f t="shared" si="0"/>
        <v>RL</v>
      </c>
      <c r="F675" s="41" t="str">
        <v/>
      </c>
      <c r="G675" s="41" t="str">
        <v/>
      </c>
      <c r="H675" s="117">
        <f t="shared" si="1"/>
        <v>0</v>
      </c>
      <c r="I675" s="117">
        <f t="shared" si="2"/>
        <v>13</v>
      </c>
      <c r="J675" s="117">
        <f t="shared" si="3"/>
        <v>13.01</v>
      </c>
      <c r="K675" s="117" t="str">
        <f t="shared" si="4"/>
        <v>BR</v>
      </c>
      <c r="L675" s="42" t="str">
        <v>BR1301</v>
      </c>
      <c r="M675" s="121" t="str">
        <v/>
      </c>
      <c r="N675" s="121" t="str">
        <v/>
      </c>
      <c r="O675" s="121" t="str">
        <v/>
      </c>
      <c r="P675" s="121" t="str">
        <v/>
      </c>
      <c r="Q675" s="121" t="str">
        <v/>
      </c>
      <c r="R675" s="121" t="str">
        <v/>
      </c>
      <c r="S675" s="121" t="str">
        <v>User details</v>
      </c>
      <c r="T675" s="119" t="str">
        <f>IF($C675&lt;4,IF($C675=3,T676,IF($C675=2,T$1,"")),Q675&amp;R675&amp;IF(LEN(S675)=0,"",Preferences!$C$2&amp;S675)&amp;IF(J676=J675,IF(LEN(R675&amp;S675)=0,"","
")&amp;T676,""))</f>
        <v xml:space="preserve">	• User details
	• Change password</v>
      </c>
      <c r="U675" s="122" t="str">
        <v/>
      </c>
      <c r="V675" s="42"/>
      <c r="W675" s="42"/>
      <c r="X675" s="42"/>
      <c r="Y675" s="42"/>
      <c r="Z675" s="42"/>
      <c r="AA675" s="42"/>
      <c r="AB675" s="42"/>
    </row>
    <row r="676" spans="1:28" x14ac:dyDescent="0.25">
      <c r="A676" s="42" t="str">
        <v>1.13.1.2.2</v>
      </c>
      <c r="B676" s="121" t="str">
        <v>Change password</v>
      </c>
      <c r="C676" s="41">
        <v>5</v>
      </c>
      <c r="D676" s="41" t="str">
        <v>RL</v>
      </c>
      <c r="E676" s="117" t="str">
        <f t="shared" si="0"/>
        <v>RL</v>
      </c>
      <c r="F676" s="41" t="str">
        <v/>
      </c>
      <c r="G676" s="41" t="str">
        <v/>
      </c>
      <c r="H676" s="117">
        <f t="shared" si="1"/>
        <v>0</v>
      </c>
      <c r="I676" s="117">
        <f t="shared" si="2"/>
        <v>13</v>
      </c>
      <c r="J676" s="117">
        <f t="shared" si="3"/>
        <v>13.01</v>
      </c>
      <c r="K676" s="117" t="str">
        <f t="shared" si="4"/>
        <v>BR</v>
      </c>
      <c r="L676" s="42" t="str">
        <v>BR1301</v>
      </c>
      <c r="M676" s="121" t="str">
        <v/>
      </c>
      <c r="N676" s="121" t="str">
        <v/>
      </c>
      <c r="O676" s="121" t="str">
        <v/>
      </c>
      <c r="P676" s="121" t="str">
        <v/>
      </c>
      <c r="Q676" s="121" t="str">
        <v/>
      </c>
      <c r="R676" s="121" t="str">
        <v/>
      </c>
      <c r="S676" s="121" t="str">
        <v>Change password</v>
      </c>
      <c r="T676" s="119" t="str">
        <f>IF($C676&lt;4,IF($C676=3,T677,IF($C676=2,T$1,"")),Q676&amp;R676&amp;IF(LEN(S676)=0,"",Preferences!$C$2&amp;S676)&amp;IF(J677=J676,IF(LEN(R676&amp;S676)=0,"","
")&amp;T677,""))</f>
        <v xml:space="preserve">	• Change password</v>
      </c>
      <c r="U676" s="122" t="str">
        <v/>
      </c>
      <c r="V676" s="42"/>
      <c r="W676" s="42"/>
      <c r="X676" s="42"/>
      <c r="Y676" s="42"/>
      <c r="Z676" s="42"/>
      <c r="AA676" s="42"/>
      <c r="AB676" s="42"/>
    </row>
    <row r="677" spans="1:28" x14ac:dyDescent="0.25">
      <c r="A677" s="42" t="str">
        <v>1.13.2</v>
      </c>
      <c r="B677" s="121" t="str">
        <v>13.2 Change password</v>
      </c>
      <c r="C677" s="41">
        <v>3</v>
      </c>
      <c r="D677" s="41" t="str">
        <v>R</v>
      </c>
      <c r="E677" s="117" t="str">
        <f t="shared" si="0"/>
        <v>R</v>
      </c>
      <c r="F677" s="41" t="str">
        <v/>
      </c>
      <c r="G677" s="41" t="str">
        <v/>
      </c>
      <c r="H677" s="117">
        <f t="shared" si="1"/>
        <v>0</v>
      </c>
      <c r="I677" s="117">
        <f t="shared" si="2"/>
        <v>13</v>
      </c>
      <c r="J677" s="117">
        <f t="shared" si="3"/>
        <v>13.02</v>
      </c>
      <c r="K677" s="117" t="str">
        <f t="shared" si="4"/>
        <v>BR</v>
      </c>
      <c r="L677" s="42" t="str">
        <v>BR1302</v>
      </c>
      <c r="M677" s="121" t="str">
        <v/>
      </c>
      <c r="N677" s="121" t="str">
        <v/>
      </c>
      <c r="O677" s="121" t="str">
        <v>BR1302</v>
      </c>
      <c r="P677" s="121" t="str">
        <v>Change password</v>
      </c>
      <c r="Q677" s="121" t="str">
        <v/>
      </c>
      <c r="R677" s="121" t="str">
        <v/>
      </c>
      <c r="S677" s="121" t="str">
        <v/>
      </c>
      <c r="T677" s="119" t="str">
        <f>IF($C677&lt;4,IF($C677=3,T678,IF($C677=2,T$1,"")),Q677&amp;R677&amp;IF(LEN(S677)=0,"",Preferences!$C$2&amp;S677)&amp;IF(J678=J677,IF(LEN(R677&amp;S677)=0,"","
")&amp;T678,""))</f>
        <v xml:space="preserve"> 1. From their back-office user profile, the user may change their login password, as detailed in the Change own password requirements of the Users section.</v>
      </c>
      <c r="U677" s="122" t="str">
        <v/>
      </c>
      <c r="V677" s="42"/>
      <c r="W677" s="42"/>
      <c r="X677" s="42"/>
      <c r="Y677" s="42"/>
      <c r="Z677" s="42"/>
      <c r="AA677" s="42"/>
      <c r="AB677" s="42"/>
    </row>
    <row r="678" spans="1:28" x14ac:dyDescent="0.25">
      <c r="A678" s="42" t="str">
        <v>1.13.2.1</v>
      </c>
      <c r="B678" s="121" t="str">
        <v>From their back-office user profile, the user may change their login password, as detailed in the Change own password requirements of the Users section.</v>
      </c>
      <c r="C678" s="41">
        <v>4</v>
      </c>
      <c r="D678" s="41" t="str">
        <v>RD</v>
      </c>
      <c r="E678" s="117" t="str">
        <f t="shared" si="0"/>
        <v>RD</v>
      </c>
      <c r="F678" s="41" t="str">
        <v/>
      </c>
      <c r="G678" s="41" t="str">
        <v/>
      </c>
      <c r="H678" s="117">
        <f t="shared" si="1"/>
        <v>0</v>
      </c>
      <c r="I678" s="117">
        <f t="shared" si="2"/>
        <v>13</v>
      </c>
      <c r="J678" s="117">
        <f t="shared" si="3"/>
        <v>13.02</v>
      </c>
      <c r="K678" s="117" t="str">
        <f t="shared" si="4"/>
        <v>BR</v>
      </c>
      <c r="L678" s="42" t="str">
        <v>BR1302</v>
      </c>
      <c r="M678" s="121" t="str">
        <v/>
      </c>
      <c r="N678" s="121" t="str">
        <v/>
      </c>
      <c r="O678" s="121" t="str">
        <v/>
      </c>
      <c r="P678" s="121" t="str">
        <v/>
      </c>
      <c r="Q678" s="121" t="str">
        <v xml:space="preserve"> 1. </v>
      </c>
      <c r="R678" s="121" t="str">
        <v>From their back-office user profile, the user may change their login password, as detailed in the Change own password requirements of the Users section.</v>
      </c>
      <c r="S678" s="121" t="str">
        <v/>
      </c>
      <c r="T678" s="119" t="str">
        <f>IF($C678&lt;4,IF($C678=3,T679,IF($C678=2,T$1,"")),Q678&amp;R678&amp;IF(LEN(S678)=0,"",Preferences!$C$2&amp;S678)&amp;IF(J679=J678,IF(LEN(R678&amp;S678)=0,"","
")&amp;T679,""))</f>
        <v xml:space="preserve"> 1. From their back-office user profile, the user may change their login password, as detailed in the Change own password requirements of the Users section.</v>
      </c>
      <c r="U678" s="122" t="str">
        <v/>
      </c>
      <c r="V678" s="42"/>
      <c r="W678" s="42"/>
      <c r="X678" s="42"/>
      <c r="Y678" s="42"/>
      <c r="Z678" s="42"/>
      <c r="AA678" s="42"/>
      <c r="AB678" s="42"/>
    </row>
    <row r="679" spans="1:28" x14ac:dyDescent="0.25">
      <c r="A679" s="42" t="str">
        <v>1.14</v>
      </c>
      <c r="B679" s="121" t="str">
        <v>14 Customer Registration</v>
      </c>
      <c r="C679" s="41">
        <v>2</v>
      </c>
      <c r="D679" s="41" t="str">
        <v>RS</v>
      </c>
      <c r="E679" s="117" t="str">
        <f t="shared" si="0"/>
        <v>RS</v>
      </c>
      <c r="F679" s="41" t="str">
        <v/>
      </c>
      <c r="G679" s="41" t="str">
        <v/>
      </c>
      <c r="H679" s="117">
        <f t="shared" si="1"/>
        <v>0</v>
      </c>
      <c r="I679" s="117">
        <f t="shared" si="2"/>
        <v>14</v>
      </c>
      <c r="J679" s="117">
        <f t="shared" si="3"/>
        <v>14</v>
      </c>
      <c r="K679" s="117" t="str">
        <f t="shared" si="4"/>
        <v>BR</v>
      </c>
      <c r="L679" s="42">
        <v>14</v>
      </c>
      <c r="M679" s="121" t="str">
        <v/>
      </c>
      <c r="N679" s="121" t="str">
        <v>14 Customer Registration</v>
      </c>
      <c r="O679" s="121" t="str">
        <v>ReqID</v>
      </c>
      <c r="P679" s="121" t="e">
        <v>#N/A</v>
      </c>
      <c r="Q679" s="121" t="str">
        <v/>
      </c>
      <c r="R679" s="121" t="str">
        <v/>
      </c>
      <c r="S679" s="121" t="str">
        <v/>
      </c>
      <c r="T679" s="119" t="str">
        <f>IF($C679&lt;4,IF($C679=3,T680,IF($C679=2,T$1,"")),Q679&amp;R679&amp;IF(LEN(S679)=0,"",Preferences!$C$2&amp;S679)&amp;IF(J680=J679,IF(LEN(R679&amp;S679)=0,"","
")&amp;T680,""))</f>
        <v>Description</v>
      </c>
      <c r="U679" s="122" t="str">
        <v/>
      </c>
      <c r="V679" s="42"/>
      <c r="W679" s="42"/>
      <c r="X679" s="42"/>
      <c r="Y679" s="42"/>
      <c r="Z679" s="42"/>
      <c r="AA679" s="42"/>
      <c r="AB679" s="42"/>
    </row>
    <row r="680" spans="1:28" x14ac:dyDescent="0.25">
      <c r="A680" s="42" t="str">
        <v>1.14.1</v>
      </c>
      <c r="B680" s="121" t="str">
        <v>14.1 Register customer</v>
      </c>
      <c r="C680" s="41">
        <v>3</v>
      </c>
      <c r="D680" s="41" t="str">
        <v>R</v>
      </c>
      <c r="E680" s="117" t="str">
        <f t="shared" si="0"/>
        <v>R</v>
      </c>
      <c r="F680" s="41" t="str">
        <v/>
      </c>
      <c r="G680" s="41" t="str">
        <v/>
      </c>
      <c r="H680" s="117">
        <f t="shared" si="1"/>
        <v>0</v>
      </c>
      <c r="I680" s="117">
        <f t="shared" si="2"/>
        <v>14</v>
      </c>
      <c r="J680" s="117">
        <f t="shared" si="3"/>
        <v>14.01</v>
      </c>
      <c r="K680" s="117" t="str">
        <f t="shared" si="4"/>
        <v>BR</v>
      </c>
      <c r="L680" s="42" t="str">
        <v>BR1401</v>
      </c>
      <c r="M680" s="121" t="str">
        <v/>
      </c>
      <c r="N680" s="121" t="str">
        <v/>
      </c>
      <c r="O680" s="121" t="str">
        <v>BR1401</v>
      </c>
      <c r="P680" s="121" t="str">
        <v>Register customer</v>
      </c>
      <c r="Q680" s="121" t="str">
        <v/>
      </c>
      <c r="R680" s="121" t="str">
        <v/>
      </c>
      <c r="S680" s="121" t="str">
        <v/>
      </c>
      <c r="T680" s="119" t="str">
        <f>IF($C680&lt;4,IF($C680=3,T681,IF($C680=2,T$1,"")),Q680&amp;R680&amp;IF(LEN(S680)=0,"",Preferences!$C$2&amp;S680)&amp;IF(J681=J680,IF(LEN(R680&amp;S680)=0,"","
")&amp;T681,""))</f>
        <v xml:space="preserve"> 1. A customer may register with the B2C Co online shop whenever they are presented the option to login:
	• On the login page
	• On begin prompted to login when choosing to checkout their anonymous shopping cart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0" s="122" t="str">
        <v/>
      </c>
      <c r="V680" s="42"/>
      <c r="W680" s="42"/>
      <c r="X680" s="42"/>
      <c r="Y680" s="42"/>
      <c r="Z680" s="42"/>
      <c r="AA680" s="42"/>
      <c r="AB680" s="42"/>
    </row>
    <row r="681" spans="1:28" x14ac:dyDescent="0.25">
      <c r="A681" s="42" t="str">
        <v>1.14.1.1</v>
      </c>
      <c r="B681" s="121" t="str">
        <v>A customer may register with the B2C Co online shop whenever they are presented the option to login:</v>
      </c>
      <c r="C681" s="41">
        <v>4</v>
      </c>
      <c r="D681" s="41" t="str">
        <v>RD</v>
      </c>
      <c r="E681" s="117" t="str">
        <f t="shared" si="0"/>
        <v>RD</v>
      </c>
      <c r="F681" s="41" t="str">
        <v/>
      </c>
      <c r="G681" s="41" t="str">
        <v/>
      </c>
      <c r="H681" s="117">
        <f t="shared" si="1"/>
        <v>0</v>
      </c>
      <c r="I681" s="117">
        <f t="shared" si="2"/>
        <v>14</v>
      </c>
      <c r="J681" s="117">
        <f t="shared" si="3"/>
        <v>14.01</v>
      </c>
      <c r="K681" s="117" t="str">
        <f t="shared" si="4"/>
        <v>BR</v>
      </c>
      <c r="L681" s="42" t="str">
        <v>BR1401</v>
      </c>
      <c r="M681" s="121" t="str">
        <v/>
      </c>
      <c r="N681" s="121" t="str">
        <v/>
      </c>
      <c r="O681" s="121" t="str">
        <v/>
      </c>
      <c r="P681" s="121" t="str">
        <v/>
      </c>
      <c r="Q681" s="121" t="str">
        <v xml:space="preserve"> 1. </v>
      </c>
      <c r="R681" s="121" t="str">
        <v>A customer may register with the B2C Co online shop whenever they are presented the option to login:</v>
      </c>
      <c r="S681" s="121" t="str">
        <v/>
      </c>
      <c r="T681" s="119" t="str">
        <f>IF($C681&lt;4,IF($C681=3,T682,IF($C681=2,T$1,"")),Q681&amp;R681&amp;IF(LEN(S681)=0,"",Preferences!$C$2&amp;S681)&amp;IF(J682=J681,IF(LEN(R681&amp;S681)=0,"","
")&amp;T682,""))</f>
        <v xml:space="preserve"> 1. A customer may register with the B2C Co online shop whenever they are presented the option to login:
	• On the login page
	• On begin prompted to login when choosing to checkout their anonymous shopping cart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1" s="122" t="str">
        <v/>
      </c>
      <c r="V681" s="42"/>
      <c r="W681" s="42"/>
      <c r="X681" s="42"/>
      <c r="Y681" s="42"/>
      <c r="Z681" s="42"/>
      <c r="AA681" s="42"/>
      <c r="AB681" s="42"/>
    </row>
    <row r="682" spans="1:28" x14ac:dyDescent="0.25">
      <c r="A682" s="42" t="str">
        <v>1.14.1.1.1</v>
      </c>
      <c r="B682" s="121" t="str">
        <v>On the login page</v>
      </c>
      <c r="C682" s="41">
        <v>5</v>
      </c>
      <c r="D682" s="41" t="str">
        <v>RL</v>
      </c>
      <c r="E682" s="117" t="str">
        <f t="shared" si="0"/>
        <v>RL</v>
      </c>
      <c r="F682" s="41" t="str">
        <v/>
      </c>
      <c r="G682" s="41" t="str">
        <v/>
      </c>
      <c r="H682" s="117">
        <f t="shared" si="1"/>
        <v>0</v>
      </c>
      <c r="I682" s="117">
        <f t="shared" si="2"/>
        <v>14</v>
      </c>
      <c r="J682" s="117">
        <f t="shared" si="3"/>
        <v>14.01</v>
      </c>
      <c r="K682" s="117" t="str">
        <f t="shared" si="4"/>
        <v>BR</v>
      </c>
      <c r="L682" s="42" t="str">
        <v>BR1401</v>
      </c>
      <c r="M682" s="121" t="str">
        <v/>
      </c>
      <c r="N682" s="121" t="str">
        <v/>
      </c>
      <c r="O682" s="121" t="str">
        <v/>
      </c>
      <c r="P682" s="121" t="str">
        <v/>
      </c>
      <c r="Q682" s="121" t="str">
        <v/>
      </c>
      <c r="R682" s="121" t="str">
        <v/>
      </c>
      <c r="S682" s="121" t="str">
        <v>On the login page</v>
      </c>
      <c r="T682" s="119" t="str">
        <f>IF($C682&lt;4,IF($C682=3,T683,IF($C682=2,T$1,"")),Q682&amp;R682&amp;IF(LEN(S682)=0,"",Preferences!$C$2&amp;S682)&amp;IF(J683=J682,IF(LEN(R682&amp;S682)=0,"","
")&amp;T683,""))</f>
        <v xml:space="preserve">	• On the login page
	• On begin prompted to login when choosing to checkout their anonymous shopping cart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2" s="122" t="str">
        <v/>
      </c>
      <c r="V682" s="42"/>
      <c r="W682" s="42"/>
      <c r="X682" s="42"/>
      <c r="Y682" s="42"/>
      <c r="Z682" s="42"/>
      <c r="AA682" s="42"/>
      <c r="AB682" s="42"/>
    </row>
    <row r="683" spans="1:28" x14ac:dyDescent="0.25">
      <c r="A683" s="42" t="str">
        <v>1.14.1.1.2</v>
      </c>
      <c r="B683" s="121" t="str">
        <v>On begin prompted to login when choosing to checkout their anonymous shopping cart</v>
      </c>
      <c r="C683" s="41">
        <v>5</v>
      </c>
      <c r="D683" s="41" t="str">
        <v>RL</v>
      </c>
      <c r="E683" s="117" t="str">
        <f t="shared" si="0"/>
        <v>RL</v>
      </c>
      <c r="F683" s="41" t="str">
        <v/>
      </c>
      <c r="G683" s="41" t="str">
        <v/>
      </c>
      <c r="H683" s="117">
        <f t="shared" si="1"/>
        <v>0</v>
      </c>
      <c r="I683" s="117">
        <f t="shared" si="2"/>
        <v>14</v>
      </c>
      <c r="J683" s="117">
        <f t="shared" si="3"/>
        <v>14.01</v>
      </c>
      <c r="K683" s="117" t="str">
        <f t="shared" si="4"/>
        <v>BR</v>
      </c>
      <c r="L683" s="42" t="str">
        <v>BR1401</v>
      </c>
      <c r="M683" s="121" t="str">
        <v/>
      </c>
      <c r="N683" s="121" t="str">
        <v/>
      </c>
      <c r="O683" s="121" t="str">
        <v/>
      </c>
      <c r="P683" s="121" t="str">
        <v/>
      </c>
      <c r="Q683" s="121" t="str">
        <v/>
      </c>
      <c r="R683" s="121" t="str">
        <v/>
      </c>
      <c r="S683" s="121" t="str">
        <v>On begin prompted to login when choosing to checkout their anonymous shopping cart</v>
      </c>
      <c r="T683" s="119" t="str">
        <f>IF($C683&lt;4,IF($C683=3,T684,IF($C683=2,T$1,"")),Q683&amp;R683&amp;IF(LEN(S683)=0,"",Preferences!$C$2&amp;S683)&amp;IF(J684=J683,IF(LEN(R683&amp;S683)=0,"","
")&amp;T684,""))</f>
        <v xml:space="preserve">	• On begin prompted to login when choosing to checkout their anonymous shopping cart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3" s="122" t="str">
        <v/>
      </c>
      <c r="V683" s="42"/>
      <c r="W683" s="42"/>
      <c r="X683" s="42"/>
      <c r="Y683" s="42"/>
      <c r="Z683" s="42"/>
      <c r="AA683" s="42"/>
      <c r="AB683" s="42"/>
    </row>
    <row r="684" spans="1:28" x14ac:dyDescent="0.25">
      <c r="A684" s="42" t="str">
        <v>1.14.1.1.3</v>
      </c>
      <c r="B684" s="121" t="str">
        <v>On begin prompted to login when using a customer link that requires a user to be logged in</v>
      </c>
      <c r="C684" s="41">
        <v>5</v>
      </c>
      <c r="D684" s="41" t="str">
        <v>RL</v>
      </c>
      <c r="E684" s="117" t="str">
        <f t="shared" si="0"/>
        <v>RL</v>
      </c>
      <c r="F684" s="41" t="str">
        <v/>
      </c>
      <c r="G684" s="41" t="str">
        <v/>
      </c>
      <c r="H684" s="117">
        <f t="shared" si="1"/>
        <v>0</v>
      </c>
      <c r="I684" s="117">
        <f t="shared" si="2"/>
        <v>14</v>
      </c>
      <c r="J684" s="117">
        <f t="shared" si="3"/>
        <v>14.01</v>
      </c>
      <c r="K684" s="117" t="str">
        <f t="shared" si="4"/>
        <v>BR</v>
      </c>
      <c r="L684" s="42" t="str">
        <v>BR1401</v>
      </c>
      <c r="M684" s="121" t="str">
        <v/>
      </c>
      <c r="N684" s="121" t="str">
        <v/>
      </c>
      <c r="O684" s="121" t="str">
        <v/>
      </c>
      <c r="P684" s="121" t="str">
        <v/>
      </c>
      <c r="Q684" s="121" t="str">
        <v/>
      </c>
      <c r="R684" s="121" t="str">
        <v/>
      </c>
      <c r="S684" s="121" t="str">
        <v>On begin prompted to login when using a customer link that requires a user to be logged in</v>
      </c>
      <c r="T684" s="119" t="str">
        <f>IF($C684&lt;4,IF($C684=3,T685,IF($C684=2,T$1,"")),Q684&amp;R684&amp;IF(LEN(S684)=0,"",Preferences!$C$2&amp;S684)&amp;IF(J685=J684,IF(LEN(R684&amp;S684)=0,"","
")&amp;T685,""))</f>
        <v xml:space="preserve">	• On begin prompted to login when using a customer link that requires a user to be logged in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4" s="122" t="str">
        <v/>
      </c>
      <c r="V684" s="42"/>
      <c r="W684" s="42"/>
      <c r="X684" s="42"/>
      <c r="Y684" s="42"/>
      <c r="Z684" s="42"/>
      <c r="AA684" s="42"/>
      <c r="AB684" s="42"/>
    </row>
    <row r="685" spans="1:28" x14ac:dyDescent="0.25">
      <c r="A685" s="42" t="str">
        <v>1.14.1.2</v>
      </c>
      <c r="B685" s="121" t="str">
        <v>A person registers as B2C Co customer by providing the following minimum details:</v>
      </c>
      <c r="C685" s="41">
        <v>4</v>
      </c>
      <c r="D685" s="41" t="str">
        <v>RD</v>
      </c>
      <c r="E685" s="117" t="str">
        <f t="shared" si="0"/>
        <v>RD</v>
      </c>
      <c r="F685" s="41" t="str">
        <v/>
      </c>
      <c r="G685" s="41" t="str">
        <v/>
      </c>
      <c r="H685" s="117">
        <f t="shared" si="1"/>
        <v>0</v>
      </c>
      <c r="I685" s="117">
        <f t="shared" si="2"/>
        <v>14</v>
      </c>
      <c r="J685" s="117">
        <f t="shared" si="3"/>
        <v>14.01</v>
      </c>
      <c r="K685" s="117" t="str">
        <f t="shared" si="4"/>
        <v>BR</v>
      </c>
      <c r="L685" s="42" t="str">
        <v>BR1401</v>
      </c>
      <c r="M685" s="121" t="str">
        <v/>
      </c>
      <c r="N685" s="121" t="str">
        <v/>
      </c>
      <c r="O685" s="121" t="str">
        <v/>
      </c>
      <c r="P685" s="121" t="str">
        <v/>
      </c>
      <c r="Q685" s="121" t="str">
        <v xml:space="preserve"> 2. </v>
      </c>
      <c r="R685" s="121" t="str">
        <v>A person registers as B2C Co customer by providing the following minimum details:</v>
      </c>
      <c r="S685" s="121" t="str">
        <v/>
      </c>
      <c r="T685" s="119" t="str">
        <f>IF($C685&lt;4,IF($C685=3,T686,IF($C685=2,T$1,"")),Q685&amp;R685&amp;IF(LEN(S685)=0,"",Preferences!$C$2&amp;S685)&amp;IF(J686=J685,IF(LEN(R685&amp;S685)=0,"","
")&amp;T686,""))</f>
        <v xml:space="preserve"> 2. A person registers as B2C Co customer by providing the following minimum details: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5" s="122" t="str">
        <v/>
      </c>
      <c r="V685" s="42"/>
      <c r="W685" s="42"/>
      <c r="X685" s="42"/>
      <c r="Y685" s="42"/>
      <c r="Z685" s="42"/>
      <c r="AA685" s="42"/>
      <c r="AB685" s="42"/>
    </row>
    <row r="686" spans="1:28" x14ac:dyDescent="0.25">
      <c r="A686" s="42" t="str">
        <v>1.14.1.2.1</v>
      </c>
      <c r="B686" s="121" t="str">
        <v>Name and Surname</v>
      </c>
      <c r="C686" s="41">
        <v>5</v>
      </c>
      <c r="D686" s="41" t="str">
        <v>RL</v>
      </c>
      <c r="E686" s="117" t="str">
        <f t="shared" si="0"/>
        <v>RL</v>
      </c>
      <c r="F686" s="41" t="str">
        <v/>
      </c>
      <c r="G686" s="41" t="str">
        <v/>
      </c>
      <c r="H686" s="117">
        <f t="shared" si="1"/>
        <v>0</v>
      </c>
      <c r="I686" s="117">
        <f t="shared" si="2"/>
        <v>14</v>
      </c>
      <c r="J686" s="117">
        <f t="shared" si="3"/>
        <v>14.01</v>
      </c>
      <c r="K686" s="117" t="str">
        <f t="shared" si="4"/>
        <v>BR</v>
      </c>
      <c r="L686" s="42" t="str">
        <v>BR1401</v>
      </c>
      <c r="M686" s="121" t="str">
        <v/>
      </c>
      <c r="N686" s="121" t="str">
        <v/>
      </c>
      <c r="O686" s="121" t="str">
        <v/>
      </c>
      <c r="P686" s="121" t="str">
        <v/>
      </c>
      <c r="Q686" s="121" t="str">
        <v/>
      </c>
      <c r="R686" s="121" t="str">
        <v/>
      </c>
      <c r="S686" s="121" t="str">
        <v>Name and Surname</v>
      </c>
      <c r="T686" s="119" t="str">
        <f>IF($C686&lt;4,IF($C686=3,T687,IF($C686=2,T$1,"")),Q686&amp;R686&amp;IF(LEN(S686)=0,"",Preferences!$C$2&amp;S686)&amp;IF(J687=J686,IF(LEN(R686&amp;S686)=0,"","
")&amp;T687,""))</f>
        <v xml:space="preserve">	• Name and Surname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6" s="122" t="str">
        <v/>
      </c>
      <c r="V686" s="42"/>
      <c r="W686" s="42"/>
      <c r="X686" s="42"/>
      <c r="Y686" s="42"/>
      <c r="Z686" s="42"/>
      <c r="AA686" s="42"/>
      <c r="AB686" s="42"/>
    </row>
    <row r="687" spans="1:28" x14ac:dyDescent="0.25">
      <c r="A687" s="42" t="str">
        <v>1.14.1.2.2</v>
      </c>
      <c r="B687" s="121" t="str">
        <v>ID Type: SA ID, or Passport</v>
      </c>
      <c r="C687" s="41">
        <v>5</v>
      </c>
      <c r="D687" s="41" t="str">
        <v>RL</v>
      </c>
      <c r="E687" s="117" t="str">
        <f t="shared" si="0"/>
        <v>RL</v>
      </c>
      <c r="F687" s="41" t="str">
        <v/>
      </c>
      <c r="G687" s="41" t="str">
        <v/>
      </c>
      <c r="H687" s="117">
        <f t="shared" si="1"/>
        <v>0</v>
      </c>
      <c r="I687" s="117">
        <f t="shared" si="2"/>
        <v>14</v>
      </c>
      <c r="J687" s="117">
        <f t="shared" si="3"/>
        <v>14.01</v>
      </c>
      <c r="K687" s="117" t="str">
        <f t="shared" si="4"/>
        <v>BR</v>
      </c>
      <c r="L687" s="42" t="str">
        <v>BR1401</v>
      </c>
      <c r="M687" s="121" t="str">
        <v/>
      </c>
      <c r="N687" s="121" t="str">
        <v/>
      </c>
      <c r="O687" s="121" t="str">
        <v/>
      </c>
      <c r="P687" s="121" t="str">
        <v/>
      </c>
      <c r="Q687" s="121" t="str">
        <v/>
      </c>
      <c r="R687" s="121" t="str">
        <v/>
      </c>
      <c r="S687" s="121" t="str">
        <v>ID Type: SA ID, or Passport</v>
      </c>
      <c r="T687" s="119" t="str">
        <f>IF($C687&lt;4,IF($C687=3,T688,IF($C687=2,T$1,"")),Q687&amp;R687&amp;IF(LEN(S687)=0,"",Preferences!$C$2&amp;S687)&amp;IF(J688=J687,IF(LEN(R687&amp;S687)=0,"","
")&amp;T688,""))</f>
        <v xml:space="preserve">	• ID Type: SA ID, or Passport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7" s="122" t="str">
        <v/>
      </c>
      <c r="V687" s="42"/>
      <c r="W687" s="42"/>
      <c r="X687" s="42"/>
      <c r="Y687" s="42"/>
      <c r="Z687" s="42"/>
      <c r="AA687" s="42"/>
      <c r="AB687" s="42"/>
    </row>
    <row r="688" spans="1:28" x14ac:dyDescent="0.25">
      <c r="A688" s="42" t="str">
        <v>1.14.1.2.3</v>
      </c>
      <c r="B688" s="121" t="str">
        <v>If SA ID, capture SA ID number (13 digits, validated as SA ID, with checksum)</v>
      </c>
      <c r="C688" s="41">
        <v>5</v>
      </c>
      <c r="D688" s="41" t="str">
        <v>RL</v>
      </c>
      <c r="E688" s="117" t="str">
        <f t="shared" si="0"/>
        <v>RL</v>
      </c>
      <c r="F688" s="41" t="str">
        <v/>
      </c>
      <c r="G688" s="41" t="str">
        <v/>
      </c>
      <c r="H688" s="117">
        <f t="shared" si="1"/>
        <v>0</v>
      </c>
      <c r="I688" s="117">
        <f t="shared" si="2"/>
        <v>14</v>
      </c>
      <c r="J688" s="117">
        <f t="shared" si="3"/>
        <v>14.01</v>
      </c>
      <c r="K688" s="117" t="str">
        <f t="shared" si="4"/>
        <v>BR</v>
      </c>
      <c r="L688" s="42" t="str">
        <v>BR1401</v>
      </c>
      <c r="M688" s="121" t="str">
        <v/>
      </c>
      <c r="N688" s="121" t="str">
        <v/>
      </c>
      <c r="O688" s="121" t="str">
        <v/>
      </c>
      <c r="P688" s="121" t="str">
        <v/>
      </c>
      <c r="Q688" s="121" t="str">
        <v/>
      </c>
      <c r="R688" s="121" t="str">
        <v/>
      </c>
      <c r="S688" s="121" t="str">
        <v>If SA ID, capture SA ID number (13 digits, validated as SA ID, with checksum)</v>
      </c>
      <c r="T688" s="119" t="str">
        <f>IF($C688&lt;4,IF($C688=3,T689,IF($C688=2,T$1,"")),Q688&amp;R688&amp;IF(LEN(S688)=0,"",Preferences!$C$2&amp;S688)&amp;IF(J689=J688,IF(LEN(R688&amp;S688)=0,"","
")&amp;T689,""))</f>
        <v xml:space="preserve">	• If SA ID, capture SA ID number (13 digits, validated as SA ID, with checksum)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8" s="122" t="str">
        <v/>
      </c>
      <c r="V688" s="42"/>
      <c r="W688" s="42"/>
      <c r="X688" s="42"/>
      <c r="Y688" s="42"/>
      <c r="Z688" s="42"/>
      <c r="AA688" s="42"/>
      <c r="AB688" s="42"/>
    </row>
    <row r="689" spans="1:28" x14ac:dyDescent="0.25">
      <c r="A689" s="42" t="str">
        <v>1.14.1.2.4</v>
      </c>
      <c r="B689" s="121" t="str">
        <v>If passport, capture passport number (6-15 alpha-numeric characters)</v>
      </c>
      <c r="C689" s="41">
        <v>5</v>
      </c>
      <c r="D689" s="41" t="str">
        <v>RL</v>
      </c>
      <c r="E689" s="117" t="str">
        <f t="shared" si="0"/>
        <v>RL</v>
      </c>
      <c r="F689" s="41" t="str">
        <v/>
      </c>
      <c r="G689" s="41" t="str">
        <v/>
      </c>
      <c r="H689" s="117">
        <f t="shared" si="1"/>
        <v>0</v>
      </c>
      <c r="I689" s="117">
        <f t="shared" si="2"/>
        <v>14</v>
      </c>
      <c r="J689" s="117">
        <f t="shared" si="3"/>
        <v>14.01</v>
      </c>
      <c r="K689" s="117" t="str">
        <f t="shared" si="4"/>
        <v>BR</v>
      </c>
      <c r="L689" s="42" t="str">
        <v>BR1401</v>
      </c>
      <c r="M689" s="121" t="str">
        <v/>
      </c>
      <c r="N689" s="121" t="str">
        <v/>
      </c>
      <c r="O689" s="121" t="str">
        <v/>
      </c>
      <c r="P689" s="121" t="str">
        <v/>
      </c>
      <c r="Q689" s="121" t="str">
        <v/>
      </c>
      <c r="R689" s="121" t="str">
        <v/>
      </c>
      <c r="S689" s="121" t="str">
        <v>If passport, capture passport number (6-15 alpha-numeric characters)</v>
      </c>
      <c r="T689" s="119" t="str">
        <f>IF($C689&lt;4,IF($C689=3,T690,IF($C689=2,T$1,"")),Q689&amp;R689&amp;IF(LEN(S689)=0,"",Preferences!$C$2&amp;S689)&amp;IF(J690=J689,IF(LEN(R689&amp;S689)=0,"","
")&amp;T690,""))</f>
        <v xml:space="preserve">	• If passport, capture passport number (6-15 alpha-numeric characters)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89" s="122" t="str">
        <v/>
      </c>
      <c r="V689" s="42"/>
      <c r="W689" s="42"/>
      <c r="X689" s="42"/>
      <c r="Y689" s="42"/>
      <c r="Z689" s="42"/>
      <c r="AA689" s="42"/>
      <c r="AB689" s="42"/>
    </row>
    <row r="690" spans="1:28" x14ac:dyDescent="0.25">
      <c r="A690" s="42" t="str">
        <v>1.14.1.2.5</v>
      </c>
      <c r="B690" s="121" t="str">
        <v>Title (if SA ID was used, default to Ms/Mr, based on detected gender)</v>
      </c>
      <c r="C690" s="41">
        <v>5</v>
      </c>
      <c r="D690" s="41" t="str">
        <v>RL</v>
      </c>
      <c r="E690" s="117" t="str">
        <f t="shared" si="0"/>
        <v>RL</v>
      </c>
      <c r="F690" s="41" t="str">
        <v/>
      </c>
      <c r="G690" s="41" t="str">
        <v/>
      </c>
      <c r="H690" s="117">
        <f t="shared" si="1"/>
        <v>0</v>
      </c>
      <c r="I690" s="117">
        <f t="shared" si="2"/>
        <v>14</v>
      </c>
      <c r="J690" s="117">
        <f t="shared" si="3"/>
        <v>14.01</v>
      </c>
      <c r="K690" s="117" t="str">
        <f t="shared" si="4"/>
        <v>BR</v>
      </c>
      <c r="L690" s="42" t="str">
        <v>BR1401</v>
      </c>
      <c r="M690" s="121" t="str">
        <v/>
      </c>
      <c r="N690" s="121" t="str">
        <v/>
      </c>
      <c r="O690" s="121" t="str">
        <v/>
      </c>
      <c r="P690" s="121" t="str">
        <v/>
      </c>
      <c r="Q690" s="121" t="str">
        <v/>
      </c>
      <c r="R690" s="121" t="str">
        <v/>
      </c>
      <c r="S690" s="121" t="str">
        <v>Title (if SA ID was used, default to Ms/Mr, based on detected gender)</v>
      </c>
      <c r="T690" s="119" t="str">
        <f>IF($C690&lt;4,IF($C690=3,T691,IF($C690=2,T$1,"")),Q690&amp;R690&amp;IF(LEN(S690)=0,"",Preferences!$C$2&amp;S690)&amp;IF(J691=J690,IF(LEN(R690&amp;S690)=0,"","
")&amp;T691,""))</f>
        <v xml:space="preserve">	• Title (if SA ID was used, default to Ms/Mr, based on detected gender)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0" s="122" t="str">
        <v/>
      </c>
      <c r="V690" s="42"/>
      <c r="W690" s="42"/>
      <c r="X690" s="42"/>
      <c r="Y690" s="42"/>
      <c r="Z690" s="42"/>
      <c r="AA690" s="42"/>
      <c r="AB690" s="42"/>
    </row>
    <row r="691" spans="1:28" x14ac:dyDescent="0.25">
      <c r="A691" s="42" t="str">
        <v>1.14.1.2.6</v>
      </c>
      <c r="B691" s="121" t="str">
        <v>Email address (validate format)</v>
      </c>
      <c r="C691" s="41">
        <v>5</v>
      </c>
      <c r="D691" s="41" t="str">
        <v>RL</v>
      </c>
      <c r="E691" s="117" t="str">
        <f t="shared" si="0"/>
        <v>RL</v>
      </c>
      <c r="F691" s="41" t="str">
        <v/>
      </c>
      <c r="G691" s="41" t="str">
        <v/>
      </c>
      <c r="H691" s="117">
        <f t="shared" si="1"/>
        <v>0</v>
      </c>
      <c r="I691" s="117">
        <f t="shared" si="2"/>
        <v>14</v>
      </c>
      <c r="J691" s="117">
        <f t="shared" si="3"/>
        <v>14.01</v>
      </c>
      <c r="K691" s="117" t="str">
        <f t="shared" si="4"/>
        <v>BR</v>
      </c>
      <c r="L691" s="42" t="str">
        <v>BR1401</v>
      </c>
      <c r="M691" s="121" t="str">
        <v/>
      </c>
      <c r="N691" s="121" t="str">
        <v/>
      </c>
      <c r="O691" s="121" t="str">
        <v/>
      </c>
      <c r="P691" s="121" t="str">
        <v/>
      </c>
      <c r="Q691" s="121" t="str">
        <v/>
      </c>
      <c r="R691" s="121" t="str">
        <v/>
      </c>
      <c r="S691" s="121" t="str">
        <v>Email address (validate format)</v>
      </c>
      <c r="T691" s="119" t="str">
        <f>IF($C691&lt;4,IF($C691=3,T692,IF($C691=2,T$1,"")),Q691&amp;R691&amp;IF(LEN(S691)=0,"",Preferences!$C$2&amp;S691)&amp;IF(J692=J691,IF(LEN(R691&amp;S691)=0,"","
")&amp;T692,""))</f>
        <v xml:space="preserve">	• Email address (validate format)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1" s="122" t="str">
        <v/>
      </c>
      <c r="V691" s="42"/>
      <c r="W691" s="42"/>
      <c r="X691" s="42"/>
      <c r="Y691" s="42"/>
      <c r="Z691" s="42"/>
      <c r="AA691" s="42"/>
      <c r="AB691" s="42"/>
    </row>
    <row r="692" spans="1:28" x14ac:dyDescent="0.25">
      <c r="A692" s="42" t="str">
        <v>1.14.1.2.7</v>
      </c>
      <c r="B692" s="121" t="str">
        <v>SA cellphone number (prefix 27, 9 digits)</v>
      </c>
      <c r="C692" s="41">
        <v>5</v>
      </c>
      <c r="D692" s="41" t="str">
        <v>RL</v>
      </c>
      <c r="E692" s="117" t="str">
        <f t="shared" si="0"/>
        <v>RL</v>
      </c>
      <c r="F692" s="41" t="str">
        <v/>
      </c>
      <c r="G692" s="41" t="str">
        <v/>
      </c>
      <c r="H692" s="117">
        <f t="shared" si="1"/>
        <v>0</v>
      </c>
      <c r="I692" s="117">
        <f t="shared" si="2"/>
        <v>14</v>
      </c>
      <c r="J692" s="117">
        <f t="shared" si="3"/>
        <v>14.01</v>
      </c>
      <c r="K692" s="117" t="str">
        <f t="shared" si="4"/>
        <v>BR</v>
      </c>
      <c r="L692" s="42" t="str">
        <v>BR1401</v>
      </c>
      <c r="M692" s="121" t="str">
        <v/>
      </c>
      <c r="N692" s="121" t="str">
        <v/>
      </c>
      <c r="O692" s="121" t="str">
        <v/>
      </c>
      <c r="P692" s="121" t="str">
        <v/>
      </c>
      <c r="Q692" s="121" t="str">
        <v/>
      </c>
      <c r="R692" s="121" t="str">
        <v/>
      </c>
      <c r="S692" s="121" t="str">
        <v>SA cellphone number (prefix 27, 9 digits)</v>
      </c>
      <c r="T692" s="119" t="str">
        <f>IF($C692&lt;4,IF($C692=3,T693,IF($C692=2,T$1,"")),Q692&amp;R692&amp;IF(LEN(S692)=0,"",Preferences!$C$2&amp;S692)&amp;IF(J693=J692,IF(LEN(R692&amp;S692)=0,"","
")&amp;T693,""))</f>
        <v xml:space="preserve">	• SA cellphone number (prefix 27, 9 digits)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2" s="122" t="str">
        <v/>
      </c>
      <c r="V692" s="42"/>
      <c r="W692" s="42"/>
      <c r="X692" s="42"/>
      <c r="Y692" s="42"/>
      <c r="Z692" s="42"/>
      <c r="AA692" s="42"/>
      <c r="AB692" s="42"/>
    </row>
    <row r="693" spans="1:28" x14ac:dyDescent="0.25">
      <c r="A693" s="42" t="str">
        <v>1.14.1.2.8</v>
      </c>
      <c r="B693" s="121" t="str">
        <v>Password (double-entry with strength-check)</v>
      </c>
      <c r="C693" s="41">
        <v>5</v>
      </c>
      <c r="D693" s="41" t="str">
        <v>RL</v>
      </c>
      <c r="E693" s="117" t="str">
        <f t="shared" si="0"/>
        <v>RL</v>
      </c>
      <c r="F693" s="41" t="str">
        <v/>
      </c>
      <c r="G693" s="41" t="str">
        <v/>
      </c>
      <c r="H693" s="117">
        <f t="shared" si="1"/>
        <v>0</v>
      </c>
      <c r="I693" s="117">
        <f t="shared" si="2"/>
        <v>14</v>
      </c>
      <c r="J693" s="117">
        <f t="shared" si="3"/>
        <v>14.01</v>
      </c>
      <c r="K693" s="117" t="str">
        <f t="shared" si="4"/>
        <v>BR</v>
      </c>
      <c r="L693" s="42" t="str">
        <v>BR1401</v>
      </c>
      <c r="M693" s="121" t="str">
        <v/>
      </c>
      <c r="N693" s="121" t="str">
        <v/>
      </c>
      <c r="O693" s="121" t="str">
        <v/>
      </c>
      <c r="P693" s="121" t="str">
        <v/>
      </c>
      <c r="Q693" s="121" t="str">
        <v/>
      </c>
      <c r="R693" s="121" t="str">
        <v/>
      </c>
      <c r="S693" s="121" t="str">
        <v>Password (double-entry with strength-check)</v>
      </c>
      <c r="T693" s="119" t="str">
        <f>IF($C693&lt;4,IF($C693=3,T694,IF($C693=2,T$1,"")),Q693&amp;R693&amp;IF(LEN(S693)=0,"",Preferences!$C$2&amp;S693)&amp;IF(J694=J693,IF(LEN(R693&amp;S693)=0,"","
")&amp;T694,""))</f>
        <v xml:space="preserve">	• Password (double-entry with strength-check)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3" s="122" t="str">
        <v/>
      </c>
      <c r="V693" s="42"/>
      <c r="W693" s="42"/>
      <c r="X693" s="42"/>
      <c r="Y693" s="42"/>
      <c r="Z693" s="42"/>
      <c r="AA693" s="42"/>
      <c r="AB693" s="42"/>
    </row>
    <row r="694" spans="1:28" x14ac:dyDescent="0.25">
      <c r="A694" s="42" t="str">
        <v>1.14.1.2.9</v>
      </c>
      <c r="B694" s="121" t="str">
        <v>Secret question and answer (for use to authenticate user forgetting their username, or on a call)</v>
      </c>
      <c r="C694" s="41">
        <v>5</v>
      </c>
      <c r="D694" s="41" t="str">
        <v>RL</v>
      </c>
      <c r="E694" s="117" t="str">
        <f t="shared" si="0"/>
        <v>RL</v>
      </c>
      <c r="F694" s="41" t="str">
        <v/>
      </c>
      <c r="G694" s="41" t="str">
        <v/>
      </c>
      <c r="H694" s="117">
        <f t="shared" si="1"/>
        <v>0</v>
      </c>
      <c r="I694" s="117">
        <f t="shared" si="2"/>
        <v>14</v>
      </c>
      <c r="J694" s="117">
        <f t="shared" si="3"/>
        <v>14.01</v>
      </c>
      <c r="K694" s="117" t="str">
        <f t="shared" si="4"/>
        <v>BR</v>
      </c>
      <c r="L694" s="42" t="str">
        <v>BR1401</v>
      </c>
      <c r="M694" s="121" t="str">
        <v/>
      </c>
      <c r="N694" s="121" t="str">
        <v/>
      </c>
      <c r="O694" s="121" t="str">
        <v/>
      </c>
      <c r="P694" s="121" t="str">
        <v/>
      </c>
      <c r="Q694" s="121" t="str">
        <v/>
      </c>
      <c r="R694" s="121" t="str">
        <v/>
      </c>
      <c r="S694" s="121" t="str">
        <v>Secret question and answer (for use to authenticate user forgetting their username, or on a call)</v>
      </c>
      <c r="T694" s="119" t="str">
        <f>IF($C694&lt;4,IF($C694=3,T695,IF($C694=2,T$1,"")),Q694&amp;R694&amp;IF(LEN(S694)=0,"",Preferences!$C$2&amp;S694)&amp;IF(J695=J694,IF(LEN(R694&amp;S694)=0,"","
")&amp;T695,""))</f>
        <v xml:space="preserve">	• Secret question and answer (for use to authenticate user forgetting their username, or on a call)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4" s="122" t="str">
        <v/>
      </c>
      <c r="V694" s="42"/>
      <c r="W694" s="42"/>
      <c r="X694" s="42"/>
      <c r="Y694" s="42"/>
      <c r="Z694" s="42"/>
      <c r="AA694" s="42"/>
      <c r="AB694" s="42"/>
    </row>
    <row r="695" spans="1:28" x14ac:dyDescent="0.25">
      <c r="A695" s="42" t="str">
        <v>1.14.1.2.10</v>
      </c>
      <c r="B695" s="121" t="str">
        <v>Accept the B2C Co online shopping terms and conditions (may click a link to display and review the terms and conditions in a separate browser tab)</v>
      </c>
      <c r="C695" s="41">
        <v>5</v>
      </c>
      <c r="D695" s="41" t="str">
        <v>RL</v>
      </c>
      <c r="E695" s="117" t="str">
        <f t="shared" si="0"/>
        <v>RL</v>
      </c>
      <c r="F695" s="41" t="str">
        <v/>
      </c>
      <c r="G695" s="41" t="str">
        <v/>
      </c>
      <c r="H695" s="117">
        <f t="shared" si="1"/>
        <v>0</v>
      </c>
      <c r="I695" s="117">
        <f t="shared" si="2"/>
        <v>14</v>
      </c>
      <c r="J695" s="117">
        <f t="shared" si="3"/>
        <v>14.01</v>
      </c>
      <c r="K695" s="117" t="str">
        <f t="shared" si="4"/>
        <v>BR</v>
      </c>
      <c r="L695" s="42" t="str">
        <v>BR1401</v>
      </c>
      <c r="M695" s="121" t="str">
        <v/>
      </c>
      <c r="N695" s="121" t="str">
        <v/>
      </c>
      <c r="O695" s="121" t="str">
        <v/>
      </c>
      <c r="P695" s="121" t="str">
        <v/>
      </c>
      <c r="Q695" s="121" t="str">
        <v/>
      </c>
      <c r="R695" s="121" t="str">
        <v/>
      </c>
      <c r="S695" s="121" t="str">
        <v>Accept the B2C Co online shopping terms and conditions (may click a link to display and review the terms and conditions in a separate browser tab)</v>
      </c>
      <c r="T695" s="119" t="str">
        <f>IF($C695&lt;4,IF($C695=3,T696,IF($C695=2,T$1,"")),Q695&amp;R695&amp;IF(LEN(S695)=0,"",Preferences!$C$2&amp;S695)&amp;IF(J696=J695,IF(LEN(R695&amp;S695)=0,"","
")&amp;T696,""))</f>
        <v xml:space="preserve">	• Accept the B2C Co online shopping terms and conditions (may click a link to display and review the terms and conditions in a separate browser tab)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5" s="122" t="str">
        <v/>
      </c>
      <c r="V695" s="42"/>
      <c r="W695" s="42"/>
      <c r="X695" s="42"/>
      <c r="Y695" s="42"/>
      <c r="Z695" s="42"/>
      <c r="AA695" s="42"/>
      <c r="AB695" s="42"/>
    </row>
    <row r="696" spans="1:28" x14ac:dyDescent="0.25">
      <c r="A696" s="42" t="str">
        <v>1.14.1.2.11</v>
      </c>
      <c r="B696" s="121" t="str">
        <v>Once submitted, a confirmation is presented, directing them to look out for the confirmation email with their one-time registration confirmation link.</v>
      </c>
      <c r="C696" s="41">
        <v>5</v>
      </c>
      <c r="D696" s="41" t="str">
        <v>RL</v>
      </c>
      <c r="E696" s="117" t="str">
        <f t="shared" si="0"/>
        <v>RL</v>
      </c>
      <c r="F696" s="41" t="str">
        <v/>
      </c>
      <c r="G696" s="41" t="str">
        <v/>
      </c>
      <c r="H696" s="117">
        <f t="shared" si="1"/>
        <v>0</v>
      </c>
      <c r="I696" s="117">
        <f t="shared" si="2"/>
        <v>14</v>
      </c>
      <c r="J696" s="117">
        <f t="shared" si="3"/>
        <v>14.01</v>
      </c>
      <c r="K696" s="117" t="str">
        <f t="shared" si="4"/>
        <v>BR</v>
      </c>
      <c r="L696" s="42" t="str">
        <v>BR1401</v>
      </c>
      <c r="M696" s="121" t="str">
        <v/>
      </c>
      <c r="N696" s="121" t="str">
        <v/>
      </c>
      <c r="O696" s="121" t="str">
        <v/>
      </c>
      <c r="P696" s="121" t="str">
        <v/>
      </c>
      <c r="Q696" s="121" t="str">
        <v/>
      </c>
      <c r="R696" s="121" t="str">
        <v/>
      </c>
      <c r="S696" s="121" t="str">
        <v>Once submitted, a confirmation is presented, directing them to look out for the confirmation email with their one-time registration confirmation link.</v>
      </c>
      <c r="T696" s="119" t="str">
        <f>IF($C696&lt;4,IF($C696=3,T697,IF($C696=2,T$1,"")),Q696&amp;R696&amp;IF(LEN(S696)=0,"",Preferences!$C$2&amp;S696)&amp;IF(J697=J696,IF(LEN(R696&amp;S696)=0,"","
")&amp;T697,""))</f>
        <v xml:space="preserve">	• Once submitted, a confirmation is presented, directing them to look out for the confirmation email with their one-time registration confirmation link.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6" s="122" t="str">
        <v/>
      </c>
      <c r="V696" s="42"/>
      <c r="W696" s="42"/>
      <c r="X696" s="42"/>
      <c r="Y696" s="42"/>
      <c r="Z696" s="42"/>
      <c r="AA696" s="42"/>
      <c r="AB696" s="42"/>
    </row>
    <row r="697" spans="1:28" x14ac:dyDescent="0.25">
      <c r="A697" s="42" t="str">
        <v>1.14.1.3</v>
      </c>
      <c r="B697" s="121" t="str">
        <v>A newly registered customer confirms their registration using the one-time link in the confirmation email sent to them.</v>
      </c>
      <c r="C697" s="41">
        <v>4</v>
      </c>
      <c r="D697" s="41" t="str">
        <v>RD</v>
      </c>
      <c r="E697" s="117" t="str">
        <f t="shared" si="0"/>
        <v>RD</v>
      </c>
      <c r="F697" s="41" t="str">
        <v/>
      </c>
      <c r="G697" s="41" t="str">
        <v/>
      </c>
      <c r="H697" s="117">
        <f t="shared" si="1"/>
        <v>0</v>
      </c>
      <c r="I697" s="117">
        <f t="shared" si="2"/>
        <v>14</v>
      </c>
      <c r="J697" s="117">
        <f t="shared" si="3"/>
        <v>14.01</v>
      </c>
      <c r="K697" s="117" t="str">
        <f t="shared" si="4"/>
        <v>BR</v>
      </c>
      <c r="L697" s="42" t="str">
        <v>BR1401</v>
      </c>
      <c r="M697" s="121" t="str">
        <v/>
      </c>
      <c r="N697" s="121" t="str">
        <v/>
      </c>
      <c r="O697" s="121" t="str">
        <v/>
      </c>
      <c r="P697" s="121" t="str">
        <v/>
      </c>
      <c r="Q697" s="121" t="str">
        <v xml:space="preserve"> 3. </v>
      </c>
      <c r="R697" s="121" t="str">
        <v>A newly registered customer confirms their registration using the one-time link in the confirmation email sent to them.</v>
      </c>
      <c r="S697" s="121" t="str">
        <v/>
      </c>
      <c r="T697" s="119" t="str">
        <f>IF($C697&lt;4,IF($C697=3,T698,IF($C697=2,T$1,"")),Q697&amp;R697&amp;IF(LEN(S697)=0,"",Preferences!$C$2&amp;S697)&amp;IF(J698=J697,IF(LEN(R697&amp;S697)=0,"","
")&amp;T698,""))</f>
        <v xml:space="preserve"> 3. A newly registered customer confirms their registration using the one-time link in the confirmation email sent to them.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7" s="122" t="str">
        <v/>
      </c>
      <c r="V697" s="42"/>
      <c r="W697" s="42"/>
      <c r="X697" s="42"/>
      <c r="Y697" s="42"/>
      <c r="Z697" s="42"/>
      <c r="AA697" s="42"/>
      <c r="AB697" s="42"/>
    </row>
    <row r="698" spans="1:28" x14ac:dyDescent="0.25">
      <c r="A698" s="42" t="str">
        <v>1.14.1.3.1</v>
      </c>
      <c r="B698" s="121" t="str">
        <v>The confirmation link presents a welcome confirmation page to the new customer, with the options to start shopping, or visit their profile page.</v>
      </c>
      <c r="C698" s="41">
        <v>5</v>
      </c>
      <c r="D698" s="41" t="str">
        <v>RL</v>
      </c>
      <c r="E698" s="117" t="str">
        <f t="shared" si="0"/>
        <v>RL</v>
      </c>
      <c r="F698" s="41" t="str">
        <v/>
      </c>
      <c r="G698" s="41" t="str">
        <v/>
      </c>
      <c r="H698" s="117">
        <f t="shared" si="1"/>
        <v>0</v>
      </c>
      <c r="I698" s="117">
        <f t="shared" si="2"/>
        <v>14</v>
      </c>
      <c r="J698" s="117">
        <f t="shared" si="3"/>
        <v>14.01</v>
      </c>
      <c r="K698" s="117" t="str">
        <f t="shared" si="4"/>
        <v>BR</v>
      </c>
      <c r="L698" s="42" t="str">
        <v>BR1401</v>
      </c>
      <c r="M698" s="121" t="str">
        <v/>
      </c>
      <c r="N698" s="121" t="str">
        <v/>
      </c>
      <c r="O698" s="121" t="str">
        <v/>
      </c>
      <c r="P698" s="121" t="str">
        <v/>
      </c>
      <c r="Q698" s="121" t="str">
        <v/>
      </c>
      <c r="R698" s="121" t="str">
        <v/>
      </c>
      <c r="S698" s="121" t="str">
        <v>The confirmation link presents a welcome confirmation page to the new customer, with the options to start shopping, or visit their profile page.</v>
      </c>
      <c r="T698" s="119" t="str">
        <f>IF($C698&lt;4,IF($C698=3,T699,IF($C698=2,T$1,"")),Q698&amp;R698&amp;IF(LEN(S698)=0,"",Preferences!$C$2&amp;S698)&amp;IF(J699=J698,IF(LEN(R698&amp;S698)=0,"","
")&amp;T699,""))</f>
        <v xml:space="preserve">	• The confirmation link presents a welcome confirmation page to the new customer, with the options to start shopping, or visit their profile page.
 4. Business Rule 1: If an SA ID number is provided, the provided title options must be applicable to the gender of the customer.
 5. Business Rule 2: The same email address may not be used for more than one active user of any type.</v>
      </c>
      <c r="U698" s="122" t="str">
        <v/>
      </c>
      <c r="V698" s="42"/>
      <c r="W698" s="42"/>
      <c r="X698" s="42"/>
      <c r="Y698" s="42"/>
      <c r="Z698" s="42"/>
      <c r="AA698" s="42"/>
      <c r="AB698" s="42"/>
    </row>
    <row r="699" spans="1:28" x14ac:dyDescent="0.25">
      <c r="A699" s="42" t="str">
        <v>1.14.1.4</v>
      </c>
      <c r="B699" s="121" t="str">
        <v>Business Rule 1: If an SA ID number is provided, the provided title options must be applicable to the gender of the customer.</v>
      </c>
      <c r="C699" s="41">
        <v>4</v>
      </c>
      <c r="D699" s="41" t="str">
        <v>RD</v>
      </c>
      <c r="E699" s="117" t="str">
        <f t="shared" si="0"/>
        <v>RD</v>
      </c>
      <c r="F699" s="41" t="str">
        <v/>
      </c>
      <c r="G699" s="41" t="str">
        <v/>
      </c>
      <c r="H699" s="117">
        <f t="shared" si="1"/>
        <v>0</v>
      </c>
      <c r="I699" s="117">
        <f t="shared" si="2"/>
        <v>14</v>
      </c>
      <c r="J699" s="117">
        <f t="shared" si="3"/>
        <v>14.01</v>
      </c>
      <c r="K699" s="117" t="str">
        <f t="shared" si="4"/>
        <v>BR</v>
      </c>
      <c r="L699" s="42" t="str">
        <v>BR1401</v>
      </c>
      <c r="M699" s="121" t="str">
        <v/>
      </c>
      <c r="N699" s="121" t="str">
        <v/>
      </c>
      <c r="O699" s="121" t="str">
        <v/>
      </c>
      <c r="P699" s="121" t="str">
        <v/>
      </c>
      <c r="Q699" s="121" t="str">
        <v xml:space="preserve"> 4. </v>
      </c>
      <c r="R699" s="121" t="str">
        <v>Business Rule 1: If an SA ID number is provided, the provided title options must be applicable to the gender of the customer.</v>
      </c>
      <c r="S699" s="121" t="str">
        <v/>
      </c>
      <c r="T699" s="119" t="str">
        <f>IF($C699&lt;4,IF($C699=3,T700,IF($C699=2,T$1,"")),Q699&amp;R699&amp;IF(LEN(S699)=0,"",Preferences!$C$2&amp;S699)&amp;IF(J700=J699,IF(LEN(R699&amp;S699)=0,"","
")&amp;T700,""))</f>
        <v xml:space="preserve"> 4. Business Rule 1: If an SA ID number is provided, the provided title options must be applicable to the gender of the customer.
 5. Business Rule 2: The same email address may not be used for more than one active user of any type.</v>
      </c>
      <c r="U699" s="122" t="str">
        <v/>
      </c>
      <c r="V699" s="42"/>
      <c r="W699" s="42"/>
      <c r="X699" s="42"/>
      <c r="Y699" s="42"/>
      <c r="Z699" s="42"/>
      <c r="AA699" s="42"/>
      <c r="AB699" s="42"/>
    </row>
    <row r="700" spans="1:28" x14ac:dyDescent="0.25">
      <c r="A700" s="42" t="str">
        <v>1.14.1.5</v>
      </c>
      <c r="B700" s="121" t="str">
        <v>Business Rule 2: The same email address may not be used for more than one active user of any type.</v>
      </c>
      <c r="C700" s="41">
        <v>4</v>
      </c>
      <c r="D700" s="41" t="str">
        <v>RD</v>
      </c>
      <c r="E700" s="117" t="str">
        <f t="shared" si="0"/>
        <v>RD</v>
      </c>
      <c r="F700" s="41" t="str">
        <v/>
      </c>
      <c r="G700" s="41" t="str">
        <v/>
      </c>
      <c r="H700" s="117">
        <f t="shared" si="1"/>
        <v>0</v>
      </c>
      <c r="I700" s="117">
        <f t="shared" si="2"/>
        <v>14</v>
      </c>
      <c r="J700" s="117">
        <f t="shared" si="3"/>
        <v>14.01</v>
      </c>
      <c r="K700" s="117" t="str">
        <f t="shared" si="4"/>
        <v>BR</v>
      </c>
      <c r="L700" s="42" t="str">
        <v>BR1401</v>
      </c>
      <c r="M700" s="121" t="str">
        <v/>
      </c>
      <c r="N700" s="121" t="str">
        <v/>
      </c>
      <c r="O700" s="121" t="str">
        <v/>
      </c>
      <c r="P700" s="121" t="str">
        <v/>
      </c>
      <c r="Q700" s="121" t="str">
        <v xml:space="preserve"> 5. </v>
      </c>
      <c r="R700" s="121" t="str">
        <v>Business Rule 2: The same email address may not be used for more than one active user of any type.</v>
      </c>
      <c r="S700" s="121" t="str">
        <v/>
      </c>
      <c r="T700" s="119" t="str">
        <f>IF($C700&lt;4,IF($C700=3,T701,IF($C700=2,T$1,"")),Q700&amp;R700&amp;IF(LEN(S700)=0,"",Preferences!$C$2&amp;S700)&amp;IF(J701=J700,IF(LEN(R700&amp;S700)=0,"","
")&amp;T701,""))</f>
        <v xml:space="preserve"> 5. Business Rule 2: The same email address may not be used for more than one active user of any type.</v>
      </c>
      <c r="U700" s="122" t="str">
        <v/>
      </c>
      <c r="V700" s="42"/>
      <c r="W700" s="42"/>
      <c r="X700" s="42"/>
      <c r="Y700" s="42"/>
      <c r="Z700" s="42"/>
      <c r="AA700" s="42"/>
      <c r="AB700" s="42"/>
    </row>
    <row r="701" spans="1:28" x14ac:dyDescent="0.25">
      <c r="A701" s="42" t="str">
        <v>1.14.2</v>
      </c>
      <c r="B701" s="121" t="str">
        <v>14.2 Login customer</v>
      </c>
      <c r="C701" s="41">
        <v>3</v>
      </c>
      <c r="D701" s="41" t="str">
        <v>R</v>
      </c>
      <c r="E701" s="117" t="str">
        <f t="shared" si="0"/>
        <v>R</v>
      </c>
      <c r="F701" s="41" t="str">
        <v/>
      </c>
      <c r="G701" s="41" t="str">
        <v/>
      </c>
      <c r="H701" s="117">
        <f t="shared" si="1"/>
        <v>0</v>
      </c>
      <c r="I701" s="117">
        <f t="shared" si="2"/>
        <v>14</v>
      </c>
      <c r="J701" s="117">
        <f t="shared" si="3"/>
        <v>14.02</v>
      </c>
      <c r="K701" s="117" t="str">
        <f t="shared" si="4"/>
        <v>BR</v>
      </c>
      <c r="L701" s="42" t="str">
        <v>BR1402</v>
      </c>
      <c r="M701" s="121" t="str">
        <v/>
      </c>
      <c r="N701" s="121" t="str">
        <v/>
      </c>
      <c r="O701" s="121" t="str">
        <v>BR1402</v>
      </c>
      <c r="P701" s="121" t="str">
        <v>Login customer</v>
      </c>
      <c r="Q701" s="121" t="str">
        <v/>
      </c>
      <c r="R701" s="121" t="str">
        <v/>
      </c>
      <c r="S701" s="121" t="str">
        <v/>
      </c>
      <c r="T701" s="119" t="str">
        <f>IF($C701&lt;4,IF($C701=3,T702,IF($C701=2,T$1,"")),Q701&amp;R701&amp;IF(LEN(S701)=0,"",Preferences!$C$2&amp;S701)&amp;IF(J702=J701,IF(LEN(R701&amp;S701)=0,"","
")&amp;T702,""))</f>
        <v xml:space="preserve"> 1. See the Authenticate online user requirements in the Users section for the login requirements.
 2. After login, the following types of activity the customer had as anonymous user (before logging in), are assigned to the (logged in) customer:
	• Products in shopping cart
	• Products added to favourite list
	• Products added to wish-list
	• Articles added to library
	• Search and navigation history
 3. After login, redirect to the customer's shopping cart if it contains items.</v>
      </c>
      <c r="U701" s="122" t="str">
        <v/>
      </c>
      <c r="V701" s="42"/>
      <c r="W701" s="42"/>
      <c r="X701" s="42"/>
      <c r="Y701" s="42"/>
      <c r="Z701" s="42"/>
      <c r="AA701" s="42"/>
      <c r="AB701" s="42"/>
    </row>
    <row r="702" spans="1:28" x14ac:dyDescent="0.25">
      <c r="A702" s="42" t="str">
        <v>1.14.2.1</v>
      </c>
      <c r="B702" s="121" t="str">
        <v>See the Authenticate online user requirements in the Users section for the login requirements.</v>
      </c>
      <c r="C702" s="41">
        <v>4</v>
      </c>
      <c r="D702" s="41" t="str">
        <v>RD</v>
      </c>
      <c r="E702" s="117" t="str">
        <f t="shared" si="0"/>
        <v>RD</v>
      </c>
      <c r="F702" s="41" t="str">
        <v/>
      </c>
      <c r="G702" s="41" t="str">
        <v/>
      </c>
      <c r="H702" s="117">
        <f t="shared" si="1"/>
        <v>0</v>
      </c>
      <c r="I702" s="117">
        <f t="shared" si="2"/>
        <v>14</v>
      </c>
      <c r="J702" s="117">
        <f t="shared" si="3"/>
        <v>14.02</v>
      </c>
      <c r="K702" s="117" t="str">
        <f t="shared" si="4"/>
        <v>BR</v>
      </c>
      <c r="L702" s="42" t="str">
        <v>BR1402</v>
      </c>
      <c r="M702" s="121" t="str">
        <v/>
      </c>
      <c r="N702" s="121" t="str">
        <v/>
      </c>
      <c r="O702" s="121" t="str">
        <v/>
      </c>
      <c r="P702" s="121" t="str">
        <v/>
      </c>
      <c r="Q702" s="121" t="str">
        <v xml:space="preserve"> 1. </v>
      </c>
      <c r="R702" s="121" t="str">
        <v>See the Authenticate online user requirements in the Users section for the login requirements.</v>
      </c>
      <c r="S702" s="121" t="str">
        <v/>
      </c>
      <c r="T702" s="119" t="str">
        <f>IF($C702&lt;4,IF($C702=3,T703,IF($C702=2,T$1,"")),Q702&amp;R702&amp;IF(LEN(S702)=0,"",Preferences!$C$2&amp;S702)&amp;IF(J703=J702,IF(LEN(R702&amp;S702)=0,"","
")&amp;T703,""))</f>
        <v xml:space="preserve"> 1. See the Authenticate online user requirements in the Users section for the login requirements.
 2. After login, the following types of activity the customer had as anonymous user (before logging in), are assigned to the (logged in) customer:
	• Products in shopping cart
	• Products added to favourite list
	• Products added to wish-list
	• Articles added to library
	• Search and navigation history
 3. After login, redirect to the customer's shopping cart if it contains items.</v>
      </c>
      <c r="U702" s="122" t="str">
        <v/>
      </c>
      <c r="V702" s="42"/>
      <c r="W702" s="42"/>
      <c r="X702" s="42"/>
      <c r="Y702" s="42"/>
      <c r="Z702" s="42"/>
      <c r="AA702" s="42"/>
      <c r="AB702" s="42"/>
    </row>
    <row r="703" spans="1:28" x14ac:dyDescent="0.25">
      <c r="A703" s="42" t="str">
        <v>1.14.2.2</v>
      </c>
      <c r="B703" s="121" t="str">
        <v>After login, the following types of activity the customer had as anonymous user (before logging in), are assigned to the (logged in) customer:</v>
      </c>
      <c r="C703" s="41">
        <v>4</v>
      </c>
      <c r="D703" s="41" t="str">
        <v>RD</v>
      </c>
      <c r="E703" s="117" t="str">
        <f t="shared" si="0"/>
        <v>RD</v>
      </c>
      <c r="F703" s="41" t="str">
        <v/>
      </c>
      <c r="G703" s="41" t="str">
        <v/>
      </c>
      <c r="H703" s="117">
        <f t="shared" si="1"/>
        <v>0</v>
      </c>
      <c r="I703" s="117">
        <f t="shared" si="2"/>
        <v>14</v>
      </c>
      <c r="J703" s="117">
        <f t="shared" si="3"/>
        <v>14.02</v>
      </c>
      <c r="K703" s="117" t="str">
        <f t="shared" si="4"/>
        <v>BR</v>
      </c>
      <c r="L703" s="42" t="str">
        <v>BR1402</v>
      </c>
      <c r="M703" s="121" t="str">
        <v/>
      </c>
      <c r="N703" s="121" t="str">
        <v/>
      </c>
      <c r="O703" s="121" t="str">
        <v/>
      </c>
      <c r="P703" s="121" t="str">
        <v/>
      </c>
      <c r="Q703" s="121" t="str">
        <v xml:space="preserve"> 2. </v>
      </c>
      <c r="R703" s="121" t="str">
        <v>After login, the following types of activity the customer had as anonymous user (before logging in), are assigned to the (logged in) customer:</v>
      </c>
      <c r="S703" s="121" t="str">
        <v/>
      </c>
      <c r="T703" s="119" t="str">
        <f>IF($C703&lt;4,IF($C703=3,T704,IF($C703=2,T$1,"")),Q703&amp;R703&amp;IF(LEN(S703)=0,"",Preferences!$C$2&amp;S703)&amp;IF(J704=J703,IF(LEN(R703&amp;S703)=0,"","
")&amp;T704,""))</f>
        <v xml:space="preserve"> 2. After login, the following types of activity the customer had as anonymous user (before logging in), are assigned to the (logged in) customer:
	• Products in shopping cart
	• Products added to favourite list
	• Products added to wish-list
	• Articles added to library
	• Search and navigation history
 3. After login, redirect to the customer's shopping cart if it contains items.</v>
      </c>
      <c r="U703" s="122" t="str">
        <v/>
      </c>
      <c r="V703" s="42"/>
      <c r="W703" s="42"/>
      <c r="X703" s="42"/>
      <c r="Y703" s="42"/>
      <c r="Z703" s="42"/>
      <c r="AA703" s="42"/>
      <c r="AB703" s="42"/>
    </row>
    <row r="704" spans="1:28" x14ac:dyDescent="0.25">
      <c r="A704" s="42" t="str">
        <v>1.14.2.2.1</v>
      </c>
      <c r="B704" s="121" t="str">
        <v>Products in shopping cart</v>
      </c>
      <c r="C704" s="41">
        <v>5</v>
      </c>
      <c r="D704" s="41" t="str">
        <v>RL</v>
      </c>
      <c r="E704" s="117" t="str">
        <f t="shared" si="0"/>
        <v>RL</v>
      </c>
      <c r="F704" s="41" t="str">
        <v/>
      </c>
      <c r="G704" s="41" t="str">
        <v/>
      </c>
      <c r="H704" s="117">
        <f t="shared" si="1"/>
        <v>0</v>
      </c>
      <c r="I704" s="117">
        <f t="shared" si="2"/>
        <v>14</v>
      </c>
      <c r="J704" s="117">
        <f t="shared" si="3"/>
        <v>14.02</v>
      </c>
      <c r="K704" s="117" t="str">
        <f t="shared" si="4"/>
        <v>BR</v>
      </c>
      <c r="L704" s="42" t="str">
        <v>BR1402</v>
      </c>
      <c r="M704" s="121" t="str">
        <v/>
      </c>
      <c r="N704" s="121" t="str">
        <v/>
      </c>
      <c r="O704" s="121" t="str">
        <v/>
      </c>
      <c r="P704" s="121" t="str">
        <v/>
      </c>
      <c r="Q704" s="121" t="str">
        <v/>
      </c>
      <c r="R704" s="121" t="str">
        <v/>
      </c>
      <c r="S704" s="121" t="str">
        <v>Products in shopping cart</v>
      </c>
      <c r="T704" s="119" t="str">
        <f>IF($C704&lt;4,IF($C704=3,T705,IF($C704=2,T$1,"")),Q704&amp;R704&amp;IF(LEN(S704)=0,"",Preferences!$C$2&amp;S704)&amp;IF(J705=J704,IF(LEN(R704&amp;S704)=0,"","
")&amp;T705,""))</f>
        <v xml:space="preserve">	• Products in shopping cart
	• Products added to favourite list
	• Products added to wish-list
	• Articles added to library
	• Search and navigation history
 3. After login, redirect to the customer's shopping cart if it contains items.</v>
      </c>
      <c r="U704" s="122" t="str">
        <v/>
      </c>
      <c r="V704" s="42"/>
      <c r="W704" s="42"/>
      <c r="X704" s="42"/>
      <c r="Y704" s="42"/>
      <c r="Z704" s="42"/>
      <c r="AA704" s="42"/>
      <c r="AB704" s="42"/>
    </row>
    <row r="705" spans="1:28" x14ac:dyDescent="0.25">
      <c r="A705" s="42" t="str">
        <v>1.14.2.2.2</v>
      </c>
      <c r="B705" s="121" t="str">
        <v>Products added to favourite list</v>
      </c>
      <c r="C705" s="41">
        <v>5</v>
      </c>
      <c r="D705" s="41" t="str">
        <v>RL</v>
      </c>
      <c r="E705" s="117" t="str">
        <f t="shared" si="0"/>
        <v>RL</v>
      </c>
      <c r="F705" s="41" t="str">
        <v/>
      </c>
      <c r="G705" s="41" t="str">
        <v/>
      </c>
      <c r="H705" s="117">
        <f t="shared" si="1"/>
        <v>0</v>
      </c>
      <c r="I705" s="117">
        <f t="shared" si="2"/>
        <v>14</v>
      </c>
      <c r="J705" s="117">
        <f t="shared" si="3"/>
        <v>14.02</v>
      </c>
      <c r="K705" s="117" t="str">
        <f t="shared" si="4"/>
        <v>BR</v>
      </c>
      <c r="L705" s="42" t="str">
        <v>BR1402</v>
      </c>
      <c r="M705" s="121" t="str">
        <v/>
      </c>
      <c r="N705" s="121" t="str">
        <v/>
      </c>
      <c r="O705" s="121" t="str">
        <v/>
      </c>
      <c r="P705" s="121" t="str">
        <v/>
      </c>
      <c r="Q705" s="121" t="str">
        <v/>
      </c>
      <c r="R705" s="121" t="str">
        <v/>
      </c>
      <c r="S705" s="121" t="str">
        <v>Products added to favourite list</v>
      </c>
      <c r="T705" s="119" t="str">
        <f>IF($C705&lt;4,IF($C705=3,T706,IF($C705=2,T$1,"")),Q705&amp;R705&amp;IF(LEN(S705)=0,"",Preferences!$C$2&amp;S705)&amp;IF(J706=J705,IF(LEN(R705&amp;S705)=0,"","
")&amp;T706,""))</f>
        <v xml:space="preserve">	• Products added to favourite list
	• Products added to wish-list
	• Articles added to library
	• Search and navigation history
 3. After login, redirect to the customer's shopping cart if it contains items.</v>
      </c>
      <c r="U705" s="122" t="str">
        <v/>
      </c>
      <c r="V705" s="42"/>
      <c r="W705" s="42"/>
      <c r="X705" s="42"/>
      <c r="Y705" s="42"/>
      <c r="Z705" s="42"/>
      <c r="AA705" s="42"/>
      <c r="AB705" s="42"/>
    </row>
    <row r="706" spans="1:28" x14ac:dyDescent="0.25">
      <c r="A706" s="42" t="str">
        <v>1.14.2.2.3</v>
      </c>
      <c r="B706" s="121" t="str">
        <v>Products added to wish-list</v>
      </c>
      <c r="C706" s="41">
        <v>5</v>
      </c>
      <c r="D706" s="41" t="str">
        <v>RL</v>
      </c>
      <c r="E706" s="117" t="str">
        <f t="shared" si="0"/>
        <v>RL</v>
      </c>
      <c r="F706" s="41" t="str">
        <v/>
      </c>
      <c r="G706" s="41" t="str">
        <v/>
      </c>
      <c r="H706" s="117">
        <f t="shared" si="1"/>
        <v>0</v>
      </c>
      <c r="I706" s="117">
        <f t="shared" si="2"/>
        <v>14</v>
      </c>
      <c r="J706" s="117">
        <f t="shared" si="3"/>
        <v>14.02</v>
      </c>
      <c r="K706" s="117" t="str">
        <f t="shared" si="4"/>
        <v>BR</v>
      </c>
      <c r="L706" s="42" t="str">
        <v>BR1402</v>
      </c>
      <c r="M706" s="121" t="str">
        <v/>
      </c>
      <c r="N706" s="121" t="str">
        <v/>
      </c>
      <c r="O706" s="121" t="str">
        <v/>
      </c>
      <c r="P706" s="121" t="str">
        <v/>
      </c>
      <c r="Q706" s="121" t="str">
        <v/>
      </c>
      <c r="R706" s="121" t="str">
        <v/>
      </c>
      <c r="S706" s="121" t="str">
        <v>Products added to wish-list</v>
      </c>
      <c r="T706" s="119" t="str">
        <f>IF($C706&lt;4,IF($C706=3,T707,IF($C706=2,T$1,"")),Q706&amp;R706&amp;IF(LEN(S706)=0,"",Preferences!$C$2&amp;S706)&amp;IF(J707=J706,IF(LEN(R706&amp;S706)=0,"","
")&amp;T707,""))</f>
        <v xml:space="preserve">	• Products added to wish-list
	• Articles added to library
	• Search and navigation history
 3. After login, redirect to the customer's shopping cart if it contains items.</v>
      </c>
      <c r="U706" s="122" t="str">
        <v/>
      </c>
      <c r="V706" s="42"/>
      <c r="W706" s="42"/>
      <c r="X706" s="42"/>
      <c r="Y706" s="42"/>
      <c r="Z706" s="42"/>
      <c r="AA706" s="42"/>
      <c r="AB706" s="42"/>
    </row>
    <row r="707" spans="1:28" x14ac:dyDescent="0.25">
      <c r="A707" s="42" t="str">
        <v>1.14.2.2.4</v>
      </c>
      <c r="B707" s="121" t="str">
        <v>Articles added to library</v>
      </c>
      <c r="C707" s="41">
        <v>5</v>
      </c>
      <c r="D707" s="41" t="str">
        <v>RL</v>
      </c>
      <c r="E707" s="117" t="str">
        <f t="shared" si="0"/>
        <v>RL</v>
      </c>
      <c r="F707" s="41" t="str">
        <v/>
      </c>
      <c r="G707" s="41" t="str">
        <v/>
      </c>
      <c r="H707" s="117">
        <f t="shared" si="1"/>
        <v>0</v>
      </c>
      <c r="I707" s="117">
        <f t="shared" si="2"/>
        <v>14</v>
      </c>
      <c r="J707" s="117">
        <f t="shared" si="3"/>
        <v>14.02</v>
      </c>
      <c r="K707" s="117" t="str">
        <f t="shared" si="4"/>
        <v>BR</v>
      </c>
      <c r="L707" s="42" t="str">
        <v>BR1402</v>
      </c>
      <c r="M707" s="121" t="str">
        <v/>
      </c>
      <c r="N707" s="121" t="str">
        <v/>
      </c>
      <c r="O707" s="121" t="str">
        <v/>
      </c>
      <c r="P707" s="121" t="str">
        <v/>
      </c>
      <c r="Q707" s="121" t="str">
        <v/>
      </c>
      <c r="R707" s="121" t="str">
        <v/>
      </c>
      <c r="S707" s="121" t="str">
        <v>Articles added to library</v>
      </c>
      <c r="T707" s="119" t="str">
        <f>IF($C707&lt;4,IF($C707=3,T708,IF($C707=2,T$1,"")),Q707&amp;R707&amp;IF(LEN(S707)=0,"",Preferences!$C$2&amp;S707)&amp;IF(J708=J707,IF(LEN(R707&amp;S707)=0,"","
")&amp;T708,""))</f>
        <v xml:space="preserve">	• Articles added to library
	• Search and navigation history
 3. After login, redirect to the customer's shopping cart if it contains items.</v>
      </c>
      <c r="U707" s="122" t="str">
        <v/>
      </c>
      <c r="V707" s="42"/>
      <c r="W707" s="42"/>
      <c r="X707" s="42"/>
      <c r="Y707" s="42"/>
      <c r="Z707" s="42"/>
      <c r="AA707" s="42"/>
      <c r="AB707" s="42"/>
    </row>
    <row r="708" spans="1:28" x14ac:dyDescent="0.25">
      <c r="A708" s="42" t="str">
        <v>1.14.2.2.5</v>
      </c>
      <c r="B708" s="121" t="str">
        <v>Search and navigation history</v>
      </c>
      <c r="C708" s="41">
        <v>5</v>
      </c>
      <c r="D708" s="41" t="str">
        <v>RL</v>
      </c>
      <c r="E708" s="117" t="str">
        <f t="shared" si="0"/>
        <v>RL</v>
      </c>
      <c r="F708" s="41" t="str">
        <v/>
      </c>
      <c r="G708" s="41" t="str">
        <v/>
      </c>
      <c r="H708" s="117">
        <f t="shared" si="1"/>
        <v>0</v>
      </c>
      <c r="I708" s="117">
        <f t="shared" si="2"/>
        <v>14</v>
      </c>
      <c r="J708" s="117">
        <f t="shared" si="3"/>
        <v>14.02</v>
      </c>
      <c r="K708" s="117" t="str">
        <f t="shared" si="4"/>
        <v>BR</v>
      </c>
      <c r="L708" s="42" t="str">
        <v>BR1402</v>
      </c>
      <c r="M708" s="121" t="str">
        <v/>
      </c>
      <c r="N708" s="121" t="str">
        <v/>
      </c>
      <c r="O708" s="121" t="str">
        <v/>
      </c>
      <c r="P708" s="121" t="str">
        <v/>
      </c>
      <c r="Q708" s="121" t="str">
        <v/>
      </c>
      <c r="R708" s="121" t="str">
        <v/>
      </c>
      <c r="S708" s="121" t="str">
        <v>Search and navigation history</v>
      </c>
      <c r="T708" s="119" t="str">
        <f>IF($C708&lt;4,IF($C708=3,T709,IF($C708=2,T$1,"")),Q708&amp;R708&amp;IF(LEN(S708)=0,"",Preferences!$C$2&amp;S708)&amp;IF(J709=J708,IF(LEN(R708&amp;S708)=0,"","
")&amp;T709,""))</f>
        <v xml:space="preserve">	• Search and navigation history
 3. After login, redirect to the customer's shopping cart if it contains items.</v>
      </c>
      <c r="U708" s="122" t="str">
        <v/>
      </c>
      <c r="V708" s="42"/>
      <c r="W708" s="42"/>
      <c r="X708" s="42"/>
      <c r="Y708" s="42"/>
      <c r="Z708" s="42"/>
      <c r="AA708" s="42"/>
      <c r="AB708" s="42"/>
    </row>
    <row r="709" spans="1:28" x14ac:dyDescent="0.25">
      <c r="A709" s="42" t="str">
        <v>1.14.2.3</v>
      </c>
      <c r="B709" s="121" t="str">
        <v>After login, redirect to the customer's shopping cart if it contains items.</v>
      </c>
      <c r="C709" s="41">
        <v>4</v>
      </c>
      <c r="D709" s="41" t="str">
        <v>RD</v>
      </c>
      <c r="E709" s="117" t="str">
        <f t="shared" si="0"/>
        <v>RD</v>
      </c>
      <c r="F709" s="41" t="str">
        <v/>
      </c>
      <c r="G709" s="41" t="str">
        <v/>
      </c>
      <c r="H709" s="117">
        <f t="shared" si="1"/>
        <v>0</v>
      </c>
      <c r="I709" s="117">
        <f t="shared" si="2"/>
        <v>14</v>
      </c>
      <c r="J709" s="117">
        <f t="shared" si="3"/>
        <v>14.02</v>
      </c>
      <c r="K709" s="117" t="str">
        <f t="shared" si="4"/>
        <v>BR</v>
      </c>
      <c r="L709" s="42" t="str">
        <v>BR1402</v>
      </c>
      <c r="M709" s="121" t="str">
        <v/>
      </c>
      <c r="N709" s="121" t="str">
        <v/>
      </c>
      <c r="O709" s="121" t="str">
        <v/>
      </c>
      <c r="P709" s="121" t="str">
        <v/>
      </c>
      <c r="Q709" s="121" t="str">
        <v xml:space="preserve"> 3. </v>
      </c>
      <c r="R709" s="121" t="str">
        <v>After login, redirect to the customer's shopping cart if it contains items.</v>
      </c>
      <c r="S709" s="121" t="str">
        <v/>
      </c>
      <c r="T709" s="119" t="str">
        <f>IF($C709&lt;4,IF($C709=3,T710,IF($C709=2,T$1,"")),Q709&amp;R709&amp;IF(LEN(S709)=0,"",Preferences!$C$2&amp;S709)&amp;IF(J710=J709,IF(LEN(R709&amp;S709)=0,"","
")&amp;T710,""))</f>
        <v xml:space="preserve"> 3. After login, redirect to the customer's shopping cart if it contains items.</v>
      </c>
      <c r="U709" s="122" t="str">
        <v/>
      </c>
      <c r="V709" s="42"/>
      <c r="W709" s="42"/>
      <c r="X709" s="42"/>
      <c r="Y709" s="42"/>
      <c r="Z709" s="42"/>
      <c r="AA709" s="42"/>
      <c r="AB709" s="42"/>
    </row>
    <row r="710" spans="1:28" x14ac:dyDescent="0.25">
      <c r="A710" s="42" t="str">
        <v>1.14.3</v>
      </c>
      <c r="B710" s="121" t="str">
        <v>14.3 Unregister customer</v>
      </c>
      <c r="C710" s="41">
        <v>3</v>
      </c>
      <c r="D710" s="41" t="str">
        <v>R</v>
      </c>
      <c r="E710" s="117" t="str">
        <f t="shared" si="0"/>
        <v>R</v>
      </c>
      <c r="F710" s="41" t="str">
        <v/>
      </c>
      <c r="G710" s="41" t="str">
        <v/>
      </c>
      <c r="H710" s="117">
        <f t="shared" si="1"/>
        <v>0</v>
      </c>
      <c r="I710" s="117">
        <f t="shared" si="2"/>
        <v>14</v>
      </c>
      <c r="J710" s="117">
        <f t="shared" si="3"/>
        <v>14.03</v>
      </c>
      <c r="K710" s="117" t="str">
        <f t="shared" si="4"/>
        <v>BR</v>
      </c>
      <c r="L710" s="42" t="str">
        <v>BR1403</v>
      </c>
      <c r="M710" s="121" t="str">
        <v/>
      </c>
      <c r="N710" s="121" t="str">
        <v/>
      </c>
      <c r="O710" s="121" t="str">
        <v>BR1403</v>
      </c>
      <c r="P710" s="121" t="str">
        <v>Unregister customer</v>
      </c>
      <c r="Q710" s="121" t="str">
        <v/>
      </c>
      <c r="R710" s="121" t="str">
        <v/>
      </c>
      <c r="S710" s="121" t="str">
        <v/>
      </c>
      <c r="T710" s="119" t="str">
        <f>IF($C710&lt;4,IF($C710=3,T711,IF($C710=2,T$1,"")),Q710&amp;R710&amp;IF(LEN(S710)=0,"",Preferences!$C$2&amp;S710)&amp;IF(J711=J710,IF(LEN(R710&amp;S710)=0,"","
")&amp;T711,""))</f>
        <v xml:space="preserve"> 1. A logged in user may choose to unregister (resign) from the B2C Co online service.
	• The user is prompted to confirm their resignation, with details on what will be done with their details, including the fact that it is not reversible.
 2. The confirmed customer resignation is processed:
	• A goodbye email is sent to the user, to confirm their resignation.
	• The customer is flagged as canceled and their records are anonymised (retained for statistical purposes only).
 3. Anonymise and archive the customer profile and related user.</v>
      </c>
      <c r="U710" s="122" t="str">
        <v/>
      </c>
      <c r="V710" s="42"/>
      <c r="W710" s="42"/>
      <c r="X710" s="42"/>
      <c r="Y710" s="42"/>
      <c r="Z710" s="42"/>
      <c r="AA710" s="42"/>
      <c r="AB710" s="42"/>
    </row>
    <row r="711" spans="1:28" x14ac:dyDescent="0.25">
      <c r="A711" s="42" t="str">
        <v>1.14.3.1</v>
      </c>
      <c r="B711" s="121" t="str">
        <v>A logged in user may choose to unregister (resign) from the B2C Co online service.</v>
      </c>
      <c r="C711" s="41">
        <v>4</v>
      </c>
      <c r="D711" s="41" t="str">
        <v>RD</v>
      </c>
      <c r="E711" s="117" t="str">
        <f t="shared" si="0"/>
        <v>RD</v>
      </c>
      <c r="F711" s="41" t="str">
        <v/>
      </c>
      <c r="G711" s="41" t="str">
        <v/>
      </c>
      <c r="H711" s="117">
        <f t="shared" si="1"/>
        <v>0</v>
      </c>
      <c r="I711" s="117">
        <f t="shared" si="2"/>
        <v>14</v>
      </c>
      <c r="J711" s="117">
        <f t="shared" si="3"/>
        <v>14.03</v>
      </c>
      <c r="K711" s="117" t="str">
        <f t="shared" si="4"/>
        <v>BR</v>
      </c>
      <c r="L711" s="42" t="str">
        <v>BR1403</v>
      </c>
      <c r="M711" s="121" t="str">
        <v/>
      </c>
      <c r="N711" s="121" t="str">
        <v/>
      </c>
      <c r="O711" s="121" t="str">
        <v/>
      </c>
      <c r="P711" s="121" t="str">
        <v/>
      </c>
      <c r="Q711" s="121" t="str">
        <v xml:space="preserve"> 1. </v>
      </c>
      <c r="R711" s="121" t="str">
        <v>A logged in user may choose to unregister (resign) from the B2C Co online service.</v>
      </c>
      <c r="S711" s="121" t="str">
        <v/>
      </c>
      <c r="T711" s="119" t="str">
        <f>IF($C711&lt;4,IF($C711=3,T712,IF($C711=2,T$1,"")),Q711&amp;R711&amp;IF(LEN(S711)=0,"",Preferences!$C$2&amp;S711)&amp;IF(J712=J711,IF(LEN(R711&amp;S711)=0,"","
")&amp;T712,""))</f>
        <v xml:space="preserve"> 1. A logged in user may choose to unregister (resign) from the B2C Co online service.
	• The user is prompted to confirm their resignation, with details on what will be done with their details, including the fact that it is not reversible.
 2. The confirmed customer resignation is processed:
	• A goodbye email is sent to the user, to confirm their resignation.
	• The customer is flagged as canceled and their records are anonymised (retained for statistical purposes only).
 3. Anonymise and archive the customer profile and related user.</v>
      </c>
      <c r="U711" s="122" t="str">
        <v/>
      </c>
      <c r="V711" s="42"/>
      <c r="W711" s="42"/>
      <c r="X711" s="42"/>
      <c r="Y711" s="42"/>
      <c r="Z711" s="42"/>
      <c r="AA711" s="42"/>
      <c r="AB711" s="42"/>
    </row>
    <row r="712" spans="1:28" x14ac:dyDescent="0.25">
      <c r="A712" s="42" t="str">
        <v>1.14.3.1.1</v>
      </c>
      <c r="B712" s="121" t="str">
        <v>The user is prompted to confirm their resignation, with details on what will be done with their details, including the fact that it is not reversible.</v>
      </c>
      <c r="C712" s="41">
        <v>5</v>
      </c>
      <c r="D712" s="41" t="str">
        <v>RL</v>
      </c>
      <c r="E712" s="117" t="str">
        <f t="shared" si="0"/>
        <v>RL</v>
      </c>
      <c r="F712" s="41" t="str">
        <v/>
      </c>
      <c r="G712" s="41" t="str">
        <v/>
      </c>
      <c r="H712" s="117">
        <f t="shared" si="1"/>
        <v>0</v>
      </c>
      <c r="I712" s="117">
        <f t="shared" si="2"/>
        <v>14</v>
      </c>
      <c r="J712" s="117">
        <f t="shared" si="3"/>
        <v>14.03</v>
      </c>
      <c r="K712" s="117" t="str">
        <f t="shared" si="4"/>
        <v>BR</v>
      </c>
      <c r="L712" s="42" t="str">
        <v>BR1403</v>
      </c>
      <c r="M712" s="121" t="str">
        <v/>
      </c>
      <c r="N712" s="121" t="str">
        <v/>
      </c>
      <c r="O712" s="121" t="str">
        <v/>
      </c>
      <c r="P712" s="121" t="str">
        <v/>
      </c>
      <c r="Q712" s="121" t="str">
        <v/>
      </c>
      <c r="R712" s="121" t="str">
        <v/>
      </c>
      <c r="S712" s="121" t="str">
        <v>The user is prompted to confirm their resignation, with details on what will be done with their details, including the fact that it is not reversible.</v>
      </c>
      <c r="T712" s="119" t="str">
        <f>IF($C712&lt;4,IF($C712=3,T713,IF($C712=2,T$1,"")),Q712&amp;R712&amp;IF(LEN(S712)=0,"",Preferences!$C$2&amp;S712)&amp;IF(J713=J712,IF(LEN(R712&amp;S712)=0,"","
")&amp;T713,""))</f>
        <v xml:space="preserve">	• The user is prompted to confirm their resignation, with details on what will be done with their details, including the fact that it is not reversible.
 2. The confirmed customer resignation is processed:
	• A goodbye email is sent to the user, to confirm their resignation.
	• The customer is flagged as canceled and their records are anonymised (retained for statistical purposes only).
 3. Anonymise and archive the customer profile and related user.</v>
      </c>
      <c r="U712" s="122" t="str">
        <v/>
      </c>
      <c r="V712" s="42"/>
      <c r="W712" s="42"/>
      <c r="X712" s="42"/>
      <c r="Y712" s="42"/>
      <c r="Z712" s="42"/>
      <c r="AA712" s="42"/>
      <c r="AB712" s="42"/>
    </row>
    <row r="713" spans="1:28" x14ac:dyDescent="0.25">
      <c r="A713" s="42" t="str">
        <v>1.14.3.2</v>
      </c>
      <c r="B713" s="121" t="str">
        <v>The confirmed customer resignation is processed:</v>
      </c>
      <c r="C713" s="41">
        <v>4</v>
      </c>
      <c r="D713" s="41" t="str">
        <v>RD</v>
      </c>
      <c r="E713" s="117" t="str">
        <f t="shared" si="0"/>
        <v>RD</v>
      </c>
      <c r="F713" s="41" t="str">
        <v/>
      </c>
      <c r="G713" s="41" t="str">
        <v/>
      </c>
      <c r="H713" s="117">
        <f t="shared" si="1"/>
        <v>0</v>
      </c>
      <c r="I713" s="117">
        <f t="shared" si="2"/>
        <v>14</v>
      </c>
      <c r="J713" s="117">
        <f t="shared" si="3"/>
        <v>14.03</v>
      </c>
      <c r="K713" s="117" t="str">
        <f t="shared" si="4"/>
        <v>BR</v>
      </c>
      <c r="L713" s="42" t="str">
        <v>BR1403</v>
      </c>
      <c r="M713" s="121" t="str">
        <v/>
      </c>
      <c r="N713" s="121" t="str">
        <v/>
      </c>
      <c r="O713" s="121" t="str">
        <v/>
      </c>
      <c r="P713" s="121" t="str">
        <v/>
      </c>
      <c r="Q713" s="121" t="str">
        <v xml:space="preserve"> 2. </v>
      </c>
      <c r="R713" s="121" t="str">
        <v>The confirmed customer resignation is processed:</v>
      </c>
      <c r="S713" s="121" t="str">
        <v/>
      </c>
      <c r="T713" s="119" t="str">
        <f>IF($C713&lt;4,IF($C713=3,T714,IF($C713=2,T$1,"")),Q713&amp;R713&amp;IF(LEN(S713)=0,"",Preferences!$C$2&amp;S713)&amp;IF(J714=J713,IF(LEN(R713&amp;S713)=0,"","
")&amp;T714,""))</f>
        <v xml:space="preserve"> 2. The confirmed customer resignation is processed:
	• A goodbye email is sent to the user, to confirm their resignation.
	• The customer is flagged as canceled and their records are anonymised (retained for statistical purposes only).
 3. Anonymise and archive the customer profile and related user.</v>
      </c>
      <c r="U713" s="122" t="str">
        <v/>
      </c>
      <c r="V713" s="42"/>
      <c r="W713" s="42"/>
      <c r="X713" s="42"/>
      <c r="Y713" s="42"/>
      <c r="Z713" s="42"/>
      <c r="AA713" s="42"/>
      <c r="AB713" s="42"/>
    </row>
    <row r="714" spans="1:28" x14ac:dyDescent="0.25">
      <c r="A714" s="42" t="str">
        <v>1.14.3.2.1</v>
      </c>
      <c r="B714" s="121" t="str">
        <v>A goodbye email is sent to the user, to confirm their resignation.</v>
      </c>
      <c r="C714" s="41">
        <v>5</v>
      </c>
      <c r="D714" s="41" t="str">
        <v>RL</v>
      </c>
      <c r="E714" s="117" t="str">
        <f t="shared" si="0"/>
        <v>RL</v>
      </c>
      <c r="F714" s="41" t="str">
        <v/>
      </c>
      <c r="G714" s="41" t="str">
        <v/>
      </c>
      <c r="H714" s="117">
        <f t="shared" si="1"/>
        <v>0</v>
      </c>
      <c r="I714" s="117">
        <f t="shared" si="2"/>
        <v>14</v>
      </c>
      <c r="J714" s="117">
        <f t="shared" si="3"/>
        <v>14.03</v>
      </c>
      <c r="K714" s="117" t="str">
        <f t="shared" si="4"/>
        <v>BR</v>
      </c>
      <c r="L714" s="42" t="str">
        <v>BR1403</v>
      </c>
      <c r="M714" s="121" t="str">
        <v/>
      </c>
      <c r="N714" s="121" t="str">
        <v/>
      </c>
      <c r="O714" s="121" t="str">
        <v/>
      </c>
      <c r="P714" s="121" t="str">
        <v/>
      </c>
      <c r="Q714" s="121" t="str">
        <v/>
      </c>
      <c r="R714" s="121" t="str">
        <v/>
      </c>
      <c r="S714" s="121" t="str">
        <v>A goodbye email is sent to the user, to confirm their resignation.</v>
      </c>
      <c r="T714" s="119" t="str">
        <f>IF($C714&lt;4,IF($C714=3,T715,IF($C714=2,T$1,"")),Q714&amp;R714&amp;IF(LEN(S714)=0,"",Preferences!$C$2&amp;S714)&amp;IF(J715=J714,IF(LEN(R714&amp;S714)=0,"","
")&amp;T715,""))</f>
        <v xml:space="preserve">	• A goodbye email is sent to the user, to confirm their resignation.
	• The customer is flagged as canceled and their records are anonymised (retained for statistical purposes only).
 3. Anonymise and archive the customer profile and related user.</v>
      </c>
      <c r="U714" s="122" t="str">
        <v/>
      </c>
      <c r="V714" s="42"/>
      <c r="W714" s="42"/>
      <c r="X714" s="42"/>
      <c r="Y714" s="42"/>
      <c r="Z714" s="42"/>
      <c r="AA714" s="42"/>
      <c r="AB714" s="42"/>
    </row>
    <row r="715" spans="1:28" x14ac:dyDescent="0.25">
      <c r="A715" s="42" t="str">
        <v>1.14.3.2.2</v>
      </c>
      <c r="B715" s="121" t="str">
        <v>The customer is flagged as canceled and their records are anonymised (retained for statistical purposes only).</v>
      </c>
      <c r="C715" s="41">
        <v>5</v>
      </c>
      <c r="D715" s="41" t="str">
        <v>RL</v>
      </c>
      <c r="E715" s="117" t="str">
        <f t="shared" si="0"/>
        <v>RL</v>
      </c>
      <c r="F715" s="41" t="str">
        <v/>
      </c>
      <c r="G715" s="41" t="str">
        <v/>
      </c>
      <c r="H715" s="117">
        <f t="shared" si="1"/>
        <v>0</v>
      </c>
      <c r="I715" s="117">
        <f t="shared" si="2"/>
        <v>14</v>
      </c>
      <c r="J715" s="117">
        <f t="shared" si="3"/>
        <v>14.03</v>
      </c>
      <c r="K715" s="117" t="str">
        <f t="shared" si="4"/>
        <v>BR</v>
      </c>
      <c r="L715" s="42" t="str">
        <v>BR1403</v>
      </c>
      <c r="M715" s="121" t="str">
        <v/>
      </c>
      <c r="N715" s="121" t="str">
        <v/>
      </c>
      <c r="O715" s="121" t="str">
        <v/>
      </c>
      <c r="P715" s="121" t="str">
        <v/>
      </c>
      <c r="Q715" s="121" t="str">
        <v/>
      </c>
      <c r="R715" s="121" t="str">
        <v/>
      </c>
      <c r="S715" s="121" t="str">
        <v>The customer is flagged as canceled and their records are anonymised (retained for statistical purposes only).</v>
      </c>
      <c r="T715" s="119" t="str">
        <f>IF($C715&lt;4,IF($C715=3,T716,IF($C715=2,T$1,"")),Q715&amp;R715&amp;IF(LEN(S715)=0,"",Preferences!$C$2&amp;S715)&amp;IF(J716=J715,IF(LEN(R715&amp;S715)=0,"","
")&amp;T716,""))</f>
        <v xml:space="preserve">	• The customer is flagged as canceled and their records are anonymised (retained for statistical purposes only).
 3. Anonymise and archive the customer profile and related user.</v>
      </c>
      <c r="U715" s="122" t="str">
        <v/>
      </c>
      <c r="V715" s="42"/>
      <c r="W715" s="42"/>
      <c r="X715" s="42"/>
      <c r="Y715" s="42"/>
      <c r="Z715" s="42"/>
      <c r="AA715" s="42"/>
      <c r="AB715" s="42"/>
    </row>
    <row r="716" spans="1:28" x14ac:dyDescent="0.25">
      <c r="A716" s="42" t="str">
        <v>1.14.3.3</v>
      </c>
      <c r="B716" s="121" t="str">
        <v>Anonymise and archive the customer profile and related user.</v>
      </c>
      <c r="C716" s="41">
        <v>4</v>
      </c>
      <c r="D716" s="41" t="str">
        <v>RD</v>
      </c>
      <c r="E716" s="117" t="str">
        <f t="shared" si="0"/>
        <v>RD</v>
      </c>
      <c r="F716" s="41" t="str">
        <v/>
      </c>
      <c r="G716" s="41" t="str">
        <v/>
      </c>
      <c r="H716" s="117">
        <f t="shared" si="1"/>
        <v>0</v>
      </c>
      <c r="I716" s="117">
        <f t="shared" si="2"/>
        <v>14</v>
      </c>
      <c r="J716" s="117">
        <f t="shared" si="3"/>
        <v>14.03</v>
      </c>
      <c r="K716" s="117" t="str">
        <f t="shared" si="4"/>
        <v>BR</v>
      </c>
      <c r="L716" s="42" t="str">
        <v>BR1403</v>
      </c>
      <c r="M716" s="121" t="str">
        <v/>
      </c>
      <c r="N716" s="121" t="str">
        <v/>
      </c>
      <c r="O716" s="121" t="str">
        <v/>
      </c>
      <c r="P716" s="121" t="str">
        <v/>
      </c>
      <c r="Q716" s="121" t="str">
        <v xml:space="preserve"> 3. </v>
      </c>
      <c r="R716" s="121" t="str">
        <v>Anonymise and archive the customer profile and related user.</v>
      </c>
      <c r="S716" s="121" t="str">
        <v/>
      </c>
      <c r="T716" s="119" t="str">
        <f>IF($C716&lt;4,IF($C716=3,T717,IF($C716=2,T$1,"")),Q716&amp;R716&amp;IF(LEN(S716)=0,"",Preferences!$C$2&amp;S716)&amp;IF(J717=J716,IF(LEN(R716&amp;S716)=0,"","
")&amp;T717,""))</f>
        <v xml:space="preserve"> 3. Anonymise and archive the customer profile and related user.</v>
      </c>
      <c r="U716" s="122" t="str">
        <v/>
      </c>
      <c r="V716" s="42"/>
      <c r="W716" s="42"/>
      <c r="X716" s="42"/>
      <c r="Y716" s="42"/>
      <c r="Z716" s="42"/>
      <c r="AA716" s="42"/>
      <c r="AB716" s="42"/>
    </row>
    <row r="717" spans="1:28" x14ac:dyDescent="0.25">
      <c r="A717" s="42" t="str">
        <v>1.15</v>
      </c>
      <c r="B717" s="121" t="str">
        <v>15 Customer Profile</v>
      </c>
      <c r="C717" s="41">
        <v>2</v>
      </c>
      <c r="D717" s="41" t="str">
        <v>RS</v>
      </c>
      <c r="E717" s="117" t="str">
        <f t="shared" si="0"/>
        <v>RS</v>
      </c>
      <c r="F717" s="41" t="str">
        <v/>
      </c>
      <c r="G717" s="41" t="str">
        <v/>
      </c>
      <c r="H717" s="117">
        <f t="shared" si="1"/>
        <v>0</v>
      </c>
      <c r="I717" s="117">
        <f t="shared" si="2"/>
        <v>15</v>
      </c>
      <c r="J717" s="117">
        <f t="shared" si="3"/>
        <v>15</v>
      </c>
      <c r="K717" s="117" t="str">
        <f t="shared" si="4"/>
        <v>BR</v>
      </c>
      <c r="L717" s="42">
        <v>15</v>
      </c>
      <c r="M717" s="121" t="str">
        <v/>
      </c>
      <c r="N717" s="121" t="str">
        <v>15 Customer Profile</v>
      </c>
      <c r="O717" s="121" t="str">
        <v>ReqID</v>
      </c>
      <c r="P717" s="121" t="e">
        <v>#N/A</v>
      </c>
      <c r="Q717" s="121" t="str">
        <v/>
      </c>
      <c r="R717" s="121" t="str">
        <v/>
      </c>
      <c r="S717" s="121" t="str">
        <v/>
      </c>
      <c r="T717" s="119" t="str">
        <f>IF($C717&lt;4,IF($C717=3,T718,IF($C717=2,T$1,"")),Q717&amp;R717&amp;IF(LEN(S717)=0,"",Preferences!$C$2&amp;S717)&amp;IF(J718=J717,IF(LEN(R717&amp;S717)=0,"","
")&amp;T718,""))</f>
        <v>Description</v>
      </c>
      <c r="U717" s="122" t="str">
        <v/>
      </c>
      <c r="V717" s="42"/>
      <c r="W717" s="42"/>
      <c r="X717" s="42"/>
      <c r="Y717" s="42"/>
      <c r="Z717" s="42"/>
      <c r="AA717" s="42"/>
      <c r="AB717" s="42"/>
    </row>
    <row r="718" spans="1:28" x14ac:dyDescent="0.25">
      <c r="A718" s="42" t="str">
        <v>1.15.1</v>
      </c>
      <c r="B718" s="121" t="str">
        <v>15.1 View customer profile</v>
      </c>
      <c r="C718" s="41">
        <v>3</v>
      </c>
      <c r="D718" s="41" t="str">
        <v>R</v>
      </c>
      <c r="E718" s="117" t="str">
        <f t="shared" si="0"/>
        <v>R</v>
      </c>
      <c r="F718" s="41" t="str">
        <v/>
      </c>
      <c r="G718" s="41" t="str">
        <v/>
      </c>
      <c r="H718" s="117">
        <f t="shared" si="1"/>
        <v>0</v>
      </c>
      <c r="I718" s="117">
        <f t="shared" si="2"/>
        <v>15</v>
      </c>
      <c r="J718" s="117">
        <f t="shared" si="3"/>
        <v>15.01</v>
      </c>
      <c r="K718" s="117" t="str">
        <f t="shared" si="4"/>
        <v>BR</v>
      </c>
      <c r="L718" s="42" t="str">
        <v>BR1501</v>
      </c>
      <c r="M718" s="121" t="str">
        <v/>
      </c>
      <c r="N718" s="121" t="str">
        <v/>
      </c>
      <c r="O718" s="121" t="str">
        <v>BR1501</v>
      </c>
      <c r="P718" s="121" t="str">
        <v>View customer profile</v>
      </c>
      <c r="Q718" s="121" t="str">
        <v/>
      </c>
      <c r="R718" s="121" t="str">
        <v/>
      </c>
      <c r="S718" s="121" t="str">
        <v/>
      </c>
      <c r="T718" s="119" t="str">
        <f>IF($C718&lt;4,IF($C718=3,T719,IF($C718=2,T$1,"")),Q718&amp;R718&amp;IF(LEN(S718)=0,"",Preferences!$C$2&amp;S718)&amp;IF(J719=J718,IF(LEN(R718&amp;S718)=0,"","
")&amp;T719,""))</f>
        <v xml:space="preserve"> 1. A customer may at any time choose an option from their customer menu/links, to view their customer profile.
 2. A customer profile consists of the following:
	• Personal details
	• Change password
	• Contact details
	• Family details
	• Delivery details
	• Payment details
	• Favourites
	• Wishlist
	• Articles Library</v>
      </c>
      <c r="U718" s="122" t="str">
        <v/>
      </c>
      <c r="V718" s="42"/>
      <c r="W718" s="42"/>
      <c r="X718" s="42"/>
      <c r="Y718" s="42"/>
      <c r="Z718" s="42"/>
      <c r="AA718" s="42"/>
      <c r="AB718" s="42"/>
    </row>
    <row r="719" spans="1:28" x14ac:dyDescent="0.25">
      <c r="A719" s="42" t="str">
        <v>1.15.1.1</v>
      </c>
      <c r="B719" s="121" t="str">
        <v>A customer may at any time choose an option from their customer menu/links, to view their customer profile.</v>
      </c>
      <c r="C719" s="41">
        <v>4</v>
      </c>
      <c r="D719" s="41" t="str">
        <v>RD</v>
      </c>
      <c r="E719" s="117" t="str">
        <f t="shared" si="0"/>
        <v>RD</v>
      </c>
      <c r="F719" s="41" t="str">
        <v/>
      </c>
      <c r="G719" s="41" t="str">
        <v/>
      </c>
      <c r="H719" s="117">
        <f t="shared" si="1"/>
        <v>0</v>
      </c>
      <c r="I719" s="117">
        <f t="shared" si="2"/>
        <v>15</v>
      </c>
      <c r="J719" s="117">
        <f t="shared" si="3"/>
        <v>15.01</v>
      </c>
      <c r="K719" s="117" t="str">
        <f t="shared" si="4"/>
        <v>BR</v>
      </c>
      <c r="L719" s="42" t="str">
        <v>BR1501</v>
      </c>
      <c r="M719" s="121" t="str">
        <v/>
      </c>
      <c r="N719" s="121" t="str">
        <v/>
      </c>
      <c r="O719" s="121" t="str">
        <v/>
      </c>
      <c r="P719" s="121" t="str">
        <v/>
      </c>
      <c r="Q719" s="121" t="str">
        <v xml:space="preserve"> 1. </v>
      </c>
      <c r="R719" s="121" t="str">
        <v>A customer may at any time choose an option from their customer menu/links, to view their customer profile.</v>
      </c>
      <c r="S719" s="121" t="str">
        <v/>
      </c>
      <c r="T719" s="119" t="str">
        <f>IF($C719&lt;4,IF($C719=3,T720,IF($C719=2,T$1,"")),Q719&amp;R719&amp;IF(LEN(S719)=0,"",Preferences!$C$2&amp;S719)&amp;IF(J720=J719,IF(LEN(R719&amp;S719)=0,"","
")&amp;T720,""))</f>
        <v xml:space="preserve"> 1. A customer may at any time choose an option from their customer menu/links, to view their customer profile.
 2. A customer profile consists of the following:
	• Personal details
	• Change password
	• Contact details
	• Family details
	• Delivery details
	• Payment details
	• Favourites
	• Wishlist
	• Articles Library</v>
      </c>
      <c r="U719" s="122" t="str">
        <v/>
      </c>
      <c r="V719" s="42"/>
      <c r="W719" s="42"/>
      <c r="X719" s="42"/>
      <c r="Y719" s="42"/>
      <c r="Z719" s="42"/>
      <c r="AA719" s="42"/>
      <c r="AB719" s="42"/>
    </row>
    <row r="720" spans="1:28" x14ac:dyDescent="0.25">
      <c r="A720" s="42" t="str">
        <v>1.15.1.2</v>
      </c>
      <c r="B720" s="121" t="str">
        <v>A customer profile consists of the following:</v>
      </c>
      <c r="C720" s="41">
        <v>4</v>
      </c>
      <c r="D720" s="41" t="str">
        <v>RD</v>
      </c>
      <c r="E720" s="117" t="str">
        <f t="shared" si="0"/>
        <v>RD</v>
      </c>
      <c r="F720" s="41" t="str">
        <v/>
      </c>
      <c r="G720" s="41" t="str">
        <v/>
      </c>
      <c r="H720" s="117">
        <f t="shared" si="1"/>
        <v>0</v>
      </c>
      <c r="I720" s="117">
        <f t="shared" si="2"/>
        <v>15</v>
      </c>
      <c r="J720" s="117">
        <f t="shared" si="3"/>
        <v>15.01</v>
      </c>
      <c r="K720" s="117" t="str">
        <f t="shared" si="4"/>
        <v>BR</v>
      </c>
      <c r="L720" s="42" t="str">
        <v>BR1501</v>
      </c>
      <c r="M720" s="121" t="str">
        <v/>
      </c>
      <c r="N720" s="121" t="str">
        <v/>
      </c>
      <c r="O720" s="121" t="str">
        <v/>
      </c>
      <c r="P720" s="121" t="str">
        <v/>
      </c>
      <c r="Q720" s="121" t="str">
        <v xml:space="preserve"> 2. </v>
      </c>
      <c r="R720" s="121" t="str">
        <v>A customer profile consists of the following:</v>
      </c>
      <c r="S720" s="121" t="str">
        <v/>
      </c>
      <c r="T720" s="119" t="str">
        <f>IF($C720&lt;4,IF($C720=3,T721,IF($C720=2,T$1,"")),Q720&amp;R720&amp;IF(LEN(S720)=0,"",Preferences!$C$2&amp;S720)&amp;IF(J721=J720,IF(LEN(R720&amp;S720)=0,"","
")&amp;T721,""))</f>
        <v xml:space="preserve"> 2. A customer profile consists of the following:
	• Personal details
	• Change password
	• Contact details
	• Family details
	• Delivery details
	• Payment details
	• Favourites
	• Wishlist
	• Articles Library</v>
      </c>
      <c r="U720" s="122" t="str">
        <v/>
      </c>
      <c r="V720" s="42"/>
      <c r="W720" s="42"/>
      <c r="X720" s="42"/>
      <c r="Y720" s="42"/>
      <c r="Z720" s="42"/>
      <c r="AA720" s="42"/>
      <c r="AB720" s="42"/>
    </row>
    <row r="721" spans="1:28" x14ac:dyDescent="0.25">
      <c r="A721" s="42" t="str">
        <v>1.15.1.2.1</v>
      </c>
      <c r="B721" s="121" t="str">
        <v>Personal details</v>
      </c>
      <c r="C721" s="41">
        <v>5</v>
      </c>
      <c r="D721" s="41" t="str">
        <v>RL</v>
      </c>
      <c r="E721" s="117" t="str">
        <f t="shared" si="0"/>
        <v>RL</v>
      </c>
      <c r="F721" s="41" t="str">
        <v/>
      </c>
      <c r="G721" s="41" t="str">
        <v/>
      </c>
      <c r="H721" s="117">
        <f t="shared" si="1"/>
        <v>0</v>
      </c>
      <c r="I721" s="117">
        <f t="shared" si="2"/>
        <v>15</v>
      </c>
      <c r="J721" s="117">
        <f t="shared" si="3"/>
        <v>15.01</v>
      </c>
      <c r="K721" s="117" t="str">
        <f t="shared" si="4"/>
        <v>BR</v>
      </c>
      <c r="L721" s="42" t="str">
        <v>BR1501</v>
      </c>
      <c r="M721" s="121" t="str">
        <v/>
      </c>
      <c r="N721" s="121" t="str">
        <v/>
      </c>
      <c r="O721" s="121" t="str">
        <v/>
      </c>
      <c r="P721" s="121" t="str">
        <v/>
      </c>
      <c r="Q721" s="121" t="str">
        <v/>
      </c>
      <c r="R721" s="121" t="str">
        <v/>
      </c>
      <c r="S721" s="121" t="str">
        <v>Personal details</v>
      </c>
      <c r="T721" s="119" t="str">
        <f>IF($C721&lt;4,IF($C721=3,T722,IF($C721=2,T$1,"")),Q721&amp;R721&amp;IF(LEN(S721)=0,"",Preferences!$C$2&amp;S721)&amp;IF(J722=J721,IF(LEN(R721&amp;S721)=0,"","
")&amp;T722,""))</f>
        <v xml:space="preserve">	• Personal details
	• Change password
	• Contact details
	• Family details
	• Delivery details
	• Payment details
	• Favourites
	• Wishlist
	• Articles Library</v>
      </c>
      <c r="U721" s="122" t="str">
        <v/>
      </c>
      <c r="V721" s="42"/>
      <c r="W721" s="42"/>
      <c r="X721" s="42"/>
      <c r="Y721" s="42"/>
      <c r="Z721" s="42"/>
      <c r="AA721" s="42"/>
      <c r="AB721" s="42"/>
    </row>
    <row r="722" spans="1:28" x14ac:dyDescent="0.25">
      <c r="A722" s="42" t="str">
        <v>1.15.1.2.2</v>
      </c>
      <c r="B722" s="121" t="str">
        <v>Change password</v>
      </c>
      <c r="C722" s="41">
        <v>5</v>
      </c>
      <c r="D722" s="41" t="str">
        <v>RL</v>
      </c>
      <c r="E722" s="117" t="str">
        <f t="shared" si="0"/>
        <v>RL</v>
      </c>
      <c r="F722" s="41" t="str">
        <v/>
      </c>
      <c r="G722" s="41" t="str">
        <v/>
      </c>
      <c r="H722" s="117">
        <f t="shared" si="1"/>
        <v>0</v>
      </c>
      <c r="I722" s="117">
        <f t="shared" si="2"/>
        <v>15</v>
      </c>
      <c r="J722" s="117">
        <f t="shared" si="3"/>
        <v>15.01</v>
      </c>
      <c r="K722" s="117" t="str">
        <f t="shared" si="4"/>
        <v>BR</v>
      </c>
      <c r="L722" s="42" t="str">
        <v>BR1501</v>
      </c>
      <c r="M722" s="121" t="str">
        <v/>
      </c>
      <c r="N722" s="121" t="str">
        <v/>
      </c>
      <c r="O722" s="121" t="str">
        <v/>
      </c>
      <c r="P722" s="121" t="str">
        <v/>
      </c>
      <c r="Q722" s="121" t="str">
        <v/>
      </c>
      <c r="R722" s="121" t="str">
        <v/>
      </c>
      <c r="S722" s="121" t="str">
        <v>Change password</v>
      </c>
      <c r="T722" s="119" t="str">
        <f>IF($C722&lt;4,IF($C722=3,T723,IF($C722=2,T$1,"")),Q722&amp;R722&amp;IF(LEN(S722)=0,"",Preferences!$C$2&amp;S722)&amp;IF(J723=J722,IF(LEN(R722&amp;S722)=0,"","
")&amp;T723,""))</f>
        <v xml:space="preserve">	• Change password
	• Contact details
	• Family details
	• Delivery details
	• Payment details
	• Favourites
	• Wishlist
	• Articles Library</v>
      </c>
      <c r="U722" s="122" t="str">
        <v/>
      </c>
      <c r="V722" s="42"/>
      <c r="W722" s="42"/>
      <c r="X722" s="42"/>
      <c r="Y722" s="42"/>
      <c r="Z722" s="42"/>
      <c r="AA722" s="42"/>
      <c r="AB722" s="42"/>
    </row>
    <row r="723" spans="1:28" x14ac:dyDescent="0.25">
      <c r="A723" s="42" t="str">
        <v>1.15.1.2.3</v>
      </c>
      <c r="B723" s="121" t="str">
        <v>Contact details</v>
      </c>
      <c r="C723" s="41">
        <v>5</v>
      </c>
      <c r="D723" s="41" t="str">
        <v>RL</v>
      </c>
      <c r="E723" s="117" t="str">
        <f t="shared" si="0"/>
        <v>RL</v>
      </c>
      <c r="F723" s="41" t="str">
        <v/>
      </c>
      <c r="G723" s="41" t="str">
        <v/>
      </c>
      <c r="H723" s="117">
        <f t="shared" si="1"/>
        <v>0</v>
      </c>
      <c r="I723" s="117">
        <f t="shared" si="2"/>
        <v>15</v>
      </c>
      <c r="J723" s="117">
        <f t="shared" si="3"/>
        <v>15.01</v>
      </c>
      <c r="K723" s="117" t="str">
        <f t="shared" si="4"/>
        <v>BR</v>
      </c>
      <c r="L723" s="42" t="str">
        <v>BR1501</v>
      </c>
      <c r="M723" s="121" t="str">
        <v/>
      </c>
      <c r="N723" s="121" t="str">
        <v/>
      </c>
      <c r="O723" s="121" t="str">
        <v/>
      </c>
      <c r="P723" s="121" t="str">
        <v/>
      </c>
      <c r="Q723" s="121" t="str">
        <v/>
      </c>
      <c r="R723" s="121" t="str">
        <v/>
      </c>
      <c r="S723" s="121" t="str">
        <v>Contact details</v>
      </c>
      <c r="T723" s="119" t="str">
        <f>IF($C723&lt;4,IF($C723=3,T724,IF($C723=2,T$1,"")),Q723&amp;R723&amp;IF(LEN(S723)=0,"",Preferences!$C$2&amp;S723)&amp;IF(J724=J723,IF(LEN(R723&amp;S723)=0,"","
")&amp;T724,""))</f>
        <v xml:space="preserve">	• Contact details
	• Family details
	• Delivery details
	• Payment details
	• Favourites
	• Wishlist
	• Articles Library</v>
      </c>
      <c r="U723" s="122" t="str">
        <v/>
      </c>
      <c r="V723" s="42"/>
      <c r="W723" s="42"/>
      <c r="X723" s="42"/>
      <c r="Y723" s="42"/>
      <c r="Z723" s="42"/>
      <c r="AA723" s="42"/>
      <c r="AB723" s="42"/>
    </row>
    <row r="724" spans="1:28" x14ac:dyDescent="0.25">
      <c r="A724" s="42" t="str">
        <v>1.15.1.2.4</v>
      </c>
      <c r="B724" s="121" t="str">
        <v>Family details</v>
      </c>
      <c r="C724" s="41">
        <v>5</v>
      </c>
      <c r="D724" s="41" t="str">
        <v>RL</v>
      </c>
      <c r="E724" s="117" t="str">
        <f t="shared" si="0"/>
        <v>RL</v>
      </c>
      <c r="F724" s="41" t="str">
        <v/>
      </c>
      <c r="G724" s="41" t="str">
        <v/>
      </c>
      <c r="H724" s="117">
        <f t="shared" si="1"/>
        <v>0</v>
      </c>
      <c r="I724" s="117">
        <f t="shared" si="2"/>
        <v>15</v>
      </c>
      <c r="J724" s="117">
        <f t="shared" si="3"/>
        <v>15.01</v>
      </c>
      <c r="K724" s="117" t="str">
        <f t="shared" si="4"/>
        <v>BR</v>
      </c>
      <c r="L724" s="42" t="str">
        <v>BR1501</v>
      </c>
      <c r="M724" s="121" t="str">
        <v/>
      </c>
      <c r="N724" s="121" t="str">
        <v/>
      </c>
      <c r="O724" s="121" t="str">
        <v/>
      </c>
      <c r="P724" s="121" t="str">
        <v/>
      </c>
      <c r="Q724" s="121" t="str">
        <v/>
      </c>
      <c r="R724" s="121" t="str">
        <v/>
      </c>
      <c r="S724" s="121" t="str">
        <v>Family details</v>
      </c>
      <c r="T724" s="119" t="str">
        <f>IF($C724&lt;4,IF($C724=3,T725,IF($C724=2,T$1,"")),Q724&amp;R724&amp;IF(LEN(S724)=0,"",Preferences!$C$2&amp;S724)&amp;IF(J725=J724,IF(LEN(R724&amp;S724)=0,"","
")&amp;T725,""))</f>
        <v xml:space="preserve">	• Family details
	• Delivery details
	• Payment details
	• Favourites
	• Wishlist
	• Articles Library</v>
      </c>
      <c r="U724" s="122" t="str">
        <v/>
      </c>
      <c r="V724" s="42"/>
      <c r="W724" s="42"/>
      <c r="X724" s="42"/>
      <c r="Y724" s="42"/>
      <c r="Z724" s="42"/>
      <c r="AA724" s="42"/>
      <c r="AB724" s="42"/>
    </row>
    <row r="725" spans="1:28" x14ac:dyDescent="0.25">
      <c r="A725" s="42" t="str">
        <v>1.15.1.2.5</v>
      </c>
      <c r="B725" s="121" t="str">
        <v>Delivery details</v>
      </c>
      <c r="C725" s="41">
        <v>5</v>
      </c>
      <c r="D725" s="41" t="str">
        <v>RL</v>
      </c>
      <c r="E725" s="117" t="str">
        <f t="shared" si="0"/>
        <v>RL</v>
      </c>
      <c r="F725" s="41" t="str">
        <v/>
      </c>
      <c r="G725" s="41" t="str">
        <v/>
      </c>
      <c r="H725" s="117">
        <f t="shared" si="1"/>
        <v>0</v>
      </c>
      <c r="I725" s="117">
        <f t="shared" si="2"/>
        <v>15</v>
      </c>
      <c r="J725" s="117">
        <f t="shared" si="3"/>
        <v>15.01</v>
      </c>
      <c r="K725" s="117" t="str">
        <f t="shared" si="4"/>
        <v>BR</v>
      </c>
      <c r="L725" s="42" t="str">
        <v>BR1501</v>
      </c>
      <c r="M725" s="121" t="str">
        <v/>
      </c>
      <c r="N725" s="121" t="str">
        <v/>
      </c>
      <c r="O725" s="121" t="str">
        <v/>
      </c>
      <c r="P725" s="121" t="str">
        <v/>
      </c>
      <c r="Q725" s="121" t="str">
        <v/>
      </c>
      <c r="R725" s="121" t="str">
        <v/>
      </c>
      <c r="S725" s="121" t="str">
        <v>Delivery details</v>
      </c>
      <c r="T725" s="119" t="str">
        <f>IF($C725&lt;4,IF($C725=3,T726,IF($C725=2,T$1,"")),Q725&amp;R725&amp;IF(LEN(S725)=0,"",Preferences!$C$2&amp;S725)&amp;IF(J726=J725,IF(LEN(R725&amp;S725)=0,"","
")&amp;T726,""))</f>
        <v xml:space="preserve">	• Delivery details
	• Payment details
	• Favourites
	• Wishlist
	• Articles Library</v>
      </c>
      <c r="U725" s="122" t="str">
        <v/>
      </c>
      <c r="V725" s="42"/>
      <c r="W725" s="42"/>
      <c r="X725" s="42"/>
      <c r="Y725" s="42"/>
      <c r="Z725" s="42"/>
      <c r="AA725" s="42"/>
      <c r="AB725" s="42"/>
    </row>
    <row r="726" spans="1:28" x14ac:dyDescent="0.25">
      <c r="A726" s="42" t="str">
        <v>1.15.1.2.6</v>
      </c>
      <c r="B726" s="121" t="str">
        <v>Payment details</v>
      </c>
      <c r="C726" s="41">
        <v>5</v>
      </c>
      <c r="D726" s="41" t="str">
        <v>RL</v>
      </c>
      <c r="E726" s="117" t="str">
        <f t="shared" si="0"/>
        <v>RL</v>
      </c>
      <c r="F726" s="41" t="str">
        <v/>
      </c>
      <c r="G726" s="41" t="str">
        <v/>
      </c>
      <c r="H726" s="117">
        <f t="shared" si="1"/>
        <v>0</v>
      </c>
      <c r="I726" s="117">
        <f t="shared" si="2"/>
        <v>15</v>
      </c>
      <c r="J726" s="117">
        <f t="shared" si="3"/>
        <v>15.01</v>
      </c>
      <c r="K726" s="117" t="str">
        <f t="shared" si="4"/>
        <v>BR</v>
      </c>
      <c r="L726" s="42" t="str">
        <v>BR1501</v>
      </c>
      <c r="M726" s="121" t="str">
        <v/>
      </c>
      <c r="N726" s="121" t="str">
        <v/>
      </c>
      <c r="O726" s="121" t="str">
        <v/>
      </c>
      <c r="P726" s="121" t="str">
        <v/>
      </c>
      <c r="Q726" s="121" t="str">
        <v/>
      </c>
      <c r="R726" s="121" t="str">
        <v/>
      </c>
      <c r="S726" s="121" t="str">
        <v>Payment details</v>
      </c>
      <c r="T726" s="119" t="str">
        <f>IF($C726&lt;4,IF($C726=3,T727,IF($C726=2,T$1,"")),Q726&amp;R726&amp;IF(LEN(S726)=0,"",Preferences!$C$2&amp;S726)&amp;IF(J727=J726,IF(LEN(R726&amp;S726)=0,"","
")&amp;T727,""))</f>
        <v xml:space="preserve">	• Payment details
	• Favourites
	• Wishlist
	• Articles Library</v>
      </c>
      <c r="U726" s="122" t="str">
        <v/>
      </c>
      <c r="V726" s="42"/>
      <c r="W726" s="42"/>
      <c r="X726" s="42"/>
      <c r="Y726" s="42"/>
      <c r="Z726" s="42"/>
      <c r="AA726" s="42"/>
      <c r="AB726" s="42"/>
    </row>
    <row r="727" spans="1:28" x14ac:dyDescent="0.25">
      <c r="A727" s="42" t="str">
        <v>1.15.1.2.7</v>
      </c>
      <c r="B727" s="121" t="str">
        <v>Favourites</v>
      </c>
      <c r="C727" s="41">
        <v>5</v>
      </c>
      <c r="D727" s="41" t="str">
        <v>RL</v>
      </c>
      <c r="E727" s="117" t="str">
        <f t="shared" si="0"/>
        <v>RL</v>
      </c>
      <c r="F727" s="41" t="str">
        <v/>
      </c>
      <c r="G727" s="41" t="str">
        <v/>
      </c>
      <c r="H727" s="117">
        <f t="shared" si="1"/>
        <v>0</v>
      </c>
      <c r="I727" s="117">
        <f t="shared" si="2"/>
        <v>15</v>
      </c>
      <c r="J727" s="117">
        <f t="shared" si="3"/>
        <v>15.01</v>
      </c>
      <c r="K727" s="117" t="str">
        <f t="shared" si="4"/>
        <v>BR</v>
      </c>
      <c r="L727" s="42" t="str">
        <v>BR1501</v>
      </c>
      <c r="M727" s="121" t="str">
        <v/>
      </c>
      <c r="N727" s="121" t="str">
        <v/>
      </c>
      <c r="O727" s="121" t="str">
        <v/>
      </c>
      <c r="P727" s="121" t="str">
        <v/>
      </c>
      <c r="Q727" s="121" t="str">
        <v/>
      </c>
      <c r="R727" s="121" t="str">
        <v/>
      </c>
      <c r="S727" s="121" t="str">
        <v>Favourites</v>
      </c>
      <c r="T727" s="119" t="str">
        <f>IF($C727&lt;4,IF($C727=3,T728,IF($C727=2,T$1,"")),Q727&amp;R727&amp;IF(LEN(S727)=0,"",Preferences!$C$2&amp;S727)&amp;IF(J728=J727,IF(LEN(R727&amp;S727)=0,"","
")&amp;T728,""))</f>
        <v xml:space="preserve">	• Favourites
	• Wishlist
	• Articles Library</v>
      </c>
      <c r="U727" s="122" t="str">
        <v/>
      </c>
      <c r="V727" s="42"/>
      <c r="W727" s="42"/>
      <c r="X727" s="42"/>
      <c r="Y727" s="42"/>
      <c r="Z727" s="42"/>
      <c r="AA727" s="42"/>
      <c r="AB727" s="42"/>
    </row>
    <row r="728" spans="1:28" x14ac:dyDescent="0.25">
      <c r="A728" s="42" t="str">
        <v>1.15.1.2.8</v>
      </c>
      <c r="B728" s="121" t="str">
        <v>Wishlist</v>
      </c>
      <c r="C728" s="41">
        <v>5</v>
      </c>
      <c r="D728" s="41" t="str">
        <v>RL</v>
      </c>
      <c r="E728" s="117" t="str">
        <f t="shared" si="0"/>
        <v>RL</v>
      </c>
      <c r="F728" s="41" t="str">
        <v/>
      </c>
      <c r="G728" s="41" t="str">
        <v/>
      </c>
      <c r="H728" s="117">
        <f t="shared" si="1"/>
        <v>0</v>
      </c>
      <c r="I728" s="117">
        <f t="shared" si="2"/>
        <v>15</v>
      </c>
      <c r="J728" s="117">
        <f t="shared" si="3"/>
        <v>15.01</v>
      </c>
      <c r="K728" s="117" t="str">
        <f t="shared" si="4"/>
        <v>BR</v>
      </c>
      <c r="L728" s="42" t="str">
        <v>BR1501</v>
      </c>
      <c r="M728" s="121" t="str">
        <v/>
      </c>
      <c r="N728" s="121" t="str">
        <v/>
      </c>
      <c r="O728" s="121" t="str">
        <v/>
      </c>
      <c r="P728" s="121" t="str">
        <v/>
      </c>
      <c r="Q728" s="121" t="str">
        <v/>
      </c>
      <c r="R728" s="121" t="str">
        <v/>
      </c>
      <c r="S728" s="121" t="str">
        <v>Wishlist</v>
      </c>
      <c r="T728" s="119" t="str">
        <f>IF($C728&lt;4,IF($C728=3,T729,IF($C728=2,T$1,"")),Q728&amp;R728&amp;IF(LEN(S728)=0,"",Preferences!$C$2&amp;S728)&amp;IF(J729=J728,IF(LEN(R728&amp;S728)=0,"","
")&amp;T729,""))</f>
        <v xml:space="preserve">	• Wishlist
	• Articles Library</v>
      </c>
      <c r="U728" s="122" t="str">
        <v/>
      </c>
      <c r="V728" s="42"/>
      <c r="W728" s="42"/>
      <c r="X728" s="42"/>
      <c r="Y728" s="42"/>
      <c r="Z728" s="42"/>
      <c r="AA728" s="42"/>
      <c r="AB728" s="42"/>
    </row>
    <row r="729" spans="1:28" x14ac:dyDescent="0.25">
      <c r="A729" s="42" t="str">
        <v>1.15.1.2.9</v>
      </c>
      <c r="B729" s="121" t="str">
        <v>Articles Library</v>
      </c>
      <c r="C729" s="41">
        <v>5</v>
      </c>
      <c r="D729" s="41" t="str">
        <v>RL</v>
      </c>
      <c r="E729" s="117" t="str">
        <f t="shared" si="0"/>
        <v>RL</v>
      </c>
      <c r="F729" s="41" t="str">
        <v/>
      </c>
      <c r="G729" s="41" t="str">
        <v/>
      </c>
      <c r="H729" s="117">
        <f t="shared" si="1"/>
        <v>0</v>
      </c>
      <c r="I729" s="117">
        <f t="shared" si="2"/>
        <v>15</v>
      </c>
      <c r="J729" s="117">
        <f t="shared" si="3"/>
        <v>15.01</v>
      </c>
      <c r="K729" s="117" t="str">
        <f t="shared" si="4"/>
        <v>BR</v>
      </c>
      <c r="L729" s="42" t="str">
        <v>BR1501</v>
      </c>
      <c r="M729" s="121" t="str">
        <v/>
      </c>
      <c r="N729" s="121" t="str">
        <v/>
      </c>
      <c r="O729" s="121" t="str">
        <v/>
      </c>
      <c r="P729" s="121" t="str">
        <v/>
      </c>
      <c r="Q729" s="121" t="str">
        <v/>
      </c>
      <c r="R729" s="121" t="str">
        <v/>
      </c>
      <c r="S729" s="121" t="str">
        <v>Articles Library</v>
      </c>
      <c r="T729" s="119" t="str">
        <f>IF($C729&lt;4,IF($C729=3,T730,IF($C729=2,T$1,"")),Q729&amp;R729&amp;IF(LEN(S729)=0,"",Preferences!$C$2&amp;S729)&amp;IF(J730=J729,IF(LEN(R729&amp;S729)=0,"","
")&amp;T730,""))</f>
        <v xml:space="preserve">	• Articles Library</v>
      </c>
      <c r="U729" s="122" t="str">
        <v/>
      </c>
      <c r="V729" s="42"/>
      <c r="W729" s="42"/>
      <c r="X729" s="42"/>
      <c r="Y729" s="42"/>
      <c r="Z729" s="42"/>
      <c r="AA729" s="42"/>
      <c r="AB729" s="42"/>
    </row>
    <row r="730" spans="1:28" x14ac:dyDescent="0.25">
      <c r="A730" s="42" t="str">
        <v>1.15.2</v>
      </c>
      <c r="B730" s="121" t="str">
        <v>15.2 Maintain personal details</v>
      </c>
      <c r="C730" s="41">
        <v>3</v>
      </c>
      <c r="D730" s="41" t="str">
        <v>R</v>
      </c>
      <c r="E730" s="117" t="str">
        <f t="shared" si="0"/>
        <v>R</v>
      </c>
      <c r="F730" s="41" t="str">
        <v/>
      </c>
      <c r="G730" s="41" t="str">
        <v/>
      </c>
      <c r="H730" s="117">
        <f t="shared" si="1"/>
        <v>0</v>
      </c>
      <c r="I730" s="117">
        <f t="shared" si="2"/>
        <v>15</v>
      </c>
      <c r="J730" s="117">
        <f t="shared" si="3"/>
        <v>15.02</v>
      </c>
      <c r="K730" s="117" t="str">
        <f t="shared" si="4"/>
        <v>BR</v>
      </c>
      <c r="L730" s="42" t="str">
        <v>BR1502</v>
      </c>
      <c r="M730" s="121" t="str">
        <v/>
      </c>
      <c r="N730" s="121" t="str">
        <v/>
      </c>
      <c r="O730" s="121" t="str">
        <v>BR1502</v>
      </c>
      <c r="P730" s="121" t="str">
        <v>Maintain personal details</v>
      </c>
      <c r="Q730" s="121" t="str">
        <v/>
      </c>
      <c r="R730" s="121" t="str">
        <v/>
      </c>
      <c r="S730" s="121" t="str">
        <v/>
      </c>
      <c r="T730" s="119" t="str">
        <f>IF($C730&lt;4,IF($C730=3,T731,IF($C730=2,T$1,"")),Q730&amp;R730&amp;IF(LEN(S730)=0,"",Preferences!$C$2&amp;S730)&amp;IF(J731=J730,IF(LEN(R730&amp;S730)=0,"","
")&amp;T731,""))</f>
        <v xml:space="preserve"> 1. The customer may updates their:
	• Name (min 1 alpha, space and -' characters)
	• Surname (min 2 alpha, space and -' characters)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0" s="122" t="str">
        <v/>
      </c>
      <c r="V730" s="42"/>
      <c r="W730" s="42"/>
      <c r="X730" s="42"/>
      <c r="Y730" s="42"/>
      <c r="Z730" s="42"/>
      <c r="AA730" s="42"/>
      <c r="AB730" s="42"/>
    </row>
    <row r="731" spans="1:28" x14ac:dyDescent="0.25">
      <c r="A731" s="42" t="str">
        <v>1.15.2.1</v>
      </c>
      <c r="B731" s="121" t="str">
        <v>The customer may updates their:</v>
      </c>
      <c r="C731" s="41">
        <v>4</v>
      </c>
      <c r="D731" s="41" t="str">
        <v>RD</v>
      </c>
      <c r="E731" s="117" t="str">
        <f t="shared" si="0"/>
        <v>RD</v>
      </c>
      <c r="F731" s="41" t="str">
        <v/>
      </c>
      <c r="G731" s="41" t="str">
        <v/>
      </c>
      <c r="H731" s="117">
        <f t="shared" si="1"/>
        <v>0</v>
      </c>
      <c r="I731" s="117">
        <f t="shared" si="2"/>
        <v>15</v>
      </c>
      <c r="J731" s="117">
        <f t="shared" si="3"/>
        <v>15.02</v>
      </c>
      <c r="K731" s="117" t="str">
        <f t="shared" si="4"/>
        <v>BR</v>
      </c>
      <c r="L731" s="42" t="str">
        <v>BR1502</v>
      </c>
      <c r="M731" s="121" t="str">
        <v/>
      </c>
      <c r="N731" s="121" t="str">
        <v/>
      </c>
      <c r="O731" s="121" t="str">
        <v/>
      </c>
      <c r="P731" s="121" t="str">
        <v/>
      </c>
      <c r="Q731" s="121" t="str">
        <v xml:space="preserve"> 1. </v>
      </c>
      <c r="R731" s="121" t="str">
        <v>The customer may updates their:</v>
      </c>
      <c r="S731" s="121" t="str">
        <v/>
      </c>
      <c r="T731" s="119" t="str">
        <f>IF($C731&lt;4,IF($C731=3,T732,IF($C731=2,T$1,"")),Q731&amp;R731&amp;IF(LEN(S731)=0,"",Preferences!$C$2&amp;S731)&amp;IF(J732=J731,IF(LEN(R731&amp;S731)=0,"","
")&amp;T732,""))</f>
        <v xml:space="preserve"> 1. The customer may updates their:
	• Name (min 1 alpha, space and -' characters)
	• Surname (min 2 alpha, space and -' characters)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1" s="122" t="str">
        <v/>
      </c>
      <c r="V731" s="42"/>
      <c r="W731" s="42"/>
      <c r="X731" s="42"/>
      <c r="Y731" s="42"/>
      <c r="Z731" s="42"/>
      <c r="AA731" s="42"/>
      <c r="AB731" s="42"/>
    </row>
    <row r="732" spans="1:28" x14ac:dyDescent="0.25">
      <c r="A732" s="42" t="str">
        <v>1.15.2.1.1</v>
      </c>
      <c r="B732" s="121" t="str">
        <v>Name (min 1 alpha, space and -' characters)</v>
      </c>
      <c r="C732" s="41">
        <v>5</v>
      </c>
      <c r="D732" s="41" t="str">
        <v>RL</v>
      </c>
      <c r="E732" s="117" t="str">
        <f t="shared" si="0"/>
        <v>RL</v>
      </c>
      <c r="F732" s="41" t="str">
        <v/>
      </c>
      <c r="G732" s="41" t="str">
        <v/>
      </c>
      <c r="H732" s="117">
        <f t="shared" si="1"/>
        <v>0</v>
      </c>
      <c r="I732" s="117">
        <f t="shared" si="2"/>
        <v>15</v>
      </c>
      <c r="J732" s="117">
        <f t="shared" si="3"/>
        <v>15.02</v>
      </c>
      <c r="K732" s="117" t="str">
        <f t="shared" si="4"/>
        <v>BR</v>
      </c>
      <c r="L732" s="42" t="str">
        <v>BR1502</v>
      </c>
      <c r="M732" s="121" t="str">
        <v/>
      </c>
      <c r="N732" s="121" t="str">
        <v/>
      </c>
      <c r="O732" s="121" t="str">
        <v/>
      </c>
      <c r="P732" s="121" t="str">
        <v/>
      </c>
      <c r="Q732" s="121" t="str">
        <v/>
      </c>
      <c r="R732" s="121" t="str">
        <v/>
      </c>
      <c r="S732" s="121" t="str">
        <v>Name (min 1 alpha, space and -' characters)</v>
      </c>
      <c r="T732" s="119" t="str">
        <f>IF($C732&lt;4,IF($C732=3,T733,IF($C732=2,T$1,"")),Q732&amp;R732&amp;IF(LEN(S732)=0,"",Preferences!$C$2&amp;S732)&amp;IF(J733=J732,IF(LEN(R732&amp;S732)=0,"","
")&amp;T733,""))</f>
        <v xml:space="preserve">	• Name (min 1 alpha, space and -' characters)
	• Surname (min 2 alpha, space and -' characters)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2" s="122" t="str">
        <v/>
      </c>
      <c r="V732" s="42"/>
      <c r="W732" s="42"/>
      <c r="X732" s="42"/>
      <c r="Y732" s="42"/>
      <c r="Z732" s="42"/>
      <c r="AA732" s="42"/>
      <c r="AB732" s="42"/>
    </row>
    <row r="733" spans="1:28" x14ac:dyDescent="0.25">
      <c r="A733" s="42" t="str">
        <v>1.15.2.1.2</v>
      </c>
      <c r="B733" s="121" t="str">
        <v>Surname (min 2 alpha, space and -' characters)</v>
      </c>
      <c r="C733" s="41">
        <v>5</v>
      </c>
      <c r="D733" s="41" t="str">
        <v>RL</v>
      </c>
      <c r="E733" s="117" t="str">
        <f t="shared" si="0"/>
        <v>RL</v>
      </c>
      <c r="F733" s="41" t="str">
        <v/>
      </c>
      <c r="G733" s="41" t="str">
        <v/>
      </c>
      <c r="H733" s="117">
        <f t="shared" si="1"/>
        <v>0</v>
      </c>
      <c r="I733" s="117">
        <f t="shared" si="2"/>
        <v>15</v>
      </c>
      <c r="J733" s="117">
        <f t="shared" si="3"/>
        <v>15.02</v>
      </c>
      <c r="K733" s="117" t="str">
        <f t="shared" si="4"/>
        <v>BR</v>
      </c>
      <c r="L733" s="42" t="str">
        <v>BR1502</v>
      </c>
      <c r="M733" s="121" t="str">
        <v/>
      </c>
      <c r="N733" s="121" t="str">
        <v/>
      </c>
      <c r="O733" s="121" t="str">
        <v/>
      </c>
      <c r="P733" s="121" t="str">
        <v/>
      </c>
      <c r="Q733" s="121" t="str">
        <v/>
      </c>
      <c r="R733" s="121" t="str">
        <v/>
      </c>
      <c r="S733" s="121" t="str">
        <v>Surname (min 2 alpha, space and -' characters)</v>
      </c>
      <c r="T733" s="119" t="str">
        <f>IF($C733&lt;4,IF($C733=3,T734,IF($C733=2,T$1,"")),Q733&amp;R733&amp;IF(LEN(S733)=0,"",Preferences!$C$2&amp;S733)&amp;IF(J734=J733,IF(LEN(R733&amp;S733)=0,"","
")&amp;T734,""))</f>
        <v xml:space="preserve">	• Surname (min 2 alpha, space and -' characters)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3" s="122" t="str">
        <v/>
      </c>
      <c r="V733" s="42"/>
      <c r="W733" s="42"/>
      <c r="X733" s="42"/>
      <c r="Y733" s="42"/>
      <c r="Z733" s="42"/>
      <c r="AA733" s="42"/>
      <c r="AB733" s="42"/>
    </row>
    <row r="734" spans="1:28" x14ac:dyDescent="0.25">
      <c r="A734" s="42" t="str">
        <v>1.15.2.1.3</v>
      </c>
      <c r="B734" s="121" t="str">
        <v>Title (select)</v>
      </c>
      <c r="C734" s="41">
        <v>5</v>
      </c>
      <c r="D734" s="41" t="str">
        <v>RL</v>
      </c>
      <c r="E734" s="117" t="str">
        <f t="shared" si="0"/>
        <v>RL</v>
      </c>
      <c r="F734" s="41" t="str">
        <v/>
      </c>
      <c r="G734" s="41" t="str">
        <v/>
      </c>
      <c r="H734" s="117">
        <f t="shared" si="1"/>
        <v>0</v>
      </c>
      <c r="I734" s="117">
        <f t="shared" si="2"/>
        <v>15</v>
      </c>
      <c r="J734" s="117">
        <f t="shared" si="3"/>
        <v>15.02</v>
      </c>
      <c r="K734" s="117" t="str">
        <f t="shared" si="4"/>
        <v>BR</v>
      </c>
      <c r="L734" s="42" t="str">
        <v>BR1502</v>
      </c>
      <c r="M734" s="121" t="str">
        <v/>
      </c>
      <c r="N734" s="121" t="str">
        <v/>
      </c>
      <c r="O734" s="121" t="str">
        <v/>
      </c>
      <c r="P734" s="121" t="str">
        <v/>
      </c>
      <c r="Q734" s="121" t="str">
        <v/>
      </c>
      <c r="R734" s="121" t="str">
        <v/>
      </c>
      <c r="S734" s="121" t="str">
        <v>Title (select)</v>
      </c>
      <c r="T734" s="119" t="str">
        <f>IF($C734&lt;4,IF($C734=3,T735,IF($C734=2,T$1,"")),Q734&amp;R734&amp;IF(LEN(S734)=0,"",Preferences!$C$2&amp;S734)&amp;IF(J735=J734,IF(LEN(R734&amp;S734)=0,"","
")&amp;T735,""))</f>
        <v xml:space="preserve">	• Title (select)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4" s="122" t="str">
        <v/>
      </c>
      <c r="V734" s="42"/>
      <c r="W734" s="42"/>
      <c r="X734" s="42"/>
      <c r="Y734" s="42"/>
      <c r="Z734" s="42"/>
      <c r="AA734" s="42"/>
      <c r="AB734" s="42"/>
    </row>
    <row r="735" spans="1:28" x14ac:dyDescent="0.25">
      <c r="A735" s="42" t="str">
        <v>1.15.2.1.4</v>
      </c>
      <c r="B735" s="121" t="str">
        <v>Identity number type (SA ID / Passport or Visa)</v>
      </c>
      <c r="C735" s="41">
        <v>5</v>
      </c>
      <c r="D735" s="41" t="str">
        <v>RL</v>
      </c>
      <c r="E735" s="117" t="str">
        <f t="shared" si="0"/>
        <v>RL</v>
      </c>
      <c r="F735" s="41" t="str">
        <v/>
      </c>
      <c r="G735" s="41" t="str">
        <v/>
      </c>
      <c r="H735" s="117">
        <f t="shared" si="1"/>
        <v>0</v>
      </c>
      <c r="I735" s="117">
        <f t="shared" si="2"/>
        <v>15</v>
      </c>
      <c r="J735" s="117">
        <f t="shared" si="3"/>
        <v>15.02</v>
      </c>
      <c r="K735" s="117" t="str">
        <f t="shared" si="4"/>
        <v>BR</v>
      </c>
      <c r="L735" s="42" t="str">
        <v>BR1502</v>
      </c>
      <c r="M735" s="121" t="str">
        <v/>
      </c>
      <c r="N735" s="121" t="str">
        <v/>
      </c>
      <c r="O735" s="121" t="str">
        <v/>
      </c>
      <c r="P735" s="121" t="str">
        <v/>
      </c>
      <c r="Q735" s="121" t="str">
        <v/>
      </c>
      <c r="R735" s="121" t="str">
        <v/>
      </c>
      <c r="S735" s="121" t="str">
        <v>Identity number type (SA ID / Passport or Visa)</v>
      </c>
      <c r="T735" s="119" t="str">
        <f>IF($C735&lt;4,IF($C735=3,T736,IF($C735=2,T$1,"")),Q735&amp;R735&amp;IF(LEN(S735)=0,"",Preferences!$C$2&amp;S735)&amp;IF(J736=J735,IF(LEN(R735&amp;S735)=0,"","
")&amp;T736,""))</f>
        <v xml:space="preserve">	• Identity number type (SA ID / Passport or Visa)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5" s="122" t="str">
        <v/>
      </c>
      <c r="V735" s="42"/>
      <c r="W735" s="42"/>
      <c r="X735" s="42"/>
      <c r="Y735" s="42"/>
      <c r="Z735" s="42"/>
      <c r="AA735" s="42"/>
      <c r="AB735" s="42"/>
    </row>
    <row r="736" spans="1:28" x14ac:dyDescent="0.25">
      <c r="A736" s="42" t="str">
        <v>1.15.2.1.5</v>
      </c>
      <c r="B736" s="121" t="str">
        <v>Identity number - SA ID (SA ID validation)</v>
      </c>
      <c r="C736" s="41">
        <v>5</v>
      </c>
      <c r="D736" s="41" t="str">
        <v>RL</v>
      </c>
      <c r="E736" s="117" t="str">
        <f t="shared" si="0"/>
        <v>RL</v>
      </c>
      <c r="F736" s="41" t="str">
        <v/>
      </c>
      <c r="G736" s="41" t="str">
        <v/>
      </c>
      <c r="H736" s="117">
        <f t="shared" si="1"/>
        <v>0</v>
      </c>
      <c r="I736" s="117">
        <f t="shared" si="2"/>
        <v>15</v>
      </c>
      <c r="J736" s="117">
        <f t="shared" si="3"/>
        <v>15.02</v>
      </c>
      <c r="K736" s="117" t="str">
        <f t="shared" si="4"/>
        <v>BR</v>
      </c>
      <c r="L736" s="42" t="str">
        <v>BR1502</v>
      </c>
      <c r="M736" s="121" t="str">
        <v/>
      </c>
      <c r="N736" s="121" t="str">
        <v/>
      </c>
      <c r="O736" s="121" t="str">
        <v/>
      </c>
      <c r="P736" s="121" t="str">
        <v/>
      </c>
      <c r="Q736" s="121" t="str">
        <v/>
      </c>
      <c r="R736" s="121" t="str">
        <v/>
      </c>
      <c r="S736" s="121" t="str">
        <v>Identity number - SA ID (SA ID validation)</v>
      </c>
      <c r="T736" s="119" t="str">
        <f>IF($C736&lt;4,IF($C736=3,T737,IF($C736=2,T$1,"")),Q736&amp;R736&amp;IF(LEN(S736)=0,"",Preferences!$C$2&amp;S736)&amp;IF(J737=J736,IF(LEN(R736&amp;S736)=0,"","
")&amp;T737,""))</f>
        <v xml:space="preserve">	• Identity number - SA ID (SA ID validation)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6" s="122" t="str">
        <v/>
      </c>
      <c r="V736" s="42"/>
      <c r="W736" s="42"/>
      <c r="X736" s="42"/>
      <c r="Y736" s="42"/>
      <c r="Z736" s="42"/>
      <c r="AA736" s="42"/>
      <c r="AB736" s="42"/>
    </row>
    <row r="737" spans="1:28" x14ac:dyDescent="0.25">
      <c r="A737" s="42" t="str">
        <v>1.15.2.1.6</v>
      </c>
      <c r="B737" s="121" t="str">
        <v>Identity number - Passport (7-15 alpha-numeric characters)</v>
      </c>
      <c r="C737" s="41">
        <v>5</v>
      </c>
      <c r="D737" s="41" t="str">
        <v>RL</v>
      </c>
      <c r="E737" s="117" t="str">
        <f t="shared" si="0"/>
        <v>RL</v>
      </c>
      <c r="F737" s="41" t="str">
        <v/>
      </c>
      <c r="G737" s="41" t="str">
        <v/>
      </c>
      <c r="H737" s="117">
        <f t="shared" si="1"/>
        <v>0</v>
      </c>
      <c r="I737" s="117">
        <f t="shared" si="2"/>
        <v>15</v>
      </c>
      <c r="J737" s="117">
        <f t="shared" si="3"/>
        <v>15.02</v>
      </c>
      <c r="K737" s="117" t="str">
        <f t="shared" si="4"/>
        <v>BR</v>
      </c>
      <c r="L737" s="42" t="str">
        <v>BR1502</v>
      </c>
      <c r="M737" s="121" t="str">
        <v/>
      </c>
      <c r="N737" s="121" t="str">
        <v/>
      </c>
      <c r="O737" s="121" t="str">
        <v/>
      </c>
      <c r="P737" s="121" t="str">
        <v/>
      </c>
      <c r="Q737" s="121" t="str">
        <v/>
      </c>
      <c r="R737" s="121" t="str">
        <v/>
      </c>
      <c r="S737" s="121" t="str">
        <v>Identity number - Passport (7-15 alpha-numeric characters)</v>
      </c>
      <c r="T737" s="119" t="str">
        <f>IF($C737&lt;4,IF($C737=3,T738,IF($C737=2,T$1,"")),Q737&amp;R737&amp;IF(LEN(S737)=0,"",Preferences!$C$2&amp;S737)&amp;IF(J738=J737,IF(LEN(R737&amp;S737)=0,"","
")&amp;T738,""))</f>
        <v xml:space="preserve">	• Identity number - Passport (7-15 alpha-numeric characters)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7" s="122" t="str">
        <v/>
      </c>
      <c r="V737" s="42"/>
      <c r="W737" s="42"/>
      <c r="X737" s="42"/>
      <c r="Y737" s="42"/>
      <c r="Z737" s="42"/>
      <c r="AA737" s="42"/>
      <c r="AB737" s="42"/>
    </row>
    <row r="738" spans="1:28" x14ac:dyDescent="0.25">
      <c r="A738" s="42" t="str">
        <v>1.15.2.2</v>
      </c>
      <c r="B738" s="121" t="str">
        <v>To confirm the change to their personal details, the customer must capture a one-time-pin (OTP) sent to their email address.</v>
      </c>
      <c r="C738" s="41">
        <v>4</v>
      </c>
      <c r="D738" s="41" t="str">
        <v>RD</v>
      </c>
      <c r="E738" s="117" t="str">
        <f t="shared" si="0"/>
        <v>RD</v>
      </c>
      <c r="F738" s="41" t="str">
        <v/>
      </c>
      <c r="G738" s="41" t="str">
        <v/>
      </c>
      <c r="H738" s="117">
        <f t="shared" si="1"/>
        <v>0</v>
      </c>
      <c r="I738" s="117">
        <f t="shared" si="2"/>
        <v>15</v>
      </c>
      <c r="J738" s="117">
        <f t="shared" si="3"/>
        <v>15.02</v>
      </c>
      <c r="K738" s="117" t="str">
        <f t="shared" si="4"/>
        <v>BR</v>
      </c>
      <c r="L738" s="42" t="str">
        <v>BR1502</v>
      </c>
      <c r="M738" s="121" t="str">
        <v/>
      </c>
      <c r="N738" s="121" t="str">
        <v/>
      </c>
      <c r="O738" s="121" t="str">
        <v/>
      </c>
      <c r="P738" s="121" t="str">
        <v/>
      </c>
      <c r="Q738" s="121" t="str">
        <v xml:space="preserve"> 2. </v>
      </c>
      <c r="R738" s="121" t="str">
        <v>To confirm the change to their personal details, the customer must capture a one-time-pin (OTP) sent to their email address.</v>
      </c>
      <c r="S738" s="121" t="str">
        <v/>
      </c>
      <c r="T738" s="119" t="str">
        <f>IF($C738&lt;4,IF($C738=3,T739,IF($C738=2,T$1,"")),Q738&amp;R738&amp;IF(LEN(S738)=0,"",Preferences!$C$2&amp;S738)&amp;IF(J739=J738,IF(LEN(R738&amp;S738)=0,"","
")&amp;T739,""))</f>
        <v xml:space="preserve"> 2. To confirm the change to their personal details, the customer must capture a one-time-pin (OTP) sent to their email address.
 3. Also refer to the Register customer requirements of the Customer Registration section for more details on the profile fields.
 4. Invalid characters are removed for submitted values.</v>
      </c>
      <c r="U738" s="122" t="str">
        <v/>
      </c>
      <c r="V738" s="42"/>
      <c r="W738" s="42"/>
      <c r="X738" s="42"/>
      <c r="Y738" s="42"/>
      <c r="Z738" s="42"/>
      <c r="AA738" s="42"/>
      <c r="AB738" s="42"/>
    </row>
    <row r="739" spans="1:28" x14ac:dyDescent="0.25">
      <c r="A739" s="42" t="str">
        <v>1.15.2.3</v>
      </c>
      <c r="B739" s="121" t="str">
        <v>Also refer to the Register customer requirements of the Customer Registration section for more details on the profile fields.</v>
      </c>
      <c r="C739" s="41">
        <v>4</v>
      </c>
      <c r="D739" s="41" t="str">
        <v>RD</v>
      </c>
      <c r="E739" s="117" t="str">
        <f t="shared" si="0"/>
        <v>RD</v>
      </c>
      <c r="F739" s="41" t="str">
        <v/>
      </c>
      <c r="G739" s="41" t="str">
        <v/>
      </c>
      <c r="H739" s="117">
        <f t="shared" si="1"/>
        <v>0</v>
      </c>
      <c r="I739" s="117">
        <f t="shared" si="2"/>
        <v>15</v>
      </c>
      <c r="J739" s="117">
        <f t="shared" si="3"/>
        <v>15.02</v>
      </c>
      <c r="K739" s="117" t="str">
        <f t="shared" si="4"/>
        <v>BR</v>
      </c>
      <c r="L739" s="42" t="str">
        <v>BR1502</v>
      </c>
      <c r="M739" s="121" t="str">
        <v/>
      </c>
      <c r="N739" s="121" t="str">
        <v/>
      </c>
      <c r="O739" s="121" t="str">
        <v/>
      </c>
      <c r="P739" s="121" t="str">
        <v/>
      </c>
      <c r="Q739" s="121" t="str">
        <v xml:space="preserve"> 3. </v>
      </c>
      <c r="R739" s="121" t="str">
        <v>Also refer to the Register customer requirements of the Customer Registration section for more details on the profile fields.</v>
      </c>
      <c r="S739" s="121" t="str">
        <v/>
      </c>
      <c r="T739" s="119" t="str">
        <f>IF($C739&lt;4,IF($C739=3,T740,IF($C739=2,T$1,"")),Q739&amp;R739&amp;IF(LEN(S739)=0,"",Preferences!$C$2&amp;S739)&amp;IF(J740=J739,IF(LEN(R739&amp;S739)=0,"","
")&amp;T740,""))</f>
        <v xml:space="preserve"> 3. Also refer to the Register customer requirements of the Customer Registration section for more details on the profile fields.
 4. Invalid characters are removed for submitted values.</v>
      </c>
      <c r="U739" s="122" t="str">
        <v/>
      </c>
      <c r="V739" s="42"/>
      <c r="W739" s="42"/>
      <c r="X739" s="42"/>
      <c r="Y739" s="42"/>
      <c r="Z739" s="42"/>
      <c r="AA739" s="42"/>
      <c r="AB739" s="42"/>
    </row>
    <row r="740" spans="1:28" x14ac:dyDescent="0.25">
      <c r="A740" s="42" t="str">
        <v>1.15.2.4</v>
      </c>
      <c r="B740" s="121" t="str">
        <v>Invalid characters are removed for submitted values.</v>
      </c>
      <c r="C740" s="41">
        <v>4</v>
      </c>
      <c r="D740" s="41" t="str">
        <v>RD</v>
      </c>
      <c r="E740" s="117" t="str">
        <f t="shared" si="0"/>
        <v>RD</v>
      </c>
      <c r="F740" s="41" t="str">
        <v/>
      </c>
      <c r="G740" s="41" t="str">
        <v/>
      </c>
      <c r="H740" s="117">
        <f t="shared" si="1"/>
        <v>0</v>
      </c>
      <c r="I740" s="117">
        <f t="shared" si="2"/>
        <v>15</v>
      </c>
      <c r="J740" s="117">
        <f t="shared" si="3"/>
        <v>15.02</v>
      </c>
      <c r="K740" s="117" t="str">
        <f t="shared" si="4"/>
        <v>BR</v>
      </c>
      <c r="L740" s="42" t="str">
        <v>BR1502</v>
      </c>
      <c r="M740" s="121" t="str">
        <v/>
      </c>
      <c r="N740" s="121" t="str">
        <v/>
      </c>
      <c r="O740" s="121" t="str">
        <v/>
      </c>
      <c r="P740" s="121" t="str">
        <v/>
      </c>
      <c r="Q740" s="121" t="str">
        <v xml:space="preserve"> 4. </v>
      </c>
      <c r="R740" s="121" t="str">
        <v>Invalid characters are removed for submitted values.</v>
      </c>
      <c r="S740" s="121" t="str">
        <v/>
      </c>
      <c r="T740" s="119" t="str">
        <f>IF($C740&lt;4,IF($C740=3,T741,IF($C740=2,T$1,"")),Q740&amp;R740&amp;IF(LEN(S740)=0,"",Preferences!$C$2&amp;S740)&amp;IF(J741=J740,IF(LEN(R740&amp;S740)=0,"","
")&amp;T741,""))</f>
        <v xml:space="preserve"> 4. Invalid characters are removed for submitted values.</v>
      </c>
      <c r="U740" s="122" t="str">
        <v/>
      </c>
      <c r="V740" s="42"/>
      <c r="W740" s="42"/>
      <c r="X740" s="42"/>
      <c r="Y740" s="42"/>
      <c r="Z740" s="42"/>
      <c r="AA740" s="42"/>
      <c r="AB740" s="42"/>
    </row>
    <row r="741" spans="1:28" x14ac:dyDescent="0.25">
      <c r="A741" s="42" t="str">
        <v>1.15.3</v>
      </c>
      <c r="B741" s="121" t="str">
        <v>15.3 Change password</v>
      </c>
      <c r="C741" s="41">
        <v>3</v>
      </c>
      <c r="D741" s="41" t="str">
        <v>R</v>
      </c>
      <c r="E741" s="117" t="str">
        <f t="shared" si="0"/>
        <v>R</v>
      </c>
      <c r="F741" s="41" t="str">
        <v/>
      </c>
      <c r="G741" s="41" t="str">
        <v/>
      </c>
      <c r="H741" s="117">
        <f t="shared" si="1"/>
        <v>0</v>
      </c>
      <c r="I741" s="117">
        <f t="shared" si="2"/>
        <v>15</v>
      </c>
      <c r="J741" s="117">
        <f t="shared" si="3"/>
        <v>15.03</v>
      </c>
      <c r="K741" s="117" t="str">
        <f t="shared" si="4"/>
        <v>BR</v>
      </c>
      <c r="L741" s="42" t="str">
        <v>BR1503</v>
      </c>
      <c r="M741" s="121" t="str">
        <v/>
      </c>
      <c r="N741" s="121" t="str">
        <v/>
      </c>
      <c r="O741" s="121" t="str">
        <v>BR1503</v>
      </c>
      <c r="P741" s="121" t="str">
        <v>Change password</v>
      </c>
      <c r="Q741" s="121" t="str">
        <v/>
      </c>
      <c r="R741" s="121" t="str">
        <v/>
      </c>
      <c r="S741" s="121" t="str">
        <v/>
      </c>
      <c r="T741" s="119" t="str">
        <f>IF($C741&lt;4,IF($C741=3,T742,IF($C741=2,T$1,"")),Q741&amp;R741&amp;IF(LEN(S741)=0,"",Preferences!$C$2&amp;S741)&amp;IF(J742=J741,IF(LEN(R741&amp;S741)=0,"","
")&amp;T742,""))</f>
        <v xml:space="preserve"> 1. From their customer profile, the customer may change their login password, as detailed in the Change own password requirements of the Users section.</v>
      </c>
      <c r="U741" s="122" t="str">
        <v/>
      </c>
      <c r="V741" s="42"/>
      <c r="W741" s="42"/>
      <c r="X741" s="42"/>
      <c r="Y741" s="42"/>
      <c r="Z741" s="42"/>
      <c r="AA741" s="42"/>
      <c r="AB741" s="42"/>
    </row>
    <row r="742" spans="1:28" x14ac:dyDescent="0.25">
      <c r="A742" s="42" t="str">
        <v>1.15.3.1</v>
      </c>
      <c r="B742" s="121" t="str">
        <v>From their customer profile, the customer may change their login password, as detailed in the Change own password requirements of the Users section.</v>
      </c>
      <c r="C742" s="41">
        <v>4</v>
      </c>
      <c r="D742" s="41" t="str">
        <v>RD</v>
      </c>
      <c r="E742" s="117" t="str">
        <f t="shared" si="0"/>
        <v>RD</v>
      </c>
      <c r="F742" s="41" t="str">
        <v/>
      </c>
      <c r="G742" s="41" t="str">
        <v/>
      </c>
      <c r="H742" s="117">
        <f t="shared" si="1"/>
        <v>0</v>
      </c>
      <c r="I742" s="117">
        <f t="shared" si="2"/>
        <v>15</v>
      </c>
      <c r="J742" s="117">
        <f t="shared" si="3"/>
        <v>15.03</v>
      </c>
      <c r="K742" s="117" t="str">
        <f t="shared" si="4"/>
        <v>BR</v>
      </c>
      <c r="L742" s="42" t="str">
        <v>BR1503</v>
      </c>
      <c r="M742" s="121" t="str">
        <v/>
      </c>
      <c r="N742" s="121" t="str">
        <v/>
      </c>
      <c r="O742" s="121" t="str">
        <v/>
      </c>
      <c r="P742" s="121" t="str">
        <v/>
      </c>
      <c r="Q742" s="121" t="str">
        <v xml:space="preserve"> 1. </v>
      </c>
      <c r="R742" s="121" t="str">
        <v>From their customer profile, the customer may change their login password, as detailed in the Change own password requirements of the Users section.</v>
      </c>
      <c r="S742" s="121" t="str">
        <v/>
      </c>
      <c r="T742" s="119" t="str">
        <f>IF($C742&lt;4,IF($C742=3,T743,IF($C742=2,T$1,"")),Q742&amp;R742&amp;IF(LEN(S742)=0,"",Preferences!$C$2&amp;S742)&amp;IF(J743=J742,IF(LEN(R742&amp;S742)=0,"","
")&amp;T743,""))</f>
        <v xml:space="preserve"> 1. From their customer profile, the customer may change their login password, as detailed in the Change own password requirements of the Users section.</v>
      </c>
      <c r="U742" s="122" t="str">
        <v/>
      </c>
      <c r="V742" s="42"/>
      <c r="W742" s="42"/>
      <c r="X742" s="42"/>
      <c r="Y742" s="42"/>
      <c r="Z742" s="42"/>
      <c r="AA742" s="42"/>
      <c r="AB742" s="42"/>
    </row>
    <row r="743" spans="1:28" x14ac:dyDescent="0.25">
      <c r="A743" s="42" t="str">
        <v>1.15.4</v>
      </c>
      <c r="B743" s="121" t="str">
        <v>15.4 Maintain contact details</v>
      </c>
      <c r="C743" s="41">
        <v>3</v>
      </c>
      <c r="D743" s="41" t="str">
        <v>R</v>
      </c>
      <c r="E743" s="117" t="str">
        <f t="shared" si="0"/>
        <v>R</v>
      </c>
      <c r="F743" s="41" t="str">
        <v/>
      </c>
      <c r="G743" s="41" t="str">
        <v/>
      </c>
      <c r="H743" s="117">
        <f t="shared" si="1"/>
        <v>0</v>
      </c>
      <c r="I743" s="117">
        <f t="shared" si="2"/>
        <v>15</v>
      </c>
      <c r="J743" s="117">
        <f t="shared" si="3"/>
        <v>15.04</v>
      </c>
      <c r="K743" s="117" t="str">
        <f t="shared" si="4"/>
        <v>BR</v>
      </c>
      <c r="L743" s="42" t="str">
        <v>BR1504</v>
      </c>
      <c r="M743" s="121" t="str">
        <v/>
      </c>
      <c r="N743" s="121" t="str">
        <v/>
      </c>
      <c r="O743" s="121" t="str">
        <v>BR1504</v>
      </c>
      <c r="P743" s="121" t="str">
        <v>Maintain contact details</v>
      </c>
      <c r="Q743" s="121" t="str">
        <v/>
      </c>
      <c r="R743" s="121" t="str">
        <v/>
      </c>
      <c r="S743" s="121" t="str">
        <v/>
      </c>
      <c r="T743" s="119" t="str">
        <f>IF($C743&lt;4,IF($C743=3,T744,IF($C743=2,T$1,"")),Q743&amp;R743&amp;IF(LEN(S743)=0,"",Preferences!$C$2&amp;S743)&amp;IF(J744=J743,IF(LEN(R743&amp;S743)=0,"","
")&amp;T744,""))</f>
        <v xml:space="preserve"> 1. The customer may add a new email address, to replace the old one.
	• It must be in a valid email address format.
	• The customer must capture a one-time code emailed to the new email address, as well as a one-time code sent to their cellphone number (SMS).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3" s="122" t="str">
        <v/>
      </c>
      <c r="V743" s="42"/>
      <c r="W743" s="42"/>
      <c r="X743" s="42"/>
      <c r="Y743" s="42"/>
      <c r="Z743" s="42"/>
      <c r="AA743" s="42"/>
      <c r="AB743" s="42"/>
    </row>
    <row r="744" spans="1:28" x14ac:dyDescent="0.25">
      <c r="A744" s="42" t="str">
        <v>1.15.4.1</v>
      </c>
      <c r="B744" s="121" t="str">
        <v>The customer may add a new email address, to replace the old one.</v>
      </c>
      <c r="C744" s="41">
        <v>4</v>
      </c>
      <c r="D744" s="41" t="str">
        <v>RD</v>
      </c>
      <c r="E744" s="117" t="str">
        <f t="shared" si="0"/>
        <v>RD</v>
      </c>
      <c r="F744" s="41" t="str">
        <v/>
      </c>
      <c r="G744" s="41" t="str">
        <v/>
      </c>
      <c r="H744" s="117">
        <f t="shared" si="1"/>
        <v>0</v>
      </c>
      <c r="I744" s="117">
        <f t="shared" si="2"/>
        <v>15</v>
      </c>
      <c r="J744" s="117">
        <f t="shared" si="3"/>
        <v>15.04</v>
      </c>
      <c r="K744" s="117" t="str">
        <f t="shared" si="4"/>
        <v>BR</v>
      </c>
      <c r="L744" s="42" t="str">
        <v>BR1504</v>
      </c>
      <c r="M744" s="121" t="str">
        <v/>
      </c>
      <c r="N744" s="121" t="str">
        <v/>
      </c>
      <c r="O744" s="121" t="str">
        <v/>
      </c>
      <c r="P744" s="121" t="str">
        <v/>
      </c>
      <c r="Q744" s="121" t="str">
        <v xml:space="preserve"> 1. </v>
      </c>
      <c r="R744" s="121" t="str">
        <v>The customer may add a new email address, to replace the old one.</v>
      </c>
      <c r="S744" s="121" t="str">
        <v/>
      </c>
      <c r="T744" s="119" t="str">
        <f>IF($C744&lt;4,IF($C744=3,T745,IF($C744=2,T$1,"")),Q744&amp;R744&amp;IF(LEN(S744)=0,"",Preferences!$C$2&amp;S744)&amp;IF(J745=J744,IF(LEN(R744&amp;S744)=0,"","
")&amp;T745,""))</f>
        <v xml:space="preserve"> 1. The customer may add a new email address, to replace the old one.
	• It must be in a valid email address format.
	• The customer must capture a one-time code emailed to the new email address, as well as a one-time code sent to their cellphone number (SMS).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4" s="122" t="str">
        <v/>
      </c>
      <c r="V744" s="42"/>
      <c r="W744" s="42"/>
      <c r="X744" s="42"/>
      <c r="Y744" s="42"/>
      <c r="Z744" s="42"/>
      <c r="AA744" s="42"/>
      <c r="AB744" s="42"/>
    </row>
    <row r="745" spans="1:28" x14ac:dyDescent="0.25">
      <c r="A745" s="42" t="str">
        <v>1.15.4.1.1</v>
      </c>
      <c r="B745" s="121" t="str">
        <v>It must be in a valid email address format.</v>
      </c>
      <c r="C745" s="41">
        <v>5</v>
      </c>
      <c r="D745" s="41" t="str">
        <v>RL</v>
      </c>
      <c r="E745" s="117" t="str">
        <f t="shared" si="0"/>
        <v>RL</v>
      </c>
      <c r="F745" s="41" t="str">
        <v/>
      </c>
      <c r="G745" s="41" t="str">
        <v/>
      </c>
      <c r="H745" s="117">
        <f t="shared" si="1"/>
        <v>0</v>
      </c>
      <c r="I745" s="117">
        <f t="shared" si="2"/>
        <v>15</v>
      </c>
      <c r="J745" s="117">
        <f t="shared" si="3"/>
        <v>15.04</v>
      </c>
      <c r="K745" s="117" t="str">
        <f t="shared" si="4"/>
        <v>BR</v>
      </c>
      <c r="L745" s="42" t="str">
        <v>BR1504</v>
      </c>
      <c r="M745" s="121" t="str">
        <v/>
      </c>
      <c r="N745" s="121" t="str">
        <v/>
      </c>
      <c r="O745" s="121" t="str">
        <v/>
      </c>
      <c r="P745" s="121" t="str">
        <v/>
      </c>
      <c r="Q745" s="121" t="str">
        <v/>
      </c>
      <c r="R745" s="121" t="str">
        <v/>
      </c>
      <c r="S745" s="121" t="str">
        <v>It must be in a valid email address format.</v>
      </c>
      <c r="T745" s="119" t="str">
        <f>IF($C745&lt;4,IF($C745=3,T746,IF($C745=2,T$1,"")),Q745&amp;R745&amp;IF(LEN(S745)=0,"",Preferences!$C$2&amp;S745)&amp;IF(J746=J745,IF(LEN(R745&amp;S745)=0,"","
")&amp;T746,""))</f>
        <v xml:space="preserve">	• It must be in a valid email address format.
	• The customer must capture a one-time code emailed to the new email address, as well as a one-time code sent to their cellphone number (SMS).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5" s="122" t="str">
        <v/>
      </c>
      <c r="V745" s="42"/>
      <c r="W745" s="42"/>
      <c r="X745" s="42"/>
      <c r="Y745" s="42"/>
      <c r="Z745" s="42"/>
      <c r="AA745" s="42"/>
      <c r="AB745" s="42"/>
    </row>
    <row r="746" spans="1:28" x14ac:dyDescent="0.25">
      <c r="A746" s="42" t="str">
        <v>1.15.4.1.2</v>
      </c>
      <c r="B746" s="121" t="str">
        <v>The customer must capture a one-time code emailed to the new email address, as well as a one-time code sent to their cellphone number (SMS).</v>
      </c>
      <c r="C746" s="41">
        <v>5</v>
      </c>
      <c r="D746" s="41" t="str">
        <v>RL</v>
      </c>
      <c r="E746" s="117" t="str">
        <f t="shared" si="0"/>
        <v>RL</v>
      </c>
      <c r="F746" s="41" t="str">
        <v/>
      </c>
      <c r="G746" s="41" t="str">
        <v/>
      </c>
      <c r="H746" s="117">
        <f t="shared" si="1"/>
        <v>0</v>
      </c>
      <c r="I746" s="117">
        <f t="shared" si="2"/>
        <v>15</v>
      </c>
      <c r="J746" s="117">
        <f t="shared" si="3"/>
        <v>15.04</v>
      </c>
      <c r="K746" s="117" t="str">
        <f t="shared" si="4"/>
        <v>BR</v>
      </c>
      <c r="L746" s="42" t="str">
        <v>BR1504</v>
      </c>
      <c r="M746" s="121" t="str">
        <v/>
      </c>
      <c r="N746" s="121" t="str">
        <v/>
      </c>
      <c r="O746" s="121" t="str">
        <v/>
      </c>
      <c r="P746" s="121" t="str">
        <v/>
      </c>
      <c r="Q746" s="121" t="str">
        <v/>
      </c>
      <c r="R746" s="121" t="str">
        <v/>
      </c>
      <c r="S746" s="121" t="str">
        <v>The customer must capture a one-time code emailed to the new email address, as well as a one-time code sent to their cellphone number (SMS).</v>
      </c>
      <c r="T746" s="119" t="str">
        <f>IF($C746&lt;4,IF($C746=3,T747,IF($C746=2,T$1,"")),Q746&amp;R746&amp;IF(LEN(S746)=0,"",Preferences!$C$2&amp;S746)&amp;IF(J747=J746,IF(LEN(R746&amp;S746)=0,"","
")&amp;T747,""))</f>
        <v xml:space="preserve">	• The customer must capture a one-time code emailed to the new email address, as well as a one-time code sent to their cellphone number (SMS).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6" s="122" t="str">
        <v/>
      </c>
      <c r="V746" s="42"/>
      <c r="W746" s="42"/>
      <c r="X746" s="42"/>
      <c r="Y746" s="42"/>
      <c r="Z746" s="42"/>
      <c r="AA746" s="42"/>
      <c r="AB746" s="42"/>
    </row>
    <row r="747" spans="1:28" x14ac:dyDescent="0.25">
      <c r="A747" s="42" t="str">
        <v>1.15.4.1.3</v>
      </c>
      <c r="B747" s="121" t="str">
        <v>Once verified, the customer's new email address is used as their login user name.</v>
      </c>
      <c r="C747" s="41">
        <v>5</v>
      </c>
      <c r="D747" s="41" t="str">
        <v>RL</v>
      </c>
      <c r="E747" s="117" t="str">
        <f t="shared" si="0"/>
        <v>RL</v>
      </c>
      <c r="F747" s="41" t="str">
        <v/>
      </c>
      <c r="G747" s="41" t="str">
        <v/>
      </c>
      <c r="H747" s="117">
        <f t="shared" si="1"/>
        <v>0</v>
      </c>
      <c r="I747" s="117">
        <f t="shared" si="2"/>
        <v>15</v>
      </c>
      <c r="J747" s="117">
        <f t="shared" si="3"/>
        <v>15.04</v>
      </c>
      <c r="K747" s="117" t="str">
        <f t="shared" si="4"/>
        <v>BR</v>
      </c>
      <c r="L747" s="42" t="str">
        <v>BR1504</v>
      </c>
      <c r="M747" s="121" t="str">
        <v/>
      </c>
      <c r="N747" s="121" t="str">
        <v/>
      </c>
      <c r="O747" s="121" t="str">
        <v/>
      </c>
      <c r="P747" s="121" t="str">
        <v/>
      </c>
      <c r="Q747" s="121" t="str">
        <v/>
      </c>
      <c r="R747" s="121" t="str">
        <v/>
      </c>
      <c r="S747" s="121" t="str">
        <v>Once verified, the customer's new email address is used as their login user name.</v>
      </c>
      <c r="T747" s="119" t="str">
        <f>IF($C747&lt;4,IF($C747=3,T748,IF($C747=2,T$1,"")),Q747&amp;R747&amp;IF(LEN(S747)=0,"",Preferences!$C$2&amp;S747)&amp;IF(J748=J747,IF(LEN(R747&amp;S747)=0,"","
")&amp;T748,""))</f>
        <v xml:space="preserve">	• Once verified, the customer's new email address is used as their login user name.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7" s="122" t="str">
        <v/>
      </c>
      <c r="V747" s="42"/>
      <c r="W747" s="42"/>
      <c r="X747" s="42"/>
      <c r="Y747" s="42"/>
      <c r="Z747" s="42"/>
      <c r="AA747" s="42"/>
      <c r="AB747" s="42"/>
    </row>
    <row r="748" spans="1:28" x14ac:dyDescent="0.25">
      <c r="A748" s="42" t="str">
        <v>1.15.4.2</v>
      </c>
      <c r="B748" s="121" t="str">
        <v>The customer may update their cellphone number.</v>
      </c>
      <c r="C748" s="41">
        <v>4</v>
      </c>
      <c r="D748" s="41" t="str">
        <v>RD</v>
      </c>
      <c r="E748" s="117" t="str">
        <f t="shared" si="0"/>
        <v>RD</v>
      </c>
      <c r="F748" s="41" t="str">
        <v/>
      </c>
      <c r="G748" s="41" t="str">
        <v/>
      </c>
      <c r="H748" s="117">
        <f t="shared" si="1"/>
        <v>0</v>
      </c>
      <c r="I748" s="117">
        <f t="shared" si="2"/>
        <v>15</v>
      </c>
      <c r="J748" s="117">
        <f t="shared" si="3"/>
        <v>15.04</v>
      </c>
      <c r="K748" s="117" t="str">
        <f t="shared" si="4"/>
        <v>BR</v>
      </c>
      <c r="L748" s="42" t="str">
        <v>BR1504</v>
      </c>
      <c r="M748" s="121" t="str">
        <v/>
      </c>
      <c r="N748" s="121" t="str">
        <v/>
      </c>
      <c r="O748" s="121" t="str">
        <v/>
      </c>
      <c r="P748" s="121" t="str">
        <v/>
      </c>
      <c r="Q748" s="121" t="str">
        <v xml:space="preserve"> 2. </v>
      </c>
      <c r="R748" s="121" t="str">
        <v>The customer may update their cellphone number.</v>
      </c>
      <c r="S748" s="121" t="str">
        <v/>
      </c>
      <c r="T748" s="119" t="str">
        <f>IF($C748&lt;4,IF($C748=3,T749,IF($C748=2,T$1,"")),Q748&amp;R748&amp;IF(LEN(S748)=0,"",Preferences!$C$2&amp;S748)&amp;IF(J749=J748,IF(LEN(R748&amp;S748)=0,"","
")&amp;T749,""))</f>
        <v xml:space="preserve"> 2. The customer may update their cellphone number.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8" s="122" t="str">
        <v/>
      </c>
      <c r="V748" s="42"/>
      <c r="W748" s="42"/>
      <c r="X748" s="42"/>
      <c r="Y748" s="42"/>
      <c r="Z748" s="42"/>
      <c r="AA748" s="42"/>
      <c r="AB748" s="42"/>
    </row>
    <row r="749" spans="1:28" x14ac:dyDescent="0.25">
      <c r="A749" s="42" t="str">
        <v>1.15.4.2.1</v>
      </c>
      <c r="B749" s="121" t="str">
        <v>It must be a valid SA phone number.</v>
      </c>
      <c r="C749" s="41">
        <v>5</v>
      </c>
      <c r="D749" s="41" t="str">
        <v>RL</v>
      </c>
      <c r="E749" s="117" t="str">
        <f t="shared" si="0"/>
        <v>RL</v>
      </c>
      <c r="F749" s="41" t="str">
        <v/>
      </c>
      <c r="G749" s="41" t="str">
        <v/>
      </c>
      <c r="H749" s="117">
        <f t="shared" si="1"/>
        <v>0</v>
      </c>
      <c r="I749" s="117">
        <f t="shared" si="2"/>
        <v>15</v>
      </c>
      <c r="J749" s="117">
        <f t="shared" si="3"/>
        <v>15.04</v>
      </c>
      <c r="K749" s="117" t="str">
        <f t="shared" si="4"/>
        <v>BR</v>
      </c>
      <c r="L749" s="42" t="str">
        <v>BR1504</v>
      </c>
      <c r="M749" s="121" t="str">
        <v/>
      </c>
      <c r="N749" s="121" t="str">
        <v/>
      </c>
      <c r="O749" s="121" t="str">
        <v/>
      </c>
      <c r="P749" s="121" t="str">
        <v/>
      </c>
      <c r="Q749" s="121" t="str">
        <v/>
      </c>
      <c r="R749" s="121" t="str">
        <v/>
      </c>
      <c r="S749" s="121" t="str">
        <v>It must be a valid SA phone number.</v>
      </c>
      <c r="T749" s="119" t="str">
        <f>IF($C749&lt;4,IF($C749=3,T750,IF($C749=2,T$1,"")),Q749&amp;R749&amp;IF(LEN(S749)=0,"",Preferences!$C$2&amp;S749)&amp;IF(J750=J749,IF(LEN(R749&amp;S749)=0,"","
")&amp;T750,""))</f>
        <v xml:space="preserve">	• It must be a valid SA phone number.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49" s="122" t="str">
        <v/>
      </c>
      <c r="V749" s="42"/>
      <c r="W749" s="42"/>
      <c r="X749" s="42"/>
      <c r="Y749" s="42"/>
      <c r="Z749" s="42"/>
      <c r="AA749" s="42"/>
      <c r="AB749" s="42"/>
    </row>
    <row r="750" spans="1:28" x14ac:dyDescent="0.25">
      <c r="A750" s="42" t="str">
        <v>1.15.4.2.2</v>
      </c>
      <c r="B750" s="121" t="str">
        <v>The customer must capture a one-time-pin (OTP) sent to their cellphone number (SMS).</v>
      </c>
      <c r="C750" s="41">
        <v>5</v>
      </c>
      <c r="D750" s="41" t="str">
        <v>RL</v>
      </c>
      <c r="E750" s="117" t="str">
        <f t="shared" si="0"/>
        <v>RL</v>
      </c>
      <c r="F750" s="41" t="str">
        <v/>
      </c>
      <c r="G750" s="41" t="str">
        <v/>
      </c>
      <c r="H750" s="117">
        <f t="shared" si="1"/>
        <v>0</v>
      </c>
      <c r="I750" s="117">
        <f t="shared" si="2"/>
        <v>15</v>
      </c>
      <c r="J750" s="117">
        <f t="shared" si="3"/>
        <v>15.04</v>
      </c>
      <c r="K750" s="117" t="str">
        <f t="shared" si="4"/>
        <v>BR</v>
      </c>
      <c r="L750" s="42" t="str">
        <v>BR1504</v>
      </c>
      <c r="M750" s="121" t="str">
        <v/>
      </c>
      <c r="N750" s="121" t="str">
        <v/>
      </c>
      <c r="O750" s="121" t="str">
        <v/>
      </c>
      <c r="P750" s="121" t="str">
        <v/>
      </c>
      <c r="Q750" s="121" t="str">
        <v/>
      </c>
      <c r="R750" s="121" t="str">
        <v/>
      </c>
      <c r="S750" s="121" t="str">
        <v>The customer must capture a one-time-pin (OTP) sent to their cellphone number (SMS).</v>
      </c>
      <c r="T750" s="119" t="str">
        <f>IF($C750&lt;4,IF($C750=3,T751,IF($C750=2,T$1,"")),Q750&amp;R750&amp;IF(LEN(S750)=0,"",Preferences!$C$2&amp;S750)&amp;IF(J751=J750,IF(LEN(R750&amp;S750)=0,"","
")&amp;T751,""))</f>
        <v xml:space="preserve">	• The customer must capture a one-time-pin (OTP) sent to their cellphone number (SMS).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50" s="122" t="str">
        <v/>
      </c>
      <c r="V750" s="42"/>
      <c r="W750" s="42"/>
      <c r="X750" s="42"/>
      <c r="Y750" s="42"/>
      <c r="Z750" s="42"/>
      <c r="AA750" s="42"/>
      <c r="AB750" s="42"/>
    </row>
    <row r="751" spans="1:28" x14ac:dyDescent="0.25">
      <c r="A751" s="42" t="str">
        <v>1.15.4.3</v>
      </c>
      <c r="B751" s="121" t="str">
        <v>The customer may change their contact preferences:</v>
      </c>
      <c r="C751" s="41">
        <v>4</v>
      </c>
      <c r="D751" s="41" t="str">
        <v>RD</v>
      </c>
      <c r="E751" s="117" t="str">
        <f t="shared" si="0"/>
        <v>RD</v>
      </c>
      <c r="F751" s="41" t="str">
        <v/>
      </c>
      <c r="G751" s="41" t="str">
        <v/>
      </c>
      <c r="H751" s="117">
        <f t="shared" si="1"/>
        <v>0</v>
      </c>
      <c r="I751" s="117">
        <f t="shared" si="2"/>
        <v>15</v>
      </c>
      <c r="J751" s="117">
        <f t="shared" si="3"/>
        <v>15.04</v>
      </c>
      <c r="K751" s="117" t="str">
        <f t="shared" si="4"/>
        <v>BR</v>
      </c>
      <c r="L751" s="42" t="str">
        <v>BR1504</v>
      </c>
      <c r="M751" s="121" t="str">
        <v/>
      </c>
      <c r="N751" s="121" t="str">
        <v/>
      </c>
      <c r="O751" s="121" t="str">
        <v/>
      </c>
      <c r="P751" s="121" t="str">
        <v/>
      </c>
      <c r="Q751" s="121" t="str">
        <v xml:space="preserve"> 3. </v>
      </c>
      <c r="R751" s="121" t="str">
        <v>The customer may change their contact preferences:</v>
      </c>
      <c r="S751" s="121" t="str">
        <v/>
      </c>
      <c r="T751" s="119" t="str">
        <f>IF($C751&lt;4,IF($C751=3,T752,IF($C751=2,T$1,"")),Q751&amp;R751&amp;IF(LEN(S751)=0,"",Preferences!$C$2&amp;S751)&amp;IF(J752=J751,IF(LEN(R751&amp;S751)=0,"","
")&amp;T752,""))</f>
        <v xml:space="preserve"> 3. The customer may change their contact preferences: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51" s="122" t="str">
        <v/>
      </c>
      <c r="V751" s="42"/>
      <c r="W751" s="42"/>
      <c r="X751" s="42"/>
      <c r="Y751" s="42"/>
      <c r="Z751" s="42"/>
      <c r="AA751" s="42"/>
      <c r="AB751" s="42"/>
    </row>
    <row r="752" spans="1:28" x14ac:dyDescent="0.25">
      <c r="A752" s="42" t="str">
        <v>1.15.4.3.1</v>
      </c>
      <c r="B752" s="121" t="str">
        <v>Primary contact method (email / cellphone)</v>
      </c>
      <c r="C752" s="41">
        <v>5</v>
      </c>
      <c r="D752" s="41" t="str">
        <v>RL</v>
      </c>
      <c r="E752" s="117" t="str">
        <f t="shared" si="0"/>
        <v>RL</v>
      </c>
      <c r="F752" s="41" t="str">
        <v/>
      </c>
      <c r="G752" s="41" t="str">
        <v/>
      </c>
      <c r="H752" s="117">
        <f t="shared" si="1"/>
        <v>0</v>
      </c>
      <c r="I752" s="117">
        <f t="shared" si="2"/>
        <v>15</v>
      </c>
      <c r="J752" s="117">
        <f t="shared" si="3"/>
        <v>15.04</v>
      </c>
      <c r="K752" s="117" t="str">
        <f t="shared" si="4"/>
        <v>BR</v>
      </c>
      <c r="L752" s="42" t="str">
        <v>BR1504</v>
      </c>
      <c r="M752" s="121" t="str">
        <v/>
      </c>
      <c r="N752" s="121" t="str">
        <v/>
      </c>
      <c r="O752" s="121" t="str">
        <v/>
      </c>
      <c r="P752" s="121" t="str">
        <v/>
      </c>
      <c r="Q752" s="121" t="str">
        <v/>
      </c>
      <c r="R752" s="121" t="str">
        <v/>
      </c>
      <c r="S752" s="121" t="str">
        <v>Primary contact method (email / cellphone)</v>
      </c>
      <c r="T752" s="119" t="str">
        <f>IF($C752&lt;4,IF($C752=3,T753,IF($C752=2,T$1,"")),Q752&amp;R752&amp;IF(LEN(S752)=0,"",Preferences!$C$2&amp;S752)&amp;IF(J753=J752,IF(LEN(R752&amp;S752)=0,"","
")&amp;T753,""))</f>
        <v xml:space="preserve">	• Primary contact method (email / cellphone)
	• Marketing message consent (yes/no tick box; with explanation of value to customer, to cover special offers on their listed products, etc.)
	• Child information message consent (yes/no tick box; with explanation of value to customer, to cover development information and checklists)</v>
      </c>
      <c r="U752" s="122" t="str">
        <v/>
      </c>
      <c r="V752" s="42"/>
      <c r="W752" s="42"/>
      <c r="X752" s="42"/>
      <c r="Y752" s="42"/>
      <c r="Z752" s="42"/>
      <c r="AA752" s="42"/>
      <c r="AB752" s="42"/>
    </row>
    <row r="753" spans="1:28" x14ac:dyDescent="0.25">
      <c r="A753" s="42" t="str">
        <v>1.15.4.3.2</v>
      </c>
      <c r="B753" s="121" t="str">
        <v>Marketing message consent (yes/no tick box; with explanation of value to customer, to cover special offers on their listed products, etc.)</v>
      </c>
      <c r="C753" s="41">
        <v>5</v>
      </c>
      <c r="D753" s="41" t="str">
        <v>RL</v>
      </c>
      <c r="E753" s="117" t="str">
        <f t="shared" si="0"/>
        <v>RL</v>
      </c>
      <c r="F753" s="41" t="str">
        <v/>
      </c>
      <c r="G753" s="41" t="str">
        <v/>
      </c>
      <c r="H753" s="117">
        <f t="shared" si="1"/>
        <v>0</v>
      </c>
      <c r="I753" s="117">
        <f t="shared" si="2"/>
        <v>15</v>
      </c>
      <c r="J753" s="117">
        <f t="shared" si="3"/>
        <v>15.04</v>
      </c>
      <c r="K753" s="117" t="str">
        <f t="shared" si="4"/>
        <v>BR</v>
      </c>
      <c r="L753" s="42" t="str">
        <v>BR1504</v>
      </c>
      <c r="M753" s="121" t="str">
        <v/>
      </c>
      <c r="N753" s="121" t="str">
        <v/>
      </c>
      <c r="O753" s="121" t="str">
        <v/>
      </c>
      <c r="P753" s="121" t="str">
        <v/>
      </c>
      <c r="Q753" s="121" t="str">
        <v/>
      </c>
      <c r="R753" s="121" t="str">
        <v/>
      </c>
      <c r="S753" s="121" t="str">
        <v>Marketing message consent (yes/no tick box; with explanation of value to customer, to cover special offers on their listed products, etc.)</v>
      </c>
      <c r="T753" s="119" t="str">
        <f>IF($C753&lt;4,IF($C753=3,T754,IF($C753=2,T$1,"")),Q753&amp;R753&amp;IF(LEN(S753)=0,"",Preferences!$C$2&amp;S753)&amp;IF(J754=J753,IF(LEN(R753&amp;S753)=0,"","
")&amp;T754,""))</f>
        <v xml:space="preserve">	• Marketing message consent (yes/no tick box; with explanation of value to customer, to cover special offers on their listed products, etc.)
	• Child information message consent (yes/no tick box; with explanation of value to customer, to cover development information and checklists)</v>
      </c>
      <c r="U753" s="122" t="str">
        <v/>
      </c>
      <c r="V753" s="42"/>
      <c r="W753" s="42"/>
      <c r="X753" s="42"/>
      <c r="Y753" s="42"/>
      <c r="Z753" s="42"/>
      <c r="AA753" s="42"/>
      <c r="AB753" s="42"/>
    </row>
    <row r="754" spans="1:28" x14ac:dyDescent="0.25">
      <c r="A754" s="42" t="str">
        <v>1.15.4.3.3</v>
      </c>
      <c r="B754" s="121" t="str">
        <v>Child information message consent (yes/no tick box; with explanation of value to customer, to cover development information and checklists)</v>
      </c>
      <c r="C754" s="41">
        <v>5</v>
      </c>
      <c r="D754" s="41" t="str">
        <v>RL</v>
      </c>
      <c r="E754" s="117" t="str">
        <f t="shared" si="0"/>
        <v>RL</v>
      </c>
      <c r="F754" s="41" t="str">
        <v/>
      </c>
      <c r="G754" s="41" t="str">
        <v/>
      </c>
      <c r="H754" s="117">
        <f t="shared" si="1"/>
        <v>0</v>
      </c>
      <c r="I754" s="117">
        <f t="shared" si="2"/>
        <v>15</v>
      </c>
      <c r="J754" s="117">
        <f t="shared" si="3"/>
        <v>15.04</v>
      </c>
      <c r="K754" s="117" t="str">
        <f t="shared" si="4"/>
        <v>BR</v>
      </c>
      <c r="L754" s="42" t="str">
        <v>BR1504</v>
      </c>
      <c r="M754" s="121" t="str">
        <v/>
      </c>
      <c r="N754" s="121" t="str">
        <v/>
      </c>
      <c r="O754" s="121" t="str">
        <v/>
      </c>
      <c r="P754" s="121" t="str">
        <v/>
      </c>
      <c r="Q754" s="121" t="str">
        <v/>
      </c>
      <c r="R754" s="121" t="str">
        <v/>
      </c>
      <c r="S754" s="121" t="str">
        <v>Child information message consent (yes/no tick box; with explanation of value to customer, to cover development information and checklists)</v>
      </c>
      <c r="T754" s="119" t="str">
        <f>IF($C754&lt;4,IF($C754=3,T755,IF($C754=2,T$1,"")),Q754&amp;R754&amp;IF(LEN(S754)=0,"",Preferences!$C$2&amp;S754)&amp;IF(J755=J754,IF(LEN(R754&amp;S754)=0,"","
")&amp;T755,""))</f>
        <v xml:space="preserve">	• Child information message consent (yes/no tick box; with explanation of value to customer, to cover development information and checklists)</v>
      </c>
      <c r="U754" s="122" t="str">
        <v/>
      </c>
      <c r="V754" s="42"/>
      <c r="W754" s="42"/>
      <c r="X754" s="42"/>
      <c r="Y754" s="42"/>
      <c r="Z754" s="42"/>
      <c r="AA754" s="42"/>
      <c r="AB754" s="42"/>
    </row>
    <row r="755" spans="1:28" x14ac:dyDescent="0.25">
      <c r="A755" s="42" t="str">
        <v>1.15.5</v>
      </c>
      <c r="B755" s="121" t="str">
        <v>15.5 Maintain family details</v>
      </c>
      <c r="C755" s="41">
        <v>3</v>
      </c>
      <c r="D755" s="41" t="str">
        <v>R</v>
      </c>
      <c r="E755" s="117" t="str">
        <f t="shared" si="0"/>
        <v>R</v>
      </c>
      <c r="F755" s="41" t="str">
        <v/>
      </c>
      <c r="G755" s="41" t="str">
        <v/>
      </c>
      <c r="H755" s="117">
        <f t="shared" si="1"/>
        <v>0</v>
      </c>
      <c r="I755" s="117">
        <f t="shared" si="2"/>
        <v>15</v>
      </c>
      <c r="J755" s="117">
        <f t="shared" si="3"/>
        <v>15.049999999999999</v>
      </c>
      <c r="K755" s="117" t="str">
        <f t="shared" si="4"/>
        <v>BR</v>
      </c>
      <c r="L755" s="42" t="str">
        <v>BR1505</v>
      </c>
      <c r="M755" s="121" t="str">
        <v/>
      </c>
      <c r="N755" s="121" t="str">
        <v/>
      </c>
      <c r="O755" s="121" t="str">
        <v>BR1505</v>
      </c>
      <c r="P755" s="121" t="str">
        <v>Maintain family details</v>
      </c>
      <c r="Q755" s="121" t="str">
        <v/>
      </c>
      <c r="R755" s="121" t="str">
        <v/>
      </c>
      <c r="S755" s="121" t="str">
        <v/>
      </c>
      <c r="T755" s="119" t="e">
        <f>IF($C755&lt;4,IF($C755=3,T756,IF($C755=2,T$1,"")),Q755&amp;R755&amp;IF(LEN(S755)=0,"",Preferences!$C$2&amp;S755)&amp;IF(J756=J755,IF(LEN(R755&amp;S755)=0,"","
")&amp;T756,""))</f>
        <v>#VALUE!</v>
      </c>
      <c r="U755" s="122" t="str">
        <v/>
      </c>
      <c r="V755" s="42"/>
      <c r="W755" s="42"/>
      <c r="X755" s="42"/>
      <c r="Y755" s="42"/>
      <c r="Z755" s="42"/>
      <c r="AA755" s="42"/>
      <c r="AB755" s="42"/>
    </row>
    <row r="756" spans="1:28" x14ac:dyDescent="0.25">
      <c r="A756" s="42" t="str">
        <v>1.15.5.1</v>
      </c>
      <c r="B756" s="121" t="str">
        <v>When selecting to view the family details, the recorded list of children is presented.</v>
      </c>
      <c r="C756" s="41">
        <v>4</v>
      </c>
      <c r="D756" s="41" t="str">
        <v>RD</v>
      </c>
      <c r="E756" s="117" t="str">
        <f t="shared" si="0"/>
        <v>RD</v>
      </c>
      <c r="F756" s="41" t="str">
        <v/>
      </c>
      <c r="G756" s="41" t="str">
        <v/>
      </c>
      <c r="H756" s="117">
        <f t="shared" si="1"/>
        <v>0</v>
      </c>
      <c r="I756" s="117">
        <f t="shared" si="2"/>
        <v>15</v>
      </c>
      <c r="J756" s="117">
        <f t="shared" si="3"/>
        <v>15.049999999999999</v>
      </c>
      <c r="K756" s="117" t="str">
        <f t="shared" si="4"/>
        <v>BR</v>
      </c>
      <c r="L756" s="42" t="str">
        <v>BR1505</v>
      </c>
      <c r="M756" s="121" t="str">
        <v/>
      </c>
      <c r="N756" s="121" t="str">
        <v/>
      </c>
      <c r="O756" s="121" t="str">
        <v/>
      </c>
      <c r="P756" s="121" t="str">
        <v/>
      </c>
      <c r="Q756" s="121" t="str">
        <v xml:space="preserve"> 1. </v>
      </c>
      <c r="R756" s="121" t="str">
        <v>When selecting to view the family details, the recorded list of children is presented.</v>
      </c>
      <c r="S756" s="121" t="str">
        <v/>
      </c>
      <c r="T756" s="119" t="e">
        <f>IF($C756&lt;4,IF($C756=3,T757,IF($C756=2,T$1,"")),Q756&amp;R756&amp;IF(LEN(S756)=0,"",Preferences!$C$2&amp;S756)&amp;IF(J757=J756,IF(LEN(R756&amp;S756)=0,"","
")&amp;T757,""))</f>
        <v>#VALUE!</v>
      </c>
      <c r="U756" s="122" t="str">
        <v/>
      </c>
      <c r="V756" s="42"/>
      <c r="W756" s="42"/>
      <c r="X756" s="42"/>
      <c r="Y756" s="42"/>
      <c r="Z756" s="42"/>
      <c r="AA756" s="42"/>
      <c r="AB756" s="42"/>
    </row>
    <row r="757" spans="1:28" x14ac:dyDescent="0.25">
      <c r="A757" s="42" t="str">
        <v>1.15.5.2</v>
      </c>
      <c r="B757" s="121" t="str">
        <v>The customer can add a child, or remove an existing child.</v>
      </c>
      <c r="C757" s="41">
        <v>4</v>
      </c>
      <c r="D757" s="41" t="str">
        <v>RD</v>
      </c>
      <c r="E757" s="117" t="str">
        <f t="shared" si="0"/>
        <v>RD</v>
      </c>
      <c r="F757" s="41" t="str">
        <v/>
      </c>
      <c r="G757" s="41" t="str">
        <v/>
      </c>
      <c r="H757" s="117">
        <f t="shared" si="1"/>
        <v>0</v>
      </c>
      <c r="I757" s="117">
        <f t="shared" si="2"/>
        <v>15</v>
      </c>
      <c r="J757" s="117">
        <f t="shared" si="3"/>
        <v>15.049999999999999</v>
      </c>
      <c r="K757" s="117" t="str">
        <f t="shared" si="4"/>
        <v>BR</v>
      </c>
      <c r="L757" s="42" t="str">
        <v>BR1505</v>
      </c>
      <c r="M757" s="121" t="str">
        <v/>
      </c>
      <c r="N757" s="121" t="str">
        <v/>
      </c>
      <c r="O757" s="121" t="str">
        <v/>
      </c>
      <c r="P757" s="121" t="str">
        <v/>
      </c>
      <c r="Q757" s="121" t="str">
        <v xml:space="preserve"> 2. </v>
      </c>
      <c r="R757" s="121" t="str">
        <v>The customer can add a child, or remove an existing child.</v>
      </c>
      <c r="S757" s="121" t="str">
        <v/>
      </c>
      <c r="T757" s="119" t="e">
        <f>IF($C757&lt;4,IF($C757=3,T758,IF($C757=2,T$1,"")),Q757&amp;R757&amp;IF(LEN(S757)=0,"",Preferences!$C$2&amp;S757)&amp;IF(J758=J757,IF(LEN(R757&amp;S757)=0,"","
")&amp;T758,""))</f>
        <v>#VALUE!</v>
      </c>
      <c r="U757" s="122" t="str">
        <v/>
      </c>
      <c r="V757" s="42"/>
      <c r="W757" s="42"/>
      <c r="X757" s="42"/>
      <c r="Y757" s="42"/>
      <c r="Z757" s="42"/>
      <c r="AA757" s="42"/>
      <c r="AB757" s="42"/>
    </row>
    <row r="758" spans="1:28" x14ac:dyDescent="0.25">
      <c r="A758" s="42" t="str">
        <v>1.15.5.3</v>
      </c>
      <c r="B758" s="121" t="str">
        <v>The customer maintains the following for each child:</v>
      </c>
      <c r="C758" s="41">
        <v>4</v>
      </c>
      <c r="D758" s="41" t="str">
        <v>RD</v>
      </c>
      <c r="E758" s="117" t="str">
        <f t="shared" si="0"/>
        <v>RD</v>
      </c>
      <c r="F758" s="41" t="str">
        <v/>
      </c>
      <c r="G758" s="41" t="str">
        <v/>
      </c>
      <c r="H758" s="117">
        <f t="shared" si="1"/>
        <v>0</v>
      </c>
      <c r="I758" s="117">
        <f t="shared" si="2"/>
        <v>15</v>
      </c>
      <c r="J758" s="117">
        <f t="shared" si="3"/>
        <v>15.049999999999999</v>
      </c>
      <c r="K758" s="117" t="str">
        <f t="shared" si="4"/>
        <v>BR</v>
      </c>
      <c r="L758" s="42" t="str">
        <v>BR1505</v>
      </c>
      <c r="M758" s="121" t="str">
        <v/>
      </c>
      <c r="N758" s="121" t="str">
        <v/>
      </c>
      <c r="O758" s="121" t="str">
        <v/>
      </c>
      <c r="P758" s="121" t="str">
        <v/>
      </c>
      <c r="Q758" s="121" t="str">
        <v xml:space="preserve"> 3. </v>
      </c>
      <c r="R758" s="121" t="str">
        <v>The customer maintains the following for each child:</v>
      </c>
      <c r="S758" s="121" t="str">
        <v/>
      </c>
      <c r="T758" s="119" t="e">
        <f>IF($C758&lt;4,IF($C758=3,T759,IF($C758=2,T$1,"")),Q758&amp;R758&amp;IF(LEN(S758)=0,"",Preferences!$C$2&amp;S758)&amp;IF(J759=J758,IF(LEN(R758&amp;S758)=0,"","
")&amp;T759,""))</f>
        <v>#VALUE!</v>
      </c>
      <c r="U758" s="122" t="str">
        <v/>
      </c>
      <c r="V758" s="42"/>
      <c r="W758" s="42"/>
      <c r="X758" s="42"/>
      <c r="Y758" s="42"/>
      <c r="Z758" s="42"/>
      <c r="AA758" s="42"/>
      <c r="AB758" s="42"/>
    </row>
    <row r="759" spans="1:28" x14ac:dyDescent="0.25">
      <c r="A759" s="42" t="str">
        <v>1.15.5.3.1</v>
      </c>
      <c r="B759" s="121" t="str">
        <v>Name (min 1 alpha, space and -' characters)</v>
      </c>
      <c r="C759" s="41">
        <v>5</v>
      </c>
      <c r="D759" s="41" t="str">
        <v>RL</v>
      </c>
      <c r="E759" s="117" t="str">
        <f t="shared" si="0"/>
        <v>RL</v>
      </c>
      <c r="F759" s="41" t="str">
        <v/>
      </c>
      <c r="G759" s="41" t="str">
        <v/>
      </c>
      <c r="H759" s="117">
        <f t="shared" si="1"/>
        <v>0</v>
      </c>
      <c r="I759" s="117">
        <f t="shared" si="2"/>
        <v>15</v>
      </c>
      <c r="J759" s="117">
        <f t="shared" si="3"/>
        <v>15.049999999999999</v>
      </c>
      <c r="K759" s="117" t="str">
        <f t="shared" si="4"/>
        <v>BR</v>
      </c>
      <c r="L759" s="42" t="str">
        <v>BR1505</v>
      </c>
      <c r="M759" s="121" t="str">
        <v/>
      </c>
      <c r="N759" s="121" t="str">
        <v/>
      </c>
      <c r="O759" s="121" t="str">
        <v/>
      </c>
      <c r="P759" s="121" t="str">
        <v/>
      </c>
      <c r="Q759" s="121" t="str">
        <v/>
      </c>
      <c r="R759" s="121" t="str">
        <v/>
      </c>
      <c r="S759" s="121" t="str">
        <v>Name (min 1 alpha, space and -' characters)</v>
      </c>
      <c r="T759" s="119" t="e">
        <f>IF($C759&lt;4,IF($C759=3,T760,IF($C759=2,T$1,"")),Q759&amp;R759&amp;IF(LEN(S759)=0,"",Preferences!$C$2&amp;S759)&amp;IF(J760=J759,IF(LEN(R759&amp;S759)=0,"","
")&amp;T760,""))</f>
        <v>#VALUE!</v>
      </c>
      <c r="U759" s="122" t="str">
        <v/>
      </c>
      <c r="V759" s="42"/>
      <c r="W759" s="42"/>
      <c r="X759" s="42"/>
      <c r="Y759" s="42"/>
      <c r="Z759" s="42"/>
      <c r="AA759" s="42"/>
      <c r="AB759" s="42"/>
    </row>
    <row r="760" spans="1:28" x14ac:dyDescent="0.25">
      <c r="A760" s="42" t="str">
        <v>1.15.5.3.2</v>
      </c>
      <c r="B760" s="121" t="str">
        <v>Arrived (born/expecting)</v>
      </c>
      <c r="C760" s="41">
        <v>5</v>
      </c>
      <c r="D760" s="41" t="str">
        <v>RL</v>
      </c>
      <c r="E760" s="117" t="str">
        <f t="shared" si="0"/>
        <v>RL</v>
      </c>
      <c r="F760" s="41" t="str">
        <v/>
      </c>
      <c r="G760" s="41" t="str">
        <v/>
      </c>
      <c r="H760" s="117">
        <f t="shared" si="1"/>
        <v>0</v>
      </c>
      <c r="I760" s="117">
        <f t="shared" si="2"/>
        <v>15</v>
      </c>
      <c r="J760" s="117">
        <f t="shared" si="3"/>
        <v>15.049999999999999</v>
      </c>
      <c r="K760" s="117" t="str">
        <f t="shared" si="4"/>
        <v>BR</v>
      </c>
      <c r="L760" s="42" t="str">
        <v>BR1505</v>
      </c>
      <c r="M760" s="121" t="str">
        <v/>
      </c>
      <c r="N760" s="121" t="str">
        <v/>
      </c>
      <c r="O760" s="121" t="str">
        <v/>
      </c>
      <c r="P760" s="121" t="str">
        <v/>
      </c>
      <c r="Q760" s="121" t="str">
        <v/>
      </c>
      <c r="R760" s="121" t="str">
        <v/>
      </c>
      <c r="S760" s="121" t="str">
        <v>Arrived (born/expecting)</v>
      </c>
      <c r="T760" s="119" t="e">
        <f>IF($C760&lt;4,IF($C760=3,T761,IF($C760=2,T$1,"")),Q760&amp;R760&amp;IF(LEN(S760)=0,"",Preferences!$C$2&amp;S760)&amp;IF(J761=J760,IF(LEN(R760&amp;S760)=0,"","
")&amp;T761,""))</f>
        <v>#VALUE!</v>
      </c>
      <c r="U760" s="122" t="str">
        <v/>
      </c>
      <c r="V760" s="42"/>
      <c r="W760" s="42"/>
      <c r="X760" s="42"/>
      <c r="Y760" s="42"/>
      <c r="Z760" s="42"/>
      <c r="AA760" s="42"/>
      <c r="AB760" s="42"/>
    </row>
    <row r="761" spans="1:28" x14ac:dyDescent="0.25">
      <c r="A761" s="42" t="str">
        <v>1.15.5.3.3</v>
      </c>
      <c r="B761" s="121" t="str">
        <v>If born, the date of birth of the child</v>
      </c>
      <c r="C761" s="41">
        <v>5</v>
      </c>
      <c r="D761" s="41" t="str">
        <v>RL</v>
      </c>
      <c r="E761" s="117" t="str">
        <f t="shared" si="0"/>
        <v>RL</v>
      </c>
      <c r="F761" s="41" t="str">
        <v/>
      </c>
      <c r="G761" s="41" t="str">
        <v/>
      </c>
      <c r="H761" s="117">
        <f t="shared" si="1"/>
        <v>0</v>
      </c>
      <c r="I761" s="117">
        <f t="shared" si="2"/>
        <v>15</v>
      </c>
      <c r="J761" s="117">
        <f t="shared" si="3"/>
        <v>15.049999999999999</v>
      </c>
      <c r="K761" s="117" t="str">
        <f t="shared" si="4"/>
        <v>BR</v>
      </c>
      <c r="L761" s="42" t="str">
        <v>BR1505</v>
      </c>
      <c r="M761" s="121" t="str">
        <v/>
      </c>
      <c r="N761" s="121" t="str">
        <v/>
      </c>
      <c r="O761" s="121" t="str">
        <v/>
      </c>
      <c r="P761" s="121" t="str">
        <v/>
      </c>
      <c r="Q761" s="121" t="str">
        <v/>
      </c>
      <c r="R761" s="121" t="str">
        <v/>
      </c>
      <c r="S761" s="121" t="str">
        <v>If born, the date of birth of the child</v>
      </c>
      <c r="T761" s="119" t="e">
        <f>IF($C761&lt;4,IF($C761=3,T762,IF($C761=2,T$1,"")),Q761&amp;R761&amp;IF(LEN(S761)=0,"",Preferences!$C$2&amp;S761)&amp;IF(J762=J761,IF(LEN(R761&amp;S761)=0,"","
")&amp;T762,""))</f>
        <v>#VALUE!</v>
      </c>
      <c r="U761" s="122" t="str">
        <v/>
      </c>
      <c r="V761" s="42"/>
      <c r="W761" s="42"/>
      <c r="X761" s="42"/>
      <c r="Y761" s="42"/>
      <c r="Z761" s="42"/>
      <c r="AA761" s="42"/>
      <c r="AB761" s="42"/>
    </row>
    <row r="762" spans="1:28" x14ac:dyDescent="0.25">
      <c r="A762" s="42" t="str">
        <v>1.15.5.3.4</v>
      </c>
      <c r="B762" s="121" t="str">
        <v>If expecting, the number of weeks pregnant</v>
      </c>
      <c r="C762" s="41">
        <v>5</v>
      </c>
      <c r="D762" s="41" t="str">
        <v>RL</v>
      </c>
      <c r="E762" s="117" t="str">
        <f t="shared" si="0"/>
        <v>RL</v>
      </c>
      <c r="F762" s="41" t="str">
        <v/>
      </c>
      <c r="G762" s="41" t="str">
        <v/>
      </c>
      <c r="H762" s="117">
        <f t="shared" si="1"/>
        <v>0</v>
      </c>
      <c r="I762" s="117">
        <f t="shared" si="2"/>
        <v>15</v>
      </c>
      <c r="J762" s="117">
        <f t="shared" si="3"/>
        <v>15.049999999999999</v>
      </c>
      <c r="K762" s="117" t="str">
        <f t="shared" si="4"/>
        <v>BR</v>
      </c>
      <c r="L762" s="42" t="str">
        <v>BR1505</v>
      </c>
      <c r="M762" s="121" t="str">
        <v/>
      </c>
      <c r="N762" s="121" t="str">
        <v/>
      </c>
      <c r="O762" s="121" t="str">
        <v/>
      </c>
      <c r="P762" s="121" t="str">
        <v/>
      </c>
      <c r="Q762" s="121" t="str">
        <v/>
      </c>
      <c r="R762" s="121" t="str">
        <v/>
      </c>
      <c r="S762" s="121" t="str">
        <v>If expecting, the number of weeks pregnant</v>
      </c>
      <c r="T762" s="119" t="e">
        <f>IF($C762&lt;4,IF($C762=3,T763,IF($C762=2,T$1,"")),Q762&amp;R762&amp;IF(LEN(S762)=0,"",Preferences!$C$2&amp;S762)&amp;IF(J763=J762,IF(LEN(R762&amp;S762)=0,"","
")&amp;T763,""))</f>
        <v>#VALUE!</v>
      </c>
      <c r="U762" s="122" t="str">
        <v/>
      </c>
      <c r="V762" s="42"/>
      <c r="W762" s="42"/>
      <c r="X762" s="42"/>
      <c r="Y762" s="42"/>
      <c r="Z762" s="42"/>
      <c r="AA762" s="42"/>
      <c r="AB762" s="42"/>
    </row>
    <row r="763" spans="1:28" x14ac:dyDescent="0.25">
      <c r="A763" s="42" t="str">
        <v>1.15.5.3.5</v>
      </c>
      <c r="B763" s="121" t="str">
        <v>Gender (female/male/unknown)</v>
      </c>
      <c r="C763" s="41">
        <v>5</v>
      </c>
      <c r="D763" s="41" t="str">
        <v>RL</v>
      </c>
      <c r="E763" s="117" t="str">
        <f t="shared" si="0"/>
        <v>RL</v>
      </c>
      <c r="F763" s="41" t="str">
        <v/>
      </c>
      <c r="G763" s="41" t="str">
        <v/>
      </c>
      <c r="H763" s="117">
        <f t="shared" si="1"/>
        <v>0</v>
      </c>
      <c r="I763" s="117">
        <f t="shared" si="2"/>
        <v>15</v>
      </c>
      <c r="J763" s="117">
        <f t="shared" si="3"/>
        <v>15.049999999999999</v>
      </c>
      <c r="K763" s="117" t="str">
        <f t="shared" si="4"/>
        <v>BR</v>
      </c>
      <c r="L763" s="42" t="str">
        <v>BR1505</v>
      </c>
      <c r="M763" s="121" t="str">
        <v/>
      </c>
      <c r="N763" s="121" t="str">
        <v/>
      </c>
      <c r="O763" s="121" t="str">
        <v/>
      </c>
      <c r="P763" s="121" t="str">
        <v/>
      </c>
      <c r="Q763" s="121" t="str">
        <v/>
      </c>
      <c r="R763" s="121" t="str">
        <v/>
      </c>
      <c r="S763" s="121" t="str">
        <v>Gender (female/male/unknown)</v>
      </c>
      <c r="T763" s="119" t="e">
        <f>IF($C763&lt;4,IF($C763=3,T764,IF($C763=2,T$1,"")),Q763&amp;R763&amp;IF(LEN(S763)=0,"",Preferences!$C$2&amp;S763)&amp;IF(J764=J763,IF(LEN(R763&amp;S763)=0,"","
")&amp;T764,""))</f>
        <v>#VALUE!</v>
      </c>
      <c r="U763" s="122" t="str">
        <v/>
      </c>
      <c r="V763" s="42"/>
      <c r="W763" s="42"/>
      <c r="X763" s="42"/>
      <c r="Y763" s="42"/>
      <c r="Z763" s="42"/>
      <c r="AA763" s="42"/>
      <c r="AB763" s="42"/>
    </row>
    <row r="764" spans="1:28" x14ac:dyDescent="0.25">
      <c r="A764" s="42" t="str">
        <v>1.15.5.4</v>
      </c>
      <c r="B764" s="121" t="str">
        <v>The customer may opt in for reminders and information about the progress of their expected/new child's development (Child information message consent):</v>
      </c>
      <c r="C764" s="41">
        <v>4</v>
      </c>
      <c r="D764" s="41" t="str">
        <v>RD</v>
      </c>
      <c r="E764" s="117" t="str">
        <f t="shared" si="0"/>
        <v>RD</v>
      </c>
      <c r="F764" s="41" t="str">
        <v/>
      </c>
      <c r="G764" s="41" t="str">
        <v/>
      </c>
      <c r="H764" s="117">
        <f t="shared" si="1"/>
        <v>0</v>
      </c>
      <c r="I764" s="117">
        <f t="shared" si="2"/>
        <v>15</v>
      </c>
      <c r="J764" s="117">
        <f t="shared" si="3"/>
        <v>15.049999999999999</v>
      </c>
      <c r="K764" s="117" t="str">
        <f t="shared" si="4"/>
        <v>BR</v>
      </c>
      <c r="L764" s="42" t="str">
        <v>BR1505</v>
      </c>
      <c r="M764" s="121" t="str">
        <v/>
      </c>
      <c r="N764" s="121" t="str">
        <v/>
      </c>
      <c r="O764" s="121" t="str">
        <v/>
      </c>
      <c r="P764" s="121" t="str">
        <v/>
      </c>
      <c r="Q764" s="121" t="str">
        <v xml:space="preserve"> 4. </v>
      </c>
      <c r="R764" s="121" t="str">
        <v>The customer may opt in for reminders and information about the progress of their expected/new child's development (Child information message consent):</v>
      </c>
      <c r="S764" s="121" t="str">
        <v/>
      </c>
      <c r="T764" s="119" t="e">
        <f>IF($C764&lt;4,IF($C764=3,T765,IF($C764=2,T$1,"")),Q764&amp;R764&amp;IF(LEN(S764)=0,"",Preferences!$C$2&amp;S764)&amp;IF(J765=J764,IF(LEN(R764&amp;S764)=0,"","
")&amp;T765,""))</f>
        <v>#VALUE!</v>
      </c>
      <c r="U764" s="122" t="str">
        <v/>
      </c>
      <c r="V764" s="42"/>
      <c r="W764" s="42"/>
      <c r="X764" s="42"/>
      <c r="Y764" s="42"/>
      <c r="Z764" s="42"/>
      <c r="AA764" s="42"/>
      <c r="AB764" s="42"/>
    </row>
    <row r="765" spans="1:28" x14ac:dyDescent="0.25">
      <c r="A765" s="42" t="str">
        <v>1.15.5.4.1</v>
      </c>
      <c r="B765" s="121" t="str">
        <v>Near the calculated expected birth date (weeks pregnant taken into account), the expecting mother is wished all the best for the birth.</v>
      </c>
      <c r="C765" s="41">
        <v>5</v>
      </c>
      <c r="D765" s="41" t="str">
        <v>RL</v>
      </c>
      <c r="E765" s="117" t="str">
        <f t="shared" si="0"/>
        <v>RL</v>
      </c>
      <c r="F765" s="41" t="str">
        <v/>
      </c>
      <c r="G765" s="41" t="str">
        <v/>
      </c>
      <c r="H765" s="117">
        <f t="shared" si="1"/>
        <v>0</v>
      </c>
      <c r="I765" s="117">
        <f t="shared" si="2"/>
        <v>15</v>
      </c>
      <c r="J765" s="117">
        <f t="shared" si="3"/>
        <v>15.049999999999999</v>
      </c>
      <c r="K765" s="117" t="str">
        <f t="shared" si="4"/>
        <v>BR</v>
      </c>
      <c r="L765" s="42" t="str">
        <v>BR1505</v>
      </c>
      <c r="M765" s="121" t="str">
        <v/>
      </c>
      <c r="N765" s="121" t="str">
        <v/>
      </c>
      <c r="O765" s="121" t="str">
        <v/>
      </c>
      <c r="P765" s="121" t="str">
        <v/>
      </c>
      <c r="Q765" s="121" t="str">
        <v/>
      </c>
      <c r="R765" s="121" t="str">
        <v/>
      </c>
      <c r="S765" s="121" t="str">
        <v>Near the calculated expected birth date (weeks pregnant taken into account), the expecting mother is wished all the best for the birth.</v>
      </c>
      <c r="T765" s="119" t="e">
        <f>IF($C765&lt;4,IF($C765=3,T766,IF($C765=2,T$1,"")),Q765&amp;R765&amp;IF(LEN(S765)=0,"",Preferences!$C$2&amp;S765)&amp;IF(J766=J765,IF(LEN(R765&amp;S765)=0,"","
")&amp;T766,""))</f>
        <v>#VALUE!</v>
      </c>
      <c r="U765" s="122" t="str">
        <v/>
      </c>
      <c r="V765" s="42"/>
      <c r="W765" s="42"/>
      <c r="X765" s="42"/>
      <c r="Y765" s="42"/>
      <c r="Z765" s="42"/>
      <c r="AA765" s="42"/>
      <c r="AB765" s="42"/>
    </row>
    <row r="766" spans="1:28" x14ac:dyDescent="0.25">
      <c r="A766" s="42" t="str">
        <v>1.15.5.4.2</v>
      </c>
      <c r="B766" s="121" t="e">
        <v>#VALUE!</v>
      </c>
      <c r="C766" s="41">
        <v>5</v>
      </c>
      <c r="D766" s="41" t="str">
        <v>RL</v>
      </c>
      <c r="E766" s="117" t="str">
        <f t="shared" si="0"/>
        <v>RL</v>
      </c>
      <c r="F766" s="41" t="str">
        <v/>
      </c>
      <c r="G766" s="41" t="str">
        <v/>
      </c>
      <c r="H766" s="117">
        <f t="shared" si="1"/>
        <v>0</v>
      </c>
      <c r="I766" s="117">
        <f t="shared" si="2"/>
        <v>15</v>
      </c>
      <c r="J766" s="117">
        <f t="shared" si="3"/>
        <v>15.049999999999999</v>
      </c>
      <c r="K766" s="117" t="str">
        <f t="shared" si="4"/>
        <v>BR</v>
      </c>
      <c r="L766" s="42" t="str">
        <v>BR1505</v>
      </c>
      <c r="M766" s="121" t="str">
        <v/>
      </c>
      <c r="N766" s="121" t="str">
        <v/>
      </c>
      <c r="O766" s="121" t="str">
        <v/>
      </c>
      <c r="P766" s="121" t="str">
        <v/>
      </c>
      <c r="Q766" s="121" t="str">
        <v/>
      </c>
      <c r="R766" s="121" t="str">
        <v/>
      </c>
      <c r="S766" s="121" t="e">
        <v>#VALUE!</v>
      </c>
      <c r="T766" s="119" t="e">
        <f>IF($C766&lt;4,IF($C766=3,T767,IF($C766=2,T$1,"")),Q766&amp;R766&amp;IF(LEN(S766)=0,"",Preferences!$C$2&amp;S766)&amp;IF(J767=J766,IF(LEN(R766&amp;S766)=0,"","
")&amp;T767,""))</f>
        <v>#VALUE!</v>
      </c>
      <c r="U766" s="122" t="str">
        <v/>
      </c>
      <c r="V766" s="42"/>
      <c r="W766" s="42"/>
      <c r="X766" s="42"/>
      <c r="Y766" s="42"/>
      <c r="Z766" s="42"/>
      <c r="AA766" s="42"/>
      <c r="AB766" s="42"/>
    </row>
    <row r="767" spans="1:28" x14ac:dyDescent="0.25">
      <c r="A767" s="42" t="str">
        <v>1.15.5.4.3</v>
      </c>
      <c r="B767" s="121" t="str">
        <v>Based on the progress of the pregnancy/baby, information may be emailed to the customer.</v>
      </c>
      <c r="C767" s="41">
        <v>5</v>
      </c>
      <c r="D767" s="41" t="str">
        <v>RL</v>
      </c>
      <c r="E767" s="117" t="str">
        <f t="shared" si="0"/>
        <v>RL</v>
      </c>
      <c r="F767" s="41" t="str">
        <v/>
      </c>
      <c r="G767" s="41" t="str">
        <v/>
      </c>
      <c r="H767" s="117">
        <f t="shared" si="1"/>
        <v>0</v>
      </c>
      <c r="I767" s="117">
        <f t="shared" si="2"/>
        <v>15</v>
      </c>
      <c r="J767" s="117">
        <f t="shared" si="3"/>
        <v>15.049999999999999</v>
      </c>
      <c r="K767" s="117" t="str">
        <f t="shared" si="4"/>
        <v>BR</v>
      </c>
      <c r="L767" s="42" t="str">
        <v>BR1505</v>
      </c>
      <c r="M767" s="121" t="str">
        <v/>
      </c>
      <c r="N767" s="121" t="str">
        <v/>
      </c>
      <c r="O767" s="121" t="str">
        <v/>
      </c>
      <c r="P767" s="121" t="str">
        <v/>
      </c>
      <c r="Q767" s="121" t="str">
        <v/>
      </c>
      <c r="R767" s="121" t="str">
        <v/>
      </c>
      <c r="S767" s="121" t="str">
        <v>Based on the progress of the pregnancy/baby, information may be emailed to the customer.</v>
      </c>
      <c r="T767" s="119" t="str">
        <f>IF($C767&lt;4,IF($C767=3,T768,IF($C767=2,T$1,"")),Q767&amp;R767&amp;IF(LEN(S767)=0,"",Preferences!$C$2&amp;S767)&amp;IF(J768=J767,IF(LEN(R767&amp;S767)=0,"","
")&amp;T768,""))</f>
        <v xml:space="preserve">	• Based on the progress of the pregnancy/baby, information may be emailed to the customer.</v>
      </c>
      <c r="U767" s="122" t="str">
        <v/>
      </c>
      <c r="V767" s="42"/>
      <c r="W767" s="42"/>
      <c r="X767" s="42"/>
      <c r="Y767" s="42"/>
      <c r="Z767" s="42"/>
      <c r="AA767" s="42"/>
      <c r="AB767" s="42"/>
    </row>
    <row r="768" spans="1:28" x14ac:dyDescent="0.25">
      <c r="A768" s="42" t="str">
        <v>1.15.6</v>
      </c>
      <c r="B768" s="121" t="str">
        <v>15.6 Maintain delivery address(es)</v>
      </c>
      <c r="C768" s="41">
        <v>3</v>
      </c>
      <c r="D768" s="41" t="str">
        <v>R</v>
      </c>
      <c r="E768" s="117" t="str">
        <f t="shared" si="0"/>
        <v>R</v>
      </c>
      <c r="F768" s="41" t="str">
        <v/>
      </c>
      <c r="G768" s="41" t="str">
        <v/>
      </c>
      <c r="H768" s="117">
        <f t="shared" si="1"/>
        <v>0</v>
      </c>
      <c r="I768" s="117">
        <f t="shared" si="2"/>
        <v>15</v>
      </c>
      <c r="J768" s="117">
        <f t="shared" si="3"/>
        <v>15.059999999999999</v>
      </c>
      <c r="K768" s="117" t="str">
        <f t="shared" si="4"/>
        <v>BR</v>
      </c>
      <c r="L768" s="42" t="str">
        <v>BR1506</v>
      </c>
      <c r="M768" s="121" t="str">
        <v/>
      </c>
      <c r="N768" s="121" t="str">
        <v/>
      </c>
      <c r="O768" s="121" t="str">
        <v>BR1506</v>
      </c>
      <c r="P768" s="121" t="str">
        <v>Maintain delivery address(es)</v>
      </c>
      <c r="Q768" s="121" t="str">
        <v/>
      </c>
      <c r="R768" s="121" t="str">
        <v/>
      </c>
      <c r="S768" s="121" t="str">
        <v/>
      </c>
      <c r="T768" s="119" t="str">
        <f>IF($C768&lt;4,IF($C768=3,T769,IF($C768=2,T$1,"")),Q768&amp;R768&amp;IF(LEN(S768)=0,"",Preferences!$C$2&amp;S768)&amp;IF(J769=J768,IF(LEN(R768&amp;S768)=0,"","
")&amp;T769,""))</f>
        <v xml:space="preserve"> 1. When selecting to view the address details, the recorded list of delivery addresses is presented.
 2. The customer can add an address, or remove an existing address.
 3. The customer maintains the following details for each address: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68" s="122" t="str">
        <v/>
      </c>
      <c r="V768" s="42"/>
      <c r="W768" s="42"/>
      <c r="X768" s="42"/>
      <c r="Y768" s="42"/>
      <c r="Z768" s="42"/>
      <c r="AA768" s="42"/>
      <c r="AB768" s="42"/>
    </row>
    <row r="769" spans="1:28" x14ac:dyDescent="0.25">
      <c r="A769" s="42" t="str">
        <v>1.15.6.1</v>
      </c>
      <c r="B769" s="121" t="str">
        <v>When selecting to view the address details, the recorded list of delivery addresses is presented.</v>
      </c>
      <c r="C769" s="41">
        <v>4</v>
      </c>
      <c r="D769" s="41" t="str">
        <v>RD</v>
      </c>
      <c r="E769" s="117" t="str">
        <f t="shared" si="0"/>
        <v>RD</v>
      </c>
      <c r="F769" s="41" t="str">
        <v/>
      </c>
      <c r="G769" s="41" t="str">
        <v/>
      </c>
      <c r="H769" s="117">
        <f t="shared" si="1"/>
        <v>0</v>
      </c>
      <c r="I769" s="117">
        <f t="shared" si="2"/>
        <v>15</v>
      </c>
      <c r="J769" s="117">
        <f t="shared" si="3"/>
        <v>15.059999999999999</v>
      </c>
      <c r="K769" s="117" t="str">
        <f t="shared" si="4"/>
        <v>BR</v>
      </c>
      <c r="L769" s="42" t="str">
        <v>BR1506</v>
      </c>
      <c r="M769" s="121" t="str">
        <v/>
      </c>
      <c r="N769" s="121" t="str">
        <v/>
      </c>
      <c r="O769" s="121" t="str">
        <v/>
      </c>
      <c r="P769" s="121" t="str">
        <v/>
      </c>
      <c r="Q769" s="121" t="str">
        <v xml:space="preserve"> 1. </v>
      </c>
      <c r="R769" s="121" t="str">
        <v>When selecting to view the address details, the recorded list of delivery addresses is presented.</v>
      </c>
      <c r="S769" s="121" t="str">
        <v/>
      </c>
      <c r="T769" s="119" t="str">
        <f>IF($C769&lt;4,IF($C769=3,T770,IF($C769=2,T$1,"")),Q769&amp;R769&amp;IF(LEN(S769)=0,"",Preferences!$C$2&amp;S769)&amp;IF(J770=J769,IF(LEN(R769&amp;S769)=0,"","
")&amp;T770,""))</f>
        <v xml:space="preserve"> 1. When selecting to view the address details, the recorded list of delivery addresses is presented.
 2. The customer can add an address, or remove an existing address.
 3. The customer maintains the following details for each address: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69" s="122" t="str">
        <v/>
      </c>
      <c r="V769" s="42"/>
      <c r="W769" s="42"/>
      <c r="X769" s="42"/>
      <c r="Y769" s="42"/>
      <c r="Z769" s="42"/>
      <c r="AA769" s="42"/>
      <c r="AB769" s="42"/>
    </row>
    <row r="770" spans="1:28" x14ac:dyDescent="0.25">
      <c r="A770" s="42" t="str">
        <v>1.15.6.2</v>
      </c>
      <c r="B770" s="121" t="str">
        <v>The customer can add an address, or remove an existing address.</v>
      </c>
      <c r="C770" s="41">
        <v>4</v>
      </c>
      <c r="D770" s="41" t="str">
        <v>RD</v>
      </c>
      <c r="E770" s="117" t="str">
        <f t="shared" si="0"/>
        <v>RD</v>
      </c>
      <c r="F770" s="41" t="str">
        <v/>
      </c>
      <c r="G770" s="41" t="str">
        <v/>
      </c>
      <c r="H770" s="117">
        <f t="shared" si="1"/>
        <v>0</v>
      </c>
      <c r="I770" s="117">
        <f t="shared" si="2"/>
        <v>15</v>
      </c>
      <c r="J770" s="117">
        <f t="shared" si="3"/>
        <v>15.059999999999999</v>
      </c>
      <c r="K770" s="117" t="str">
        <f t="shared" si="4"/>
        <v>BR</v>
      </c>
      <c r="L770" s="42" t="str">
        <v>BR1506</v>
      </c>
      <c r="M770" s="121" t="str">
        <v/>
      </c>
      <c r="N770" s="121" t="str">
        <v/>
      </c>
      <c r="O770" s="121" t="str">
        <v/>
      </c>
      <c r="P770" s="121" t="str">
        <v/>
      </c>
      <c r="Q770" s="121" t="str">
        <v xml:space="preserve"> 2. </v>
      </c>
      <c r="R770" s="121" t="str">
        <v>The customer can add an address, or remove an existing address.</v>
      </c>
      <c r="S770" s="121" t="str">
        <v/>
      </c>
      <c r="T770" s="119" t="str">
        <f>IF($C770&lt;4,IF($C770=3,T771,IF($C770=2,T$1,"")),Q770&amp;R770&amp;IF(LEN(S770)=0,"",Preferences!$C$2&amp;S770)&amp;IF(J771=J770,IF(LEN(R770&amp;S770)=0,"","
")&amp;T771,""))</f>
        <v xml:space="preserve"> 2. The customer can add an address, or remove an existing address.
 3. The customer maintains the following details for each address: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0" s="122" t="str">
        <v/>
      </c>
      <c r="V770" s="42"/>
      <c r="W770" s="42"/>
      <c r="X770" s="42"/>
      <c r="Y770" s="42"/>
      <c r="Z770" s="42"/>
      <c r="AA770" s="42"/>
      <c r="AB770" s="42"/>
    </row>
    <row r="771" spans="1:28" x14ac:dyDescent="0.25">
      <c r="A771" s="42" t="str">
        <v>1.15.6.3</v>
      </c>
      <c r="B771" s="121" t="str">
        <v>The customer maintains the following details for each address:</v>
      </c>
      <c r="C771" s="41">
        <v>4</v>
      </c>
      <c r="D771" s="41" t="str">
        <v>RD</v>
      </c>
      <c r="E771" s="117" t="str">
        <f t="shared" si="0"/>
        <v>RD</v>
      </c>
      <c r="F771" s="41" t="str">
        <v/>
      </c>
      <c r="G771" s="41" t="str">
        <v/>
      </c>
      <c r="H771" s="117">
        <f t="shared" si="1"/>
        <v>0</v>
      </c>
      <c r="I771" s="117">
        <f t="shared" si="2"/>
        <v>15</v>
      </c>
      <c r="J771" s="117">
        <f t="shared" si="3"/>
        <v>15.059999999999999</v>
      </c>
      <c r="K771" s="117" t="str">
        <f t="shared" si="4"/>
        <v>BR</v>
      </c>
      <c r="L771" s="42" t="str">
        <v>BR1506</v>
      </c>
      <c r="M771" s="121" t="str">
        <v/>
      </c>
      <c r="N771" s="121" t="str">
        <v/>
      </c>
      <c r="O771" s="121" t="str">
        <v/>
      </c>
      <c r="P771" s="121" t="str">
        <v/>
      </c>
      <c r="Q771" s="121" t="str">
        <v xml:space="preserve"> 3. </v>
      </c>
      <c r="R771" s="121" t="str">
        <v>The customer maintains the following details for each address:</v>
      </c>
      <c r="S771" s="121" t="str">
        <v/>
      </c>
      <c r="T771" s="119" t="str">
        <f>IF($C771&lt;4,IF($C771=3,T772,IF($C771=2,T$1,"")),Q771&amp;R771&amp;IF(LEN(S771)=0,"",Preferences!$C$2&amp;S771)&amp;IF(J772=J771,IF(LEN(R771&amp;S771)=0,"","
")&amp;T772,""))</f>
        <v xml:space="preserve"> 3. The customer maintains the following details for each address: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1" s="122" t="str">
        <v/>
      </c>
      <c r="V771" s="42"/>
      <c r="W771" s="42"/>
      <c r="X771" s="42"/>
      <c r="Y771" s="42"/>
      <c r="Z771" s="42"/>
      <c r="AA771" s="42"/>
      <c r="AB771" s="42"/>
    </row>
    <row r="772" spans="1:28" x14ac:dyDescent="0.25">
      <c r="A772" s="42" t="str">
        <v>1.15.6.3.1</v>
      </c>
      <c r="B772" s="121" t="str">
        <v>Name for the address (unique for customer)</v>
      </c>
      <c r="C772" s="41">
        <v>5</v>
      </c>
      <c r="D772" s="41" t="str">
        <v>RL</v>
      </c>
      <c r="E772" s="117" t="str">
        <f t="shared" si="0"/>
        <v>RL</v>
      </c>
      <c r="F772" s="41" t="str">
        <v/>
      </c>
      <c r="G772" s="41" t="str">
        <v/>
      </c>
      <c r="H772" s="117">
        <f t="shared" si="1"/>
        <v>0</v>
      </c>
      <c r="I772" s="117">
        <f t="shared" si="2"/>
        <v>15</v>
      </c>
      <c r="J772" s="117">
        <f t="shared" si="3"/>
        <v>15.059999999999999</v>
      </c>
      <c r="K772" s="117" t="str">
        <f t="shared" si="4"/>
        <v>BR</v>
      </c>
      <c r="L772" s="42" t="str">
        <v>BR1506</v>
      </c>
      <c r="M772" s="121" t="str">
        <v/>
      </c>
      <c r="N772" s="121" t="str">
        <v/>
      </c>
      <c r="O772" s="121" t="str">
        <v/>
      </c>
      <c r="P772" s="121" t="str">
        <v/>
      </c>
      <c r="Q772" s="121" t="str">
        <v/>
      </c>
      <c r="R772" s="121" t="str">
        <v/>
      </c>
      <c r="S772" s="121" t="str">
        <v>Name for the address (unique for customer)</v>
      </c>
      <c r="T772" s="119" t="str">
        <f>IF($C772&lt;4,IF($C772=3,T773,IF($C772=2,T$1,"")),Q772&amp;R772&amp;IF(LEN(S772)=0,"",Preferences!$C$2&amp;S772)&amp;IF(J773=J772,IF(LEN(R772&amp;S772)=0,"","
")&amp;T773,""))</f>
        <v xml:space="preserve">	• Name for the address (unique for customer)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2" s="122" t="str">
        <v/>
      </c>
      <c r="V772" s="42"/>
      <c r="W772" s="42"/>
      <c r="X772" s="42"/>
      <c r="Y772" s="42"/>
      <c r="Z772" s="42"/>
      <c r="AA772" s="42"/>
      <c r="AB772" s="42"/>
    </row>
    <row r="773" spans="1:28" x14ac:dyDescent="0.25">
      <c r="A773" s="42" t="str">
        <v>1.15.6.3.2</v>
      </c>
      <c r="B773" s="121" t="str">
        <v>Address details - Street, Suburb, Town, Postal Code (Google maps integration), with support for geo-location as address)</v>
      </c>
      <c r="C773" s="41">
        <v>5</v>
      </c>
      <c r="D773" s="41" t="str">
        <v>RL</v>
      </c>
      <c r="E773" s="117" t="str">
        <f t="shared" si="0"/>
        <v>RL</v>
      </c>
      <c r="F773" s="41" t="str">
        <v/>
      </c>
      <c r="G773" s="41" t="str">
        <v/>
      </c>
      <c r="H773" s="117">
        <f t="shared" si="1"/>
        <v>0</v>
      </c>
      <c r="I773" s="117">
        <f t="shared" si="2"/>
        <v>15</v>
      </c>
      <c r="J773" s="117">
        <f t="shared" si="3"/>
        <v>15.059999999999999</v>
      </c>
      <c r="K773" s="117" t="str">
        <f t="shared" si="4"/>
        <v>BR</v>
      </c>
      <c r="L773" s="42" t="str">
        <v>BR1506</v>
      </c>
      <c r="M773" s="121" t="str">
        <v/>
      </c>
      <c r="N773" s="121" t="str">
        <v/>
      </c>
      <c r="O773" s="121" t="str">
        <v/>
      </c>
      <c r="P773" s="121" t="str">
        <v/>
      </c>
      <c r="Q773" s="121" t="str">
        <v/>
      </c>
      <c r="R773" s="121" t="str">
        <v/>
      </c>
      <c r="S773" s="121" t="str">
        <v>Address details - Street, Suburb, Town, Postal Code (Google maps integration), with support for geo-location as address)</v>
      </c>
      <c r="T773" s="119" t="str">
        <f>IF($C773&lt;4,IF($C773=3,T774,IF($C773=2,T$1,"")),Q773&amp;R773&amp;IF(LEN(S773)=0,"",Preferences!$C$2&amp;S773)&amp;IF(J774=J773,IF(LEN(R773&amp;S773)=0,"","
")&amp;T774,""))</f>
        <v xml:space="preserve">	• Address details - Street, Suburb, Town, Postal Code (Google maps integration), with support for geo-location as address)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3" s="122" t="str">
        <v/>
      </c>
      <c r="V773" s="42"/>
      <c r="W773" s="42"/>
      <c r="X773" s="42"/>
      <c r="Y773" s="42"/>
      <c r="Z773" s="42"/>
      <c r="AA773" s="42"/>
      <c r="AB773" s="42"/>
    </row>
    <row r="774" spans="1:28" x14ac:dyDescent="0.25">
      <c r="A774" s="42" t="str">
        <v>1.15.6.3.3</v>
      </c>
      <c r="B774" s="121" t="str">
        <v>Contact person name and optional contact phone number</v>
      </c>
      <c r="C774" s="41">
        <v>5</v>
      </c>
      <c r="D774" s="41" t="str">
        <v>RL</v>
      </c>
      <c r="E774" s="117" t="str">
        <f t="shared" si="0"/>
        <v>RL</v>
      </c>
      <c r="F774" s="41" t="str">
        <v/>
      </c>
      <c r="G774" s="41" t="str">
        <v/>
      </c>
      <c r="H774" s="117">
        <f t="shared" si="1"/>
        <v>0</v>
      </c>
      <c r="I774" s="117">
        <f t="shared" si="2"/>
        <v>15</v>
      </c>
      <c r="J774" s="117">
        <f t="shared" si="3"/>
        <v>15.059999999999999</v>
      </c>
      <c r="K774" s="117" t="str">
        <f t="shared" si="4"/>
        <v>BR</v>
      </c>
      <c r="L774" s="42" t="str">
        <v>BR1506</v>
      </c>
      <c r="M774" s="121" t="str">
        <v/>
      </c>
      <c r="N774" s="121" t="str">
        <v/>
      </c>
      <c r="O774" s="121" t="str">
        <v/>
      </c>
      <c r="P774" s="121" t="str">
        <v/>
      </c>
      <c r="Q774" s="121" t="str">
        <v/>
      </c>
      <c r="R774" s="121" t="str">
        <v/>
      </c>
      <c r="S774" s="121" t="str">
        <v>Contact person name and optional contact phone number</v>
      </c>
      <c r="T774" s="119" t="str">
        <f>IF($C774&lt;4,IF($C774=3,T775,IF($C774=2,T$1,"")),Q774&amp;R774&amp;IF(LEN(S774)=0,"",Preferences!$C$2&amp;S774)&amp;IF(J775=J774,IF(LEN(R774&amp;S774)=0,"","
")&amp;T775,""))</f>
        <v xml:space="preserve">	• Contact person name and optional contact phone number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4" s="122" t="str">
        <v/>
      </c>
      <c r="V774" s="42"/>
      <c r="W774" s="42"/>
      <c r="X774" s="42"/>
      <c r="Y774" s="42"/>
      <c r="Z774" s="42"/>
      <c r="AA774" s="42"/>
      <c r="AB774" s="42"/>
    </row>
    <row r="775" spans="1:28" x14ac:dyDescent="0.25">
      <c r="A775" s="42" t="str">
        <v>1.15.6.3.4</v>
      </c>
      <c r="B775" s="121" t="str">
        <v>Delivery instructions (optional delivery note for inclusion on waybill) [TBD]</v>
      </c>
      <c r="C775" s="41">
        <v>5</v>
      </c>
      <c r="D775" s="41" t="str">
        <v>RL</v>
      </c>
      <c r="E775" s="117" t="str">
        <f t="shared" si="0"/>
        <v>RL</v>
      </c>
      <c r="F775" s="41" t="str">
        <v/>
      </c>
      <c r="G775" s="41" t="str">
        <v/>
      </c>
      <c r="H775" s="117">
        <f t="shared" si="1"/>
        <v>0</v>
      </c>
      <c r="I775" s="117">
        <f t="shared" si="2"/>
        <v>15</v>
      </c>
      <c r="J775" s="117">
        <f t="shared" si="3"/>
        <v>15.059999999999999</v>
      </c>
      <c r="K775" s="117" t="str">
        <f t="shared" si="4"/>
        <v>BR</v>
      </c>
      <c r="L775" s="42" t="str">
        <v>BR1506</v>
      </c>
      <c r="M775" s="121" t="str">
        <v/>
      </c>
      <c r="N775" s="121" t="str">
        <v/>
      </c>
      <c r="O775" s="121" t="str">
        <v/>
      </c>
      <c r="P775" s="121" t="str">
        <v/>
      </c>
      <c r="Q775" s="121" t="str">
        <v/>
      </c>
      <c r="R775" s="121" t="str">
        <v/>
      </c>
      <c r="S775" s="121" t="str">
        <v>Delivery instructions (optional delivery note for inclusion on waybill) [TBD]</v>
      </c>
      <c r="T775" s="119" t="str">
        <f>IF($C775&lt;4,IF($C775=3,T776,IF($C775=2,T$1,"")),Q775&amp;R775&amp;IF(LEN(S775)=0,"",Preferences!$C$2&amp;S775)&amp;IF(J776=J775,IF(LEN(R775&amp;S775)=0,"","
")&amp;T776,""))</f>
        <v xml:space="preserve">	• Delivery instructions (optional delivery note for inclusion on waybill) [TBD]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5" s="122" t="str">
        <v/>
      </c>
      <c r="V775" s="42"/>
      <c r="W775" s="42"/>
      <c r="X775" s="42"/>
      <c r="Y775" s="42"/>
      <c r="Z775" s="42"/>
      <c r="AA775" s="42"/>
      <c r="AB775" s="42"/>
    </row>
    <row r="776" spans="1:28" x14ac:dyDescent="0.25">
      <c r="A776" s="42" t="str">
        <v>1.15.6.4</v>
      </c>
      <c r="B776" s="121" t="str">
        <v>The user must select a default address to apply for deliveries.</v>
      </c>
      <c r="C776" s="41">
        <v>4</v>
      </c>
      <c r="D776" s="41" t="str">
        <v>RD</v>
      </c>
      <c r="E776" s="117" t="str">
        <f t="shared" si="0"/>
        <v>RD</v>
      </c>
      <c r="F776" s="41" t="str">
        <v/>
      </c>
      <c r="G776" s="41" t="str">
        <v/>
      </c>
      <c r="H776" s="117">
        <f t="shared" si="1"/>
        <v>0</v>
      </c>
      <c r="I776" s="117">
        <f t="shared" si="2"/>
        <v>15</v>
      </c>
      <c r="J776" s="117">
        <f t="shared" si="3"/>
        <v>15.059999999999999</v>
      </c>
      <c r="K776" s="117" t="str">
        <f t="shared" si="4"/>
        <v>BR</v>
      </c>
      <c r="L776" s="42" t="str">
        <v>BR1506</v>
      </c>
      <c r="M776" s="121" t="str">
        <v/>
      </c>
      <c r="N776" s="121" t="str">
        <v/>
      </c>
      <c r="O776" s="121" t="str">
        <v/>
      </c>
      <c r="P776" s="121" t="str">
        <v/>
      </c>
      <c r="Q776" s="121" t="str">
        <v xml:space="preserve"> 4. </v>
      </c>
      <c r="R776" s="121" t="str">
        <v>The user must select a default address to apply for deliveries.</v>
      </c>
      <c r="S776" s="121" t="str">
        <v/>
      </c>
      <c r="T776" s="119" t="str">
        <f>IF($C776&lt;4,IF($C776=3,T777,IF($C776=2,T$1,"")),Q776&amp;R776&amp;IF(LEN(S776)=0,"",Preferences!$C$2&amp;S776)&amp;IF(J777=J776,IF(LEN(R776&amp;S776)=0,"","
")&amp;T777,""))</f>
        <v xml:space="preserve"> 4. The user must select a default address to apply for deliveries.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6" s="122" t="str">
        <v/>
      </c>
      <c r="V776" s="42"/>
      <c r="W776" s="42"/>
      <c r="X776" s="42"/>
      <c r="Y776" s="42"/>
      <c r="Z776" s="42"/>
      <c r="AA776" s="42"/>
      <c r="AB776" s="42"/>
    </row>
    <row r="777" spans="1:28" x14ac:dyDescent="0.25">
      <c r="A777" s="42" t="str">
        <v>1.15.6.5</v>
      </c>
      <c r="B777" s="121" t="str">
        <v>If the user was redirected after choosing to add a new delivery address, they are presented an option to return to their shopping cart checkout.</v>
      </c>
      <c r="C777" s="41">
        <v>4</v>
      </c>
      <c r="D777" s="41" t="str">
        <v>RD</v>
      </c>
      <c r="E777" s="117" t="str">
        <f t="shared" si="0"/>
        <v>RD</v>
      </c>
      <c r="F777" s="41" t="str">
        <v/>
      </c>
      <c r="G777" s="41" t="str">
        <v/>
      </c>
      <c r="H777" s="117">
        <f t="shared" si="1"/>
        <v>0</v>
      </c>
      <c r="I777" s="117">
        <f t="shared" si="2"/>
        <v>15</v>
      </c>
      <c r="J777" s="117">
        <f t="shared" si="3"/>
        <v>15.059999999999999</v>
      </c>
      <c r="K777" s="117" t="str">
        <f t="shared" si="4"/>
        <v>BR</v>
      </c>
      <c r="L777" s="42" t="str">
        <v>BR1506</v>
      </c>
      <c r="M777" s="121" t="str">
        <v/>
      </c>
      <c r="N777" s="121" t="str">
        <v/>
      </c>
      <c r="O777" s="121" t="str">
        <v/>
      </c>
      <c r="P777" s="121" t="str">
        <v/>
      </c>
      <c r="Q777" s="121" t="str">
        <v xml:space="preserve"> 5. </v>
      </c>
      <c r="R777" s="121" t="str">
        <v>If the user was redirected after choosing to add a new delivery address, they are presented an option to return to their shopping cart checkout.</v>
      </c>
      <c r="S777" s="121" t="str">
        <v/>
      </c>
      <c r="T777" s="119" t="str">
        <f>IF($C777&lt;4,IF($C777=3,T778,IF($C777=2,T$1,"")),Q777&amp;R777&amp;IF(LEN(S777)=0,"",Preferences!$C$2&amp;S777)&amp;IF(J778=J777,IF(LEN(R777&amp;S777)=0,"","
")&amp;T778,""))</f>
        <v xml:space="preserve"> 5. If the user was redirected after choosing to add a new delivery address, they are presented an option to return to their shopping cart checkout.
	• If chosen, the user is redirected to the confirm delivery step of their shopping cart checkout, with the new/last updated address selected. (Refer to the Confirm/Update Customer Delivery requirements of the Checkout and Pay section.</v>
      </c>
      <c r="U777" s="122" t="str">
        <v/>
      </c>
      <c r="V777" s="42"/>
      <c r="W777" s="42"/>
      <c r="X777" s="42"/>
      <c r="Y777" s="42"/>
      <c r="Z777" s="42"/>
      <c r="AA777" s="42"/>
      <c r="AB777" s="42"/>
    </row>
    <row r="778" spans="1:28" x14ac:dyDescent="0.25">
      <c r="A778" s="42" t="str">
        <v>1.15.6.5.1</v>
      </c>
      <c r="B778" s="121" t="str">
        <v>If chosen, the user is redirected to the confirm delivery step of their shopping cart checkout, with the new/last updated address selected. (Refer to the Confirm/Update Customer Delivery requirements of the Checkout and Pay section.</v>
      </c>
      <c r="C778" s="41">
        <v>5</v>
      </c>
      <c r="D778" s="41" t="str">
        <v>RL</v>
      </c>
      <c r="E778" s="117" t="str">
        <f t="shared" si="0"/>
        <v>RL</v>
      </c>
      <c r="F778" s="41" t="str">
        <v/>
      </c>
      <c r="G778" s="41" t="str">
        <v/>
      </c>
      <c r="H778" s="117">
        <f t="shared" si="1"/>
        <v>0</v>
      </c>
      <c r="I778" s="117">
        <f t="shared" si="2"/>
        <v>15</v>
      </c>
      <c r="J778" s="117">
        <f t="shared" si="3"/>
        <v>15.059999999999999</v>
      </c>
      <c r="K778" s="117" t="str">
        <f t="shared" si="4"/>
        <v>BR</v>
      </c>
      <c r="L778" s="42" t="str">
        <v>BR1506</v>
      </c>
      <c r="M778" s="121" t="str">
        <v/>
      </c>
      <c r="N778" s="121" t="str">
        <v/>
      </c>
      <c r="O778" s="121" t="str">
        <v/>
      </c>
      <c r="P778" s="121" t="str">
        <v/>
      </c>
      <c r="Q778" s="121" t="str">
        <v/>
      </c>
      <c r="R778" s="121" t="str">
        <v/>
      </c>
      <c r="S778" s="121" t="str">
        <v>If chosen, the user is redirected to the confirm delivery step of their shopping cart checkout, with the new/last updated address selected. (Refer to the Confirm/Update Customer Delivery requirements of the Checkout and Pay section.</v>
      </c>
      <c r="T778" s="119" t="str">
        <f>IF($C778&lt;4,IF($C778=3,T779,IF($C778=2,T$1,"")),Q778&amp;R778&amp;IF(LEN(S778)=0,"",Preferences!$C$2&amp;S778)&amp;IF(J779=J778,IF(LEN(R778&amp;S778)=0,"","
")&amp;T779,""))</f>
        <v xml:space="preserve">	• If chosen, the user is redirected to the confirm delivery step of their shopping cart checkout, with the new/last updated address selected. (Refer to the Confirm/Update Customer Delivery requirements of the Checkout and Pay section.</v>
      </c>
      <c r="U778" s="122" t="str">
        <v/>
      </c>
      <c r="V778" s="42"/>
      <c r="W778" s="42"/>
      <c r="X778" s="42"/>
      <c r="Y778" s="42"/>
      <c r="Z778" s="42"/>
      <c r="AA778" s="42"/>
      <c r="AB778" s="42"/>
    </row>
    <row r="779" spans="1:28" x14ac:dyDescent="0.25">
      <c r="A779" s="42" t="str">
        <v>1.15.7</v>
      </c>
      <c r="B779" s="121" t="str">
        <v>15.7 Maintain payment details</v>
      </c>
      <c r="C779" s="41">
        <v>3</v>
      </c>
      <c r="D779" s="41" t="str">
        <v>R</v>
      </c>
      <c r="E779" s="117" t="str">
        <f t="shared" si="0"/>
        <v>R</v>
      </c>
      <c r="F779" s="41" t="str">
        <v/>
      </c>
      <c r="G779" s="41" t="str">
        <v/>
      </c>
      <c r="H779" s="117">
        <f t="shared" si="1"/>
        <v>0</v>
      </c>
      <c r="I779" s="117">
        <f t="shared" si="2"/>
        <v>15</v>
      </c>
      <c r="J779" s="117">
        <f t="shared" si="3"/>
        <v>15.069999999999999</v>
      </c>
      <c r="K779" s="117" t="str">
        <f t="shared" si="4"/>
        <v>BR</v>
      </c>
      <c r="L779" s="42" t="str">
        <v>BR1507</v>
      </c>
      <c r="M779" s="121" t="str">
        <v/>
      </c>
      <c r="N779" s="121" t="str">
        <v/>
      </c>
      <c r="O779" s="121" t="str">
        <v>BR1507</v>
      </c>
      <c r="P779" s="121" t="str">
        <v>Maintain payment details</v>
      </c>
      <c r="Q779" s="121" t="str">
        <v/>
      </c>
      <c r="R779" s="121" t="str">
        <v/>
      </c>
      <c r="S779" s="121" t="str">
        <v/>
      </c>
      <c r="T779" s="119" t="str">
        <f>IF($C779&lt;4,IF($C779=3,T780,IF($C779=2,T$1,"")),Q779&amp;R779&amp;IF(LEN(S779)=0,"",Preferences!$C$2&amp;S779)&amp;IF(J780=J779,IF(LEN(R779&amp;S779)=0,"","
")&amp;T780,""))</f>
        <v xml:space="preserve"> 1. The customer will initially only capture payment card details as part of the online payment step, to be captured by the payment gateway.
 2. Depending on the payment gateway and available security features of the chosen solution, the customer may be prompted to provide their payment card details, to be applied for each online payment.
 3. If card details are captured, a reminder is sent to the customer's email address one calendar month before their captured card-expiry month.</v>
      </c>
      <c r="U779" s="122" t="str">
        <v/>
      </c>
      <c r="V779" s="42"/>
      <c r="W779" s="42"/>
      <c r="X779" s="42"/>
      <c r="Y779" s="42"/>
      <c r="Z779" s="42"/>
      <c r="AA779" s="42"/>
      <c r="AB779" s="42"/>
    </row>
    <row r="780" spans="1:28" x14ac:dyDescent="0.25">
      <c r="A780" s="42" t="str">
        <v>1.15.7.1</v>
      </c>
      <c r="B780" s="121" t="str">
        <v>The customer will initially only capture payment card details as part of the online payment step, to be captured by the payment gateway.</v>
      </c>
      <c r="C780" s="41">
        <v>4</v>
      </c>
      <c r="D780" s="41" t="str">
        <v>RD</v>
      </c>
      <c r="E780" s="117" t="str">
        <f t="shared" si="0"/>
        <v>RD</v>
      </c>
      <c r="F780" s="41" t="str">
        <v/>
      </c>
      <c r="G780" s="41" t="str">
        <v/>
      </c>
      <c r="H780" s="117">
        <f t="shared" si="1"/>
        <v>0</v>
      </c>
      <c r="I780" s="117">
        <f t="shared" si="2"/>
        <v>15</v>
      </c>
      <c r="J780" s="117">
        <f t="shared" si="3"/>
        <v>15.069999999999999</v>
      </c>
      <c r="K780" s="117" t="str">
        <f t="shared" si="4"/>
        <v>BR</v>
      </c>
      <c r="L780" s="42" t="str">
        <v>BR1507</v>
      </c>
      <c r="M780" s="121" t="str">
        <v/>
      </c>
      <c r="N780" s="121" t="str">
        <v/>
      </c>
      <c r="O780" s="121" t="str">
        <v/>
      </c>
      <c r="P780" s="121" t="str">
        <v/>
      </c>
      <c r="Q780" s="121" t="str">
        <v xml:space="preserve"> 1. </v>
      </c>
      <c r="R780" s="121" t="str">
        <v>The customer will initially only capture payment card details as part of the online payment step, to be captured by the payment gateway.</v>
      </c>
      <c r="S780" s="121" t="str">
        <v/>
      </c>
      <c r="T780" s="119" t="str">
        <f>IF($C780&lt;4,IF($C780=3,T781,IF($C780=2,T$1,"")),Q780&amp;R780&amp;IF(LEN(S780)=0,"",Preferences!$C$2&amp;S780)&amp;IF(J781=J780,IF(LEN(R780&amp;S780)=0,"","
")&amp;T781,""))</f>
        <v xml:space="preserve"> 1. The customer will initially only capture payment card details as part of the online payment step, to be captured by the payment gateway.
 2. Depending on the payment gateway and available security features of the chosen solution, the customer may be prompted to provide their payment card details, to be applied for each online payment.
 3. If card details are captured, a reminder is sent to the customer's email address one calendar month before their captured card-expiry month.</v>
      </c>
      <c r="U780" s="122" t="str">
        <v/>
      </c>
      <c r="V780" s="42"/>
      <c r="W780" s="42"/>
      <c r="X780" s="42"/>
      <c r="Y780" s="42"/>
      <c r="Z780" s="42"/>
      <c r="AA780" s="42"/>
      <c r="AB780" s="42"/>
    </row>
    <row r="781" spans="1:28" x14ac:dyDescent="0.25">
      <c r="A781" s="42" t="str">
        <v>1.15.7.2</v>
      </c>
      <c r="B781" s="121" t="str">
        <v>Depending on the payment gateway and available security features of the chosen solution, the customer may be prompted to provide their payment card details, to be applied for each online payment.</v>
      </c>
      <c r="C781" s="41">
        <v>4</v>
      </c>
      <c r="D781" s="41" t="str">
        <v>RD</v>
      </c>
      <c r="E781" s="117" t="str">
        <f t="shared" si="0"/>
        <v>RD</v>
      </c>
      <c r="F781" s="41" t="str">
        <v/>
      </c>
      <c r="G781" s="41" t="str">
        <v/>
      </c>
      <c r="H781" s="117">
        <f t="shared" si="1"/>
        <v>0</v>
      </c>
      <c r="I781" s="117">
        <f t="shared" si="2"/>
        <v>15</v>
      </c>
      <c r="J781" s="117">
        <f t="shared" si="3"/>
        <v>15.069999999999999</v>
      </c>
      <c r="K781" s="117" t="str">
        <f t="shared" si="4"/>
        <v>BR</v>
      </c>
      <c r="L781" s="42" t="str">
        <v>BR1507</v>
      </c>
      <c r="M781" s="121" t="str">
        <v/>
      </c>
      <c r="N781" s="121" t="str">
        <v/>
      </c>
      <c r="O781" s="121" t="str">
        <v/>
      </c>
      <c r="P781" s="121" t="str">
        <v/>
      </c>
      <c r="Q781" s="121" t="str">
        <v xml:space="preserve"> 2. </v>
      </c>
      <c r="R781" s="121" t="str">
        <v>Depending on the payment gateway and available security features of the chosen solution, the customer may be prompted to provide their payment card details, to be applied for each online payment.</v>
      </c>
      <c r="S781" s="121" t="str">
        <v/>
      </c>
      <c r="T781" s="119" t="str">
        <f>IF($C781&lt;4,IF($C781=3,T782,IF($C781=2,T$1,"")),Q781&amp;R781&amp;IF(LEN(S781)=0,"",Preferences!$C$2&amp;S781)&amp;IF(J782=J781,IF(LEN(R781&amp;S781)=0,"","
")&amp;T782,""))</f>
        <v xml:space="preserve"> 2. Depending on the payment gateway and available security features of the chosen solution, the customer may be prompted to provide their payment card details, to be applied for each online payment.
 3. If card details are captured, a reminder is sent to the customer's email address one calendar month before their captured card-expiry month.</v>
      </c>
      <c r="U781" s="122" t="str">
        <v/>
      </c>
      <c r="V781" s="42"/>
      <c r="W781" s="42"/>
      <c r="X781" s="42"/>
      <c r="Y781" s="42"/>
      <c r="Z781" s="42"/>
      <c r="AA781" s="42"/>
      <c r="AB781" s="42"/>
    </row>
    <row r="782" spans="1:28" x14ac:dyDescent="0.25">
      <c r="A782" s="42" t="str">
        <v>1.15.7.3</v>
      </c>
      <c r="B782" s="121" t="str">
        <v>If card details are captured, a reminder is sent to the customer's email address one calendar month before their captured card-expiry month.</v>
      </c>
      <c r="C782" s="41">
        <v>4</v>
      </c>
      <c r="D782" s="41" t="str">
        <v>RD</v>
      </c>
      <c r="E782" s="117" t="str">
        <f t="shared" si="0"/>
        <v>RD</v>
      </c>
      <c r="F782" s="41" t="str">
        <v/>
      </c>
      <c r="G782" s="41" t="str">
        <v/>
      </c>
      <c r="H782" s="117">
        <f t="shared" si="1"/>
        <v>0</v>
      </c>
      <c r="I782" s="117">
        <f t="shared" si="2"/>
        <v>15</v>
      </c>
      <c r="J782" s="117">
        <f t="shared" si="3"/>
        <v>15.069999999999999</v>
      </c>
      <c r="K782" s="117" t="str">
        <f t="shared" si="4"/>
        <v>BR</v>
      </c>
      <c r="L782" s="42" t="str">
        <v>BR1507</v>
      </c>
      <c r="M782" s="121" t="str">
        <v/>
      </c>
      <c r="N782" s="121" t="str">
        <v/>
      </c>
      <c r="O782" s="121" t="str">
        <v/>
      </c>
      <c r="P782" s="121" t="str">
        <v/>
      </c>
      <c r="Q782" s="121" t="str">
        <v xml:space="preserve"> 3. </v>
      </c>
      <c r="R782" s="121" t="str">
        <v>If card details are captured, a reminder is sent to the customer's email address one calendar month before their captured card-expiry month.</v>
      </c>
      <c r="S782" s="121" t="str">
        <v/>
      </c>
      <c r="T782" s="119" t="str">
        <f>IF($C782&lt;4,IF($C782=3,T783,IF($C782=2,T$1,"")),Q782&amp;R782&amp;IF(LEN(S782)=0,"",Preferences!$C$2&amp;S782)&amp;IF(J783=J782,IF(LEN(R782&amp;S782)=0,"","
")&amp;T783,""))</f>
        <v xml:space="preserve"> 3. If card details are captured, a reminder is sent to the customer's email address one calendar month before their captured card-expiry month.</v>
      </c>
      <c r="U782" s="122" t="str">
        <v/>
      </c>
      <c r="V782" s="42"/>
      <c r="W782" s="42"/>
      <c r="X782" s="42"/>
      <c r="Y782" s="42"/>
      <c r="Z782" s="42"/>
      <c r="AA782" s="42"/>
      <c r="AB782" s="42"/>
    </row>
    <row r="783" spans="1:28" x14ac:dyDescent="0.25">
      <c r="A783" s="42" t="str">
        <v>1.15.8</v>
      </c>
      <c r="B783" s="121" t="str">
        <v>15.8 Maintain favourite product list</v>
      </c>
      <c r="C783" s="41">
        <v>3</v>
      </c>
      <c r="D783" s="41" t="str">
        <v>R</v>
      </c>
      <c r="E783" s="117" t="str">
        <f t="shared" si="0"/>
        <v>R</v>
      </c>
      <c r="F783" s="41" t="str">
        <v/>
      </c>
      <c r="G783" s="41" t="str">
        <v/>
      </c>
      <c r="H783" s="117">
        <f t="shared" si="1"/>
        <v>0</v>
      </c>
      <c r="I783" s="117">
        <f t="shared" si="2"/>
        <v>15</v>
      </c>
      <c r="J783" s="117">
        <f t="shared" si="3"/>
        <v>15.079999999999998</v>
      </c>
      <c r="K783" s="117" t="str">
        <f t="shared" si="4"/>
        <v>BR</v>
      </c>
      <c r="L783" s="42" t="str">
        <v>BR1508</v>
      </c>
      <c r="M783" s="121" t="str">
        <v/>
      </c>
      <c r="N783" s="121" t="str">
        <v/>
      </c>
      <c r="O783" s="121" t="str">
        <v>BR1508</v>
      </c>
      <c r="P783" s="121" t="str">
        <v>Maintain favourite product list</v>
      </c>
      <c r="Q783" s="121" t="str">
        <v/>
      </c>
      <c r="R783" s="121" t="str">
        <v/>
      </c>
      <c r="S783" s="121" t="str">
        <v/>
      </c>
      <c r="T783" s="119" t="str">
        <f>IF($C783&lt;4,IF($C783=3,T784,IF($C783=2,T$1,"")),Q783&amp;R783&amp;IF(LEN(S783)=0,"",Preferences!$C$2&amp;S783)&amp;IF(J784=J783,IF(LEN(R783&amp;S783)=0,"","
")&amp;T784,""))</f>
        <v xml:space="preserve"> 1. When selecting to view the favourites, the products in their favourites list are presented.
	• A message is presented with the list, to explain the purpose of the favourites list to be those products the customer wants to order often.
 2. The customer can unmark a product, to immediately remove it from their favourites list.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U783" s="122" t="str">
        <v/>
      </c>
      <c r="V783" s="42"/>
      <c r="W783" s="42"/>
      <c r="X783" s="42"/>
      <c r="Y783" s="42"/>
      <c r="Z783" s="42"/>
      <c r="AA783" s="42"/>
      <c r="AB783" s="42"/>
    </row>
    <row r="784" spans="1:28" x14ac:dyDescent="0.25">
      <c r="A784" s="42" t="str">
        <v>1.15.8.1</v>
      </c>
      <c r="B784" s="121" t="str">
        <v>When selecting to view the favourites, the products in their favourites list are presented.</v>
      </c>
      <c r="C784" s="41">
        <v>4</v>
      </c>
      <c r="D784" s="41" t="str">
        <v>RD</v>
      </c>
      <c r="E784" s="117" t="str">
        <f t="shared" si="0"/>
        <v>RD</v>
      </c>
      <c r="F784" s="41" t="str">
        <v/>
      </c>
      <c r="G784" s="41" t="str">
        <v/>
      </c>
      <c r="H784" s="117">
        <f t="shared" si="1"/>
        <v>0</v>
      </c>
      <c r="I784" s="117">
        <f t="shared" si="2"/>
        <v>15</v>
      </c>
      <c r="J784" s="117">
        <f t="shared" si="3"/>
        <v>15.079999999999998</v>
      </c>
      <c r="K784" s="117" t="str">
        <f t="shared" si="4"/>
        <v>BR</v>
      </c>
      <c r="L784" s="42" t="str">
        <v>BR1508</v>
      </c>
      <c r="M784" s="121" t="str">
        <v/>
      </c>
      <c r="N784" s="121" t="str">
        <v/>
      </c>
      <c r="O784" s="121" t="str">
        <v/>
      </c>
      <c r="P784" s="121" t="str">
        <v/>
      </c>
      <c r="Q784" s="121" t="str">
        <v xml:space="preserve"> 1. </v>
      </c>
      <c r="R784" s="121" t="str">
        <v>When selecting to view the favourites, the products in their favourites list are presented.</v>
      </c>
      <c r="S784" s="121" t="str">
        <v/>
      </c>
      <c r="T784" s="119" t="str">
        <f>IF($C784&lt;4,IF($C784=3,T785,IF($C784=2,T$1,"")),Q784&amp;R784&amp;IF(LEN(S784)=0,"",Preferences!$C$2&amp;S784)&amp;IF(J785=J784,IF(LEN(R784&amp;S784)=0,"","
")&amp;T785,""))</f>
        <v xml:space="preserve"> 1. When selecting to view the favourites, the products in their favourites list are presented.
	• A message is presented with the list, to explain the purpose of the favourites list to be those products the customer wants to order often.
 2. The customer can unmark a product, to immediately remove it from their favourites list.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U784" s="122" t="str">
        <v/>
      </c>
      <c r="V784" s="42"/>
      <c r="W784" s="42"/>
      <c r="X784" s="42"/>
      <c r="Y784" s="42"/>
      <c r="Z784" s="42"/>
      <c r="AA784" s="42"/>
      <c r="AB784" s="42"/>
    </row>
    <row r="785" spans="1:28" x14ac:dyDescent="0.25">
      <c r="A785" s="42" t="str">
        <v>1.15.8.1.1</v>
      </c>
      <c r="B785" s="121" t="str">
        <v>A message is presented with the list, to explain the purpose of the favourites list to be those products the customer wants to order often.</v>
      </c>
      <c r="C785" s="41">
        <v>5</v>
      </c>
      <c r="D785" s="41" t="str">
        <v>RL</v>
      </c>
      <c r="E785" s="117" t="str">
        <f t="shared" si="0"/>
        <v>RL</v>
      </c>
      <c r="F785" s="41" t="str">
        <v/>
      </c>
      <c r="G785" s="41" t="str">
        <v/>
      </c>
      <c r="H785" s="117">
        <f t="shared" si="1"/>
        <v>0</v>
      </c>
      <c r="I785" s="117">
        <f t="shared" si="2"/>
        <v>15</v>
      </c>
      <c r="J785" s="117">
        <f t="shared" si="3"/>
        <v>15.079999999999998</v>
      </c>
      <c r="K785" s="117" t="str">
        <f t="shared" si="4"/>
        <v>BR</v>
      </c>
      <c r="L785" s="42" t="str">
        <v>BR1508</v>
      </c>
      <c r="M785" s="121" t="str">
        <v/>
      </c>
      <c r="N785" s="121" t="str">
        <v/>
      </c>
      <c r="O785" s="121" t="str">
        <v/>
      </c>
      <c r="P785" s="121" t="str">
        <v/>
      </c>
      <c r="Q785" s="121" t="str">
        <v/>
      </c>
      <c r="R785" s="121" t="str">
        <v/>
      </c>
      <c r="S785" s="121" t="str">
        <v>A message is presented with the list, to explain the purpose of the favourites list to be those products the customer wants to order often.</v>
      </c>
      <c r="T785" s="119" t="str">
        <f>IF($C785&lt;4,IF($C785=3,T786,IF($C785=2,T$1,"")),Q785&amp;R785&amp;IF(LEN(S785)=0,"",Preferences!$C$2&amp;S785)&amp;IF(J786=J785,IF(LEN(R785&amp;S785)=0,"","
")&amp;T786,""))</f>
        <v xml:space="preserve">	• A message is presented with the list, to explain the purpose of the favourites list to be those products the customer wants to order often.
 2. The customer can unmark a product, to immediately remove it from their favourites list.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U785" s="122" t="str">
        <v/>
      </c>
      <c r="V785" s="42"/>
      <c r="W785" s="42"/>
      <c r="X785" s="42"/>
      <c r="Y785" s="42"/>
      <c r="Z785" s="42"/>
      <c r="AA785" s="42"/>
      <c r="AB785" s="42"/>
    </row>
    <row r="786" spans="1:28" x14ac:dyDescent="0.25">
      <c r="A786" s="42" t="str">
        <v>1.15.8.2</v>
      </c>
      <c r="B786" s="121" t="str">
        <v>The customer can unmark a product, to immediately remove it from their favourites list.</v>
      </c>
      <c r="C786" s="41">
        <v>4</v>
      </c>
      <c r="D786" s="41" t="str">
        <v>RD</v>
      </c>
      <c r="E786" s="117" t="str">
        <f t="shared" si="0"/>
        <v>RD</v>
      </c>
      <c r="F786" s="41" t="str">
        <v/>
      </c>
      <c r="G786" s="41" t="str">
        <v/>
      </c>
      <c r="H786" s="117">
        <f t="shared" si="1"/>
        <v>0</v>
      </c>
      <c r="I786" s="117">
        <f t="shared" si="2"/>
        <v>15</v>
      </c>
      <c r="J786" s="117">
        <f t="shared" si="3"/>
        <v>15.079999999999998</v>
      </c>
      <c r="K786" s="117" t="str">
        <f t="shared" si="4"/>
        <v>BR</v>
      </c>
      <c r="L786" s="42" t="str">
        <v>BR1508</v>
      </c>
      <c r="M786" s="121" t="str">
        <v/>
      </c>
      <c r="N786" s="121" t="str">
        <v/>
      </c>
      <c r="O786" s="121" t="str">
        <v/>
      </c>
      <c r="P786" s="121" t="str">
        <v/>
      </c>
      <c r="Q786" s="121" t="str">
        <v xml:space="preserve"> 2. </v>
      </c>
      <c r="R786" s="121" t="str">
        <v>The customer can unmark a product, to immediately remove it from their favourites list.</v>
      </c>
      <c r="S786" s="121" t="str">
        <v/>
      </c>
      <c r="T786" s="119" t="str">
        <f>IF($C786&lt;4,IF($C786=3,T787,IF($C786=2,T$1,"")),Q786&amp;R786&amp;IF(LEN(S786)=0,"",Preferences!$C$2&amp;S786)&amp;IF(J787=J786,IF(LEN(R786&amp;S786)=0,"","
")&amp;T787,""))</f>
        <v xml:space="preserve"> 2. The customer can unmark a product, to immediately remove it from their favourites list.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U786" s="122" t="str">
        <v/>
      </c>
      <c r="V786" s="42"/>
      <c r="W786" s="42"/>
      <c r="X786" s="42"/>
      <c r="Y786" s="42"/>
      <c r="Z786" s="42"/>
      <c r="AA786" s="42"/>
      <c r="AB786" s="42"/>
    </row>
    <row r="787" spans="1:28" x14ac:dyDescent="0.25">
      <c r="A787" s="42" t="str">
        <v>1.15.8.3</v>
      </c>
      <c r="B787" s="121" t="str">
        <v>A customer can add/remove a product to their favourites list, as detailed in the Add a product to the favourites or wish-list requirement of the User Navigation section.</v>
      </c>
      <c r="C787" s="41">
        <v>4</v>
      </c>
      <c r="D787" s="41" t="str">
        <v>RD</v>
      </c>
      <c r="E787" s="117" t="str">
        <f t="shared" si="0"/>
        <v>RD</v>
      </c>
      <c r="F787" s="41" t="str">
        <v/>
      </c>
      <c r="G787" s="41" t="str">
        <v/>
      </c>
      <c r="H787" s="117">
        <f t="shared" si="1"/>
        <v>0</v>
      </c>
      <c r="I787" s="117">
        <f t="shared" si="2"/>
        <v>15</v>
      </c>
      <c r="J787" s="117">
        <f t="shared" si="3"/>
        <v>15.079999999999998</v>
      </c>
      <c r="K787" s="117" t="str">
        <f t="shared" si="4"/>
        <v>BR</v>
      </c>
      <c r="L787" s="42" t="str">
        <v>BR1508</v>
      </c>
      <c r="M787" s="121" t="str">
        <v/>
      </c>
      <c r="N787" s="121" t="str">
        <v/>
      </c>
      <c r="O787" s="121" t="str">
        <v/>
      </c>
      <c r="P787" s="121" t="str">
        <v/>
      </c>
      <c r="Q787" s="121" t="str">
        <v xml:space="preserve"> 3. </v>
      </c>
      <c r="R787" s="121" t="str">
        <v>A customer can add/remove a product to their favourites list, as detailed in the Add a product to the favourites or wish-list requirement of the User Navigation section.</v>
      </c>
      <c r="S787" s="121" t="str">
        <v/>
      </c>
      <c r="T787" s="119" t="str">
        <f>IF($C787&lt;4,IF($C787=3,T788,IF($C787=2,T$1,"")),Q787&amp;R787&amp;IF(LEN(S787)=0,"",Preferences!$C$2&amp;S787)&amp;IF(J788=J787,IF(LEN(R787&amp;S787)=0,"","
")&amp;T788,""))</f>
        <v xml:space="preserve"> 3. A customer can add/remove a product to their favourites list, as detailed in the Add a product to the favourites or wish-list requirement of the User Navigation section.
 4. A customer can add a specific/selected products from their favourites list to their shopping cart.
 5. Also see the Login customer requirement in the Customer Registration section.</v>
      </c>
      <c r="U787" s="122" t="str">
        <v/>
      </c>
      <c r="V787" s="42"/>
      <c r="W787" s="42"/>
      <c r="X787" s="42"/>
      <c r="Y787" s="42"/>
      <c r="Z787" s="42"/>
      <c r="AA787" s="42"/>
      <c r="AB787" s="42"/>
    </row>
    <row r="788" spans="1:28" x14ac:dyDescent="0.25">
      <c r="A788" s="42" t="str">
        <v>1.15.8.4</v>
      </c>
      <c r="B788" s="121" t="str">
        <v>A customer can add a specific/selected products from their favourites list to their shopping cart.</v>
      </c>
      <c r="C788" s="41">
        <v>4</v>
      </c>
      <c r="D788" s="41" t="str">
        <v>RD</v>
      </c>
      <c r="E788" s="117" t="str">
        <f t="shared" si="0"/>
        <v>RD</v>
      </c>
      <c r="F788" s="41" t="str">
        <v/>
      </c>
      <c r="G788" s="41" t="str">
        <v/>
      </c>
      <c r="H788" s="117">
        <f t="shared" si="1"/>
        <v>0</v>
      </c>
      <c r="I788" s="117">
        <f t="shared" si="2"/>
        <v>15</v>
      </c>
      <c r="J788" s="117">
        <f t="shared" si="3"/>
        <v>15.079999999999998</v>
      </c>
      <c r="K788" s="117" t="str">
        <f t="shared" si="4"/>
        <v>BR</v>
      </c>
      <c r="L788" s="42" t="str">
        <v>BR1508</v>
      </c>
      <c r="M788" s="121" t="str">
        <v/>
      </c>
      <c r="N788" s="121" t="str">
        <v/>
      </c>
      <c r="O788" s="121" t="str">
        <v/>
      </c>
      <c r="P788" s="121" t="str">
        <v/>
      </c>
      <c r="Q788" s="121" t="str">
        <v xml:space="preserve"> 4. </v>
      </c>
      <c r="R788" s="121" t="str">
        <v>A customer can add a specific/selected products from their favourites list to their shopping cart.</v>
      </c>
      <c r="S788" s="121" t="str">
        <v/>
      </c>
      <c r="T788" s="119" t="str">
        <f>IF($C788&lt;4,IF($C788=3,T789,IF($C788=2,T$1,"")),Q788&amp;R788&amp;IF(LEN(S788)=0,"",Preferences!$C$2&amp;S788)&amp;IF(J789=J788,IF(LEN(R788&amp;S788)=0,"","
")&amp;T789,""))</f>
        <v xml:space="preserve"> 4. A customer can add a specific/selected products from their favourites list to their shopping cart.
 5. Also see the Login customer requirement in the Customer Registration section.</v>
      </c>
      <c r="U788" s="122" t="str">
        <v/>
      </c>
      <c r="V788" s="42"/>
      <c r="W788" s="42"/>
      <c r="X788" s="42"/>
      <c r="Y788" s="42"/>
      <c r="Z788" s="42"/>
      <c r="AA788" s="42"/>
      <c r="AB788" s="42"/>
    </row>
    <row r="789" spans="1:28" x14ac:dyDescent="0.25">
      <c r="A789" s="42" t="str">
        <v>1.15.8.5</v>
      </c>
      <c r="B789" s="121" t="str">
        <v>Also see the Login customer requirement in the Customer Registration section.</v>
      </c>
      <c r="C789" s="41">
        <v>4</v>
      </c>
      <c r="D789" s="41" t="str">
        <v>RD</v>
      </c>
      <c r="E789" s="117" t="str">
        <f t="shared" si="0"/>
        <v>RD</v>
      </c>
      <c r="F789" s="41" t="str">
        <v/>
      </c>
      <c r="G789" s="41" t="str">
        <v/>
      </c>
      <c r="H789" s="117">
        <f t="shared" si="1"/>
        <v>0</v>
      </c>
      <c r="I789" s="117">
        <f t="shared" si="2"/>
        <v>15</v>
      </c>
      <c r="J789" s="117">
        <f t="shared" si="3"/>
        <v>15.079999999999998</v>
      </c>
      <c r="K789" s="117" t="str">
        <f t="shared" si="4"/>
        <v>BR</v>
      </c>
      <c r="L789" s="42" t="str">
        <v>BR1508</v>
      </c>
      <c r="M789" s="121" t="str">
        <v/>
      </c>
      <c r="N789" s="121" t="str">
        <v/>
      </c>
      <c r="O789" s="121" t="str">
        <v/>
      </c>
      <c r="P789" s="121" t="str">
        <v/>
      </c>
      <c r="Q789" s="121" t="str">
        <v xml:space="preserve"> 5. </v>
      </c>
      <c r="R789" s="121" t="str">
        <v>Also see the Login customer requirement in the Customer Registration section.</v>
      </c>
      <c r="S789" s="121" t="str">
        <v/>
      </c>
      <c r="T789" s="119" t="str">
        <f>IF($C789&lt;4,IF($C789=3,T790,IF($C789=2,T$1,"")),Q789&amp;R789&amp;IF(LEN(S789)=0,"",Preferences!$C$2&amp;S789)&amp;IF(J790=J789,IF(LEN(R789&amp;S789)=0,"","
")&amp;T790,""))</f>
        <v xml:space="preserve"> 5. Also see the Login customer requirement in the Customer Registration section.</v>
      </c>
      <c r="U789" s="122" t="str">
        <v/>
      </c>
      <c r="V789" s="42"/>
      <c r="W789" s="42"/>
      <c r="X789" s="42"/>
      <c r="Y789" s="42"/>
      <c r="Z789" s="42"/>
      <c r="AA789" s="42"/>
      <c r="AB789" s="42"/>
    </row>
    <row r="790" spans="1:28" x14ac:dyDescent="0.25">
      <c r="A790" s="42" t="str">
        <v>1.15.9</v>
      </c>
      <c r="B790" s="121" t="str">
        <v>15.9 Maintain products wish-list</v>
      </c>
      <c r="C790" s="41">
        <v>3</v>
      </c>
      <c r="D790" s="41" t="str">
        <v>R</v>
      </c>
      <c r="E790" s="117" t="str">
        <f t="shared" si="0"/>
        <v>R</v>
      </c>
      <c r="F790" s="41" t="str">
        <v/>
      </c>
      <c r="G790" s="41" t="str">
        <v/>
      </c>
      <c r="H790" s="117">
        <f t="shared" si="1"/>
        <v>0</v>
      </c>
      <c r="I790" s="117">
        <f t="shared" si="2"/>
        <v>15</v>
      </c>
      <c r="J790" s="117">
        <f t="shared" si="3"/>
        <v>15.089999999999998</v>
      </c>
      <c r="K790" s="117" t="str">
        <f t="shared" si="4"/>
        <v>BR</v>
      </c>
      <c r="L790" s="42" t="str">
        <v>BR1509</v>
      </c>
      <c r="M790" s="121" t="str">
        <v/>
      </c>
      <c r="N790" s="121" t="str">
        <v/>
      </c>
      <c r="O790" s="121" t="str">
        <v>BR1509</v>
      </c>
      <c r="P790" s="121" t="str">
        <v>Maintain products wish-list</v>
      </c>
      <c r="Q790" s="121" t="str">
        <v/>
      </c>
      <c r="R790" s="121" t="str">
        <v/>
      </c>
      <c r="S790" s="121" t="str">
        <v/>
      </c>
      <c r="T790" s="119" t="str">
        <f>IF($C790&lt;4,IF($C790=3,T791,IF($C790=2,T$1,"")),Q790&amp;R790&amp;IF(LEN(S790)=0,"",Preferences!$C$2&amp;S790)&amp;IF(J791=J790,IF(LEN(R790&amp;S790)=0,"","
")&amp;T791,""))</f>
        <v xml:space="preserve"> 1. When selecting to view their wish-list, the products in their wish-list are presented.
	• A message is presented with the list, to explain the purpose of the wish-list to be those products the customer may want to order in future, but not regularly.
 2. The customer can unmark a product, to immediately remove it from their wish-list.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U790" s="122" t="str">
        <v/>
      </c>
      <c r="V790" s="42"/>
      <c r="W790" s="42"/>
      <c r="X790" s="42"/>
      <c r="Y790" s="42"/>
      <c r="Z790" s="42"/>
      <c r="AA790" s="42"/>
      <c r="AB790" s="42"/>
    </row>
    <row r="791" spans="1:28" x14ac:dyDescent="0.25">
      <c r="A791" s="42" t="str">
        <v>1.15.9.1</v>
      </c>
      <c r="B791" s="121" t="str">
        <v>When selecting to view their wish-list, the products in their wish-list are presented.</v>
      </c>
      <c r="C791" s="41">
        <v>4</v>
      </c>
      <c r="D791" s="41" t="str">
        <v>RD</v>
      </c>
      <c r="E791" s="117" t="str">
        <f t="shared" si="0"/>
        <v>RD</v>
      </c>
      <c r="F791" s="41" t="str">
        <v/>
      </c>
      <c r="G791" s="41" t="str">
        <v/>
      </c>
      <c r="H791" s="117">
        <f t="shared" si="1"/>
        <v>0</v>
      </c>
      <c r="I791" s="117">
        <f t="shared" si="2"/>
        <v>15</v>
      </c>
      <c r="J791" s="117">
        <f t="shared" si="3"/>
        <v>15.089999999999998</v>
      </c>
      <c r="K791" s="117" t="str">
        <f t="shared" si="4"/>
        <v>BR</v>
      </c>
      <c r="L791" s="42" t="str">
        <v>BR1509</v>
      </c>
      <c r="M791" s="121" t="str">
        <v/>
      </c>
      <c r="N791" s="121" t="str">
        <v/>
      </c>
      <c r="O791" s="121" t="str">
        <v/>
      </c>
      <c r="P791" s="121" t="str">
        <v/>
      </c>
      <c r="Q791" s="121" t="str">
        <v xml:space="preserve"> 1. </v>
      </c>
      <c r="R791" s="121" t="str">
        <v>When selecting to view their wish-list, the products in their wish-list are presented.</v>
      </c>
      <c r="S791" s="121" t="str">
        <v/>
      </c>
      <c r="T791" s="119" t="str">
        <f>IF($C791&lt;4,IF($C791=3,T792,IF($C791=2,T$1,"")),Q791&amp;R791&amp;IF(LEN(S791)=0,"",Preferences!$C$2&amp;S791)&amp;IF(J792=J791,IF(LEN(R791&amp;S791)=0,"","
")&amp;T792,""))</f>
        <v xml:space="preserve"> 1. When selecting to view their wish-list, the products in their wish-list are presented.
	• A message is presented with the list, to explain the purpose of the wish-list to be those products the customer may want to order in future, but not regularly.
 2. The customer can unmark a product, to immediately remove it from their wish-list.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U791" s="122" t="str">
        <v/>
      </c>
      <c r="V791" s="42"/>
      <c r="W791" s="42"/>
      <c r="X791" s="42"/>
      <c r="Y791" s="42"/>
      <c r="Z791" s="42"/>
      <c r="AA791" s="42"/>
      <c r="AB791" s="42"/>
    </row>
    <row r="792" spans="1:28" x14ac:dyDescent="0.25">
      <c r="A792" s="42" t="str">
        <v>1.15.9.1.1</v>
      </c>
      <c r="B792" s="121" t="str">
        <v>A message is presented with the list, to explain the purpose of the wish-list to be those products the customer may want to order in future, but not regularly.</v>
      </c>
      <c r="C792" s="41">
        <v>5</v>
      </c>
      <c r="D792" s="41" t="str">
        <v>RL</v>
      </c>
      <c r="E792" s="117" t="str">
        <f t="shared" si="0"/>
        <v>RL</v>
      </c>
      <c r="F792" s="41" t="str">
        <v/>
      </c>
      <c r="G792" s="41" t="str">
        <v/>
      </c>
      <c r="H792" s="117">
        <f t="shared" si="1"/>
        <v>0</v>
      </c>
      <c r="I792" s="117">
        <f t="shared" si="2"/>
        <v>15</v>
      </c>
      <c r="J792" s="117">
        <f t="shared" si="3"/>
        <v>15.089999999999998</v>
      </c>
      <c r="K792" s="117" t="str">
        <f t="shared" si="4"/>
        <v>BR</v>
      </c>
      <c r="L792" s="42" t="str">
        <v>BR1509</v>
      </c>
      <c r="M792" s="121" t="str">
        <v/>
      </c>
      <c r="N792" s="121" t="str">
        <v/>
      </c>
      <c r="O792" s="121" t="str">
        <v/>
      </c>
      <c r="P792" s="121" t="str">
        <v/>
      </c>
      <c r="Q792" s="121" t="str">
        <v/>
      </c>
      <c r="R792" s="121" t="str">
        <v/>
      </c>
      <c r="S792" s="121" t="str">
        <v>A message is presented with the list, to explain the purpose of the wish-list to be those products the customer may want to order in future, but not regularly.</v>
      </c>
      <c r="T792" s="119" t="str">
        <f>IF($C792&lt;4,IF($C792=3,T793,IF($C792=2,T$1,"")),Q792&amp;R792&amp;IF(LEN(S792)=0,"",Preferences!$C$2&amp;S792)&amp;IF(J793=J792,IF(LEN(R792&amp;S792)=0,"","
")&amp;T793,""))</f>
        <v xml:space="preserve">	• A message is presented with the list, to explain the purpose of the wish-list to be those products the customer may want to order in future, but not regularly.
 2. The customer can unmark a product, to immediately remove it from their wish-list.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U792" s="122" t="str">
        <v/>
      </c>
      <c r="V792" s="42"/>
      <c r="W792" s="42"/>
      <c r="X792" s="42"/>
      <c r="Y792" s="42"/>
      <c r="Z792" s="42"/>
      <c r="AA792" s="42"/>
      <c r="AB792" s="42"/>
    </row>
    <row r="793" spans="1:28" x14ac:dyDescent="0.25">
      <c r="A793" s="42" t="str">
        <v>1.15.9.2</v>
      </c>
      <c r="B793" s="121" t="str">
        <v>The customer can unmark a product, to immediately remove it from their wish-list.</v>
      </c>
      <c r="C793" s="41">
        <v>4</v>
      </c>
      <c r="D793" s="41" t="str">
        <v>RD</v>
      </c>
      <c r="E793" s="117" t="str">
        <f t="shared" si="0"/>
        <v>RD</v>
      </c>
      <c r="F793" s="41" t="str">
        <v/>
      </c>
      <c r="G793" s="41" t="str">
        <v/>
      </c>
      <c r="H793" s="117">
        <f t="shared" si="1"/>
        <v>0</v>
      </c>
      <c r="I793" s="117">
        <f t="shared" si="2"/>
        <v>15</v>
      </c>
      <c r="J793" s="117">
        <f t="shared" si="3"/>
        <v>15.089999999999998</v>
      </c>
      <c r="K793" s="117" t="str">
        <f t="shared" si="4"/>
        <v>BR</v>
      </c>
      <c r="L793" s="42" t="str">
        <v>BR1509</v>
      </c>
      <c r="M793" s="121" t="str">
        <v/>
      </c>
      <c r="N793" s="121" t="str">
        <v/>
      </c>
      <c r="O793" s="121" t="str">
        <v/>
      </c>
      <c r="P793" s="121" t="str">
        <v/>
      </c>
      <c r="Q793" s="121" t="str">
        <v xml:space="preserve"> 2. </v>
      </c>
      <c r="R793" s="121" t="str">
        <v>The customer can unmark a product, to immediately remove it from their wish-list.</v>
      </c>
      <c r="S793" s="121" t="str">
        <v/>
      </c>
      <c r="T793" s="119" t="str">
        <f>IF($C793&lt;4,IF($C793=3,T794,IF($C793=2,T$1,"")),Q793&amp;R793&amp;IF(LEN(S793)=0,"",Preferences!$C$2&amp;S793)&amp;IF(J794=J793,IF(LEN(R793&amp;S793)=0,"","
")&amp;T794,""))</f>
        <v xml:space="preserve"> 2. The customer can unmark a product, to immediately remove it from their wish-list.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U793" s="122" t="str">
        <v/>
      </c>
      <c r="V793" s="42"/>
      <c r="W793" s="42"/>
      <c r="X793" s="42"/>
      <c r="Y793" s="42"/>
      <c r="Z793" s="42"/>
      <c r="AA793" s="42"/>
      <c r="AB793" s="42"/>
    </row>
    <row r="794" spans="1:28" x14ac:dyDescent="0.25">
      <c r="A794" s="42" t="str">
        <v>1.15.9.3</v>
      </c>
      <c r="B794" s="121" t="str">
        <v>A customer can add/remove a product to their wish-list, as detailed in the Add a product to the favourites or wish-list requirement of the User Navigation section.</v>
      </c>
      <c r="C794" s="41">
        <v>4</v>
      </c>
      <c r="D794" s="41" t="str">
        <v>RD</v>
      </c>
      <c r="E794" s="117" t="str">
        <f t="shared" si="0"/>
        <v>RD</v>
      </c>
      <c r="F794" s="41" t="str">
        <v/>
      </c>
      <c r="G794" s="41" t="str">
        <v/>
      </c>
      <c r="H794" s="117">
        <f t="shared" si="1"/>
        <v>0</v>
      </c>
      <c r="I794" s="117">
        <f t="shared" si="2"/>
        <v>15</v>
      </c>
      <c r="J794" s="117">
        <f t="shared" si="3"/>
        <v>15.089999999999998</v>
      </c>
      <c r="K794" s="117" t="str">
        <f t="shared" si="4"/>
        <v>BR</v>
      </c>
      <c r="L794" s="42" t="str">
        <v>BR1509</v>
      </c>
      <c r="M794" s="121" t="str">
        <v/>
      </c>
      <c r="N794" s="121" t="str">
        <v/>
      </c>
      <c r="O794" s="121" t="str">
        <v/>
      </c>
      <c r="P794" s="121" t="str">
        <v/>
      </c>
      <c r="Q794" s="121" t="str">
        <v xml:space="preserve"> 3. </v>
      </c>
      <c r="R794" s="121" t="str">
        <v>A customer can add/remove a product to their wish-list, as detailed in the Add a product to the favourites or wish-list requirement of the User Navigation section.</v>
      </c>
      <c r="S794" s="121" t="str">
        <v/>
      </c>
      <c r="T794" s="119" t="str">
        <f>IF($C794&lt;4,IF($C794=3,T795,IF($C794=2,T$1,"")),Q794&amp;R794&amp;IF(LEN(S794)=0,"",Preferences!$C$2&amp;S794)&amp;IF(J795=J794,IF(LEN(R794&amp;S794)=0,"","
")&amp;T795,""))</f>
        <v xml:space="preserve"> 3. A customer can add/remove a product to their wish-list, as detailed in the Add a product to the favourites or wish-list requirement of the User Navigation section.
 4. A customer can add a specific/selected products from their wish-list to their shopping cart.
 5. Also see the Login customer requirement in the Customer Registration section.</v>
      </c>
      <c r="U794" s="122" t="str">
        <v/>
      </c>
      <c r="V794" s="42"/>
      <c r="W794" s="42"/>
      <c r="X794" s="42"/>
      <c r="Y794" s="42"/>
      <c r="Z794" s="42"/>
      <c r="AA794" s="42"/>
      <c r="AB794" s="42"/>
    </row>
    <row r="795" spans="1:28" x14ac:dyDescent="0.25">
      <c r="A795" s="42" t="str">
        <v>1.15.9.4</v>
      </c>
      <c r="B795" s="121" t="str">
        <v>A customer can add a specific/selected products from their wish-list to their shopping cart.</v>
      </c>
      <c r="C795" s="41">
        <v>4</v>
      </c>
      <c r="D795" s="41" t="str">
        <v>RD</v>
      </c>
      <c r="E795" s="117" t="str">
        <f t="shared" si="0"/>
        <v>RD</v>
      </c>
      <c r="F795" s="41" t="str">
        <v/>
      </c>
      <c r="G795" s="41" t="str">
        <v/>
      </c>
      <c r="H795" s="117">
        <f t="shared" si="1"/>
        <v>0</v>
      </c>
      <c r="I795" s="117">
        <f t="shared" si="2"/>
        <v>15</v>
      </c>
      <c r="J795" s="117">
        <f t="shared" si="3"/>
        <v>15.089999999999998</v>
      </c>
      <c r="K795" s="117" t="str">
        <f t="shared" si="4"/>
        <v>BR</v>
      </c>
      <c r="L795" s="42" t="str">
        <v>BR1509</v>
      </c>
      <c r="M795" s="121" t="str">
        <v/>
      </c>
      <c r="N795" s="121" t="str">
        <v/>
      </c>
      <c r="O795" s="121" t="str">
        <v/>
      </c>
      <c r="P795" s="121" t="str">
        <v/>
      </c>
      <c r="Q795" s="121" t="str">
        <v xml:space="preserve"> 4. </v>
      </c>
      <c r="R795" s="121" t="str">
        <v>A customer can add a specific/selected products from their wish-list to their shopping cart.</v>
      </c>
      <c r="S795" s="121" t="str">
        <v/>
      </c>
      <c r="T795" s="119" t="str">
        <f>IF($C795&lt;4,IF($C795=3,T796,IF($C795=2,T$1,"")),Q795&amp;R795&amp;IF(LEN(S795)=0,"",Preferences!$C$2&amp;S795)&amp;IF(J796=J795,IF(LEN(R795&amp;S795)=0,"","
")&amp;T796,""))</f>
        <v xml:space="preserve"> 4. A customer can add a specific/selected products from their wish-list to their shopping cart.
 5. Also see the Login customer requirement in the Customer Registration section.</v>
      </c>
      <c r="U795" s="122" t="str">
        <v/>
      </c>
      <c r="V795" s="42"/>
      <c r="W795" s="42"/>
      <c r="X795" s="42"/>
      <c r="Y795" s="42"/>
      <c r="Z795" s="42"/>
      <c r="AA795" s="42"/>
      <c r="AB795" s="42"/>
    </row>
    <row r="796" spans="1:28" x14ac:dyDescent="0.25">
      <c r="A796" s="42" t="str">
        <v>1.15.9.5</v>
      </c>
      <c r="B796" s="121" t="str">
        <v>Also see the Login customer requirement in the Customer Registration section.</v>
      </c>
      <c r="C796" s="41">
        <v>4</v>
      </c>
      <c r="D796" s="41" t="str">
        <v>RD</v>
      </c>
      <c r="E796" s="117" t="str">
        <f t="shared" si="0"/>
        <v>RD</v>
      </c>
      <c r="F796" s="41" t="str">
        <v/>
      </c>
      <c r="G796" s="41" t="str">
        <v/>
      </c>
      <c r="H796" s="117">
        <f t="shared" si="1"/>
        <v>0</v>
      </c>
      <c r="I796" s="117">
        <f t="shared" si="2"/>
        <v>15</v>
      </c>
      <c r="J796" s="117">
        <f t="shared" si="3"/>
        <v>15.089999999999998</v>
      </c>
      <c r="K796" s="117" t="str">
        <f t="shared" si="4"/>
        <v>BR</v>
      </c>
      <c r="L796" s="42" t="str">
        <v>BR1509</v>
      </c>
      <c r="M796" s="121" t="str">
        <v/>
      </c>
      <c r="N796" s="121" t="str">
        <v/>
      </c>
      <c r="O796" s="121" t="str">
        <v/>
      </c>
      <c r="P796" s="121" t="str">
        <v/>
      </c>
      <c r="Q796" s="121" t="str">
        <v xml:space="preserve"> 5. </v>
      </c>
      <c r="R796" s="121" t="str">
        <v>Also see the Login customer requirement in the Customer Registration section.</v>
      </c>
      <c r="S796" s="121" t="str">
        <v/>
      </c>
      <c r="T796" s="119" t="str">
        <f>IF($C796&lt;4,IF($C796=3,T797,IF($C796=2,T$1,"")),Q796&amp;R796&amp;IF(LEN(S796)=0,"",Preferences!$C$2&amp;S796)&amp;IF(J797=J796,IF(LEN(R796&amp;S796)=0,"","
")&amp;T797,""))</f>
        <v xml:space="preserve"> 5. Also see the Login customer requirement in the Customer Registration section.</v>
      </c>
      <c r="U796" s="122" t="str">
        <v/>
      </c>
      <c r="V796" s="42"/>
      <c r="W796" s="42"/>
      <c r="X796" s="42"/>
      <c r="Y796" s="42"/>
      <c r="Z796" s="42"/>
      <c r="AA796" s="42"/>
      <c r="AB796" s="42"/>
    </row>
    <row r="797" spans="1:28" x14ac:dyDescent="0.25">
      <c r="A797" s="42" t="str">
        <v>1.15.10</v>
      </c>
      <c r="B797" s="121" t="str">
        <v>15.10 Maintain articles library</v>
      </c>
      <c r="C797" s="41">
        <v>3</v>
      </c>
      <c r="D797" s="41" t="str">
        <v>R</v>
      </c>
      <c r="E797" s="117" t="str">
        <f t="shared" si="0"/>
        <v>R</v>
      </c>
      <c r="F797" s="41" t="str">
        <v/>
      </c>
      <c r="G797" s="41" t="str">
        <v/>
      </c>
      <c r="H797" s="117">
        <f t="shared" si="1"/>
        <v>0</v>
      </c>
      <c r="I797" s="117">
        <f t="shared" si="2"/>
        <v>15</v>
      </c>
      <c r="J797" s="117">
        <f t="shared" si="3"/>
        <v>15.099999999999998</v>
      </c>
      <c r="K797" s="117" t="str">
        <f t="shared" si="4"/>
        <v>BR</v>
      </c>
      <c r="L797" s="42" t="str">
        <v>BR1510</v>
      </c>
      <c r="M797" s="121" t="str">
        <v/>
      </c>
      <c r="N797" s="121" t="str">
        <v/>
      </c>
      <c r="O797" s="121" t="str">
        <v>BR1510</v>
      </c>
      <c r="P797" s="121" t="str">
        <v>Maintain articles library</v>
      </c>
      <c r="Q797" s="121" t="str">
        <v/>
      </c>
      <c r="R797" s="121" t="str">
        <v/>
      </c>
      <c r="S797" s="121" t="str">
        <v/>
      </c>
      <c r="T797" s="119" t="str">
        <f>IF($C797&lt;4,IF($C797=3,T798,IF($C797=2,T$1,"")),Q797&amp;R797&amp;IF(LEN(S797)=0,"",Preferences!$C$2&amp;S797)&amp;IF(J798=J797,IF(LEN(R797&amp;S797)=0,"","
")&amp;T798,""))</f>
        <v xml:space="preserve"> 1. When selecting to view their articles library, the articles in their favourite articles list are presented.
	• A message is presented with the list, to explain the value of and encourage the customer to often explore and add articles to their articles library.
 2. The customer can unmark an article, to immediately remove it from their articles library.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797" s="122" t="str">
        <v/>
      </c>
      <c r="V797" s="42"/>
      <c r="W797" s="42"/>
      <c r="X797" s="42"/>
      <c r="Y797" s="42"/>
      <c r="Z797" s="42"/>
      <c r="AA797" s="42"/>
      <c r="AB797" s="42"/>
    </row>
    <row r="798" spans="1:28" x14ac:dyDescent="0.25">
      <c r="A798" s="42" t="str">
        <v>1.15.10.1</v>
      </c>
      <c r="B798" s="121" t="str">
        <v>When selecting to view their articles library, the articles in their favourite articles list are presented.</v>
      </c>
      <c r="C798" s="41">
        <v>4</v>
      </c>
      <c r="D798" s="41" t="str">
        <v>RD</v>
      </c>
      <c r="E798" s="117" t="str">
        <f t="shared" si="0"/>
        <v>RD</v>
      </c>
      <c r="F798" s="41" t="str">
        <v/>
      </c>
      <c r="G798" s="41" t="str">
        <v/>
      </c>
      <c r="H798" s="117">
        <f t="shared" si="1"/>
        <v>0</v>
      </c>
      <c r="I798" s="117">
        <f t="shared" si="2"/>
        <v>15</v>
      </c>
      <c r="J798" s="117">
        <f t="shared" si="3"/>
        <v>15.099999999999998</v>
      </c>
      <c r="K798" s="117" t="str">
        <f t="shared" si="4"/>
        <v>BR</v>
      </c>
      <c r="L798" s="42" t="str">
        <v>BR1510</v>
      </c>
      <c r="M798" s="121" t="str">
        <v/>
      </c>
      <c r="N798" s="121" t="str">
        <v/>
      </c>
      <c r="O798" s="121" t="str">
        <v/>
      </c>
      <c r="P798" s="121" t="str">
        <v/>
      </c>
      <c r="Q798" s="121" t="str">
        <v xml:space="preserve"> 1. </v>
      </c>
      <c r="R798" s="121" t="str">
        <v>When selecting to view their articles library, the articles in their favourite articles list are presented.</v>
      </c>
      <c r="S798" s="121" t="str">
        <v/>
      </c>
      <c r="T798" s="119" t="str">
        <f>IF($C798&lt;4,IF($C798=3,T799,IF($C798=2,T$1,"")),Q798&amp;R798&amp;IF(LEN(S798)=0,"",Preferences!$C$2&amp;S798)&amp;IF(J799=J798,IF(LEN(R798&amp;S798)=0,"","
")&amp;T799,""))</f>
        <v xml:space="preserve"> 1. When selecting to view their articles library, the articles in their favourite articles list are presented.
	• A message is presented with the list, to explain the value of and encourage the customer to often explore and add articles to their articles library.
 2. The customer can unmark an article, to immediately remove it from their articles library.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798" s="122" t="str">
        <v/>
      </c>
      <c r="V798" s="42"/>
      <c r="W798" s="42"/>
      <c r="X798" s="42"/>
      <c r="Y798" s="42"/>
      <c r="Z798" s="42"/>
      <c r="AA798" s="42"/>
      <c r="AB798" s="42"/>
    </row>
    <row r="799" spans="1:28" x14ac:dyDescent="0.25">
      <c r="A799" s="42" t="str">
        <v>1.15.10.1.1</v>
      </c>
      <c r="B799" s="121" t="str">
        <v>A message is presented with the list, to explain the value of and encourage the customer to often explore and add articles to their articles library.</v>
      </c>
      <c r="C799" s="41">
        <v>5</v>
      </c>
      <c r="D799" s="41" t="str">
        <v>RL</v>
      </c>
      <c r="E799" s="117" t="str">
        <f t="shared" si="0"/>
        <v>RL</v>
      </c>
      <c r="F799" s="41" t="str">
        <v/>
      </c>
      <c r="G799" s="41" t="str">
        <v/>
      </c>
      <c r="H799" s="117">
        <f t="shared" si="1"/>
        <v>0</v>
      </c>
      <c r="I799" s="117">
        <f t="shared" si="2"/>
        <v>15</v>
      </c>
      <c r="J799" s="117">
        <f t="shared" si="3"/>
        <v>15.099999999999998</v>
      </c>
      <c r="K799" s="117" t="str">
        <f t="shared" si="4"/>
        <v>BR</v>
      </c>
      <c r="L799" s="42" t="str">
        <v>BR1510</v>
      </c>
      <c r="M799" s="121" t="str">
        <v/>
      </c>
      <c r="N799" s="121" t="str">
        <v/>
      </c>
      <c r="O799" s="121" t="str">
        <v/>
      </c>
      <c r="P799" s="121" t="str">
        <v/>
      </c>
      <c r="Q799" s="121" t="str">
        <v/>
      </c>
      <c r="R799" s="121" t="str">
        <v/>
      </c>
      <c r="S799" s="121" t="str">
        <v>A message is presented with the list, to explain the value of and encourage the customer to often explore and add articles to their articles library.</v>
      </c>
      <c r="T799" s="119" t="str">
        <f>IF($C799&lt;4,IF($C799=3,T800,IF($C799=2,T$1,"")),Q799&amp;R799&amp;IF(LEN(S799)=0,"",Preferences!$C$2&amp;S799)&amp;IF(J800=J799,IF(LEN(R799&amp;S799)=0,"","
")&amp;T800,""))</f>
        <v xml:space="preserve">	• A message is presented with the list, to explain the value of and encourage the customer to often explore and add articles to their articles library.
 2. The customer can unmark an article, to immediately remove it from their articles library.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799" s="122" t="str">
        <v/>
      </c>
      <c r="V799" s="42"/>
      <c r="W799" s="42"/>
      <c r="X799" s="42"/>
      <c r="Y799" s="42"/>
      <c r="Z799" s="42"/>
      <c r="AA799" s="42"/>
      <c r="AB799" s="42"/>
    </row>
    <row r="800" spans="1:28" x14ac:dyDescent="0.25">
      <c r="A800" s="42" t="str">
        <v>1.15.10.2</v>
      </c>
      <c r="B800" s="121" t="str">
        <v>The customer can unmark an article, to immediately remove it from their articles library.</v>
      </c>
      <c r="C800" s="41">
        <v>4</v>
      </c>
      <c r="D800" s="41" t="str">
        <v>RD</v>
      </c>
      <c r="E800" s="117" t="str">
        <f t="shared" si="0"/>
        <v>RD</v>
      </c>
      <c r="F800" s="41" t="str">
        <v/>
      </c>
      <c r="G800" s="41" t="str">
        <v/>
      </c>
      <c r="H800" s="117">
        <f t="shared" si="1"/>
        <v>0</v>
      </c>
      <c r="I800" s="117">
        <f t="shared" si="2"/>
        <v>15</v>
      </c>
      <c r="J800" s="117">
        <f t="shared" si="3"/>
        <v>15.099999999999998</v>
      </c>
      <c r="K800" s="117" t="str">
        <f t="shared" si="4"/>
        <v>BR</v>
      </c>
      <c r="L800" s="42" t="str">
        <v>BR1510</v>
      </c>
      <c r="M800" s="121" t="str">
        <v/>
      </c>
      <c r="N800" s="121" t="str">
        <v/>
      </c>
      <c r="O800" s="121" t="str">
        <v/>
      </c>
      <c r="P800" s="121" t="str">
        <v/>
      </c>
      <c r="Q800" s="121" t="str">
        <v xml:space="preserve"> 2. </v>
      </c>
      <c r="R800" s="121" t="str">
        <v>The customer can unmark an article, to immediately remove it from their articles library.</v>
      </c>
      <c r="S800" s="121" t="str">
        <v/>
      </c>
      <c r="T800" s="119" t="str">
        <f>IF($C800&lt;4,IF($C800=3,T801,IF($C800=2,T$1,"")),Q800&amp;R800&amp;IF(LEN(S800)=0,"",Preferences!$C$2&amp;S800)&amp;IF(J801=J800,IF(LEN(R800&amp;S800)=0,"","
")&amp;T801,""))</f>
        <v xml:space="preserve"> 2. The customer can unmark an article, to immediately remove it from their articles library.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800" s="122" t="str">
        <v/>
      </c>
      <c r="V800" s="42"/>
      <c r="W800" s="42"/>
      <c r="X800" s="42"/>
      <c r="Y800" s="42"/>
      <c r="Z800" s="42"/>
      <c r="AA800" s="42"/>
      <c r="AB800" s="42"/>
    </row>
    <row r="801" spans="1:28" x14ac:dyDescent="0.25">
      <c r="A801" s="42" t="str">
        <v>1.15.10.3</v>
      </c>
      <c r="B801" s="121" t="str">
        <v>A customer can add an article to their library:</v>
      </c>
      <c r="C801" s="41">
        <v>4</v>
      </c>
      <c r="D801" s="41" t="str">
        <v>RD</v>
      </c>
      <c r="E801" s="117" t="str">
        <f t="shared" si="0"/>
        <v>RD</v>
      </c>
      <c r="F801" s="41" t="str">
        <v/>
      </c>
      <c r="G801" s="41" t="str">
        <v/>
      </c>
      <c r="H801" s="117">
        <f t="shared" si="1"/>
        <v>0</v>
      </c>
      <c r="I801" s="117">
        <f t="shared" si="2"/>
        <v>15</v>
      </c>
      <c r="J801" s="117">
        <f t="shared" si="3"/>
        <v>15.099999999999998</v>
      </c>
      <c r="K801" s="117" t="str">
        <f t="shared" si="4"/>
        <v>BR</v>
      </c>
      <c r="L801" s="42" t="str">
        <v>BR1510</v>
      </c>
      <c r="M801" s="121" t="str">
        <v/>
      </c>
      <c r="N801" s="121" t="str">
        <v/>
      </c>
      <c r="O801" s="121" t="str">
        <v/>
      </c>
      <c r="P801" s="121" t="str">
        <v/>
      </c>
      <c r="Q801" s="121" t="str">
        <v xml:space="preserve"> 3. </v>
      </c>
      <c r="R801" s="121" t="str">
        <v>A customer can add an article to their library:</v>
      </c>
      <c r="S801" s="121" t="str">
        <v/>
      </c>
      <c r="T801" s="119" t="str">
        <f>IF($C801&lt;4,IF($C801=3,T802,IF($C801=2,T$1,"")),Q801&amp;R801&amp;IF(LEN(S801)=0,"",Preferences!$C$2&amp;S801)&amp;IF(J802=J801,IF(LEN(R801&amp;S801)=0,"","
")&amp;T802,""))</f>
        <v xml:space="preserve"> 3. A customer can add an article to their library: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801" s="122" t="str">
        <v/>
      </c>
      <c r="V801" s="42"/>
      <c r="W801" s="42"/>
      <c r="X801" s="42"/>
      <c r="Y801" s="42"/>
      <c r="Z801" s="42"/>
      <c r="AA801" s="42"/>
      <c r="AB801" s="42"/>
    </row>
    <row r="802" spans="1:28" x14ac:dyDescent="0.25">
      <c r="A802" s="42" t="str">
        <v>1.15.10.3.1</v>
      </c>
      <c r="B802" s="121" t="str">
        <v>From article search results</v>
      </c>
      <c r="C802" s="41">
        <v>5</v>
      </c>
      <c r="D802" s="41" t="str">
        <v>RL</v>
      </c>
      <c r="E802" s="117" t="str">
        <f t="shared" si="0"/>
        <v>RL</v>
      </c>
      <c r="F802" s="41" t="str">
        <v/>
      </c>
      <c r="G802" s="41" t="str">
        <v/>
      </c>
      <c r="H802" s="117">
        <f t="shared" si="1"/>
        <v>0</v>
      </c>
      <c r="I802" s="117">
        <f t="shared" si="2"/>
        <v>15</v>
      </c>
      <c r="J802" s="117">
        <f t="shared" si="3"/>
        <v>15.099999999999998</v>
      </c>
      <c r="K802" s="117" t="str">
        <f t="shared" si="4"/>
        <v>BR</v>
      </c>
      <c r="L802" s="42" t="str">
        <v>BR1510</v>
      </c>
      <c r="M802" s="121" t="str">
        <v/>
      </c>
      <c r="N802" s="121" t="str">
        <v/>
      </c>
      <c r="O802" s="121" t="str">
        <v/>
      </c>
      <c r="P802" s="121" t="str">
        <v/>
      </c>
      <c r="Q802" s="121" t="str">
        <v/>
      </c>
      <c r="R802" s="121" t="str">
        <v/>
      </c>
      <c r="S802" s="121" t="str">
        <v>From article search results</v>
      </c>
      <c r="T802" s="119" t="str">
        <f>IF($C802&lt;4,IF($C802=3,T803,IF($C802=2,T$1,"")),Q802&amp;R802&amp;IF(LEN(S802)=0,"",Preferences!$C$2&amp;S802)&amp;IF(J803=J802,IF(LEN(R802&amp;S802)=0,"","
")&amp;T803,""))</f>
        <v xml:space="preserve">	• From article search results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802" s="122" t="str">
        <v/>
      </c>
      <c r="V802" s="42"/>
      <c r="W802" s="42"/>
      <c r="X802" s="42"/>
      <c r="Y802" s="42"/>
      <c r="Z802" s="42"/>
      <c r="AA802" s="42"/>
      <c r="AB802" s="42"/>
    </row>
    <row r="803" spans="1:28" x14ac:dyDescent="0.25">
      <c r="A803" s="42" t="str">
        <v>1.15.10.3.2</v>
      </c>
      <c r="B803" s="121" t="str">
        <v>From a promoted article</v>
      </c>
      <c r="C803" s="41">
        <v>5</v>
      </c>
      <c r="D803" s="41" t="str">
        <v>RL</v>
      </c>
      <c r="E803" s="117" t="str">
        <f t="shared" si="0"/>
        <v>RL</v>
      </c>
      <c r="F803" s="41" t="str">
        <v/>
      </c>
      <c r="G803" s="41" t="str">
        <v/>
      </c>
      <c r="H803" s="117">
        <f t="shared" si="1"/>
        <v>0</v>
      </c>
      <c r="I803" s="117">
        <f t="shared" si="2"/>
        <v>15</v>
      </c>
      <c r="J803" s="117">
        <f t="shared" si="3"/>
        <v>15.099999999999998</v>
      </c>
      <c r="K803" s="117" t="str">
        <f t="shared" si="4"/>
        <v>BR</v>
      </c>
      <c r="L803" s="42" t="str">
        <v>BR1510</v>
      </c>
      <c r="M803" s="121" t="str">
        <v/>
      </c>
      <c r="N803" s="121" t="str">
        <v/>
      </c>
      <c r="O803" s="121" t="str">
        <v/>
      </c>
      <c r="P803" s="121" t="str">
        <v/>
      </c>
      <c r="Q803" s="121" t="str">
        <v/>
      </c>
      <c r="R803" s="121" t="str">
        <v/>
      </c>
      <c r="S803" s="121" t="str">
        <v>From a promoted article</v>
      </c>
      <c r="T803" s="119" t="str">
        <f>IF($C803&lt;4,IF($C803=3,T804,IF($C803=2,T$1,"")),Q803&amp;R803&amp;IF(LEN(S803)=0,"",Preferences!$C$2&amp;S803)&amp;IF(J804=J803,IF(LEN(R803&amp;S803)=0,"","
")&amp;T804,""))</f>
        <v xml:space="preserve">	• From a promoted article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803" s="122" t="str">
        <v/>
      </c>
      <c r="V803" s="42"/>
      <c r="W803" s="42"/>
      <c r="X803" s="42"/>
      <c r="Y803" s="42"/>
      <c r="Z803" s="42"/>
      <c r="AA803" s="42"/>
      <c r="AB803" s="42"/>
    </row>
    <row r="804" spans="1:28" x14ac:dyDescent="0.25">
      <c r="A804" s="42" t="str">
        <v>1.15.10.3.3</v>
      </c>
      <c r="B804" s="121" t="str">
        <v>When viewing an article full details</v>
      </c>
      <c r="C804" s="41">
        <v>5</v>
      </c>
      <c r="D804" s="41" t="str">
        <v>RL</v>
      </c>
      <c r="E804" s="117" t="str">
        <f t="shared" si="0"/>
        <v>RL</v>
      </c>
      <c r="F804" s="41" t="str">
        <v/>
      </c>
      <c r="G804" s="41" t="str">
        <v/>
      </c>
      <c r="H804" s="117">
        <f t="shared" si="1"/>
        <v>0</v>
      </c>
      <c r="I804" s="117">
        <f t="shared" si="2"/>
        <v>15</v>
      </c>
      <c r="J804" s="117">
        <f t="shared" si="3"/>
        <v>15.099999999999998</v>
      </c>
      <c r="K804" s="117" t="str">
        <f t="shared" si="4"/>
        <v>BR</v>
      </c>
      <c r="L804" s="42" t="str">
        <v>BR1510</v>
      </c>
      <c r="M804" s="121" t="str">
        <v/>
      </c>
      <c r="N804" s="121" t="str">
        <v/>
      </c>
      <c r="O804" s="121" t="str">
        <v/>
      </c>
      <c r="P804" s="121" t="str">
        <v/>
      </c>
      <c r="Q804" s="121" t="str">
        <v/>
      </c>
      <c r="R804" s="121" t="str">
        <v/>
      </c>
      <c r="S804" s="121" t="str">
        <v>When viewing an article full details</v>
      </c>
      <c r="T804" s="119" t="str">
        <f>IF($C804&lt;4,IF($C804=3,T805,IF($C804=2,T$1,"")),Q804&amp;R804&amp;IF(LEN(S804)=0,"",Preferences!$C$2&amp;S804)&amp;IF(J805=J804,IF(LEN(R804&amp;S804)=0,"","
")&amp;T805,""))</f>
        <v xml:space="preserve">	• When viewing an article full details
	• Possibly, using a special one-time link embedded with an article presented in a personalised email.
	• This will redirect the customer to a confirmation page for adding the article.
 4. Also see the Login customer requirement in the Customer Registration section.</v>
      </c>
      <c r="U804" s="122" t="str">
        <v/>
      </c>
      <c r="V804" s="42"/>
      <c r="W804" s="42"/>
      <c r="X804" s="42"/>
      <c r="Y804" s="42"/>
      <c r="Z804" s="42"/>
      <c r="AA804" s="42"/>
      <c r="AB804" s="42"/>
    </row>
    <row r="805" spans="1:28" x14ac:dyDescent="0.25">
      <c r="A805" s="42" t="str">
        <v>1.15.10.3.4</v>
      </c>
      <c r="B805" s="121" t="str">
        <v>Possibly, using a special one-time link embedded with an article presented in a personalised email.</v>
      </c>
      <c r="C805" s="41">
        <v>5</v>
      </c>
      <c r="D805" s="41" t="str">
        <v>RL</v>
      </c>
      <c r="E805" s="117" t="str">
        <f t="shared" si="0"/>
        <v>RL</v>
      </c>
      <c r="F805" s="41" t="str">
        <v/>
      </c>
      <c r="G805" s="41" t="str">
        <v/>
      </c>
      <c r="H805" s="117">
        <f t="shared" si="1"/>
        <v>0</v>
      </c>
      <c r="I805" s="117">
        <f t="shared" si="2"/>
        <v>15</v>
      </c>
      <c r="J805" s="117">
        <f t="shared" si="3"/>
        <v>15.099999999999998</v>
      </c>
      <c r="K805" s="117" t="str">
        <f t="shared" si="4"/>
        <v>BR</v>
      </c>
      <c r="L805" s="42" t="str">
        <v>BR1510</v>
      </c>
      <c r="M805" s="121" t="str">
        <v/>
      </c>
      <c r="N805" s="121" t="str">
        <v/>
      </c>
      <c r="O805" s="121" t="str">
        <v/>
      </c>
      <c r="P805" s="121" t="str">
        <v/>
      </c>
      <c r="Q805" s="121" t="str">
        <v/>
      </c>
      <c r="R805" s="121" t="str">
        <v/>
      </c>
      <c r="S805" s="121" t="str">
        <v>Possibly, using a special one-time link embedded with an article presented in a personalised email.</v>
      </c>
      <c r="T805" s="119" t="str">
        <f>IF($C805&lt;4,IF($C805=3,T806,IF($C805=2,T$1,"")),Q805&amp;R805&amp;IF(LEN(S805)=0,"",Preferences!$C$2&amp;S805)&amp;IF(J806=J805,IF(LEN(R805&amp;S805)=0,"","
")&amp;T806,""))</f>
        <v xml:space="preserve">	• Possibly, using a special one-time link embedded with an article presented in a personalised email.
	• This will redirect the customer to a confirmation page for adding the article.
 4. Also see the Login customer requirement in the Customer Registration section.</v>
      </c>
      <c r="U805" s="122" t="str">
        <v/>
      </c>
      <c r="V805" s="42"/>
      <c r="W805" s="42"/>
      <c r="X805" s="42"/>
      <c r="Y805" s="42"/>
      <c r="Z805" s="42"/>
      <c r="AA805" s="42"/>
      <c r="AB805" s="42"/>
    </row>
    <row r="806" spans="1:28" x14ac:dyDescent="0.25">
      <c r="A806" s="42" t="str">
        <v>1.15.10.3.4.1</v>
      </c>
      <c r="B806" s="121" t="str">
        <v>This will redirect the customer to a confirmation page for adding the article.</v>
      </c>
      <c r="C806" s="41">
        <v>6</v>
      </c>
      <c r="D806" s="41" t="str">
        <v>RL</v>
      </c>
      <c r="E806" s="117" t="str">
        <f t="shared" si="0"/>
        <v>RL</v>
      </c>
      <c r="F806" s="41" t="str">
        <v/>
      </c>
      <c r="G806" s="41" t="str">
        <v/>
      </c>
      <c r="H806" s="117">
        <f t="shared" si="1"/>
        <v>0</v>
      </c>
      <c r="I806" s="117">
        <f t="shared" si="2"/>
        <v>15</v>
      </c>
      <c r="J806" s="117">
        <f t="shared" si="3"/>
        <v>15.099999999999998</v>
      </c>
      <c r="K806" s="117" t="str">
        <f t="shared" si="4"/>
        <v>BR</v>
      </c>
      <c r="L806" s="42" t="str">
        <v>BR1510</v>
      </c>
      <c r="M806" s="121" t="str">
        <v/>
      </c>
      <c r="N806" s="121" t="str">
        <v/>
      </c>
      <c r="O806" s="121" t="str">
        <v/>
      </c>
      <c r="P806" s="121" t="str">
        <v/>
      </c>
      <c r="Q806" s="121" t="str">
        <v/>
      </c>
      <c r="R806" s="121" t="str">
        <v/>
      </c>
      <c r="S806" s="121" t="str">
        <v>This will redirect the customer to a confirmation page for adding the article.</v>
      </c>
      <c r="T806" s="119" t="str">
        <f>IF($C806&lt;4,IF($C806=3,T807,IF($C806=2,T$1,"")),Q806&amp;R806&amp;IF(LEN(S806)=0,"",Preferences!$C$2&amp;S806)&amp;IF(J807=J806,IF(LEN(R806&amp;S806)=0,"","
")&amp;T807,""))</f>
        <v xml:space="preserve">	• This will redirect the customer to a confirmation page for adding the article.
 4. Also see the Login customer requirement in the Customer Registration section.</v>
      </c>
      <c r="U806" s="122" t="str">
        <v/>
      </c>
      <c r="V806" s="42"/>
      <c r="W806" s="42"/>
      <c r="X806" s="42"/>
      <c r="Y806" s="42"/>
      <c r="Z806" s="42"/>
      <c r="AA806" s="42"/>
      <c r="AB806" s="42"/>
    </row>
    <row r="807" spans="1:28" x14ac:dyDescent="0.25">
      <c r="A807" s="42" t="str">
        <v>1.15.10.4</v>
      </c>
      <c r="B807" s="121" t="str">
        <v>Also see the Login customer requirement in the Customer Registration section.</v>
      </c>
      <c r="C807" s="41">
        <v>4</v>
      </c>
      <c r="D807" s="41" t="str">
        <v>RD</v>
      </c>
      <c r="E807" s="117" t="str">
        <f t="shared" si="0"/>
        <v>RD</v>
      </c>
      <c r="F807" s="41" t="str">
        <v/>
      </c>
      <c r="G807" s="41" t="str">
        <v/>
      </c>
      <c r="H807" s="117">
        <f t="shared" si="1"/>
        <v>0</v>
      </c>
      <c r="I807" s="117">
        <f t="shared" si="2"/>
        <v>15</v>
      </c>
      <c r="J807" s="117">
        <f t="shared" si="3"/>
        <v>15.099999999999998</v>
      </c>
      <c r="K807" s="117" t="str">
        <f t="shared" si="4"/>
        <v>BR</v>
      </c>
      <c r="L807" s="42" t="str">
        <v>BR1510</v>
      </c>
      <c r="M807" s="121" t="str">
        <v/>
      </c>
      <c r="N807" s="121" t="str">
        <v/>
      </c>
      <c r="O807" s="121" t="str">
        <v/>
      </c>
      <c r="P807" s="121" t="str">
        <v/>
      </c>
      <c r="Q807" s="121" t="str">
        <v xml:space="preserve"> 4. </v>
      </c>
      <c r="R807" s="121" t="str">
        <v>Also see the Login customer requirement in the Customer Registration section.</v>
      </c>
      <c r="S807" s="121" t="str">
        <v/>
      </c>
      <c r="T807" s="119" t="str">
        <f>IF($C807&lt;4,IF($C807=3,T808,IF($C807=2,T$1,"")),Q807&amp;R807&amp;IF(LEN(S807)=0,"",Preferences!$C$2&amp;S807)&amp;IF(J808=J807,IF(LEN(R807&amp;S807)=0,"","
")&amp;T808,""))</f>
        <v xml:space="preserve"> 4. Also see the Login customer requirement in the Customer Registration section.</v>
      </c>
      <c r="U807" s="122" t="str">
        <v/>
      </c>
      <c r="V807" s="42"/>
      <c r="W807" s="42"/>
      <c r="X807" s="42"/>
      <c r="Y807" s="42"/>
      <c r="Z807" s="42"/>
      <c r="AA807" s="42"/>
      <c r="AB807" s="42"/>
    </row>
    <row r="808" spans="1:28" x14ac:dyDescent="0.25">
      <c r="A808" s="42" t="str">
        <v>1.15.11</v>
      </c>
      <c r="B808" s="121" t="str">
        <v>15.11 View History</v>
      </c>
      <c r="C808" s="41">
        <v>3</v>
      </c>
      <c r="D808" s="41" t="str">
        <v>R</v>
      </c>
      <c r="E808" s="117" t="str">
        <f t="shared" si="0"/>
        <v>R</v>
      </c>
      <c r="F808" s="41" t="str">
        <v/>
      </c>
      <c r="G808" s="41" t="str">
        <v/>
      </c>
      <c r="H808" s="117">
        <f t="shared" si="1"/>
        <v>0</v>
      </c>
      <c r="I808" s="117">
        <f t="shared" si="2"/>
        <v>15</v>
      </c>
      <c r="J808" s="117">
        <f t="shared" si="3"/>
        <v>15.109999999999998</v>
      </c>
      <c r="K808" s="117" t="str">
        <f t="shared" si="4"/>
        <v>BR</v>
      </c>
      <c r="L808" s="42" t="str">
        <v>BR1511</v>
      </c>
      <c r="M808" s="121" t="str">
        <v/>
      </c>
      <c r="N808" s="121" t="str">
        <v/>
      </c>
      <c r="O808" s="121" t="str">
        <v>BR1511</v>
      </c>
      <c r="P808" s="121" t="str">
        <v>View History</v>
      </c>
      <c r="Q808" s="121" t="str">
        <v/>
      </c>
      <c r="R808" s="121" t="str">
        <v/>
      </c>
      <c r="S808" s="121" t="str">
        <v/>
      </c>
      <c r="T808" s="119" t="str">
        <f>IF($C808&lt;4,IF($C808=3,T809,IF($C808=2,T$1,"")),Q808&amp;R808&amp;IF(LEN(S808)=0,"",Preferences!$C$2&amp;S808)&amp;IF(J809=J808,IF(LEN(R808&amp;S808)=0,"","
")&amp;T809,""))</f>
        <v xml:space="preserve"> 1. In addition, the following customer history may be accessed from the customer profile area of the online shop:
	• Orders
	• Returns
	• Messages
 2. Refer to the following section for the related requirements:
	• View Orders
	• Return Products
	• View Messages</v>
      </c>
      <c r="U808" s="122" t="str">
        <v/>
      </c>
      <c r="V808" s="42"/>
      <c r="W808" s="42"/>
      <c r="X808" s="42"/>
      <c r="Y808" s="42"/>
      <c r="Z808" s="42"/>
      <c r="AA808" s="42"/>
      <c r="AB808" s="42"/>
    </row>
    <row r="809" spans="1:28" x14ac:dyDescent="0.25">
      <c r="A809" s="42" t="str">
        <v>1.15.11.1</v>
      </c>
      <c r="B809" s="121" t="str">
        <v>In addition, the following customer history may be accessed from the customer profile area of the online shop:</v>
      </c>
      <c r="C809" s="41">
        <v>4</v>
      </c>
      <c r="D809" s="41" t="str">
        <v>RD</v>
      </c>
      <c r="E809" s="117" t="str">
        <f t="shared" si="0"/>
        <v>RD</v>
      </c>
      <c r="F809" s="41" t="str">
        <v/>
      </c>
      <c r="G809" s="41" t="str">
        <v/>
      </c>
      <c r="H809" s="117">
        <f t="shared" si="1"/>
        <v>0</v>
      </c>
      <c r="I809" s="117">
        <f t="shared" si="2"/>
        <v>15</v>
      </c>
      <c r="J809" s="117">
        <f t="shared" si="3"/>
        <v>15.109999999999998</v>
      </c>
      <c r="K809" s="117" t="str">
        <f t="shared" si="4"/>
        <v>BR</v>
      </c>
      <c r="L809" s="42" t="str">
        <v>BR1511</v>
      </c>
      <c r="M809" s="121" t="str">
        <v/>
      </c>
      <c r="N809" s="121" t="str">
        <v/>
      </c>
      <c r="O809" s="121" t="str">
        <v/>
      </c>
      <c r="P809" s="121" t="str">
        <v/>
      </c>
      <c r="Q809" s="121" t="str">
        <v xml:space="preserve"> 1. </v>
      </c>
      <c r="R809" s="121" t="str">
        <v>In addition, the following customer history may be accessed from the customer profile area of the online shop:</v>
      </c>
      <c r="S809" s="121" t="str">
        <v/>
      </c>
      <c r="T809" s="119" t="str">
        <f>IF($C809&lt;4,IF($C809=3,T810,IF($C809=2,T$1,"")),Q809&amp;R809&amp;IF(LEN(S809)=0,"",Preferences!$C$2&amp;S809)&amp;IF(J810=J809,IF(LEN(R809&amp;S809)=0,"","
")&amp;T810,""))</f>
        <v xml:space="preserve"> 1. In addition, the following customer history may be accessed from the customer profile area of the online shop:
	• Orders
	• Returns
	• Messages
 2. Refer to the following section for the related requirements:
	• View Orders
	• Return Products
	• View Messages</v>
      </c>
      <c r="U809" s="122" t="str">
        <v/>
      </c>
      <c r="V809" s="42"/>
      <c r="W809" s="42"/>
      <c r="X809" s="42"/>
      <c r="Y809" s="42"/>
      <c r="Z809" s="42"/>
      <c r="AA809" s="42"/>
      <c r="AB809" s="42"/>
    </row>
    <row r="810" spans="1:28" x14ac:dyDescent="0.25">
      <c r="A810" s="42" t="str">
        <v>1.15.11.1.1</v>
      </c>
      <c r="B810" s="121" t="str">
        <v>Orders</v>
      </c>
      <c r="C810" s="41">
        <v>5</v>
      </c>
      <c r="D810" s="41" t="str">
        <v>RL</v>
      </c>
      <c r="E810" s="117" t="str">
        <f t="shared" si="0"/>
        <v>RL</v>
      </c>
      <c r="F810" s="41" t="str">
        <v/>
      </c>
      <c r="G810" s="41" t="str">
        <v/>
      </c>
      <c r="H810" s="117">
        <f t="shared" si="1"/>
        <v>0</v>
      </c>
      <c r="I810" s="117">
        <f t="shared" si="2"/>
        <v>15</v>
      </c>
      <c r="J810" s="117">
        <f t="shared" si="3"/>
        <v>15.109999999999998</v>
      </c>
      <c r="K810" s="117" t="str">
        <f t="shared" si="4"/>
        <v>BR</v>
      </c>
      <c r="L810" s="42" t="str">
        <v>BR1511</v>
      </c>
      <c r="M810" s="121" t="str">
        <v/>
      </c>
      <c r="N810" s="121" t="str">
        <v/>
      </c>
      <c r="O810" s="121" t="str">
        <v/>
      </c>
      <c r="P810" s="121" t="str">
        <v/>
      </c>
      <c r="Q810" s="121" t="str">
        <v/>
      </c>
      <c r="R810" s="121" t="str">
        <v/>
      </c>
      <c r="S810" s="121" t="str">
        <v>Orders</v>
      </c>
      <c r="T810" s="119" t="str">
        <f>IF($C810&lt;4,IF($C810=3,T811,IF($C810=2,T$1,"")),Q810&amp;R810&amp;IF(LEN(S810)=0,"",Preferences!$C$2&amp;S810)&amp;IF(J811=J810,IF(LEN(R810&amp;S810)=0,"","
")&amp;T811,""))</f>
        <v xml:space="preserve">	• Orders
	• Returns
	• Messages
 2. Refer to the following section for the related requirements:
	• View Orders
	• Return Products
	• View Messages</v>
      </c>
      <c r="U810" s="122" t="str">
        <v/>
      </c>
      <c r="V810" s="42"/>
      <c r="W810" s="42"/>
      <c r="X810" s="42"/>
      <c r="Y810" s="42"/>
      <c r="Z810" s="42"/>
      <c r="AA810" s="42"/>
      <c r="AB810" s="42"/>
    </row>
    <row r="811" spans="1:28" x14ac:dyDescent="0.25">
      <c r="A811" s="42" t="str">
        <v>1.15.11.1.2</v>
      </c>
      <c r="B811" s="121" t="str">
        <v>Returns</v>
      </c>
      <c r="C811" s="41">
        <v>5</v>
      </c>
      <c r="D811" s="41" t="str">
        <v>RL</v>
      </c>
      <c r="E811" s="117" t="str">
        <f t="shared" si="0"/>
        <v>RL</v>
      </c>
      <c r="F811" s="41" t="str">
        <v/>
      </c>
      <c r="G811" s="41" t="str">
        <v/>
      </c>
      <c r="H811" s="117">
        <f t="shared" si="1"/>
        <v>0</v>
      </c>
      <c r="I811" s="117">
        <f t="shared" si="2"/>
        <v>15</v>
      </c>
      <c r="J811" s="117">
        <f t="shared" si="3"/>
        <v>15.109999999999998</v>
      </c>
      <c r="K811" s="117" t="str">
        <f t="shared" si="4"/>
        <v>BR</v>
      </c>
      <c r="L811" s="42" t="str">
        <v>BR1511</v>
      </c>
      <c r="M811" s="121" t="str">
        <v/>
      </c>
      <c r="N811" s="121" t="str">
        <v/>
      </c>
      <c r="O811" s="121" t="str">
        <v/>
      </c>
      <c r="P811" s="121" t="str">
        <v/>
      </c>
      <c r="Q811" s="121" t="str">
        <v/>
      </c>
      <c r="R811" s="121" t="str">
        <v/>
      </c>
      <c r="S811" s="121" t="str">
        <v>Returns</v>
      </c>
      <c r="T811" s="119" t="str">
        <f>IF($C811&lt;4,IF($C811=3,T812,IF($C811=2,T$1,"")),Q811&amp;R811&amp;IF(LEN(S811)=0,"",Preferences!$C$2&amp;S811)&amp;IF(J812=J811,IF(LEN(R811&amp;S811)=0,"","
")&amp;T812,""))</f>
        <v xml:space="preserve">	• Returns
	• Messages
 2. Refer to the following section for the related requirements:
	• View Orders
	• Return Products
	• View Messages</v>
      </c>
      <c r="U811" s="122" t="str">
        <v/>
      </c>
      <c r="V811" s="42"/>
      <c r="W811" s="42"/>
      <c r="X811" s="42"/>
      <c r="Y811" s="42"/>
      <c r="Z811" s="42"/>
      <c r="AA811" s="42"/>
      <c r="AB811" s="42"/>
    </row>
    <row r="812" spans="1:28" x14ac:dyDescent="0.25">
      <c r="A812" s="42" t="str">
        <v>1.15.11.1.3</v>
      </c>
      <c r="B812" s="121" t="str">
        <v>Messages</v>
      </c>
      <c r="C812" s="41">
        <v>5</v>
      </c>
      <c r="D812" s="41" t="str">
        <v>RL</v>
      </c>
      <c r="E812" s="117" t="str">
        <f t="shared" si="0"/>
        <v>RL</v>
      </c>
      <c r="F812" s="41" t="str">
        <v/>
      </c>
      <c r="G812" s="41" t="str">
        <v/>
      </c>
      <c r="H812" s="117">
        <f t="shared" si="1"/>
        <v>0</v>
      </c>
      <c r="I812" s="117">
        <f t="shared" si="2"/>
        <v>15</v>
      </c>
      <c r="J812" s="117">
        <f t="shared" si="3"/>
        <v>15.109999999999998</v>
      </c>
      <c r="K812" s="117" t="str">
        <f t="shared" si="4"/>
        <v>BR</v>
      </c>
      <c r="L812" s="42" t="str">
        <v>BR1511</v>
      </c>
      <c r="M812" s="121" t="str">
        <v/>
      </c>
      <c r="N812" s="121" t="str">
        <v/>
      </c>
      <c r="O812" s="121" t="str">
        <v/>
      </c>
      <c r="P812" s="121" t="str">
        <v/>
      </c>
      <c r="Q812" s="121" t="str">
        <v/>
      </c>
      <c r="R812" s="121" t="str">
        <v/>
      </c>
      <c r="S812" s="121" t="str">
        <v>Messages</v>
      </c>
      <c r="T812" s="119" t="str">
        <f>IF($C812&lt;4,IF($C812=3,T813,IF($C812=2,T$1,"")),Q812&amp;R812&amp;IF(LEN(S812)=0,"",Preferences!$C$2&amp;S812)&amp;IF(J813=J812,IF(LEN(R812&amp;S812)=0,"","
")&amp;T813,""))</f>
        <v xml:space="preserve">	• Messages
 2. Refer to the following section for the related requirements:
	• View Orders
	• Return Products
	• View Messages</v>
      </c>
      <c r="U812" s="122" t="str">
        <v/>
      </c>
      <c r="V812" s="42"/>
      <c r="W812" s="42"/>
      <c r="X812" s="42"/>
      <c r="Y812" s="42"/>
      <c r="Z812" s="42"/>
      <c r="AA812" s="42"/>
      <c r="AB812" s="42"/>
    </row>
    <row r="813" spans="1:28" x14ac:dyDescent="0.25">
      <c r="A813" s="42" t="str">
        <v>1.15.11.2</v>
      </c>
      <c r="B813" s="121" t="str">
        <v>Refer to the following section for the related requirements:</v>
      </c>
      <c r="C813" s="41">
        <v>4</v>
      </c>
      <c r="D813" s="41" t="str">
        <v>RD</v>
      </c>
      <c r="E813" s="117" t="str">
        <f t="shared" si="0"/>
        <v>RD</v>
      </c>
      <c r="F813" s="41" t="str">
        <v/>
      </c>
      <c r="G813" s="41" t="str">
        <v/>
      </c>
      <c r="H813" s="117">
        <f t="shared" si="1"/>
        <v>0</v>
      </c>
      <c r="I813" s="117">
        <f t="shared" si="2"/>
        <v>15</v>
      </c>
      <c r="J813" s="117">
        <f t="shared" si="3"/>
        <v>15.109999999999998</v>
      </c>
      <c r="K813" s="117" t="str">
        <f t="shared" si="4"/>
        <v>BR</v>
      </c>
      <c r="L813" s="42" t="str">
        <v>BR1511</v>
      </c>
      <c r="M813" s="121" t="str">
        <v/>
      </c>
      <c r="N813" s="121" t="str">
        <v/>
      </c>
      <c r="O813" s="121" t="str">
        <v/>
      </c>
      <c r="P813" s="121" t="str">
        <v/>
      </c>
      <c r="Q813" s="121" t="str">
        <v xml:space="preserve"> 2. </v>
      </c>
      <c r="R813" s="121" t="str">
        <v>Refer to the following section for the related requirements:</v>
      </c>
      <c r="S813" s="121" t="str">
        <v/>
      </c>
      <c r="T813" s="119" t="str">
        <f>IF($C813&lt;4,IF($C813=3,T814,IF($C813=2,T$1,"")),Q813&amp;R813&amp;IF(LEN(S813)=0,"",Preferences!$C$2&amp;S813)&amp;IF(J814=J813,IF(LEN(R813&amp;S813)=0,"","
")&amp;T814,""))</f>
        <v xml:space="preserve"> 2. Refer to the following section for the related requirements:
	• View Orders
	• Return Products
	• View Messages</v>
      </c>
      <c r="U813" s="122" t="str">
        <v/>
      </c>
      <c r="V813" s="42"/>
      <c r="W813" s="42"/>
      <c r="X813" s="42"/>
      <c r="Y813" s="42"/>
      <c r="Z813" s="42"/>
      <c r="AA813" s="42"/>
      <c r="AB813" s="42"/>
    </row>
    <row r="814" spans="1:28" x14ac:dyDescent="0.25">
      <c r="A814" s="42" t="str">
        <v>1.15.11.2.1</v>
      </c>
      <c r="B814" s="121" t="str">
        <v>View Orders</v>
      </c>
      <c r="C814" s="41">
        <v>5</v>
      </c>
      <c r="D814" s="41" t="str">
        <v>RL</v>
      </c>
      <c r="E814" s="117" t="str">
        <f t="shared" si="0"/>
        <v>RL</v>
      </c>
      <c r="F814" s="41" t="str">
        <v/>
      </c>
      <c r="G814" s="41" t="str">
        <v/>
      </c>
      <c r="H814" s="117">
        <f t="shared" si="1"/>
        <v>0</v>
      </c>
      <c r="I814" s="117">
        <f t="shared" si="2"/>
        <v>15</v>
      </c>
      <c r="J814" s="117">
        <f t="shared" si="3"/>
        <v>15.109999999999998</v>
      </c>
      <c r="K814" s="117" t="str">
        <f t="shared" si="4"/>
        <v>BR</v>
      </c>
      <c r="L814" s="42" t="str">
        <v>BR1511</v>
      </c>
      <c r="M814" s="121" t="str">
        <v/>
      </c>
      <c r="N814" s="121" t="str">
        <v/>
      </c>
      <c r="O814" s="121" t="str">
        <v/>
      </c>
      <c r="P814" s="121" t="str">
        <v/>
      </c>
      <c r="Q814" s="121" t="str">
        <v/>
      </c>
      <c r="R814" s="121" t="str">
        <v/>
      </c>
      <c r="S814" s="121" t="str">
        <v>View Orders</v>
      </c>
      <c r="T814" s="119" t="str">
        <f>IF($C814&lt;4,IF($C814=3,T815,IF($C814=2,T$1,"")),Q814&amp;R814&amp;IF(LEN(S814)=0,"",Preferences!$C$2&amp;S814)&amp;IF(J815=J814,IF(LEN(R814&amp;S814)=0,"","
")&amp;T815,""))</f>
        <v xml:space="preserve">	• View Orders
	• Return Products
	• View Messages</v>
      </c>
      <c r="U814" s="122" t="str">
        <v/>
      </c>
      <c r="V814" s="42"/>
      <c r="W814" s="42"/>
      <c r="X814" s="42"/>
      <c r="Y814" s="42"/>
      <c r="Z814" s="42"/>
      <c r="AA814" s="42"/>
      <c r="AB814" s="42"/>
    </row>
    <row r="815" spans="1:28" x14ac:dyDescent="0.25">
      <c r="A815" s="42" t="str">
        <v>1.15.11.2.2</v>
      </c>
      <c r="B815" s="121" t="str">
        <v>Return Products</v>
      </c>
      <c r="C815" s="41">
        <v>5</v>
      </c>
      <c r="D815" s="41" t="str">
        <v>RL</v>
      </c>
      <c r="E815" s="117" t="str">
        <f t="shared" si="0"/>
        <v>RL</v>
      </c>
      <c r="F815" s="41" t="str">
        <v/>
      </c>
      <c r="G815" s="41" t="str">
        <v/>
      </c>
      <c r="H815" s="117">
        <f t="shared" si="1"/>
        <v>0</v>
      </c>
      <c r="I815" s="117">
        <f t="shared" si="2"/>
        <v>15</v>
      </c>
      <c r="J815" s="117">
        <f t="shared" si="3"/>
        <v>15.109999999999998</v>
      </c>
      <c r="K815" s="117" t="str">
        <f t="shared" si="4"/>
        <v>BR</v>
      </c>
      <c r="L815" s="42" t="str">
        <v>BR1511</v>
      </c>
      <c r="M815" s="121" t="str">
        <v/>
      </c>
      <c r="N815" s="121" t="str">
        <v/>
      </c>
      <c r="O815" s="121" t="str">
        <v/>
      </c>
      <c r="P815" s="121" t="str">
        <v/>
      </c>
      <c r="Q815" s="121" t="str">
        <v/>
      </c>
      <c r="R815" s="121" t="str">
        <v/>
      </c>
      <c r="S815" s="121" t="str">
        <v>Return Products</v>
      </c>
      <c r="T815" s="119" t="str">
        <f>IF($C815&lt;4,IF($C815=3,T816,IF($C815=2,T$1,"")),Q815&amp;R815&amp;IF(LEN(S815)=0,"",Preferences!$C$2&amp;S815)&amp;IF(J816=J815,IF(LEN(R815&amp;S815)=0,"","
")&amp;T816,""))</f>
        <v xml:space="preserve">	• Return Products
	• View Messages</v>
      </c>
      <c r="U815" s="122" t="str">
        <v/>
      </c>
      <c r="V815" s="42"/>
      <c r="W815" s="42"/>
      <c r="X815" s="42"/>
      <c r="Y815" s="42"/>
      <c r="Z815" s="42"/>
      <c r="AA815" s="42"/>
      <c r="AB815" s="42"/>
    </row>
    <row r="816" spans="1:28" x14ac:dyDescent="0.25">
      <c r="A816" s="42" t="str">
        <v>1.15.11.2.3</v>
      </c>
      <c r="B816" s="121" t="str">
        <v>View Messages</v>
      </c>
      <c r="C816" s="41">
        <v>5</v>
      </c>
      <c r="D816" s="41" t="str">
        <v>RL</v>
      </c>
      <c r="E816" s="117" t="str">
        <f t="shared" si="0"/>
        <v>RL</v>
      </c>
      <c r="F816" s="41" t="str">
        <v/>
      </c>
      <c r="G816" s="41" t="str">
        <v/>
      </c>
      <c r="H816" s="117">
        <f t="shared" si="1"/>
        <v>0</v>
      </c>
      <c r="I816" s="117">
        <f t="shared" si="2"/>
        <v>15</v>
      </c>
      <c r="J816" s="117">
        <f t="shared" si="3"/>
        <v>15.109999999999998</v>
      </c>
      <c r="K816" s="117" t="str">
        <f t="shared" si="4"/>
        <v>BR</v>
      </c>
      <c r="L816" s="42" t="str">
        <v>BR1511</v>
      </c>
      <c r="M816" s="121" t="str">
        <v/>
      </c>
      <c r="N816" s="121" t="str">
        <v/>
      </c>
      <c r="O816" s="121" t="str">
        <v/>
      </c>
      <c r="P816" s="121" t="str">
        <v/>
      </c>
      <c r="Q816" s="121" t="str">
        <v/>
      </c>
      <c r="R816" s="121" t="str">
        <v/>
      </c>
      <c r="S816" s="121" t="str">
        <v>View Messages</v>
      </c>
      <c r="T816" s="119" t="str">
        <f>IF($C816&lt;4,IF($C816=3,T817,IF($C816=2,T$1,"")),Q816&amp;R816&amp;IF(LEN(S816)=0,"",Preferences!$C$2&amp;S816)&amp;IF(J817=J816,IF(LEN(R816&amp;S816)=0,"","
")&amp;T817,""))</f>
        <v xml:space="preserve">	• View Messages</v>
      </c>
      <c r="U816" s="122" t="str">
        <v/>
      </c>
      <c r="V816" s="42"/>
      <c r="W816" s="42"/>
      <c r="X816" s="42"/>
      <c r="Y816" s="42"/>
      <c r="Z816" s="42"/>
      <c r="AA816" s="42"/>
      <c r="AB816" s="42"/>
    </row>
    <row r="817" spans="1:28" x14ac:dyDescent="0.25">
      <c r="A817" s="42" t="str">
        <v>1.16</v>
      </c>
      <c r="B817" s="121" t="str">
        <v>16 Online Shop Recommended Content</v>
      </c>
      <c r="C817" s="41">
        <v>2</v>
      </c>
      <c r="D817" s="41" t="str">
        <v>RS</v>
      </c>
      <c r="E817" s="117" t="str">
        <f t="shared" si="0"/>
        <v>RS</v>
      </c>
      <c r="F817" s="41" t="str">
        <v/>
      </c>
      <c r="G817" s="41" t="str">
        <v/>
      </c>
      <c r="H817" s="117">
        <f t="shared" si="1"/>
        <v>0</v>
      </c>
      <c r="I817" s="117">
        <f t="shared" si="2"/>
        <v>16</v>
      </c>
      <c r="J817" s="117">
        <f t="shared" si="3"/>
        <v>16</v>
      </c>
      <c r="K817" s="117" t="str">
        <f t="shared" si="4"/>
        <v>BR</v>
      </c>
      <c r="L817" s="42">
        <v>16</v>
      </c>
      <c r="M817" s="121" t="str">
        <v/>
      </c>
      <c r="N817" s="121" t="str">
        <v>16 Online Shop Recommended Content</v>
      </c>
      <c r="O817" s="121" t="str">
        <v>ReqID</v>
      </c>
      <c r="P817" s="121" t="e">
        <v>#N/A</v>
      </c>
      <c r="Q817" s="121" t="str">
        <v/>
      </c>
      <c r="R817" s="121" t="str">
        <v/>
      </c>
      <c r="S817" s="121" t="str">
        <v/>
      </c>
      <c r="T817" s="119" t="str">
        <f>IF($C817&lt;4,IF($C817=3,T818,IF($C817=2,T$1,"")),Q817&amp;R817&amp;IF(LEN(S817)=0,"",Preferences!$C$2&amp;S817)&amp;IF(J818=J817,IF(LEN(R817&amp;S817)=0,"","
")&amp;T818,""))</f>
        <v>Description</v>
      </c>
      <c r="U817" s="122" t="str">
        <v/>
      </c>
      <c r="V817" s="42"/>
      <c r="W817" s="42"/>
      <c r="X817" s="42"/>
      <c r="Y817" s="42"/>
      <c r="Z817" s="42"/>
      <c r="AA817" s="42"/>
      <c r="AB817" s="42"/>
    </row>
    <row r="818" spans="1:28" x14ac:dyDescent="0.25">
      <c r="A818" s="42" t="str">
        <v>1.16.1</v>
      </c>
      <c r="B818" s="121" t="str">
        <v>16.1 Identify products matching submitted search terms</v>
      </c>
      <c r="C818" s="41">
        <v>3</v>
      </c>
      <c r="D818" s="41" t="str">
        <v>R</v>
      </c>
      <c r="E818" s="117" t="str">
        <f t="shared" si="0"/>
        <v>R</v>
      </c>
      <c r="F818" s="41" t="str">
        <v/>
      </c>
      <c r="G818" s="41" t="str">
        <v/>
      </c>
      <c r="H818" s="117">
        <f t="shared" si="1"/>
        <v>0</v>
      </c>
      <c r="I818" s="117">
        <f t="shared" si="2"/>
        <v>16</v>
      </c>
      <c r="J818" s="117">
        <f t="shared" si="3"/>
        <v>16.010000000000002</v>
      </c>
      <c r="K818" s="117" t="str">
        <f t="shared" si="4"/>
        <v>BR</v>
      </c>
      <c r="L818" s="42" t="str">
        <v>BR1601</v>
      </c>
      <c r="M818" s="121" t="str">
        <v/>
      </c>
      <c r="N818" s="121" t="str">
        <v/>
      </c>
      <c r="O818" s="121" t="str">
        <v>BR1601</v>
      </c>
      <c r="P818" s="121" t="str">
        <v>Identify products matching submitted search terms</v>
      </c>
      <c r="Q818" s="121" t="str">
        <v/>
      </c>
      <c r="R818" s="121" t="str">
        <v/>
      </c>
      <c r="S818" s="121" t="str">
        <v/>
      </c>
      <c r="T818" s="119" t="str">
        <f>IF($C818&lt;4,IF($C818=3,T819,IF($C818=2,T$1,"")),Q818&amp;R818&amp;IF(LEN(S818)=0,"",Preferences!$C$2&amp;S818)&amp;IF(J819=J818,IF(LEN(R818&amp;S818)=0,"","
")&amp;T819,""))</f>
        <v xml:space="preserve"> 1. By default, a selection across all categories are presented on the products main page.
 2. When browsing by sub/category, the category is used as the search term.
 3. When the customer submits a search string (one/more full/partial words), match the search terms to: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18" s="122" t="str">
        <v/>
      </c>
      <c r="V818" s="42"/>
      <c r="W818" s="42"/>
      <c r="X818" s="42"/>
      <c r="Y818" s="42"/>
      <c r="Z818" s="42"/>
      <c r="AA818" s="42"/>
      <c r="AB818" s="42"/>
    </row>
    <row r="819" spans="1:28" x14ac:dyDescent="0.25">
      <c r="A819" s="42" t="str">
        <v>1.16.1.1</v>
      </c>
      <c r="B819" s="121" t="str">
        <v>By default, a selection across all categories are presented on the products main page.</v>
      </c>
      <c r="C819" s="41">
        <v>4</v>
      </c>
      <c r="D819" s="41" t="str">
        <v>RD</v>
      </c>
      <c r="E819" s="117" t="str">
        <f t="shared" si="0"/>
        <v>RD</v>
      </c>
      <c r="F819" s="41" t="str">
        <v/>
      </c>
      <c r="G819" s="41" t="str">
        <v/>
      </c>
      <c r="H819" s="117">
        <f t="shared" si="1"/>
        <v>0</v>
      </c>
      <c r="I819" s="117">
        <f t="shared" si="2"/>
        <v>16</v>
      </c>
      <c r="J819" s="117">
        <f t="shared" si="3"/>
        <v>16.010000000000002</v>
      </c>
      <c r="K819" s="117" t="str">
        <f t="shared" si="4"/>
        <v>BR</v>
      </c>
      <c r="L819" s="42" t="str">
        <v>BR1601</v>
      </c>
      <c r="M819" s="121" t="str">
        <v/>
      </c>
      <c r="N819" s="121" t="str">
        <v/>
      </c>
      <c r="O819" s="121" t="str">
        <v/>
      </c>
      <c r="P819" s="121" t="str">
        <v/>
      </c>
      <c r="Q819" s="121" t="str">
        <v xml:space="preserve"> 1. </v>
      </c>
      <c r="R819" s="121" t="str">
        <v>By default, a selection across all categories are presented on the products main page.</v>
      </c>
      <c r="S819" s="121" t="str">
        <v/>
      </c>
      <c r="T819" s="119" t="str">
        <f>IF($C819&lt;4,IF($C819=3,T820,IF($C819=2,T$1,"")),Q819&amp;R819&amp;IF(LEN(S819)=0,"",Preferences!$C$2&amp;S819)&amp;IF(J820=J819,IF(LEN(R819&amp;S819)=0,"","
")&amp;T820,""))</f>
        <v xml:space="preserve"> 1. By default, a selection across all categories are presented on the products main page.
 2. When browsing by sub/category, the category is used as the search term.
 3. When the customer submits a search string (one/more full/partial words), match the search terms to: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19" s="122" t="str">
        <v/>
      </c>
      <c r="V819" s="42"/>
      <c r="W819" s="42"/>
      <c r="X819" s="42"/>
      <c r="Y819" s="42"/>
      <c r="Z819" s="42"/>
      <c r="AA819" s="42"/>
      <c r="AB819" s="42"/>
    </row>
    <row r="820" spans="1:28" x14ac:dyDescent="0.25">
      <c r="A820" s="42" t="str">
        <v>1.16.1.2</v>
      </c>
      <c r="B820" s="121" t="str">
        <v>When browsing by sub/category, the category is used as the search term.</v>
      </c>
      <c r="C820" s="41">
        <v>4</v>
      </c>
      <c r="D820" s="41" t="str">
        <v>RD</v>
      </c>
      <c r="E820" s="117" t="str">
        <f t="shared" si="0"/>
        <v>RD</v>
      </c>
      <c r="F820" s="41" t="str">
        <v/>
      </c>
      <c r="G820" s="41" t="str">
        <v/>
      </c>
      <c r="H820" s="117">
        <f t="shared" si="1"/>
        <v>0</v>
      </c>
      <c r="I820" s="117">
        <f t="shared" si="2"/>
        <v>16</v>
      </c>
      <c r="J820" s="117">
        <f t="shared" si="3"/>
        <v>16.010000000000002</v>
      </c>
      <c r="K820" s="117" t="str">
        <f t="shared" si="4"/>
        <v>BR</v>
      </c>
      <c r="L820" s="42" t="str">
        <v>BR1601</v>
      </c>
      <c r="M820" s="121" t="str">
        <v/>
      </c>
      <c r="N820" s="121" t="str">
        <v/>
      </c>
      <c r="O820" s="121" t="str">
        <v/>
      </c>
      <c r="P820" s="121" t="str">
        <v/>
      </c>
      <c r="Q820" s="121" t="str">
        <v xml:space="preserve"> 2. </v>
      </c>
      <c r="R820" s="121" t="str">
        <v>When browsing by sub/category, the category is used as the search term.</v>
      </c>
      <c r="S820" s="121" t="str">
        <v/>
      </c>
      <c r="T820" s="119" t="str">
        <f>IF($C820&lt;4,IF($C820=3,T821,IF($C820=2,T$1,"")),Q820&amp;R820&amp;IF(LEN(S820)=0,"",Preferences!$C$2&amp;S820)&amp;IF(J821=J820,IF(LEN(R820&amp;S820)=0,"","
")&amp;T821,""))</f>
        <v xml:space="preserve"> 2. When browsing by sub/category, the category is used as the search term.
 3. When the customer submits a search string (one/more full/partial words), match the search terms to: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0" s="122" t="str">
        <v/>
      </c>
      <c r="V820" s="42"/>
      <c r="W820" s="42"/>
      <c r="X820" s="42"/>
      <c r="Y820" s="42"/>
      <c r="Z820" s="42"/>
      <c r="AA820" s="42"/>
      <c r="AB820" s="42"/>
    </row>
    <row r="821" spans="1:28" x14ac:dyDescent="0.25">
      <c r="A821" s="42" t="str">
        <v>1.16.1.3</v>
      </c>
      <c r="B821" s="121" t="str">
        <v>When the customer submits a search string (one/more full/partial words), match the search terms to:</v>
      </c>
      <c r="C821" s="41">
        <v>4</v>
      </c>
      <c r="D821" s="41" t="str">
        <v>RD</v>
      </c>
      <c r="E821" s="117" t="str">
        <f t="shared" si="0"/>
        <v>RD</v>
      </c>
      <c r="F821" s="41" t="str">
        <v/>
      </c>
      <c r="G821" s="41" t="str">
        <v/>
      </c>
      <c r="H821" s="117">
        <f t="shared" si="1"/>
        <v>0</v>
      </c>
      <c r="I821" s="117">
        <f t="shared" si="2"/>
        <v>16</v>
      </c>
      <c r="J821" s="117">
        <f t="shared" si="3"/>
        <v>16.010000000000002</v>
      </c>
      <c r="K821" s="117" t="str">
        <f t="shared" si="4"/>
        <v>BR</v>
      </c>
      <c r="L821" s="42" t="str">
        <v>BR1601</v>
      </c>
      <c r="M821" s="121" t="str">
        <v/>
      </c>
      <c r="N821" s="121" t="str">
        <v/>
      </c>
      <c r="O821" s="121" t="str">
        <v/>
      </c>
      <c r="P821" s="121" t="str">
        <v/>
      </c>
      <c r="Q821" s="121" t="str">
        <v xml:space="preserve"> 3. </v>
      </c>
      <c r="R821" s="121" t="str">
        <v>When the customer submits a search string (one/more full/partial words), match the search terms to:</v>
      </c>
      <c r="S821" s="121" t="str">
        <v/>
      </c>
      <c r="T821" s="119" t="str">
        <f>IF($C821&lt;4,IF($C821=3,T822,IF($C821=2,T$1,"")),Q821&amp;R821&amp;IF(LEN(S821)=0,"",Preferences!$C$2&amp;S821)&amp;IF(J822=J821,IF(LEN(R821&amp;S821)=0,"","
")&amp;T822,""))</f>
        <v xml:space="preserve"> 3. When the customer submits a search string (one/more full/partial words), match the search terms to: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1" s="122" t="str">
        <v/>
      </c>
      <c r="V821" s="42"/>
      <c r="W821" s="42"/>
      <c r="X821" s="42"/>
      <c r="Y821" s="42"/>
      <c r="Z821" s="42"/>
      <c r="AA821" s="42"/>
      <c r="AB821" s="42"/>
    </row>
    <row r="822" spans="1:28" x14ac:dyDescent="0.25">
      <c r="A822" s="42" t="str">
        <v>1.16.1.3.1</v>
      </c>
      <c r="B822" s="121" t="str">
        <v>Product Name</v>
      </c>
      <c r="C822" s="41">
        <v>5</v>
      </c>
      <c r="D822" s="41" t="str">
        <v>RL</v>
      </c>
      <c r="E822" s="117" t="str">
        <f t="shared" si="0"/>
        <v>RL</v>
      </c>
      <c r="F822" s="41" t="str">
        <v/>
      </c>
      <c r="G822" s="41" t="str">
        <v/>
      </c>
      <c r="H822" s="117">
        <f t="shared" si="1"/>
        <v>0</v>
      </c>
      <c r="I822" s="117">
        <f t="shared" si="2"/>
        <v>16</v>
      </c>
      <c r="J822" s="117">
        <f t="shared" si="3"/>
        <v>16.010000000000002</v>
      </c>
      <c r="K822" s="117" t="str">
        <f t="shared" si="4"/>
        <v>BR</v>
      </c>
      <c r="L822" s="42" t="str">
        <v>BR1601</v>
      </c>
      <c r="M822" s="121" t="str">
        <v/>
      </c>
      <c r="N822" s="121" t="str">
        <v/>
      </c>
      <c r="O822" s="121" t="str">
        <v/>
      </c>
      <c r="P822" s="121" t="str">
        <v/>
      </c>
      <c r="Q822" s="121" t="str">
        <v/>
      </c>
      <c r="R822" s="121" t="str">
        <v/>
      </c>
      <c r="S822" s="121" t="str">
        <v>Product Name</v>
      </c>
      <c r="T822" s="119" t="str">
        <f>IF($C822&lt;4,IF($C822=3,T823,IF($C822=2,T$1,"")),Q822&amp;R822&amp;IF(LEN(S822)=0,"",Preferences!$C$2&amp;S822)&amp;IF(J823=J822,IF(LEN(R822&amp;S822)=0,"","
")&amp;T823,""))</f>
        <v xml:space="preserve">	• Product Name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2" s="122" t="str">
        <v/>
      </c>
      <c r="V822" s="42"/>
      <c r="W822" s="42"/>
      <c r="X822" s="42"/>
      <c r="Y822" s="42"/>
      <c r="Z822" s="42"/>
      <c r="AA822" s="42"/>
      <c r="AB822" s="42"/>
    </row>
    <row r="823" spans="1:28" x14ac:dyDescent="0.25">
      <c r="A823" s="42" t="str">
        <v>1.16.1.3.2</v>
      </c>
      <c r="B823" s="121" t="str">
        <v>Products Description</v>
      </c>
      <c r="C823" s="41">
        <v>5</v>
      </c>
      <c r="D823" s="41" t="str">
        <v>RL</v>
      </c>
      <c r="E823" s="117" t="str">
        <f t="shared" si="0"/>
        <v>RL</v>
      </c>
      <c r="F823" s="41" t="str">
        <v/>
      </c>
      <c r="G823" s="41" t="str">
        <v/>
      </c>
      <c r="H823" s="117">
        <f t="shared" si="1"/>
        <v>0</v>
      </c>
      <c r="I823" s="117">
        <f t="shared" si="2"/>
        <v>16</v>
      </c>
      <c r="J823" s="117">
        <f t="shared" si="3"/>
        <v>16.010000000000002</v>
      </c>
      <c r="K823" s="117" t="str">
        <f t="shared" si="4"/>
        <v>BR</v>
      </c>
      <c r="L823" s="42" t="str">
        <v>BR1601</v>
      </c>
      <c r="M823" s="121" t="str">
        <v/>
      </c>
      <c r="N823" s="121" t="str">
        <v/>
      </c>
      <c r="O823" s="121" t="str">
        <v/>
      </c>
      <c r="P823" s="121" t="str">
        <v/>
      </c>
      <c r="Q823" s="121" t="str">
        <v/>
      </c>
      <c r="R823" s="121" t="str">
        <v/>
      </c>
      <c r="S823" s="121" t="str">
        <v>Products Description</v>
      </c>
      <c r="T823" s="119" t="str">
        <f>IF($C823&lt;4,IF($C823=3,T824,IF($C823=2,T$1,"")),Q823&amp;R823&amp;IF(LEN(S823)=0,"",Preferences!$C$2&amp;S823)&amp;IF(J824=J823,IF(LEN(R823&amp;S823)=0,"","
")&amp;T824,""))</f>
        <v xml:space="preserve">	• Products Description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3" s="122" t="str">
        <v/>
      </c>
      <c r="V823" s="42"/>
      <c r="W823" s="42"/>
      <c r="X823" s="42"/>
      <c r="Y823" s="42"/>
      <c r="Z823" s="42"/>
      <c r="AA823" s="42"/>
      <c r="AB823" s="42"/>
    </row>
    <row r="824" spans="1:28" x14ac:dyDescent="0.25">
      <c r="A824" s="42" t="str">
        <v>1.16.1.3.3</v>
      </c>
      <c r="B824" s="121" t="str">
        <v>Products with matching meta-tags (detail and parent)</v>
      </c>
      <c r="C824" s="41">
        <v>5</v>
      </c>
      <c r="D824" s="41" t="str">
        <v>RL</v>
      </c>
      <c r="E824" s="117" t="str">
        <f t="shared" si="0"/>
        <v>RL</v>
      </c>
      <c r="F824" s="41" t="str">
        <v/>
      </c>
      <c r="G824" s="41" t="str">
        <v/>
      </c>
      <c r="H824" s="117">
        <f t="shared" si="1"/>
        <v>0</v>
      </c>
      <c r="I824" s="117">
        <f t="shared" si="2"/>
        <v>16</v>
      </c>
      <c r="J824" s="117">
        <f t="shared" si="3"/>
        <v>16.010000000000002</v>
      </c>
      <c r="K824" s="117" t="str">
        <f t="shared" si="4"/>
        <v>BR</v>
      </c>
      <c r="L824" s="42" t="str">
        <v>BR1601</v>
      </c>
      <c r="M824" s="121" t="str">
        <v/>
      </c>
      <c r="N824" s="121" t="str">
        <v/>
      </c>
      <c r="O824" s="121" t="str">
        <v/>
      </c>
      <c r="P824" s="121" t="str">
        <v/>
      </c>
      <c r="Q824" s="121" t="str">
        <v/>
      </c>
      <c r="R824" s="121" t="str">
        <v/>
      </c>
      <c r="S824" s="121" t="str">
        <v>Products with matching meta-tags (detail and parent)</v>
      </c>
      <c r="T824" s="119" t="str">
        <f>IF($C824&lt;4,IF($C824=3,T825,IF($C824=2,T$1,"")),Q824&amp;R824&amp;IF(LEN(S824)=0,"",Preferences!$C$2&amp;S824)&amp;IF(J825=J824,IF(LEN(R824&amp;S824)=0,"","
")&amp;T825,""))</f>
        <v xml:space="preserve">	• Products with matching meta-tags (detail and parent)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4" s="122" t="str">
        <v/>
      </c>
      <c r="V824" s="42"/>
      <c r="W824" s="42"/>
      <c r="X824" s="42"/>
      <c r="Y824" s="42"/>
      <c r="Z824" s="42"/>
      <c r="AA824" s="42"/>
      <c r="AB824" s="42"/>
    </row>
    <row r="825" spans="1:28" x14ac:dyDescent="0.25">
      <c r="A825" s="42" t="str">
        <v>1.16.1.3.4</v>
      </c>
      <c r="B825" s="121" t="str">
        <v>Products with synonyms of matched meta-tags</v>
      </c>
      <c r="C825" s="41">
        <v>5</v>
      </c>
      <c r="D825" s="41" t="str">
        <v>RL</v>
      </c>
      <c r="E825" s="117" t="str">
        <f t="shared" si="0"/>
        <v>RL</v>
      </c>
      <c r="F825" s="41" t="str">
        <v/>
      </c>
      <c r="G825" s="41" t="str">
        <v/>
      </c>
      <c r="H825" s="117">
        <f t="shared" si="1"/>
        <v>0</v>
      </c>
      <c r="I825" s="117">
        <f t="shared" si="2"/>
        <v>16</v>
      </c>
      <c r="J825" s="117">
        <f t="shared" si="3"/>
        <v>16.010000000000002</v>
      </c>
      <c r="K825" s="117" t="str">
        <f t="shared" si="4"/>
        <v>BR</v>
      </c>
      <c r="L825" s="42" t="str">
        <v>BR1601</v>
      </c>
      <c r="M825" s="121" t="str">
        <v/>
      </c>
      <c r="N825" s="121" t="str">
        <v/>
      </c>
      <c r="O825" s="121" t="str">
        <v/>
      </c>
      <c r="P825" s="121" t="str">
        <v/>
      </c>
      <c r="Q825" s="121" t="str">
        <v/>
      </c>
      <c r="R825" s="121" t="str">
        <v/>
      </c>
      <c r="S825" s="121" t="str">
        <v>Products with synonyms of matched meta-tags</v>
      </c>
      <c r="T825" s="119" t="str">
        <f>IF($C825&lt;4,IF($C825=3,T826,IF($C825=2,T$1,"")),Q825&amp;R825&amp;IF(LEN(S825)=0,"",Preferences!$C$2&amp;S825)&amp;IF(J826=J825,IF(LEN(R825&amp;S825)=0,"","
")&amp;T826,""))</f>
        <v xml:space="preserve">	• Products with synonyms of matched meta-tags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5" s="122" t="str">
        <v/>
      </c>
      <c r="V825" s="42"/>
      <c r="W825" s="42"/>
      <c r="X825" s="42"/>
      <c r="Y825" s="42"/>
      <c r="Z825" s="42"/>
      <c r="AA825" s="42"/>
      <c r="AB825" s="42"/>
    </row>
    <row r="826" spans="1:28" x14ac:dyDescent="0.25">
      <c r="A826" s="42" t="str">
        <v>1.16.1.3.5</v>
      </c>
      <c r="B826" s="121" t="str">
        <v>Product Brand</v>
      </c>
      <c r="C826" s="41">
        <v>5</v>
      </c>
      <c r="D826" s="41" t="str">
        <v>RL</v>
      </c>
      <c r="E826" s="117" t="str">
        <f t="shared" si="0"/>
        <v>RL</v>
      </c>
      <c r="F826" s="41" t="str">
        <v/>
      </c>
      <c r="G826" s="41" t="str">
        <v/>
      </c>
      <c r="H826" s="117">
        <f t="shared" si="1"/>
        <v>0</v>
      </c>
      <c r="I826" s="117">
        <f t="shared" si="2"/>
        <v>16</v>
      </c>
      <c r="J826" s="117">
        <f t="shared" si="3"/>
        <v>16.010000000000002</v>
      </c>
      <c r="K826" s="117" t="str">
        <f t="shared" si="4"/>
        <v>BR</v>
      </c>
      <c r="L826" s="42" t="str">
        <v>BR1601</v>
      </c>
      <c r="M826" s="121" t="str">
        <v/>
      </c>
      <c r="N826" s="121" t="str">
        <v/>
      </c>
      <c r="O826" s="121" t="str">
        <v/>
      </c>
      <c r="P826" s="121" t="str">
        <v/>
      </c>
      <c r="Q826" s="121" t="str">
        <v/>
      </c>
      <c r="R826" s="121" t="str">
        <v/>
      </c>
      <c r="S826" s="121" t="str">
        <v>Product Brand</v>
      </c>
      <c r="T826" s="119" t="str">
        <f>IF($C826&lt;4,IF($C826=3,T827,IF($C826=2,T$1,"")),Q826&amp;R826&amp;IF(LEN(S826)=0,"",Preferences!$C$2&amp;S826)&amp;IF(J827=J826,IF(LEN(R826&amp;S826)=0,"","
")&amp;T827,""))</f>
        <v xml:space="preserve">	• Product Brand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6" s="122" t="str">
        <v/>
      </c>
      <c r="V826" s="42"/>
      <c r="W826" s="42"/>
      <c r="X826" s="42"/>
      <c r="Y826" s="42"/>
      <c r="Z826" s="42"/>
      <c r="AA826" s="42"/>
      <c r="AB826" s="42"/>
    </row>
    <row r="827" spans="1:28" x14ac:dyDescent="0.25">
      <c r="A827" s="42" t="str">
        <v>1.16.1.4</v>
      </c>
      <c r="B827" s="121" t="str">
        <v>In addition to the above, apply the following family criteria as criteria:</v>
      </c>
      <c r="C827" s="41">
        <v>4</v>
      </c>
      <c r="D827" s="41" t="str">
        <v>RD</v>
      </c>
      <c r="E827" s="117" t="str">
        <f t="shared" si="0"/>
        <v>RD</v>
      </c>
      <c r="F827" s="41" t="str">
        <v/>
      </c>
      <c r="G827" s="41" t="str">
        <v/>
      </c>
      <c r="H827" s="117">
        <f t="shared" si="1"/>
        <v>0</v>
      </c>
      <c r="I827" s="117">
        <f t="shared" si="2"/>
        <v>16</v>
      </c>
      <c r="J827" s="117">
        <f t="shared" si="3"/>
        <v>16.010000000000002</v>
      </c>
      <c r="K827" s="117" t="str">
        <f t="shared" si="4"/>
        <v>BR</v>
      </c>
      <c r="L827" s="42" t="str">
        <v>BR1601</v>
      </c>
      <c r="M827" s="121" t="str">
        <v/>
      </c>
      <c r="N827" s="121" t="str">
        <v/>
      </c>
      <c r="O827" s="121" t="str">
        <v/>
      </c>
      <c r="P827" s="121" t="str">
        <v/>
      </c>
      <c r="Q827" s="121" t="str">
        <v xml:space="preserve"> 4. </v>
      </c>
      <c r="R827" s="121" t="str">
        <v>In addition to the above, apply the following family criteria as criteria:</v>
      </c>
      <c r="S827" s="121" t="str">
        <v/>
      </c>
      <c r="T827" s="119" t="str">
        <f>IF($C827&lt;4,IF($C827=3,T828,IF($C827=2,T$1,"")),Q827&amp;R827&amp;IF(LEN(S827)=0,"",Preferences!$C$2&amp;S827)&amp;IF(J828=J827,IF(LEN(R827&amp;S827)=0,"","
")&amp;T828,""))</f>
        <v xml:space="preserve"> 4. In addition to the above, apply the following family criteria as criteria:
	• Age of baby/child, matched to an age group
	• Gender of child
 5. Apply faceted search and (fuzzy) weighting techniques and technologies to enable a customer to navigate the meta-tag hierarchies and results in a way that suits them.</v>
      </c>
      <c r="U827" s="122" t="str">
        <v/>
      </c>
      <c r="V827" s="42"/>
      <c r="W827" s="42"/>
      <c r="X827" s="42"/>
      <c r="Y827" s="42"/>
      <c r="Z827" s="42"/>
      <c r="AA827" s="42"/>
      <c r="AB827" s="42"/>
    </row>
    <row r="828" spans="1:28" x14ac:dyDescent="0.25">
      <c r="A828" s="42" t="str">
        <v>1.16.1.4.1</v>
      </c>
      <c r="B828" s="121" t="str">
        <v>Age of baby/child, matched to an age group</v>
      </c>
      <c r="C828" s="41">
        <v>5</v>
      </c>
      <c r="D828" s="41" t="str">
        <v>RL</v>
      </c>
      <c r="E828" s="117" t="str">
        <f t="shared" si="0"/>
        <v>RL</v>
      </c>
      <c r="F828" s="41" t="str">
        <v/>
      </c>
      <c r="G828" s="41" t="str">
        <v/>
      </c>
      <c r="H828" s="117">
        <f t="shared" si="1"/>
        <v>0</v>
      </c>
      <c r="I828" s="117">
        <f t="shared" si="2"/>
        <v>16</v>
      </c>
      <c r="J828" s="117">
        <f t="shared" si="3"/>
        <v>16.010000000000002</v>
      </c>
      <c r="K828" s="117" t="str">
        <f t="shared" si="4"/>
        <v>BR</v>
      </c>
      <c r="L828" s="42" t="str">
        <v>BR1601</v>
      </c>
      <c r="M828" s="121" t="str">
        <v/>
      </c>
      <c r="N828" s="121" t="str">
        <v/>
      </c>
      <c r="O828" s="121" t="str">
        <v/>
      </c>
      <c r="P828" s="121" t="str">
        <v/>
      </c>
      <c r="Q828" s="121" t="str">
        <v/>
      </c>
      <c r="R828" s="121" t="str">
        <v/>
      </c>
      <c r="S828" s="121" t="str">
        <v>Age of baby/child, matched to an age group</v>
      </c>
      <c r="T828" s="119" t="str">
        <f>IF($C828&lt;4,IF($C828=3,T829,IF($C828=2,T$1,"")),Q828&amp;R828&amp;IF(LEN(S828)=0,"",Preferences!$C$2&amp;S828)&amp;IF(J829=J828,IF(LEN(R828&amp;S828)=0,"","
")&amp;T829,""))</f>
        <v xml:space="preserve">	• Age of baby/child, matched to an age group
	• Gender of child
 5. Apply faceted search and (fuzzy) weighting techniques and technologies to enable a customer to navigate the meta-tag hierarchies and results in a way that suits them.</v>
      </c>
      <c r="U828" s="122" t="str">
        <v/>
      </c>
      <c r="V828" s="42"/>
      <c r="W828" s="42"/>
      <c r="X828" s="42"/>
      <c r="Y828" s="42"/>
      <c r="Z828" s="42"/>
      <c r="AA828" s="42"/>
      <c r="AB828" s="42"/>
    </row>
    <row r="829" spans="1:28" x14ac:dyDescent="0.25">
      <c r="A829" s="42" t="str">
        <v>1.16.1.4.2</v>
      </c>
      <c r="B829" s="121" t="str">
        <v>Gender of child</v>
      </c>
      <c r="C829" s="41">
        <v>5</v>
      </c>
      <c r="D829" s="41" t="str">
        <v>RL</v>
      </c>
      <c r="E829" s="117" t="str">
        <f t="shared" si="0"/>
        <v>RL</v>
      </c>
      <c r="F829" s="41" t="str">
        <v/>
      </c>
      <c r="G829" s="41" t="str">
        <v/>
      </c>
      <c r="H829" s="117">
        <f t="shared" si="1"/>
        <v>0</v>
      </c>
      <c r="I829" s="117">
        <f t="shared" si="2"/>
        <v>16</v>
      </c>
      <c r="J829" s="117">
        <f t="shared" si="3"/>
        <v>16.010000000000002</v>
      </c>
      <c r="K829" s="117" t="str">
        <f t="shared" si="4"/>
        <v>BR</v>
      </c>
      <c r="L829" s="42" t="str">
        <v>BR1601</v>
      </c>
      <c r="M829" s="121" t="str">
        <v/>
      </c>
      <c r="N829" s="121" t="str">
        <v/>
      </c>
      <c r="O829" s="121" t="str">
        <v/>
      </c>
      <c r="P829" s="121" t="str">
        <v/>
      </c>
      <c r="Q829" s="121" t="str">
        <v/>
      </c>
      <c r="R829" s="121" t="str">
        <v/>
      </c>
      <c r="S829" s="121" t="str">
        <v>Gender of child</v>
      </c>
      <c r="T829" s="119" t="str">
        <f>IF($C829&lt;4,IF($C829=3,T830,IF($C829=2,T$1,"")),Q829&amp;R829&amp;IF(LEN(S829)=0,"",Preferences!$C$2&amp;S829)&amp;IF(J830=J829,IF(LEN(R829&amp;S829)=0,"","
")&amp;T830,""))</f>
        <v xml:space="preserve">	• Gender of child
 5. Apply faceted search and (fuzzy) weighting techniques and technologies to enable a customer to navigate the meta-tag hierarchies and results in a way that suits them.</v>
      </c>
      <c r="U829" s="122" t="str">
        <v/>
      </c>
      <c r="V829" s="42"/>
      <c r="W829" s="42"/>
      <c r="X829" s="42"/>
      <c r="Y829" s="42"/>
      <c r="Z829" s="42"/>
      <c r="AA829" s="42"/>
      <c r="AB829" s="42"/>
    </row>
    <row r="830" spans="1:28" x14ac:dyDescent="0.25">
      <c r="A830" s="42" t="str">
        <v>1.16.1.5</v>
      </c>
      <c r="B830" s="121" t="str">
        <v>Apply faceted search and (fuzzy) weighting techniques and technologies to enable a customer to navigate the meta-tag hierarchies and results in a way that suits them.</v>
      </c>
      <c r="C830" s="41">
        <v>4</v>
      </c>
      <c r="D830" s="41" t="str">
        <v>RD</v>
      </c>
      <c r="E830" s="117" t="str">
        <f t="shared" si="0"/>
        <v>RD</v>
      </c>
      <c r="F830" s="41" t="str">
        <v/>
      </c>
      <c r="G830" s="41" t="str">
        <v/>
      </c>
      <c r="H830" s="117">
        <f t="shared" si="1"/>
        <v>0</v>
      </c>
      <c r="I830" s="117">
        <f t="shared" si="2"/>
        <v>16</v>
      </c>
      <c r="J830" s="117">
        <f t="shared" si="3"/>
        <v>16.010000000000002</v>
      </c>
      <c r="K830" s="117" t="str">
        <f t="shared" si="4"/>
        <v>BR</v>
      </c>
      <c r="L830" s="42" t="str">
        <v>BR1601</v>
      </c>
      <c r="M830" s="121" t="str">
        <v/>
      </c>
      <c r="N830" s="121" t="str">
        <v/>
      </c>
      <c r="O830" s="121" t="str">
        <v/>
      </c>
      <c r="P830" s="121" t="str">
        <v/>
      </c>
      <c r="Q830" s="121" t="str">
        <v xml:space="preserve"> 5. </v>
      </c>
      <c r="R830" s="121" t="str">
        <v>Apply faceted search and (fuzzy) weighting techniques and technologies to enable a customer to navigate the meta-tag hierarchies and results in a way that suits them.</v>
      </c>
      <c r="S830" s="121" t="str">
        <v/>
      </c>
      <c r="T830" s="119" t="str">
        <f>IF($C830&lt;4,IF($C830=3,T831,IF($C830=2,T$1,"")),Q830&amp;R830&amp;IF(LEN(S830)=0,"",Preferences!$C$2&amp;S830)&amp;IF(J831=J830,IF(LEN(R830&amp;S830)=0,"","
")&amp;T831,""))</f>
        <v xml:space="preserve"> 5. Apply faceted search and (fuzzy) weighting techniques and technologies to enable a customer to navigate the meta-tag hierarchies and results in a way that suits them.</v>
      </c>
      <c r="U830" s="122" t="str">
        <v/>
      </c>
      <c r="V830" s="42"/>
      <c r="W830" s="42"/>
      <c r="X830" s="42"/>
      <c r="Y830" s="42"/>
      <c r="Z830" s="42"/>
      <c r="AA830" s="42"/>
      <c r="AB830" s="42"/>
    </row>
    <row r="831" spans="1:28" x14ac:dyDescent="0.25">
      <c r="A831" s="42" t="str">
        <v>1.16.2</v>
      </c>
      <c r="B831" s="121" t="str">
        <v>16.2 Identify advertisements matching submitted search terms</v>
      </c>
      <c r="C831" s="41">
        <v>3</v>
      </c>
      <c r="D831" s="41" t="str">
        <v>R</v>
      </c>
      <c r="E831" s="117" t="str">
        <f t="shared" si="0"/>
        <v>R</v>
      </c>
      <c r="F831" s="41" t="str">
        <v/>
      </c>
      <c r="G831" s="41" t="str">
        <v/>
      </c>
      <c r="H831" s="117">
        <f t="shared" si="1"/>
        <v>0</v>
      </c>
      <c r="I831" s="117">
        <f t="shared" si="2"/>
        <v>16</v>
      </c>
      <c r="J831" s="117">
        <f t="shared" si="3"/>
        <v>16.020000000000003</v>
      </c>
      <c r="K831" s="117" t="str">
        <f t="shared" si="4"/>
        <v>BR</v>
      </c>
      <c r="L831" s="42" t="str">
        <v>BR1602</v>
      </c>
      <c r="M831" s="121" t="str">
        <v/>
      </c>
      <c r="N831" s="121" t="str">
        <v/>
      </c>
      <c r="O831" s="121" t="str">
        <v>BR1602</v>
      </c>
      <c r="P831" s="121" t="str">
        <v>Identify advertisements matching submitted search terms</v>
      </c>
      <c r="Q831" s="121" t="str">
        <v/>
      </c>
      <c r="R831" s="121" t="str">
        <v/>
      </c>
      <c r="S831" s="121" t="str">
        <v/>
      </c>
      <c r="T831" s="119" t="str">
        <f>IF($C831&lt;4,IF($C831=3,T832,IF($C831=2,T$1,"")),Q831&amp;R831&amp;IF(LEN(S831)=0,"",Preferences!$C$2&amp;S831)&amp;IF(J832=J831,IF(LEN(R831&amp;S831)=0,"","
")&amp;T832,""))</f>
        <v xml:space="preserve"> 1. By default, a selection across all categories are presented on the products main page.
 2. When browsing by sub/category, the category is used as the search term.
 3. When the customer submits a search string (one/more full/partial words), match the search terms to: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1" s="122" t="str">
        <v/>
      </c>
      <c r="V831" s="42"/>
      <c r="W831" s="42"/>
      <c r="X831" s="42"/>
      <c r="Y831" s="42"/>
      <c r="Z831" s="42"/>
      <c r="AA831" s="42"/>
      <c r="AB831" s="42"/>
    </row>
    <row r="832" spans="1:28" x14ac:dyDescent="0.25">
      <c r="A832" s="42" t="str">
        <v>1.16.2.1</v>
      </c>
      <c r="B832" s="121" t="str">
        <v>By default, a selection across all categories are presented on the products main page.</v>
      </c>
      <c r="C832" s="41">
        <v>4</v>
      </c>
      <c r="D832" s="41" t="str">
        <v>RD</v>
      </c>
      <c r="E832" s="117" t="str">
        <f t="shared" si="0"/>
        <v>RD</v>
      </c>
      <c r="F832" s="41" t="str">
        <v/>
      </c>
      <c r="G832" s="41" t="str">
        <v/>
      </c>
      <c r="H832" s="117">
        <f t="shared" si="1"/>
        <v>0</v>
      </c>
      <c r="I832" s="117">
        <f t="shared" si="2"/>
        <v>16</v>
      </c>
      <c r="J832" s="117">
        <f t="shared" si="3"/>
        <v>16.020000000000003</v>
      </c>
      <c r="K832" s="117" t="str">
        <f t="shared" si="4"/>
        <v>BR</v>
      </c>
      <c r="L832" s="42" t="str">
        <v>BR1602</v>
      </c>
      <c r="M832" s="121" t="str">
        <v/>
      </c>
      <c r="N832" s="121" t="str">
        <v/>
      </c>
      <c r="O832" s="121" t="str">
        <v/>
      </c>
      <c r="P832" s="121" t="str">
        <v/>
      </c>
      <c r="Q832" s="121" t="str">
        <v xml:space="preserve"> 1. </v>
      </c>
      <c r="R832" s="121" t="str">
        <v>By default, a selection across all categories are presented on the products main page.</v>
      </c>
      <c r="S832" s="121" t="str">
        <v/>
      </c>
      <c r="T832" s="119" t="str">
        <f>IF($C832&lt;4,IF($C832=3,T833,IF($C832=2,T$1,"")),Q832&amp;R832&amp;IF(LEN(S832)=0,"",Preferences!$C$2&amp;S832)&amp;IF(J833=J832,IF(LEN(R832&amp;S832)=0,"","
")&amp;T833,""))</f>
        <v xml:space="preserve"> 1. By default, a selection across all categories are presented on the products main page.
 2. When browsing by sub/category, the category is used as the search term.
 3. When the customer submits a search string (one/more full/partial words), match the search terms to: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2" s="122" t="str">
        <v/>
      </c>
      <c r="V832" s="42"/>
      <c r="W832" s="42"/>
      <c r="X832" s="42"/>
      <c r="Y832" s="42"/>
      <c r="Z832" s="42"/>
      <c r="AA832" s="42"/>
      <c r="AB832" s="42"/>
    </row>
    <row r="833" spans="1:28" x14ac:dyDescent="0.25">
      <c r="A833" s="42" t="str">
        <v>1.16.2.2</v>
      </c>
      <c r="B833" s="121" t="str">
        <v>When browsing by sub/category, the category is used as the search term.</v>
      </c>
      <c r="C833" s="41">
        <v>4</v>
      </c>
      <c r="D833" s="41" t="str">
        <v>RD</v>
      </c>
      <c r="E833" s="117" t="str">
        <f t="shared" si="0"/>
        <v>RD</v>
      </c>
      <c r="F833" s="41" t="str">
        <v/>
      </c>
      <c r="G833" s="41" t="str">
        <v/>
      </c>
      <c r="H833" s="117">
        <f t="shared" si="1"/>
        <v>0</v>
      </c>
      <c r="I833" s="117">
        <f t="shared" si="2"/>
        <v>16</v>
      </c>
      <c r="J833" s="117">
        <f t="shared" si="3"/>
        <v>16.020000000000003</v>
      </c>
      <c r="K833" s="117" t="str">
        <f t="shared" si="4"/>
        <v>BR</v>
      </c>
      <c r="L833" s="42" t="str">
        <v>BR1602</v>
      </c>
      <c r="M833" s="121" t="str">
        <v/>
      </c>
      <c r="N833" s="121" t="str">
        <v/>
      </c>
      <c r="O833" s="121" t="str">
        <v/>
      </c>
      <c r="P833" s="121" t="str">
        <v/>
      </c>
      <c r="Q833" s="121" t="str">
        <v xml:space="preserve"> 2. </v>
      </c>
      <c r="R833" s="121" t="str">
        <v>When browsing by sub/category, the category is used as the search term.</v>
      </c>
      <c r="S833" s="121" t="str">
        <v/>
      </c>
      <c r="T833" s="119" t="str">
        <f>IF($C833&lt;4,IF($C833=3,T834,IF($C833=2,T$1,"")),Q833&amp;R833&amp;IF(LEN(S833)=0,"",Preferences!$C$2&amp;S833)&amp;IF(J834=J833,IF(LEN(R833&amp;S833)=0,"","
")&amp;T834,""))</f>
        <v xml:space="preserve"> 2. When browsing by sub/category, the category is used as the search term.
 3. When the customer submits a search string (one/more full/partial words), match the search terms to: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3" s="122" t="str">
        <v/>
      </c>
      <c r="V833" s="42"/>
      <c r="W833" s="42"/>
      <c r="X833" s="42"/>
      <c r="Y833" s="42"/>
      <c r="Z833" s="42"/>
      <c r="AA833" s="42"/>
      <c r="AB833" s="42"/>
    </row>
    <row r="834" spans="1:28" x14ac:dyDescent="0.25">
      <c r="A834" s="42" t="str">
        <v>1.16.2.3</v>
      </c>
      <c r="B834" s="121" t="str">
        <v>When the customer submits a search string (one/more full/partial words), match the search terms to:</v>
      </c>
      <c r="C834" s="41">
        <v>4</v>
      </c>
      <c r="D834" s="41" t="str">
        <v>RD</v>
      </c>
      <c r="E834" s="117" t="str">
        <f t="shared" si="0"/>
        <v>RD</v>
      </c>
      <c r="F834" s="41" t="str">
        <v/>
      </c>
      <c r="G834" s="41" t="str">
        <v/>
      </c>
      <c r="H834" s="117">
        <f t="shared" si="1"/>
        <v>0</v>
      </c>
      <c r="I834" s="117">
        <f t="shared" si="2"/>
        <v>16</v>
      </c>
      <c r="J834" s="117">
        <f t="shared" si="3"/>
        <v>16.020000000000003</v>
      </c>
      <c r="K834" s="117" t="str">
        <f t="shared" si="4"/>
        <v>BR</v>
      </c>
      <c r="L834" s="42" t="str">
        <v>BR1602</v>
      </c>
      <c r="M834" s="121" t="str">
        <v/>
      </c>
      <c r="N834" s="121" t="str">
        <v/>
      </c>
      <c r="O834" s="121" t="str">
        <v/>
      </c>
      <c r="P834" s="121" t="str">
        <v/>
      </c>
      <c r="Q834" s="121" t="str">
        <v xml:space="preserve"> 3. </v>
      </c>
      <c r="R834" s="121" t="str">
        <v>When the customer submits a search string (one/more full/partial words), match the search terms to:</v>
      </c>
      <c r="S834" s="121" t="str">
        <v/>
      </c>
      <c r="T834" s="119" t="str">
        <f>IF($C834&lt;4,IF($C834=3,T835,IF($C834=2,T$1,"")),Q834&amp;R834&amp;IF(LEN(S834)=0,"",Preferences!$C$2&amp;S834)&amp;IF(J835=J834,IF(LEN(R834&amp;S834)=0,"","
")&amp;T835,""))</f>
        <v xml:space="preserve"> 3. When the customer submits a search string (one/more full/partial words), match the search terms to: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4" s="122" t="str">
        <v/>
      </c>
      <c r="V834" s="42"/>
      <c r="W834" s="42"/>
      <c r="X834" s="42"/>
      <c r="Y834" s="42"/>
      <c r="Z834" s="42"/>
      <c r="AA834" s="42"/>
      <c r="AB834" s="42"/>
    </row>
    <row r="835" spans="1:28" x14ac:dyDescent="0.25">
      <c r="A835" s="42" t="str">
        <v>1.16.2.3.1</v>
      </c>
      <c r="B835" s="121" t="str">
        <v>Advertisement Title</v>
      </c>
      <c r="C835" s="41">
        <v>5</v>
      </c>
      <c r="D835" s="41" t="str">
        <v>RL</v>
      </c>
      <c r="E835" s="117" t="str">
        <f t="shared" si="0"/>
        <v>RL</v>
      </c>
      <c r="F835" s="41" t="str">
        <v/>
      </c>
      <c r="G835" s="41" t="str">
        <v/>
      </c>
      <c r="H835" s="117">
        <f t="shared" si="1"/>
        <v>0</v>
      </c>
      <c r="I835" s="117">
        <f t="shared" si="2"/>
        <v>16</v>
      </c>
      <c r="J835" s="117">
        <f t="shared" si="3"/>
        <v>16.020000000000003</v>
      </c>
      <c r="K835" s="117" t="str">
        <f t="shared" si="4"/>
        <v>BR</v>
      </c>
      <c r="L835" s="42" t="str">
        <v>BR1602</v>
      </c>
      <c r="M835" s="121" t="str">
        <v/>
      </c>
      <c r="N835" s="121" t="str">
        <v/>
      </c>
      <c r="O835" s="121" t="str">
        <v/>
      </c>
      <c r="P835" s="121" t="str">
        <v/>
      </c>
      <c r="Q835" s="121" t="str">
        <v/>
      </c>
      <c r="R835" s="121" t="str">
        <v/>
      </c>
      <c r="S835" s="121" t="str">
        <v>Advertisement Title</v>
      </c>
      <c r="T835" s="119" t="str">
        <f>IF($C835&lt;4,IF($C835=3,T836,IF($C835=2,T$1,"")),Q835&amp;R835&amp;IF(LEN(S835)=0,"",Preferences!$C$2&amp;S835)&amp;IF(J836=J835,IF(LEN(R835&amp;S835)=0,"","
")&amp;T836,""))</f>
        <v xml:space="preserve">	• Advertisement Title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5" s="122" t="str">
        <v/>
      </c>
      <c r="V835" s="42"/>
      <c r="W835" s="42"/>
      <c r="X835" s="42"/>
      <c r="Y835" s="42"/>
      <c r="Z835" s="42"/>
      <c r="AA835" s="42"/>
      <c r="AB835" s="42"/>
    </row>
    <row r="836" spans="1:28" x14ac:dyDescent="0.25">
      <c r="A836" s="42" t="str">
        <v>1.16.2.3.2</v>
      </c>
      <c r="B836" s="121" t="str">
        <v>Advertisement Description</v>
      </c>
      <c r="C836" s="41">
        <v>5</v>
      </c>
      <c r="D836" s="41" t="str">
        <v>RL</v>
      </c>
      <c r="E836" s="117" t="str">
        <f t="shared" si="0"/>
        <v>RL</v>
      </c>
      <c r="F836" s="41" t="str">
        <v/>
      </c>
      <c r="G836" s="41" t="str">
        <v/>
      </c>
      <c r="H836" s="117">
        <f t="shared" si="1"/>
        <v>0</v>
      </c>
      <c r="I836" s="117">
        <f t="shared" si="2"/>
        <v>16</v>
      </c>
      <c r="J836" s="117">
        <f t="shared" si="3"/>
        <v>16.020000000000003</v>
      </c>
      <c r="K836" s="117" t="str">
        <f t="shared" si="4"/>
        <v>BR</v>
      </c>
      <c r="L836" s="42" t="str">
        <v>BR1602</v>
      </c>
      <c r="M836" s="121" t="str">
        <v/>
      </c>
      <c r="N836" s="121" t="str">
        <v/>
      </c>
      <c r="O836" s="121" t="str">
        <v/>
      </c>
      <c r="P836" s="121" t="str">
        <v/>
      </c>
      <c r="Q836" s="121" t="str">
        <v/>
      </c>
      <c r="R836" s="121" t="str">
        <v/>
      </c>
      <c r="S836" s="121" t="str">
        <v>Advertisement Description</v>
      </c>
      <c r="T836" s="119" t="str">
        <f>IF($C836&lt;4,IF($C836=3,T837,IF($C836=2,T$1,"")),Q836&amp;R836&amp;IF(LEN(S836)=0,"",Preferences!$C$2&amp;S836)&amp;IF(J837=J836,IF(LEN(R836&amp;S836)=0,"","
")&amp;T837,""))</f>
        <v xml:space="preserve">	• Advertisement Description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6" s="122" t="str">
        <v/>
      </c>
      <c r="V836" s="42"/>
      <c r="W836" s="42"/>
      <c r="X836" s="42"/>
      <c r="Y836" s="42"/>
      <c r="Z836" s="42"/>
      <c r="AA836" s="42"/>
      <c r="AB836" s="42"/>
    </row>
    <row r="837" spans="1:28" x14ac:dyDescent="0.25">
      <c r="A837" s="42" t="str">
        <v>1.16.2.3.3</v>
      </c>
      <c r="B837" s="121" t="str">
        <v>Advertisement with matching meta-tags (detail and parent)</v>
      </c>
      <c r="C837" s="41">
        <v>5</v>
      </c>
      <c r="D837" s="41" t="str">
        <v>RL</v>
      </c>
      <c r="E837" s="117" t="str">
        <f t="shared" si="0"/>
        <v>RL</v>
      </c>
      <c r="F837" s="41" t="str">
        <v/>
      </c>
      <c r="G837" s="41" t="str">
        <v/>
      </c>
      <c r="H837" s="117">
        <f t="shared" si="1"/>
        <v>0</v>
      </c>
      <c r="I837" s="117">
        <f t="shared" si="2"/>
        <v>16</v>
      </c>
      <c r="J837" s="117">
        <f t="shared" si="3"/>
        <v>16.020000000000003</v>
      </c>
      <c r="K837" s="117" t="str">
        <f t="shared" si="4"/>
        <v>BR</v>
      </c>
      <c r="L837" s="42" t="str">
        <v>BR1602</v>
      </c>
      <c r="M837" s="121" t="str">
        <v/>
      </c>
      <c r="N837" s="121" t="str">
        <v/>
      </c>
      <c r="O837" s="121" t="str">
        <v/>
      </c>
      <c r="P837" s="121" t="str">
        <v/>
      </c>
      <c r="Q837" s="121" t="str">
        <v/>
      </c>
      <c r="R837" s="121" t="str">
        <v/>
      </c>
      <c r="S837" s="121" t="str">
        <v>Advertisement with matching meta-tags (detail and parent)</v>
      </c>
      <c r="T837" s="119" t="str">
        <f>IF($C837&lt;4,IF($C837=3,T838,IF($C837=2,T$1,"")),Q837&amp;R837&amp;IF(LEN(S837)=0,"",Preferences!$C$2&amp;S837)&amp;IF(J838=J837,IF(LEN(R837&amp;S837)=0,"","
")&amp;T838,""))</f>
        <v xml:space="preserve">	• Advertisement with matching meta-tags (detail and parent)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7" s="122" t="str">
        <v/>
      </c>
      <c r="V837" s="42"/>
      <c r="W837" s="42"/>
      <c r="X837" s="42"/>
      <c r="Y837" s="42"/>
      <c r="Z837" s="42"/>
      <c r="AA837" s="42"/>
      <c r="AB837" s="42"/>
    </row>
    <row r="838" spans="1:28" x14ac:dyDescent="0.25">
      <c r="A838" s="42" t="str">
        <v>1.16.2.3.4</v>
      </c>
      <c r="B838" s="121" t="str">
        <v>Advertisement with synonyms of matched meta-tags</v>
      </c>
      <c r="C838" s="41">
        <v>5</v>
      </c>
      <c r="D838" s="41" t="str">
        <v>RL</v>
      </c>
      <c r="E838" s="117" t="str">
        <f t="shared" si="0"/>
        <v>RL</v>
      </c>
      <c r="F838" s="41" t="str">
        <v/>
      </c>
      <c r="G838" s="41" t="str">
        <v/>
      </c>
      <c r="H838" s="117">
        <f t="shared" si="1"/>
        <v>0</v>
      </c>
      <c r="I838" s="117">
        <f t="shared" si="2"/>
        <v>16</v>
      </c>
      <c r="J838" s="117">
        <f t="shared" si="3"/>
        <v>16.020000000000003</v>
      </c>
      <c r="K838" s="117" t="str">
        <f t="shared" si="4"/>
        <v>BR</v>
      </c>
      <c r="L838" s="42" t="str">
        <v>BR1602</v>
      </c>
      <c r="M838" s="121" t="str">
        <v/>
      </c>
      <c r="N838" s="121" t="str">
        <v/>
      </c>
      <c r="O838" s="121" t="str">
        <v/>
      </c>
      <c r="P838" s="121" t="str">
        <v/>
      </c>
      <c r="Q838" s="121" t="str">
        <v/>
      </c>
      <c r="R838" s="121" t="str">
        <v/>
      </c>
      <c r="S838" s="121" t="str">
        <v>Advertisement with synonyms of matched meta-tags</v>
      </c>
      <c r="T838" s="119" t="str">
        <f>IF($C838&lt;4,IF($C838=3,T839,IF($C838=2,T$1,"")),Q838&amp;R838&amp;IF(LEN(S838)=0,"",Preferences!$C$2&amp;S838)&amp;IF(J839=J838,IF(LEN(R838&amp;S838)=0,"","
")&amp;T839,""))</f>
        <v xml:space="preserve">	• Advertisement with synonyms of matched meta-tags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8" s="122" t="str">
        <v/>
      </c>
      <c r="V838" s="42"/>
      <c r="W838" s="42"/>
      <c r="X838" s="42"/>
      <c r="Y838" s="42"/>
      <c r="Z838" s="42"/>
      <c r="AA838" s="42"/>
      <c r="AB838" s="42"/>
    </row>
    <row r="839" spans="1:28" x14ac:dyDescent="0.25">
      <c r="A839" s="42" t="str">
        <v>1.16.2.3.5</v>
      </c>
      <c r="B839" s="121" t="str">
        <v>Advertised Brand</v>
      </c>
      <c r="C839" s="41">
        <v>5</v>
      </c>
      <c r="D839" s="41" t="str">
        <v>RL</v>
      </c>
      <c r="E839" s="117" t="str">
        <f t="shared" si="0"/>
        <v>RL</v>
      </c>
      <c r="F839" s="41" t="str">
        <v/>
      </c>
      <c r="G839" s="41" t="str">
        <v/>
      </c>
      <c r="H839" s="117">
        <f t="shared" si="1"/>
        <v>0</v>
      </c>
      <c r="I839" s="117">
        <f t="shared" si="2"/>
        <v>16</v>
      </c>
      <c r="J839" s="117">
        <f t="shared" si="3"/>
        <v>16.020000000000003</v>
      </c>
      <c r="K839" s="117" t="str">
        <f t="shared" si="4"/>
        <v>BR</v>
      </c>
      <c r="L839" s="42" t="str">
        <v>BR1602</v>
      </c>
      <c r="M839" s="121" t="str">
        <v/>
      </c>
      <c r="N839" s="121" t="str">
        <v/>
      </c>
      <c r="O839" s="121" t="str">
        <v/>
      </c>
      <c r="P839" s="121" t="str">
        <v/>
      </c>
      <c r="Q839" s="121" t="str">
        <v/>
      </c>
      <c r="R839" s="121" t="str">
        <v/>
      </c>
      <c r="S839" s="121" t="str">
        <v>Advertised Brand</v>
      </c>
      <c r="T839" s="119" t="str">
        <f>IF($C839&lt;4,IF($C839=3,T840,IF($C839=2,T$1,"")),Q839&amp;R839&amp;IF(LEN(S839)=0,"",Preferences!$C$2&amp;S839)&amp;IF(J840=J839,IF(LEN(R839&amp;S839)=0,"","
")&amp;T840,""))</f>
        <v xml:space="preserve">	• Advertised Brand
 4. Apply a (fuzzy) weighting score to each match, to derive a combined relevance score.
 5. The inclusion of an applicable advertisement in the online shop may be controlled by:
	• Contracted frequency/number of presentations
	• Publish start and end date-time
	• Contracted priority</v>
      </c>
      <c r="U839" s="122" t="str">
        <v/>
      </c>
      <c r="V839" s="42"/>
      <c r="W839" s="42"/>
      <c r="X839" s="42"/>
      <c r="Y839" s="42"/>
      <c r="Z839" s="42"/>
      <c r="AA839" s="42"/>
      <c r="AB839" s="42"/>
    </row>
    <row r="840" spans="1:28" x14ac:dyDescent="0.25">
      <c r="A840" s="42" t="str">
        <v>1.16.2.4</v>
      </c>
      <c r="B840" s="121" t="str">
        <v>Apply a (fuzzy) weighting score to each match, to derive a combined relevance score.</v>
      </c>
      <c r="C840" s="41">
        <v>4</v>
      </c>
      <c r="D840" s="41" t="str">
        <v>RD</v>
      </c>
      <c r="E840" s="117" t="str">
        <f t="shared" si="0"/>
        <v>RD</v>
      </c>
      <c r="F840" s="41" t="str">
        <v/>
      </c>
      <c r="G840" s="41" t="str">
        <v/>
      </c>
      <c r="H840" s="117">
        <f t="shared" si="1"/>
        <v>0</v>
      </c>
      <c r="I840" s="117">
        <f t="shared" si="2"/>
        <v>16</v>
      </c>
      <c r="J840" s="117">
        <f t="shared" si="3"/>
        <v>16.020000000000003</v>
      </c>
      <c r="K840" s="117" t="str">
        <f t="shared" si="4"/>
        <v>BR</v>
      </c>
      <c r="L840" s="42" t="str">
        <v>BR1602</v>
      </c>
      <c r="M840" s="121" t="str">
        <v/>
      </c>
      <c r="N840" s="121" t="str">
        <v/>
      </c>
      <c r="O840" s="121" t="str">
        <v/>
      </c>
      <c r="P840" s="121" t="str">
        <v/>
      </c>
      <c r="Q840" s="121" t="str">
        <v xml:space="preserve"> 4. </v>
      </c>
      <c r="R840" s="121" t="str">
        <v>Apply a (fuzzy) weighting score to each match, to derive a combined relevance score.</v>
      </c>
      <c r="S840" s="121" t="str">
        <v/>
      </c>
      <c r="T840" s="119" t="str">
        <f>IF($C840&lt;4,IF($C840=3,T841,IF($C840=2,T$1,"")),Q840&amp;R840&amp;IF(LEN(S840)=0,"",Preferences!$C$2&amp;S840)&amp;IF(J841=J840,IF(LEN(R840&amp;S840)=0,"","
")&amp;T841,""))</f>
        <v xml:space="preserve"> 4. Apply a (fuzzy) weighting score to each match, to derive a combined relevance score.
 5. The inclusion of an applicable advertisement in the online shop may be controlled by:
	• Contracted frequency/number of presentations
	• Publish start and end date-time
	• Contracted priority</v>
      </c>
      <c r="U840" s="122" t="str">
        <v/>
      </c>
      <c r="V840" s="42"/>
      <c r="W840" s="42"/>
      <c r="X840" s="42"/>
      <c r="Y840" s="42"/>
      <c r="Z840" s="42"/>
      <c r="AA840" s="42"/>
      <c r="AB840" s="42"/>
    </row>
    <row r="841" spans="1:28" x14ac:dyDescent="0.25">
      <c r="A841" s="42" t="str">
        <v>1.16.2.5</v>
      </c>
      <c r="B841" s="121" t="str">
        <v>The inclusion of an applicable advertisement in the online shop may be controlled by:</v>
      </c>
      <c r="C841" s="41">
        <v>4</v>
      </c>
      <c r="D841" s="41" t="str">
        <v>RD</v>
      </c>
      <c r="E841" s="117" t="str">
        <f t="shared" si="0"/>
        <v>RD</v>
      </c>
      <c r="F841" s="41" t="str">
        <v/>
      </c>
      <c r="G841" s="41" t="str">
        <v/>
      </c>
      <c r="H841" s="117">
        <f t="shared" si="1"/>
        <v>0</v>
      </c>
      <c r="I841" s="117">
        <f t="shared" si="2"/>
        <v>16</v>
      </c>
      <c r="J841" s="117">
        <f t="shared" si="3"/>
        <v>16.020000000000003</v>
      </c>
      <c r="K841" s="117" t="str">
        <f t="shared" si="4"/>
        <v>BR</v>
      </c>
      <c r="L841" s="42" t="str">
        <v>BR1602</v>
      </c>
      <c r="M841" s="121" t="str">
        <v/>
      </c>
      <c r="N841" s="121" t="str">
        <v/>
      </c>
      <c r="O841" s="121" t="str">
        <v/>
      </c>
      <c r="P841" s="121" t="str">
        <v/>
      </c>
      <c r="Q841" s="121" t="str">
        <v xml:space="preserve"> 5. </v>
      </c>
      <c r="R841" s="121" t="str">
        <v>The inclusion of an applicable advertisement in the online shop may be controlled by:</v>
      </c>
      <c r="S841" s="121" t="str">
        <v/>
      </c>
      <c r="T841" s="119" t="str">
        <f>IF($C841&lt;4,IF($C841=3,T842,IF($C841=2,T$1,"")),Q841&amp;R841&amp;IF(LEN(S841)=0,"",Preferences!$C$2&amp;S841)&amp;IF(J842=J841,IF(LEN(R841&amp;S841)=0,"","
")&amp;T842,""))</f>
        <v xml:space="preserve"> 5. The inclusion of an applicable advertisement in the online shop may be controlled by:
	• Contracted frequency/number of presentations
	• Publish start and end date-time
	• Contracted priority</v>
      </c>
      <c r="U841" s="122" t="str">
        <v/>
      </c>
      <c r="V841" s="42"/>
      <c r="W841" s="42"/>
      <c r="X841" s="42"/>
      <c r="Y841" s="42"/>
      <c r="Z841" s="42"/>
      <c r="AA841" s="42"/>
      <c r="AB841" s="42"/>
    </row>
    <row r="842" spans="1:28" x14ac:dyDescent="0.25">
      <c r="A842" s="42" t="str">
        <v>1.16.2.5.1</v>
      </c>
      <c r="B842" s="121" t="str">
        <v>Contracted frequency/number of presentations</v>
      </c>
      <c r="C842" s="41">
        <v>5</v>
      </c>
      <c r="D842" s="41" t="str">
        <v>RL</v>
      </c>
      <c r="E842" s="117" t="str">
        <f t="shared" si="0"/>
        <v>RL</v>
      </c>
      <c r="F842" s="41" t="str">
        <v/>
      </c>
      <c r="G842" s="41" t="str">
        <v/>
      </c>
      <c r="H842" s="117">
        <f t="shared" si="1"/>
        <v>0</v>
      </c>
      <c r="I842" s="117">
        <f t="shared" si="2"/>
        <v>16</v>
      </c>
      <c r="J842" s="117">
        <f t="shared" si="3"/>
        <v>16.020000000000003</v>
      </c>
      <c r="K842" s="117" t="str">
        <f t="shared" si="4"/>
        <v>BR</v>
      </c>
      <c r="L842" s="42" t="str">
        <v>BR1602</v>
      </c>
      <c r="M842" s="121" t="str">
        <v/>
      </c>
      <c r="N842" s="121" t="str">
        <v/>
      </c>
      <c r="O842" s="121" t="str">
        <v/>
      </c>
      <c r="P842" s="121" t="str">
        <v/>
      </c>
      <c r="Q842" s="121" t="str">
        <v/>
      </c>
      <c r="R842" s="121" t="str">
        <v/>
      </c>
      <c r="S842" s="121" t="str">
        <v>Contracted frequency/number of presentations</v>
      </c>
      <c r="T842" s="119" t="str">
        <f>IF($C842&lt;4,IF($C842=3,T843,IF($C842=2,T$1,"")),Q842&amp;R842&amp;IF(LEN(S842)=0,"",Preferences!$C$2&amp;S842)&amp;IF(J843=J842,IF(LEN(R842&amp;S842)=0,"","
")&amp;T843,""))</f>
        <v xml:space="preserve">	• Contracted frequency/number of presentations
	• Publish start and end date-time
	• Contracted priority</v>
      </c>
      <c r="U842" s="122" t="str">
        <v/>
      </c>
      <c r="V842" s="42"/>
      <c r="W842" s="42"/>
      <c r="X842" s="42"/>
      <c r="Y842" s="42"/>
      <c r="Z842" s="42"/>
      <c r="AA842" s="42"/>
      <c r="AB842" s="42"/>
    </row>
    <row r="843" spans="1:28" x14ac:dyDescent="0.25">
      <c r="A843" s="42" t="str">
        <v>1.16.2.5.2</v>
      </c>
      <c r="B843" s="121" t="str">
        <v>Publish start and end date-time</v>
      </c>
      <c r="C843" s="41">
        <v>5</v>
      </c>
      <c r="D843" s="41" t="str">
        <v>RL</v>
      </c>
      <c r="E843" s="117" t="str">
        <f t="shared" si="0"/>
        <v>RL</v>
      </c>
      <c r="F843" s="41" t="str">
        <v/>
      </c>
      <c r="G843" s="41" t="str">
        <v/>
      </c>
      <c r="H843" s="117">
        <f t="shared" si="1"/>
        <v>0</v>
      </c>
      <c r="I843" s="117">
        <f t="shared" si="2"/>
        <v>16</v>
      </c>
      <c r="J843" s="117">
        <f t="shared" si="3"/>
        <v>16.020000000000003</v>
      </c>
      <c r="K843" s="117" t="str">
        <f t="shared" si="4"/>
        <v>BR</v>
      </c>
      <c r="L843" s="42" t="str">
        <v>BR1602</v>
      </c>
      <c r="M843" s="121" t="str">
        <v/>
      </c>
      <c r="N843" s="121" t="str">
        <v/>
      </c>
      <c r="O843" s="121" t="str">
        <v/>
      </c>
      <c r="P843" s="121" t="str">
        <v/>
      </c>
      <c r="Q843" s="121" t="str">
        <v/>
      </c>
      <c r="R843" s="121" t="str">
        <v/>
      </c>
      <c r="S843" s="121" t="str">
        <v>Publish start and end date-time</v>
      </c>
      <c r="T843" s="119" t="str">
        <f>IF($C843&lt;4,IF($C843=3,T844,IF($C843=2,T$1,"")),Q843&amp;R843&amp;IF(LEN(S843)=0,"",Preferences!$C$2&amp;S843)&amp;IF(J844=J843,IF(LEN(R843&amp;S843)=0,"","
")&amp;T844,""))</f>
        <v xml:space="preserve">	• Publish start and end date-time
	• Contracted priority</v>
      </c>
      <c r="U843" s="122" t="str">
        <v/>
      </c>
      <c r="V843" s="42"/>
      <c r="W843" s="42"/>
      <c r="X843" s="42"/>
      <c r="Y843" s="42"/>
      <c r="Z843" s="42"/>
      <c r="AA843" s="42"/>
      <c r="AB843" s="42"/>
    </row>
    <row r="844" spans="1:28" x14ac:dyDescent="0.25">
      <c r="A844" s="42" t="str">
        <v>1.16.2.5.3</v>
      </c>
      <c r="B844" s="121" t="str">
        <v>Contracted priority</v>
      </c>
      <c r="C844" s="41">
        <v>5</v>
      </c>
      <c r="D844" s="41" t="str">
        <v>RL</v>
      </c>
      <c r="E844" s="117" t="str">
        <f t="shared" si="0"/>
        <v>RL</v>
      </c>
      <c r="F844" s="41" t="str">
        <v/>
      </c>
      <c r="G844" s="41" t="str">
        <v/>
      </c>
      <c r="H844" s="117">
        <f t="shared" si="1"/>
        <v>0</v>
      </c>
      <c r="I844" s="117">
        <f t="shared" si="2"/>
        <v>16</v>
      </c>
      <c r="J844" s="117">
        <f t="shared" si="3"/>
        <v>16.020000000000003</v>
      </c>
      <c r="K844" s="117" t="str">
        <f t="shared" si="4"/>
        <v>BR</v>
      </c>
      <c r="L844" s="42" t="str">
        <v>BR1602</v>
      </c>
      <c r="M844" s="121" t="str">
        <v/>
      </c>
      <c r="N844" s="121" t="str">
        <v/>
      </c>
      <c r="O844" s="121" t="str">
        <v/>
      </c>
      <c r="P844" s="121" t="str">
        <v/>
      </c>
      <c r="Q844" s="121" t="str">
        <v/>
      </c>
      <c r="R844" s="121" t="str">
        <v/>
      </c>
      <c r="S844" s="121" t="str">
        <v>Contracted priority</v>
      </c>
      <c r="T844" s="119" t="str">
        <f>IF($C844&lt;4,IF($C844=3,T845,IF($C844=2,T$1,"")),Q844&amp;R844&amp;IF(LEN(S844)=0,"",Preferences!$C$2&amp;S844)&amp;IF(J845=J844,IF(LEN(R844&amp;S844)=0,"","
")&amp;T845,""))</f>
        <v xml:space="preserve">	• Contracted priority</v>
      </c>
      <c r="U844" s="122" t="str">
        <v/>
      </c>
      <c r="V844" s="42"/>
      <c r="W844" s="42"/>
      <c r="X844" s="42"/>
      <c r="Y844" s="42"/>
      <c r="Z844" s="42"/>
      <c r="AA844" s="42"/>
      <c r="AB844" s="42"/>
    </row>
    <row r="845" spans="1:28" x14ac:dyDescent="0.25">
      <c r="A845" s="42" t="str">
        <v>1.16.3</v>
      </c>
      <c r="B845" s="121" t="str">
        <v>16.3 Identify articles matching submitted search terms (future phase)</v>
      </c>
      <c r="C845" s="41">
        <v>3</v>
      </c>
      <c r="D845" s="41" t="str">
        <v>R</v>
      </c>
      <c r="E845" s="117" t="str">
        <f t="shared" si="0"/>
        <v>R</v>
      </c>
      <c r="F845" s="41" t="str">
        <v/>
      </c>
      <c r="G845" s="41" t="str">
        <v/>
      </c>
      <c r="H845" s="117">
        <f t="shared" si="1"/>
        <v>0</v>
      </c>
      <c r="I845" s="117">
        <f t="shared" si="2"/>
        <v>16</v>
      </c>
      <c r="J845" s="117">
        <f t="shared" si="3"/>
        <v>16.030000000000005</v>
      </c>
      <c r="K845" s="117" t="str">
        <f t="shared" si="4"/>
        <v>BR</v>
      </c>
      <c r="L845" s="42" t="str">
        <v>BR1603</v>
      </c>
      <c r="M845" s="121" t="str">
        <v/>
      </c>
      <c r="N845" s="121" t="str">
        <v/>
      </c>
      <c r="O845" s="121" t="str">
        <v>BR1603</v>
      </c>
      <c r="P845" s="121" t="str">
        <v>Identify articles matching submitted search terms (future phase)</v>
      </c>
      <c r="Q845" s="121" t="str">
        <v/>
      </c>
      <c r="R845" s="121" t="str">
        <v/>
      </c>
      <c r="S845" s="121" t="str">
        <v/>
      </c>
      <c r="T845" s="119" t="str">
        <f>IF($C845&lt;4,IF($C845=3,T846,IF($C845=2,T$1,"")),Q845&amp;R845&amp;IF(LEN(S845)=0,"",Preferences!$C$2&amp;S845)&amp;IF(J846=J845,IF(LEN(R845&amp;S845)=0,"","
")&amp;T846,""))</f>
        <v xml:space="preserve"> 1. By default, the latest articles across all categories are presented on the products main page.
 2. When browsing by sub/category, the category is used as the search term.
 3. When the customer submits a search string (one/more full/partial words), match the search terms to: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45" s="122" t="str">
        <v/>
      </c>
      <c r="V845" s="42"/>
      <c r="W845" s="42"/>
      <c r="X845" s="42"/>
      <c r="Y845" s="42"/>
      <c r="Z845" s="42"/>
      <c r="AA845" s="42"/>
      <c r="AB845" s="42"/>
    </row>
    <row r="846" spans="1:28" x14ac:dyDescent="0.25">
      <c r="A846" s="42" t="str">
        <v>1.16.3.1</v>
      </c>
      <c r="B846" s="121" t="str">
        <v>By default, the latest articles across all categories are presented on the products main page.</v>
      </c>
      <c r="C846" s="41">
        <v>4</v>
      </c>
      <c r="D846" s="41" t="str">
        <v>RD</v>
      </c>
      <c r="E846" s="117" t="str">
        <f t="shared" si="0"/>
        <v>RD</v>
      </c>
      <c r="F846" s="41" t="str">
        <v/>
      </c>
      <c r="G846" s="41" t="str">
        <v/>
      </c>
      <c r="H846" s="117">
        <f t="shared" si="1"/>
        <v>0</v>
      </c>
      <c r="I846" s="117">
        <f t="shared" si="2"/>
        <v>16</v>
      </c>
      <c r="J846" s="117">
        <f t="shared" si="3"/>
        <v>16.030000000000005</v>
      </c>
      <c r="K846" s="117" t="str">
        <f t="shared" si="4"/>
        <v>BR</v>
      </c>
      <c r="L846" s="42" t="str">
        <v>BR1603</v>
      </c>
      <c r="M846" s="121" t="str">
        <v/>
      </c>
      <c r="N846" s="121" t="str">
        <v/>
      </c>
      <c r="O846" s="121" t="str">
        <v/>
      </c>
      <c r="P846" s="121" t="str">
        <v/>
      </c>
      <c r="Q846" s="121" t="str">
        <v xml:space="preserve"> 1. </v>
      </c>
      <c r="R846" s="121" t="str">
        <v>By default, the latest articles across all categories are presented on the products main page.</v>
      </c>
      <c r="S846" s="121" t="str">
        <v/>
      </c>
      <c r="T846" s="119" t="str">
        <f>IF($C846&lt;4,IF($C846=3,T847,IF($C846=2,T$1,"")),Q846&amp;R846&amp;IF(LEN(S846)=0,"",Preferences!$C$2&amp;S846)&amp;IF(J847=J846,IF(LEN(R846&amp;S846)=0,"","
")&amp;T847,""))</f>
        <v xml:space="preserve"> 1. By default, the latest articles across all categories are presented on the products main page.
 2. When browsing by sub/category, the category is used as the search term.
 3. When the customer submits a search string (one/more full/partial words), match the search terms to: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46" s="122" t="str">
        <v/>
      </c>
      <c r="V846" s="42"/>
      <c r="W846" s="42"/>
      <c r="X846" s="42"/>
      <c r="Y846" s="42"/>
      <c r="Z846" s="42"/>
      <c r="AA846" s="42"/>
      <c r="AB846" s="42"/>
    </row>
    <row r="847" spans="1:28" x14ac:dyDescent="0.25">
      <c r="A847" s="42" t="str">
        <v>1.16.3.2</v>
      </c>
      <c r="B847" s="121" t="str">
        <v>When browsing by sub/category, the category is used as the search term.</v>
      </c>
      <c r="C847" s="41">
        <v>4</v>
      </c>
      <c r="D847" s="41" t="str">
        <v>RD</v>
      </c>
      <c r="E847" s="117" t="str">
        <f t="shared" si="0"/>
        <v>RD</v>
      </c>
      <c r="F847" s="41" t="str">
        <v/>
      </c>
      <c r="G847" s="41" t="str">
        <v/>
      </c>
      <c r="H847" s="117">
        <f t="shared" si="1"/>
        <v>0</v>
      </c>
      <c r="I847" s="117">
        <f t="shared" si="2"/>
        <v>16</v>
      </c>
      <c r="J847" s="117">
        <f t="shared" si="3"/>
        <v>16.030000000000005</v>
      </c>
      <c r="K847" s="117" t="str">
        <f t="shared" si="4"/>
        <v>BR</v>
      </c>
      <c r="L847" s="42" t="str">
        <v>BR1603</v>
      </c>
      <c r="M847" s="121" t="str">
        <v/>
      </c>
      <c r="N847" s="121" t="str">
        <v/>
      </c>
      <c r="O847" s="121" t="str">
        <v/>
      </c>
      <c r="P847" s="121" t="str">
        <v/>
      </c>
      <c r="Q847" s="121" t="str">
        <v xml:space="preserve"> 2. </v>
      </c>
      <c r="R847" s="121" t="str">
        <v>When browsing by sub/category, the category is used as the search term.</v>
      </c>
      <c r="S847" s="121" t="str">
        <v/>
      </c>
      <c r="T847" s="119" t="str">
        <f>IF($C847&lt;4,IF($C847=3,T848,IF($C847=2,T$1,"")),Q847&amp;R847&amp;IF(LEN(S847)=0,"",Preferences!$C$2&amp;S847)&amp;IF(J848=J847,IF(LEN(R847&amp;S847)=0,"","
")&amp;T848,""))</f>
        <v xml:space="preserve"> 2. When browsing by sub/category, the category is used as the search term.
 3. When the customer submits a search string (one/more full/partial words), match the search terms to: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47" s="122" t="str">
        <v/>
      </c>
      <c r="V847" s="42"/>
      <c r="W847" s="42"/>
      <c r="X847" s="42"/>
      <c r="Y847" s="42"/>
      <c r="Z847" s="42"/>
      <c r="AA847" s="42"/>
      <c r="AB847" s="42"/>
    </row>
    <row r="848" spans="1:28" x14ac:dyDescent="0.25">
      <c r="A848" s="42" t="str">
        <v>1.16.3.3</v>
      </c>
      <c r="B848" s="121" t="str">
        <v>When the customer submits a search string (one/more full/partial words), match the search terms to:</v>
      </c>
      <c r="C848" s="41">
        <v>4</v>
      </c>
      <c r="D848" s="41" t="str">
        <v>RD</v>
      </c>
      <c r="E848" s="117" t="str">
        <f t="shared" si="0"/>
        <v>RD</v>
      </c>
      <c r="F848" s="41" t="str">
        <v/>
      </c>
      <c r="G848" s="41" t="str">
        <v/>
      </c>
      <c r="H848" s="117">
        <f t="shared" si="1"/>
        <v>0</v>
      </c>
      <c r="I848" s="117">
        <f t="shared" si="2"/>
        <v>16</v>
      </c>
      <c r="J848" s="117">
        <f t="shared" si="3"/>
        <v>16.030000000000005</v>
      </c>
      <c r="K848" s="117" t="str">
        <f t="shared" si="4"/>
        <v>BR</v>
      </c>
      <c r="L848" s="42" t="str">
        <v>BR1603</v>
      </c>
      <c r="M848" s="121" t="str">
        <v/>
      </c>
      <c r="N848" s="121" t="str">
        <v/>
      </c>
      <c r="O848" s="121" t="str">
        <v/>
      </c>
      <c r="P848" s="121" t="str">
        <v/>
      </c>
      <c r="Q848" s="121" t="str">
        <v xml:space="preserve"> 3. </v>
      </c>
      <c r="R848" s="121" t="str">
        <v>When the customer submits a search string (one/more full/partial words), match the search terms to:</v>
      </c>
      <c r="S848" s="121" t="str">
        <v/>
      </c>
      <c r="T848" s="119" t="str">
        <f>IF($C848&lt;4,IF($C848=3,T849,IF($C848=2,T$1,"")),Q848&amp;R848&amp;IF(LEN(S848)=0,"",Preferences!$C$2&amp;S848)&amp;IF(J849=J848,IF(LEN(R848&amp;S848)=0,"","
")&amp;T849,""))</f>
        <v xml:space="preserve"> 3. When the customer submits a search string (one/more full/partial words), match the search terms to: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48" s="122" t="str">
        <v/>
      </c>
      <c r="V848" s="42"/>
      <c r="W848" s="42"/>
      <c r="X848" s="42"/>
      <c r="Y848" s="42"/>
      <c r="Z848" s="42"/>
      <c r="AA848" s="42"/>
      <c r="AB848" s="42"/>
    </row>
    <row r="849" spans="1:28" x14ac:dyDescent="0.25">
      <c r="A849" s="42" t="str">
        <v>1.16.3.3.1</v>
      </c>
      <c r="B849" s="121" t="str">
        <v>Article Title</v>
      </c>
      <c r="C849" s="41">
        <v>5</v>
      </c>
      <c r="D849" s="41" t="str">
        <v>RL</v>
      </c>
      <c r="E849" s="117" t="str">
        <f t="shared" si="0"/>
        <v>RL</v>
      </c>
      <c r="F849" s="41" t="str">
        <v/>
      </c>
      <c r="G849" s="41" t="str">
        <v/>
      </c>
      <c r="H849" s="117">
        <f t="shared" si="1"/>
        <v>0</v>
      </c>
      <c r="I849" s="117">
        <f t="shared" si="2"/>
        <v>16</v>
      </c>
      <c r="J849" s="117">
        <f t="shared" si="3"/>
        <v>16.030000000000005</v>
      </c>
      <c r="K849" s="117" t="str">
        <f t="shared" si="4"/>
        <v>BR</v>
      </c>
      <c r="L849" s="42" t="str">
        <v>BR1603</v>
      </c>
      <c r="M849" s="121" t="str">
        <v/>
      </c>
      <c r="N849" s="121" t="str">
        <v/>
      </c>
      <c r="O849" s="121" t="str">
        <v/>
      </c>
      <c r="P849" s="121" t="str">
        <v/>
      </c>
      <c r="Q849" s="121" t="str">
        <v/>
      </c>
      <c r="R849" s="121" t="str">
        <v/>
      </c>
      <c r="S849" s="121" t="str">
        <v>Article Title</v>
      </c>
      <c r="T849" s="119" t="str">
        <f>IF($C849&lt;4,IF($C849=3,T850,IF($C849=2,T$1,"")),Q849&amp;R849&amp;IF(LEN(S849)=0,"",Preferences!$C$2&amp;S849)&amp;IF(J850=J849,IF(LEN(R849&amp;S849)=0,"","
")&amp;T850,""))</f>
        <v xml:space="preserve">	• Article Title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49" s="122" t="str">
        <v/>
      </c>
      <c r="V849" s="42"/>
      <c r="W849" s="42"/>
      <c r="X849" s="42"/>
      <c r="Y849" s="42"/>
      <c r="Z849" s="42"/>
      <c r="AA849" s="42"/>
      <c r="AB849" s="42"/>
    </row>
    <row r="850" spans="1:28" x14ac:dyDescent="0.25">
      <c r="A850" s="42" t="str">
        <v>1.16.3.3.2</v>
      </c>
      <c r="B850" s="121" t="str">
        <v>Article Description</v>
      </c>
      <c r="C850" s="41">
        <v>5</v>
      </c>
      <c r="D850" s="41" t="str">
        <v>RL</v>
      </c>
      <c r="E850" s="117" t="str">
        <f t="shared" si="0"/>
        <v>RL</v>
      </c>
      <c r="F850" s="41" t="str">
        <v/>
      </c>
      <c r="G850" s="41" t="str">
        <v/>
      </c>
      <c r="H850" s="117">
        <f t="shared" si="1"/>
        <v>0</v>
      </c>
      <c r="I850" s="117">
        <f t="shared" si="2"/>
        <v>16</v>
      </c>
      <c r="J850" s="117">
        <f t="shared" si="3"/>
        <v>16.030000000000005</v>
      </c>
      <c r="K850" s="117" t="str">
        <f t="shared" si="4"/>
        <v>BR</v>
      </c>
      <c r="L850" s="42" t="str">
        <v>BR1603</v>
      </c>
      <c r="M850" s="121" t="str">
        <v/>
      </c>
      <c r="N850" s="121" t="str">
        <v/>
      </c>
      <c r="O850" s="121" t="str">
        <v/>
      </c>
      <c r="P850" s="121" t="str">
        <v/>
      </c>
      <c r="Q850" s="121" t="str">
        <v/>
      </c>
      <c r="R850" s="121" t="str">
        <v/>
      </c>
      <c r="S850" s="121" t="str">
        <v>Article Description</v>
      </c>
      <c r="T850" s="119" t="str">
        <f>IF($C850&lt;4,IF($C850=3,T851,IF($C850=2,T$1,"")),Q850&amp;R850&amp;IF(LEN(S850)=0,"",Preferences!$C$2&amp;S850)&amp;IF(J851=J850,IF(LEN(R850&amp;S850)=0,"","
")&amp;T851,""))</f>
        <v xml:space="preserve">	• Article Description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50" s="122" t="str">
        <v/>
      </c>
      <c r="V850" s="42"/>
      <c r="W850" s="42"/>
      <c r="X850" s="42"/>
      <c r="Y850" s="42"/>
      <c r="Z850" s="42"/>
      <c r="AA850" s="42"/>
      <c r="AB850" s="42"/>
    </row>
    <row r="851" spans="1:28" x14ac:dyDescent="0.25">
      <c r="A851" s="42" t="str">
        <v>1.16.3.3.3</v>
      </c>
      <c r="B851" s="121" t="str">
        <v>Articles with matching meta-tags (detail and parent)</v>
      </c>
      <c r="C851" s="41">
        <v>5</v>
      </c>
      <c r="D851" s="41" t="str">
        <v>RL</v>
      </c>
      <c r="E851" s="117" t="str">
        <f t="shared" si="0"/>
        <v>RL</v>
      </c>
      <c r="F851" s="41" t="str">
        <v/>
      </c>
      <c r="G851" s="41" t="str">
        <v/>
      </c>
      <c r="H851" s="117">
        <f t="shared" si="1"/>
        <v>0</v>
      </c>
      <c r="I851" s="117">
        <f t="shared" si="2"/>
        <v>16</v>
      </c>
      <c r="J851" s="117">
        <f t="shared" si="3"/>
        <v>16.030000000000005</v>
      </c>
      <c r="K851" s="117" t="str">
        <f t="shared" si="4"/>
        <v>BR</v>
      </c>
      <c r="L851" s="42" t="str">
        <v>BR1603</v>
      </c>
      <c r="M851" s="121" t="str">
        <v/>
      </c>
      <c r="N851" s="121" t="str">
        <v/>
      </c>
      <c r="O851" s="121" t="str">
        <v/>
      </c>
      <c r="P851" s="121" t="str">
        <v/>
      </c>
      <c r="Q851" s="121" t="str">
        <v/>
      </c>
      <c r="R851" s="121" t="str">
        <v/>
      </c>
      <c r="S851" s="121" t="str">
        <v>Articles with matching meta-tags (detail and parent)</v>
      </c>
      <c r="T851" s="119" t="str">
        <f>IF($C851&lt;4,IF($C851=3,T852,IF($C851=2,T$1,"")),Q851&amp;R851&amp;IF(LEN(S851)=0,"",Preferences!$C$2&amp;S851)&amp;IF(J852=J851,IF(LEN(R851&amp;S851)=0,"","
")&amp;T852,""))</f>
        <v xml:space="preserve">	• Articles with matching meta-tags (detail and parent)
	• Articles with synonyms of matched meta-tags
 4. Apply a (fuzzy) weighting score to each match, to derive a combined relevance score.
 5. The inclusion of an applicable synonym in the online shop may be controlled by:
	• Publish start and end date-time</v>
      </c>
      <c r="U851" s="122" t="str">
        <v/>
      </c>
      <c r="V851" s="42"/>
      <c r="W851" s="42"/>
      <c r="X851" s="42"/>
      <c r="Y851" s="42"/>
      <c r="Z851" s="42"/>
      <c r="AA851" s="42"/>
      <c r="AB851" s="42"/>
    </row>
    <row r="852" spans="1:28" x14ac:dyDescent="0.25">
      <c r="A852" s="42" t="str">
        <v>1.16.3.3.4</v>
      </c>
      <c r="B852" s="121" t="str">
        <v>Articles with synonyms of matched meta-tags</v>
      </c>
      <c r="C852" s="41">
        <v>5</v>
      </c>
      <c r="D852" s="41" t="str">
        <v>RL</v>
      </c>
      <c r="E852" s="117" t="str">
        <f t="shared" si="0"/>
        <v>RL</v>
      </c>
      <c r="F852" s="41" t="str">
        <v/>
      </c>
      <c r="G852" s="41" t="str">
        <v/>
      </c>
      <c r="H852" s="117">
        <f t="shared" si="1"/>
        <v>0</v>
      </c>
      <c r="I852" s="117">
        <f t="shared" si="2"/>
        <v>16</v>
      </c>
      <c r="J852" s="117">
        <f t="shared" si="3"/>
        <v>16.030000000000005</v>
      </c>
      <c r="K852" s="117" t="str">
        <f t="shared" si="4"/>
        <v>BR</v>
      </c>
      <c r="L852" s="42" t="str">
        <v>BR1603</v>
      </c>
      <c r="M852" s="121" t="str">
        <v/>
      </c>
      <c r="N852" s="121" t="str">
        <v/>
      </c>
      <c r="O852" s="121" t="str">
        <v/>
      </c>
      <c r="P852" s="121" t="str">
        <v/>
      </c>
      <c r="Q852" s="121" t="str">
        <v/>
      </c>
      <c r="R852" s="121" t="str">
        <v/>
      </c>
      <c r="S852" s="121" t="str">
        <v>Articles with synonyms of matched meta-tags</v>
      </c>
      <c r="T852" s="119" t="str">
        <f>IF($C852&lt;4,IF($C852=3,T853,IF($C852=2,T$1,"")),Q852&amp;R852&amp;IF(LEN(S852)=0,"",Preferences!$C$2&amp;S852)&amp;IF(J853=J852,IF(LEN(R852&amp;S852)=0,"","
")&amp;T853,""))</f>
        <v xml:space="preserve">	• Articles with synonyms of matched meta-tags
 4. Apply a (fuzzy) weighting score to each match, to derive a combined relevance score.
 5. The inclusion of an applicable synonym in the online shop may be controlled by:
	• Publish start and end date-time</v>
      </c>
      <c r="U852" s="122" t="str">
        <v/>
      </c>
      <c r="V852" s="42"/>
      <c r="W852" s="42"/>
      <c r="X852" s="42"/>
      <c r="Y852" s="42"/>
      <c r="Z852" s="42"/>
      <c r="AA852" s="42"/>
      <c r="AB852" s="42"/>
    </row>
    <row r="853" spans="1:28" x14ac:dyDescent="0.25">
      <c r="A853" s="42" t="str">
        <v>1.16.3.4</v>
      </c>
      <c r="B853" s="121" t="str">
        <v>Apply a (fuzzy) weighting score to each match, to derive a combined relevance score.</v>
      </c>
      <c r="C853" s="41">
        <v>4</v>
      </c>
      <c r="D853" s="41" t="str">
        <v>RD</v>
      </c>
      <c r="E853" s="117" t="str">
        <f t="shared" si="0"/>
        <v>RD</v>
      </c>
      <c r="F853" s="41" t="str">
        <v/>
      </c>
      <c r="G853" s="41" t="str">
        <v/>
      </c>
      <c r="H853" s="117">
        <f t="shared" si="1"/>
        <v>0</v>
      </c>
      <c r="I853" s="117">
        <f t="shared" si="2"/>
        <v>16</v>
      </c>
      <c r="J853" s="117">
        <f t="shared" si="3"/>
        <v>16.030000000000005</v>
      </c>
      <c r="K853" s="117" t="str">
        <f t="shared" si="4"/>
        <v>BR</v>
      </c>
      <c r="L853" s="42" t="str">
        <v>BR1603</v>
      </c>
      <c r="M853" s="121" t="str">
        <v/>
      </c>
      <c r="N853" s="121" t="str">
        <v/>
      </c>
      <c r="O853" s="121" t="str">
        <v/>
      </c>
      <c r="P853" s="121" t="str">
        <v/>
      </c>
      <c r="Q853" s="121" t="str">
        <v xml:space="preserve"> 4. </v>
      </c>
      <c r="R853" s="121" t="str">
        <v>Apply a (fuzzy) weighting score to each match, to derive a combined relevance score.</v>
      </c>
      <c r="S853" s="121" t="str">
        <v/>
      </c>
      <c r="T853" s="119" t="str">
        <f>IF($C853&lt;4,IF($C853=3,T854,IF($C853=2,T$1,"")),Q853&amp;R853&amp;IF(LEN(S853)=0,"",Preferences!$C$2&amp;S853)&amp;IF(J854=J853,IF(LEN(R853&amp;S853)=0,"","
")&amp;T854,""))</f>
        <v xml:space="preserve"> 4. Apply a (fuzzy) weighting score to each match, to derive a combined relevance score.
 5. The inclusion of an applicable synonym in the online shop may be controlled by:
	• Publish start and end date-time</v>
      </c>
      <c r="U853" s="122" t="str">
        <v/>
      </c>
      <c r="V853" s="42"/>
      <c r="W853" s="42"/>
      <c r="X853" s="42"/>
      <c r="Y853" s="42"/>
      <c r="Z853" s="42"/>
      <c r="AA853" s="42"/>
      <c r="AB853" s="42"/>
    </row>
    <row r="854" spans="1:28" x14ac:dyDescent="0.25">
      <c r="A854" s="42" t="str">
        <v>1.16.3.5</v>
      </c>
      <c r="B854" s="121" t="str">
        <v>The inclusion of an applicable synonym in the online shop may be controlled by:</v>
      </c>
      <c r="C854" s="41">
        <v>4</v>
      </c>
      <c r="D854" s="41" t="str">
        <v>RD</v>
      </c>
      <c r="E854" s="117" t="str">
        <f t="shared" si="0"/>
        <v>RD</v>
      </c>
      <c r="F854" s="41" t="str">
        <v/>
      </c>
      <c r="G854" s="41" t="str">
        <v/>
      </c>
      <c r="H854" s="117">
        <f t="shared" si="1"/>
        <v>0</v>
      </c>
      <c r="I854" s="117">
        <f t="shared" si="2"/>
        <v>16</v>
      </c>
      <c r="J854" s="117">
        <f t="shared" si="3"/>
        <v>16.030000000000005</v>
      </c>
      <c r="K854" s="117" t="str">
        <f t="shared" si="4"/>
        <v>BR</v>
      </c>
      <c r="L854" s="42" t="str">
        <v>BR1603</v>
      </c>
      <c r="M854" s="121" t="str">
        <v/>
      </c>
      <c r="N854" s="121" t="str">
        <v/>
      </c>
      <c r="O854" s="121" t="str">
        <v/>
      </c>
      <c r="P854" s="121" t="str">
        <v/>
      </c>
      <c r="Q854" s="121" t="str">
        <v xml:space="preserve"> 5. </v>
      </c>
      <c r="R854" s="121" t="str">
        <v>The inclusion of an applicable synonym in the online shop may be controlled by:</v>
      </c>
      <c r="S854" s="121" t="str">
        <v/>
      </c>
      <c r="T854" s="119" t="str">
        <f>IF($C854&lt;4,IF($C854=3,T855,IF($C854=2,T$1,"")),Q854&amp;R854&amp;IF(LEN(S854)=0,"",Preferences!$C$2&amp;S854)&amp;IF(J855=J854,IF(LEN(R854&amp;S854)=0,"","
")&amp;T855,""))</f>
        <v xml:space="preserve"> 5. The inclusion of an applicable synonym in the online shop may be controlled by:
	• Publish start and end date-time</v>
      </c>
      <c r="U854" s="122" t="str">
        <v/>
      </c>
      <c r="V854" s="42"/>
      <c r="W854" s="42"/>
      <c r="X854" s="42"/>
      <c r="Y854" s="42"/>
      <c r="Z854" s="42"/>
      <c r="AA854" s="42"/>
      <c r="AB854" s="42"/>
    </row>
    <row r="855" spans="1:28" x14ac:dyDescent="0.25">
      <c r="A855" s="42" t="str">
        <v>1.16.3.5.1</v>
      </c>
      <c r="B855" s="121" t="str">
        <v>Publish start and end date-time</v>
      </c>
      <c r="C855" s="41">
        <v>5</v>
      </c>
      <c r="D855" s="41" t="str">
        <v>RL</v>
      </c>
      <c r="E855" s="117" t="str">
        <f t="shared" si="0"/>
        <v>RL</v>
      </c>
      <c r="F855" s="41" t="str">
        <v/>
      </c>
      <c r="G855" s="41" t="str">
        <v/>
      </c>
      <c r="H855" s="117">
        <f t="shared" si="1"/>
        <v>0</v>
      </c>
      <c r="I855" s="117">
        <f t="shared" si="2"/>
        <v>16</v>
      </c>
      <c r="J855" s="117">
        <f t="shared" si="3"/>
        <v>16.030000000000005</v>
      </c>
      <c r="K855" s="117" t="str">
        <f t="shared" si="4"/>
        <v>BR</v>
      </c>
      <c r="L855" s="42" t="str">
        <v>BR1603</v>
      </c>
      <c r="M855" s="121" t="str">
        <v/>
      </c>
      <c r="N855" s="121" t="str">
        <v/>
      </c>
      <c r="O855" s="121" t="str">
        <v/>
      </c>
      <c r="P855" s="121" t="str">
        <v/>
      </c>
      <c r="Q855" s="121" t="str">
        <v/>
      </c>
      <c r="R855" s="121" t="str">
        <v/>
      </c>
      <c r="S855" s="121" t="str">
        <v>Publish start and end date-time</v>
      </c>
      <c r="T855" s="119" t="str">
        <f>IF($C855&lt;4,IF($C855=3,T856,IF($C855=2,T$1,"")),Q855&amp;R855&amp;IF(LEN(S855)=0,"",Preferences!$C$2&amp;S855)&amp;IF(J856=J855,IF(LEN(R855&amp;S855)=0,"","
")&amp;T856,""))</f>
        <v xml:space="preserve">	• Publish start and end date-time</v>
      </c>
      <c r="U855" s="122" t="str">
        <v/>
      </c>
      <c r="V855" s="42"/>
      <c r="W855" s="42"/>
      <c r="X855" s="42"/>
      <c r="Y855" s="42"/>
      <c r="Z855" s="42"/>
      <c r="AA855" s="42"/>
      <c r="AB855" s="42"/>
    </row>
    <row r="856" spans="1:28" x14ac:dyDescent="0.25">
      <c r="A856" s="42" t="str">
        <v>1.16.4</v>
      </c>
      <c r="B856" s="121" t="str">
        <v>16.4 Return search results, using the preferred results order</v>
      </c>
      <c r="C856" s="41">
        <v>3</v>
      </c>
      <c r="D856" s="41" t="str">
        <v>R</v>
      </c>
      <c r="E856" s="117" t="str">
        <f t="shared" si="0"/>
        <v>R</v>
      </c>
      <c r="F856" s="41" t="str">
        <v/>
      </c>
      <c r="G856" s="41" t="str">
        <v/>
      </c>
      <c r="H856" s="117">
        <f t="shared" si="1"/>
        <v>0</v>
      </c>
      <c r="I856" s="117">
        <f t="shared" si="2"/>
        <v>16</v>
      </c>
      <c r="J856" s="117">
        <f t="shared" si="3"/>
        <v>16.040000000000006</v>
      </c>
      <c r="K856" s="117" t="str">
        <f t="shared" si="4"/>
        <v>BR</v>
      </c>
      <c r="L856" s="42" t="str">
        <v>BR1604</v>
      </c>
      <c r="M856" s="121" t="str">
        <v/>
      </c>
      <c r="N856" s="121" t="str">
        <v/>
      </c>
      <c r="O856" s="121" t="str">
        <v>BR1604</v>
      </c>
      <c r="P856" s="121" t="str">
        <v>Return search results, using the preferred results order</v>
      </c>
      <c r="Q856" s="121" t="str">
        <v/>
      </c>
      <c r="R856" s="121" t="str">
        <v/>
      </c>
      <c r="S856" s="121" t="str">
        <v/>
      </c>
      <c r="T856" s="119" t="str">
        <f>IF($C856&lt;4,IF($C856=3,T857,IF($C856=2,T$1,"")),Q856&amp;R856&amp;IF(LEN(S856)=0,"",Preferences!$C$2&amp;S856)&amp;IF(J857=J856,IF(LEN(R856&amp;S856)=0,"","
")&amp;T857,""))</f>
        <v xml:space="preserve"> 1. Include a fixed number of advertised products at the top of the search/filtering results.
 2. Include a fixed number of articles at the top of the search/filtering results.
 3. Prioritise meta-tags, products and articles recently or frequently used by a specific customer.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U856" s="122" t="str">
        <v/>
      </c>
      <c r="V856" s="42"/>
      <c r="W856" s="42"/>
      <c r="X856" s="42"/>
      <c r="Y856" s="42"/>
      <c r="Z856" s="42"/>
      <c r="AA856" s="42"/>
      <c r="AB856" s="42"/>
    </row>
    <row r="857" spans="1:28" x14ac:dyDescent="0.25">
      <c r="A857" s="42" t="str">
        <v>1.16.4.1</v>
      </c>
      <c r="B857" s="121" t="str">
        <v>Include a fixed number of advertised products at the top of the search/filtering results.</v>
      </c>
      <c r="C857" s="41">
        <v>4</v>
      </c>
      <c r="D857" s="41" t="str">
        <v>RD</v>
      </c>
      <c r="E857" s="117" t="str">
        <f t="shared" si="0"/>
        <v>RD</v>
      </c>
      <c r="F857" s="41" t="str">
        <v/>
      </c>
      <c r="G857" s="41" t="str">
        <v/>
      </c>
      <c r="H857" s="117">
        <f t="shared" si="1"/>
        <v>0</v>
      </c>
      <c r="I857" s="117">
        <f t="shared" si="2"/>
        <v>16</v>
      </c>
      <c r="J857" s="117">
        <f t="shared" si="3"/>
        <v>16.040000000000006</v>
      </c>
      <c r="K857" s="117" t="str">
        <f t="shared" si="4"/>
        <v>BR</v>
      </c>
      <c r="L857" s="42" t="str">
        <v>BR1604</v>
      </c>
      <c r="M857" s="121" t="str">
        <v/>
      </c>
      <c r="N857" s="121" t="str">
        <v/>
      </c>
      <c r="O857" s="121" t="str">
        <v/>
      </c>
      <c r="P857" s="121" t="str">
        <v/>
      </c>
      <c r="Q857" s="121" t="str">
        <v xml:space="preserve"> 1. </v>
      </c>
      <c r="R857" s="121" t="str">
        <v>Include a fixed number of advertised products at the top of the search/filtering results.</v>
      </c>
      <c r="S857" s="121" t="str">
        <v/>
      </c>
      <c r="T857" s="119" t="str">
        <f>IF($C857&lt;4,IF($C857=3,T858,IF($C857=2,T$1,"")),Q857&amp;R857&amp;IF(LEN(S857)=0,"",Preferences!$C$2&amp;S857)&amp;IF(J858=J857,IF(LEN(R857&amp;S857)=0,"","
")&amp;T858,""))</f>
        <v xml:space="preserve"> 1. Include a fixed number of advertised products at the top of the search/filtering results.
 2. Include a fixed number of articles at the top of the search/filtering results.
 3. Prioritise meta-tags, products and articles recently or frequently used by a specific customer.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U857" s="122" t="str">
        <v/>
      </c>
      <c r="V857" s="42"/>
      <c r="W857" s="42"/>
      <c r="X857" s="42"/>
      <c r="Y857" s="42"/>
      <c r="Z857" s="42"/>
      <c r="AA857" s="42"/>
      <c r="AB857" s="42"/>
    </row>
    <row r="858" spans="1:28" x14ac:dyDescent="0.25">
      <c r="A858" s="42" t="str">
        <v>1.16.4.2</v>
      </c>
      <c r="B858" s="121" t="str">
        <v>Include a fixed number of articles at the top of the search/filtering results.</v>
      </c>
      <c r="C858" s="41">
        <v>4</v>
      </c>
      <c r="D858" s="41" t="str">
        <v>RD</v>
      </c>
      <c r="E858" s="117" t="str">
        <f t="shared" si="0"/>
        <v>RD</v>
      </c>
      <c r="F858" s="41" t="str">
        <v/>
      </c>
      <c r="G858" s="41" t="str">
        <v/>
      </c>
      <c r="H858" s="117">
        <f t="shared" si="1"/>
        <v>0</v>
      </c>
      <c r="I858" s="117">
        <f t="shared" si="2"/>
        <v>16</v>
      </c>
      <c r="J858" s="117">
        <f t="shared" si="3"/>
        <v>16.040000000000006</v>
      </c>
      <c r="K858" s="117" t="str">
        <f t="shared" si="4"/>
        <v>BR</v>
      </c>
      <c r="L858" s="42" t="str">
        <v>BR1604</v>
      </c>
      <c r="M858" s="121" t="str">
        <v/>
      </c>
      <c r="N858" s="121" t="str">
        <v/>
      </c>
      <c r="O858" s="121" t="str">
        <v/>
      </c>
      <c r="P858" s="121" t="str">
        <v/>
      </c>
      <c r="Q858" s="121" t="str">
        <v xml:space="preserve"> 2. </v>
      </c>
      <c r="R858" s="121" t="str">
        <v>Include a fixed number of articles at the top of the search/filtering results.</v>
      </c>
      <c r="S858" s="121" t="str">
        <v/>
      </c>
      <c r="T858" s="119" t="str">
        <f>IF($C858&lt;4,IF($C858=3,T859,IF($C858=2,T$1,"")),Q858&amp;R858&amp;IF(LEN(S858)=0,"",Preferences!$C$2&amp;S858)&amp;IF(J859=J858,IF(LEN(R858&amp;S858)=0,"","
")&amp;T859,""))</f>
        <v xml:space="preserve"> 2. Include a fixed number of articles at the top of the search/filtering results.
 3. Prioritise meta-tags, products and articles recently or frequently used by a specific customer.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U858" s="122" t="str">
        <v/>
      </c>
      <c r="V858" s="42"/>
      <c r="W858" s="42"/>
      <c r="X858" s="42"/>
      <c r="Y858" s="42"/>
      <c r="Z858" s="42"/>
      <c r="AA858" s="42"/>
      <c r="AB858" s="42"/>
    </row>
    <row r="859" spans="1:28" x14ac:dyDescent="0.25">
      <c r="A859" s="42" t="str">
        <v>1.16.4.3</v>
      </c>
      <c r="B859" s="121" t="str">
        <v>Prioritise meta-tags, products and articles recently or frequently used by a specific customer.</v>
      </c>
      <c r="C859" s="41">
        <v>4</v>
      </c>
      <c r="D859" s="41" t="str">
        <v>RD</v>
      </c>
      <c r="E859" s="117" t="str">
        <f t="shared" si="0"/>
        <v>RD</v>
      </c>
      <c r="F859" s="41" t="str">
        <v/>
      </c>
      <c r="G859" s="41" t="str">
        <v/>
      </c>
      <c r="H859" s="117">
        <f t="shared" si="1"/>
        <v>0</v>
      </c>
      <c r="I859" s="117">
        <f t="shared" si="2"/>
        <v>16</v>
      </c>
      <c r="J859" s="117">
        <f t="shared" si="3"/>
        <v>16.040000000000006</v>
      </c>
      <c r="K859" s="117" t="str">
        <f t="shared" si="4"/>
        <v>BR</v>
      </c>
      <c r="L859" s="42" t="str">
        <v>BR1604</v>
      </c>
      <c r="M859" s="121" t="str">
        <v/>
      </c>
      <c r="N859" s="121" t="str">
        <v/>
      </c>
      <c r="O859" s="121" t="str">
        <v/>
      </c>
      <c r="P859" s="121" t="str">
        <v/>
      </c>
      <c r="Q859" s="121" t="str">
        <v xml:space="preserve"> 3. </v>
      </c>
      <c r="R859" s="121" t="str">
        <v>Prioritise meta-tags, products and articles recently or frequently used by a specific customer.</v>
      </c>
      <c r="S859" s="121" t="str">
        <v/>
      </c>
      <c r="T859" s="119" t="str">
        <f>IF($C859&lt;4,IF($C859=3,T860,IF($C859=2,T$1,"")),Q859&amp;R859&amp;IF(LEN(S859)=0,"",Preferences!$C$2&amp;S859)&amp;IF(J860=J859,IF(LEN(R859&amp;S859)=0,"","
")&amp;T860,""))</f>
        <v xml:space="preserve"> 3. Prioritise meta-tags, products and articles recently or frequently used by a specific customer.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U859" s="122" t="str">
        <v/>
      </c>
      <c r="V859" s="42"/>
      <c r="W859" s="42"/>
      <c r="X859" s="42"/>
      <c r="Y859" s="42"/>
      <c r="Z859" s="42"/>
      <c r="AA859" s="42"/>
      <c r="AB859" s="42"/>
    </row>
    <row r="860" spans="1:28" x14ac:dyDescent="0.25">
      <c r="A860" s="42" t="str">
        <v>1.16.4.4</v>
      </c>
      <c r="B860" s="121" t="str">
        <v>The recommended order ranks matching products, based on the weighted matching score in order of priority:</v>
      </c>
      <c r="C860" s="41">
        <v>4</v>
      </c>
      <c r="D860" s="41" t="str">
        <v>RD</v>
      </c>
      <c r="E860" s="117" t="str">
        <f t="shared" si="0"/>
        <v>RD</v>
      </c>
      <c r="F860" s="41" t="str">
        <v/>
      </c>
      <c r="G860" s="41" t="str">
        <v/>
      </c>
      <c r="H860" s="117">
        <f t="shared" si="1"/>
        <v>0</v>
      </c>
      <c r="I860" s="117">
        <f t="shared" si="2"/>
        <v>16</v>
      </c>
      <c r="J860" s="117">
        <f t="shared" si="3"/>
        <v>16.040000000000006</v>
      </c>
      <c r="K860" s="117" t="str">
        <f t="shared" si="4"/>
        <v>BR</v>
      </c>
      <c r="L860" s="42" t="str">
        <v>BR1604</v>
      </c>
      <c r="M860" s="121" t="str">
        <v/>
      </c>
      <c r="N860" s="121" t="str">
        <v/>
      </c>
      <c r="O860" s="121" t="str">
        <v/>
      </c>
      <c r="P860" s="121" t="str">
        <v/>
      </c>
      <c r="Q860" s="121" t="str">
        <v xml:space="preserve"> 4. </v>
      </c>
      <c r="R860" s="121" t="str">
        <v>The recommended order ranks matching products, based on the weighted matching score in order of priority:</v>
      </c>
      <c r="S860" s="121" t="str">
        <v/>
      </c>
      <c r="T860" s="119" t="str">
        <f>IF($C860&lt;4,IF($C860=3,T861,IF($C860=2,T$1,"")),Q860&amp;R860&amp;IF(LEN(S860)=0,"",Preferences!$C$2&amp;S860)&amp;IF(J861=J860,IF(LEN(R860&amp;S860)=0,"","
")&amp;T861,""))</f>
        <v xml:space="preserve"> 4. The recommended order ranks matching products, based on the weighted matching score in order of priority:
	• Advertisement priority
	• Article title rank
	• Article description rank
	• Promotion rank
	• Product name match score
	• Products description match score
	• Products brand match score
	• Meta-tag match score
	• Synonyms of matched meta-tags</v>
      </c>
      <c r="U860" s="122" t="str">
        <v/>
      </c>
      <c r="V860" s="42"/>
      <c r="W860" s="42"/>
      <c r="X860" s="42"/>
      <c r="Y860" s="42"/>
      <c r="Z860" s="42"/>
      <c r="AA860" s="42"/>
      <c r="AB860" s="42"/>
    </row>
    <row r="861" spans="1:28" x14ac:dyDescent="0.25">
      <c r="A861" s="42" t="str">
        <v>1.16.4.4.1</v>
      </c>
      <c r="B861" s="121" t="str">
        <v>Advertisement priority</v>
      </c>
      <c r="C861" s="41">
        <v>5</v>
      </c>
      <c r="D861" s="41" t="str">
        <v>RL</v>
      </c>
      <c r="E861" s="117" t="str">
        <f t="shared" si="0"/>
        <v>RL</v>
      </c>
      <c r="F861" s="41" t="str">
        <v/>
      </c>
      <c r="G861" s="41" t="str">
        <v/>
      </c>
      <c r="H861" s="117">
        <f t="shared" si="1"/>
        <v>0</v>
      </c>
      <c r="I861" s="117">
        <f t="shared" si="2"/>
        <v>16</v>
      </c>
      <c r="J861" s="117">
        <f t="shared" si="3"/>
        <v>16.040000000000006</v>
      </c>
      <c r="K861" s="117" t="str">
        <f t="shared" si="4"/>
        <v>BR</v>
      </c>
      <c r="L861" s="42" t="str">
        <v>BR1604</v>
      </c>
      <c r="M861" s="121" t="str">
        <v/>
      </c>
      <c r="N861" s="121" t="str">
        <v/>
      </c>
      <c r="O861" s="121" t="str">
        <v/>
      </c>
      <c r="P861" s="121" t="str">
        <v/>
      </c>
      <c r="Q861" s="121" t="str">
        <v/>
      </c>
      <c r="R861" s="121" t="str">
        <v/>
      </c>
      <c r="S861" s="121" t="str">
        <v>Advertisement priority</v>
      </c>
      <c r="T861" s="119" t="str">
        <f>IF($C861&lt;4,IF($C861=3,T862,IF($C861=2,T$1,"")),Q861&amp;R861&amp;IF(LEN(S861)=0,"",Preferences!$C$2&amp;S861)&amp;IF(J862=J861,IF(LEN(R861&amp;S861)=0,"","
")&amp;T862,""))</f>
        <v xml:space="preserve">	• Advertisement priority
	• Article title rank
	• Article description rank
	• Promotion rank
	• Product name match score
	• Products description match score
	• Products brand match score
	• Meta-tag match score
	• Synonyms of matched meta-tags</v>
      </c>
      <c r="U861" s="122" t="str">
        <v/>
      </c>
      <c r="V861" s="42"/>
      <c r="W861" s="42"/>
      <c r="X861" s="42"/>
      <c r="Y861" s="42"/>
      <c r="Z861" s="42"/>
      <c r="AA861" s="42"/>
      <c r="AB861" s="42"/>
    </row>
    <row r="862" spans="1:28" x14ac:dyDescent="0.25">
      <c r="A862" s="42" t="str">
        <v>1.16.4.4.2</v>
      </c>
      <c r="B862" s="121" t="str">
        <v>Article title rank</v>
      </c>
      <c r="C862" s="41">
        <v>5</v>
      </c>
      <c r="D862" s="41" t="str">
        <v>RL</v>
      </c>
      <c r="E862" s="117" t="str">
        <f t="shared" si="0"/>
        <v>RL</v>
      </c>
      <c r="F862" s="41" t="str">
        <v/>
      </c>
      <c r="G862" s="41" t="str">
        <v/>
      </c>
      <c r="H862" s="117">
        <f t="shared" si="1"/>
        <v>0</v>
      </c>
      <c r="I862" s="117">
        <f t="shared" si="2"/>
        <v>16</v>
      </c>
      <c r="J862" s="117">
        <f t="shared" si="3"/>
        <v>16.040000000000006</v>
      </c>
      <c r="K862" s="117" t="str">
        <f t="shared" si="4"/>
        <v>BR</v>
      </c>
      <c r="L862" s="42" t="str">
        <v>BR1604</v>
      </c>
      <c r="M862" s="121" t="str">
        <v/>
      </c>
      <c r="N862" s="121" t="str">
        <v/>
      </c>
      <c r="O862" s="121" t="str">
        <v/>
      </c>
      <c r="P862" s="121" t="str">
        <v/>
      </c>
      <c r="Q862" s="121" t="str">
        <v/>
      </c>
      <c r="R862" s="121" t="str">
        <v/>
      </c>
      <c r="S862" s="121" t="str">
        <v>Article title rank</v>
      </c>
      <c r="T862" s="119" t="str">
        <f>IF($C862&lt;4,IF($C862=3,T863,IF($C862=2,T$1,"")),Q862&amp;R862&amp;IF(LEN(S862)=0,"",Preferences!$C$2&amp;S862)&amp;IF(J863=J862,IF(LEN(R862&amp;S862)=0,"","
")&amp;T863,""))</f>
        <v xml:space="preserve">	• Article title rank
	• Article description rank
	• Promotion rank
	• Product name match score
	• Products description match score
	• Products brand match score
	• Meta-tag match score
	• Synonyms of matched meta-tags</v>
      </c>
      <c r="U862" s="122" t="str">
        <v/>
      </c>
      <c r="V862" s="42"/>
      <c r="W862" s="42"/>
      <c r="X862" s="42"/>
      <c r="Y862" s="42"/>
      <c r="Z862" s="42"/>
      <c r="AA862" s="42"/>
      <c r="AB862" s="42"/>
    </row>
    <row r="863" spans="1:28" x14ac:dyDescent="0.25">
      <c r="A863" s="42" t="str">
        <v>1.16.4.4.3</v>
      </c>
      <c r="B863" s="121" t="str">
        <v>Article description rank</v>
      </c>
      <c r="C863" s="41">
        <v>5</v>
      </c>
      <c r="D863" s="41" t="str">
        <v>RL</v>
      </c>
      <c r="E863" s="117" t="str">
        <f t="shared" si="0"/>
        <v>RL</v>
      </c>
      <c r="F863" s="41" t="str">
        <v/>
      </c>
      <c r="G863" s="41" t="str">
        <v/>
      </c>
      <c r="H863" s="117">
        <f t="shared" si="1"/>
        <v>0</v>
      </c>
      <c r="I863" s="117">
        <f t="shared" si="2"/>
        <v>16</v>
      </c>
      <c r="J863" s="117">
        <f t="shared" si="3"/>
        <v>16.040000000000006</v>
      </c>
      <c r="K863" s="117" t="str">
        <f t="shared" si="4"/>
        <v>BR</v>
      </c>
      <c r="L863" s="42" t="str">
        <v>BR1604</v>
      </c>
      <c r="M863" s="121" t="str">
        <v/>
      </c>
      <c r="N863" s="121" t="str">
        <v/>
      </c>
      <c r="O863" s="121" t="str">
        <v/>
      </c>
      <c r="P863" s="121" t="str">
        <v/>
      </c>
      <c r="Q863" s="121" t="str">
        <v/>
      </c>
      <c r="R863" s="121" t="str">
        <v/>
      </c>
      <c r="S863" s="121" t="str">
        <v>Article description rank</v>
      </c>
      <c r="T863" s="119" t="str">
        <f>IF($C863&lt;4,IF($C863=3,T864,IF($C863=2,T$1,"")),Q863&amp;R863&amp;IF(LEN(S863)=0,"",Preferences!$C$2&amp;S863)&amp;IF(J864=J863,IF(LEN(R863&amp;S863)=0,"","
")&amp;T864,""))</f>
        <v xml:space="preserve">	• Article description rank
	• Promotion rank
	• Product name match score
	• Products description match score
	• Products brand match score
	• Meta-tag match score
	• Synonyms of matched meta-tags</v>
      </c>
      <c r="U863" s="122" t="str">
        <v/>
      </c>
      <c r="V863" s="42"/>
      <c r="W863" s="42"/>
      <c r="X863" s="42"/>
      <c r="Y863" s="42"/>
      <c r="Z863" s="42"/>
      <c r="AA863" s="42"/>
      <c r="AB863" s="42"/>
    </row>
    <row r="864" spans="1:28" x14ac:dyDescent="0.25">
      <c r="A864" s="42" t="str">
        <v>1.16.4.4.4</v>
      </c>
      <c r="B864" s="121" t="str">
        <v>Promotion rank</v>
      </c>
      <c r="C864" s="41">
        <v>5</v>
      </c>
      <c r="D864" s="41" t="str">
        <v>RL</v>
      </c>
      <c r="E864" s="117" t="str">
        <f t="shared" si="0"/>
        <v>RL</v>
      </c>
      <c r="F864" s="41" t="str">
        <v/>
      </c>
      <c r="G864" s="41" t="str">
        <v/>
      </c>
      <c r="H864" s="117">
        <f t="shared" si="1"/>
        <v>0</v>
      </c>
      <c r="I864" s="117">
        <f t="shared" si="2"/>
        <v>16</v>
      </c>
      <c r="J864" s="117">
        <f t="shared" si="3"/>
        <v>16.040000000000006</v>
      </c>
      <c r="K864" s="117" t="str">
        <f t="shared" si="4"/>
        <v>BR</v>
      </c>
      <c r="L864" s="42" t="str">
        <v>BR1604</v>
      </c>
      <c r="M864" s="121" t="str">
        <v/>
      </c>
      <c r="N864" s="121" t="str">
        <v/>
      </c>
      <c r="O864" s="121" t="str">
        <v/>
      </c>
      <c r="P864" s="121" t="str">
        <v/>
      </c>
      <c r="Q864" s="121" t="str">
        <v/>
      </c>
      <c r="R864" s="121" t="str">
        <v/>
      </c>
      <c r="S864" s="121" t="str">
        <v>Promotion rank</v>
      </c>
      <c r="T864" s="119" t="str">
        <f>IF($C864&lt;4,IF($C864=3,T865,IF($C864=2,T$1,"")),Q864&amp;R864&amp;IF(LEN(S864)=0,"",Preferences!$C$2&amp;S864)&amp;IF(J865=J864,IF(LEN(R864&amp;S864)=0,"","
")&amp;T865,""))</f>
        <v xml:space="preserve">	• Promotion rank
	• Product name match score
	• Products description match score
	• Products brand match score
	• Meta-tag match score
	• Synonyms of matched meta-tags</v>
      </c>
      <c r="U864" s="122" t="str">
        <v/>
      </c>
      <c r="V864" s="42"/>
      <c r="W864" s="42"/>
      <c r="X864" s="42"/>
      <c r="Y864" s="42"/>
      <c r="Z864" s="42"/>
      <c r="AA864" s="42"/>
      <c r="AB864" s="42"/>
    </row>
    <row r="865" spans="1:28" x14ac:dyDescent="0.25">
      <c r="A865" s="42" t="str">
        <v>1.16.4.4.5</v>
      </c>
      <c r="B865" s="121" t="str">
        <v>Product name match score</v>
      </c>
      <c r="C865" s="41">
        <v>5</v>
      </c>
      <c r="D865" s="41" t="str">
        <v>RL</v>
      </c>
      <c r="E865" s="117" t="str">
        <f t="shared" si="0"/>
        <v>RL</v>
      </c>
      <c r="F865" s="41" t="str">
        <v/>
      </c>
      <c r="G865" s="41" t="str">
        <v/>
      </c>
      <c r="H865" s="117">
        <f t="shared" si="1"/>
        <v>0</v>
      </c>
      <c r="I865" s="117">
        <f t="shared" si="2"/>
        <v>16</v>
      </c>
      <c r="J865" s="117">
        <f t="shared" si="3"/>
        <v>16.040000000000006</v>
      </c>
      <c r="K865" s="117" t="str">
        <f t="shared" si="4"/>
        <v>BR</v>
      </c>
      <c r="L865" s="42" t="str">
        <v>BR1604</v>
      </c>
      <c r="M865" s="121" t="str">
        <v/>
      </c>
      <c r="N865" s="121" t="str">
        <v/>
      </c>
      <c r="O865" s="121" t="str">
        <v/>
      </c>
      <c r="P865" s="121" t="str">
        <v/>
      </c>
      <c r="Q865" s="121" t="str">
        <v/>
      </c>
      <c r="R865" s="121" t="str">
        <v/>
      </c>
      <c r="S865" s="121" t="str">
        <v>Product name match score</v>
      </c>
      <c r="T865" s="119" t="str">
        <f>IF($C865&lt;4,IF($C865=3,T866,IF($C865=2,T$1,"")),Q865&amp;R865&amp;IF(LEN(S865)=0,"",Preferences!$C$2&amp;S865)&amp;IF(J866=J865,IF(LEN(R865&amp;S865)=0,"","
")&amp;T866,""))</f>
        <v xml:space="preserve">	• Product name match score
	• Products description match score
	• Products brand match score
	• Meta-tag match score
	• Synonyms of matched meta-tags</v>
      </c>
      <c r="U865" s="122" t="str">
        <v/>
      </c>
      <c r="V865" s="42"/>
      <c r="W865" s="42"/>
      <c r="X865" s="42"/>
      <c r="Y865" s="42"/>
      <c r="Z865" s="42"/>
      <c r="AA865" s="42"/>
      <c r="AB865" s="42"/>
    </row>
    <row r="866" spans="1:28" x14ac:dyDescent="0.25">
      <c r="A866" s="42" t="str">
        <v>1.16.4.4.6</v>
      </c>
      <c r="B866" s="121" t="str">
        <v>Products description match score</v>
      </c>
      <c r="C866" s="41">
        <v>5</v>
      </c>
      <c r="D866" s="41" t="str">
        <v>RL</v>
      </c>
      <c r="E866" s="117" t="str">
        <f t="shared" si="0"/>
        <v>RL</v>
      </c>
      <c r="F866" s="41" t="str">
        <v/>
      </c>
      <c r="G866" s="41" t="str">
        <v/>
      </c>
      <c r="H866" s="117">
        <f t="shared" si="1"/>
        <v>0</v>
      </c>
      <c r="I866" s="117">
        <f t="shared" si="2"/>
        <v>16</v>
      </c>
      <c r="J866" s="117">
        <f t="shared" si="3"/>
        <v>16.040000000000006</v>
      </c>
      <c r="K866" s="117" t="str">
        <f t="shared" si="4"/>
        <v>BR</v>
      </c>
      <c r="L866" s="42" t="str">
        <v>BR1604</v>
      </c>
      <c r="M866" s="121" t="str">
        <v/>
      </c>
      <c r="N866" s="121" t="str">
        <v/>
      </c>
      <c r="O866" s="121" t="str">
        <v/>
      </c>
      <c r="P866" s="121" t="str">
        <v/>
      </c>
      <c r="Q866" s="121" t="str">
        <v/>
      </c>
      <c r="R866" s="121" t="str">
        <v/>
      </c>
      <c r="S866" s="121" t="str">
        <v>Products description match score</v>
      </c>
      <c r="T866" s="119" t="str">
        <f>IF($C866&lt;4,IF($C866=3,T867,IF($C866=2,T$1,"")),Q866&amp;R866&amp;IF(LEN(S866)=0,"",Preferences!$C$2&amp;S866)&amp;IF(J867=J866,IF(LEN(R866&amp;S866)=0,"","
")&amp;T867,""))</f>
        <v xml:space="preserve">	• Products description match score
	• Products brand match score
	• Meta-tag match score
	• Synonyms of matched meta-tags</v>
      </c>
      <c r="U866" s="122" t="str">
        <v/>
      </c>
      <c r="V866" s="42"/>
      <c r="W866" s="42"/>
      <c r="X866" s="42"/>
      <c r="Y866" s="42"/>
      <c r="Z866" s="42"/>
      <c r="AA866" s="42"/>
      <c r="AB866" s="42"/>
    </row>
    <row r="867" spans="1:28" x14ac:dyDescent="0.25">
      <c r="A867" s="42" t="str">
        <v>1.16.4.4.7</v>
      </c>
      <c r="B867" s="121" t="str">
        <v>Products brand match score</v>
      </c>
      <c r="C867" s="41">
        <v>5</v>
      </c>
      <c r="D867" s="41" t="str">
        <v>RL</v>
      </c>
      <c r="E867" s="117" t="str">
        <f t="shared" si="0"/>
        <v>RL</v>
      </c>
      <c r="F867" s="41" t="str">
        <v/>
      </c>
      <c r="G867" s="41" t="str">
        <v/>
      </c>
      <c r="H867" s="117">
        <f t="shared" si="1"/>
        <v>0</v>
      </c>
      <c r="I867" s="117">
        <f t="shared" si="2"/>
        <v>16</v>
      </c>
      <c r="J867" s="117">
        <f t="shared" si="3"/>
        <v>16.040000000000006</v>
      </c>
      <c r="K867" s="117" t="str">
        <f t="shared" si="4"/>
        <v>BR</v>
      </c>
      <c r="L867" s="42" t="str">
        <v>BR1604</v>
      </c>
      <c r="M867" s="121" t="str">
        <v/>
      </c>
      <c r="N867" s="121" t="str">
        <v/>
      </c>
      <c r="O867" s="121" t="str">
        <v/>
      </c>
      <c r="P867" s="121" t="str">
        <v/>
      </c>
      <c r="Q867" s="121" t="str">
        <v/>
      </c>
      <c r="R867" s="121" t="str">
        <v/>
      </c>
      <c r="S867" s="121" t="str">
        <v>Products brand match score</v>
      </c>
      <c r="T867" s="119" t="str">
        <f>IF($C867&lt;4,IF($C867=3,T868,IF($C867=2,T$1,"")),Q867&amp;R867&amp;IF(LEN(S867)=0,"",Preferences!$C$2&amp;S867)&amp;IF(J868=J867,IF(LEN(R867&amp;S867)=0,"","
")&amp;T868,""))</f>
        <v xml:space="preserve">	• Products brand match score
	• Meta-tag match score
	• Synonyms of matched meta-tags</v>
      </c>
      <c r="U867" s="122" t="str">
        <v/>
      </c>
      <c r="V867" s="42"/>
      <c r="W867" s="42"/>
      <c r="X867" s="42"/>
      <c r="Y867" s="42"/>
      <c r="Z867" s="42"/>
      <c r="AA867" s="42"/>
      <c r="AB867" s="42"/>
    </row>
    <row r="868" spans="1:28" x14ac:dyDescent="0.25">
      <c r="A868" s="42" t="str">
        <v>1.16.4.4.8</v>
      </c>
      <c r="B868" s="121" t="str">
        <v>Meta-tag match score</v>
      </c>
      <c r="C868" s="41">
        <v>5</v>
      </c>
      <c r="D868" s="41" t="str">
        <v>RL</v>
      </c>
      <c r="E868" s="117" t="str">
        <f t="shared" si="0"/>
        <v>RL</v>
      </c>
      <c r="F868" s="41" t="str">
        <v/>
      </c>
      <c r="G868" s="41" t="str">
        <v/>
      </c>
      <c r="H868" s="117">
        <f t="shared" si="1"/>
        <v>0</v>
      </c>
      <c r="I868" s="117">
        <f t="shared" si="2"/>
        <v>16</v>
      </c>
      <c r="J868" s="117">
        <f t="shared" si="3"/>
        <v>16.040000000000006</v>
      </c>
      <c r="K868" s="117" t="str">
        <f t="shared" si="4"/>
        <v>BR</v>
      </c>
      <c r="L868" s="42" t="str">
        <v>BR1604</v>
      </c>
      <c r="M868" s="121" t="str">
        <v/>
      </c>
      <c r="N868" s="121" t="str">
        <v/>
      </c>
      <c r="O868" s="121" t="str">
        <v/>
      </c>
      <c r="P868" s="121" t="str">
        <v/>
      </c>
      <c r="Q868" s="121" t="str">
        <v/>
      </c>
      <c r="R868" s="121" t="str">
        <v/>
      </c>
      <c r="S868" s="121" t="str">
        <v>Meta-tag match score</v>
      </c>
      <c r="T868" s="119" t="str">
        <f>IF($C868&lt;4,IF($C868=3,T869,IF($C868=2,T$1,"")),Q868&amp;R868&amp;IF(LEN(S868)=0,"",Preferences!$C$2&amp;S868)&amp;IF(J869=J868,IF(LEN(R868&amp;S868)=0,"","
")&amp;T869,""))</f>
        <v xml:space="preserve">	• Meta-tag match score
	• Synonyms of matched meta-tags</v>
      </c>
      <c r="U868" s="122" t="str">
        <v/>
      </c>
      <c r="V868" s="42"/>
      <c r="W868" s="42"/>
      <c r="X868" s="42"/>
      <c r="Y868" s="42"/>
      <c r="Z868" s="42"/>
      <c r="AA868" s="42"/>
      <c r="AB868" s="42"/>
    </row>
    <row r="869" spans="1:28" x14ac:dyDescent="0.25">
      <c r="A869" s="42" t="str">
        <v>1.16.4.4.9</v>
      </c>
      <c r="B869" s="121" t="str">
        <v>Synonyms of matched meta-tags</v>
      </c>
      <c r="C869" s="41">
        <v>5</v>
      </c>
      <c r="D869" s="41" t="str">
        <v>RL</v>
      </c>
      <c r="E869" s="117" t="str">
        <f t="shared" si="0"/>
        <v>RL</v>
      </c>
      <c r="F869" s="41" t="str">
        <v/>
      </c>
      <c r="G869" s="41" t="str">
        <v/>
      </c>
      <c r="H869" s="117">
        <f t="shared" si="1"/>
        <v>0</v>
      </c>
      <c r="I869" s="117">
        <f t="shared" si="2"/>
        <v>16</v>
      </c>
      <c r="J869" s="117">
        <f t="shared" si="3"/>
        <v>16.040000000000006</v>
      </c>
      <c r="K869" s="117" t="str">
        <f t="shared" si="4"/>
        <v>BR</v>
      </c>
      <c r="L869" s="42" t="str">
        <v>BR1604</v>
      </c>
      <c r="M869" s="121" t="str">
        <v/>
      </c>
      <c r="N869" s="121" t="str">
        <v/>
      </c>
      <c r="O869" s="121" t="str">
        <v/>
      </c>
      <c r="P869" s="121" t="str">
        <v/>
      </c>
      <c r="Q869" s="121" t="str">
        <v/>
      </c>
      <c r="R869" s="121" t="str">
        <v/>
      </c>
      <c r="S869" s="121" t="str">
        <v>Synonyms of matched meta-tags</v>
      </c>
      <c r="T869" s="119" t="str">
        <f>IF($C869&lt;4,IF($C869=3,T870,IF($C869=2,T$1,"")),Q869&amp;R869&amp;IF(LEN(S869)=0,"",Preferences!$C$2&amp;S869)&amp;IF(J870=J869,IF(LEN(R869&amp;S869)=0,"","
")&amp;T870,""))</f>
        <v xml:space="preserve">	• Synonyms of matched meta-tags</v>
      </c>
      <c r="U869" s="122" t="str">
        <v/>
      </c>
      <c r="V869" s="42"/>
      <c r="W869" s="42"/>
      <c r="X869" s="42"/>
      <c r="Y869" s="42"/>
      <c r="Z869" s="42"/>
      <c r="AA869" s="42"/>
      <c r="AB869" s="42"/>
    </row>
    <row r="870" spans="1:28" x14ac:dyDescent="0.25">
      <c r="A870" s="42" t="str">
        <v>1.16.5</v>
      </c>
      <c r="B870" s="121" t="str">
        <v>16.5 Order search results, based on user choice</v>
      </c>
      <c r="C870" s="41">
        <v>3</v>
      </c>
      <c r="D870" s="41" t="str">
        <v>R</v>
      </c>
      <c r="E870" s="117" t="str">
        <f t="shared" si="0"/>
        <v>R</v>
      </c>
      <c r="F870" s="41" t="str">
        <v/>
      </c>
      <c r="G870" s="41" t="str">
        <v/>
      </c>
      <c r="H870" s="117">
        <f t="shared" si="1"/>
        <v>0</v>
      </c>
      <c r="I870" s="117">
        <f t="shared" si="2"/>
        <v>16</v>
      </c>
      <c r="J870" s="117">
        <f t="shared" si="3"/>
        <v>16.050000000000008</v>
      </c>
      <c r="K870" s="117" t="str">
        <f t="shared" si="4"/>
        <v>BR</v>
      </c>
      <c r="L870" s="42" t="str">
        <v>BR1605</v>
      </c>
      <c r="M870" s="121" t="str">
        <v/>
      </c>
      <c r="N870" s="121" t="str">
        <v/>
      </c>
      <c r="O870" s="121" t="str">
        <v>BR1605</v>
      </c>
      <c r="P870" s="121" t="str">
        <v>Order search results, based on user choice</v>
      </c>
      <c r="Q870" s="121" t="str">
        <v/>
      </c>
      <c r="R870" s="121" t="str">
        <v/>
      </c>
      <c r="S870" s="121" t="str">
        <v/>
      </c>
      <c r="T870" s="119" t="str">
        <f>IF($C870&lt;4,IF($C870=3,T871,IF($C870=2,T$1,"")),Q870&amp;R870&amp;IF(LEN(S870)=0,"",Preferences!$C$2&amp;S870)&amp;IF(J871=J870,IF(LEN(R870&amp;S870)=0,"","
")&amp;T871,""))</f>
        <v xml:space="preserve"> 1. Search results may be ordered as follows:
	• Preferred (default)
	• Price Low-High / High-Low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0" s="122" t="str">
        <v/>
      </c>
      <c r="V870" s="42"/>
      <c r="W870" s="42"/>
      <c r="X870" s="42"/>
      <c r="Y870" s="42"/>
      <c r="Z870" s="42"/>
      <c r="AA870" s="42"/>
      <c r="AB870" s="42"/>
    </row>
    <row r="871" spans="1:28" x14ac:dyDescent="0.25">
      <c r="A871" s="42" t="str">
        <v>1.16.5.1</v>
      </c>
      <c r="B871" s="121" t="str">
        <v>Search results may be ordered as follows:</v>
      </c>
      <c r="C871" s="41">
        <v>4</v>
      </c>
      <c r="D871" s="41" t="str">
        <v>RD</v>
      </c>
      <c r="E871" s="117" t="str">
        <f t="shared" si="0"/>
        <v>RD</v>
      </c>
      <c r="F871" s="41" t="str">
        <v/>
      </c>
      <c r="G871" s="41" t="str">
        <v/>
      </c>
      <c r="H871" s="117">
        <f t="shared" si="1"/>
        <v>0</v>
      </c>
      <c r="I871" s="117">
        <f t="shared" si="2"/>
        <v>16</v>
      </c>
      <c r="J871" s="117">
        <f t="shared" si="3"/>
        <v>16.050000000000008</v>
      </c>
      <c r="K871" s="117" t="str">
        <f t="shared" si="4"/>
        <v>BR</v>
      </c>
      <c r="L871" s="42" t="str">
        <v>BR1605</v>
      </c>
      <c r="M871" s="121" t="str">
        <v/>
      </c>
      <c r="N871" s="121" t="str">
        <v/>
      </c>
      <c r="O871" s="121" t="str">
        <v/>
      </c>
      <c r="P871" s="121" t="str">
        <v/>
      </c>
      <c r="Q871" s="121" t="str">
        <v xml:space="preserve"> 1. </v>
      </c>
      <c r="R871" s="121" t="str">
        <v>Search results may be ordered as follows:</v>
      </c>
      <c r="S871" s="121" t="str">
        <v/>
      </c>
      <c r="T871" s="119" t="str">
        <f>IF($C871&lt;4,IF($C871=3,T872,IF($C871=2,T$1,"")),Q871&amp;R871&amp;IF(LEN(S871)=0,"",Preferences!$C$2&amp;S871)&amp;IF(J872=J871,IF(LEN(R871&amp;S871)=0,"","
")&amp;T872,""))</f>
        <v xml:space="preserve"> 1. Search results may be ordered as follows:
	• Preferred (default)
	• Price Low-High / High-Low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1" s="122" t="str">
        <v/>
      </c>
      <c r="V871" s="42"/>
      <c r="W871" s="42"/>
      <c r="X871" s="42"/>
      <c r="Y871" s="42"/>
      <c r="Z871" s="42"/>
      <c r="AA871" s="42"/>
      <c r="AB871" s="42"/>
    </row>
    <row r="872" spans="1:28" x14ac:dyDescent="0.25">
      <c r="A872" s="42" t="str">
        <v>1.16.5.1.1</v>
      </c>
      <c r="B872" s="121" t="str">
        <v>Preferred (default)</v>
      </c>
      <c r="C872" s="41">
        <v>5</v>
      </c>
      <c r="D872" s="41" t="str">
        <v>RL</v>
      </c>
      <c r="E872" s="117" t="str">
        <f t="shared" si="0"/>
        <v>RL</v>
      </c>
      <c r="F872" s="41" t="str">
        <v/>
      </c>
      <c r="G872" s="41" t="str">
        <v/>
      </c>
      <c r="H872" s="117">
        <f t="shared" si="1"/>
        <v>0</v>
      </c>
      <c r="I872" s="117">
        <f t="shared" si="2"/>
        <v>16</v>
      </c>
      <c r="J872" s="117">
        <f t="shared" si="3"/>
        <v>16.050000000000008</v>
      </c>
      <c r="K872" s="117" t="str">
        <f t="shared" si="4"/>
        <v>BR</v>
      </c>
      <c r="L872" s="42" t="str">
        <v>BR1605</v>
      </c>
      <c r="M872" s="121" t="str">
        <v/>
      </c>
      <c r="N872" s="121" t="str">
        <v/>
      </c>
      <c r="O872" s="121" t="str">
        <v/>
      </c>
      <c r="P872" s="121" t="str">
        <v/>
      </c>
      <c r="Q872" s="121" t="str">
        <v/>
      </c>
      <c r="R872" s="121" t="str">
        <v/>
      </c>
      <c r="S872" s="121" t="str">
        <v>Preferred (default)</v>
      </c>
      <c r="T872" s="119" t="str">
        <f>IF($C872&lt;4,IF($C872=3,T873,IF($C872=2,T$1,"")),Q872&amp;R872&amp;IF(LEN(S872)=0,"",Preferences!$C$2&amp;S872)&amp;IF(J873=J872,IF(LEN(R872&amp;S872)=0,"","
")&amp;T873,""))</f>
        <v xml:space="preserve">	• Preferred (default)
	• Price Low-High / High-Low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2" s="122" t="str">
        <v/>
      </c>
      <c r="V872" s="42"/>
      <c r="W872" s="42"/>
      <c r="X872" s="42"/>
      <c r="Y872" s="42"/>
      <c r="Z872" s="42"/>
      <c r="AA872" s="42"/>
      <c r="AB872" s="42"/>
    </row>
    <row r="873" spans="1:28" x14ac:dyDescent="0.25">
      <c r="A873" s="42" t="str">
        <v>1.16.5.1.2</v>
      </c>
      <c r="B873" s="121" t="str">
        <v>Price Low-High / High-Low</v>
      </c>
      <c r="C873" s="41">
        <v>5</v>
      </c>
      <c r="D873" s="41" t="str">
        <v>RL</v>
      </c>
      <c r="E873" s="117" t="str">
        <f t="shared" si="0"/>
        <v>RL</v>
      </c>
      <c r="F873" s="41" t="str">
        <v/>
      </c>
      <c r="G873" s="41" t="str">
        <v/>
      </c>
      <c r="H873" s="117">
        <f t="shared" si="1"/>
        <v>0</v>
      </c>
      <c r="I873" s="117">
        <f t="shared" si="2"/>
        <v>16</v>
      </c>
      <c r="J873" s="117">
        <f t="shared" si="3"/>
        <v>16.050000000000008</v>
      </c>
      <c r="K873" s="117" t="str">
        <f t="shared" si="4"/>
        <v>BR</v>
      </c>
      <c r="L873" s="42" t="str">
        <v>BR1605</v>
      </c>
      <c r="M873" s="121" t="str">
        <v/>
      </c>
      <c r="N873" s="121" t="str">
        <v/>
      </c>
      <c r="O873" s="121" t="str">
        <v/>
      </c>
      <c r="P873" s="121" t="str">
        <v/>
      </c>
      <c r="Q873" s="121" t="str">
        <v/>
      </c>
      <c r="R873" s="121" t="str">
        <v/>
      </c>
      <c r="S873" s="121" t="str">
        <v>Price Low-High / High-Low</v>
      </c>
      <c r="T873" s="119" t="str">
        <f>IF($C873&lt;4,IF($C873=3,T874,IF($C873=2,T$1,"")),Q873&amp;R873&amp;IF(LEN(S873)=0,"",Preferences!$C$2&amp;S873)&amp;IF(J874=J873,IF(LEN(R873&amp;S873)=0,"","
")&amp;T874,""))</f>
        <v xml:space="preserve">	• Price Low-High / High-Low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3" s="122" t="str">
        <v/>
      </c>
      <c r="V873" s="42"/>
      <c r="W873" s="42"/>
      <c r="X873" s="42"/>
      <c r="Y873" s="42"/>
      <c r="Z873" s="42"/>
      <c r="AA873" s="42"/>
      <c r="AB873" s="42"/>
    </row>
    <row r="874" spans="1:28" x14ac:dyDescent="0.25">
      <c r="A874" s="42" t="str">
        <v>1.16.5.1.3</v>
      </c>
      <c r="B874" s="121" t="str">
        <v>User Rank [TBD]</v>
      </c>
      <c r="C874" s="41">
        <v>5</v>
      </c>
      <c r="D874" s="41" t="str">
        <v>RL</v>
      </c>
      <c r="E874" s="117" t="str">
        <f t="shared" si="0"/>
        <v>RL</v>
      </c>
      <c r="F874" s="41" t="str">
        <v/>
      </c>
      <c r="G874" s="41" t="str">
        <v/>
      </c>
      <c r="H874" s="117">
        <f t="shared" si="1"/>
        <v>0</v>
      </c>
      <c r="I874" s="117">
        <f t="shared" si="2"/>
        <v>16</v>
      </c>
      <c r="J874" s="117">
        <f t="shared" si="3"/>
        <v>16.050000000000008</v>
      </c>
      <c r="K874" s="117" t="str">
        <f t="shared" si="4"/>
        <v>BR</v>
      </c>
      <c r="L874" s="42" t="str">
        <v>BR1605</v>
      </c>
      <c r="M874" s="121" t="str">
        <v/>
      </c>
      <c r="N874" s="121" t="str">
        <v/>
      </c>
      <c r="O874" s="121" t="str">
        <v/>
      </c>
      <c r="P874" s="121" t="str">
        <v/>
      </c>
      <c r="Q874" s="121" t="str">
        <v/>
      </c>
      <c r="R874" s="121" t="str">
        <v/>
      </c>
      <c r="S874" s="121" t="str">
        <v>User Rank [TBD]</v>
      </c>
      <c r="T874" s="119" t="str">
        <f>IF($C874&lt;4,IF($C874=3,T875,IF($C874=2,T$1,"")),Q874&amp;R874&amp;IF(LEN(S874)=0,"",Preferences!$C$2&amp;S874)&amp;IF(J875=J874,IF(LEN(R874&amp;S874)=0,"","
")&amp;T875,""))</f>
        <v xml:space="preserve">	• User Rank [TBD]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4" s="122" t="str">
        <v/>
      </c>
      <c r="V874" s="42"/>
      <c r="W874" s="42"/>
      <c r="X874" s="42"/>
      <c r="Y874" s="42"/>
      <c r="Z874" s="42"/>
      <c r="AA874" s="42"/>
      <c r="AB874" s="42"/>
    </row>
    <row r="875" spans="1:28" x14ac:dyDescent="0.25">
      <c r="A875" s="42" t="str">
        <v>1.16.5.2</v>
      </c>
      <c r="B875" s="121" t="str">
        <v>Results are presented, with a fixed number of results per page, with the ability to page through results.</v>
      </c>
      <c r="C875" s="41">
        <v>4</v>
      </c>
      <c r="D875" s="41" t="str">
        <v>RD</v>
      </c>
      <c r="E875" s="117" t="str">
        <f t="shared" si="0"/>
        <v>RD</v>
      </c>
      <c r="F875" s="41" t="str">
        <v/>
      </c>
      <c r="G875" s="41" t="str">
        <v/>
      </c>
      <c r="H875" s="117">
        <f t="shared" si="1"/>
        <v>0</v>
      </c>
      <c r="I875" s="117">
        <f t="shared" si="2"/>
        <v>16</v>
      </c>
      <c r="J875" s="117">
        <f t="shared" si="3"/>
        <v>16.050000000000008</v>
      </c>
      <c r="K875" s="117" t="str">
        <f t="shared" si="4"/>
        <v>BR</v>
      </c>
      <c r="L875" s="42" t="str">
        <v>BR1605</v>
      </c>
      <c r="M875" s="121" t="str">
        <v/>
      </c>
      <c r="N875" s="121" t="str">
        <v/>
      </c>
      <c r="O875" s="121" t="str">
        <v/>
      </c>
      <c r="P875" s="121" t="str">
        <v/>
      </c>
      <c r="Q875" s="121" t="str">
        <v xml:space="preserve"> 2. </v>
      </c>
      <c r="R875" s="121" t="str">
        <v>Results are presented, with a fixed number of results per page, with the ability to page through results.</v>
      </c>
      <c r="S875" s="121" t="str">
        <v/>
      </c>
      <c r="T875" s="119" t="str">
        <f>IF($C875&lt;4,IF($C875=3,T876,IF($C875=2,T$1,"")),Q875&amp;R875&amp;IF(LEN(S875)=0,"",Preferences!$C$2&amp;S875)&amp;IF(J876=J875,IF(LEN(R875&amp;S875)=0,"","
")&amp;T876,""))</f>
        <v xml:space="preserve"> 2. Results are presented, with a fixed number of results per page, with the ability to page through results.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5" s="122" t="str">
        <v/>
      </c>
      <c r="V875" s="42"/>
      <c r="W875" s="42"/>
      <c r="X875" s="42"/>
      <c r="Y875" s="42"/>
      <c r="Z875" s="42"/>
      <c r="AA875" s="42"/>
      <c r="AB875" s="42"/>
    </row>
    <row r="876" spans="1:28" x14ac:dyDescent="0.25">
      <c r="A876" s="42" t="str">
        <v>1.16.5.3</v>
      </c>
      <c r="B876" s="121" t="str">
        <v>The brands of matching products are listed, to enable the customer to further refine their choices</v>
      </c>
      <c r="C876" s="41">
        <v>4</v>
      </c>
      <c r="D876" s="41" t="str">
        <v>RD</v>
      </c>
      <c r="E876" s="117" t="str">
        <f t="shared" si="0"/>
        <v>RD</v>
      </c>
      <c r="F876" s="41" t="str">
        <v/>
      </c>
      <c r="G876" s="41" t="str">
        <v/>
      </c>
      <c r="H876" s="117">
        <f t="shared" si="1"/>
        <v>0</v>
      </c>
      <c r="I876" s="117">
        <f t="shared" si="2"/>
        <v>16</v>
      </c>
      <c r="J876" s="117">
        <f t="shared" si="3"/>
        <v>16.050000000000008</v>
      </c>
      <c r="K876" s="117" t="str">
        <f t="shared" si="4"/>
        <v>BR</v>
      </c>
      <c r="L876" s="42" t="str">
        <v>BR1605</v>
      </c>
      <c r="M876" s="121" t="str">
        <v/>
      </c>
      <c r="N876" s="121" t="str">
        <v/>
      </c>
      <c r="O876" s="121" t="str">
        <v/>
      </c>
      <c r="P876" s="121" t="str">
        <v/>
      </c>
      <c r="Q876" s="121" t="str">
        <v xml:space="preserve"> 3. </v>
      </c>
      <c r="R876" s="121" t="str">
        <v>The brands of matching products are listed, to enable the customer to further refine their choices</v>
      </c>
      <c r="S876" s="121" t="str">
        <v/>
      </c>
      <c r="T876" s="119" t="str">
        <f>IF($C876&lt;4,IF($C876=3,T877,IF($C876=2,T$1,"")),Q876&amp;R876&amp;IF(LEN(S876)=0,"",Preferences!$C$2&amp;S876)&amp;IF(J877=J876,IF(LEN(R876&amp;S876)=0,"","
")&amp;T877,""))</f>
        <v xml:space="preserve"> 3. The brands of matching products are listed, to enable the customer to further refine their choices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6" s="122" t="str">
        <v/>
      </c>
      <c r="V876" s="42"/>
      <c r="W876" s="42"/>
      <c r="X876" s="42"/>
      <c r="Y876" s="42"/>
      <c r="Z876" s="42"/>
      <c r="AA876" s="42"/>
      <c r="AB876" s="42"/>
    </row>
    <row r="877" spans="1:28" x14ac:dyDescent="0.25">
      <c r="A877" s="42" t="str">
        <v>1.16.5.4</v>
      </c>
      <c r="B877" s="121" t="str">
        <v>User may filter search results by Brand:</v>
      </c>
      <c r="C877" s="41">
        <v>4</v>
      </c>
      <c r="D877" s="41" t="str">
        <v>RD</v>
      </c>
      <c r="E877" s="117" t="str">
        <f t="shared" si="0"/>
        <v>RD</v>
      </c>
      <c r="F877" s="41" t="str">
        <v/>
      </c>
      <c r="G877" s="41" t="str">
        <v/>
      </c>
      <c r="H877" s="117">
        <f t="shared" si="1"/>
        <v>0</v>
      </c>
      <c r="I877" s="117">
        <f t="shared" si="2"/>
        <v>16</v>
      </c>
      <c r="J877" s="117">
        <f t="shared" si="3"/>
        <v>16.050000000000008</v>
      </c>
      <c r="K877" s="117" t="str">
        <f t="shared" si="4"/>
        <v>BR</v>
      </c>
      <c r="L877" s="42" t="str">
        <v>BR1605</v>
      </c>
      <c r="M877" s="121" t="str">
        <v/>
      </c>
      <c r="N877" s="121" t="str">
        <v/>
      </c>
      <c r="O877" s="121" t="str">
        <v/>
      </c>
      <c r="P877" s="121" t="str">
        <v/>
      </c>
      <c r="Q877" s="121" t="str">
        <v xml:space="preserve"> 4. </v>
      </c>
      <c r="R877" s="121" t="str">
        <v>User may filter search results by Brand:</v>
      </c>
      <c r="S877" s="121" t="str">
        <v/>
      </c>
      <c r="T877" s="119" t="str">
        <f>IF($C877&lt;4,IF($C877=3,T878,IF($C877=2,T$1,"")),Q877&amp;R877&amp;IF(LEN(S877)=0,"",Preferences!$C$2&amp;S877)&amp;IF(J878=J877,IF(LEN(R877&amp;S877)=0,"","
")&amp;T878,""))</f>
        <v xml:space="preserve"> 4. User may filter search results by Brand: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7" s="122" t="str">
        <v/>
      </c>
      <c r="V877" s="42"/>
      <c r="W877" s="42"/>
      <c r="X877" s="42"/>
      <c r="Y877" s="42"/>
      <c r="Z877" s="42"/>
      <c r="AA877" s="42"/>
      <c r="AB877" s="42"/>
    </row>
    <row r="878" spans="1:28" x14ac:dyDescent="0.25">
      <c r="A878" s="42" t="str">
        <v>1.16.5.4.1</v>
      </c>
      <c r="B878" s="121" t="str">
        <v>Brands of matching products are listed, sorted by number of matches.</v>
      </c>
      <c r="C878" s="41">
        <v>5</v>
      </c>
      <c r="D878" s="41" t="str">
        <v>RL</v>
      </c>
      <c r="E878" s="117" t="str">
        <f t="shared" si="0"/>
        <v>RL</v>
      </c>
      <c r="F878" s="41" t="str">
        <v/>
      </c>
      <c r="G878" s="41" t="str">
        <v/>
      </c>
      <c r="H878" s="117">
        <f t="shared" si="1"/>
        <v>0</v>
      </c>
      <c r="I878" s="117">
        <f t="shared" si="2"/>
        <v>16</v>
      </c>
      <c r="J878" s="117">
        <f t="shared" si="3"/>
        <v>16.050000000000008</v>
      </c>
      <c r="K878" s="117" t="str">
        <f t="shared" si="4"/>
        <v>BR</v>
      </c>
      <c r="L878" s="42" t="str">
        <v>BR1605</v>
      </c>
      <c r="M878" s="121" t="str">
        <v/>
      </c>
      <c r="N878" s="121" t="str">
        <v/>
      </c>
      <c r="O878" s="121" t="str">
        <v/>
      </c>
      <c r="P878" s="121" t="str">
        <v/>
      </c>
      <c r="Q878" s="121" t="str">
        <v/>
      </c>
      <c r="R878" s="121" t="str">
        <v/>
      </c>
      <c r="S878" s="121" t="str">
        <v>Brands of matching products are listed, sorted by number of matches.</v>
      </c>
      <c r="T878" s="119" t="str">
        <f>IF($C878&lt;4,IF($C878=3,T879,IF($C878=2,T$1,"")),Q878&amp;R878&amp;IF(LEN(S878)=0,"",Preferences!$C$2&amp;S878)&amp;IF(J879=J878,IF(LEN(R878&amp;S878)=0,"","
")&amp;T879,""))</f>
        <v xml:space="preserve">	• Brands of matching products are listed, sorted by number of matches.
	• Brands from suppliers with a relevant marketing agreement are however given a preferred listing rank.
 5. User may filter search results by product property meta-tag hierarchies, sorted by number of matches.</v>
      </c>
      <c r="U878" s="122" t="str">
        <v/>
      </c>
      <c r="V878" s="42"/>
      <c r="W878" s="42"/>
      <c r="X878" s="42"/>
      <c r="Y878" s="42"/>
      <c r="Z878" s="42"/>
      <c r="AA878" s="42"/>
      <c r="AB878" s="42"/>
    </row>
    <row r="879" spans="1:28" x14ac:dyDescent="0.25">
      <c r="A879" s="42" t="str">
        <v>1.16.5.4.2</v>
      </c>
      <c r="B879" s="121" t="str">
        <v>Brands from suppliers with a relevant marketing agreement are however given a preferred listing rank.</v>
      </c>
      <c r="C879" s="41">
        <v>5</v>
      </c>
      <c r="D879" s="41" t="str">
        <v>RL</v>
      </c>
      <c r="E879" s="117" t="str">
        <f t="shared" si="0"/>
        <v>RL</v>
      </c>
      <c r="F879" s="41" t="str">
        <v/>
      </c>
      <c r="G879" s="41" t="str">
        <v/>
      </c>
      <c r="H879" s="117">
        <f t="shared" si="1"/>
        <v>0</v>
      </c>
      <c r="I879" s="117">
        <f t="shared" si="2"/>
        <v>16</v>
      </c>
      <c r="J879" s="117">
        <f t="shared" si="3"/>
        <v>16.050000000000008</v>
      </c>
      <c r="K879" s="117" t="str">
        <f t="shared" si="4"/>
        <v>BR</v>
      </c>
      <c r="L879" s="42" t="str">
        <v>BR1605</v>
      </c>
      <c r="M879" s="121" t="str">
        <v/>
      </c>
      <c r="N879" s="121" t="str">
        <v/>
      </c>
      <c r="O879" s="121" t="str">
        <v/>
      </c>
      <c r="P879" s="121" t="str">
        <v/>
      </c>
      <c r="Q879" s="121" t="str">
        <v/>
      </c>
      <c r="R879" s="121" t="str">
        <v/>
      </c>
      <c r="S879" s="121" t="str">
        <v>Brands from suppliers with a relevant marketing agreement are however given a preferred listing rank.</v>
      </c>
      <c r="T879" s="119" t="str">
        <f>IF($C879&lt;4,IF($C879=3,T880,IF($C879=2,T$1,"")),Q879&amp;R879&amp;IF(LEN(S879)=0,"",Preferences!$C$2&amp;S879)&amp;IF(J880=J879,IF(LEN(R879&amp;S879)=0,"","
")&amp;T880,""))</f>
        <v xml:space="preserve">	• Brands from suppliers with a relevant marketing agreement are however given a preferred listing rank.
 5. User may filter search results by product property meta-tag hierarchies, sorted by number of matches.</v>
      </c>
      <c r="U879" s="122" t="str">
        <v/>
      </c>
      <c r="V879" s="42"/>
      <c r="W879" s="42"/>
      <c r="X879" s="42"/>
      <c r="Y879" s="42"/>
      <c r="Z879" s="42"/>
      <c r="AA879" s="42"/>
      <c r="AB879" s="42"/>
    </row>
    <row r="880" spans="1:28" x14ac:dyDescent="0.25">
      <c r="A880" s="42" t="str">
        <v>1.16.5.5</v>
      </c>
      <c r="B880" s="121" t="str">
        <v>User may filter search results by product property meta-tag hierarchies, sorted by number of matches.</v>
      </c>
      <c r="C880" s="41">
        <v>4</v>
      </c>
      <c r="D880" s="41" t="str">
        <v>RD</v>
      </c>
      <c r="E880" s="117" t="str">
        <f t="shared" si="0"/>
        <v>RD</v>
      </c>
      <c r="F880" s="41" t="str">
        <v/>
      </c>
      <c r="G880" s="41" t="str">
        <v/>
      </c>
      <c r="H880" s="117">
        <f t="shared" si="1"/>
        <v>0</v>
      </c>
      <c r="I880" s="117">
        <f t="shared" si="2"/>
        <v>16</v>
      </c>
      <c r="J880" s="117">
        <f t="shared" si="3"/>
        <v>16.050000000000008</v>
      </c>
      <c r="K880" s="117" t="str">
        <f t="shared" si="4"/>
        <v>BR</v>
      </c>
      <c r="L880" s="42" t="str">
        <v>BR1605</v>
      </c>
      <c r="M880" s="121" t="str">
        <v/>
      </c>
      <c r="N880" s="121" t="str">
        <v/>
      </c>
      <c r="O880" s="121" t="str">
        <v/>
      </c>
      <c r="P880" s="121" t="str">
        <v/>
      </c>
      <c r="Q880" s="121" t="str">
        <v xml:space="preserve"> 5. </v>
      </c>
      <c r="R880" s="121" t="str">
        <v>User may filter search results by product property meta-tag hierarchies, sorted by number of matches.</v>
      </c>
      <c r="S880" s="121" t="str">
        <v/>
      </c>
      <c r="T880" s="119" t="str">
        <f>IF($C880&lt;4,IF($C880=3,T881,IF($C880=2,T$1,"")),Q880&amp;R880&amp;IF(LEN(S880)=0,"",Preferences!$C$2&amp;S880)&amp;IF(J881=J880,IF(LEN(R880&amp;S880)=0,"","
")&amp;T881,""))</f>
        <v xml:space="preserve"> 5. User may filter search results by product property meta-tag hierarchies, sorted by number of matches.</v>
      </c>
      <c r="U880" s="122" t="str">
        <v/>
      </c>
      <c r="V880" s="42"/>
      <c r="W880" s="42"/>
      <c r="X880" s="42"/>
      <c r="Y880" s="42"/>
      <c r="Z880" s="42"/>
      <c r="AA880" s="42"/>
      <c r="AB880" s="42"/>
    </row>
    <row r="881" spans="1:28" x14ac:dyDescent="0.25">
      <c r="A881" s="42" t="str">
        <v>1.16.6</v>
      </c>
      <c r="B881" s="121" t="str">
        <v>16.6 Identify appropriate products to promote on a product page</v>
      </c>
      <c r="C881" s="41">
        <v>3</v>
      </c>
      <c r="D881" s="41" t="str">
        <v>R</v>
      </c>
      <c r="E881" s="117" t="str">
        <f t="shared" si="0"/>
        <v>R</v>
      </c>
      <c r="F881" s="41" t="str">
        <v/>
      </c>
      <c r="G881" s="41" t="str">
        <v/>
      </c>
      <c r="H881" s="117">
        <f t="shared" si="1"/>
        <v>0</v>
      </c>
      <c r="I881" s="117">
        <f t="shared" si="2"/>
        <v>16</v>
      </c>
      <c r="J881" s="117">
        <f t="shared" si="3"/>
        <v>16.060000000000009</v>
      </c>
      <c r="K881" s="117" t="str">
        <f t="shared" si="4"/>
        <v>BR</v>
      </c>
      <c r="L881" s="42" t="str">
        <v>BR1606</v>
      </c>
      <c r="M881" s="121" t="str">
        <v/>
      </c>
      <c r="N881" s="121" t="str">
        <v/>
      </c>
      <c r="O881" s="121" t="str">
        <v>BR1606</v>
      </c>
      <c r="P881" s="121" t="str">
        <v>Identify appropriate products to promote on a product page</v>
      </c>
      <c r="Q881" s="121" t="str">
        <v/>
      </c>
      <c r="R881" s="121" t="str">
        <v/>
      </c>
      <c r="S881" s="121" t="str">
        <v/>
      </c>
      <c r="T881" s="119" t="str">
        <f>IF($C881&lt;4,IF($C881=3,T882,IF($C881=2,T$1,"")),Q881&amp;R881&amp;IF(LEN(S881)=0,"",Preferences!$C$2&amp;S881)&amp;IF(J882=J881,IF(LEN(R881&amp;S881)=0,"","
")&amp;T882,""))</f>
        <v xml:space="preserve"> 1. Identify similar products, by finding product with matching meta-tags and meeting the family criteria.
 2. Identify also-bought products, by finding the most-bought products from purchases that contained the current product.
 3. Exclude the current product from these recommended product lists.</v>
      </c>
      <c r="U881" s="122" t="str">
        <v/>
      </c>
      <c r="V881" s="42"/>
      <c r="W881" s="42"/>
      <c r="X881" s="42"/>
      <c r="Y881" s="42"/>
      <c r="Z881" s="42"/>
      <c r="AA881" s="42"/>
      <c r="AB881" s="42"/>
    </row>
    <row r="882" spans="1:28" x14ac:dyDescent="0.25">
      <c r="A882" s="42" t="str">
        <v>1.16.6.1</v>
      </c>
      <c r="B882" s="121" t="str">
        <v>Identify similar products, by finding product with matching meta-tags and meeting the family criteria.</v>
      </c>
      <c r="C882" s="41">
        <v>4</v>
      </c>
      <c r="D882" s="41" t="str">
        <v>RD</v>
      </c>
      <c r="E882" s="117" t="str">
        <f t="shared" si="0"/>
        <v>RD</v>
      </c>
      <c r="F882" s="41" t="str">
        <v/>
      </c>
      <c r="G882" s="41" t="str">
        <v/>
      </c>
      <c r="H882" s="117">
        <f t="shared" si="1"/>
        <v>0</v>
      </c>
      <c r="I882" s="117">
        <f t="shared" si="2"/>
        <v>16</v>
      </c>
      <c r="J882" s="117">
        <f t="shared" si="3"/>
        <v>16.060000000000009</v>
      </c>
      <c r="K882" s="117" t="str">
        <f t="shared" si="4"/>
        <v>BR</v>
      </c>
      <c r="L882" s="42" t="str">
        <v>BR1606</v>
      </c>
      <c r="M882" s="121" t="str">
        <v/>
      </c>
      <c r="N882" s="121" t="str">
        <v/>
      </c>
      <c r="O882" s="121" t="str">
        <v/>
      </c>
      <c r="P882" s="121" t="str">
        <v/>
      </c>
      <c r="Q882" s="121" t="str">
        <v xml:space="preserve"> 1. </v>
      </c>
      <c r="R882" s="121" t="str">
        <v>Identify similar products, by finding product with matching meta-tags and meeting the family criteria.</v>
      </c>
      <c r="S882" s="121" t="str">
        <v/>
      </c>
      <c r="T882" s="119" t="str">
        <f>IF($C882&lt;4,IF($C882=3,T883,IF($C882=2,T$1,"")),Q882&amp;R882&amp;IF(LEN(S882)=0,"",Preferences!$C$2&amp;S882)&amp;IF(J883=J882,IF(LEN(R882&amp;S882)=0,"","
")&amp;T883,""))</f>
        <v xml:space="preserve"> 1. Identify similar products, by finding product with matching meta-tags and meeting the family criteria.
 2. Identify also-bought products, by finding the most-bought products from purchases that contained the current product.
 3. Exclude the current product from these recommended product lists.</v>
      </c>
      <c r="U882" s="122" t="str">
        <v/>
      </c>
      <c r="V882" s="42"/>
      <c r="W882" s="42"/>
      <c r="X882" s="42"/>
      <c r="Y882" s="42"/>
      <c r="Z882" s="42"/>
      <c r="AA882" s="42"/>
      <c r="AB882" s="42"/>
    </row>
    <row r="883" spans="1:28" x14ac:dyDescent="0.25">
      <c r="A883" s="42" t="str">
        <v>1.16.6.2</v>
      </c>
      <c r="B883" s="121" t="str">
        <v>Identify also-bought products, by finding the most-bought products from purchases that contained the current product.</v>
      </c>
      <c r="C883" s="41">
        <v>4</v>
      </c>
      <c r="D883" s="41" t="str">
        <v>RD</v>
      </c>
      <c r="E883" s="117" t="str">
        <f t="shared" si="0"/>
        <v>RD</v>
      </c>
      <c r="F883" s="41" t="str">
        <v/>
      </c>
      <c r="G883" s="41" t="str">
        <v/>
      </c>
      <c r="H883" s="117">
        <f t="shared" si="1"/>
        <v>0</v>
      </c>
      <c r="I883" s="117">
        <f t="shared" si="2"/>
        <v>16</v>
      </c>
      <c r="J883" s="117">
        <f t="shared" si="3"/>
        <v>16.060000000000009</v>
      </c>
      <c r="K883" s="117" t="str">
        <f t="shared" si="4"/>
        <v>BR</v>
      </c>
      <c r="L883" s="42" t="str">
        <v>BR1606</v>
      </c>
      <c r="M883" s="121" t="str">
        <v/>
      </c>
      <c r="N883" s="121" t="str">
        <v/>
      </c>
      <c r="O883" s="121" t="str">
        <v/>
      </c>
      <c r="P883" s="121" t="str">
        <v/>
      </c>
      <c r="Q883" s="121" t="str">
        <v xml:space="preserve"> 2. </v>
      </c>
      <c r="R883" s="121" t="str">
        <v>Identify also-bought products, by finding the most-bought products from purchases that contained the current product.</v>
      </c>
      <c r="S883" s="121" t="str">
        <v/>
      </c>
      <c r="T883" s="119" t="str">
        <f>IF($C883&lt;4,IF($C883=3,T884,IF($C883=2,T$1,"")),Q883&amp;R883&amp;IF(LEN(S883)=0,"",Preferences!$C$2&amp;S883)&amp;IF(J884=J883,IF(LEN(R883&amp;S883)=0,"","
")&amp;T884,""))</f>
        <v xml:space="preserve"> 2. Identify also-bought products, by finding the most-bought products from purchases that contained the current product.
 3. Exclude the current product from these recommended product lists.</v>
      </c>
      <c r="U883" s="122" t="str">
        <v/>
      </c>
      <c r="V883" s="42"/>
      <c r="W883" s="42"/>
      <c r="X883" s="42"/>
      <c r="Y883" s="42"/>
      <c r="Z883" s="42"/>
      <c r="AA883" s="42"/>
      <c r="AB883" s="42"/>
    </row>
    <row r="884" spans="1:28" x14ac:dyDescent="0.25">
      <c r="A884" s="42" t="str">
        <v>1.16.6.3</v>
      </c>
      <c r="B884" s="121" t="str">
        <v>Exclude the current product from these recommended product lists.</v>
      </c>
      <c r="C884" s="41">
        <v>4</v>
      </c>
      <c r="D884" s="41" t="str">
        <v>RD</v>
      </c>
      <c r="E884" s="117" t="str">
        <f t="shared" si="0"/>
        <v>RD</v>
      </c>
      <c r="F884" s="41" t="str">
        <v/>
      </c>
      <c r="G884" s="41" t="str">
        <v/>
      </c>
      <c r="H884" s="117">
        <f t="shared" si="1"/>
        <v>0</v>
      </c>
      <c r="I884" s="117">
        <f t="shared" si="2"/>
        <v>16</v>
      </c>
      <c r="J884" s="117">
        <f t="shared" si="3"/>
        <v>16.060000000000009</v>
      </c>
      <c r="K884" s="117" t="str">
        <f t="shared" si="4"/>
        <v>BR</v>
      </c>
      <c r="L884" s="42" t="str">
        <v>BR1606</v>
      </c>
      <c r="M884" s="121" t="str">
        <v/>
      </c>
      <c r="N884" s="121" t="str">
        <v/>
      </c>
      <c r="O884" s="121" t="str">
        <v/>
      </c>
      <c r="P884" s="121" t="str">
        <v/>
      </c>
      <c r="Q884" s="121" t="str">
        <v xml:space="preserve"> 3. </v>
      </c>
      <c r="R884" s="121" t="str">
        <v>Exclude the current product from these recommended product lists.</v>
      </c>
      <c r="S884" s="121" t="str">
        <v/>
      </c>
      <c r="T884" s="119" t="str">
        <f>IF($C884&lt;4,IF($C884=3,T885,IF($C884=2,T$1,"")),Q884&amp;R884&amp;IF(LEN(S884)=0,"",Preferences!$C$2&amp;S884)&amp;IF(J885=J884,IF(LEN(R884&amp;S884)=0,"","
")&amp;T885,""))</f>
        <v xml:space="preserve"> 3. Exclude the current product from these recommended product lists.</v>
      </c>
      <c r="U884" s="122" t="str">
        <v/>
      </c>
      <c r="V884" s="42"/>
      <c r="W884" s="42"/>
      <c r="X884" s="42"/>
      <c r="Y884" s="42"/>
      <c r="Z884" s="42"/>
      <c r="AA884" s="42"/>
      <c r="AB884" s="42"/>
    </row>
    <row r="885" spans="1:28" x14ac:dyDescent="0.25">
      <c r="A885" s="42" t="str">
        <v>1.16.7</v>
      </c>
      <c r="B885" s="121" t="str">
        <v>16.7 Identify appropriate articles to promote on a product page (future phase)</v>
      </c>
      <c r="C885" s="41">
        <v>3</v>
      </c>
      <c r="D885" s="41" t="str">
        <v>R</v>
      </c>
      <c r="E885" s="117" t="str">
        <f t="shared" si="0"/>
        <v>R</v>
      </c>
      <c r="F885" s="41" t="str">
        <v/>
      </c>
      <c r="G885" s="41" t="str">
        <v/>
      </c>
      <c r="H885" s="117">
        <f t="shared" si="1"/>
        <v>0</v>
      </c>
      <c r="I885" s="117">
        <f t="shared" si="2"/>
        <v>16</v>
      </c>
      <c r="J885" s="117">
        <f t="shared" si="3"/>
        <v>16.070000000000011</v>
      </c>
      <c r="K885" s="117" t="str">
        <f t="shared" si="4"/>
        <v>BR</v>
      </c>
      <c r="L885" s="42" t="str">
        <v>BR1607</v>
      </c>
      <c r="M885" s="121" t="str">
        <v/>
      </c>
      <c r="N885" s="121" t="str">
        <v/>
      </c>
      <c r="O885" s="121" t="str">
        <v>BR1607</v>
      </c>
      <c r="P885" s="121" t="str">
        <v>Identify appropriate articles to promote on a product page (future phase)</v>
      </c>
      <c r="Q885" s="121" t="str">
        <v/>
      </c>
      <c r="R885" s="121" t="str">
        <v/>
      </c>
      <c r="S885" s="121" t="str">
        <v/>
      </c>
      <c r="T885" s="119" t="str">
        <f>IF($C885&lt;4,IF($C885=3,T886,IF($C885=2,T$1,"")),Q885&amp;R885&amp;IF(LEN(S885)=0,"",Preferences!$C$2&amp;S885)&amp;IF(J886=J885,IF(LEN(R885&amp;S885)=0,"","
")&amp;T886,""))</f>
        <v xml:space="preserve"> 1. Identify articles, by finding articles with matching meta-tags and meeting the family criteria.</v>
      </c>
      <c r="U885" s="122" t="str">
        <v/>
      </c>
      <c r="V885" s="42"/>
      <c r="W885" s="42"/>
      <c r="X885" s="42"/>
      <c r="Y885" s="42"/>
      <c r="Z885" s="42"/>
      <c r="AA885" s="42"/>
      <c r="AB885" s="42"/>
    </row>
    <row r="886" spans="1:28" x14ac:dyDescent="0.25">
      <c r="A886" s="42" t="str">
        <v>1.16.7.1</v>
      </c>
      <c r="B886" s="121" t="str">
        <v>Identify articles, by finding articles with matching meta-tags and meeting the family criteria.</v>
      </c>
      <c r="C886" s="41">
        <v>4</v>
      </c>
      <c r="D886" s="41" t="str">
        <v>RD</v>
      </c>
      <c r="E886" s="117" t="str">
        <f t="shared" si="0"/>
        <v>RD</v>
      </c>
      <c r="F886" s="41" t="str">
        <v/>
      </c>
      <c r="G886" s="41" t="str">
        <v/>
      </c>
      <c r="H886" s="117">
        <f t="shared" si="1"/>
        <v>0</v>
      </c>
      <c r="I886" s="117">
        <f t="shared" si="2"/>
        <v>16</v>
      </c>
      <c r="J886" s="117">
        <f t="shared" si="3"/>
        <v>16.070000000000011</v>
      </c>
      <c r="K886" s="117" t="str">
        <f t="shared" si="4"/>
        <v>BR</v>
      </c>
      <c r="L886" s="42" t="str">
        <v>BR1607</v>
      </c>
      <c r="M886" s="121" t="str">
        <v/>
      </c>
      <c r="N886" s="121" t="str">
        <v/>
      </c>
      <c r="O886" s="121" t="str">
        <v/>
      </c>
      <c r="P886" s="121" t="str">
        <v/>
      </c>
      <c r="Q886" s="121" t="str">
        <v xml:space="preserve"> 1. </v>
      </c>
      <c r="R886" s="121" t="str">
        <v>Identify articles, by finding articles with matching meta-tags and meeting the family criteria.</v>
      </c>
      <c r="S886" s="121" t="str">
        <v/>
      </c>
      <c r="T886" s="119" t="str">
        <f>IF($C886&lt;4,IF($C886=3,T887,IF($C886=2,T$1,"")),Q886&amp;R886&amp;IF(LEN(S886)=0,"",Preferences!$C$2&amp;S886)&amp;IF(J887=J886,IF(LEN(R886&amp;S886)=0,"","
")&amp;T887,""))</f>
        <v xml:space="preserve"> 1. Identify articles, by finding articles with matching meta-tags and meeting the family criteria.</v>
      </c>
      <c r="U886" s="122" t="str">
        <v/>
      </c>
      <c r="V886" s="42"/>
      <c r="W886" s="42"/>
      <c r="X886" s="42"/>
      <c r="Y886" s="42"/>
      <c r="Z886" s="42"/>
      <c r="AA886" s="42"/>
      <c r="AB886" s="42"/>
    </row>
    <row r="887" spans="1:28" x14ac:dyDescent="0.25">
      <c r="A887" s="42" t="str">
        <v>1.16.8</v>
      </c>
      <c r="B887" s="121" t="str">
        <v>16.8 Promote relevant other products on a product page</v>
      </c>
      <c r="C887" s="41">
        <v>3</v>
      </c>
      <c r="D887" s="41" t="str">
        <v>R</v>
      </c>
      <c r="E887" s="117" t="str">
        <f t="shared" si="0"/>
        <v>R</v>
      </c>
      <c r="F887" s="41" t="str">
        <v/>
      </c>
      <c r="G887" s="41" t="str">
        <v/>
      </c>
      <c r="H887" s="117">
        <f t="shared" si="1"/>
        <v>0</v>
      </c>
      <c r="I887" s="117">
        <f t="shared" si="2"/>
        <v>16</v>
      </c>
      <c r="J887" s="117">
        <f t="shared" si="3"/>
        <v>16.080000000000013</v>
      </c>
      <c r="K887" s="117" t="str">
        <f t="shared" si="4"/>
        <v>BR</v>
      </c>
      <c r="L887" s="42" t="str">
        <v>BR1608</v>
      </c>
      <c r="M887" s="121" t="str">
        <v/>
      </c>
      <c r="N887" s="121" t="str">
        <v/>
      </c>
      <c r="O887" s="121" t="str">
        <v>BR1608</v>
      </c>
      <c r="P887" s="121" t="str">
        <v>Promote relevant other products on a product page</v>
      </c>
      <c r="Q887" s="121" t="str">
        <v/>
      </c>
      <c r="R887" s="121" t="str">
        <v/>
      </c>
      <c r="S887" s="121" t="str">
        <v/>
      </c>
      <c r="T887" s="119" t="str">
        <f>IF($C887&lt;4,IF($C887=3,T888,IF($C887=2,T$1,"")),Q887&amp;R887&amp;IF(LEN(S887)=0,"",Preferences!$C$2&amp;S887)&amp;IF(J888=J887,IF(LEN(R887&amp;S887)=0,"","
")&amp;T888,""))</f>
        <v xml:space="preserve"> 1. Promote a list of similar products (search results display format)
 2. Promote a list of also-bought products (search results display format)</v>
      </c>
      <c r="U887" s="122" t="str">
        <v/>
      </c>
      <c r="V887" s="42"/>
      <c r="W887" s="42"/>
      <c r="X887" s="42"/>
      <c r="Y887" s="42"/>
      <c r="Z887" s="42"/>
      <c r="AA887" s="42"/>
      <c r="AB887" s="42"/>
    </row>
    <row r="888" spans="1:28" x14ac:dyDescent="0.25">
      <c r="A888" s="42" t="str">
        <v>1.16.8.1</v>
      </c>
      <c r="B888" s="121" t="str">
        <v>Promote a list of similar products (search results display format)</v>
      </c>
      <c r="C888" s="41">
        <v>4</v>
      </c>
      <c r="D888" s="41" t="str">
        <v>RD</v>
      </c>
      <c r="E888" s="117" t="str">
        <f t="shared" si="0"/>
        <v>RD</v>
      </c>
      <c r="F888" s="41" t="str">
        <v/>
      </c>
      <c r="G888" s="41" t="str">
        <v/>
      </c>
      <c r="H888" s="117">
        <f t="shared" si="1"/>
        <v>0</v>
      </c>
      <c r="I888" s="117">
        <f t="shared" si="2"/>
        <v>16</v>
      </c>
      <c r="J888" s="117">
        <f t="shared" si="3"/>
        <v>16.080000000000013</v>
      </c>
      <c r="K888" s="117" t="str">
        <f t="shared" si="4"/>
        <v>BR</v>
      </c>
      <c r="L888" s="42" t="str">
        <v>BR1608</v>
      </c>
      <c r="M888" s="121" t="str">
        <v/>
      </c>
      <c r="N888" s="121" t="str">
        <v/>
      </c>
      <c r="O888" s="121" t="str">
        <v/>
      </c>
      <c r="P888" s="121" t="str">
        <v/>
      </c>
      <c r="Q888" s="121" t="str">
        <v xml:space="preserve"> 1. </v>
      </c>
      <c r="R888" s="121" t="str">
        <v>Promote a list of similar products (search results display format)</v>
      </c>
      <c r="S888" s="121" t="str">
        <v/>
      </c>
      <c r="T888" s="119" t="str">
        <f>IF($C888&lt;4,IF($C888=3,T889,IF($C888=2,T$1,"")),Q888&amp;R888&amp;IF(LEN(S888)=0,"",Preferences!$C$2&amp;S888)&amp;IF(J889=J888,IF(LEN(R888&amp;S888)=0,"","
")&amp;T889,""))</f>
        <v xml:space="preserve"> 1. Promote a list of similar products (search results display format)
 2. Promote a list of also-bought products (search results display format)</v>
      </c>
      <c r="U888" s="122" t="str">
        <v/>
      </c>
      <c r="V888" s="42"/>
      <c r="W888" s="42"/>
      <c r="X888" s="42"/>
      <c r="Y888" s="42"/>
      <c r="Z888" s="42"/>
      <c r="AA888" s="42"/>
      <c r="AB888" s="42"/>
    </row>
    <row r="889" spans="1:28" x14ac:dyDescent="0.25">
      <c r="A889" s="42" t="str">
        <v>1.16.8.2</v>
      </c>
      <c r="B889" s="121" t="str">
        <v>Promote a list of also-bought products (search results display format)</v>
      </c>
      <c r="C889" s="41">
        <v>4</v>
      </c>
      <c r="D889" s="41" t="str">
        <v>RD</v>
      </c>
      <c r="E889" s="117" t="str">
        <f t="shared" si="0"/>
        <v>RD</v>
      </c>
      <c r="F889" s="41" t="str">
        <v/>
      </c>
      <c r="G889" s="41" t="str">
        <v/>
      </c>
      <c r="H889" s="117">
        <f t="shared" si="1"/>
        <v>0</v>
      </c>
      <c r="I889" s="117">
        <f t="shared" si="2"/>
        <v>16</v>
      </c>
      <c r="J889" s="117">
        <f t="shared" si="3"/>
        <v>16.080000000000013</v>
      </c>
      <c r="K889" s="117" t="str">
        <f t="shared" si="4"/>
        <v>BR</v>
      </c>
      <c r="L889" s="42" t="str">
        <v>BR1608</v>
      </c>
      <c r="M889" s="121" t="str">
        <v/>
      </c>
      <c r="N889" s="121" t="str">
        <v/>
      </c>
      <c r="O889" s="121" t="str">
        <v/>
      </c>
      <c r="P889" s="121" t="str">
        <v/>
      </c>
      <c r="Q889" s="121" t="str">
        <v xml:space="preserve"> 2. </v>
      </c>
      <c r="R889" s="121" t="str">
        <v>Promote a list of also-bought products (search results display format)</v>
      </c>
      <c r="S889" s="121" t="str">
        <v/>
      </c>
      <c r="T889" s="119" t="str">
        <f>IF($C889&lt;4,IF($C889=3,T890,IF($C889=2,T$1,"")),Q889&amp;R889&amp;IF(LEN(S889)=0,"",Preferences!$C$2&amp;S889)&amp;IF(J890=J889,IF(LEN(R889&amp;S889)=0,"","
")&amp;T890,""))</f>
        <v xml:space="preserve"> 2. Promote a list of also-bought products (search results display format)</v>
      </c>
      <c r="U889" s="122" t="str">
        <v/>
      </c>
      <c r="V889" s="42"/>
      <c r="W889" s="42"/>
      <c r="X889" s="42"/>
      <c r="Y889" s="42"/>
      <c r="Z889" s="42"/>
      <c r="AA889" s="42"/>
      <c r="AB889" s="42"/>
    </row>
    <row r="890" spans="1:28" x14ac:dyDescent="0.25">
      <c r="A890" s="42" t="str">
        <v>1.16.9</v>
      </c>
      <c r="B890" s="121" t="str">
        <v>16.9 Promote articles on product pages (future phase)</v>
      </c>
      <c r="C890" s="41">
        <v>3</v>
      </c>
      <c r="D890" s="41" t="str">
        <v>R</v>
      </c>
      <c r="E890" s="117" t="str">
        <f t="shared" si="0"/>
        <v>R</v>
      </c>
      <c r="F890" s="41" t="str">
        <v/>
      </c>
      <c r="G890" s="41" t="str">
        <v/>
      </c>
      <c r="H890" s="117">
        <f t="shared" si="1"/>
        <v>0</v>
      </c>
      <c r="I890" s="117">
        <f t="shared" si="2"/>
        <v>16</v>
      </c>
      <c r="J890" s="117">
        <f t="shared" si="3"/>
        <v>16.090000000000014</v>
      </c>
      <c r="K890" s="117" t="str">
        <f t="shared" si="4"/>
        <v>BR</v>
      </c>
      <c r="L890" s="42" t="str">
        <v>BR1609</v>
      </c>
      <c r="M890" s="121" t="str">
        <v/>
      </c>
      <c r="N890" s="121" t="str">
        <v/>
      </c>
      <c r="O890" s="121" t="str">
        <v>BR1609</v>
      </c>
      <c r="P890" s="121" t="str">
        <v>Promote articles on product pages (future phase)</v>
      </c>
      <c r="Q890" s="121" t="str">
        <v/>
      </c>
      <c r="R890" s="121" t="str">
        <v/>
      </c>
      <c r="S890" s="121" t="str">
        <v/>
      </c>
      <c r="T890" s="119" t="str">
        <f>IF($C890&lt;4,IF($C890=3,T891,IF($C890=2,T$1,"")),Q890&amp;R890&amp;IF(LEN(S890)=0,"",Preferences!$C$2&amp;S890)&amp;IF(J891=J890,IF(LEN(R890&amp;S890)=0,"","
")&amp;T891,""))</f>
        <v xml:space="preserve"> 1. Promote a list of recommended articles (search results display format)</v>
      </c>
      <c r="U890" s="122" t="str">
        <v/>
      </c>
      <c r="V890" s="42"/>
      <c r="W890" s="42"/>
      <c r="X890" s="42"/>
      <c r="Y890" s="42"/>
      <c r="Z890" s="42"/>
      <c r="AA890" s="42"/>
      <c r="AB890" s="42"/>
    </row>
    <row r="891" spans="1:28" x14ac:dyDescent="0.25">
      <c r="A891" s="42" t="str">
        <v>1.16.9.1</v>
      </c>
      <c r="B891" s="121" t="str">
        <v>Promote a list of recommended articles (search results display format)</v>
      </c>
      <c r="C891" s="41">
        <v>4</v>
      </c>
      <c r="D891" s="41" t="str">
        <v>RD</v>
      </c>
      <c r="E891" s="117" t="str">
        <f t="shared" si="0"/>
        <v>RD</v>
      </c>
      <c r="F891" s="41" t="str">
        <v/>
      </c>
      <c r="G891" s="41" t="str">
        <v/>
      </c>
      <c r="H891" s="117">
        <f t="shared" si="1"/>
        <v>0</v>
      </c>
      <c r="I891" s="117">
        <f t="shared" si="2"/>
        <v>16</v>
      </c>
      <c r="J891" s="117">
        <f t="shared" si="3"/>
        <v>16.090000000000014</v>
      </c>
      <c r="K891" s="117" t="str">
        <f t="shared" si="4"/>
        <v>BR</v>
      </c>
      <c r="L891" s="42" t="str">
        <v>BR1609</v>
      </c>
      <c r="M891" s="121" t="str">
        <v/>
      </c>
      <c r="N891" s="121" t="str">
        <v/>
      </c>
      <c r="O891" s="121" t="str">
        <v/>
      </c>
      <c r="P891" s="121" t="str">
        <v/>
      </c>
      <c r="Q891" s="121" t="str">
        <v xml:space="preserve"> 1. </v>
      </c>
      <c r="R891" s="121" t="str">
        <v>Promote a list of recommended articles (search results display format)</v>
      </c>
      <c r="S891" s="121" t="str">
        <v/>
      </c>
      <c r="T891" s="119" t="str">
        <f>IF($C891&lt;4,IF($C891=3,T892,IF($C891=2,T$1,"")),Q891&amp;R891&amp;IF(LEN(S891)=0,"",Preferences!$C$2&amp;S891)&amp;IF(J892=J891,IF(LEN(R891&amp;S891)=0,"","
")&amp;T892,""))</f>
        <v xml:space="preserve"> 1. Promote a list of recommended articles (search results display format)</v>
      </c>
      <c r="U891" s="122" t="str">
        <v/>
      </c>
      <c r="V891" s="42"/>
      <c r="W891" s="42"/>
      <c r="X891" s="42"/>
      <c r="Y891" s="42"/>
      <c r="Z891" s="42"/>
      <c r="AA891" s="42"/>
      <c r="AB891" s="42"/>
    </row>
    <row r="892" spans="1:28" x14ac:dyDescent="0.25">
      <c r="A892" s="42" t="str">
        <v>1.17</v>
      </c>
      <c r="B892" s="121" t="str">
        <v>17 Shopping Cart</v>
      </c>
      <c r="C892" s="41">
        <v>2</v>
      </c>
      <c r="D892" s="41" t="str">
        <v>RS</v>
      </c>
      <c r="E892" s="117" t="str">
        <f t="shared" si="0"/>
        <v>RS</v>
      </c>
      <c r="F892" s="41" t="str">
        <v/>
      </c>
      <c r="G892" s="41" t="str">
        <v/>
      </c>
      <c r="H892" s="117">
        <f t="shared" si="1"/>
        <v>0</v>
      </c>
      <c r="I892" s="117">
        <f t="shared" si="2"/>
        <v>17</v>
      </c>
      <c r="J892" s="117">
        <f t="shared" si="3"/>
        <v>17</v>
      </c>
      <c r="K892" s="117" t="str">
        <f t="shared" si="4"/>
        <v>BR</v>
      </c>
      <c r="L892" s="42">
        <v>17</v>
      </c>
      <c r="M892" s="121" t="str">
        <v/>
      </c>
      <c r="N892" s="121" t="str">
        <v>17 Shopping Cart</v>
      </c>
      <c r="O892" s="121" t="str">
        <v>ReqID</v>
      </c>
      <c r="P892" s="121" t="e">
        <v>#N/A</v>
      </c>
      <c r="Q892" s="121" t="str">
        <v/>
      </c>
      <c r="R892" s="121" t="str">
        <v/>
      </c>
      <c r="S892" s="121" t="str">
        <v/>
      </c>
      <c r="T892" s="119" t="str">
        <f>IF($C892&lt;4,IF($C892=3,T893,IF($C892=2,T$1,"")),Q892&amp;R892&amp;IF(LEN(S892)=0,"",Preferences!$C$2&amp;S892)&amp;IF(J893=J892,IF(LEN(R892&amp;S892)=0,"","
")&amp;T893,""))</f>
        <v>Description</v>
      </c>
      <c r="U892" s="122" t="str">
        <v/>
      </c>
      <c r="V892" s="42"/>
      <c r="W892" s="42"/>
      <c r="X892" s="42"/>
      <c r="Y892" s="42"/>
      <c r="Z892" s="42"/>
      <c r="AA892" s="42"/>
      <c r="AB892" s="42"/>
    </row>
    <row r="893" spans="1:28" x14ac:dyDescent="0.25">
      <c r="A893" s="42" t="str">
        <v>1.17.1</v>
      </c>
      <c r="B893" s="121" t="str">
        <v>17.1 View shopping cart status</v>
      </c>
      <c r="C893" s="41">
        <v>3</v>
      </c>
      <c r="D893" s="41" t="str">
        <v>R</v>
      </c>
      <c r="E893" s="117" t="str">
        <f t="shared" si="0"/>
        <v>R</v>
      </c>
      <c r="F893" s="41" t="str">
        <v/>
      </c>
      <c r="G893" s="41" t="str">
        <v/>
      </c>
      <c r="H893" s="117">
        <f t="shared" si="1"/>
        <v>0</v>
      </c>
      <c r="I893" s="117">
        <f t="shared" si="2"/>
        <v>17</v>
      </c>
      <c r="J893" s="117">
        <f t="shared" si="3"/>
        <v>17.010000000000002</v>
      </c>
      <c r="K893" s="117" t="str">
        <f t="shared" si="4"/>
        <v>BR</v>
      </c>
      <c r="L893" s="42" t="str">
        <v>BR1701</v>
      </c>
      <c r="M893" s="121" t="str">
        <v/>
      </c>
      <c r="N893" s="121" t="str">
        <v/>
      </c>
      <c r="O893" s="121" t="str">
        <v>BR1701</v>
      </c>
      <c r="P893" s="121" t="str">
        <v>View shopping cart status</v>
      </c>
      <c r="Q893" s="121" t="str">
        <v/>
      </c>
      <c r="R893" s="121" t="str">
        <v/>
      </c>
      <c r="S893" s="121" t="str">
        <v/>
      </c>
      <c r="T893" s="119" t="str">
        <f>IF($C893&lt;4,IF($C893=3,T894,IF($C893=2,T$1,"")),Q893&amp;R893&amp;IF(LEN(S893)=0,"",Preferences!$C$2&amp;S893)&amp;IF(J894=J893,IF(LEN(R893&amp;S893)=0,"","
")&amp;T894,""))</f>
        <v xml:space="preserve"> 1. While in the shopfront, the status of the user's shopping cart must be visible, indicating the number of products in the cart.
 2. The cart status must be presented at the top of the page, close to the user menu.
 3. The cart status must automatically update when a product is added to the cart.</v>
      </c>
      <c r="U893" s="122" t="str">
        <v/>
      </c>
      <c r="V893" s="42"/>
      <c r="W893" s="42"/>
      <c r="X893" s="42"/>
      <c r="Y893" s="42"/>
      <c r="Z893" s="42"/>
      <c r="AA893" s="42"/>
      <c r="AB893" s="42"/>
    </row>
    <row r="894" spans="1:28" x14ac:dyDescent="0.25">
      <c r="A894" s="42" t="str">
        <v>1.17.1.1</v>
      </c>
      <c r="B894" s="121" t="str">
        <v>While in the shopfront, the status of the user's shopping cart must be visible, indicating the number of products in the cart.</v>
      </c>
      <c r="C894" s="41">
        <v>4</v>
      </c>
      <c r="D894" s="41" t="str">
        <v>RD</v>
      </c>
      <c r="E894" s="117" t="str">
        <f t="shared" si="0"/>
        <v>RD</v>
      </c>
      <c r="F894" s="41" t="str">
        <v/>
      </c>
      <c r="G894" s="41" t="str">
        <v/>
      </c>
      <c r="H894" s="117">
        <f t="shared" si="1"/>
        <v>0</v>
      </c>
      <c r="I894" s="117">
        <f t="shared" si="2"/>
        <v>17</v>
      </c>
      <c r="J894" s="117">
        <f t="shared" si="3"/>
        <v>17.010000000000002</v>
      </c>
      <c r="K894" s="117" t="str">
        <f t="shared" si="4"/>
        <v>BR</v>
      </c>
      <c r="L894" s="42" t="str">
        <v>BR1701</v>
      </c>
      <c r="M894" s="121" t="str">
        <v/>
      </c>
      <c r="N894" s="121" t="str">
        <v/>
      </c>
      <c r="O894" s="121" t="str">
        <v/>
      </c>
      <c r="P894" s="121" t="str">
        <v/>
      </c>
      <c r="Q894" s="121" t="str">
        <v xml:space="preserve"> 1. </v>
      </c>
      <c r="R894" s="121" t="str">
        <v>While in the shopfront, the status of the user's shopping cart must be visible, indicating the number of products in the cart.</v>
      </c>
      <c r="S894" s="121" t="str">
        <v/>
      </c>
      <c r="T894" s="119" t="str">
        <f>IF($C894&lt;4,IF($C894=3,T895,IF($C894=2,T$1,"")),Q894&amp;R894&amp;IF(LEN(S894)=0,"",Preferences!$C$2&amp;S894)&amp;IF(J895=J894,IF(LEN(R894&amp;S894)=0,"","
")&amp;T895,""))</f>
        <v xml:space="preserve"> 1. While in the shopfront, the status of the user's shopping cart must be visible, indicating the number of products in the cart.
 2. The cart status must be presented at the top of the page, close to the user menu.
 3. The cart status must automatically update when a product is added to the cart.</v>
      </c>
      <c r="U894" s="122" t="str">
        <v/>
      </c>
      <c r="V894" s="42"/>
      <c r="W894" s="42"/>
      <c r="X894" s="42"/>
      <c r="Y894" s="42"/>
      <c r="Z894" s="42"/>
      <c r="AA894" s="42"/>
      <c r="AB894" s="42"/>
    </row>
    <row r="895" spans="1:28" x14ac:dyDescent="0.25">
      <c r="A895" s="42" t="str">
        <v>1.17.1.2</v>
      </c>
      <c r="B895" s="121" t="str">
        <v>The cart status must be presented at the top of the page, close to the user menu.</v>
      </c>
      <c r="C895" s="41">
        <v>4</v>
      </c>
      <c r="D895" s="41" t="str">
        <v>RD</v>
      </c>
      <c r="E895" s="117" t="str">
        <f t="shared" si="0"/>
        <v>RD</v>
      </c>
      <c r="F895" s="41" t="str">
        <v/>
      </c>
      <c r="G895" s="41" t="str">
        <v/>
      </c>
      <c r="H895" s="117">
        <f t="shared" si="1"/>
        <v>0</v>
      </c>
      <c r="I895" s="117">
        <f t="shared" si="2"/>
        <v>17</v>
      </c>
      <c r="J895" s="117">
        <f t="shared" si="3"/>
        <v>17.010000000000002</v>
      </c>
      <c r="K895" s="117" t="str">
        <f t="shared" si="4"/>
        <v>BR</v>
      </c>
      <c r="L895" s="42" t="str">
        <v>BR1701</v>
      </c>
      <c r="M895" s="121" t="str">
        <v/>
      </c>
      <c r="N895" s="121" t="str">
        <v/>
      </c>
      <c r="O895" s="121" t="str">
        <v/>
      </c>
      <c r="P895" s="121" t="str">
        <v/>
      </c>
      <c r="Q895" s="121" t="str">
        <v xml:space="preserve"> 2. </v>
      </c>
      <c r="R895" s="121" t="str">
        <v>The cart status must be presented at the top of the page, close to the user menu.</v>
      </c>
      <c r="S895" s="121" t="str">
        <v/>
      </c>
      <c r="T895" s="119" t="str">
        <f>IF($C895&lt;4,IF($C895=3,T896,IF($C895=2,T$1,"")),Q895&amp;R895&amp;IF(LEN(S895)=0,"",Preferences!$C$2&amp;S895)&amp;IF(J896=J895,IF(LEN(R895&amp;S895)=0,"","
")&amp;T896,""))</f>
        <v xml:space="preserve"> 2. The cart status must be presented at the top of the page, close to the user menu.
 3. The cart status must automatically update when a product is added to the cart.</v>
      </c>
      <c r="U895" s="122" t="str">
        <v/>
      </c>
      <c r="V895" s="42"/>
      <c r="W895" s="42"/>
      <c r="X895" s="42"/>
      <c r="Y895" s="42"/>
      <c r="Z895" s="42"/>
      <c r="AA895" s="42"/>
      <c r="AB895" s="42"/>
    </row>
    <row r="896" spans="1:28" x14ac:dyDescent="0.25">
      <c r="A896" s="42" t="str">
        <v>1.17.1.3</v>
      </c>
      <c r="B896" s="121" t="str">
        <v>The cart status must automatically update when a product is added to the cart.</v>
      </c>
      <c r="C896" s="41">
        <v>4</v>
      </c>
      <c r="D896" s="41" t="str">
        <v>RD</v>
      </c>
      <c r="E896" s="117" t="str">
        <f t="shared" si="0"/>
        <v>RD</v>
      </c>
      <c r="F896" s="41" t="str">
        <v/>
      </c>
      <c r="G896" s="41" t="str">
        <v/>
      </c>
      <c r="H896" s="117">
        <f t="shared" si="1"/>
        <v>0</v>
      </c>
      <c r="I896" s="117">
        <f t="shared" si="2"/>
        <v>17</v>
      </c>
      <c r="J896" s="117">
        <f t="shared" si="3"/>
        <v>17.010000000000002</v>
      </c>
      <c r="K896" s="117" t="str">
        <f t="shared" si="4"/>
        <v>BR</v>
      </c>
      <c r="L896" s="42" t="str">
        <v>BR1701</v>
      </c>
      <c r="M896" s="121" t="str">
        <v/>
      </c>
      <c r="N896" s="121" t="str">
        <v/>
      </c>
      <c r="O896" s="121" t="str">
        <v/>
      </c>
      <c r="P896" s="121" t="str">
        <v/>
      </c>
      <c r="Q896" s="121" t="str">
        <v xml:space="preserve"> 3. </v>
      </c>
      <c r="R896" s="121" t="str">
        <v>The cart status must automatically update when a product is added to the cart.</v>
      </c>
      <c r="S896" s="121" t="str">
        <v/>
      </c>
      <c r="T896" s="119" t="str">
        <f>IF($C896&lt;4,IF($C896=3,T897,IF($C896=2,T$1,"")),Q896&amp;R896&amp;IF(LEN(S896)=0,"",Preferences!$C$2&amp;S896)&amp;IF(J897=J896,IF(LEN(R896&amp;S896)=0,"","
")&amp;T897,""))</f>
        <v xml:space="preserve"> 3. The cart status must automatically update when a product is added to the cart.</v>
      </c>
      <c r="U896" s="122" t="str">
        <v/>
      </c>
      <c r="V896" s="42"/>
      <c r="W896" s="42"/>
      <c r="X896" s="42"/>
      <c r="Y896" s="42"/>
      <c r="Z896" s="42"/>
      <c r="AA896" s="42"/>
      <c r="AB896" s="42"/>
    </row>
    <row r="897" spans="1:28" x14ac:dyDescent="0.25">
      <c r="A897" s="42" t="str">
        <v>1.17.2</v>
      </c>
      <c r="B897" s="121" t="str">
        <v>17.2 View shopping cart detail</v>
      </c>
      <c r="C897" s="41">
        <v>3</v>
      </c>
      <c r="D897" s="41" t="str">
        <v>R</v>
      </c>
      <c r="E897" s="117" t="str">
        <f t="shared" si="0"/>
        <v>R</v>
      </c>
      <c r="F897" s="41" t="str">
        <v/>
      </c>
      <c r="G897" s="41" t="str">
        <v/>
      </c>
      <c r="H897" s="117">
        <f t="shared" si="1"/>
        <v>0</v>
      </c>
      <c r="I897" s="117">
        <f t="shared" si="2"/>
        <v>17</v>
      </c>
      <c r="J897" s="117">
        <f t="shared" si="3"/>
        <v>17.020000000000003</v>
      </c>
      <c r="K897" s="117" t="str">
        <f t="shared" si="4"/>
        <v>BR</v>
      </c>
      <c r="L897" s="42" t="str">
        <v>BR1702</v>
      </c>
      <c r="M897" s="121" t="str">
        <v/>
      </c>
      <c r="N897" s="121" t="str">
        <v/>
      </c>
      <c r="O897" s="121" t="str">
        <v>BR1702</v>
      </c>
      <c r="P897" s="121" t="str">
        <v>View shopping cart detail</v>
      </c>
      <c r="Q897" s="121" t="str">
        <v/>
      </c>
      <c r="R897" s="121" t="str">
        <v/>
      </c>
      <c r="S897" s="121" t="str">
        <v/>
      </c>
      <c r="T897" s="119" t="str">
        <f>IF($C897&lt;4,IF($C897=3,T898,IF($C897=2,T$1,"")),Q897&amp;R897&amp;IF(LEN(S897)=0,"",Preferences!$C$2&amp;S897)&amp;IF(J898=J897,IF(LEN(R897&amp;S897)=0,"","
")&amp;T898,""))</f>
        <v xml:space="preserve"> 1. The user may be presented the detail of their shopping cart:
	• Automatically after login, when they added products while not logged in.
	• By selecting the shopping cart status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897" s="122" t="str">
        <v/>
      </c>
      <c r="V897" s="42"/>
      <c r="W897" s="42"/>
      <c r="X897" s="42"/>
      <c r="Y897" s="42"/>
      <c r="Z897" s="42"/>
      <c r="AA897" s="42"/>
      <c r="AB897" s="42"/>
    </row>
    <row r="898" spans="1:28" x14ac:dyDescent="0.25">
      <c r="A898" s="42" t="str">
        <v>1.17.2.1</v>
      </c>
      <c r="B898" s="121" t="str">
        <v>The user may be presented the detail of their shopping cart:</v>
      </c>
      <c r="C898" s="41">
        <v>4</v>
      </c>
      <c r="D898" s="41" t="str">
        <v>RD</v>
      </c>
      <c r="E898" s="117" t="str">
        <f t="shared" si="0"/>
        <v>RD</v>
      </c>
      <c r="F898" s="41" t="str">
        <v/>
      </c>
      <c r="G898" s="41" t="str">
        <v/>
      </c>
      <c r="H898" s="117">
        <f t="shared" si="1"/>
        <v>0</v>
      </c>
      <c r="I898" s="117">
        <f t="shared" si="2"/>
        <v>17</v>
      </c>
      <c r="J898" s="117">
        <f t="shared" si="3"/>
        <v>17.020000000000003</v>
      </c>
      <c r="K898" s="117" t="str">
        <f t="shared" si="4"/>
        <v>BR</v>
      </c>
      <c r="L898" s="42" t="str">
        <v>BR1702</v>
      </c>
      <c r="M898" s="121" t="str">
        <v/>
      </c>
      <c r="N898" s="121" t="str">
        <v/>
      </c>
      <c r="O898" s="121" t="str">
        <v/>
      </c>
      <c r="P898" s="121" t="str">
        <v/>
      </c>
      <c r="Q898" s="121" t="str">
        <v xml:space="preserve"> 1. </v>
      </c>
      <c r="R898" s="121" t="str">
        <v>The user may be presented the detail of their shopping cart:</v>
      </c>
      <c r="S898" s="121" t="str">
        <v/>
      </c>
      <c r="T898" s="119" t="str">
        <f>IF($C898&lt;4,IF($C898=3,T899,IF($C898=2,T$1,"")),Q898&amp;R898&amp;IF(LEN(S898)=0,"",Preferences!$C$2&amp;S898)&amp;IF(J899=J898,IF(LEN(R898&amp;S898)=0,"","
")&amp;T899,""))</f>
        <v xml:space="preserve"> 1. The user may be presented the detail of their shopping cart:
	• Automatically after login, when they added products while not logged in.
	• By selecting the shopping cart status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898" s="122" t="str">
        <v/>
      </c>
      <c r="V898" s="42"/>
      <c r="W898" s="42"/>
      <c r="X898" s="42"/>
      <c r="Y898" s="42"/>
      <c r="Z898" s="42"/>
      <c r="AA898" s="42"/>
      <c r="AB898" s="42"/>
    </row>
    <row r="899" spans="1:28" x14ac:dyDescent="0.25">
      <c r="A899" s="42" t="str">
        <v>1.17.2.1.1</v>
      </c>
      <c r="B899" s="121" t="str">
        <v>Automatically after login, when they added products while not logged in.</v>
      </c>
      <c r="C899" s="41">
        <v>5</v>
      </c>
      <c r="D899" s="41" t="str">
        <v>RL</v>
      </c>
      <c r="E899" s="117" t="str">
        <f t="shared" si="0"/>
        <v>RL</v>
      </c>
      <c r="F899" s="41" t="str">
        <v/>
      </c>
      <c r="G899" s="41" t="str">
        <v/>
      </c>
      <c r="H899" s="117">
        <f t="shared" si="1"/>
        <v>0</v>
      </c>
      <c r="I899" s="117">
        <f t="shared" si="2"/>
        <v>17</v>
      </c>
      <c r="J899" s="117">
        <f t="shared" si="3"/>
        <v>17.020000000000003</v>
      </c>
      <c r="K899" s="117" t="str">
        <f t="shared" si="4"/>
        <v>BR</v>
      </c>
      <c r="L899" s="42" t="str">
        <v>BR1702</v>
      </c>
      <c r="M899" s="121" t="str">
        <v/>
      </c>
      <c r="N899" s="121" t="str">
        <v/>
      </c>
      <c r="O899" s="121" t="str">
        <v/>
      </c>
      <c r="P899" s="121" t="str">
        <v/>
      </c>
      <c r="Q899" s="121" t="str">
        <v/>
      </c>
      <c r="R899" s="121" t="str">
        <v/>
      </c>
      <c r="S899" s="121" t="str">
        <v>Automatically after login, when they added products while not logged in.</v>
      </c>
      <c r="T899" s="119" t="str">
        <f>IF($C899&lt;4,IF($C899=3,T900,IF($C899=2,T$1,"")),Q899&amp;R899&amp;IF(LEN(S899)=0,"",Preferences!$C$2&amp;S899)&amp;IF(J900=J899,IF(LEN(R899&amp;S899)=0,"","
")&amp;T900,""))</f>
        <v xml:space="preserve">	• Automatically after login, when they added products while not logged in.
	• By selecting the shopping cart status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899" s="122" t="str">
        <v/>
      </c>
      <c r="V899" s="42"/>
      <c r="W899" s="42"/>
      <c r="X899" s="42"/>
      <c r="Y899" s="42"/>
      <c r="Z899" s="42"/>
      <c r="AA899" s="42"/>
      <c r="AB899" s="42"/>
    </row>
    <row r="900" spans="1:28" x14ac:dyDescent="0.25">
      <c r="A900" s="42" t="str">
        <v>1.17.2.1.2</v>
      </c>
      <c r="B900" s="121" t="str">
        <v>By selecting the shopping cart status</v>
      </c>
      <c r="C900" s="41">
        <v>5</v>
      </c>
      <c r="D900" s="41" t="str">
        <v>RL</v>
      </c>
      <c r="E900" s="117" t="str">
        <f t="shared" si="0"/>
        <v>RL</v>
      </c>
      <c r="F900" s="41" t="str">
        <v/>
      </c>
      <c r="G900" s="41" t="str">
        <v/>
      </c>
      <c r="H900" s="117">
        <f t="shared" si="1"/>
        <v>0</v>
      </c>
      <c r="I900" s="117">
        <f t="shared" si="2"/>
        <v>17</v>
      </c>
      <c r="J900" s="117">
        <f t="shared" si="3"/>
        <v>17.020000000000003</v>
      </c>
      <c r="K900" s="117" t="str">
        <f t="shared" si="4"/>
        <v>BR</v>
      </c>
      <c r="L900" s="42" t="str">
        <v>BR1702</v>
      </c>
      <c r="M900" s="121" t="str">
        <v/>
      </c>
      <c r="N900" s="121" t="str">
        <v/>
      </c>
      <c r="O900" s="121" t="str">
        <v/>
      </c>
      <c r="P900" s="121" t="str">
        <v/>
      </c>
      <c r="Q900" s="121" t="str">
        <v/>
      </c>
      <c r="R900" s="121" t="str">
        <v/>
      </c>
      <c r="S900" s="121" t="str">
        <v>By selecting the shopping cart status</v>
      </c>
      <c r="T900" s="119" t="str">
        <f>IF($C900&lt;4,IF($C900=3,T901,IF($C900=2,T$1,"")),Q900&amp;R900&amp;IF(LEN(S900)=0,"",Preferences!$C$2&amp;S900)&amp;IF(J901=J900,IF(LEN(R900&amp;S900)=0,"","
")&amp;T901,""))</f>
        <v xml:space="preserve">	• By selecting the shopping cart status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0" s="122" t="str">
        <v/>
      </c>
      <c r="V900" s="42"/>
      <c r="W900" s="42"/>
      <c r="X900" s="42"/>
      <c r="Y900" s="42"/>
      <c r="Z900" s="42"/>
      <c r="AA900" s="42"/>
      <c r="AB900" s="42"/>
    </row>
    <row r="901" spans="1:28" x14ac:dyDescent="0.25">
      <c r="A901" s="42" t="str">
        <v>1.17.2.1.3</v>
      </c>
      <c r="B901" s="121" t="str">
        <v>By selecting the shopping cart option in their user menu.</v>
      </c>
      <c r="C901" s="41">
        <v>5</v>
      </c>
      <c r="D901" s="41" t="str">
        <v>RL</v>
      </c>
      <c r="E901" s="117" t="str">
        <f t="shared" si="0"/>
        <v>RL</v>
      </c>
      <c r="F901" s="41" t="str">
        <v/>
      </c>
      <c r="G901" s="41" t="str">
        <v/>
      </c>
      <c r="H901" s="117">
        <f t="shared" si="1"/>
        <v>0</v>
      </c>
      <c r="I901" s="117">
        <f t="shared" si="2"/>
        <v>17</v>
      </c>
      <c r="J901" s="117">
        <f t="shared" si="3"/>
        <v>17.020000000000003</v>
      </c>
      <c r="K901" s="117" t="str">
        <f t="shared" si="4"/>
        <v>BR</v>
      </c>
      <c r="L901" s="42" t="str">
        <v>BR1702</v>
      </c>
      <c r="M901" s="121" t="str">
        <v/>
      </c>
      <c r="N901" s="121" t="str">
        <v/>
      </c>
      <c r="O901" s="121" t="str">
        <v/>
      </c>
      <c r="P901" s="121" t="str">
        <v/>
      </c>
      <c r="Q901" s="121" t="str">
        <v/>
      </c>
      <c r="R901" s="121" t="str">
        <v/>
      </c>
      <c r="S901" s="121" t="str">
        <v>By selecting the shopping cart option in their user menu.</v>
      </c>
      <c r="T901" s="119" t="str">
        <f>IF($C901&lt;4,IF($C901=3,T902,IF($C901=2,T$1,"")),Q901&amp;R901&amp;IF(LEN(S901)=0,"",Preferences!$C$2&amp;S901)&amp;IF(J902=J901,IF(LEN(R901&amp;S901)=0,"","
")&amp;T902,""))</f>
        <v xml:space="preserve">	• By selecting the shopping cart option in their user menu.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1" s="122" t="str">
        <v/>
      </c>
      <c r="V901" s="42"/>
      <c r="W901" s="42"/>
      <c r="X901" s="42"/>
      <c r="Y901" s="42"/>
      <c r="Z901" s="42"/>
      <c r="AA901" s="42"/>
      <c r="AB901" s="42"/>
    </row>
    <row r="902" spans="1:28" x14ac:dyDescent="0.25">
      <c r="A902" s="42" t="str">
        <v>1.17.2.2</v>
      </c>
      <c r="B902" s="121" t="str">
        <v>Present at least the following details for the shopping cart:</v>
      </c>
      <c r="C902" s="41">
        <v>4</v>
      </c>
      <c r="D902" s="41" t="str">
        <v>RD</v>
      </c>
      <c r="E902" s="117" t="str">
        <f t="shared" si="0"/>
        <v>RD</v>
      </c>
      <c r="F902" s="41" t="str">
        <v/>
      </c>
      <c r="G902" s="41" t="str">
        <v/>
      </c>
      <c r="H902" s="117">
        <f t="shared" si="1"/>
        <v>0</v>
      </c>
      <c r="I902" s="117">
        <f t="shared" si="2"/>
        <v>17</v>
      </c>
      <c r="J902" s="117">
        <f t="shared" si="3"/>
        <v>17.020000000000003</v>
      </c>
      <c r="K902" s="117" t="str">
        <f t="shared" si="4"/>
        <v>BR</v>
      </c>
      <c r="L902" s="42" t="str">
        <v>BR1702</v>
      </c>
      <c r="M902" s="121" t="str">
        <v/>
      </c>
      <c r="N902" s="121" t="str">
        <v/>
      </c>
      <c r="O902" s="121" t="str">
        <v/>
      </c>
      <c r="P902" s="121" t="str">
        <v/>
      </c>
      <c r="Q902" s="121" t="str">
        <v xml:space="preserve"> 2. </v>
      </c>
      <c r="R902" s="121" t="str">
        <v>Present at least the following details for the shopping cart:</v>
      </c>
      <c r="S902" s="121" t="str">
        <v/>
      </c>
      <c r="T902" s="119" t="str">
        <f>IF($C902&lt;4,IF($C902=3,T903,IF($C902=2,T$1,"")),Q902&amp;R902&amp;IF(LEN(S902)=0,"",Preferences!$C$2&amp;S902)&amp;IF(J903=J902,IF(LEN(R902&amp;S902)=0,"","
")&amp;T903,""))</f>
        <v xml:space="preserve"> 2. Present at least the following details for the shopping cart: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2" s="122" t="str">
        <v/>
      </c>
      <c r="V902" s="42"/>
      <c r="W902" s="42"/>
      <c r="X902" s="42"/>
      <c r="Y902" s="42"/>
      <c r="Z902" s="42"/>
      <c r="AA902" s="42"/>
      <c r="AB902" s="42"/>
    </row>
    <row r="903" spans="1:28" x14ac:dyDescent="0.25">
      <c r="A903" s="42" t="str">
        <v>1.17.2.2.1</v>
      </c>
      <c r="B903" s="121" t="str">
        <v>Products list</v>
      </c>
      <c r="C903" s="41">
        <v>5</v>
      </c>
      <c r="D903" s="41" t="str">
        <v>RL</v>
      </c>
      <c r="E903" s="117" t="str">
        <f t="shared" si="0"/>
        <v>RL</v>
      </c>
      <c r="F903" s="41" t="str">
        <v/>
      </c>
      <c r="G903" s="41" t="str">
        <v/>
      </c>
      <c r="H903" s="117">
        <f t="shared" si="1"/>
        <v>0</v>
      </c>
      <c r="I903" s="117">
        <f t="shared" si="2"/>
        <v>17</v>
      </c>
      <c r="J903" s="117">
        <f t="shared" si="3"/>
        <v>17.020000000000003</v>
      </c>
      <c r="K903" s="117" t="str">
        <f t="shared" si="4"/>
        <v>BR</v>
      </c>
      <c r="L903" s="42" t="str">
        <v>BR1702</v>
      </c>
      <c r="M903" s="121" t="str">
        <v/>
      </c>
      <c r="N903" s="121" t="str">
        <v/>
      </c>
      <c r="O903" s="121" t="str">
        <v/>
      </c>
      <c r="P903" s="121" t="str">
        <v/>
      </c>
      <c r="Q903" s="121" t="str">
        <v/>
      </c>
      <c r="R903" s="121" t="str">
        <v/>
      </c>
      <c r="S903" s="121" t="str">
        <v>Products list</v>
      </c>
      <c r="T903" s="119" t="str">
        <f>IF($C903&lt;4,IF($C903=3,T904,IF($C903=2,T$1,"")),Q903&amp;R903&amp;IF(LEN(S903)=0,"",Preferences!$C$2&amp;S903)&amp;IF(J904=J903,IF(LEN(R903&amp;S903)=0,"","
")&amp;T904,""))</f>
        <v xml:space="preserve">	• Products list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3" s="122" t="str">
        <v/>
      </c>
      <c r="V903" s="42"/>
      <c r="W903" s="42"/>
      <c r="X903" s="42"/>
      <c r="Y903" s="42"/>
      <c r="Z903" s="42"/>
      <c r="AA903" s="42"/>
      <c r="AB903" s="42"/>
    </row>
    <row r="904" spans="1:28" x14ac:dyDescent="0.25">
      <c r="A904" s="42" t="str">
        <v>1.17.2.2.2</v>
      </c>
      <c r="B904" s="121" t="str">
        <v>Total Number of items in the shopping cart</v>
      </c>
      <c r="C904" s="41">
        <v>5</v>
      </c>
      <c r="D904" s="41" t="str">
        <v>RL</v>
      </c>
      <c r="E904" s="117" t="str">
        <f t="shared" si="0"/>
        <v>RL</v>
      </c>
      <c r="F904" s="41" t="str">
        <v/>
      </c>
      <c r="G904" s="41" t="str">
        <v/>
      </c>
      <c r="H904" s="117">
        <f t="shared" si="1"/>
        <v>0</v>
      </c>
      <c r="I904" s="117">
        <f t="shared" si="2"/>
        <v>17</v>
      </c>
      <c r="J904" s="117">
        <f t="shared" si="3"/>
        <v>17.020000000000003</v>
      </c>
      <c r="K904" s="117" t="str">
        <f t="shared" si="4"/>
        <v>BR</v>
      </c>
      <c r="L904" s="42" t="str">
        <v>BR1702</v>
      </c>
      <c r="M904" s="121" t="str">
        <v/>
      </c>
      <c r="N904" s="121" t="str">
        <v/>
      </c>
      <c r="O904" s="121" t="str">
        <v/>
      </c>
      <c r="P904" s="121" t="str">
        <v/>
      </c>
      <c r="Q904" s="121" t="str">
        <v/>
      </c>
      <c r="R904" s="121" t="str">
        <v/>
      </c>
      <c r="S904" s="121" t="str">
        <v>Total Number of items in the shopping cart</v>
      </c>
      <c r="T904" s="119" t="str">
        <f>IF($C904&lt;4,IF($C904=3,T905,IF($C904=2,T$1,"")),Q904&amp;R904&amp;IF(LEN(S904)=0,"",Preferences!$C$2&amp;S904)&amp;IF(J905=J904,IF(LEN(R904&amp;S904)=0,"","
")&amp;T905,""))</f>
        <v xml:space="preserve">	• Total Number of items in the shopping cart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4" s="122" t="str">
        <v/>
      </c>
      <c r="V904" s="42"/>
      <c r="W904" s="42"/>
      <c r="X904" s="42"/>
      <c r="Y904" s="42"/>
      <c r="Z904" s="42"/>
      <c r="AA904" s="42"/>
      <c r="AB904" s="42"/>
    </row>
    <row r="905" spans="1:28" x14ac:dyDescent="0.25">
      <c r="A905" s="42" t="str">
        <v>1.17.2.2.3</v>
      </c>
      <c r="B905" s="121" t="str">
        <v>Total VAT</v>
      </c>
      <c r="C905" s="41">
        <v>5</v>
      </c>
      <c r="D905" s="41" t="str">
        <v>RL</v>
      </c>
      <c r="E905" s="117" t="str">
        <f t="shared" si="0"/>
        <v>RL</v>
      </c>
      <c r="F905" s="41" t="str">
        <v/>
      </c>
      <c r="G905" s="41" t="str">
        <v/>
      </c>
      <c r="H905" s="117">
        <f t="shared" si="1"/>
        <v>0</v>
      </c>
      <c r="I905" s="117">
        <f t="shared" si="2"/>
        <v>17</v>
      </c>
      <c r="J905" s="117">
        <f t="shared" si="3"/>
        <v>17.020000000000003</v>
      </c>
      <c r="K905" s="117" t="str">
        <f t="shared" si="4"/>
        <v>BR</v>
      </c>
      <c r="L905" s="42" t="str">
        <v>BR1702</v>
      </c>
      <c r="M905" s="121" t="str">
        <v/>
      </c>
      <c r="N905" s="121" t="str">
        <v/>
      </c>
      <c r="O905" s="121" t="str">
        <v/>
      </c>
      <c r="P905" s="121" t="str">
        <v/>
      </c>
      <c r="Q905" s="121" t="str">
        <v/>
      </c>
      <c r="R905" s="121" t="str">
        <v/>
      </c>
      <c r="S905" s="121" t="str">
        <v>Total VAT</v>
      </c>
      <c r="T905" s="119" t="str">
        <f>IF($C905&lt;4,IF($C905=3,T906,IF($C905=2,T$1,"")),Q905&amp;R905&amp;IF(LEN(S905)=0,"",Preferences!$C$2&amp;S905)&amp;IF(J906=J905,IF(LEN(R905&amp;S905)=0,"","
")&amp;T906,""))</f>
        <v xml:space="preserve">	• Total VAT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5" s="122" t="str">
        <v/>
      </c>
      <c r="V905" s="42"/>
      <c r="W905" s="42"/>
      <c r="X905" s="42"/>
      <c r="Y905" s="42"/>
      <c r="Z905" s="42"/>
      <c r="AA905" s="42"/>
      <c r="AB905" s="42"/>
    </row>
    <row r="906" spans="1:28" x14ac:dyDescent="0.25">
      <c r="A906" s="42" t="str">
        <v>1.17.2.2.4</v>
      </c>
      <c r="B906" s="121" t="str">
        <v>Total Value (incl.)</v>
      </c>
      <c r="C906" s="41">
        <v>5</v>
      </c>
      <c r="D906" s="41" t="str">
        <v>RL</v>
      </c>
      <c r="E906" s="117" t="str">
        <f t="shared" si="0"/>
        <v>RL</v>
      </c>
      <c r="F906" s="41" t="str">
        <v/>
      </c>
      <c r="G906" s="41" t="str">
        <v/>
      </c>
      <c r="H906" s="117">
        <f t="shared" si="1"/>
        <v>0</v>
      </c>
      <c r="I906" s="117">
        <f t="shared" si="2"/>
        <v>17</v>
      </c>
      <c r="J906" s="117">
        <f t="shared" si="3"/>
        <v>17.020000000000003</v>
      </c>
      <c r="K906" s="117" t="str">
        <f t="shared" si="4"/>
        <v>BR</v>
      </c>
      <c r="L906" s="42" t="str">
        <v>BR1702</v>
      </c>
      <c r="M906" s="121" t="str">
        <v/>
      </c>
      <c r="N906" s="121" t="str">
        <v/>
      </c>
      <c r="O906" s="121" t="str">
        <v/>
      </c>
      <c r="P906" s="121" t="str">
        <v/>
      </c>
      <c r="Q906" s="121" t="str">
        <v/>
      </c>
      <c r="R906" s="121" t="str">
        <v/>
      </c>
      <c r="S906" s="121" t="str">
        <v>Total Value (incl.)</v>
      </c>
      <c r="T906" s="119" t="str">
        <f>IF($C906&lt;4,IF($C906=3,T907,IF($C906=2,T$1,"")),Q906&amp;R906&amp;IF(LEN(S906)=0,"",Preferences!$C$2&amp;S906)&amp;IF(J907=J906,IF(LEN(R906&amp;S906)=0,"","
")&amp;T907,""))</f>
        <v xml:space="preserve">	• Total Value (incl.)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6" s="122" t="str">
        <v/>
      </c>
      <c r="V906" s="42"/>
      <c r="W906" s="42"/>
      <c r="X906" s="42"/>
      <c r="Y906" s="42"/>
      <c r="Z906" s="42"/>
      <c r="AA906" s="42"/>
      <c r="AB906" s="42"/>
    </row>
    <row r="907" spans="1:28" x14ac:dyDescent="0.25">
      <c r="A907" s="42" t="str">
        <v>1.17.2.3</v>
      </c>
      <c r="B907" s="121" t="str">
        <v>Present the following actions for the shopping cart (as icons with hover-text):</v>
      </c>
      <c r="C907" s="41">
        <v>4</v>
      </c>
      <c r="D907" s="41" t="str">
        <v>RD</v>
      </c>
      <c r="E907" s="117" t="str">
        <f t="shared" si="0"/>
        <v>RD</v>
      </c>
      <c r="F907" s="41" t="str">
        <v/>
      </c>
      <c r="G907" s="41" t="str">
        <v/>
      </c>
      <c r="H907" s="117">
        <f t="shared" si="1"/>
        <v>0</v>
      </c>
      <c r="I907" s="117">
        <f t="shared" si="2"/>
        <v>17</v>
      </c>
      <c r="J907" s="117">
        <f t="shared" si="3"/>
        <v>17.020000000000003</v>
      </c>
      <c r="K907" s="117" t="str">
        <f t="shared" si="4"/>
        <v>BR</v>
      </c>
      <c r="L907" s="42" t="str">
        <v>BR1702</v>
      </c>
      <c r="M907" s="121" t="str">
        <v/>
      </c>
      <c r="N907" s="121" t="str">
        <v/>
      </c>
      <c r="O907" s="121" t="str">
        <v/>
      </c>
      <c r="P907" s="121" t="str">
        <v/>
      </c>
      <c r="Q907" s="121" t="str">
        <v xml:space="preserve"> 3. </v>
      </c>
      <c r="R907" s="121" t="str">
        <v>Present the following actions for the shopping cart (as icons with hover-text):</v>
      </c>
      <c r="S907" s="121" t="str">
        <v/>
      </c>
      <c r="T907" s="119" t="str">
        <f>IF($C907&lt;4,IF($C907=3,T908,IF($C907=2,T$1,"")),Q907&amp;R907&amp;IF(LEN(S907)=0,"",Preferences!$C$2&amp;S907)&amp;IF(J908=J907,IF(LEN(R907&amp;S907)=0,"","
")&amp;T908,""))</f>
        <v xml:space="preserve"> 3. Present the following actions for the shopping cart (as icons with hover-text):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7" s="122" t="str">
        <v/>
      </c>
      <c r="V907" s="42"/>
      <c r="W907" s="42"/>
      <c r="X907" s="42"/>
      <c r="Y907" s="42"/>
      <c r="Z907" s="42"/>
      <c r="AA907" s="42"/>
      <c r="AB907" s="42"/>
    </row>
    <row r="908" spans="1:28" x14ac:dyDescent="0.25">
      <c r="A908" s="42" t="str">
        <v>1.17.2.3.1</v>
      </c>
      <c r="B908" s="121" t="str">
        <v>Add all products to favourites</v>
      </c>
      <c r="C908" s="41">
        <v>5</v>
      </c>
      <c r="D908" s="41" t="str">
        <v>RL</v>
      </c>
      <c r="E908" s="117" t="str">
        <f t="shared" si="0"/>
        <v>RL</v>
      </c>
      <c r="F908" s="41" t="str">
        <v/>
      </c>
      <c r="G908" s="41" t="str">
        <v/>
      </c>
      <c r="H908" s="117">
        <f t="shared" si="1"/>
        <v>0</v>
      </c>
      <c r="I908" s="117">
        <f t="shared" si="2"/>
        <v>17</v>
      </c>
      <c r="J908" s="117">
        <f t="shared" si="3"/>
        <v>17.020000000000003</v>
      </c>
      <c r="K908" s="117" t="str">
        <f t="shared" si="4"/>
        <v>BR</v>
      </c>
      <c r="L908" s="42" t="str">
        <v>BR1702</v>
      </c>
      <c r="M908" s="121" t="str">
        <v/>
      </c>
      <c r="N908" s="121" t="str">
        <v/>
      </c>
      <c r="O908" s="121" t="str">
        <v/>
      </c>
      <c r="P908" s="121" t="str">
        <v/>
      </c>
      <c r="Q908" s="121" t="str">
        <v/>
      </c>
      <c r="R908" s="121" t="str">
        <v/>
      </c>
      <c r="S908" s="121" t="str">
        <v>Add all products to favourites</v>
      </c>
      <c r="T908" s="119" t="str">
        <f>IF($C908&lt;4,IF($C908=3,T909,IF($C908=2,T$1,"")),Q908&amp;R908&amp;IF(LEN(S908)=0,"",Preferences!$C$2&amp;S908)&amp;IF(J909=J908,IF(LEN(R908&amp;S908)=0,"","
")&amp;T909,""))</f>
        <v xml:space="preserve">	• Add all products to favourites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8" s="122" t="str">
        <v/>
      </c>
      <c r="V908" s="42"/>
      <c r="W908" s="42"/>
      <c r="X908" s="42"/>
      <c r="Y908" s="42"/>
      <c r="Z908" s="42"/>
      <c r="AA908" s="42"/>
      <c r="AB908" s="42"/>
    </row>
    <row r="909" spans="1:28" x14ac:dyDescent="0.25">
      <c r="A909" s="42" t="str">
        <v>1.17.2.3.2</v>
      </c>
      <c r="B909" s="121" t="str">
        <v>Add all favourite products to shopping cart</v>
      </c>
      <c r="C909" s="41">
        <v>5</v>
      </c>
      <c r="D909" s="41" t="str">
        <v>RL</v>
      </c>
      <c r="E909" s="117" t="str">
        <f t="shared" si="0"/>
        <v>RL</v>
      </c>
      <c r="F909" s="41" t="str">
        <v/>
      </c>
      <c r="G909" s="41" t="str">
        <v/>
      </c>
      <c r="H909" s="117">
        <f t="shared" si="1"/>
        <v>0</v>
      </c>
      <c r="I909" s="117">
        <f t="shared" si="2"/>
        <v>17</v>
      </c>
      <c r="J909" s="117">
        <f t="shared" si="3"/>
        <v>17.020000000000003</v>
      </c>
      <c r="K909" s="117" t="str">
        <f t="shared" si="4"/>
        <v>BR</v>
      </c>
      <c r="L909" s="42" t="str">
        <v>BR1702</v>
      </c>
      <c r="M909" s="121" t="str">
        <v/>
      </c>
      <c r="N909" s="121" t="str">
        <v/>
      </c>
      <c r="O909" s="121" t="str">
        <v/>
      </c>
      <c r="P909" s="121" t="str">
        <v/>
      </c>
      <c r="Q909" s="121" t="str">
        <v/>
      </c>
      <c r="R909" s="121" t="str">
        <v/>
      </c>
      <c r="S909" s="121" t="str">
        <v>Add all favourite products to shopping cart</v>
      </c>
      <c r="T909" s="119" t="str">
        <f>IF($C909&lt;4,IF($C909=3,T910,IF($C909=2,T$1,"")),Q909&amp;R909&amp;IF(LEN(S909)=0,"",Preferences!$C$2&amp;S909)&amp;IF(J910=J909,IF(LEN(R909&amp;S909)=0,"","
")&amp;T910,""))</f>
        <v xml:space="preserve">	• Add all favourite products to shopping cart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09" s="122" t="str">
        <v/>
      </c>
      <c r="V909" s="42"/>
      <c r="W909" s="42"/>
      <c r="X909" s="42"/>
      <c r="Y909" s="42"/>
      <c r="Z909" s="42"/>
      <c r="AA909" s="42"/>
      <c r="AB909" s="42"/>
    </row>
    <row r="910" spans="1:28" x14ac:dyDescent="0.25">
      <c r="A910" s="42" t="str">
        <v>1.17.2.3.3</v>
      </c>
      <c r="B910" s="121" t="str">
        <v>View favourites</v>
      </c>
      <c r="C910" s="41">
        <v>5</v>
      </c>
      <c r="D910" s="41" t="str">
        <v>RL</v>
      </c>
      <c r="E910" s="117" t="str">
        <f t="shared" si="0"/>
        <v>RL</v>
      </c>
      <c r="F910" s="41" t="str">
        <v/>
      </c>
      <c r="G910" s="41" t="str">
        <v/>
      </c>
      <c r="H910" s="117">
        <f t="shared" si="1"/>
        <v>0</v>
      </c>
      <c r="I910" s="117">
        <f t="shared" si="2"/>
        <v>17</v>
      </c>
      <c r="J910" s="117">
        <f t="shared" si="3"/>
        <v>17.020000000000003</v>
      </c>
      <c r="K910" s="117" t="str">
        <f t="shared" si="4"/>
        <v>BR</v>
      </c>
      <c r="L910" s="42" t="str">
        <v>BR1702</v>
      </c>
      <c r="M910" s="121" t="str">
        <v/>
      </c>
      <c r="N910" s="121" t="str">
        <v/>
      </c>
      <c r="O910" s="121" t="str">
        <v/>
      </c>
      <c r="P910" s="121" t="str">
        <v/>
      </c>
      <c r="Q910" s="121" t="str">
        <v/>
      </c>
      <c r="R910" s="121" t="str">
        <v/>
      </c>
      <c r="S910" s="121" t="str">
        <v>View favourites</v>
      </c>
      <c r="T910" s="119" t="str">
        <f>IF($C910&lt;4,IF($C910=3,T911,IF($C910=2,T$1,"")),Q910&amp;R910&amp;IF(LEN(S910)=0,"",Preferences!$C$2&amp;S910)&amp;IF(J911=J910,IF(LEN(R910&amp;S910)=0,"","
")&amp;T911,""))</f>
        <v xml:space="preserve">	• View favourites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0" s="122" t="str">
        <v/>
      </c>
      <c r="V910" s="42"/>
      <c r="W910" s="42"/>
      <c r="X910" s="42"/>
      <c r="Y910" s="42"/>
      <c r="Z910" s="42"/>
      <c r="AA910" s="42"/>
      <c r="AB910" s="42"/>
    </row>
    <row r="911" spans="1:28" x14ac:dyDescent="0.25">
      <c r="A911" s="42" t="str">
        <v>1.17.2.3.4</v>
      </c>
      <c r="B911" s="121" t="str">
        <v>Add all products to wish-list</v>
      </c>
      <c r="C911" s="41">
        <v>5</v>
      </c>
      <c r="D911" s="41" t="str">
        <v>RL</v>
      </c>
      <c r="E911" s="117" t="str">
        <f t="shared" si="0"/>
        <v>RL</v>
      </c>
      <c r="F911" s="41" t="str">
        <v/>
      </c>
      <c r="G911" s="41" t="str">
        <v/>
      </c>
      <c r="H911" s="117">
        <f t="shared" si="1"/>
        <v>0</v>
      </c>
      <c r="I911" s="117">
        <f t="shared" si="2"/>
        <v>17</v>
      </c>
      <c r="J911" s="117">
        <f t="shared" si="3"/>
        <v>17.020000000000003</v>
      </c>
      <c r="K911" s="117" t="str">
        <f t="shared" si="4"/>
        <v>BR</v>
      </c>
      <c r="L911" s="42" t="str">
        <v>BR1702</v>
      </c>
      <c r="M911" s="121" t="str">
        <v/>
      </c>
      <c r="N911" s="121" t="str">
        <v/>
      </c>
      <c r="O911" s="121" t="str">
        <v/>
      </c>
      <c r="P911" s="121" t="str">
        <v/>
      </c>
      <c r="Q911" s="121" t="str">
        <v/>
      </c>
      <c r="R911" s="121" t="str">
        <v/>
      </c>
      <c r="S911" s="121" t="str">
        <v>Add all products to wish-list</v>
      </c>
      <c r="T911" s="119" t="str">
        <f>IF($C911&lt;4,IF($C911=3,T912,IF($C911=2,T$1,"")),Q911&amp;R911&amp;IF(LEN(S911)=0,"",Preferences!$C$2&amp;S911)&amp;IF(J912=J911,IF(LEN(R911&amp;S911)=0,"","
")&amp;T912,""))</f>
        <v xml:space="preserve">	• Add all products to wish-list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1" s="122" t="str">
        <v/>
      </c>
      <c r="V911" s="42"/>
      <c r="W911" s="42"/>
      <c r="X911" s="42"/>
      <c r="Y911" s="42"/>
      <c r="Z911" s="42"/>
      <c r="AA911" s="42"/>
      <c r="AB911" s="42"/>
    </row>
    <row r="912" spans="1:28" x14ac:dyDescent="0.25">
      <c r="A912" s="42" t="str">
        <v>1.17.2.3.5</v>
      </c>
      <c r="B912" s="121" t="str">
        <v>Add all wish-list products to shopping cart</v>
      </c>
      <c r="C912" s="41">
        <v>5</v>
      </c>
      <c r="D912" s="41" t="str">
        <v>RL</v>
      </c>
      <c r="E912" s="117" t="str">
        <f t="shared" si="0"/>
        <v>RL</v>
      </c>
      <c r="F912" s="41" t="str">
        <v/>
      </c>
      <c r="G912" s="41" t="str">
        <v/>
      </c>
      <c r="H912" s="117">
        <f t="shared" si="1"/>
        <v>0</v>
      </c>
      <c r="I912" s="117">
        <f t="shared" si="2"/>
        <v>17</v>
      </c>
      <c r="J912" s="117">
        <f t="shared" si="3"/>
        <v>17.020000000000003</v>
      </c>
      <c r="K912" s="117" t="str">
        <f t="shared" si="4"/>
        <v>BR</v>
      </c>
      <c r="L912" s="42" t="str">
        <v>BR1702</v>
      </c>
      <c r="M912" s="121" t="str">
        <v/>
      </c>
      <c r="N912" s="121" t="str">
        <v/>
      </c>
      <c r="O912" s="121" t="str">
        <v/>
      </c>
      <c r="P912" s="121" t="str">
        <v/>
      </c>
      <c r="Q912" s="121" t="str">
        <v/>
      </c>
      <c r="R912" s="121" t="str">
        <v/>
      </c>
      <c r="S912" s="121" t="str">
        <v>Add all wish-list products to shopping cart</v>
      </c>
      <c r="T912" s="119" t="str">
        <f>IF($C912&lt;4,IF($C912=3,T913,IF($C912=2,T$1,"")),Q912&amp;R912&amp;IF(LEN(S912)=0,"",Preferences!$C$2&amp;S912)&amp;IF(J913=J912,IF(LEN(R912&amp;S912)=0,"","
")&amp;T913,""))</f>
        <v xml:space="preserve">	• Add all wish-list products to shopping cart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2" s="122" t="str">
        <v/>
      </c>
      <c r="V912" s="42"/>
      <c r="W912" s="42"/>
      <c r="X912" s="42"/>
      <c r="Y912" s="42"/>
      <c r="Z912" s="42"/>
      <c r="AA912" s="42"/>
      <c r="AB912" s="42"/>
    </row>
    <row r="913" spans="1:28" x14ac:dyDescent="0.25">
      <c r="A913" s="42" t="str">
        <v>1.17.2.3.6</v>
      </c>
      <c r="B913" s="121" t="str">
        <v>View wish-list</v>
      </c>
      <c r="C913" s="41">
        <v>5</v>
      </c>
      <c r="D913" s="41" t="str">
        <v>RL</v>
      </c>
      <c r="E913" s="117" t="str">
        <f t="shared" si="0"/>
        <v>RL</v>
      </c>
      <c r="F913" s="41" t="str">
        <v/>
      </c>
      <c r="G913" s="41" t="str">
        <v/>
      </c>
      <c r="H913" s="117">
        <f t="shared" si="1"/>
        <v>0</v>
      </c>
      <c r="I913" s="117">
        <f t="shared" si="2"/>
        <v>17</v>
      </c>
      <c r="J913" s="117">
        <f t="shared" si="3"/>
        <v>17.020000000000003</v>
      </c>
      <c r="K913" s="117" t="str">
        <f t="shared" si="4"/>
        <v>BR</v>
      </c>
      <c r="L913" s="42" t="str">
        <v>BR1702</v>
      </c>
      <c r="M913" s="121" t="str">
        <v/>
      </c>
      <c r="N913" s="121" t="str">
        <v/>
      </c>
      <c r="O913" s="121" t="str">
        <v/>
      </c>
      <c r="P913" s="121" t="str">
        <v/>
      </c>
      <c r="Q913" s="121" t="str">
        <v/>
      </c>
      <c r="R913" s="121" t="str">
        <v/>
      </c>
      <c r="S913" s="121" t="str">
        <v>View wish-list</v>
      </c>
      <c r="T913" s="119" t="str">
        <f>IF($C913&lt;4,IF($C913=3,T914,IF($C913=2,T$1,"")),Q913&amp;R913&amp;IF(LEN(S913)=0,"",Preferences!$C$2&amp;S913)&amp;IF(J914=J913,IF(LEN(R913&amp;S913)=0,"","
")&amp;T914,""))</f>
        <v xml:space="preserve">	• View wish-list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3" s="122" t="str">
        <v/>
      </c>
      <c r="V913" s="42"/>
      <c r="W913" s="42"/>
      <c r="X913" s="42"/>
      <c r="Y913" s="42"/>
      <c r="Z913" s="42"/>
      <c r="AA913" s="42"/>
      <c r="AB913" s="42"/>
    </row>
    <row r="914" spans="1:28" x14ac:dyDescent="0.25">
      <c r="A914" s="42" t="str">
        <v>1.17.2.3.7</v>
      </c>
      <c r="B914" s="121" t="str">
        <v>Continue shopping</v>
      </c>
      <c r="C914" s="41">
        <v>5</v>
      </c>
      <c r="D914" s="41" t="str">
        <v>RL</v>
      </c>
      <c r="E914" s="117" t="str">
        <f t="shared" si="0"/>
        <v>RL</v>
      </c>
      <c r="F914" s="41" t="str">
        <v/>
      </c>
      <c r="G914" s="41" t="str">
        <v/>
      </c>
      <c r="H914" s="117">
        <f t="shared" si="1"/>
        <v>0</v>
      </c>
      <c r="I914" s="117">
        <f t="shared" si="2"/>
        <v>17</v>
      </c>
      <c r="J914" s="117">
        <f t="shared" si="3"/>
        <v>17.020000000000003</v>
      </c>
      <c r="K914" s="117" t="str">
        <f t="shared" si="4"/>
        <v>BR</v>
      </c>
      <c r="L914" s="42" t="str">
        <v>BR1702</v>
      </c>
      <c r="M914" s="121" t="str">
        <v/>
      </c>
      <c r="N914" s="121" t="str">
        <v/>
      </c>
      <c r="O914" s="121" t="str">
        <v/>
      </c>
      <c r="P914" s="121" t="str">
        <v/>
      </c>
      <c r="Q914" s="121" t="str">
        <v/>
      </c>
      <c r="R914" s="121" t="str">
        <v/>
      </c>
      <c r="S914" s="121" t="str">
        <v>Continue shopping</v>
      </c>
      <c r="T914" s="119" t="str">
        <f>IF($C914&lt;4,IF($C914=3,T915,IF($C914=2,T$1,"")),Q914&amp;R914&amp;IF(LEN(S914)=0,"",Preferences!$C$2&amp;S914)&amp;IF(J915=J914,IF(LEN(R914&amp;S914)=0,"","
")&amp;T915,""))</f>
        <v xml:space="preserve">	• Continue shopping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4" s="122" t="str">
        <v/>
      </c>
      <c r="V914" s="42"/>
      <c r="W914" s="42"/>
      <c r="X914" s="42"/>
      <c r="Y914" s="42"/>
      <c r="Z914" s="42"/>
      <c r="AA914" s="42"/>
      <c r="AB914" s="42"/>
    </row>
    <row r="915" spans="1:28" x14ac:dyDescent="0.25">
      <c r="A915" s="42" t="str">
        <v>1.17.2.3.8</v>
      </c>
      <c r="B915" s="121" t="str">
        <v>Proceed to checkout</v>
      </c>
      <c r="C915" s="41">
        <v>5</v>
      </c>
      <c r="D915" s="41" t="str">
        <v>RL</v>
      </c>
      <c r="E915" s="117" t="str">
        <f t="shared" si="0"/>
        <v>RL</v>
      </c>
      <c r="F915" s="41" t="str">
        <v/>
      </c>
      <c r="G915" s="41" t="str">
        <v/>
      </c>
      <c r="H915" s="117">
        <f t="shared" si="1"/>
        <v>0</v>
      </c>
      <c r="I915" s="117">
        <f t="shared" si="2"/>
        <v>17</v>
      </c>
      <c r="J915" s="117">
        <f t="shared" si="3"/>
        <v>17.020000000000003</v>
      </c>
      <c r="K915" s="117" t="str">
        <f t="shared" si="4"/>
        <v>BR</v>
      </c>
      <c r="L915" s="42" t="str">
        <v>BR1702</v>
      </c>
      <c r="M915" s="121" t="str">
        <v/>
      </c>
      <c r="N915" s="121" t="str">
        <v/>
      </c>
      <c r="O915" s="121" t="str">
        <v/>
      </c>
      <c r="P915" s="121" t="str">
        <v/>
      </c>
      <c r="Q915" s="121" t="str">
        <v/>
      </c>
      <c r="R915" s="121" t="str">
        <v/>
      </c>
      <c r="S915" s="121" t="str">
        <v>Proceed to checkout</v>
      </c>
      <c r="T915" s="119" t="str">
        <f>IF($C915&lt;4,IF($C915=3,T916,IF($C915=2,T$1,"")),Q915&amp;R915&amp;IF(LEN(S915)=0,"",Preferences!$C$2&amp;S915)&amp;IF(J916=J915,IF(LEN(R915&amp;S915)=0,"","
")&amp;T916,""))</f>
        <v xml:space="preserve">	• Proceed to checkout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5" s="122" t="str">
        <v/>
      </c>
      <c r="V915" s="42"/>
      <c r="W915" s="42"/>
      <c r="X915" s="42"/>
      <c r="Y915" s="42"/>
      <c r="Z915" s="42"/>
      <c r="AA915" s="42"/>
      <c r="AB915" s="42"/>
    </row>
    <row r="916" spans="1:28" x14ac:dyDescent="0.25">
      <c r="A916" s="42" t="str">
        <v>1.17.2.4</v>
      </c>
      <c r="B916" s="121" t="str">
        <v>The product search is also presented.</v>
      </c>
      <c r="C916" s="41">
        <v>4</v>
      </c>
      <c r="D916" s="41" t="str">
        <v>RD</v>
      </c>
      <c r="E916" s="117" t="str">
        <f t="shared" si="0"/>
        <v>RD</v>
      </c>
      <c r="F916" s="41" t="str">
        <v/>
      </c>
      <c r="G916" s="41" t="str">
        <v/>
      </c>
      <c r="H916" s="117">
        <f t="shared" si="1"/>
        <v>0</v>
      </c>
      <c r="I916" s="117">
        <f t="shared" si="2"/>
        <v>17</v>
      </c>
      <c r="J916" s="117">
        <f t="shared" si="3"/>
        <v>17.020000000000003</v>
      </c>
      <c r="K916" s="117" t="str">
        <f t="shared" si="4"/>
        <v>BR</v>
      </c>
      <c r="L916" s="42" t="str">
        <v>BR1702</v>
      </c>
      <c r="M916" s="121" t="str">
        <v/>
      </c>
      <c r="N916" s="121" t="str">
        <v/>
      </c>
      <c r="O916" s="121" t="str">
        <v/>
      </c>
      <c r="P916" s="121" t="str">
        <v/>
      </c>
      <c r="Q916" s="121" t="str">
        <v xml:space="preserve"> 4. </v>
      </c>
      <c r="R916" s="121" t="str">
        <v>The product search is also presented.</v>
      </c>
      <c r="S916" s="121" t="str">
        <v/>
      </c>
      <c r="T916" s="119" t="str">
        <f>IF($C916&lt;4,IF($C916=3,T917,IF($C916=2,T$1,"")),Q916&amp;R916&amp;IF(LEN(S916)=0,"",Preferences!$C$2&amp;S916)&amp;IF(J917=J916,IF(LEN(R916&amp;S916)=0,"","
")&amp;T917,""))</f>
        <v xml:space="preserve"> 4. The product search is also presented.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6" s="122" t="str">
        <v/>
      </c>
      <c r="V916" s="42"/>
      <c r="W916" s="42"/>
      <c r="X916" s="42"/>
      <c r="Y916" s="42"/>
      <c r="Z916" s="42"/>
      <c r="AA916" s="42"/>
      <c r="AB916" s="42"/>
    </row>
    <row r="917" spans="1:28" x14ac:dyDescent="0.25">
      <c r="A917" s="42" t="str">
        <v>1.17.2.4.1</v>
      </c>
      <c r="B917" s="121" t="str">
        <v>If a user submits a search, the user is automatically redirected to the shopfront with the search results presented.</v>
      </c>
      <c r="C917" s="41">
        <v>5</v>
      </c>
      <c r="D917" s="41" t="str">
        <v>RL</v>
      </c>
      <c r="E917" s="117" t="str">
        <f t="shared" si="0"/>
        <v>RL</v>
      </c>
      <c r="F917" s="41" t="str">
        <v/>
      </c>
      <c r="G917" s="41" t="str">
        <v/>
      </c>
      <c r="H917" s="117">
        <f t="shared" si="1"/>
        <v>0</v>
      </c>
      <c r="I917" s="117">
        <f t="shared" si="2"/>
        <v>17</v>
      </c>
      <c r="J917" s="117">
        <f t="shared" si="3"/>
        <v>17.020000000000003</v>
      </c>
      <c r="K917" s="117" t="str">
        <f t="shared" si="4"/>
        <v>BR</v>
      </c>
      <c r="L917" s="42" t="str">
        <v>BR1702</v>
      </c>
      <c r="M917" s="121" t="str">
        <v/>
      </c>
      <c r="N917" s="121" t="str">
        <v/>
      </c>
      <c r="O917" s="121" t="str">
        <v/>
      </c>
      <c r="P917" s="121" t="str">
        <v/>
      </c>
      <c r="Q917" s="121" t="str">
        <v/>
      </c>
      <c r="R917" s="121" t="str">
        <v/>
      </c>
      <c r="S917" s="121" t="str">
        <v>If a user submits a search, the user is automatically redirected to the shopfront with the search results presented.</v>
      </c>
      <c r="T917" s="119" t="str">
        <f>IF($C917&lt;4,IF($C917=3,T918,IF($C917=2,T$1,"")),Q917&amp;R917&amp;IF(LEN(S917)=0,"",Preferences!$C$2&amp;S917)&amp;IF(J918=J917,IF(LEN(R917&amp;S917)=0,"","
")&amp;T918,""))</f>
        <v xml:space="preserve">	• If a user submits a search, the user is automatically redirected to the shopfront with the search results presented.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7" s="122" t="str">
        <v/>
      </c>
      <c r="V917" s="42"/>
      <c r="W917" s="42"/>
      <c r="X917" s="42"/>
      <c r="Y917" s="42"/>
      <c r="Z917" s="42"/>
      <c r="AA917" s="42"/>
      <c r="AB917" s="42"/>
    </row>
    <row r="918" spans="1:28" x14ac:dyDescent="0.25">
      <c r="A918" s="42" t="str">
        <v>1.17.2.5</v>
      </c>
      <c r="B918" s="121" t="str">
        <v>Present at least the following for each product in the shopping cart products list:</v>
      </c>
      <c r="C918" s="41">
        <v>4</v>
      </c>
      <c r="D918" s="41" t="str">
        <v>RD</v>
      </c>
      <c r="E918" s="117" t="str">
        <f t="shared" si="0"/>
        <v>RD</v>
      </c>
      <c r="F918" s="41" t="str">
        <v/>
      </c>
      <c r="G918" s="41" t="str">
        <v/>
      </c>
      <c r="H918" s="117">
        <f t="shared" si="1"/>
        <v>0</v>
      </c>
      <c r="I918" s="117">
        <f t="shared" si="2"/>
        <v>17</v>
      </c>
      <c r="J918" s="117">
        <f t="shared" si="3"/>
        <v>17.020000000000003</v>
      </c>
      <c r="K918" s="117" t="str">
        <f t="shared" si="4"/>
        <v>BR</v>
      </c>
      <c r="L918" s="42" t="str">
        <v>BR1702</v>
      </c>
      <c r="M918" s="121" t="str">
        <v/>
      </c>
      <c r="N918" s="121" t="str">
        <v/>
      </c>
      <c r="O918" s="121" t="str">
        <v/>
      </c>
      <c r="P918" s="121" t="str">
        <v/>
      </c>
      <c r="Q918" s="121" t="str">
        <v xml:space="preserve"> 5. </v>
      </c>
      <c r="R918" s="121" t="str">
        <v>Present at least the following for each product in the shopping cart products list:</v>
      </c>
      <c r="S918" s="121" t="str">
        <v/>
      </c>
      <c r="T918" s="119" t="str">
        <f>IF($C918&lt;4,IF($C918=3,T919,IF($C918=2,T$1,"")),Q918&amp;R918&amp;IF(LEN(S918)=0,"",Preferences!$C$2&amp;S918)&amp;IF(J919=J918,IF(LEN(R918&amp;S918)=0,"","
")&amp;T919,""))</f>
        <v xml:space="preserve"> 5. Present at least the following for each product in the shopping cart products list: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8" s="122" t="str">
        <v/>
      </c>
      <c r="V918" s="42"/>
      <c r="W918" s="42"/>
      <c r="X918" s="42"/>
      <c r="Y918" s="42"/>
      <c r="Z918" s="42"/>
      <c r="AA918" s="42"/>
      <c r="AB918" s="42"/>
    </row>
    <row r="919" spans="1:28" x14ac:dyDescent="0.25">
      <c r="A919" s="42" t="str">
        <v>1.17.2.5.1</v>
      </c>
      <c r="B919" s="121" t="str">
        <v>Product Number (link to product)</v>
      </c>
      <c r="C919" s="41">
        <v>5</v>
      </c>
      <c r="D919" s="41" t="str">
        <v>RL</v>
      </c>
      <c r="E919" s="117" t="str">
        <f t="shared" si="0"/>
        <v>RL</v>
      </c>
      <c r="F919" s="41" t="str">
        <v/>
      </c>
      <c r="G919" s="41" t="str">
        <v/>
      </c>
      <c r="H919" s="117">
        <f t="shared" si="1"/>
        <v>0</v>
      </c>
      <c r="I919" s="117">
        <f t="shared" si="2"/>
        <v>17</v>
      </c>
      <c r="J919" s="117">
        <f t="shared" si="3"/>
        <v>17.020000000000003</v>
      </c>
      <c r="K919" s="117" t="str">
        <f t="shared" si="4"/>
        <v>BR</v>
      </c>
      <c r="L919" s="42" t="str">
        <v>BR1702</v>
      </c>
      <c r="M919" s="121" t="str">
        <v/>
      </c>
      <c r="N919" s="121" t="str">
        <v/>
      </c>
      <c r="O919" s="121" t="str">
        <v/>
      </c>
      <c r="P919" s="121" t="str">
        <v/>
      </c>
      <c r="Q919" s="121" t="str">
        <v/>
      </c>
      <c r="R919" s="121" t="str">
        <v/>
      </c>
      <c r="S919" s="121" t="str">
        <v>Product Number (link to product)</v>
      </c>
      <c r="T919" s="119" t="str">
        <f>IF($C919&lt;4,IF($C919=3,T920,IF($C919=2,T$1,"")),Q919&amp;R919&amp;IF(LEN(S919)=0,"",Preferences!$C$2&amp;S919)&amp;IF(J920=J919,IF(LEN(R919&amp;S919)=0,"","
")&amp;T920,""))</f>
        <v xml:space="preserve">	• Product Number (link to product)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19" s="122" t="str">
        <v/>
      </c>
      <c r="V919" s="42"/>
      <c r="W919" s="42"/>
      <c r="X919" s="42"/>
      <c r="Y919" s="42"/>
      <c r="Z919" s="42"/>
      <c r="AA919" s="42"/>
      <c r="AB919" s="42"/>
    </row>
    <row r="920" spans="1:28" x14ac:dyDescent="0.25">
      <c r="A920" s="42" t="str">
        <v>1.17.2.5.2</v>
      </c>
      <c r="B920" s="121" t="str">
        <v>Product Title (link to product)</v>
      </c>
      <c r="C920" s="41">
        <v>5</v>
      </c>
      <c r="D920" s="41" t="str">
        <v>RL</v>
      </c>
      <c r="E920" s="117" t="str">
        <f t="shared" si="0"/>
        <v>RL</v>
      </c>
      <c r="F920" s="41" t="str">
        <v/>
      </c>
      <c r="G920" s="41" t="str">
        <v/>
      </c>
      <c r="H920" s="117">
        <f t="shared" si="1"/>
        <v>0</v>
      </c>
      <c r="I920" s="117">
        <f t="shared" si="2"/>
        <v>17</v>
      </c>
      <c r="J920" s="117">
        <f t="shared" si="3"/>
        <v>17.020000000000003</v>
      </c>
      <c r="K920" s="117" t="str">
        <f t="shared" si="4"/>
        <v>BR</v>
      </c>
      <c r="L920" s="42" t="str">
        <v>BR1702</v>
      </c>
      <c r="M920" s="121" t="str">
        <v/>
      </c>
      <c r="N920" s="121" t="str">
        <v/>
      </c>
      <c r="O920" s="121" t="str">
        <v/>
      </c>
      <c r="P920" s="121" t="str">
        <v/>
      </c>
      <c r="Q920" s="121" t="str">
        <v/>
      </c>
      <c r="R920" s="121" t="str">
        <v/>
      </c>
      <c r="S920" s="121" t="str">
        <v>Product Title (link to product)</v>
      </c>
      <c r="T920" s="119" t="str">
        <f>IF($C920&lt;4,IF($C920=3,T921,IF($C920=2,T$1,"")),Q920&amp;R920&amp;IF(LEN(S920)=0,"",Preferences!$C$2&amp;S920)&amp;IF(J921=J920,IF(LEN(R920&amp;S920)=0,"","
")&amp;T921,""))</f>
        <v xml:space="preserve">	• Product Title (link to product)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20" s="122" t="str">
        <v/>
      </c>
      <c r="V920" s="42"/>
      <c r="W920" s="42"/>
      <c r="X920" s="42"/>
      <c r="Y920" s="42"/>
      <c r="Z920" s="42"/>
      <c r="AA920" s="42"/>
      <c r="AB920" s="42"/>
    </row>
    <row r="921" spans="1:28" x14ac:dyDescent="0.25">
      <c r="A921" s="42" t="str">
        <v>1.17.2.5.3</v>
      </c>
      <c r="B921" s="121" t="str">
        <v>Thumbnail image (link to product)</v>
      </c>
      <c r="C921" s="41">
        <v>5</v>
      </c>
      <c r="D921" s="41" t="str">
        <v>RL</v>
      </c>
      <c r="E921" s="117" t="str">
        <f t="shared" si="0"/>
        <v>RL</v>
      </c>
      <c r="F921" s="41" t="str">
        <v/>
      </c>
      <c r="G921" s="41" t="str">
        <v/>
      </c>
      <c r="H921" s="117">
        <f t="shared" si="1"/>
        <v>0</v>
      </c>
      <c r="I921" s="117">
        <f t="shared" si="2"/>
        <v>17</v>
      </c>
      <c r="J921" s="117">
        <f t="shared" si="3"/>
        <v>17.020000000000003</v>
      </c>
      <c r="K921" s="117" t="str">
        <f t="shared" si="4"/>
        <v>BR</v>
      </c>
      <c r="L921" s="42" t="str">
        <v>BR1702</v>
      </c>
      <c r="M921" s="121" t="str">
        <v/>
      </c>
      <c r="N921" s="121" t="str">
        <v/>
      </c>
      <c r="O921" s="121" t="str">
        <v/>
      </c>
      <c r="P921" s="121" t="str">
        <v/>
      </c>
      <c r="Q921" s="121" t="str">
        <v/>
      </c>
      <c r="R921" s="121" t="str">
        <v/>
      </c>
      <c r="S921" s="121" t="str">
        <v>Thumbnail image (link to product)</v>
      </c>
      <c r="T921" s="119" t="str">
        <f>IF($C921&lt;4,IF($C921=3,T922,IF($C921=2,T$1,"")),Q921&amp;R921&amp;IF(LEN(S921)=0,"",Preferences!$C$2&amp;S921)&amp;IF(J922=J921,IF(LEN(R921&amp;S921)=0,"","
")&amp;T922,""))</f>
        <v xml:space="preserve">	• Thumbnail image (link to product)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21" s="122" t="str">
        <v/>
      </c>
      <c r="V921" s="42"/>
      <c r="W921" s="42"/>
      <c r="X921" s="42"/>
      <c r="Y921" s="42"/>
      <c r="Z921" s="42"/>
      <c r="AA921" s="42"/>
      <c r="AB921" s="42"/>
    </row>
    <row r="922" spans="1:28" x14ac:dyDescent="0.25">
      <c r="A922" s="42" t="str">
        <v>1.17.2.5.4</v>
      </c>
      <c r="B922" s="121" t="str">
        <v>Quantity (with ability to edit value, or increase/decrease it)</v>
      </c>
      <c r="C922" s="41">
        <v>5</v>
      </c>
      <c r="D922" s="41" t="str">
        <v>RL</v>
      </c>
      <c r="E922" s="117" t="str">
        <f t="shared" si="0"/>
        <v>RL</v>
      </c>
      <c r="F922" s="41" t="str">
        <v/>
      </c>
      <c r="G922" s="41" t="str">
        <v/>
      </c>
      <c r="H922" s="117">
        <f t="shared" si="1"/>
        <v>0</v>
      </c>
      <c r="I922" s="117">
        <f t="shared" si="2"/>
        <v>17</v>
      </c>
      <c r="J922" s="117">
        <f t="shared" si="3"/>
        <v>17.020000000000003</v>
      </c>
      <c r="K922" s="117" t="str">
        <f t="shared" si="4"/>
        <v>BR</v>
      </c>
      <c r="L922" s="42" t="str">
        <v>BR1702</v>
      </c>
      <c r="M922" s="121" t="str">
        <v/>
      </c>
      <c r="N922" s="121" t="str">
        <v/>
      </c>
      <c r="O922" s="121" t="str">
        <v/>
      </c>
      <c r="P922" s="121" t="str">
        <v/>
      </c>
      <c r="Q922" s="121" t="str">
        <v/>
      </c>
      <c r="R922" s="121" t="str">
        <v/>
      </c>
      <c r="S922" s="121" t="str">
        <v>Quantity (with ability to edit value, or increase/decrease it)</v>
      </c>
      <c r="T922" s="119" t="str">
        <f>IF($C922&lt;4,IF($C922=3,T923,IF($C922=2,T$1,"")),Q922&amp;R922&amp;IF(LEN(S922)=0,"",Preferences!$C$2&amp;S922)&amp;IF(J923=J922,IF(LEN(R922&amp;S922)=0,"","
")&amp;T923,""))</f>
        <v xml:space="preserve">	• Quantity (with ability to edit value, or increase/decrease it)
	• Unit product price (incl.)
	• Total product price (incl.)
 6. Present the following actions for each product in the shopping cart (as icons with hover-text):
	• Add product to favourites
	• Move product to favourites
	• Add product to wish-list
	• Move product to wish-list
	• Remove product</v>
      </c>
      <c r="U922" s="122" t="str">
        <v/>
      </c>
      <c r="V922" s="42"/>
      <c r="W922" s="42"/>
      <c r="X922" s="42"/>
      <c r="Y922" s="42"/>
      <c r="Z922" s="42"/>
      <c r="AA922" s="42"/>
      <c r="AB922" s="42"/>
    </row>
    <row r="923" spans="1:28" x14ac:dyDescent="0.25">
      <c r="A923" s="42" t="str">
        <v>1.17.2.5.5</v>
      </c>
      <c r="B923" s="121" t="str">
        <v>Unit product price (incl.)</v>
      </c>
      <c r="C923" s="41">
        <v>5</v>
      </c>
      <c r="D923" s="41" t="str">
        <v>RL</v>
      </c>
      <c r="E923" s="117" t="str">
        <f t="shared" si="0"/>
        <v>RL</v>
      </c>
      <c r="F923" s="41" t="str">
        <v/>
      </c>
      <c r="G923" s="41" t="str">
        <v/>
      </c>
      <c r="H923" s="117">
        <f t="shared" si="1"/>
        <v>0</v>
      </c>
      <c r="I923" s="117">
        <f t="shared" si="2"/>
        <v>17</v>
      </c>
      <c r="J923" s="117">
        <f t="shared" si="3"/>
        <v>17.020000000000003</v>
      </c>
      <c r="K923" s="117" t="str">
        <f t="shared" si="4"/>
        <v>BR</v>
      </c>
      <c r="L923" s="42" t="str">
        <v>BR1702</v>
      </c>
      <c r="M923" s="121" t="str">
        <v/>
      </c>
      <c r="N923" s="121" t="str">
        <v/>
      </c>
      <c r="O923" s="121" t="str">
        <v/>
      </c>
      <c r="P923" s="121" t="str">
        <v/>
      </c>
      <c r="Q923" s="121" t="str">
        <v/>
      </c>
      <c r="R923" s="121" t="str">
        <v/>
      </c>
      <c r="S923" s="121" t="str">
        <v>Unit product price (incl.)</v>
      </c>
      <c r="T923" s="119" t="str">
        <f>IF($C923&lt;4,IF($C923=3,T924,IF($C923=2,T$1,"")),Q923&amp;R923&amp;IF(LEN(S923)=0,"",Preferences!$C$2&amp;S923)&amp;IF(J924=J923,IF(LEN(R923&amp;S923)=0,"","
")&amp;T924,""))</f>
        <v xml:space="preserve">	• Unit product price (incl.)
	• Total product price (incl.)
 6. Present the following actions for each product in the shopping cart (as icons with hover-text):
	• Add product to favourites
	• Move product to favourites
	• Add product to wish-list
	• Move product to wish-list
	• Remove product</v>
      </c>
      <c r="U923" s="122" t="str">
        <v/>
      </c>
      <c r="V923" s="42"/>
      <c r="W923" s="42"/>
      <c r="X923" s="42"/>
      <c r="Y923" s="42"/>
      <c r="Z923" s="42"/>
      <c r="AA923" s="42"/>
      <c r="AB923" s="42"/>
    </row>
    <row r="924" spans="1:28" x14ac:dyDescent="0.25">
      <c r="A924" s="42" t="str">
        <v>1.17.2.5.6</v>
      </c>
      <c r="B924" s="121" t="str">
        <v>Total product price (incl.)</v>
      </c>
      <c r="C924" s="41">
        <v>5</v>
      </c>
      <c r="D924" s="41" t="str">
        <v>RL</v>
      </c>
      <c r="E924" s="117" t="str">
        <f t="shared" si="0"/>
        <v>RL</v>
      </c>
      <c r="F924" s="41" t="str">
        <v/>
      </c>
      <c r="G924" s="41" t="str">
        <v/>
      </c>
      <c r="H924" s="117">
        <f t="shared" si="1"/>
        <v>0</v>
      </c>
      <c r="I924" s="117">
        <f t="shared" si="2"/>
        <v>17</v>
      </c>
      <c r="J924" s="117">
        <f t="shared" si="3"/>
        <v>17.020000000000003</v>
      </c>
      <c r="K924" s="117" t="str">
        <f t="shared" si="4"/>
        <v>BR</v>
      </c>
      <c r="L924" s="42" t="str">
        <v>BR1702</v>
      </c>
      <c r="M924" s="121" t="str">
        <v/>
      </c>
      <c r="N924" s="121" t="str">
        <v/>
      </c>
      <c r="O924" s="121" t="str">
        <v/>
      </c>
      <c r="P924" s="121" t="str">
        <v/>
      </c>
      <c r="Q924" s="121" t="str">
        <v/>
      </c>
      <c r="R924" s="121" t="str">
        <v/>
      </c>
      <c r="S924" s="121" t="str">
        <v>Total product price (incl.)</v>
      </c>
      <c r="T924" s="119" t="str">
        <f>IF($C924&lt;4,IF($C924=3,T925,IF($C924=2,T$1,"")),Q924&amp;R924&amp;IF(LEN(S924)=0,"",Preferences!$C$2&amp;S924)&amp;IF(J925=J924,IF(LEN(R924&amp;S924)=0,"","
")&amp;T925,""))</f>
        <v xml:space="preserve">	• Total product price (incl.)
 6. Present the following actions for each product in the shopping cart (as icons with hover-text):
	• Add product to favourites
	• Move product to favourites
	• Add product to wish-list
	• Move product to wish-list
	• Remove product</v>
      </c>
      <c r="U924" s="122" t="str">
        <v/>
      </c>
      <c r="V924" s="42"/>
      <c r="W924" s="42"/>
      <c r="X924" s="42"/>
      <c r="Y924" s="42"/>
      <c r="Z924" s="42"/>
      <c r="AA924" s="42"/>
      <c r="AB924" s="42"/>
    </row>
    <row r="925" spans="1:28" x14ac:dyDescent="0.25">
      <c r="A925" s="42" t="str">
        <v>1.17.2.6</v>
      </c>
      <c r="B925" s="121" t="str">
        <v>Present the following actions for each product in the shopping cart (as icons with hover-text):</v>
      </c>
      <c r="C925" s="41">
        <v>4</v>
      </c>
      <c r="D925" s="41" t="str">
        <v>RD</v>
      </c>
      <c r="E925" s="117" t="str">
        <f t="shared" si="0"/>
        <v>RD</v>
      </c>
      <c r="F925" s="41" t="str">
        <v/>
      </c>
      <c r="G925" s="41" t="str">
        <v/>
      </c>
      <c r="H925" s="117">
        <f t="shared" si="1"/>
        <v>0</v>
      </c>
      <c r="I925" s="117">
        <f t="shared" si="2"/>
        <v>17</v>
      </c>
      <c r="J925" s="117">
        <f t="shared" si="3"/>
        <v>17.020000000000003</v>
      </c>
      <c r="K925" s="117" t="str">
        <f t="shared" si="4"/>
        <v>BR</v>
      </c>
      <c r="L925" s="42" t="str">
        <v>BR1702</v>
      </c>
      <c r="M925" s="121" t="str">
        <v/>
      </c>
      <c r="N925" s="121" t="str">
        <v/>
      </c>
      <c r="O925" s="121" t="str">
        <v/>
      </c>
      <c r="P925" s="121" t="str">
        <v/>
      </c>
      <c r="Q925" s="121" t="str">
        <v xml:space="preserve"> 6. </v>
      </c>
      <c r="R925" s="121" t="str">
        <v>Present the following actions for each product in the shopping cart (as icons with hover-text):</v>
      </c>
      <c r="S925" s="121" t="str">
        <v/>
      </c>
      <c r="T925" s="119" t="str">
        <f>IF($C925&lt;4,IF($C925=3,T926,IF($C925=2,T$1,"")),Q925&amp;R925&amp;IF(LEN(S925)=0,"",Preferences!$C$2&amp;S925)&amp;IF(J926=J925,IF(LEN(R925&amp;S925)=0,"","
")&amp;T926,""))</f>
        <v xml:space="preserve"> 6. Present the following actions for each product in the shopping cart (as icons with hover-text):
	• Add product to favourites
	• Move product to favourites
	• Add product to wish-list
	• Move product to wish-list
	• Remove product</v>
      </c>
      <c r="U925" s="122" t="str">
        <v/>
      </c>
      <c r="V925" s="42"/>
      <c r="W925" s="42"/>
      <c r="X925" s="42"/>
      <c r="Y925" s="42"/>
      <c r="Z925" s="42"/>
      <c r="AA925" s="42"/>
      <c r="AB925" s="42"/>
    </row>
    <row r="926" spans="1:28" x14ac:dyDescent="0.25">
      <c r="A926" s="42" t="str">
        <v>1.17.2.6.1</v>
      </c>
      <c r="B926" s="121" t="str">
        <v>Add product to favourites</v>
      </c>
      <c r="C926" s="41">
        <v>5</v>
      </c>
      <c r="D926" s="41" t="str">
        <v>RL</v>
      </c>
      <c r="E926" s="117" t="str">
        <f t="shared" si="0"/>
        <v>RL</v>
      </c>
      <c r="F926" s="41" t="str">
        <v/>
      </c>
      <c r="G926" s="41" t="str">
        <v/>
      </c>
      <c r="H926" s="117">
        <f t="shared" si="1"/>
        <v>0</v>
      </c>
      <c r="I926" s="117">
        <f t="shared" si="2"/>
        <v>17</v>
      </c>
      <c r="J926" s="117">
        <f t="shared" si="3"/>
        <v>17.020000000000003</v>
      </c>
      <c r="K926" s="117" t="str">
        <f t="shared" si="4"/>
        <v>BR</v>
      </c>
      <c r="L926" s="42" t="str">
        <v>BR1702</v>
      </c>
      <c r="M926" s="121" t="str">
        <v/>
      </c>
      <c r="N926" s="121" t="str">
        <v/>
      </c>
      <c r="O926" s="121" t="str">
        <v/>
      </c>
      <c r="P926" s="121" t="str">
        <v/>
      </c>
      <c r="Q926" s="121" t="str">
        <v/>
      </c>
      <c r="R926" s="121" t="str">
        <v/>
      </c>
      <c r="S926" s="121" t="str">
        <v>Add product to favourites</v>
      </c>
      <c r="T926" s="119" t="str">
        <f>IF($C926&lt;4,IF($C926=3,T927,IF($C926=2,T$1,"")),Q926&amp;R926&amp;IF(LEN(S926)=0,"",Preferences!$C$2&amp;S926)&amp;IF(J927=J926,IF(LEN(R926&amp;S926)=0,"","
")&amp;T927,""))</f>
        <v xml:space="preserve">	• Add product to favourites
	• Move product to favourites
	• Add product to wish-list
	• Move product to wish-list
	• Remove product</v>
      </c>
      <c r="U926" s="122" t="str">
        <v/>
      </c>
      <c r="V926" s="42"/>
      <c r="W926" s="42"/>
      <c r="X926" s="42"/>
      <c r="Y926" s="42"/>
      <c r="Z926" s="42"/>
      <c r="AA926" s="42"/>
      <c r="AB926" s="42"/>
    </row>
    <row r="927" spans="1:28" x14ac:dyDescent="0.25">
      <c r="A927" s="42" t="str">
        <v>1.17.2.6.2</v>
      </c>
      <c r="B927" s="121" t="str">
        <v>Move product to favourites</v>
      </c>
      <c r="C927" s="41">
        <v>5</v>
      </c>
      <c r="D927" s="41" t="str">
        <v>RL</v>
      </c>
      <c r="E927" s="117" t="str">
        <f t="shared" si="0"/>
        <v>RL</v>
      </c>
      <c r="F927" s="41" t="str">
        <v/>
      </c>
      <c r="G927" s="41" t="str">
        <v/>
      </c>
      <c r="H927" s="117">
        <f t="shared" si="1"/>
        <v>0</v>
      </c>
      <c r="I927" s="117">
        <f t="shared" si="2"/>
        <v>17</v>
      </c>
      <c r="J927" s="117">
        <f t="shared" si="3"/>
        <v>17.020000000000003</v>
      </c>
      <c r="K927" s="117" t="str">
        <f t="shared" si="4"/>
        <v>BR</v>
      </c>
      <c r="L927" s="42" t="str">
        <v>BR1702</v>
      </c>
      <c r="M927" s="121" t="str">
        <v/>
      </c>
      <c r="N927" s="121" t="str">
        <v/>
      </c>
      <c r="O927" s="121" t="str">
        <v/>
      </c>
      <c r="P927" s="121" t="str">
        <v/>
      </c>
      <c r="Q927" s="121" t="str">
        <v/>
      </c>
      <c r="R927" s="121" t="str">
        <v/>
      </c>
      <c r="S927" s="121" t="str">
        <v>Move product to favourites</v>
      </c>
      <c r="T927" s="119" t="str">
        <f>IF($C927&lt;4,IF($C927=3,T928,IF($C927=2,T$1,"")),Q927&amp;R927&amp;IF(LEN(S927)=0,"",Preferences!$C$2&amp;S927)&amp;IF(J928=J927,IF(LEN(R927&amp;S927)=0,"","
")&amp;T928,""))</f>
        <v xml:space="preserve">	• Move product to favourites
	• Add product to wish-list
	• Move product to wish-list
	• Remove product</v>
      </c>
      <c r="U927" s="122" t="str">
        <v/>
      </c>
      <c r="V927" s="42"/>
      <c r="W927" s="42"/>
      <c r="X927" s="42"/>
      <c r="Y927" s="42"/>
      <c r="Z927" s="42"/>
      <c r="AA927" s="42"/>
      <c r="AB927" s="42"/>
    </row>
    <row r="928" spans="1:28" x14ac:dyDescent="0.25">
      <c r="A928" s="42" t="str">
        <v>1.17.2.6.3</v>
      </c>
      <c r="B928" s="121" t="str">
        <v>Add product to wish-list</v>
      </c>
      <c r="C928" s="41">
        <v>5</v>
      </c>
      <c r="D928" s="41" t="str">
        <v>RL</v>
      </c>
      <c r="E928" s="117" t="str">
        <f t="shared" si="0"/>
        <v>RL</v>
      </c>
      <c r="F928" s="41" t="str">
        <v/>
      </c>
      <c r="G928" s="41" t="str">
        <v/>
      </c>
      <c r="H928" s="117">
        <f t="shared" si="1"/>
        <v>0</v>
      </c>
      <c r="I928" s="117">
        <f t="shared" si="2"/>
        <v>17</v>
      </c>
      <c r="J928" s="117">
        <f t="shared" si="3"/>
        <v>17.020000000000003</v>
      </c>
      <c r="K928" s="117" t="str">
        <f t="shared" si="4"/>
        <v>BR</v>
      </c>
      <c r="L928" s="42" t="str">
        <v>BR1702</v>
      </c>
      <c r="M928" s="121" t="str">
        <v/>
      </c>
      <c r="N928" s="121" t="str">
        <v/>
      </c>
      <c r="O928" s="121" t="str">
        <v/>
      </c>
      <c r="P928" s="121" t="str">
        <v/>
      </c>
      <c r="Q928" s="121" t="str">
        <v/>
      </c>
      <c r="R928" s="121" t="str">
        <v/>
      </c>
      <c r="S928" s="121" t="str">
        <v>Add product to wish-list</v>
      </c>
      <c r="T928" s="119" t="str">
        <f>IF($C928&lt;4,IF($C928=3,T929,IF($C928=2,T$1,"")),Q928&amp;R928&amp;IF(LEN(S928)=0,"",Preferences!$C$2&amp;S928)&amp;IF(J929=J928,IF(LEN(R928&amp;S928)=0,"","
")&amp;T929,""))</f>
        <v xml:space="preserve">	• Add product to wish-list
	• Move product to wish-list
	• Remove product</v>
      </c>
      <c r="U928" s="122" t="str">
        <v/>
      </c>
      <c r="V928" s="42"/>
      <c r="W928" s="42"/>
      <c r="X928" s="42"/>
      <c r="Y928" s="42"/>
      <c r="Z928" s="42"/>
      <c r="AA928" s="42"/>
      <c r="AB928" s="42"/>
    </row>
    <row r="929" spans="1:28" x14ac:dyDescent="0.25">
      <c r="A929" s="42" t="str">
        <v>1.17.2.6.4</v>
      </c>
      <c r="B929" s="121" t="str">
        <v>Move product to wish-list</v>
      </c>
      <c r="C929" s="41">
        <v>5</v>
      </c>
      <c r="D929" s="41" t="str">
        <v>RL</v>
      </c>
      <c r="E929" s="117" t="str">
        <f t="shared" si="0"/>
        <v>RL</v>
      </c>
      <c r="F929" s="41" t="str">
        <v/>
      </c>
      <c r="G929" s="41" t="str">
        <v/>
      </c>
      <c r="H929" s="117">
        <f t="shared" si="1"/>
        <v>0</v>
      </c>
      <c r="I929" s="117">
        <f t="shared" si="2"/>
        <v>17</v>
      </c>
      <c r="J929" s="117">
        <f t="shared" si="3"/>
        <v>17.020000000000003</v>
      </c>
      <c r="K929" s="117" t="str">
        <f t="shared" si="4"/>
        <v>BR</v>
      </c>
      <c r="L929" s="42" t="str">
        <v>BR1702</v>
      </c>
      <c r="M929" s="121" t="str">
        <v/>
      </c>
      <c r="N929" s="121" t="str">
        <v/>
      </c>
      <c r="O929" s="121" t="str">
        <v/>
      </c>
      <c r="P929" s="121" t="str">
        <v/>
      </c>
      <c r="Q929" s="121" t="str">
        <v/>
      </c>
      <c r="R929" s="121" t="str">
        <v/>
      </c>
      <c r="S929" s="121" t="str">
        <v>Move product to wish-list</v>
      </c>
      <c r="T929" s="119" t="str">
        <f>IF($C929&lt;4,IF($C929=3,T930,IF($C929=2,T$1,"")),Q929&amp;R929&amp;IF(LEN(S929)=0,"",Preferences!$C$2&amp;S929)&amp;IF(J930=J929,IF(LEN(R929&amp;S929)=0,"","
")&amp;T930,""))</f>
        <v xml:space="preserve">	• Move product to wish-list
	• Remove product</v>
      </c>
      <c r="U929" s="122" t="str">
        <v/>
      </c>
      <c r="V929" s="42"/>
      <c r="W929" s="42"/>
      <c r="X929" s="42"/>
      <c r="Y929" s="42"/>
      <c r="Z929" s="42"/>
      <c r="AA929" s="42"/>
      <c r="AB929" s="42"/>
    </row>
    <row r="930" spans="1:28" x14ac:dyDescent="0.25">
      <c r="A930" s="42" t="str">
        <v>1.17.2.6.5</v>
      </c>
      <c r="B930" s="121" t="str">
        <v>Remove product</v>
      </c>
      <c r="C930" s="41">
        <v>5</v>
      </c>
      <c r="D930" s="41" t="str">
        <v>RL</v>
      </c>
      <c r="E930" s="117" t="str">
        <f t="shared" si="0"/>
        <v>RL</v>
      </c>
      <c r="F930" s="41" t="str">
        <v/>
      </c>
      <c r="G930" s="41" t="str">
        <v/>
      </c>
      <c r="H930" s="117">
        <f t="shared" si="1"/>
        <v>0</v>
      </c>
      <c r="I930" s="117">
        <f t="shared" si="2"/>
        <v>17</v>
      </c>
      <c r="J930" s="117">
        <f t="shared" si="3"/>
        <v>17.020000000000003</v>
      </c>
      <c r="K930" s="117" t="str">
        <f t="shared" si="4"/>
        <v>BR</v>
      </c>
      <c r="L930" s="42" t="str">
        <v>BR1702</v>
      </c>
      <c r="M930" s="121" t="str">
        <v/>
      </c>
      <c r="N930" s="121" t="str">
        <v/>
      </c>
      <c r="O930" s="121" t="str">
        <v/>
      </c>
      <c r="P930" s="121" t="str">
        <v/>
      </c>
      <c r="Q930" s="121" t="str">
        <v/>
      </c>
      <c r="R930" s="121" t="str">
        <v/>
      </c>
      <c r="S930" s="121" t="str">
        <v>Remove product</v>
      </c>
      <c r="T930" s="119" t="str">
        <f>IF($C930&lt;4,IF($C930=3,T931,IF($C930=2,T$1,"")),Q930&amp;R930&amp;IF(LEN(S930)=0,"",Preferences!$C$2&amp;S930)&amp;IF(J931=J930,IF(LEN(R930&amp;S930)=0,"","
")&amp;T931,""))</f>
        <v xml:space="preserve">	• Remove product</v>
      </c>
      <c r="U930" s="122" t="str">
        <v/>
      </c>
      <c r="V930" s="42"/>
      <c r="W930" s="42"/>
      <c r="X930" s="42"/>
      <c r="Y930" s="42"/>
      <c r="Z930" s="42"/>
      <c r="AA930" s="42"/>
      <c r="AB930" s="42"/>
    </row>
    <row r="931" spans="1:28" x14ac:dyDescent="0.25">
      <c r="A931" s="42" t="str">
        <v>1.17.3</v>
      </c>
      <c r="B931" s="121" t="str">
        <v>17.3 Change products in shopping cart</v>
      </c>
      <c r="C931" s="41">
        <v>3</v>
      </c>
      <c r="D931" s="41" t="str">
        <v>R</v>
      </c>
      <c r="E931" s="117" t="str">
        <f t="shared" si="0"/>
        <v>R</v>
      </c>
      <c r="F931" s="41" t="str">
        <v/>
      </c>
      <c r="G931" s="41" t="str">
        <v/>
      </c>
      <c r="H931" s="117">
        <f t="shared" si="1"/>
        <v>0</v>
      </c>
      <c r="I931" s="117">
        <f t="shared" si="2"/>
        <v>17</v>
      </c>
      <c r="J931" s="117">
        <f t="shared" si="3"/>
        <v>17.030000000000005</v>
      </c>
      <c r="K931" s="117" t="str">
        <f t="shared" si="4"/>
        <v>BR</v>
      </c>
      <c r="L931" s="42" t="str">
        <v>BR1703</v>
      </c>
      <c r="M931" s="121" t="str">
        <v/>
      </c>
      <c r="N931" s="121" t="str">
        <v/>
      </c>
      <c r="O931" s="121" t="str">
        <v>BR1703</v>
      </c>
      <c r="P931" s="121" t="str">
        <v>Change products in shopping cart</v>
      </c>
      <c r="Q931" s="121" t="str">
        <v/>
      </c>
      <c r="R931" s="121" t="str">
        <v/>
      </c>
      <c r="S931" s="121" t="str">
        <v/>
      </c>
      <c r="T931" s="119" t="str">
        <f>IF($C931&lt;4,IF($C931=3,T932,IF($C931=2,T$1,"")),Q931&amp;R931&amp;IF(LEN(S931)=0,"",Preferences!$C$2&amp;S931)&amp;IF(J932=J931,IF(LEN(R931&amp;S931)=0,"","
")&amp;T932,""))</f>
        <v xml:space="preserve"> 1. If the user changes the quantity of any product, the totals are automatically refreshed to show the new amounts.</v>
      </c>
      <c r="U931" s="122" t="str">
        <v/>
      </c>
      <c r="V931" s="42"/>
      <c r="W931" s="42"/>
      <c r="X931" s="42"/>
      <c r="Y931" s="42"/>
      <c r="Z931" s="42"/>
      <c r="AA931" s="42"/>
      <c r="AB931" s="42"/>
    </row>
    <row r="932" spans="1:28" x14ac:dyDescent="0.25">
      <c r="A932" s="42" t="str">
        <v>1.17.3.1</v>
      </c>
      <c r="B932" s="121" t="str">
        <v>If the user changes the quantity of any product, the totals are automatically refreshed to show the new amounts.</v>
      </c>
      <c r="C932" s="41">
        <v>4</v>
      </c>
      <c r="D932" s="41" t="str">
        <v>RD</v>
      </c>
      <c r="E932" s="117" t="str">
        <f t="shared" si="0"/>
        <v>RD</v>
      </c>
      <c r="F932" s="41" t="str">
        <v/>
      </c>
      <c r="G932" s="41" t="str">
        <v/>
      </c>
      <c r="H932" s="117">
        <f t="shared" si="1"/>
        <v>0</v>
      </c>
      <c r="I932" s="117">
        <f t="shared" si="2"/>
        <v>17</v>
      </c>
      <c r="J932" s="117">
        <f t="shared" si="3"/>
        <v>17.030000000000005</v>
      </c>
      <c r="K932" s="117" t="str">
        <f t="shared" si="4"/>
        <v>BR</v>
      </c>
      <c r="L932" s="42" t="str">
        <v>BR1703</v>
      </c>
      <c r="M932" s="121" t="str">
        <v/>
      </c>
      <c r="N932" s="121" t="str">
        <v/>
      </c>
      <c r="O932" s="121" t="str">
        <v/>
      </c>
      <c r="P932" s="121" t="str">
        <v/>
      </c>
      <c r="Q932" s="121" t="str">
        <v xml:space="preserve"> 1. </v>
      </c>
      <c r="R932" s="121" t="str">
        <v>If the user changes the quantity of any product, the totals are automatically refreshed to show the new amounts.</v>
      </c>
      <c r="S932" s="121" t="str">
        <v/>
      </c>
      <c r="T932" s="119" t="str">
        <f>IF($C932&lt;4,IF($C932=3,T933,IF($C932=2,T$1,"")),Q932&amp;R932&amp;IF(LEN(S932)=0,"",Preferences!$C$2&amp;S932)&amp;IF(J933=J932,IF(LEN(R932&amp;S932)=0,"","
")&amp;T933,""))</f>
        <v xml:space="preserve"> 1. If the user changes the quantity of any product, the totals are automatically refreshed to show the new amounts.</v>
      </c>
      <c r="U932" s="122" t="str">
        <v/>
      </c>
      <c r="V932" s="42"/>
      <c r="W932" s="42"/>
      <c r="X932" s="42"/>
      <c r="Y932" s="42"/>
      <c r="Z932" s="42"/>
      <c r="AA932" s="42"/>
      <c r="AB932" s="42"/>
    </row>
    <row r="933" spans="1:28" x14ac:dyDescent="0.25">
      <c r="A933" s="42" t="str">
        <v>1.17.4</v>
      </c>
      <c r="B933" s="121" t="str">
        <v>17.4 Remove product from shopping cart</v>
      </c>
      <c r="C933" s="41">
        <v>3</v>
      </c>
      <c r="D933" s="41" t="str">
        <v>R</v>
      </c>
      <c r="E933" s="117" t="str">
        <f t="shared" si="0"/>
        <v>R</v>
      </c>
      <c r="F933" s="41" t="str">
        <v/>
      </c>
      <c r="G933" s="41" t="str">
        <v/>
      </c>
      <c r="H933" s="117">
        <f t="shared" si="1"/>
        <v>0</v>
      </c>
      <c r="I933" s="117">
        <f t="shared" si="2"/>
        <v>17</v>
      </c>
      <c r="J933" s="117">
        <f t="shared" si="3"/>
        <v>17.040000000000006</v>
      </c>
      <c r="K933" s="117" t="str">
        <f t="shared" si="4"/>
        <v>BR</v>
      </c>
      <c r="L933" s="42" t="str">
        <v>BR1704</v>
      </c>
      <c r="M933" s="121" t="str">
        <v/>
      </c>
      <c r="N933" s="121" t="str">
        <v/>
      </c>
      <c r="O933" s="121" t="str">
        <v>BR1704</v>
      </c>
      <c r="P933" s="121" t="str">
        <v>Remove product from shopping cart</v>
      </c>
      <c r="Q933" s="121" t="str">
        <v/>
      </c>
      <c r="R933" s="121" t="str">
        <v/>
      </c>
      <c r="S933" s="121" t="str">
        <v/>
      </c>
      <c r="T933" s="119" t="str">
        <f>IF($C933&lt;4,IF($C933=3,T934,IF($C933=2,T$1,"")),Q933&amp;R933&amp;IF(LEN(S933)=0,"",Preferences!$C$2&amp;S933)&amp;IF(J934=J933,IF(LEN(R933&amp;S933)=0,"","
")&amp;T934,""))</f>
        <v xml:space="preserve"> 1. When selecting to remove a product from the shopping cart:
 2. The user is prompted to confirm the move of the product from the shopping cart, or to add it to their favourites / wish-list.
 3. If the user chooses to move the product, the move to favourites/wish-list action is executed instead.
 4. The total value for the shopping cart is refreshed.</v>
      </c>
      <c r="U933" s="122" t="str">
        <v/>
      </c>
      <c r="V933" s="42"/>
      <c r="W933" s="42"/>
      <c r="X933" s="42"/>
      <c r="Y933" s="42"/>
      <c r="Z933" s="42"/>
      <c r="AA933" s="42"/>
      <c r="AB933" s="42"/>
    </row>
    <row r="934" spans="1:28" x14ac:dyDescent="0.25">
      <c r="A934" s="42" t="str">
        <v>1.17.4.1</v>
      </c>
      <c r="B934" s="121" t="str">
        <v>When selecting to remove a product from the shopping cart:</v>
      </c>
      <c r="C934" s="41">
        <v>4</v>
      </c>
      <c r="D934" s="41" t="str">
        <v>RD</v>
      </c>
      <c r="E934" s="117" t="str">
        <f t="shared" si="0"/>
        <v>RD</v>
      </c>
      <c r="F934" s="41" t="str">
        <v/>
      </c>
      <c r="G934" s="41" t="str">
        <v/>
      </c>
      <c r="H934" s="117">
        <f t="shared" si="1"/>
        <v>0</v>
      </c>
      <c r="I934" s="117">
        <f t="shared" si="2"/>
        <v>17</v>
      </c>
      <c r="J934" s="117">
        <f t="shared" si="3"/>
        <v>17.040000000000006</v>
      </c>
      <c r="K934" s="117" t="str">
        <f t="shared" si="4"/>
        <v>BR</v>
      </c>
      <c r="L934" s="42" t="str">
        <v>BR1704</v>
      </c>
      <c r="M934" s="121" t="str">
        <v/>
      </c>
      <c r="N934" s="121" t="str">
        <v/>
      </c>
      <c r="O934" s="121" t="str">
        <v/>
      </c>
      <c r="P934" s="121" t="str">
        <v/>
      </c>
      <c r="Q934" s="121" t="str">
        <v xml:space="preserve"> 1. </v>
      </c>
      <c r="R934" s="121" t="str">
        <v>When selecting to remove a product from the shopping cart:</v>
      </c>
      <c r="S934" s="121" t="str">
        <v/>
      </c>
      <c r="T934" s="119" t="str">
        <f>IF($C934&lt;4,IF($C934=3,T935,IF($C934=2,T$1,"")),Q934&amp;R934&amp;IF(LEN(S934)=0,"",Preferences!$C$2&amp;S934)&amp;IF(J935=J934,IF(LEN(R934&amp;S934)=0,"","
")&amp;T935,""))</f>
        <v xml:space="preserve"> 1. When selecting to remove a product from the shopping cart:
 2. The user is prompted to confirm the move of the product from the shopping cart, or to add it to their favourites / wish-list.
 3. If the user chooses to move the product, the move to favourites/wish-list action is executed instead.
 4. The total value for the shopping cart is refreshed.</v>
      </c>
      <c r="U934" s="122" t="str">
        <v/>
      </c>
      <c r="V934" s="42"/>
      <c r="W934" s="42"/>
      <c r="X934" s="42"/>
      <c r="Y934" s="42"/>
      <c r="Z934" s="42"/>
      <c r="AA934" s="42"/>
      <c r="AB934" s="42"/>
    </row>
    <row r="935" spans="1:28" x14ac:dyDescent="0.25">
      <c r="A935" s="42" t="str">
        <v>1.17.4.2</v>
      </c>
      <c r="B935" s="121" t="str">
        <v>The user is prompted to confirm the move of the product from the shopping cart, or to add it to their favourites / wish-list.</v>
      </c>
      <c r="C935" s="41">
        <v>4</v>
      </c>
      <c r="D935" s="41" t="str">
        <v>RD</v>
      </c>
      <c r="E935" s="117" t="str">
        <f t="shared" si="0"/>
        <v>RD</v>
      </c>
      <c r="F935" s="41" t="str">
        <v/>
      </c>
      <c r="G935" s="41" t="str">
        <v/>
      </c>
      <c r="H935" s="117">
        <f t="shared" si="1"/>
        <v>0</v>
      </c>
      <c r="I935" s="117">
        <f t="shared" si="2"/>
        <v>17</v>
      </c>
      <c r="J935" s="117">
        <f t="shared" si="3"/>
        <v>17.040000000000006</v>
      </c>
      <c r="K935" s="117" t="str">
        <f t="shared" si="4"/>
        <v>BR</v>
      </c>
      <c r="L935" s="42" t="str">
        <v>BR1704</v>
      </c>
      <c r="M935" s="121" t="str">
        <v/>
      </c>
      <c r="N935" s="121" t="str">
        <v/>
      </c>
      <c r="O935" s="121" t="str">
        <v/>
      </c>
      <c r="P935" s="121" t="str">
        <v/>
      </c>
      <c r="Q935" s="121" t="str">
        <v xml:space="preserve"> 2. </v>
      </c>
      <c r="R935" s="121" t="str">
        <v>The user is prompted to confirm the move of the product from the shopping cart, or to add it to their favourites / wish-list.</v>
      </c>
      <c r="S935" s="121" t="str">
        <v/>
      </c>
      <c r="T935" s="119" t="str">
        <f>IF($C935&lt;4,IF($C935=3,T936,IF($C935=2,T$1,"")),Q935&amp;R935&amp;IF(LEN(S935)=0,"",Preferences!$C$2&amp;S935)&amp;IF(J936=J935,IF(LEN(R935&amp;S935)=0,"","
")&amp;T936,""))</f>
        <v xml:space="preserve"> 2. The user is prompted to confirm the move of the product from the shopping cart, or to add it to their favourites / wish-list.
 3. If the user chooses to move the product, the move to favourites/wish-list action is executed instead.
 4. The total value for the shopping cart is refreshed.</v>
      </c>
      <c r="U935" s="122" t="str">
        <v/>
      </c>
      <c r="V935" s="42"/>
      <c r="W935" s="42"/>
      <c r="X935" s="42"/>
      <c r="Y935" s="42"/>
      <c r="Z935" s="42"/>
      <c r="AA935" s="42"/>
      <c r="AB935" s="42"/>
    </row>
    <row r="936" spans="1:28" x14ac:dyDescent="0.25">
      <c r="A936" s="42" t="str">
        <v>1.17.4.3</v>
      </c>
      <c r="B936" s="121" t="str">
        <v>If the user chooses to move the product, the move to favourites/wish-list action is executed instead.</v>
      </c>
      <c r="C936" s="41">
        <v>4</v>
      </c>
      <c r="D936" s="41" t="str">
        <v>RD</v>
      </c>
      <c r="E936" s="117" t="str">
        <f t="shared" si="0"/>
        <v>RD</v>
      </c>
      <c r="F936" s="41" t="str">
        <v/>
      </c>
      <c r="G936" s="41" t="str">
        <v/>
      </c>
      <c r="H936" s="117">
        <f t="shared" si="1"/>
        <v>0</v>
      </c>
      <c r="I936" s="117">
        <f t="shared" si="2"/>
        <v>17</v>
      </c>
      <c r="J936" s="117">
        <f t="shared" si="3"/>
        <v>17.040000000000006</v>
      </c>
      <c r="K936" s="117" t="str">
        <f t="shared" si="4"/>
        <v>BR</v>
      </c>
      <c r="L936" s="42" t="str">
        <v>BR1704</v>
      </c>
      <c r="M936" s="121" t="str">
        <v/>
      </c>
      <c r="N936" s="121" t="str">
        <v/>
      </c>
      <c r="O936" s="121" t="str">
        <v/>
      </c>
      <c r="P936" s="121" t="str">
        <v/>
      </c>
      <c r="Q936" s="121" t="str">
        <v xml:space="preserve"> 3. </v>
      </c>
      <c r="R936" s="121" t="str">
        <v>If the user chooses to move the product, the move to favourites/wish-list action is executed instead.</v>
      </c>
      <c r="S936" s="121" t="str">
        <v/>
      </c>
      <c r="T936" s="119" t="str">
        <f>IF($C936&lt;4,IF($C936=3,T937,IF($C936=2,T$1,"")),Q936&amp;R936&amp;IF(LEN(S936)=0,"",Preferences!$C$2&amp;S936)&amp;IF(J937=J936,IF(LEN(R936&amp;S936)=0,"","
")&amp;T937,""))</f>
        <v xml:space="preserve"> 3. If the user chooses to move the product, the move to favourites/wish-list action is executed instead.
 4. The total value for the shopping cart is refreshed.</v>
      </c>
      <c r="U936" s="122" t="str">
        <v/>
      </c>
      <c r="V936" s="42"/>
      <c r="W936" s="42"/>
      <c r="X936" s="42"/>
      <c r="Y936" s="42"/>
      <c r="Z936" s="42"/>
      <c r="AA936" s="42"/>
      <c r="AB936" s="42"/>
    </row>
    <row r="937" spans="1:28" x14ac:dyDescent="0.25">
      <c r="A937" s="42" t="str">
        <v>1.17.4.4</v>
      </c>
      <c r="B937" s="121" t="str">
        <v>The total value for the shopping cart is refreshed.</v>
      </c>
      <c r="C937" s="41">
        <v>4</v>
      </c>
      <c r="D937" s="41" t="str">
        <v>RD</v>
      </c>
      <c r="E937" s="117" t="str">
        <f t="shared" si="0"/>
        <v>RD</v>
      </c>
      <c r="F937" s="41" t="str">
        <v/>
      </c>
      <c r="G937" s="41" t="str">
        <v/>
      </c>
      <c r="H937" s="117">
        <f t="shared" si="1"/>
        <v>0</v>
      </c>
      <c r="I937" s="117">
        <f t="shared" si="2"/>
        <v>17</v>
      </c>
      <c r="J937" s="117">
        <f t="shared" si="3"/>
        <v>17.040000000000006</v>
      </c>
      <c r="K937" s="117" t="str">
        <f t="shared" si="4"/>
        <v>BR</v>
      </c>
      <c r="L937" s="42" t="str">
        <v>BR1704</v>
      </c>
      <c r="M937" s="121" t="str">
        <v/>
      </c>
      <c r="N937" s="121" t="str">
        <v/>
      </c>
      <c r="O937" s="121" t="str">
        <v/>
      </c>
      <c r="P937" s="121" t="str">
        <v/>
      </c>
      <c r="Q937" s="121" t="str">
        <v xml:space="preserve"> 4. </v>
      </c>
      <c r="R937" s="121" t="str">
        <v>The total value for the shopping cart is refreshed.</v>
      </c>
      <c r="S937" s="121" t="str">
        <v/>
      </c>
      <c r="T937" s="119" t="str">
        <f>IF($C937&lt;4,IF($C937=3,T938,IF($C937=2,T$1,"")),Q937&amp;R937&amp;IF(LEN(S937)=0,"",Preferences!$C$2&amp;S937)&amp;IF(J938=J937,IF(LEN(R937&amp;S937)=0,"","
")&amp;T938,""))</f>
        <v xml:space="preserve"> 4. The total value for the shopping cart is refreshed.</v>
      </c>
      <c r="U937" s="122" t="str">
        <v/>
      </c>
      <c r="V937" s="42"/>
      <c r="W937" s="42"/>
      <c r="X937" s="42"/>
      <c r="Y937" s="42"/>
      <c r="Z937" s="42"/>
      <c r="AA937" s="42"/>
      <c r="AB937" s="42"/>
    </row>
    <row r="938" spans="1:28" x14ac:dyDescent="0.25">
      <c r="A938" s="42" t="str">
        <v>1.17.5</v>
      </c>
      <c r="B938" s="121" t="str">
        <v>17.5 Add shopping cart product to favorites</v>
      </c>
      <c r="C938" s="41">
        <v>3</v>
      </c>
      <c r="D938" s="41" t="str">
        <v>R</v>
      </c>
      <c r="E938" s="117" t="str">
        <f t="shared" si="0"/>
        <v>R</v>
      </c>
      <c r="F938" s="41" t="str">
        <v/>
      </c>
      <c r="G938" s="41" t="str">
        <v/>
      </c>
      <c r="H938" s="117">
        <f t="shared" si="1"/>
        <v>0</v>
      </c>
      <c r="I938" s="117">
        <f t="shared" si="2"/>
        <v>17</v>
      </c>
      <c r="J938" s="117">
        <f t="shared" si="3"/>
        <v>17.050000000000008</v>
      </c>
      <c r="K938" s="117" t="str">
        <f t="shared" si="4"/>
        <v>BR</v>
      </c>
      <c r="L938" s="42" t="str">
        <v>BR1705</v>
      </c>
      <c r="M938" s="121" t="str">
        <v/>
      </c>
      <c r="N938" s="121" t="str">
        <v/>
      </c>
      <c r="O938" s="121" t="str">
        <v>BR1705</v>
      </c>
      <c r="P938" s="121" t="str">
        <v>Add shopping cart product to favorites</v>
      </c>
      <c r="Q938" s="121" t="str">
        <v/>
      </c>
      <c r="R938" s="121" t="str">
        <v/>
      </c>
      <c r="S938" s="121" t="str">
        <v/>
      </c>
      <c r="T938" s="119" t="str">
        <f>IF($C938&lt;4,IF($C938=3,T939,IF($C938=2,T$1,"")),Q938&amp;R938&amp;IF(LEN(S938)=0,"",Preferences!$C$2&amp;S938)&amp;IF(J939=J938,IF(LEN(R938&amp;S938)=0,"","
")&amp;T939,""))</f>
        <v xml:space="preserve"> 1. When selecting the add to favourites option, the user is informed once the product has been added to their favourites.</v>
      </c>
      <c r="U938" s="122" t="str">
        <v/>
      </c>
      <c r="V938" s="42"/>
      <c r="W938" s="42"/>
      <c r="X938" s="42"/>
      <c r="Y938" s="42"/>
      <c r="Z938" s="42"/>
      <c r="AA938" s="42"/>
      <c r="AB938" s="42"/>
    </row>
    <row r="939" spans="1:28" x14ac:dyDescent="0.25">
      <c r="A939" s="42" t="str">
        <v>1.17.5.1</v>
      </c>
      <c r="B939" s="121" t="str">
        <v>When selecting the add to favourites option, the user is informed once the product has been added to their favourites.</v>
      </c>
      <c r="C939" s="41">
        <v>4</v>
      </c>
      <c r="D939" s="41" t="str">
        <v>RD</v>
      </c>
      <c r="E939" s="117" t="str">
        <f t="shared" si="0"/>
        <v>RD</v>
      </c>
      <c r="F939" s="41" t="str">
        <v/>
      </c>
      <c r="G939" s="41" t="str">
        <v/>
      </c>
      <c r="H939" s="117">
        <f t="shared" si="1"/>
        <v>0</v>
      </c>
      <c r="I939" s="117">
        <f t="shared" si="2"/>
        <v>17</v>
      </c>
      <c r="J939" s="117">
        <f t="shared" si="3"/>
        <v>17.050000000000008</v>
      </c>
      <c r="K939" s="117" t="str">
        <f t="shared" si="4"/>
        <v>BR</v>
      </c>
      <c r="L939" s="42" t="str">
        <v>BR1705</v>
      </c>
      <c r="M939" s="121" t="str">
        <v/>
      </c>
      <c r="N939" s="121" t="str">
        <v/>
      </c>
      <c r="O939" s="121" t="str">
        <v/>
      </c>
      <c r="P939" s="121" t="str">
        <v/>
      </c>
      <c r="Q939" s="121" t="str">
        <v xml:space="preserve"> 1. </v>
      </c>
      <c r="R939" s="121" t="str">
        <v>When selecting the add to favourites option, the user is informed once the product has been added to their favourites.</v>
      </c>
      <c r="S939" s="121" t="str">
        <v/>
      </c>
      <c r="T939" s="119" t="str">
        <f>IF($C939&lt;4,IF($C939=3,T940,IF($C939=2,T$1,"")),Q939&amp;R939&amp;IF(LEN(S939)=0,"",Preferences!$C$2&amp;S939)&amp;IF(J940=J939,IF(LEN(R939&amp;S939)=0,"","
")&amp;T940,""))</f>
        <v xml:space="preserve"> 1. When selecting the add to favourites option, the user is informed once the product has been added to their favourites.</v>
      </c>
      <c r="U939" s="122" t="str">
        <v/>
      </c>
      <c r="V939" s="42"/>
      <c r="W939" s="42"/>
      <c r="X939" s="42"/>
      <c r="Y939" s="42"/>
      <c r="Z939" s="42"/>
      <c r="AA939" s="42"/>
      <c r="AB939" s="42"/>
    </row>
    <row r="940" spans="1:28" x14ac:dyDescent="0.25">
      <c r="A940" s="42" t="str">
        <v>1.17.6</v>
      </c>
      <c r="B940" s="121" t="str">
        <v>17.6 Move shopping cart product to favourites</v>
      </c>
      <c r="C940" s="41">
        <v>3</v>
      </c>
      <c r="D940" s="41" t="str">
        <v>R</v>
      </c>
      <c r="E940" s="117" t="str">
        <f t="shared" si="0"/>
        <v>R</v>
      </c>
      <c r="F940" s="41" t="str">
        <v/>
      </c>
      <c r="G940" s="41" t="str">
        <v/>
      </c>
      <c r="H940" s="117">
        <f t="shared" si="1"/>
        <v>0</v>
      </c>
      <c r="I940" s="117">
        <f t="shared" si="2"/>
        <v>17</v>
      </c>
      <c r="J940" s="117">
        <f t="shared" si="3"/>
        <v>17.060000000000009</v>
      </c>
      <c r="K940" s="117" t="str">
        <f t="shared" si="4"/>
        <v>BR</v>
      </c>
      <c r="L940" s="42" t="str">
        <v>BR1706</v>
      </c>
      <c r="M940" s="121" t="str">
        <v/>
      </c>
      <c r="N940" s="121" t="str">
        <v/>
      </c>
      <c r="O940" s="121" t="str">
        <v>BR1706</v>
      </c>
      <c r="P940" s="121" t="str">
        <v>Move shopping cart product to favourites</v>
      </c>
      <c r="Q940" s="121" t="str">
        <v/>
      </c>
      <c r="R940" s="121" t="str">
        <v/>
      </c>
      <c r="S940" s="121" t="str">
        <v/>
      </c>
      <c r="T940" s="119" t="str">
        <f>IF($C940&lt;4,IF($C940=3,T941,IF($C940=2,T$1,"")),Q940&amp;R940&amp;IF(LEN(S940)=0,"",Preferences!$C$2&amp;S940)&amp;IF(J941=J940,IF(LEN(R940&amp;S940)=0,"","
")&amp;T941,""))</f>
        <v xml:space="preserve"> 1. When selecting the move to favourites option:
 2. The user is prompted to confirm the move of the product from the shopping cart.
 3. The user is informed once the product has been moved to their favourites.
 4. The total value for the shopping cart is refreshed.</v>
      </c>
      <c r="U940" s="122" t="str">
        <v/>
      </c>
      <c r="V940" s="42"/>
      <c r="W940" s="42"/>
      <c r="X940" s="42"/>
      <c r="Y940" s="42"/>
      <c r="Z940" s="42"/>
      <c r="AA940" s="42"/>
      <c r="AB940" s="42"/>
    </row>
    <row r="941" spans="1:28" x14ac:dyDescent="0.25">
      <c r="A941" s="42" t="str">
        <v>1.17.6.1</v>
      </c>
      <c r="B941" s="121" t="str">
        <v>When selecting the move to favourites option:</v>
      </c>
      <c r="C941" s="41">
        <v>4</v>
      </c>
      <c r="D941" s="41" t="str">
        <v>RD</v>
      </c>
      <c r="E941" s="117" t="str">
        <f t="shared" si="0"/>
        <v>RD</v>
      </c>
      <c r="F941" s="41" t="str">
        <v/>
      </c>
      <c r="G941" s="41" t="str">
        <v/>
      </c>
      <c r="H941" s="117">
        <f t="shared" si="1"/>
        <v>0</v>
      </c>
      <c r="I941" s="117">
        <f t="shared" si="2"/>
        <v>17</v>
      </c>
      <c r="J941" s="117">
        <f t="shared" si="3"/>
        <v>17.060000000000009</v>
      </c>
      <c r="K941" s="117" t="str">
        <f t="shared" si="4"/>
        <v>BR</v>
      </c>
      <c r="L941" s="42" t="str">
        <v>BR1706</v>
      </c>
      <c r="M941" s="121" t="str">
        <v/>
      </c>
      <c r="N941" s="121" t="str">
        <v/>
      </c>
      <c r="O941" s="121" t="str">
        <v/>
      </c>
      <c r="P941" s="121" t="str">
        <v/>
      </c>
      <c r="Q941" s="121" t="str">
        <v xml:space="preserve"> 1. </v>
      </c>
      <c r="R941" s="121" t="str">
        <v>When selecting the move to favourites option:</v>
      </c>
      <c r="S941" s="121" t="str">
        <v/>
      </c>
      <c r="T941" s="119" t="str">
        <f>IF($C941&lt;4,IF($C941=3,T942,IF($C941=2,T$1,"")),Q941&amp;R941&amp;IF(LEN(S941)=0,"",Preferences!$C$2&amp;S941)&amp;IF(J942=J941,IF(LEN(R941&amp;S941)=0,"","
")&amp;T942,""))</f>
        <v xml:space="preserve"> 1. When selecting the move to favourites option:
 2. The user is prompted to confirm the move of the product from the shopping cart.
 3. The user is informed once the product has been moved to their favourites.
 4. The total value for the shopping cart is refreshed.</v>
      </c>
      <c r="U941" s="122" t="str">
        <v/>
      </c>
      <c r="V941" s="42"/>
      <c r="W941" s="42"/>
      <c r="X941" s="42"/>
      <c r="Y941" s="42"/>
      <c r="Z941" s="42"/>
      <c r="AA941" s="42"/>
      <c r="AB941" s="42"/>
    </row>
    <row r="942" spans="1:28" x14ac:dyDescent="0.25">
      <c r="A942" s="42" t="str">
        <v>1.17.6.2</v>
      </c>
      <c r="B942" s="121" t="str">
        <v>The user is prompted to confirm the move of the product from the shopping cart.</v>
      </c>
      <c r="C942" s="41">
        <v>4</v>
      </c>
      <c r="D942" s="41" t="str">
        <v>RD</v>
      </c>
      <c r="E942" s="117" t="str">
        <f t="shared" si="0"/>
        <v>RD</v>
      </c>
      <c r="F942" s="41" t="str">
        <v/>
      </c>
      <c r="G942" s="41" t="str">
        <v/>
      </c>
      <c r="H942" s="117">
        <f t="shared" si="1"/>
        <v>0</v>
      </c>
      <c r="I942" s="117">
        <f t="shared" si="2"/>
        <v>17</v>
      </c>
      <c r="J942" s="117">
        <f t="shared" si="3"/>
        <v>17.060000000000009</v>
      </c>
      <c r="K942" s="117" t="str">
        <f t="shared" si="4"/>
        <v>BR</v>
      </c>
      <c r="L942" s="42" t="str">
        <v>BR1706</v>
      </c>
      <c r="M942" s="121" t="str">
        <v/>
      </c>
      <c r="N942" s="121" t="str">
        <v/>
      </c>
      <c r="O942" s="121" t="str">
        <v/>
      </c>
      <c r="P942" s="121" t="str">
        <v/>
      </c>
      <c r="Q942" s="121" t="str">
        <v xml:space="preserve"> 2. </v>
      </c>
      <c r="R942" s="121" t="str">
        <v>The user is prompted to confirm the move of the product from the shopping cart.</v>
      </c>
      <c r="S942" s="121" t="str">
        <v/>
      </c>
      <c r="T942" s="119" t="str">
        <f>IF($C942&lt;4,IF($C942=3,T943,IF($C942=2,T$1,"")),Q942&amp;R942&amp;IF(LEN(S942)=0,"",Preferences!$C$2&amp;S942)&amp;IF(J943=J942,IF(LEN(R942&amp;S942)=0,"","
")&amp;T943,""))</f>
        <v xml:space="preserve"> 2. The user is prompted to confirm the move of the product from the shopping cart.
 3. The user is informed once the product has been moved to their favourites.
 4. The total value for the shopping cart is refreshed.</v>
      </c>
      <c r="U942" s="122" t="str">
        <v/>
      </c>
      <c r="V942" s="42"/>
      <c r="W942" s="42"/>
      <c r="X942" s="42"/>
      <c r="Y942" s="42"/>
      <c r="Z942" s="42"/>
      <c r="AA942" s="42"/>
      <c r="AB942" s="42"/>
    </row>
    <row r="943" spans="1:28" x14ac:dyDescent="0.25">
      <c r="A943" s="42" t="str">
        <v>1.17.6.3</v>
      </c>
      <c r="B943" s="121" t="str">
        <v>The user is informed once the product has been moved to their favourites.</v>
      </c>
      <c r="C943" s="41">
        <v>4</v>
      </c>
      <c r="D943" s="41" t="str">
        <v>RD</v>
      </c>
      <c r="E943" s="117" t="str">
        <f t="shared" si="0"/>
        <v>RD</v>
      </c>
      <c r="F943" s="41" t="str">
        <v/>
      </c>
      <c r="G943" s="41" t="str">
        <v/>
      </c>
      <c r="H943" s="117">
        <f t="shared" si="1"/>
        <v>0</v>
      </c>
      <c r="I943" s="117">
        <f t="shared" si="2"/>
        <v>17</v>
      </c>
      <c r="J943" s="117">
        <f t="shared" si="3"/>
        <v>17.060000000000009</v>
      </c>
      <c r="K943" s="117" t="str">
        <f t="shared" si="4"/>
        <v>BR</v>
      </c>
      <c r="L943" s="42" t="str">
        <v>BR1706</v>
      </c>
      <c r="M943" s="121" t="str">
        <v/>
      </c>
      <c r="N943" s="121" t="str">
        <v/>
      </c>
      <c r="O943" s="121" t="str">
        <v/>
      </c>
      <c r="P943" s="121" t="str">
        <v/>
      </c>
      <c r="Q943" s="121" t="str">
        <v xml:space="preserve"> 3. </v>
      </c>
      <c r="R943" s="121" t="str">
        <v>The user is informed once the product has been moved to their favourites.</v>
      </c>
      <c r="S943" s="121" t="str">
        <v/>
      </c>
      <c r="T943" s="119" t="str">
        <f>IF($C943&lt;4,IF($C943=3,T944,IF($C943=2,T$1,"")),Q943&amp;R943&amp;IF(LEN(S943)=0,"",Preferences!$C$2&amp;S943)&amp;IF(J944=J943,IF(LEN(R943&amp;S943)=0,"","
")&amp;T944,""))</f>
        <v xml:space="preserve"> 3. The user is informed once the product has been moved to their favourites.
 4. The total value for the shopping cart is refreshed.</v>
      </c>
      <c r="U943" s="122" t="str">
        <v/>
      </c>
      <c r="V943" s="42"/>
      <c r="W943" s="42"/>
      <c r="X943" s="42"/>
      <c r="Y943" s="42"/>
      <c r="Z943" s="42"/>
      <c r="AA943" s="42"/>
      <c r="AB943" s="42"/>
    </row>
    <row r="944" spans="1:28" x14ac:dyDescent="0.25">
      <c r="A944" s="42" t="str">
        <v>1.17.6.4</v>
      </c>
      <c r="B944" s="121" t="str">
        <v>The total value for the shopping cart is refreshed.</v>
      </c>
      <c r="C944" s="41">
        <v>4</v>
      </c>
      <c r="D944" s="41" t="str">
        <v>RD</v>
      </c>
      <c r="E944" s="117" t="str">
        <f t="shared" si="0"/>
        <v>RD</v>
      </c>
      <c r="F944" s="41" t="str">
        <v/>
      </c>
      <c r="G944" s="41" t="str">
        <v/>
      </c>
      <c r="H944" s="117">
        <f t="shared" si="1"/>
        <v>0</v>
      </c>
      <c r="I944" s="117">
        <f t="shared" si="2"/>
        <v>17</v>
      </c>
      <c r="J944" s="117">
        <f t="shared" si="3"/>
        <v>17.060000000000009</v>
      </c>
      <c r="K944" s="117" t="str">
        <f t="shared" si="4"/>
        <v>BR</v>
      </c>
      <c r="L944" s="42" t="str">
        <v>BR1706</v>
      </c>
      <c r="M944" s="121" t="str">
        <v/>
      </c>
      <c r="N944" s="121" t="str">
        <v/>
      </c>
      <c r="O944" s="121" t="str">
        <v/>
      </c>
      <c r="P944" s="121" t="str">
        <v/>
      </c>
      <c r="Q944" s="121" t="str">
        <v xml:space="preserve"> 4. </v>
      </c>
      <c r="R944" s="121" t="str">
        <v>The total value for the shopping cart is refreshed.</v>
      </c>
      <c r="S944" s="121" t="str">
        <v/>
      </c>
      <c r="T944" s="119" t="str">
        <f>IF($C944&lt;4,IF($C944=3,T945,IF($C944=2,T$1,"")),Q944&amp;R944&amp;IF(LEN(S944)=0,"",Preferences!$C$2&amp;S944)&amp;IF(J945=J944,IF(LEN(R944&amp;S944)=0,"","
")&amp;T945,""))</f>
        <v xml:space="preserve"> 4. The total value for the shopping cart is refreshed.</v>
      </c>
      <c r="U944" s="122" t="str">
        <v/>
      </c>
      <c r="V944" s="42"/>
      <c r="W944" s="42"/>
      <c r="X944" s="42"/>
      <c r="Y944" s="42"/>
      <c r="Z944" s="42"/>
      <c r="AA944" s="42"/>
      <c r="AB944" s="42"/>
    </row>
    <row r="945" spans="1:28" x14ac:dyDescent="0.25">
      <c r="A945" s="42" t="str">
        <v>1.17.7</v>
      </c>
      <c r="B945" s="121" t="str">
        <v>17.7 Add shopping cart product to wish-list</v>
      </c>
      <c r="C945" s="41">
        <v>3</v>
      </c>
      <c r="D945" s="41" t="str">
        <v>R</v>
      </c>
      <c r="E945" s="117" t="str">
        <f t="shared" si="0"/>
        <v>R</v>
      </c>
      <c r="F945" s="41" t="str">
        <v/>
      </c>
      <c r="G945" s="41" t="str">
        <v/>
      </c>
      <c r="H945" s="117">
        <f t="shared" si="1"/>
        <v>0</v>
      </c>
      <c r="I945" s="117">
        <f t="shared" si="2"/>
        <v>17</v>
      </c>
      <c r="J945" s="117">
        <f t="shared" si="3"/>
        <v>17.070000000000011</v>
      </c>
      <c r="K945" s="117" t="str">
        <f t="shared" si="4"/>
        <v>BR</v>
      </c>
      <c r="L945" s="42" t="str">
        <v>BR1707</v>
      </c>
      <c r="M945" s="121" t="str">
        <v/>
      </c>
      <c r="N945" s="121" t="str">
        <v/>
      </c>
      <c r="O945" s="121" t="str">
        <v>BR1707</v>
      </c>
      <c r="P945" s="121" t="str">
        <v>Add shopping cart product to wish-list</v>
      </c>
      <c r="Q945" s="121" t="str">
        <v/>
      </c>
      <c r="R945" s="121" t="str">
        <v/>
      </c>
      <c r="S945" s="121" t="str">
        <v/>
      </c>
      <c r="T945" s="119" t="str">
        <f>IF($C945&lt;4,IF($C945=3,T946,IF($C945=2,T$1,"")),Q945&amp;R945&amp;IF(LEN(S945)=0,"",Preferences!$C$2&amp;S945)&amp;IF(J946=J945,IF(LEN(R945&amp;S945)=0,"","
")&amp;T946,""))</f>
        <v xml:space="preserve"> 1. When selecting the add to wish-list option, the user is informed once the product has been added to the wish-list.</v>
      </c>
      <c r="U945" s="122" t="str">
        <v/>
      </c>
      <c r="V945" s="42"/>
      <c r="W945" s="42"/>
      <c r="X945" s="42"/>
      <c r="Y945" s="42"/>
      <c r="Z945" s="42"/>
      <c r="AA945" s="42"/>
      <c r="AB945" s="42"/>
    </row>
    <row r="946" spans="1:28" x14ac:dyDescent="0.25">
      <c r="A946" s="42" t="str">
        <v>1.17.7.1</v>
      </c>
      <c r="B946" s="121" t="str">
        <v>When selecting the add to wish-list option, the user is informed once the product has been added to the wish-list.</v>
      </c>
      <c r="C946" s="41">
        <v>4</v>
      </c>
      <c r="D946" s="41" t="str">
        <v>RD</v>
      </c>
      <c r="E946" s="117" t="str">
        <f t="shared" si="0"/>
        <v>RD</v>
      </c>
      <c r="F946" s="41" t="str">
        <v/>
      </c>
      <c r="G946" s="41" t="str">
        <v/>
      </c>
      <c r="H946" s="117">
        <f t="shared" si="1"/>
        <v>0</v>
      </c>
      <c r="I946" s="117">
        <f t="shared" si="2"/>
        <v>17</v>
      </c>
      <c r="J946" s="117">
        <f t="shared" si="3"/>
        <v>17.070000000000011</v>
      </c>
      <c r="K946" s="117" t="str">
        <f t="shared" si="4"/>
        <v>BR</v>
      </c>
      <c r="L946" s="42" t="str">
        <v>BR1707</v>
      </c>
      <c r="M946" s="121" t="str">
        <v/>
      </c>
      <c r="N946" s="121" t="str">
        <v/>
      </c>
      <c r="O946" s="121" t="str">
        <v/>
      </c>
      <c r="P946" s="121" t="str">
        <v/>
      </c>
      <c r="Q946" s="121" t="str">
        <v xml:space="preserve"> 1. </v>
      </c>
      <c r="R946" s="121" t="str">
        <v>When selecting the add to wish-list option, the user is informed once the product has been added to the wish-list.</v>
      </c>
      <c r="S946" s="121" t="str">
        <v/>
      </c>
      <c r="T946" s="119" t="str">
        <f>IF($C946&lt;4,IF($C946=3,T947,IF($C946=2,T$1,"")),Q946&amp;R946&amp;IF(LEN(S946)=0,"",Preferences!$C$2&amp;S946)&amp;IF(J947=J946,IF(LEN(R946&amp;S946)=0,"","
")&amp;T947,""))</f>
        <v xml:space="preserve"> 1. When selecting the add to wish-list option, the user is informed once the product has been added to the wish-list.</v>
      </c>
      <c r="U946" s="122" t="str">
        <v/>
      </c>
      <c r="V946" s="42"/>
      <c r="W946" s="42"/>
      <c r="X946" s="42"/>
      <c r="Y946" s="42"/>
      <c r="Z946" s="42"/>
      <c r="AA946" s="42"/>
      <c r="AB946" s="42"/>
    </row>
    <row r="947" spans="1:28" x14ac:dyDescent="0.25">
      <c r="A947" s="42" t="str">
        <v>1.17.8</v>
      </c>
      <c r="B947" s="121" t="str">
        <v>17.8 Move shopping cart product to wish-list</v>
      </c>
      <c r="C947" s="41">
        <v>3</v>
      </c>
      <c r="D947" s="41" t="str">
        <v>R</v>
      </c>
      <c r="E947" s="117" t="str">
        <f t="shared" si="0"/>
        <v>R</v>
      </c>
      <c r="F947" s="41" t="str">
        <v/>
      </c>
      <c r="G947" s="41" t="str">
        <v/>
      </c>
      <c r="H947" s="117">
        <f t="shared" si="1"/>
        <v>0</v>
      </c>
      <c r="I947" s="117">
        <f t="shared" si="2"/>
        <v>17</v>
      </c>
      <c r="J947" s="117">
        <f t="shared" si="3"/>
        <v>17.080000000000013</v>
      </c>
      <c r="K947" s="117" t="str">
        <f t="shared" si="4"/>
        <v>BR</v>
      </c>
      <c r="L947" s="42" t="str">
        <v>BR1708</v>
      </c>
      <c r="M947" s="121" t="str">
        <v/>
      </c>
      <c r="N947" s="121" t="str">
        <v/>
      </c>
      <c r="O947" s="121" t="str">
        <v>BR1708</v>
      </c>
      <c r="P947" s="121" t="str">
        <v>Move shopping cart product to wish-list</v>
      </c>
      <c r="Q947" s="121" t="str">
        <v/>
      </c>
      <c r="R947" s="121" t="str">
        <v/>
      </c>
      <c r="S947" s="121" t="str">
        <v/>
      </c>
      <c r="T947" s="119" t="str">
        <f>IF($C947&lt;4,IF($C947=3,T948,IF($C947=2,T$1,"")),Q947&amp;R947&amp;IF(LEN(S947)=0,"",Preferences!$C$2&amp;S947)&amp;IF(J948=J947,IF(LEN(R947&amp;S947)=0,"","
")&amp;T948,""))</f>
        <v xml:space="preserve"> 1. When selecting the move to wish-list option:
 2. The user is prompted to confirm the move of the product from the shopping cart.
 3. The user is informed once the product has been moved to their wish-list.
 4. The total value for the shopping cart is refreshed.</v>
      </c>
      <c r="U947" s="122" t="str">
        <v/>
      </c>
      <c r="V947" s="42"/>
      <c r="W947" s="42"/>
      <c r="X947" s="42"/>
      <c r="Y947" s="42"/>
      <c r="Z947" s="42"/>
      <c r="AA947" s="42"/>
      <c r="AB947" s="42"/>
    </row>
    <row r="948" spans="1:28" x14ac:dyDescent="0.25">
      <c r="A948" s="42" t="str">
        <v>1.17.8.1</v>
      </c>
      <c r="B948" s="121" t="str">
        <v>When selecting the move to wish-list option:</v>
      </c>
      <c r="C948" s="41">
        <v>4</v>
      </c>
      <c r="D948" s="41" t="str">
        <v>RD</v>
      </c>
      <c r="E948" s="117" t="str">
        <f t="shared" si="0"/>
        <v>RD</v>
      </c>
      <c r="F948" s="41" t="str">
        <v/>
      </c>
      <c r="G948" s="41" t="str">
        <v/>
      </c>
      <c r="H948" s="117">
        <f t="shared" si="1"/>
        <v>0</v>
      </c>
      <c r="I948" s="117">
        <f t="shared" si="2"/>
        <v>17</v>
      </c>
      <c r="J948" s="117">
        <f t="shared" si="3"/>
        <v>17.080000000000013</v>
      </c>
      <c r="K948" s="117" t="str">
        <f t="shared" si="4"/>
        <v>BR</v>
      </c>
      <c r="L948" s="42" t="str">
        <v>BR1708</v>
      </c>
      <c r="M948" s="121" t="str">
        <v/>
      </c>
      <c r="N948" s="121" t="str">
        <v/>
      </c>
      <c r="O948" s="121" t="str">
        <v/>
      </c>
      <c r="P948" s="121" t="str">
        <v/>
      </c>
      <c r="Q948" s="121" t="str">
        <v xml:space="preserve"> 1. </v>
      </c>
      <c r="R948" s="121" t="str">
        <v>When selecting the move to wish-list option:</v>
      </c>
      <c r="S948" s="121" t="str">
        <v/>
      </c>
      <c r="T948" s="119" t="str">
        <f>IF($C948&lt;4,IF($C948=3,T949,IF($C948=2,T$1,"")),Q948&amp;R948&amp;IF(LEN(S948)=0,"",Preferences!$C$2&amp;S948)&amp;IF(J949=J948,IF(LEN(R948&amp;S948)=0,"","
")&amp;T949,""))</f>
        <v xml:space="preserve"> 1. When selecting the move to wish-list option:
 2. The user is prompted to confirm the move of the product from the shopping cart.
 3. The user is informed once the product has been moved to their wish-list.
 4. The total value for the shopping cart is refreshed.</v>
      </c>
      <c r="U948" s="122" t="str">
        <v/>
      </c>
      <c r="V948" s="42"/>
      <c r="W948" s="42"/>
      <c r="X948" s="42"/>
      <c r="Y948" s="42"/>
      <c r="Z948" s="42"/>
      <c r="AA948" s="42"/>
      <c r="AB948" s="42"/>
    </row>
    <row r="949" spans="1:28" x14ac:dyDescent="0.25">
      <c r="A949" s="42" t="str">
        <v>1.17.8.2</v>
      </c>
      <c r="B949" s="121" t="str">
        <v>The user is prompted to confirm the move of the product from the shopping cart.</v>
      </c>
      <c r="C949" s="41">
        <v>4</v>
      </c>
      <c r="D949" s="41" t="str">
        <v>RD</v>
      </c>
      <c r="E949" s="117" t="str">
        <f t="shared" si="0"/>
        <v>RD</v>
      </c>
      <c r="F949" s="41" t="str">
        <v/>
      </c>
      <c r="G949" s="41" t="str">
        <v/>
      </c>
      <c r="H949" s="117">
        <f t="shared" si="1"/>
        <v>0</v>
      </c>
      <c r="I949" s="117">
        <f t="shared" si="2"/>
        <v>17</v>
      </c>
      <c r="J949" s="117">
        <f t="shared" si="3"/>
        <v>17.080000000000013</v>
      </c>
      <c r="K949" s="117" t="str">
        <f t="shared" si="4"/>
        <v>BR</v>
      </c>
      <c r="L949" s="42" t="str">
        <v>BR1708</v>
      </c>
      <c r="M949" s="121" t="str">
        <v/>
      </c>
      <c r="N949" s="121" t="str">
        <v/>
      </c>
      <c r="O949" s="121" t="str">
        <v/>
      </c>
      <c r="P949" s="121" t="str">
        <v/>
      </c>
      <c r="Q949" s="121" t="str">
        <v xml:space="preserve"> 2. </v>
      </c>
      <c r="R949" s="121" t="str">
        <v>The user is prompted to confirm the move of the product from the shopping cart.</v>
      </c>
      <c r="S949" s="121" t="str">
        <v/>
      </c>
      <c r="T949" s="119" t="str">
        <f>IF($C949&lt;4,IF($C949=3,T950,IF($C949=2,T$1,"")),Q949&amp;R949&amp;IF(LEN(S949)=0,"",Preferences!$C$2&amp;S949)&amp;IF(J950=J949,IF(LEN(R949&amp;S949)=0,"","
")&amp;T950,""))</f>
        <v xml:space="preserve"> 2. The user is prompted to confirm the move of the product from the shopping cart.
 3. The user is informed once the product has been moved to their wish-list.
 4. The total value for the shopping cart is refreshed.</v>
      </c>
      <c r="U949" s="122" t="str">
        <v/>
      </c>
      <c r="V949" s="42"/>
      <c r="W949" s="42"/>
      <c r="X949" s="42"/>
      <c r="Y949" s="42"/>
      <c r="Z949" s="42"/>
      <c r="AA949" s="42"/>
      <c r="AB949" s="42"/>
    </row>
    <row r="950" spans="1:28" x14ac:dyDescent="0.25">
      <c r="A950" s="42" t="str">
        <v>1.17.8.3</v>
      </c>
      <c r="B950" s="121" t="str">
        <v>The user is informed once the product has been moved to their wish-list.</v>
      </c>
      <c r="C950" s="41">
        <v>4</v>
      </c>
      <c r="D950" s="41" t="str">
        <v>RD</v>
      </c>
      <c r="E950" s="117" t="str">
        <f t="shared" si="0"/>
        <v>RD</v>
      </c>
      <c r="F950" s="41" t="str">
        <v/>
      </c>
      <c r="G950" s="41" t="str">
        <v/>
      </c>
      <c r="H950" s="117">
        <f t="shared" si="1"/>
        <v>0</v>
      </c>
      <c r="I950" s="117">
        <f t="shared" si="2"/>
        <v>17</v>
      </c>
      <c r="J950" s="117">
        <f t="shared" si="3"/>
        <v>17.080000000000013</v>
      </c>
      <c r="K950" s="117" t="str">
        <f t="shared" si="4"/>
        <v>BR</v>
      </c>
      <c r="L950" s="42" t="str">
        <v>BR1708</v>
      </c>
      <c r="M950" s="121" t="str">
        <v/>
      </c>
      <c r="N950" s="121" t="str">
        <v/>
      </c>
      <c r="O950" s="121" t="str">
        <v/>
      </c>
      <c r="P950" s="121" t="str">
        <v/>
      </c>
      <c r="Q950" s="121" t="str">
        <v xml:space="preserve"> 3. </v>
      </c>
      <c r="R950" s="121" t="str">
        <v>The user is informed once the product has been moved to their wish-list.</v>
      </c>
      <c r="S950" s="121" t="str">
        <v/>
      </c>
      <c r="T950" s="119" t="str">
        <f>IF($C950&lt;4,IF($C950=3,T951,IF($C950=2,T$1,"")),Q950&amp;R950&amp;IF(LEN(S950)=0,"",Preferences!$C$2&amp;S950)&amp;IF(J951=J950,IF(LEN(R950&amp;S950)=0,"","
")&amp;T951,""))</f>
        <v xml:space="preserve"> 3. The user is informed once the product has been moved to their wish-list.
 4. The total value for the shopping cart is refreshed.</v>
      </c>
      <c r="U950" s="122" t="str">
        <v/>
      </c>
      <c r="V950" s="42"/>
      <c r="W950" s="42"/>
      <c r="X950" s="42"/>
      <c r="Y950" s="42"/>
      <c r="Z950" s="42"/>
      <c r="AA950" s="42"/>
      <c r="AB950" s="42"/>
    </row>
    <row r="951" spans="1:28" x14ac:dyDescent="0.25">
      <c r="A951" s="42" t="str">
        <v>1.17.8.4</v>
      </c>
      <c r="B951" s="121" t="str">
        <v>The total value for the shopping cart is refreshed.</v>
      </c>
      <c r="C951" s="41">
        <v>4</v>
      </c>
      <c r="D951" s="41" t="str">
        <v>RD</v>
      </c>
      <c r="E951" s="117" t="str">
        <f t="shared" si="0"/>
        <v>RD</v>
      </c>
      <c r="F951" s="41" t="str">
        <v/>
      </c>
      <c r="G951" s="41" t="str">
        <v/>
      </c>
      <c r="H951" s="117">
        <f t="shared" si="1"/>
        <v>0</v>
      </c>
      <c r="I951" s="117">
        <f t="shared" si="2"/>
        <v>17</v>
      </c>
      <c r="J951" s="117">
        <f t="shared" si="3"/>
        <v>17.080000000000013</v>
      </c>
      <c r="K951" s="117" t="str">
        <f t="shared" si="4"/>
        <v>BR</v>
      </c>
      <c r="L951" s="42" t="str">
        <v>BR1708</v>
      </c>
      <c r="M951" s="121" t="str">
        <v/>
      </c>
      <c r="N951" s="121" t="str">
        <v/>
      </c>
      <c r="O951" s="121" t="str">
        <v/>
      </c>
      <c r="P951" s="121" t="str">
        <v/>
      </c>
      <c r="Q951" s="121" t="str">
        <v xml:space="preserve"> 4. </v>
      </c>
      <c r="R951" s="121" t="str">
        <v>The total value for the shopping cart is refreshed.</v>
      </c>
      <c r="S951" s="121" t="str">
        <v/>
      </c>
      <c r="T951" s="119" t="str">
        <f>IF($C951&lt;4,IF($C951=3,T952,IF($C951=2,T$1,"")),Q951&amp;R951&amp;IF(LEN(S951)=0,"",Preferences!$C$2&amp;S951)&amp;IF(J952=J951,IF(LEN(R951&amp;S951)=0,"","
")&amp;T952,""))</f>
        <v xml:space="preserve"> 4. The total value for the shopping cart is refreshed.</v>
      </c>
      <c r="U951" s="122" t="str">
        <v/>
      </c>
      <c r="V951" s="42"/>
      <c r="W951" s="42"/>
      <c r="X951" s="42"/>
      <c r="Y951" s="42"/>
      <c r="Z951" s="42"/>
      <c r="AA951" s="42"/>
      <c r="AB951" s="42"/>
    </row>
    <row r="952" spans="1:28" x14ac:dyDescent="0.25">
      <c r="A952" s="42" t="str">
        <v>1.17.9</v>
      </c>
      <c r="B952" s="121" t="str">
        <v>17.9 Add all favourite products to shopping cart</v>
      </c>
      <c r="C952" s="41">
        <v>3</v>
      </c>
      <c r="D952" s="41" t="str">
        <v>R</v>
      </c>
      <c r="E952" s="117" t="str">
        <f t="shared" si="0"/>
        <v>R</v>
      </c>
      <c r="F952" s="41" t="str">
        <v/>
      </c>
      <c r="G952" s="41" t="str">
        <v/>
      </c>
      <c r="H952" s="117">
        <f t="shared" si="1"/>
        <v>0</v>
      </c>
      <c r="I952" s="117">
        <f t="shared" si="2"/>
        <v>17</v>
      </c>
      <c r="J952" s="117">
        <f t="shared" si="3"/>
        <v>17.090000000000014</v>
      </c>
      <c r="K952" s="117" t="str">
        <f t="shared" si="4"/>
        <v>BR</v>
      </c>
      <c r="L952" s="42" t="str">
        <v>BR1709</v>
      </c>
      <c r="M952" s="121" t="str">
        <v/>
      </c>
      <c r="N952" s="121" t="str">
        <v/>
      </c>
      <c r="O952" s="121" t="str">
        <v>BR1709</v>
      </c>
      <c r="P952" s="121" t="str">
        <v>Add all favourite products to shopping cart</v>
      </c>
      <c r="Q952" s="121" t="str">
        <v/>
      </c>
      <c r="R952" s="121" t="str">
        <v/>
      </c>
      <c r="S952" s="121" t="str">
        <v/>
      </c>
      <c r="T952" s="119" t="str">
        <f>IF($C952&lt;4,IF($C952=3,T953,IF($C952=2,T$1,"")),Q952&amp;R952&amp;IF(LEN(S952)=0,"",Preferences!$C$2&amp;S952)&amp;IF(J953=J952,IF(LEN(R952&amp;S952)=0,"","
")&amp;T953,""))</f>
        <v xml:space="preserve"> 1. When selecting the add all from favourites option:
 2. The user is prompted to confirm to add all favourite products to the shopping cart.
	• The number of products in the favourites list is included.
 3. Once the products have been added, the total value for the shopping cart is refreshed.</v>
      </c>
      <c r="U952" s="122" t="str">
        <v/>
      </c>
      <c r="V952" s="42"/>
      <c r="W952" s="42"/>
      <c r="X952" s="42"/>
      <c r="Y952" s="42"/>
      <c r="Z952" s="42"/>
      <c r="AA952" s="42"/>
      <c r="AB952" s="42"/>
    </row>
    <row r="953" spans="1:28" x14ac:dyDescent="0.25">
      <c r="A953" s="42" t="str">
        <v>1.17.9.1</v>
      </c>
      <c r="B953" s="121" t="str">
        <v>When selecting the add all from favourites option:</v>
      </c>
      <c r="C953" s="41">
        <v>4</v>
      </c>
      <c r="D953" s="41" t="str">
        <v>RD</v>
      </c>
      <c r="E953" s="117" t="str">
        <f t="shared" si="0"/>
        <v>RD</v>
      </c>
      <c r="F953" s="41" t="str">
        <v/>
      </c>
      <c r="G953" s="41" t="str">
        <v/>
      </c>
      <c r="H953" s="117">
        <f t="shared" si="1"/>
        <v>0</v>
      </c>
      <c r="I953" s="117">
        <f t="shared" si="2"/>
        <v>17</v>
      </c>
      <c r="J953" s="117">
        <f t="shared" si="3"/>
        <v>17.090000000000014</v>
      </c>
      <c r="K953" s="117" t="str">
        <f t="shared" si="4"/>
        <v>BR</v>
      </c>
      <c r="L953" s="42" t="str">
        <v>BR1709</v>
      </c>
      <c r="M953" s="121" t="str">
        <v/>
      </c>
      <c r="N953" s="121" t="str">
        <v/>
      </c>
      <c r="O953" s="121" t="str">
        <v/>
      </c>
      <c r="P953" s="121" t="str">
        <v/>
      </c>
      <c r="Q953" s="121" t="str">
        <v xml:space="preserve"> 1. </v>
      </c>
      <c r="R953" s="121" t="str">
        <v>When selecting the add all from favourites option:</v>
      </c>
      <c r="S953" s="121" t="str">
        <v/>
      </c>
      <c r="T953" s="119" t="str">
        <f>IF($C953&lt;4,IF($C953=3,T954,IF($C953=2,T$1,"")),Q953&amp;R953&amp;IF(LEN(S953)=0,"",Preferences!$C$2&amp;S953)&amp;IF(J954=J953,IF(LEN(R953&amp;S953)=0,"","
")&amp;T954,""))</f>
        <v xml:space="preserve"> 1. When selecting the add all from favourites option:
 2. The user is prompted to confirm to add all favourite products to the shopping cart.
	• The number of products in the favourites list is included.
 3. Once the products have been added, the total value for the shopping cart is refreshed.</v>
      </c>
      <c r="U953" s="122" t="str">
        <v/>
      </c>
      <c r="V953" s="42"/>
      <c r="W953" s="42"/>
      <c r="X953" s="42"/>
      <c r="Y953" s="42"/>
      <c r="Z953" s="42"/>
      <c r="AA953" s="42"/>
      <c r="AB953" s="42"/>
    </row>
    <row r="954" spans="1:28" x14ac:dyDescent="0.25">
      <c r="A954" s="42" t="str">
        <v>1.17.9.2</v>
      </c>
      <c r="B954" s="121" t="str">
        <v>The user is prompted to confirm to add all favourite products to the shopping cart.</v>
      </c>
      <c r="C954" s="41">
        <v>4</v>
      </c>
      <c r="D954" s="41" t="str">
        <v>RD</v>
      </c>
      <c r="E954" s="117" t="str">
        <f t="shared" si="0"/>
        <v>RD</v>
      </c>
      <c r="F954" s="41" t="str">
        <v/>
      </c>
      <c r="G954" s="41" t="str">
        <v/>
      </c>
      <c r="H954" s="117">
        <f t="shared" si="1"/>
        <v>0</v>
      </c>
      <c r="I954" s="117">
        <f t="shared" si="2"/>
        <v>17</v>
      </c>
      <c r="J954" s="117">
        <f t="shared" si="3"/>
        <v>17.090000000000014</v>
      </c>
      <c r="K954" s="117" t="str">
        <f t="shared" si="4"/>
        <v>BR</v>
      </c>
      <c r="L954" s="42" t="str">
        <v>BR1709</v>
      </c>
      <c r="M954" s="121" t="str">
        <v/>
      </c>
      <c r="N954" s="121" t="str">
        <v/>
      </c>
      <c r="O954" s="121" t="str">
        <v/>
      </c>
      <c r="P954" s="121" t="str">
        <v/>
      </c>
      <c r="Q954" s="121" t="str">
        <v xml:space="preserve"> 2. </v>
      </c>
      <c r="R954" s="121" t="str">
        <v>The user is prompted to confirm to add all favourite products to the shopping cart.</v>
      </c>
      <c r="S954" s="121" t="str">
        <v/>
      </c>
      <c r="T954" s="119" t="str">
        <f>IF($C954&lt;4,IF($C954=3,T955,IF($C954=2,T$1,"")),Q954&amp;R954&amp;IF(LEN(S954)=0,"",Preferences!$C$2&amp;S954)&amp;IF(J955=J954,IF(LEN(R954&amp;S954)=0,"","
")&amp;T955,""))</f>
        <v xml:space="preserve"> 2. The user is prompted to confirm to add all favourite products to the shopping cart.
	• The number of products in the favourites list is included.
 3. Once the products have been added, the total value for the shopping cart is refreshed.</v>
      </c>
      <c r="U954" s="122" t="str">
        <v/>
      </c>
      <c r="V954" s="42"/>
      <c r="W954" s="42"/>
      <c r="X954" s="42"/>
      <c r="Y954" s="42"/>
      <c r="Z954" s="42"/>
      <c r="AA954" s="42"/>
      <c r="AB954" s="42"/>
    </row>
    <row r="955" spans="1:28" x14ac:dyDescent="0.25">
      <c r="A955" s="42" t="str">
        <v>1.17.9.2.1</v>
      </c>
      <c r="B955" s="121" t="str">
        <v>The number of products in the favourites list is included.</v>
      </c>
      <c r="C955" s="41">
        <v>5</v>
      </c>
      <c r="D955" s="41" t="str">
        <v>RL</v>
      </c>
      <c r="E955" s="117" t="str">
        <f t="shared" si="0"/>
        <v>RL</v>
      </c>
      <c r="F955" s="41" t="str">
        <v/>
      </c>
      <c r="G955" s="41" t="str">
        <v/>
      </c>
      <c r="H955" s="117">
        <f t="shared" si="1"/>
        <v>0</v>
      </c>
      <c r="I955" s="117">
        <f t="shared" si="2"/>
        <v>17</v>
      </c>
      <c r="J955" s="117">
        <f t="shared" si="3"/>
        <v>17.090000000000014</v>
      </c>
      <c r="K955" s="117" t="str">
        <f t="shared" si="4"/>
        <v>BR</v>
      </c>
      <c r="L955" s="42" t="str">
        <v>BR1709</v>
      </c>
      <c r="M955" s="121" t="str">
        <v/>
      </c>
      <c r="N955" s="121" t="str">
        <v/>
      </c>
      <c r="O955" s="121" t="str">
        <v/>
      </c>
      <c r="P955" s="121" t="str">
        <v/>
      </c>
      <c r="Q955" s="121" t="str">
        <v/>
      </c>
      <c r="R955" s="121" t="str">
        <v/>
      </c>
      <c r="S955" s="121" t="str">
        <v>The number of products in the favourites list is included.</v>
      </c>
      <c r="T955" s="119" t="str">
        <f>IF($C955&lt;4,IF($C955=3,T956,IF($C955=2,T$1,"")),Q955&amp;R955&amp;IF(LEN(S955)=0,"",Preferences!$C$2&amp;S955)&amp;IF(J956=J955,IF(LEN(R955&amp;S955)=0,"","
")&amp;T956,""))</f>
        <v xml:space="preserve">	• The number of products in the favourites list is included.
 3. Once the products have been added, the total value for the shopping cart is refreshed.</v>
      </c>
      <c r="U955" s="122" t="str">
        <v/>
      </c>
      <c r="V955" s="42"/>
      <c r="W955" s="42"/>
      <c r="X955" s="42"/>
      <c r="Y955" s="42"/>
      <c r="Z955" s="42"/>
      <c r="AA955" s="42"/>
      <c r="AB955" s="42"/>
    </row>
    <row r="956" spans="1:28" x14ac:dyDescent="0.25">
      <c r="A956" s="42" t="str">
        <v>1.17.9.3</v>
      </c>
      <c r="B956" s="121" t="str">
        <v>Once the products have been added, the total value for the shopping cart is refreshed.</v>
      </c>
      <c r="C956" s="41">
        <v>4</v>
      </c>
      <c r="D956" s="41" t="str">
        <v>RD</v>
      </c>
      <c r="E956" s="117" t="str">
        <f t="shared" si="0"/>
        <v>RD</v>
      </c>
      <c r="F956" s="41" t="str">
        <v/>
      </c>
      <c r="G956" s="41" t="str">
        <v/>
      </c>
      <c r="H956" s="117">
        <f t="shared" si="1"/>
        <v>0</v>
      </c>
      <c r="I956" s="117">
        <f t="shared" si="2"/>
        <v>17</v>
      </c>
      <c r="J956" s="117">
        <f t="shared" si="3"/>
        <v>17.090000000000014</v>
      </c>
      <c r="K956" s="117" t="str">
        <f t="shared" si="4"/>
        <v>BR</v>
      </c>
      <c r="L956" s="42" t="str">
        <v>BR1709</v>
      </c>
      <c r="M956" s="121" t="str">
        <v/>
      </c>
      <c r="N956" s="121" t="str">
        <v/>
      </c>
      <c r="O956" s="121" t="str">
        <v/>
      </c>
      <c r="P956" s="121" t="str">
        <v/>
      </c>
      <c r="Q956" s="121" t="str">
        <v xml:space="preserve"> 3. </v>
      </c>
      <c r="R956" s="121" t="str">
        <v>Once the products have been added, the total value for the shopping cart is refreshed.</v>
      </c>
      <c r="S956" s="121" t="str">
        <v/>
      </c>
      <c r="T956" s="119" t="str">
        <f>IF($C956&lt;4,IF($C956=3,T957,IF($C956=2,T$1,"")),Q956&amp;R956&amp;IF(LEN(S956)=0,"",Preferences!$C$2&amp;S956)&amp;IF(J957=J956,IF(LEN(R956&amp;S956)=0,"","
")&amp;T957,""))</f>
        <v xml:space="preserve"> 3. Once the products have been added, the total value for the shopping cart is refreshed.</v>
      </c>
      <c r="U956" s="122" t="str">
        <v/>
      </c>
      <c r="V956" s="42"/>
      <c r="W956" s="42"/>
      <c r="X956" s="42"/>
      <c r="Y956" s="42"/>
      <c r="Z956" s="42"/>
      <c r="AA956" s="42"/>
      <c r="AB956" s="42"/>
    </row>
    <row r="957" spans="1:28" x14ac:dyDescent="0.25">
      <c r="A957" s="42" t="str">
        <v>1.17.10</v>
      </c>
      <c r="B957" s="121" t="str">
        <v>17.10 Add all wish-list products to shopping cart</v>
      </c>
      <c r="C957" s="41">
        <v>3</v>
      </c>
      <c r="D957" s="41" t="str">
        <v>R</v>
      </c>
      <c r="E957" s="117" t="str">
        <f t="shared" si="0"/>
        <v>R</v>
      </c>
      <c r="F957" s="41" t="str">
        <v/>
      </c>
      <c r="G957" s="41" t="str">
        <v/>
      </c>
      <c r="H957" s="117">
        <f t="shared" si="1"/>
        <v>0</v>
      </c>
      <c r="I957" s="117">
        <f t="shared" si="2"/>
        <v>17</v>
      </c>
      <c r="J957" s="117">
        <f t="shared" si="3"/>
        <v>17.100000000000016</v>
      </c>
      <c r="K957" s="117" t="str">
        <f t="shared" si="4"/>
        <v>BR</v>
      </c>
      <c r="L957" s="42" t="str">
        <v>BR1710</v>
      </c>
      <c r="M957" s="121" t="str">
        <v/>
      </c>
      <c r="N957" s="121" t="str">
        <v/>
      </c>
      <c r="O957" s="121" t="str">
        <v>BR1710</v>
      </c>
      <c r="P957" s="121" t="str">
        <v>Add all wish-list products to shopping cart</v>
      </c>
      <c r="Q957" s="121" t="str">
        <v/>
      </c>
      <c r="R957" s="121" t="str">
        <v/>
      </c>
      <c r="S957" s="121" t="str">
        <v/>
      </c>
      <c r="T957" s="119" t="str">
        <f>IF($C957&lt;4,IF($C957=3,T958,IF($C957=2,T$1,"")),Q957&amp;R957&amp;IF(LEN(S957)=0,"",Preferences!$C$2&amp;S957)&amp;IF(J958=J957,IF(LEN(R957&amp;S957)=0,"","
")&amp;T958,""))</f>
        <v xml:space="preserve"> 1. When selecting the add all from wish-list option:
 2. The user is prompted to confirm to add all wish-list products to the shopping cart.
	• The number of products in the wish-list list is included.
 3. Once the products have been added, the total value for the shopping cart is refreshed.</v>
      </c>
      <c r="U957" s="122" t="str">
        <v/>
      </c>
      <c r="V957" s="42"/>
      <c r="W957" s="42"/>
      <c r="X957" s="42"/>
      <c r="Y957" s="42"/>
      <c r="Z957" s="42"/>
      <c r="AA957" s="42"/>
      <c r="AB957" s="42"/>
    </row>
    <row r="958" spans="1:28" x14ac:dyDescent="0.25">
      <c r="A958" s="42" t="str">
        <v>1.17.10.1</v>
      </c>
      <c r="B958" s="121" t="str">
        <v>When selecting the add all from wish-list option:</v>
      </c>
      <c r="C958" s="41">
        <v>4</v>
      </c>
      <c r="D958" s="41" t="str">
        <v>RD</v>
      </c>
      <c r="E958" s="117" t="str">
        <f t="shared" si="0"/>
        <v>RD</v>
      </c>
      <c r="F958" s="41" t="str">
        <v/>
      </c>
      <c r="G958" s="41" t="str">
        <v/>
      </c>
      <c r="H958" s="117">
        <f t="shared" si="1"/>
        <v>0</v>
      </c>
      <c r="I958" s="117">
        <f t="shared" si="2"/>
        <v>17</v>
      </c>
      <c r="J958" s="117">
        <f t="shared" si="3"/>
        <v>17.100000000000016</v>
      </c>
      <c r="K958" s="117" t="str">
        <f t="shared" si="4"/>
        <v>BR</v>
      </c>
      <c r="L958" s="42" t="str">
        <v>BR1710</v>
      </c>
      <c r="M958" s="121" t="str">
        <v/>
      </c>
      <c r="N958" s="121" t="str">
        <v/>
      </c>
      <c r="O958" s="121" t="str">
        <v/>
      </c>
      <c r="P958" s="121" t="str">
        <v/>
      </c>
      <c r="Q958" s="121" t="str">
        <v xml:space="preserve"> 1. </v>
      </c>
      <c r="R958" s="121" t="str">
        <v>When selecting the add all from wish-list option:</v>
      </c>
      <c r="S958" s="121" t="str">
        <v/>
      </c>
      <c r="T958" s="119" t="str">
        <f>IF($C958&lt;4,IF($C958=3,T959,IF($C958=2,T$1,"")),Q958&amp;R958&amp;IF(LEN(S958)=0,"",Preferences!$C$2&amp;S958)&amp;IF(J959=J958,IF(LEN(R958&amp;S958)=0,"","
")&amp;T959,""))</f>
        <v xml:space="preserve"> 1. When selecting the add all from wish-list option:
 2. The user is prompted to confirm to add all wish-list products to the shopping cart.
	• The number of products in the wish-list list is included.
 3. Once the products have been added, the total value for the shopping cart is refreshed.</v>
      </c>
      <c r="U958" s="122" t="str">
        <v/>
      </c>
      <c r="V958" s="42"/>
      <c r="W958" s="42"/>
      <c r="X958" s="42"/>
      <c r="Y958" s="42"/>
      <c r="Z958" s="42"/>
      <c r="AA958" s="42"/>
      <c r="AB958" s="42"/>
    </row>
    <row r="959" spans="1:28" x14ac:dyDescent="0.25">
      <c r="A959" s="42" t="str">
        <v>1.17.10.2</v>
      </c>
      <c r="B959" s="121" t="str">
        <v>The user is prompted to confirm to add all wish-list products to the shopping cart.</v>
      </c>
      <c r="C959" s="41">
        <v>4</v>
      </c>
      <c r="D959" s="41" t="str">
        <v>RD</v>
      </c>
      <c r="E959" s="117" t="str">
        <f t="shared" si="0"/>
        <v>RD</v>
      </c>
      <c r="F959" s="41" t="str">
        <v/>
      </c>
      <c r="G959" s="41" t="str">
        <v/>
      </c>
      <c r="H959" s="117">
        <f t="shared" si="1"/>
        <v>0</v>
      </c>
      <c r="I959" s="117">
        <f t="shared" si="2"/>
        <v>17</v>
      </c>
      <c r="J959" s="117">
        <f t="shared" si="3"/>
        <v>17.100000000000016</v>
      </c>
      <c r="K959" s="117" t="str">
        <f t="shared" si="4"/>
        <v>BR</v>
      </c>
      <c r="L959" s="42" t="str">
        <v>BR1710</v>
      </c>
      <c r="M959" s="121" t="str">
        <v/>
      </c>
      <c r="N959" s="121" t="str">
        <v/>
      </c>
      <c r="O959" s="121" t="str">
        <v/>
      </c>
      <c r="P959" s="121" t="str">
        <v/>
      </c>
      <c r="Q959" s="121" t="str">
        <v xml:space="preserve"> 2. </v>
      </c>
      <c r="R959" s="121" t="str">
        <v>The user is prompted to confirm to add all wish-list products to the shopping cart.</v>
      </c>
      <c r="S959" s="121" t="str">
        <v/>
      </c>
      <c r="T959" s="119" t="str">
        <f>IF($C959&lt;4,IF($C959=3,T960,IF($C959=2,T$1,"")),Q959&amp;R959&amp;IF(LEN(S959)=0,"",Preferences!$C$2&amp;S959)&amp;IF(J960=J959,IF(LEN(R959&amp;S959)=0,"","
")&amp;T960,""))</f>
        <v xml:space="preserve"> 2. The user is prompted to confirm to add all wish-list products to the shopping cart.
	• The number of products in the wish-list list is included.
 3. Once the products have been added, the total value for the shopping cart is refreshed.</v>
      </c>
      <c r="U959" s="122" t="str">
        <v/>
      </c>
      <c r="V959" s="42"/>
      <c r="W959" s="42"/>
      <c r="X959" s="42"/>
      <c r="Y959" s="42"/>
      <c r="Z959" s="42"/>
      <c r="AA959" s="42"/>
      <c r="AB959" s="42"/>
    </row>
    <row r="960" spans="1:28" x14ac:dyDescent="0.25">
      <c r="A960" s="42" t="str">
        <v>1.17.10.2.1</v>
      </c>
      <c r="B960" s="121" t="str">
        <v>The number of products in the wish-list list is included.</v>
      </c>
      <c r="C960" s="41">
        <v>5</v>
      </c>
      <c r="D960" s="41" t="str">
        <v>RL</v>
      </c>
      <c r="E960" s="117" t="str">
        <f t="shared" si="0"/>
        <v>RL</v>
      </c>
      <c r="F960" s="41" t="str">
        <v/>
      </c>
      <c r="G960" s="41" t="str">
        <v/>
      </c>
      <c r="H960" s="117">
        <f t="shared" si="1"/>
        <v>0</v>
      </c>
      <c r="I960" s="117">
        <f t="shared" si="2"/>
        <v>17</v>
      </c>
      <c r="J960" s="117">
        <f t="shared" si="3"/>
        <v>17.100000000000016</v>
      </c>
      <c r="K960" s="117" t="str">
        <f t="shared" si="4"/>
        <v>BR</v>
      </c>
      <c r="L960" s="42" t="str">
        <v>BR1710</v>
      </c>
      <c r="M960" s="121" t="str">
        <v/>
      </c>
      <c r="N960" s="121" t="str">
        <v/>
      </c>
      <c r="O960" s="121" t="str">
        <v/>
      </c>
      <c r="P960" s="121" t="str">
        <v/>
      </c>
      <c r="Q960" s="121" t="str">
        <v/>
      </c>
      <c r="R960" s="121" t="str">
        <v/>
      </c>
      <c r="S960" s="121" t="str">
        <v>The number of products in the wish-list list is included.</v>
      </c>
      <c r="T960" s="119" t="str">
        <f>IF($C960&lt;4,IF($C960=3,T961,IF($C960=2,T$1,"")),Q960&amp;R960&amp;IF(LEN(S960)=0,"",Preferences!$C$2&amp;S960)&amp;IF(J961=J960,IF(LEN(R960&amp;S960)=0,"","
")&amp;T961,""))</f>
        <v xml:space="preserve">	• The number of products in the wish-list list is included.
 3. Once the products have been added, the total value for the shopping cart is refreshed.</v>
      </c>
      <c r="U960" s="122" t="str">
        <v/>
      </c>
      <c r="V960" s="42"/>
      <c r="W960" s="42"/>
      <c r="X960" s="42"/>
      <c r="Y960" s="42"/>
      <c r="Z960" s="42"/>
      <c r="AA960" s="42"/>
      <c r="AB960" s="42"/>
    </row>
    <row r="961" spans="1:28" x14ac:dyDescent="0.25">
      <c r="A961" s="42" t="str">
        <v>1.17.10.3</v>
      </c>
      <c r="B961" s="121" t="str">
        <v>Once the products have been added, the total value for the shopping cart is refreshed.</v>
      </c>
      <c r="C961" s="41">
        <v>4</v>
      </c>
      <c r="D961" s="41" t="str">
        <v>RD</v>
      </c>
      <c r="E961" s="117" t="str">
        <f t="shared" si="0"/>
        <v>RD</v>
      </c>
      <c r="F961" s="41" t="str">
        <v/>
      </c>
      <c r="G961" s="41" t="str">
        <v/>
      </c>
      <c r="H961" s="117">
        <f t="shared" si="1"/>
        <v>0</v>
      </c>
      <c r="I961" s="117">
        <f t="shared" si="2"/>
        <v>17</v>
      </c>
      <c r="J961" s="117">
        <f t="shared" si="3"/>
        <v>17.100000000000016</v>
      </c>
      <c r="K961" s="117" t="str">
        <f t="shared" si="4"/>
        <v>BR</v>
      </c>
      <c r="L961" s="42" t="str">
        <v>BR1710</v>
      </c>
      <c r="M961" s="121" t="str">
        <v/>
      </c>
      <c r="N961" s="121" t="str">
        <v/>
      </c>
      <c r="O961" s="121" t="str">
        <v/>
      </c>
      <c r="P961" s="121" t="str">
        <v/>
      </c>
      <c r="Q961" s="121" t="str">
        <v xml:space="preserve"> 3. </v>
      </c>
      <c r="R961" s="121" t="str">
        <v>Once the products have been added, the total value for the shopping cart is refreshed.</v>
      </c>
      <c r="S961" s="121" t="str">
        <v/>
      </c>
      <c r="T961" s="119" t="str">
        <f>IF($C961&lt;4,IF($C961=3,T962,IF($C961=2,T$1,"")),Q961&amp;R961&amp;IF(LEN(S961)=0,"",Preferences!$C$2&amp;S961)&amp;IF(J962=J961,IF(LEN(R961&amp;S961)=0,"","
")&amp;T962,""))</f>
        <v xml:space="preserve"> 3. Once the products have been added, the total value for the shopping cart is refreshed.</v>
      </c>
      <c r="U961" s="122" t="str">
        <v/>
      </c>
      <c r="V961" s="42"/>
      <c r="W961" s="42"/>
      <c r="X961" s="42"/>
      <c r="Y961" s="42"/>
      <c r="Z961" s="42"/>
      <c r="AA961" s="42"/>
      <c r="AB961" s="42"/>
    </row>
    <row r="962" spans="1:28" x14ac:dyDescent="0.25">
      <c r="A962" s="42" t="str">
        <v>1.17.11</v>
      </c>
      <c r="B962" s="121" t="str">
        <v>17.11 View favourites</v>
      </c>
      <c r="C962" s="41">
        <v>3</v>
      </c>
      <c r="D962" s="41" t="str">
        <v>R</v>
      </c>
      <c r="E962" s="117" t="str">
        <f t="shared" si="0"/>
        <v>R</v>
      </c>
      <c r="F962" s="41" t="str">
        <v/>
      </c>
      <c r="G962" s="41" t="str">
        <v/>
      </c>
      <c r="H962" s="117">
        <f t="shared" si="1"/>
        <v>0</v>
      </c>
      <c r="I962" s="117">
        <f t="shared" si="2"/>
        <v>17</v>
      </c>
      <c r="J962" s="117">
        <f t="shared" si="3"/>
        <v>17.110000000000017</v>
      </c>
      <c r="K962" s="117" t="str">
        <f t="shared" si="4"/>
        <v>BR</v>
      </c>
      <c r="L962" s="42" t="str">
        <v>BR1711</v>
      </c>
      <c r="M962" s="121" t="str">
        <v/>
      </c>
      <c r="N962" s="121" t="str">
        <v/>
      </c>
      <c r="O962" s="121" t="str">
        <v>BR1711</v>
      </c>
      <c r="P962" s="121" t="str">
        <v>View favourites</v>
      </c>
      <c r="Q962" s="121" t="str">
        <v/>
      </c>
      <c r="R962" s="121" t="str">
        <v/>
      </c>
      <c r="S962" s="121" t="str">
        <v/>
      </c>
      <c r="T962" s="119" t="str">
        <f>IF($C962&lt;4,IF($C962=3,T963,IF($C962=2,T$1,"")),Q962&amp;R962&amp;IF(LEN(S962)=0,"",Preferences!$C$2&amp;S962)&amp;IF(J963=J962,IF(LEN(R962&amp;S962)=0,"","
")&amp;T963,""))</f>
        <v xml:space="preserve"> 1. The user is redirected to their favourites list.
 2. Refer to the Maintain favourite product list requirements in the Customer Profile section.</v>
      </c>
      <c r="U962" s="122" t="str">
        <v/>
      </c>
      <c r="V962" s="42"/>
      <c r="W962" s="42"/>
      <c r="X962" s="42"/>
      <c r="Y962" s="42"/>
      <c r="Z962" s="42"/>
      <c r="AA962" s="42"/>
      <c r="AB962" s="42"/>
    </row>
    <row r="963" spans="1:28" x14ac:dyDescent="0.25">
      <c r="A963" s="42" t="str">
        <v>1.17.11.1</v>
      </c>
      <c r="B963" s="121" t="str">
        <v>The user is redirected to their favourites list.</v>
      </c>
      <c r="C963" s="41">
        <v>4</v>
      </c>
      <c r="D963" s="41" t="str">
        <v>RD</v>
      </c>
      <c r="E963" s="117" t="str">
        <f t="shared" si="0"/>
        <v>RD</v>
      </c>
      <c r="F963" s="41" t="str">
        <v/>
      </c>
      <c r="G963" s="41" t="str">
        <v/>
      </c>
      <c r="H963" s="117">
        <f t="shared" si="1"/>
        <v>0</v>
      </c>
      <c r="I963" s="117">
        <f t="shared" si="2"/>
        <v>17</v>
      </c>
      <c r="J963" s="117">
        <f t="shared" si="3"/>
        <v>17.110000000000017</v>
      </c>
      <c r="K963" s="117" t="str">
        <f t="shared" si="4"/>
        <v>BR</v>
      </c>
      <c r="L963" s="42" t="str">
        <v>BR1711</v>
      </c>
      <c r="M963" s="121" t="str">
        <v/>
      </c>
      <c r="N963" s="121" t="str">
        <v/>
      </c>
      <c r="O963" s="121" t="str">
        <v/>
      </c>
      <c r="P963" s="121" t="str">
        <v/>
      </c>
      <c r="Q963" s="121" t="str">
        <v xml:space="preserve"> 1. </v>
      </c>
      <c r="R963" s="121" t="str">
        <v>The user is redirected to their favourites list.</v>
      </c>
      <c r="S963" s="121" t="str">
        <v/>
      </c>
      <c r="T963" s="119" t="str">
        <f>IF($C963&lt;4,IF($C963=3,T964,IF($C963=2,T$1,"")),Q963&amp;R963&amp;IF(LEN(S963)=0,"",Preferences!$C$2&amp;S963)&amp;IF(J964=J963,IF(LEN(R963&amp;S963)=0,"","
")&amp;T964,""))</f>
        <v xml:space="preserve"> 1. The user is redirected to their favourites list.
 2. Refer to the Maintain favourite product list requirements in the Customer Profile section.</v>
      </c>
      <c r="U963" s="122" t="str">
        <v/>
      </c>
      <c r="V963" s="42"/>
      <c r="W963" s="42"/>
      <c r="X963" s="42"/>
      <c r="Y963" s="42"/>
      <c r="Z963" s="42"/>
      <c r="AA963" s="42"/>
      <c r="AB963" s="42"/>
    </row>
    <row r="964" spans="1:28" x14ac:dyDescent="0.25">
      <c r="A964" s="42" t="str">
        <v>1.17.11.2</v>
      </c>
      <c r="B964" s="121" t="str">
        <v>Refer to the Maintain favourite product list requirements in the Customer Profile section.</v>
      </c>
      <c r="C964" s="41">
        <v>4</v>
      </c>
      <c r="D964" s="41" t="str">
        <v>RD</v>
      </c>
      <c r="E964" s="117" t="str">
        <f t="shared" si="0"/>
        <v>RD</v>
      </c>
      <c r="F964" s="41" t="str">
        <v/>
      </c>
      <c r="G964" s="41" t="str">
        <v/>
      </c>
      <c r="H964" s="117">
        <f t="shared" si="1"/>
        <v>0</v>
      </c>
      <c r="I964" s="117">
        <f t="shared" si="2"/>
        <v>17</v>
      </c>
      <c r="J964" s="117">
        <f t="shared" si="3"/>
        <v>17.110000000000017</v>
      </c>
      <c r="K964" s="117" t="str">
        <f t="shared" si="4"/>
        <v>BR</v>
      </c>
      <c r="L964" s="42" t="str">
        <v>BR1711</v>
      </c>
      <c r="M964" s="121" t="str">
        <v/>
      </c>
      <c r="N964" s="121" t="str">
        <v/>
      </c>
      <c r="O964" s="121" t="str">
        <v/>
      </c>
      <c r="P964" s="121" t="str">
        <v/>
      </c>
      <c r="Q964" s="121" t="str">
        <v xml:space="preserve"> 2. </v>
      </c>
      <c r="R964" s="121" t="str">
        <v>Refer to the Maintain favourite product list requirements in the Customer Profile section.</v>
      </c>
      <c r="S964" s="121" t="str">
        <v/>
      </c>
      <c r="T964" s="119" t="str">
        <f>IF($C964&lt;4,IF($C964=3,T965,IF($C964=2,T$1,"")),Q964&amp;R964&amp;IF(LEN(S964)=0,"",Preferences!$C$2&amp;S964)&amp;IF(J965=J964,IF(LEN(R964&amp;S964)=0,"","
")&amp;T965,""))</f>
        <v xml:space="preserve"> 2. Refer to the Maintain favourite product list requirements in the Customer Profile section.</v>
      </c>
      <c r="U964" s="122" t="str">
        <v/>
      </c>
      <c r="V964" s="42"/>
      <c r="W964" s="42"/>
      <c r="X964" s="42"/>
      <c r="Y964" s="42"/>
      <c r="Z964" s="42"/>
      <c r="AA964" s="42"/>
      <c r="AB964" s="42"/>
    </row>
    <row r="965" spans="1:28" x14ac:dyDescent="0.25">
      <c r="A965" s="42" t="str">
        <v>1.17.12</v>
      </c>
      <c r="B965" s="121" t="str">
        <v>17.12 View wish-list</v>
      </c>
      <c r="C965" s="41">
        <v>3</v>
      </c>
      <c r="D965" s="41" t="str">
        <v>R</v>
      </c>
      <c r="E965" s="117" t="str">
        <f t="shared" si="0"/>
        <v>R</v>
      </c>
      <c r="F965" s="41" t="str">
        <v/>
      </c>
      <c r="G965" s="41" t="str">
        <v/>
      </c>
      <c r="H965" s="117">
        <f t="shared" si="1"/>
        <v>0</v>
      </c>
      <c r="I965" s="117">
        <f t="shared" si="2"/>
        <v>17</v>
      </c>
      <c r="J965" s="117">
        <f t="shared" si="3"/>
        <v>17.120000000000019</v>
      </c>
      <c r="K965" s="117" t="str">
        <f t="shared" si="4"/>
        <v>BR</v>
      </c>
      <c r="L965" s="42" t="str">
        <v>BR1712</v>
      </c>
      <c r="M965" s="121" t="str">
        <v/>
      </c>
      <c r="N965" s="121" t="str">
        <v/>
      </c>
      <c r="O965" s="121" t="str">
        <v>BR1712</v>
      </c>
      <c r="P965" s="121" t="str">
        <v>View wish-list</v>
      </c>
      <c r="Q965" s="121" t="str">
        <v/>
      </c>
      <c r="R965" s="121" t="str">
        <v/>
      </c>
      <c r="S965" s="121" t="str">
        <v/>
      </c>
      <c r="T965" s="119" t="str">
        <f>IF($C965&lt;4,IF($C965=3,T966,IF($C965=2,T$1,"")),Q965&amp;R965&amp;IF(LEN(S965)=0,"",Preferences!$C$2&amp;S965)&amp;IF(J966=J965,IF(LEN(R965&amp;S965)=0,"","
")&amp;T966,""))</f>
        <v xml:space="preserve"> 1. The user is redirected to the wish-list.
 2. Refer to the Maintain products wish-list requirements in the Customer Profile section.</v>
      </c>
      <c r="U965" s="122" t="str">
        <v/>
      </c>
      <c r="V965" s="42"/>
      <c r="W965" s="42"/>
      <c r="X965" s="42"/>
      <c r="Y965" s="42"/>
      <c r="Z965" s="42"/>
      <c r="AA965" s="42"/>
      <c r="AB965" s="42"/>
    </row>
    <row r="966" spans="1:28" x14ac:dyDescent="0.25">
      <c r="A966" s="42" t="str">
        <v>1.17.12.1</v>
      </c>
      <c r="B966" s="121" t="str">
        <v>The user is redirected to the wish-list.</v>
      </c>
      <c r="C966" s="41">
        <v>4</v>
      </c>
      <c r="D966" s="41" t="str">
        <v>RD</v>
      </c>
      <c r="E966" s="117" t="str">
        <f t="shared" si="0"/>
        <v>RD</v>
      </c>
      <c r="F966" s="41" t="str">
        <v/>
      </c>
      <c r="G966" s="41" t="str">
        <v/>
      </c>
      <c r="H966" s="117">
        <f t="shared" si="1"/>
        <v>0</v>
      </c>
      <c r="I966" s="117">
        <f t="shared" si="2"/>
        <v>17</v>
      </c>
      <c r="J966" s="117">
        <f t="shared" si="3"/>
        <v>17.120000000000019</v>
      </c>
      <c r="K966" s="117" t="str">
        <f t="shared" si="4"/>
        <v>BR</v>
      </c>
      <c r="L966" s="42" t="str">
        <v>BR1712</v>
      </c>
      <c r="M966" s="121" t="str">
        <v/>
      </c>
      <c r="N966" s="121" t="str">
        <v/>
      </c>
      <c r="O966" s="121" t="str">
        <v/>
      </c>
      <c r="P966" s="121" t="str">
        <v/>
      </c>
      <c r="Q966" s="121" t="str">
        <v xml:space="preserve"> 1. </v>
      </c>
      <c r="R966" s="121" t="str">
        <v>The user is redirected to the wish-list.</v>
      </c>
      <c r="S966" s="121" t="str">
        <v/>
      </c>
      <c r="T966" s="119" t="str">
        <f>IF($C966&lt;4,IF($C966=3,T967,IF($C966=2,T$1,"")),Q966&amp;R966&amp;IF(LEN(S966)=0,"",Preferences!$C$2&amp;S966)&amp;IF(J967=J966,IF(LEN(R966&amp;S966)=0,"","
")&amp;T967,""))</f>
        <v xml:space="preserve"> 1. The user is redirected to the wish-list.
 2. Refer to the Maintain products wish-list requirements in the Customer Profile section.</v>
      </c>
      <c r="U966" s="122" t="str">
        <v/>
      </c>
      <c r="V966" s="42"/>
      <c r="W966" s="42"/>
      <c r="X966" s="42"/>
      <c r="Y966" s="42"/>
      <c r="Z966" s="42"/>
      <c r="AA966" s="42"/>
      <c r="AB966" s="42"/>
    </row>
    <row r="967" spans="1:28" x14ac:dyDescent="0.25">
      <c r="A967" s="42" t="str">
        <v>1.17.12.2</v>
      </c>
      <c r="B967" s="121" t="str">
        <v>Refer to the Maintain products wish-list requirements in the Customer Profile section.</v>
      </c>
      <c r="C967" s="41">
        <v>4</v>
      </c>
      <c r="D967" s="41" t="str">
        <v>RD</v>
      </c>
      <c r="E967" s="117" t="str">
        <f t="shared" si="0"/>
        <v>RD</v>
      </c>
      <c r="F967" s="41" t="str">
        <v/>
      </c>
      <c r="G967" s="41" t="str">
        <v/>
      </c>
      <c r="H967" s="117">
        <f t="shared" si="1"/>
        <v>0</v>
      </c>
      <c r="I967" s="117">
        <f t="shared" si="2"/>
        <v>17</v>
      </c>
      <c r="J967" s="117">
        <f t="shared" si="3"/>
        <v>17.120000000000019</v>
      </c>
      <c r="K967" s="117" t="str">
        <f t="shared" si="4"/>
        <v>BR</v>
      </c>
      <c r="L967" s="42" t="str">
        <v>BR1712</v>
      </c>
      <c r="M967" s="121" t="str">
        <v/>
      </c>
      <c r="N967" s="121" t="str">
        <v/>
      </c>
      <c r="O967" s="121" t="str">
        <v/>
      </c>
      <c r="P967" s="121" t="str">
        <v/>
      </c>
      <c r="Q967" s="121" t="str">
        <v xml:space="preserve"> 2. </v>
      </c>
      <c r="R967" s="121" t="str">
        <v>Refer to the Maintain products wish-list requirements in the Customer Profile section.</v>
      </c>
      <c r="S967" s="121" t="str">
        <v/>
      </c>
      <c r="T967" s="119" t="str">
        <f>IF($C967&lt;4,IF($C967=3,T968,IF($C967=2,T$1,"")),Q967&amp;R967&amp;IF(LEN(S967)=0,"",Preferences!$C$2&amp;S967)&amp;IF(J968=J967,IF(LEN(R967&amp;S967)=0,"","
")&amp;T968,""))</f>
        <v xml:space="preserve"> 2. Refer to the Maintain products wish-list requirements in the Customer Profile section.</v>
      </c>
      <c r="U967" s="122" t="str">
        <v/>
      </c>
      <c r="V967" s="42"/>
      <c r="W967" s="42"/>
      <c r="X967" s="42"/>
      <c r="Y967" s="42"/>
      <c r="Z967" s="42"/>
      <c r="AA967" s="42"/>
      <c r="AB967" s="42"/>
    </row>
    <row r="968" spans="1:28" x14ac:dyDescent="0.25">
      <c r="A968" s="42" t="str">
        <v>1.17.13</v>
      </c>
      <c r="B968" s="121" t="str">
        <v>17.13 Proceed to checkout</v>
      </c>
      <c r="C968" s="41">
        <v>3</v>
      </c>
      <c r="D968" s="41" t="str">
        <v>R</v>
      </c>
      <c r="E968" s="117" t="str">
        <f t="shared" si="0"/>
        <v>R</v>
      </c>
      <c r="F968" s="41" t="str">
        <v/>
      </c>
      <c r="G968" s="41" t="str">
        <v/>
      </c>
      <c r="H968" s="117">
        <f t="shared" si="1"/>
        <v>0</v>
      </c>
      <c r="I968" s="117">
        <f t="shared" si="2"/>
        <v>17</v>
      </c>
      <c r="J968" s="117">
        <f t="shared" si="3"/>
        <v>17.13000000000002</v>
      </c>
      <c r="K968" s="117" t="str">
        <f t="shared" si="4"/>
        <v>BR</v>
      </c>
      <c r="L968" s="42" t="str">
        <v>BR1713</v>
      </c>
      <c r="M968" s="121" t="str">
        <v/>
      </c>
      <c r="N968" s="121" t="str">
        <v/>
      </c>
      <c r="O968" s="121" t="str">
        <v>BR1713</v>
      </c>
      <c r="P968" s="121" t="str">
        <v>Proceed to checkout</v>
      </c>
      <c r="Q968" s="121" t="str">
        <v/>
      </c>
      <c r="R968" s="121" t="str">
        <v/>
      </c>
      <c r="S968" s="121" t="str">
        <v/>
      </c>
      <c r="T968" s="119" t="str">
        <f>IF($C968&lt;4,IF($C968=3,T969,IF($C968=2,T$1,"")),Q968&amp;R968&amp;IF(LEN(S968)=0,"",Preferences!$C$2&amp;S968)&amp;IF(J969=J968,IF(LEN(R968&amp;S968)=0,"","
")&amp;T969,""))</f>
        <v xml:space="preserve"> 1. The user is prompted to confirm their order for checkout.
 2. Once confirmed, the user is redirected to the shopping cart checkout step (see Confirm/Update Customer Delivery requirements in the Checkout and Pay section).</v>
      </c>
      <c r="U968" s="122" t="str">
        <v/>
      </c>
      <c r="V968" s="42"/>
      <c r="W968" s="42"/>
      <c r="X968" s="42"/>
      <c r="Y968" s="42"/>
      <c r="Z968" s="42"/>
      <c r="AA968" s="42"/>
      <c r="AB968" s="42"/>
    </row>
    <row r="969" spans="1:28" x14ac:dyDescent="0.25">
      <c r="A969" s="42" t="str">
        <v>1.17.13.1</v>
      </c>
      <c r="B969" s="121" t="str">
        <v>The user is prompted to confirm their order for checkout.</v>
      </c>
      <c r="C969" s="41">
        <v>4</v>
      </c>
      <c r="D969" s="41" t="str">
        <v>RD</v>
      </c>
      <c r="E969" s="117" t="str">
        <f t="shared" si="0"/>
        <v>RD</v>
      </c>
      <c r="F969" s="41" t="str">
        <v/>
      </c>
      <c r="G969" s="41" t="str">
        <v/>
      </c>
      <c r="H969" s="117">
        <f t="shared" si="1"/>
        <v>0</v>
      </c>
      <c r="I969" s="117">
        <f t="shared" si="2"/>
        <v>17</v>
      </c>
      <c r="J969" s="117">
        <f t="shared" si="3"/>
        <v>17.13000000000002</v>
      </c>
      <c r="K969" s="117" t="str">
        <f t="shared" si="4"/>
        <v>BR</v>
      </c>
      <c r="L969" s="42" t="str">
        <v>BR1713</v>
      </c>
      <c r="M969" s="121" t="str">
        <v/>
      </c>
      <c r="N969" s="121" t="str">
        <v/>
      </c>
      <c r="O969" s="121" t="str">
        <v/>
      </c>
      <c r="P969" s="121" t="str">
        <v/>
      </c>
      <c r="Q969" s="121" t="str">
        <v xml:space="preserve"> 1. </v>
      </c>
      <c r="R969" s="121" t="str">
        <v>The user is prompted to confirm their order for checkout.</v>
      </c>
      <c r="S969" s="121" t="str">
        <v/>
      </c>
      <c r="T969" s="119" t="str">
        <f>IF($C969&lt;4,IF($C969=3,T970,IF($C969=2,T$1,"")),Q969&amp;R969&amp;IF(LEN(S969)=0,"",Preferences!$C$2&amp;S969)&amp;IF(J970=J969,IF(LEN(R969&amp;S969)=0,"","
")&amp;T970,""))</f>
        <v xml:space="preserve"> 1. The user is prompted to confirm their order for checkout.
 2. Once confirmed, the user is redirected to the shopping cart checkout step (see Confirm/Update Customer Delivery requirements in the Checkout and Pay section).</v>
      </c>
      <c r="U969" s="122" t="str">
        <v/>
      </c>
      <c r="V969" s="42"/>
      <c r="W969" s="42"/>
      <c r="X969" s="42"/>
      <c r="Y969" s="42"/>
      <c r="Z969" s="42"/>
      <c r="AA969" s="42"/>
      <c r="AB969" s="42"/>
    </row>
    <row r="970" spans="1:28" x14ac:dyDescent="0.25">
      <c r="A970" s="42" t="str">
        <v>1.17.13.2</v>
      </c>
      <c r="B970" s="121" t="str">
        <v>Once confirmed, the user is redirected to the shopping cart checkout step (see Confirm/Update Customer Delivery requirements in the Checkout and Pay section).</v>
      </c>
      <c r="C970" s="41">
        <v>4</v>
      </c>
      <c r="D970" s="41" t="str">
        <v>RD</v>
      </c>
      <c r="E970" s="117" t="str">
        <f t="shared" si="0"/>
        <v>RD</v>
      </c>
      <c r="F970" s="41" t="str">
        <v/>
      </c>
      <c r="G970" s="41" t="str">
        <v/>
      </c>
      <c r="H970" s="117">
        <f t="shared" si="1"/>
        <v>0</v>
      </c>
      <c r="I970" s="117">
        <f t="shared" si="2"/>
        <v>17</v>
      </c>
      <c r="J970" s="117">
        <f t="shared" si="3"/>
        <v>17.13000000000002</v>
      </c>
      <c r="K970" s="117" t="str">
        <f t="shared" si="4"/>
        <v>BR</v>
      </c>
      <c r="L970" s="42" t="str">
        <v>BR1713</v>
      </c>
      <c r="M970" s="121" t="str">
        <v/>
      </c>
      <c r="N970" s="121" t="str">
        <v/>
      </c>
      <c r="O970" s="121" t="str">
        <v/>
      </c>
      <c r="P970" s="121" t="str">
        <v/>
      </c>
      <c r="Q970" s="121" t="str">
        <v xml:space="preserve"> 2. </v>
      </c>
      <c r="R970" s="121" t="str">
        <v>Once confirmed, the user is redirected to the shopping cart checkout step (see Confirm/Update Customer Delivery requirements in the Checkout and Pay section).</v>
      </c>
      <c r="S970" s="121" t="str">
        <v/>
      </c>
      <c r="T970" s="119" t="str">
        <f>IF($C970&lt;4,IF($C970=3,T971,IF($C970=2,T$1,"")),Q970&amp;R970&amp;IF(LEN(S970)=0,"",Preferences!$C$2&amp;S970)&amp;IF(J971=J970,IF(LEN(R970&amp;S970)=0,"","
")&amp;T971,""))</f>
        <v xml:space="preserve"> 2. Once confirmed, the user is redirected to the shopping cart checkout step (see Confirm/Update Customer Delivery requirements in the Checkout and Pay section).</v>
      </c>
      <c r="U970" s="122" t="str">
        <v/>
      </c>
      <c r="V970" s="42"/>
      <c r="W970" s="42"/>
      <c r="X970" s="42"/>
      <c r="Y970" s="42"/>
      <c r="Z970" s="42"/>
      <c r="AA970" s="42"/>
      <c r="AB970" s="42"/>
    </row>
    <row r="971" spans="1:28" x14ac:dyDescent="0.25">
      <c r="A971" s="42" t="str">
        <v>1.17.14</v>
      </c>
      <c r="B971" s="121" t="str">
        <v>17.14 Abandon shopping cart</v>
      </c>
      <c r="C971" s="41">
        <v>3</v>
      </c>
      <c r="D971" s="41" t="str">
        <v>R</v>
      </c>
      <c r="E971" s="117" t="str">
        <f t="shared" si="0"/>
        <v>R</v>
      </c>
      <c r="F971" s="41" t="str">
        <v/>
      </c>
      <c r="G971" s="41" t="str">
        <v/>
      </c>
      <c r="H971" s="117">
        <f t="shared" si="1"/>
        <v>0</v>
      </c>
      <c r="I971" s="117">
        <f t="shared" si="2"/>
        <v>17</v>
      </c>
      <c r="J971" s="117">
        <f t="shared" si="3"/>
        <v>17.140000000000022</v>
      </c>
      <c r="K971" s="117" t="str">
        <f t="shared" si="4"/>
        <v>BR</v>
      </c>
      <c r="L971" s="42" t="str">
        <v>BR1714</v>
      </c>
      <c r="M971" s="121" t="str">
        <v/>
      </c>
      <c r="N971" s="121" t="str">
        <v/>
      </c>
      <c r="O971" s="121" t="str">
        <v>BR1714</v>
      </c>
      <c r="P971" s="121" t="str">
        <v>Abandon shopping cart</v>
      </c>
      <c r="Q971" s="121" t="str">
        <v/>
      </c>
      <c r="R971" s="121" t="str">
        <v/>
      </c>
      <c r="S971" s="121" t="str">
        <v/>
      </c>
      <c r="T971" s="119" t="str">
        <f>IF($C971&lt;4,IF($C971=3,T972,IF($C971=2,T$1,"")),Q971&amp;R971&amp;IF(LEN(S971)=0,"",Preferences!$C$2&amp;S971)&amp;IF(J972=J971,IF(LEN(R971&amp;S971)=0,"","
")&amp;T972,""))</f>
        <v xml:space="preserve"> 1. A user abandons their shopping cart when they:
	• Leave the online shop (close browser tab; prompted to return to unprocessed shopping cart)
	• Logout from the online shop (prompted to return to unprocessed shopping cart)
 2. A user shopping cart is abandoned when the user session expires.</v>
      </c>
      <c r="U971" s="122" t="str">
        <v/>
      </c>
      <c r="V971" s="42"/>
      <c r="W971" s="42"/>
      <c r="X971" s="42"/>
      <c r="Y971" s="42"/>
      <c r="Z971" s="42"/>
      <c r="AA971" s="42"/>
      <c r="AB971" s="42"/>
    </row>
    <row r="972" spans="1:28" x14ac:dyDescent="0.25">
      <c r="A972" s="42" t="str">
        <v>1.17.14.1</v>
      </c>
      <c r="B972" s="121" t="str">
        <v>A user abandons their shopping cart when they:</v>
      </c>
      <c r="C972" s="41">
        <v>4</v>
      </c>
      <c r="D972" s="41" t="str">
        <v>RD</v>
      </c>
      <c r="E972" s="117" t="str">
        <f t="shared" si="0"/>
        <v>RD</v>
      </c>
      <c r="F972" s="41" t="str">
        <v/>
      </c>
      <c r="G972" s="41" t="str">
        <v/>
      </c>
      <c r="H972" s="117">
        <f t="shared" si="1"/>
        <v>0</v>
      </c>
      <c r="I972" s="117">
        <f t="shared" si="2"/>
        <v>17</v>
      </c>
      <c r="J972" s="117">
        <f t="shared" si="3"/>
        <v>17.140000000000022</v>
      </c>
      <c r="K972" s="117" t="str">
        <f t="shared" si="4"/>
        <v>BR</v>
      </c>
      <c r="L972" s="42" t="str">
        <v>BR1714</v>
      </c>
      <c r="M972" s="121" t="str">
        <v/>
      </c>
      <c r="N972" s="121" t="str">
        <v/>
      </c>
      <c r="O972" s="121" t="str">
        <v/>
      </c>
      <c r="P972" s="121" t="str">
        <v/>
      </c>
      <c r="Q972" s="121" t="str">
        <v xml:space="preserve"> 1. </v>
      </c>
      <c r="R972" s="121" t="str">
        <v>A user abandons their shopping cart when they:</v>
      </c>
      <c r="S972" s="121" t="str">
        <v/>
      </c>
      <c r="T972" s="119" t="str">
        <f>IF($C972&lt;4,IF($C972=3,T973,IF($C972=2,T$1,"")),Q972&amp;R972&amp;IF(LEN(S972)=0,"",Preferences!$C$2&amp;S972)&amp;IF(J973=J972,IF(LEN(R972&amp;S972)=0,"","
")&amp;T973,""))</f>
        <v xml:space="preserve"> 1. A user abandons their shopping cart when they:
	• Leave the online shop (close browser tab; prompted to return to unprocessed shopping cart)
	• Logout from the online shop (prompted to return to unprocessed shopping cart)
 2. A user shopping cart is abandoned when the user session expires.</v>
      </c>
      <c r="U972" s="122" t="str">
        <v/>
      </c>
      <c r="V972" s="42"/>
      <c r="W972" s="42"/>
      <c r="X972" s="42"/>
      <c r="Y972" s="42"/>
      <c r="Z972" s="42"/>
      <c r="AA972" s="42"/>
      <c r="AB972" s="42"/>
    </row>
    <row r="973" spans="1:28" x14ac:dyDescent="0.25">
      <c r="A973" s="42" t="str">
        <v>1.17.14.1.1</v>
      </c>
      <c r="B973" s="121" t="str">
        <v>Leave the online shop (close browser tab; prompted to return to unprocessed shopping cart)</v>
      </c>
      <c r="C973" s="41">
        <v>5</v>
      </c>
      <c r="D973" s="41" t="str">
        <v>RL</v>
      </c>
      <c r="E973" s="117" t="str">
        <f t="shared" si="0"/>
        <v>RL</v>
      </c>
      <c r="F973" s="41" t="str">
        <v/>
      </c>
      <c r="G973" s="41" t="str">
        <v/>
      </c>
      <c r="H973" s="117">
        <f t="shared" si="1"/>
        <v>0</v>
      </c>
      <c r="I973" s="117">
        <f t="shared" si="2"/>
        <v>17</v>
      </c>
      <c r="J973" s="117">
        <f t="shared" si="3"/>
        <v>17.140000000000022</v>
      </c>
      <c r="K973" s="117" t="str">
        <f t="shared" si="4"/>
        <v>BR</v>
      </c>
      <c r="L973" s="42" t="str">
        <v>BR1714</v>
      </c>
      <c r="M973" s="121" t="str">
        <v/>
      </c>
      <c r="N973" s="121" t="str">
        <v/>
      </c>
      <c r="O973" s="121" t="str">
        <v/>
      </c>
      <c r="P973" s="121" t="str">
        <v/>
      </c>
      <c r="Q973" s="121" t="str">
        <v/>
      </c>
      <c r="R973" s="121" t="str">
        <v/>
      </c>
      <c r="S973" s="121" t="str">
        <v>Leave the online shop (close browser tab; prompted to return to unprocessed shopping cart)</v>
      </c>
      <c r="T973" s="119" t="str">
        <f>IF($C973&lt;4,IF($C973=3,T974,IF($C973=2,T$1,"")),Q973&amp;R973&amp;IF(LEN(S973)=0,"",Preferences!$C$2&amp;S973)&amp;IF(J974=J973,IF(LEN(R973&amp;S973)=0,"","
")&amp;T974,""))</f>
        <v xml:space="preserve">	• Leave the online shop (close browser tab; prompted to return to unprocessed shopping cart)
	• Logout from the online shop (prompted to return to unprocessed shopping cart)
 2. A user shopping cart is abandoned when the user session expires.</v>
      </c>
      <c r="U973" s="122" t="str">
        <v/>
      </c>
      <c r="V973" s="42"/>
      <c r="W973" s="42"/>
      <c r="X973" s="42"/>
      <c r="Y973" s="42"/>
      <c r="Z973" s="42"/>
      <c r="AA973" s="42"/>
      <c r="AB973" s="42"/>
    </row>
    <row r="974" spans="1:28" x14ac:dyDescent="0.25">
      <c r="A974" s="42" t="str">
        <v>1.17.14.1.2</v>
      </c>
      <c r="B974" s="121" t="str">
        <v>Logout from the online shop (prompted to return to unprocessed shopping cart)</v>
      </c>
      <c r="C974" s="41">
        <v>5</v>
      </c>
      <c r="D974" s="41" t="str">
        <v>RL</v>
      </c>
      <c r="E974" s="117" t="str">
        <f t="shared" si="0"/>
        <v>RL</v>
      </c>
      <c r="F974" s="41" t="str">
        <v/>
      </c>
      <c r="G974" s="41" t="str">
        <v/>
      </c>
      <c r="H974" s="117">
        <f t="shared" si="1"/>
        <v>0</v>
      </c>
      <c r="I974" s="117">
        <f t="shared" si="2"/>
        <v>17</v>
      </c>
      <c r="J974" s="117">
        <f t="shared" si="3"/>
        <v>17.140000000000022</v>
      </c>
      <c r="K974" s="117" t="str">
        <f t="shared" si="4"/>
        <v>BR</v>
      </c>
      <c r="L974" s="42" t="str">
        <v>BR1714</v>
      </c>
      <c r="M974" s="121" t="str">
        <v/>
      </c>
      <c r="N974" s="121" t="str">
        <v/>
      </c>
      <c r="O974" s="121" t="str">
        <v/>
      </c>
      <c r="P974" s="121" t="str">
        <v/>
      </c>
      <c r="Q974" s="121" t="str">
        <v/>
      </c>
      <c r="R974" s="121" t="str">
        <v/>
      </c>
      <c r="S974" s="121" t="str">
        <v>Logout from the online shop (prompted to return to unprocessed shopping cart)</v>
      </c>
      <c r="T974" s="119" t="str">
        <f>IF($C974&lt;4,IF($C974=3,T975,IF($C974=2,T$1,"")),Q974&amp;R974&amp;IF(LEN(S974)=0,"",Preferences!$C$2&amp;S974)&amp;IF(J975=J974,IF(LEN(R974&amp;S974)=0,"","
")&amp;T975,""))</f>
        <v xml:space="preserve">	• Logout from the online shop (prompted to return to unprocessed shopping cart)
 2. A user shopping cart is abandoned when the user session expires.</v>
      </c>
      <c r="U974" s="122" t="str">
        <v/>
      </c>
      <c r="V974" s="42"/>
      <c r="W974" s="42"/>
      <c r="X974" s="42"/>
      <c r="Y974" s="42"/>
      <c r="Z974" s="42"/>
      <c r="AA974" s="42"/>
      <c r="AB974" s="42"/>
    </row>
    <row r="975" spans="1:28" x14ac:dyDescent="0.25">
      <c r="A975" s="42" t="str">
        <v>1.17.14.2</v>
      </c>
      <c r="B975" s="121" t="str">
        <v>A user shopping cart is abandoned when the user session expires.</v>
      </c>
      <c r="C975" s="41">
        <v>4</v>
      </c>
      <c r="D975" s="41" t="str">
        <v>RD</v>
      </c>
      <c r="E975" s="117" t="str">
        <f t="shared" si="0"/>
        <v>RD</v>
      </c>
      <c r="F975" s="41" t="str">
        <v/>
      </c>
      <c r="G975" s="41" t="str">
        <v/>
      </c>
      <c r="H975" s="117">
        <f t="shared" si="1"/>
        <v>0</v>
      </c>
      <c r="I975" s="117">
        <f t="shared" si="2"/>
        <v>17</v>
      </c>
      <c r="J975" s="117">
        <f t="shared" si="3"/>
        <v>17.140000000000022</v>
      </c>
      <c r="K975" s="117" t="str">
        <f t="shared" si="4"/>
        <v>BR</v>
      </c>
      <c r="L975" s="42" t="str">
        <v>BR1714</v>
      </c>
      <c r="M975" s="121" t="str">
        <v/>
      </c>
      <c r="N975" s="121" t="str">
        <v/>
      </c>
      <c r="O975" s="121" t="str">
        <v/>
      </c>
      <c r="P975" s="121" t="str">
        <v/>
      </c>
      <c r="Q975" s="121" t="str">
        <v xml:space="preserve"> 2. </v>
      </c>
      <c r="R975" s="121" t="str">
        <v>A user shopping cart is abandoned when the user session expires.</v>
      </c>
      <c r="S975" s="121" t="str">
        <v/>
      </c>
      <c r="T975" s="119" t="str">
        <f>IF($C975&lt;4,IF($C975=3,T976,IF($C975=2,T$1,"")),Q975&amp;R975&amp;IF(LEN(S975)=0,"",Preferences!$C$2&amp;S975)&amp;IF(J976=J975,IF(LEN(R975&amp;S975)=0,"","
")&amp;T976,""))</f>
        <v xml:space="preserve"> 2. A user shopping cart is abandoned when the user session expires.</v>
      </c>
      <c r="U975" s="122" t="str">
        <v/>
      </c>
      <c r="V975" s="42"/>
      <c r="W975" s="42"/>
      <c r="X975" s="42"/>
      <c r="Y975" s="42"/>
      <c r="Z975" s="42"/>
      <c r="AA975" s="42"/>
      <c r="AB975" s="42"/>
    </row>
    <row r="976" spans="1:28" x14ac:dyDescent="0.25">
      <c r="A976" s="42" t="str">
        <v>1.18</v>
      </c>
      <c r="B976" s="121" t="str">
        <v>18 Checkout and Pay</v>
      </c>
      <c r="C976" s="41">
        <v>2</v>
      </c>
      <c r="D976" s="41" t="str">
        <v>RS</v>
      </c>
      <c r="E976" s="117" t="str">
        <f t="shared" si="0"/>
        <v>RS</v>
      </c>
      <c r="F976" s="41" t="str">
        <v/>
      </c>
      <c r="G976" s="41" t="str">
        <v/>
      </c>
      <c r="H976" s="117">
        <f t="shared" si="1"/>
        <v>0</v>
      </c>
      <c r="I976" s="117">
        <f t="shared" si="2"/>
        <v>18</v>
      </c>
      <c r="J976" s="117">
        <f t="shared" si="3"/>
        <v>18</v>
      </c>
      <c r="K976" s="117" t="str">
        <f t="shared" si="4"/>
        <v>BR</v>
      </c>
      <c r="L976" s="42">
        <v>18</v>
      </c>
      <c r="M976" s="121" t="str">
        <v/>
      </c>
      <c r="N976" s="121" t="str">
        <v>18 Checkout and Pay</v>
      </c>
      <c r="O976" s="121" t="str">
        <v>ReqID</v>
      </c>
      <c r="P976" s="121" t="e">
        <v>#N/A</v>
      </c>
      <c r="Q976" s="121" t="str">
        <v/>
      </c>
      <c r="R976" s="121" t="str">
        <v/>
      </c>
      <c r="S976" s="121" t="str">
        <v/>
      </c>
      <c r="T976" s="119" t="str">
        <f>IF($C976&lt;4,IF($C976=3,T977,IF($C976=2,T$1,"")),Q976&amp;R976&amp;IF(LEN(S976)=0,"",Preferences!$C$2&amp;S976)&amp;IF(J977=J976,IF(LEN(R976&amp;S976)=0,"","
")&amp;T977,""))</f>
        <v>Description</v>
      </c>
      <c r="U976" s="122" t="str">
        <v/>
      </c>
      <c r="V976" s="42"/>
      <c r="W976" s="42"/>
      <c r="X976" s="42"/>
      <c r="Y976" s="42"/>
      <c r="Z976" s="42"/>
      <c r="AA976" s="42"/>
      <c r="AB976" s="42"/>
    </row>
    <row r="977" spans="1:28" x14ac:dyDescent="0.25">
      <c r="A977" s="42" t="str">
        <v>1.18.1</v>
      </c>
      <c r="B977" s="121" t="str">
        <v>18.1 Confirm/Update Customer Delivery</v>
      </c>
      <c r="C977" s="41">
        <v>3</v>
      </c>
      <c r="D977" s="41" t="str">
        <v>R</v>
      </c>
      <c r="E977" s="117" t="str">
        <f t="shared" si="0"/>
        <v>R</v>
      </c>
      <c r="F977" s="41" t="str">
        <v/>
      </c>
      <c r="G977" s="41" t="str">
        <v/>
      </c>
      <c r="H977" s="117">
        <f t="shared" si="1"/>
        <v>0</v>
      </c>
      <c r="I977" s="117">
        <f t="shared" si="2"/>
        <v>18</v>
      </c>
      <c r="J977" s="117">
        <f t="shared" si="3"/>
        <v>18.010000000000002</v>
      </c>
      <c r="K977" s="117" t="str">
        <f t="shared" si="4"/>
        <v>BR</v>
      </c>
      <c r="L977" s="42" t="str">
        <v>BR1801</v>
      </c>
      <c r="M977" s="121" t="str">
        <v/>
      </c>
      <c r="N977" s="121" t="str">
        <v/>
      </c>
      <c r="O977" s="121" t="str">
        <v>BR1801</v>
      </c>
      <c r="P977" s="121" t="str">
        <v>Confirm/Update Customer Delivery</v>
      </c>
      <c r="Q977" s="121" t="str">
        <v/>
      </c>
      <c r="R977" s="121" t="str">
        <v/>
      </c>
      <c r="S977" s="121" t="str">
        <v/>
      </c>
      <c r="T977" s="119" t="str">
        <f>IF($C977&lt;4,IF($C977=3,T978,IF($C977=2,T$1,"")),Q977&amp;R977&amp;IF(LEN(S977)=0,"",Preferences!$C$2&amp;S977)&amp;IF(J978=J977,IF(LEN(R977&amp;S977)=0,"","
")&amp;T978,""))</f>
        <v xml:space="preserve"> 1. The customer's configured delivery addresses are listed with the following details for each address:
	• Address Name
	• Address (combine street, suburb, town, postal code)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77" s="122" t="str">
        <v/>
      </c>
      <c r="V977" s="42"/>
      <c r="W977" s="42"/>
      <c r="X977" s="42"/>
      <c r="Y977" s="42"/>
      <c r="Z977" s="42"/>
      <c r="AA977" s="42"/>
      <c r="AB977" s="42"/>
    </row>
    <row r="978" spans="1:28" x14ac:dyDescent="0.25">
      <c r="A978" s="42" t="str">
        <v>1.18.1.1</v>
      </c>
      <c r="B978" s="121" t="str">
        <v>The customer's configured delivery addresses are listed with the following details for each address:</v>
      </c>
      <c r="C978" s="41">
        <v>4</v>
      </c>
      <c r="D978" s="41" t="str">
        <v>RD</v>
      </c>
      <c r="E978" s="117" t="str">
        <f t="shared" si="0"/>
        <v>RD</v>
      </c>
      <c r="F978" s="41" t="str">
        <v/>
      </c>
      <c r="G978" s="41" t="str">
        <v/>
      </c>
      <c r="H978" s="117">
        <f t="shared" si="1"/>
        <v>0</v>
      </c>
      <c r="I978" s="117">
        <f t="shared" si="2"/>
        <v>18</v>
      </c>
      <c r="J978" s="117">
        <f t="shared" si="3"/>
        <v>18.010000000000002</v>
      </c>
      <c r="K978" s="117" t="str">
        <f t="shared" si="4"/>
        <v>BR</v>
      </c>
      <c r="L978" s="42" t="str">
        <v>BR1801</v>
      </c>
      <c r="M978" s="121" t="str">
        <v/>
      </c>
      <c r="N978" s="121" t="str">
        <v/>
      </c>
      <c r="O978" s="121" t="str">
        <v/>
      </c>
      <c r="P978" s="121" t="str">
        <v/>
      </c>
      <c r="Q978" s="121" t="str">
        <v xml:space="preserve"> 1. </v>
      </c>
      <c r="R978" s="121" t="str">
        <v>The customer's configured delivery addresses are listed with the following details for each address:</v>
      </c>
      <c r="S978" s="121" t="str">
        <v/>
      </c>
      <c r="T978" s="119" t="str">
        <f>IF($C978&lt;4,IF($C978=3,T979,IF($C978=2,T$1,"")),Q978&amp;R978&amp;IF(LEN(S978)=0,"",Preferences!$C$2&amp;S978)&amp;IF(J979=J978,IF(LEN(R978&amp;S978)=0,"","
")&amp;T979,""))</f>
        <v xml:space="preserve"> 1. The customer's configured delivery addresses are listed with the following details for each address:
	• Address Name
	• Address (combine street, suburb, town, postal code)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78" s="122" t="str">
        <v/>
      </c>
      <c r="V978" s="42"/>
      <c r="W978" s="42"/>
      <c r="X978" s="42"/>
      <c r="Y978" s="42"/>
      <c r="Z978" s="42"/>
      <c r="AA978" s="42"/>
      <c r="AB978" s="42"/>
    </row>
    <row r="979" spans="1:28" x14ac:dyDescent="0.25">
      <c r="A979" s="42" t="str">
        <v>1.18.1.1.1</v>
      </c>
      <c r="B979" s="121" t="str">
        <v>Address Name</v>
      </c>
      <c r="C979" s="41">
        <v>5</v>
      </c>
      <c r="D979" s="41" t="str">
        <v>RL</v>
      </c>
      <c r="E979" s="117" t="str">
        <f t="shared" si="0"/>
        <v>RL</v>
      </c>
      <c r="F979" s="41" t="str">
        <v/>
      </c>
      <c r="G979" s="41" t="str">
        <v/>
      </c>
      <c r="H979" s="117">
        <f t="shared" si="1"/>
        <v>0</v>
      </c>
      <c r="I979" s="117">
        <f t="shared" si="2"/>
        <v>18</v>
      </c>
      <c r="J979" s="117">
        <f t="shared" si="3"/>
        <v>18.010000000000002</v>
      </c>
      <c r="K979" s="117" t="str">
        <f t="shared" si="4"/>
        <v>BR</v>
      </c>
      <c r="L979" s="42" t="str">
        <v>BR1801</v>
      </c>
      <c r="M979" s="121" t="str">
        <v/>
      </c>
      <c r="N979" s="121" t="str">
        <v/>
      </c>
      <c r="O979" s="121" t="str">
        <v/>
      </c>
      <c r="P979" s="121" t="str">
        <v/>
      </c>
      <c r="Q979" s="121" t="str">
        <v/>
      </c>
      <c r="R979" s="121" t="str">
        <v/>
      </c>
      <c r="S979" s="121" t="str">
        <v>Address Name</v>
      </c>
      <c r="T979" s="119" t="str">
        <f>IF($C979&lt;4,IF($C979=3,T980,IF($C979=2,T$1,"")),Q979&amp;R979&amp;IF(LEN(S979)=0,"",Preferences!$C$2&amp;S979)&amp;IF(J980=J979,IF(LEN(R979&amp;S979)=0,"","
")&amp;T980,""))</f>
        <v xml:space="preserve">	• Address Name
	• Address (combine street, suburb, town, postal code)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79" s="122" t="str">
        <v/>
      </c>
      <c r="V979" s="42"/>
      <c r="W979" s="42"/>
      <c r="X979" s="42"/>
      <c r="Y979" s="42"/>
      <c r="Z979" s="42"/>
      <c r="AA979" s="42"/>
      <c r="AB979" s="42"/>
    </row>
    <row r="980" spans="1:28" x14ac:dyDescent="0.25">
      <c r="A980" s="42" t="str">
        <v>1.18.1.1.2</v>
      </c>
      <c r="B980" s="121" t="str">
        <v>Address (combine street, suburb, town, postal code)</v>
      </c>
      <c r="C980" s="41">
        <v>5</v>
      </c>
      <c r="D980" s="41" t="str">
        <v>RL</v>
      </c>
      <c r="E980" s="117" t="str">
        <f t="shared" si="0"/>
        <v>RL</v>
      </c>
      <c r="F980" s="41" t="str">
        <v/>
      </c>
      <c r="G980" s="41" t="str">
        <v/>
      </c>
      <c r="H980" s="117">
        <f t="shared" si="1"/>
        <v>0</v>
      </c>
      <c r="I980" s="117">
        <f t="shared" si="2"/>
        <v>18</v>
      </c>
      <c r="J980" s="117">
        <f t="shared" si="3"/>
        <v>18.010000000000002</v>
      </c>
      <c r="K980" s="117" t="str">
        <f t="shared" si="4"/>
        <v>BR</v>
      </c>
      <c r="L980" s="42" t="str">
        <v>BR1801</v>
      </c>
      <c r="M980" s="121" t="str">
        <v/>
      </c>
      <c r="N980" s="121" t="str">
        <v/>
      </c>
      <c r="O980" s="121" t="str">
        <v/>
      </c>
      <c r="P980" s="121" t="str">
        <v/>
      </c>
      <c r="Q980" s="121" t="str">
        <v/>
      </c>
      <c r="R980" s="121" t="str">
        <v/>
      </c>
      <c r="S980" s="121" t="str">
        <v>Address (combine street, suburb, town, postal code)</v>
      </c>
      <c r="T980" s="119" t="str">
        <f>IF($C980&lt;4,IF($C980=3,T981,IF($C980=2,T$1,"")),Q980&amp;R980&amp;IF(LEN(S980)=0,"",Preferences!$C$2&amp;S980)&amp;IF(J981=J980,IF(LEN(R980&amp;S980)=0,"","
")&amp;T981,""))</f>
        <v xml:space="preserve">	• Address (combine street, suburb, town, postal code)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0" s="122" t="str">
        <v/>
      </c>
      <c r="V980" s="42"/>
      <c r="W980" s="42"/>
      <c r="X980" s="42"/>
      <c r="Y980" s="42"/>
      <c r="Z980" s="42"/>
      <c r="AA980" s="42"/>
      <c r="AB980" s="42"/>
    </row>
    <row r="981" spans="1:28" x14ac:dyDescent="0.25">
      <c r="A981" s="42" t="str">
        <v>1.18.1.1.3</v>
      </c>
      <c r="B981" s="121" t="str">
        <v>Contact person</v>
      </c>
      <c r="C981" s="41">
        <v>5</v>
      </c>
      <c r="D981" s="41" t="str">
        <v>RL</v>
      </c>
      <c r="E981" s="117" t="str">
        <f t="shared" si="0"/>
        <v>RL</v>
      </c>
      <c r="F981" s="41" t="str">
        <v/>
      </c>
      <c r="G981" s="41" t="str">
        <v/>
      </c>
      <c r="H981" s="117">
        <f t="shared" si="1"/>
        <v>0</v>
      </c>
      <c r="I981" s="117">
        <f t="shared" si="2"/>
        <v>18</v>
      </c>
      <c r="J981" s="117">
        <f t="shared" si="3"/>
        <v>18.010000000000002</v>
      </c>
      <c r="K981" s="117" t="str">
        <f t="shared" si="4"/>
        <v>BR</v>
      </c>
      <c r="L981" s="42" t="str">
        <v>BR1801</v>
      </c>
      <c r="M981" s="121" t="str">
        <v/>
      </c>
      <c r="N981" s="121" t="str">
        <v/>
      </c>
      <c r="O981" s="121" t="str">
        <v/>
      </c>
      <c r="P981" s="121" t="str">
        <v/>
      </c>
      <c r="Q981" s="121" t="str">
        <v/>
      </c>
      <c r="R981" s="121" t="str">
        <v/>
      </c>
      <c r="S981" s="121" t="str">
        <v>Contact person</v>
      </c>
      <c r="T981" s="119" t="str">
        <f>IF($C981&lt;4,IF($C981=3,T982,IF($C981=2,T$1,"")),Q981&amp;R981&amp;IF(LEN(S981)=0,"",Preferences!$C$2&amp;S981)&amp;IF(J982=J981,IF(LEN(R981&amp;S981)=0,"","
")&amp;T982,""))</f>
        <v xml:space="preserve">	• Contact person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1" s="122" t="str">
        <v/>
      </c>
      <c r="V981" s="42"/>
      <c r="W981" s="42"/>
      <c r="X981" s="42"/>
      <c r="Y981" s="42"/>
      <c r="Z981" s="42"/>
      <c r="AA981" s="42"/>
      <c r="AB981" s="42"/>
    </row>
    <row r="982" spans="1:28" x14ac:dyDescent="0.25">
      <c r="A982" s="42" t="str">
        <v>1.18.1.1.4</v>
      </c>
      <c r="B982" s="121" t="str">
        <v>last-used date (if available)</v>
      </c>
      <c r="C982" s="41">
        <v>5</v>
      </c>
      <c r="D982" s="41" t="str">
        <v>RL</v>
      </c>
      <c r="E982" s="117" t="str">
        <f t="shared" si="0"/>
        <v>RL</v>
      </c>
      <c r="F982" s="41" t="str">
        <v/>
      </c>
      <c r="G982" s="41" t="str">
        <v/>
      </c>
      <c r="H982" s="117">
        <f t="shared" si="1"/>
        <v>0</v>
      </c>
      <c r="I982" s="117">
        <f t="shared" si="2"/>
        <v>18</v>
      </c>
      <c r="J982" s="117">
        <f t="shared" si="3"/>
        <v>18.010000000000002</v>
      </c>
      <c r="K982" s="117" t="str">
        <f t="shared" si="4"/>
        <v>BR</v>
      </c>
      <c r="L982" s="42" t="str">
        <v>BR1801</v>
      </c>
      <c r="M982" s="121" t="str">
        <v/>
      </c>
      <c r="N982" s="121" t="str">
        <v/>
      </c>
      <c r="O982" s="121" t="str">
        <v/>
      </c>
      <c r="P982" s="121" t="str">
        <v/>
      </c>
      <c r="Q982" s="121" t="str">
        <v/>
      </c>
      <c r="R982" s="121" t="str">
        <v/>
      </c>
      <c r="S982" s="121" t="str">
        <v>last-used date (if available)</v>
      </c>
      <c r="T982" s="119" t="str">
        <f>IF($C982&lt;4,IF($C982=3,T983,IF($C982=2,T$1,"")),Q982&amp;R982&amp;IF(LEN(S982)=0,"",Preferences!$C$2&amp;S982)&amp;IF(J983=J982,IF(LEN(R982&amp;S982)=0,"","
")&amp;T983,""))</f>
        <v xml:space="preserve">	• last-used date (if available)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2" s="122" t="str">
        <v/>
      </c>
      <c r="V982" s="42"/>
      <c r="W982" s="42"/>
      <c r="X982" s="42"/>
      <c r="Y982" s="42"/>
      <c r="Z982" s="42"/>
      <c r="AA982" s="42"/>
      <c r="AB982" s="42"/>
    </row>
    <row r="983" spans="1:28" x14ac:dyDescent="0.25">
      <c r="A983" s="42" t="str">
        <v>1.18.1.2</v>
      </c>
      <c r="B983" s="121" t="str">
        <v>The cost of delivery is indicated as a line item.</v>
      </c>
      <c r="C983" s="41">
        <v>4</v>
      </c>
      <c r="D983" s="41" t="str">
        <v>RD</v>
      </c>
      <c r="E983" s="117" t="str">
        <f t="shared" si="0"/>
        <v>RD</v>
      </c>
      <c r="F983" s="41" t="str">
        <v/>
      </c>
      <c r="G983" s="41" t="str">
        <v/>
      </c>
      <c r="H983" s="117">
        <f t="shared" si="1"/>
        <v>0</v>
      </c>
      <c r="I983" s="117">
        <f t="shared" si="2"/>
        <v>18</v>
      </c>
      <c r="J983" s="117">
        <f t="shared" si="3"/>
        <v>18.010000000000002</v>
      </c>
      <c r="K983" s="117" t="str">
        <f t="shared" si="4"/>
        <v>BR</v>
      </c>
      <c r="L983" s="42" t="str">
        <v>BR1801</v>
      </c>
      <c r="M983" s="121" t="str">
        <v/>
      </c>
      <c r="N983" s="121" t="str">
        <v/>
      </c>
      <c r="O983" s="121" t="str">
        <v/>
      </c>
      <c r="P983" s="121" t="str">
        <v/>
      </c>
      <c r="Q983" s="121" t="str">
        <v xml:space="preserve"> 2. </v>
      </c>
      <c r="R983" s="121" t="str">
        <v>The cost of delivery is indicated as a line item.</v>
      </c>
      <c r="S983" s="121" t="str">
        <v/>
      </c>
      <c r="T983" s="119" t="str">
        <f>IF($C983&lt;4,IF($C983=3,T984,IF($C983=2,T$1,"")),Q983&amp;R983&amp;IF(LEN(S983)=0,"",Preferences!$C$2&amp;S983)&amp;IF(J984=J983,IF(LEN(R983&amp;S983)=0,"","
")&amp;T984,""))</f>
        <v xml:space="preserve"> 2. The cost of delivery is indicated as a line item.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3" s="122" t="str">
        <v/>
      </c>
      <c r="V983" s="42"/>
      <c r="W983" s="42"/>
      <c r="X983" s="42"/>
      <c r="Y983" s="42"/>
      <c r="Z983" s="42"/>
      <c r="AA983" s="42"/>
      <c r="AB983" s="42"/>
    </row>
    <row r="984" spans="1:28" x14ac:dyDescent="0.25">
      <c r="A984" s="42" t="str">
        <v>1.18.1.3</v>
      </c>
      <c r="B984" s="121" t="str">
        <v>Calculate a delivery cost, based on the following:</v>
      </c>
      <c r="C984" s="41">
        <v>4</v>
      </c>
      <c r="D984" s="41" t="str">
        <v>RD</v>
      </c>
      <c r="E984" s="117" t="str">
        <f t="shared" si="0"/>
        <v>RD</v>
      </c>
      <c r="F984" s="41" t="str">
        <v/>
      </c>
      <c r="G984" s="41" t="str">
        <v/>
      </c>
      <c r="H984" s="117">
        <f t="shared" si="1"/>
        <v>0</v>
      </c>
      <c r="I984" s="117">
        <f t="shared" si="2"/>
        <v>18</v>
      </c>
      <c r="J984" s="117">
        <f t="shared" si="3"/>
        <v>18.010000000000002</v>
      </c>
      <c r="K984" s="117" t="str">
        <f t="shared" si="4"/>
        <v>BR</v>
      </c>
      <c r="L984" s="42" t="str">
        <v>BR1801</v>
      </c>
      <c r="M984" s="121" t="str">
        <v/>
      </c>
      <c r="N984" s="121" t="str">
        <v/>
      </c>
      <c r="O984" s="121" t="str">
        <v/>
      </c>
      <c r="P984" s="121" t="str">
        <v/>
      </c>
      <c r="Q984" s="121" t="str">
        <v xml:space="preserve"> 3. </v>
      </c>
      <c r="R984" s="121" t="str">
        <v>Calculate a delivery cost, based on the following:</v>
      </c>
      <c r="S984" s="121" t="str">
        <v/>
      </c>
      <c r="T984" s="119" t="str">
        <f>IF($C984&lt;4,IF($C984=3,T985,IF($C984=2,T$1,"")),Q984&amp;R984&amp;IF(LEN(S984)=0,"",Preferences!$C$2&amp;S984)&amp;IF(J985=J984,IF(LEN(R984&amp;S984)=0,"","
")&amp;T985,""))</f>
        <v xml:space="preserve"> 3. Calculate a delivery cost, based on the following: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4" s="122" t="str">
        <v/>
      </c>
      <c r="V984" s="42"/>
      <c r="W984" s="42"/>
      <c r="X984" s="42"/>
      <c r="Y984" s="42"/>
      <c r="Z984" s="42"/>
      <c r="AA984" s="42"/>
      <c r="AB984" s="42"/>
    </row>
    <row r="985" spans="1:28" x14ac:dyDescent="0.25">
      <c r="A985" s="42" t="str">
        <v>1.18.1.3.1</v>
      </c>
      <c r="B985" s="121" t="str">
        <v>Value below a Minimum order value, zero above</v>
      </c>
      <c r="C985" s="41">
        <v>5</v>
      </c>
      <c r="D985" s="41" t="str">
        <v>RL</v>
      </c>
      <c r="E985" s="117" t="str">
        <f t="shared" si="0"/>
        <v>RL</v>
      </c>
      <c r="F985" s="41" t="str">
        <v/>
      </c>
      <c r="G985" s="41" t="str">
        <v/>
      </c>
      <c r="H985" s="117">
        <f t="shared" si="1"/>
        <v>0</v>
      </c>
      <c r="I985" s="117">
        <f t="shared" si="2"/>
        <v>18</v>
      </c>
      <c r="J985" s="117">
        <f t="shared" si="3"/>
        <v>18.010000000000002</v>
      </c>
      <c r="K985" s="117" t="str">
        <f t="shared" si="4"/>
        <v>BR</v>
      </c>
      <c r="L985" s="42" t="str">
        <v>BR1801</v>
      </c>
      <c r="M985" s="121" t="str">
        <v/>
      </c>
      <c r="N985" s="121" t="str">
        <v/>
      </c>
      <c r="O985" s="121" t="str">
        <v/>
      </c>
      <c r="P985" s="121" t="str">
        <v/>
      </c>
      <c r="Q985" s="121" t="str">
        <v/>
      </c>
      <c r="R985" s="121" t="str">
        <v/>
      </c>
      <c r="S985" s="121" t="str">
        <v>Value below a Minimum order value, zero above</v>
      </c>
      <c r="T985" s="119" t="str">
        <f>IF($C985&lt;4,IF($C985=3,T986,IF($C985=2,T$1,"")),Q985&amp;R985&amp;IF(LEN(S985)=0,"",Preferences!$C$2&amp;S985)&amp;IF(J986=J985,IF(LEN(R985&amp;S985)=0,"","
")&amp;T986,""))</f>
        <v xml:space="preserve">	• Value below a Minimum order value, zero above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5" s="122" t="str">
        <v/>
      </c>
      <c r="V985" s="42"/>
      <c r="W985" s="42"/>
      <c r="X985" s="42"/>
      <c r="Y985" s="42"/>
      <c r="Z985" s="42"/>
      <c r="AA985" s="42"/>
      <c r="AB985" s="42"/>
    </row>
    <row r="986" spans="1:28" x14ac:dyDescent="0.25">
      <c r="A986" s="42" t="str">
        <v>1.18.1.3.2</v>
      </c>
      <c r="B986" s="121" t="str">
        <v>Value calculated per Number of products, on a configurable scale</v>
      </c>
      <c r="C986" s="41">
        <v>5</v>
      </c>
      <c r="D986" s="41" t="str">
        <v>RL</v>
      </c>
      <c r="E986" s="117" t="str">
        <f t="shared" si="0"/>
        <v>RL</v>
      </c>
      <c r="F986" s="41" t="str">
        <v/>
      </c>
      <c r="G986" s="41" t="str">
        <v/>
      </c>
      <c r="H986" s="117">
        <f t="shared" si="1"/>
        <v>0</v>
      </c>
      <c r="I986" s="117">
        <f t="shared" si="2"/>
        <v>18</v>
      </c>
      <c r="J986" s="117">
        <f t="shared" si="3"/>
        <v>18.010000000000002</v>
      </c>
      <c r="K986" s="117" t="str">
        <f t="shared" si="4"/>
        <v>BR</v>
      </c>
      <c r="L986" s="42" t="str">
        <v>BR1801</v>
      </c>
      <c r="M986" s="121" t="str">
        <v/>
      </c>
      <c r="N986" s="121" t="str">
        <v/>
      </c>
      <c r="O986" s="121" t="str">
        <v/>
      </c>
      <c r="P986" s="121" t="str">
        <v/>
      </c>
      <c r="Q986" s="121" t="str">
        <v/>
      </c>
      <c r="R986" s="121" t="str">
        <v/>
      </c>
      <c r="S986" s="121" t="str">
        <v>Value calculated per Number of products, on a configurable scale</v>
      </c>
      <c r="T986" s="119" t="str">
        <f>IF($C986&lt;4,IF($C986=3,T987,IF($C986=2,T$1,"")),Q986&amp;R986&amp;IF(LEN(S986)=0,"",Preferences!$C$2&amp;S986)&amp;IF(J987=J986,IF(LEN(R986&amp;S986)=0,"","
")&amp;T987,""))</f>
        <v xml:space="preserve">	• Value calculated per Number of products, on a configurable scale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6" s="122" t="str">
        <v/>
      </c>
      <c r="V986" s="42"/>
      <c r="W986" s="42"/>
      <c r="X986" s="42"/>
      <c r="Y986" s="42"/>
      <c r="Z986" s="42"/>
      <c r="AA986" s="42"/>
      <c r="AB986" s="42"/>
    </row>
    <row r="987" spans="1:28" x14ac:dyDescent="0.25">
      <c r="A987" s="42" t="str">
        <v>1.18.1.3.3</v>
      </c>
      <c r="B987" s="121" t="str">
        <v>Value calculated based on estimated total dimensions &amp; weight (future)</v>
      </c>
      <c r="C987" s="41">
        <v>5</v>
      </c>
      <c r="D987" s="41" t="str">
        <v>RL</v>
      </c>
      <c r="E987" s="117" t="str">
        <f t="shared" si="0"/>
        <v>RL</v>
      </c>
      <c r="F987" s="41" t="str">
        <v/>
      </c>
      <c r="G987" s="41" t="str">
        <v/>
      </c>
      <c r="H987" s="117">
        <f t="shared" si="1"/>
        <v>0</v>
      </c>
      <c r="I987" s="117">
        <f t="shared" si="2"/>
        <v>18</v>
      </c>
      <c r="J987" s="117">
        <f t="shared" si="3"/>
        <v>18.010000000000002</v>
      </c>
      <c r="K987" s="117" t="str">
        <f t="shared" si="4"/>
        <v>BR</v>
      </c>
      <c r="L987" s="42" t="str">
        <v>BR1801</v>
      </c>
      <c r="M987" s="121" t="str">
        <v/>
      </c>
      <c r="N987" s="121" t="str">
        <v/>
      </c>
      <c r="O987" s="121" t="str">
        <v/>
      </c>
      <c r="P987" s="121" t="str">
        <v/>
      </c>
      <c r="Q987" s="121" t="str">
        <v/>
      </c>
      <c r="R987" s="121" t="str">
        <v/>
      </c>
      <c r="S987" s="121" t="str">
        <v>Value calculated based on estimated total dimensions &amp; weight (future)</v>
      </c>
      <c r="T987" s="119" t="str">
        <f>IF($C987&lt;4,IF($C987=3,T988,IF($C987=2,T$1,"")),Q987&amp;R987&amp;IF(LEN(S987)=0,"",Preferences!$C$2&amp;S987)&amp;IF(J988=J987,IF(LEN(R987&amp;S987)=0,"","
")&amp;T988,""))</f>
        <v xml:space="preserve">	• Value calculated based on estimated total dimensions &amp; weight (future)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7" s="122" t="str">
        <v/>
      </c>
      <c r="V987" s="42"/>
      <c r="W987" s="42"/>
      <c r="X987" s="42"/>
      <c r="Y987" s="42"/>
      <c r="Z987" s="42"/>
      <c r="AA987" s="42"/>
      <c r="AB987" s="42"/>
    </row>
    <row r="988" spans="1:28" x14ac:dyDescent="0.25">
      <c r="A988" s="42" t="str">
        <v>1.18.1.4</v>
      </c>
      <c r="B988" s="121" t="str">
        <v>The product search is not available during checkout.</v>
      </c>
      <c r="C988" s="41">
        <v>4</v>
      </c>
      <c r="D988" s="41" t="str">
        <v>RD</v>
      </c>
      <c r="E988" s="117" t="str">
        <f t="shared" si="0"/>
        <v>RD</v>
      </c>
      <c r="F988" s="41" t="str">
        <v/>
      </c>
      <c r="G988" s="41" t="str">
        <v/>
      </c>
      <c r="H988" s="117">
        <f t="shared" si="1"/>
        <v>0</v>
      </c>
      <c r="I988" s="117">
        <f t="shared" si="2"/>
        <v>18</v>
      </c>
      <c r="J988" s="117">
        <f t="shared" si="3"/>
        <v>18.010000000000002</v>
      </c>
      <c r="K988" s="117" t="str">
        <f t="shared" si="4"/>
        <v>BR</v>
      </c>
      <c r="L988" s="42" t="str">
        <v>BR1801</v>
      </c>
      <c r="M988" s="121" t="str">
        <v/>
      </c>
      <c r="N988" s="121" t="str">
        <v/>
      </c>
      <c r="O988" s="121" t="str">
        <v/>
      </c>
      <c r="P988" s="121" t="str">
        <v/>
      </c>
      <c r="Q988" s="121" t="str">
        <v xml:space="preserve"> 4. </v>
      </c>
      <c r="R988" s="121" t="str">
        <v>The product search is not available during checkout.</v>
      </c>
      <c r="S988" s="121" t="str">
        <v/>
      </c>
      <c r="T988" s="119" t="str">
        <f>IF($C988&lt;4,IF($C988=3,T989,IF($C988=2,T$1,"")),Q988&amp;R988&amp;IF(LEN(S988)=0,"",Preferences!$C$2&amp;S988)&amp;IF(J989=J988,IF(LEN(R988&amp;S988)=0,"","
")&amp;T989,""))</f>
        <v xml:space="preserve"> 4. The product search is not available during checkout.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8" s="122" t="str">
        <v/>
      </c>
      <c r="V988" s="42"/>
      <c r="W988" s="42"/>
      <c r="X988" s="42"/>
      <c r="Y988" s="42"/>
      <c r="Z988" s="42"/>
      <c r="AA988" s="42"/>
      <c r="AB988" s="42"/>
    </row>
    <row r="989" spans="1:28" x14ac:dyDescent="0.25">
      <c r="A989" s="42" t="str">
        <v>1.18.1.5</v>
      </c>
      <c r="B989" s="121" t="str">
        <v>A breadcrumb is shown, listing the stages of checkout, with the confirm delivery step highlighted.</v>
      </c>
      <c r="C989" s="41">
        <v>4</v>
      </c>
      <c r="D989" s="41" t="str">
        <v>RD</v>
      </c>
      <c r="E989" s="117" t="str">
        <f t="shared" si="0"/>
        <v>RD</v>
      </c>
      <c r="F989" s="41" t="str">
        <v/>
      </c>
      <c r="G989" s="41" t="str">
        <v/>
      </c>
      <c r="H989" s="117">
        <f t="shared" si="1"/>
        <v>0</v>
      </c>
      <c r="I989" s="117">
        <f t="shared" si="2"/>
        <v>18</v>
      </c>
      <c r="J989" s="117">
        <f t="shared" si="3"/>
        <v>18.010000000000002</v>
      </c>
      <c r="K989" s="117" t="str">
        <f t="shared" si="4"/>
        <v>BR</v>
      </c>
      <c r="L989" s="42" t="str">
        <v>BR1801</v>
      </c>
      <c r="M989" s="121" t="str">
        <v/>
      </c>
      <c r="N989" s="121" t="str">
        <v/>
      </c>
      <c r="O989" s="121" t="str">
        <v/>
      </c>
      <c r="P989" s="121" t="str">
        <v/>
      </c>
      <c r="Q989" s="121" t="str">
        <v xml:space="preserve"> 5. </v>
      </c>
      <c r="R989" s="121" t="str">
        <v>A breadcrumb is shown, listing the stages of checkout, with the confirm delivery step highlighted.</v>
      </c>
      <c r="S989" s="121" t="str">
        <v/>
      </c>
      <c r="T989" s="119" t="str">
        <f>IF($C989&lt;4,IF($C989=3,T990,IF($C989=2,T$1,"")),Q989&amp;R989&amp;IF(LEN(S989)=0,"",Preferences!$C$2&amp;S989)&amp;IF(J990=J989,IF(LEN(R989&amp;S989)=0,"","
")&amp;T990,""))</f>
        <v xml:space="preserve"> 5. A breadcrumb is shown, listing the stages of checkout, with the confirm delivery step highlighted.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89" s="122" t="str">
        <v/>
      </c>
      <c r="V989" s="42"/>
      <c r="W989" s="42"/>
      <c r="X989" s="42"/>
      <c r="Y989" s="42"/>
      <c r="Z989" s="42"/>
      <c r="AA989" s="42"/>
      <c r="AB989" s="42"/>
    </row>
    <row r="990" spans="1:28" x14ac:dyDescent="0.25">
      <c r="A990" s="42" t="str">
        <v>1.18.1.6</v>
      </c>
      <c r="B990" s="121" t="str">
        <v>The user is presented the following options:</v>
      </c>
      <c r="C990" s="41">
        <v>4</v>
      </c>
      <c r="D990" s="41" t="str">
        <v>RD</v>
      </c>
      <c r="E990" s="117" t="str">
        <f t="shared" si="0"/>
        <v>RD</v>
      </c>
      <c r="F990" s="41" t="str">
        <v/>
      </c>
      <c r="G990" s="41" t="str">
        <v/>
      </c>
      <c r="H990" s="117">
        <f t="shared" si="1"/>
        <v>0</v>
      </c>
      <c r="I990" s="117">
        <f t="shared" si="2"/>
        <v>18</v>
      </c>
      <c r="J990" s="117">
        <f t="shared" si="3"/>
        <v>18.010000000000002</v>
      </c>
      <c r="K990" s="117" t="str">
        <f t="shared" si="4"/>
        <v>BR</v>
      </c>
      <c r="L990" s="42" t="str">
        <v>BR1801</v>
      </c>
      <c r="M990" s="121" t="str">
        <v/>
      </c>
      <c r="N990" s="121" t="str">
        <v/>
      </c>
      <c r="O990" s="121" t="str">
        <v/>
      </c>
      <c r="P990" s="121" t="str">
        <v/>
      </c>
      <c r="Q990" s="121" t="str">
        <v xml:space="preserve"> 6. </v>
      </c>
      <c r="R990" s="121" t="str">
        <v>The user is presented the following options:</v>
      </c>
      <c r="S990" s="121" t="str">
        <v/>
      </c>
      <c r="T990" s="119" t="str">
        <f>IF($C990&lt;4,IF($C990=3,T991,IF($C990=2,T$1,"")),Q990&amp;R990&amp;IF(LEN(S990)=0,"",Preferences!$C$2&amp;S990)&amp;IF(J991=J990,IF(LEN(R990&amp;S990)=0,"","
")&amp;T991,""))</f>
        <v xml:space="preserve"> 6. The user is presented the following options: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0" s="122" t="str">
        <v/>
      </c>
      <c r="V990" s="42"/>
      <c r="W990" s="42"/>
      <c r="X990" s="42"/>
      <c r="Y990" s="42"/>
      <c r="Z990" s="42"/>
      <c r="AA990" s="42"/>
      <c r="AB990" s="42"/>
    </row>
    <row r="991" spans="1:28" x14ac:dyDescent="0.25">
      <c r="A991" s="42" t="str">
        <v>1.18.1.6.1</v>
      </c>
      <c r="B991" s="121" t="str">
        <v>Return to shopping cart</v>
      </c>
      <c r="C991" s="41">
        <v>5</v>
      </c>
      <c r="D991" s="41" t="str">
        <v>RL</v>
      </c>
      <c r="E991" s="117" t="str">
        <f t="shared" si="0"/>
        <v>RL</v>
      </c>
      <c r="F991" s="41" t="str">
        <v/>
      </c>
      <c r="G991" s="41" t="str">
        <v/>
      </c>
      <c r="H991" s="117">
        <f t="shared" si="1"/>
        <v>0</v>
      </c>
      <c r="I991" s="117">
        <f t="shared" si="2"/>
        <v>18</v>
      </c>
      <c r="J991" s="117">
        <f t="shared" si="3"/>
        <v>18.010000000000002</v>
      </c>
      <c r="K991" s="117" t="str">
        <f t="shared" si="4"/>
        <v>BR</v>
      </c>
      <c r="L991" s="42" t="str">
        <v>BR1801</v>
      </c>
      <c r="M991" s="121" t="str">
        <v/>
      </c>
      <c r="N991" s="121" t="str">
        <v/>
      </c>
      <c r="O991" s="121" t="str">
        <v/>
      </c>
      <c r="P991" s="121" t="str">
        <v/>
      </c>
      <c r="Q991" s="121" t="str">
        <v/>
      </c>
      <c r="R991" s="121" t="str">
        <v/>
      </c>
      <c r="S991" s="121" t="str">
        <v>Return to shopping cart</v>
      </c>
      <c r="T991" s="119" t="str">
        <f>IF($C991&lt;4,IF($C991=3,T992,IF($C991=2,T$1,"")),Q991&amp;R991&amp;IF(LEN(S991)=0,"",Preferences!$C$2&amp;S991)&amp;IF(J992=J991,IF(LEN(R991&amp;S991)=0,"","
")&amp;T992,""))</f>
        <v xml:space="preserve">	• Return to shopping cart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1" s="122" t="str">
        <v/>
      </c>
      <c r="V991" s="42"/>
      <c r="W991" s="42"/>
      <c r="X991" s="42"/>
      <c r="Y991" s="42"/>
      <c r="Z991" s="42"/>
      <c r="AA991" s="42"/>
      <c r="AB991" s="42"/>
    </row>
    <row r="992" spans="1:28" x14ac:dyDescent="0.25">
      <c r="A992" s="42" t="str">
        <v>1.18.1.6.2</v>
      </c>
      <c r="B992" s="121" t="str">
        <v>Select a delivery address (default automatically selected)</v>
      </c>
      <c r="C992" s="41">
        <v>5</v>
      </c>
      <c r="D992" s="41" t="str">
        <v>RL</v>
      </c>
      <c r="E992" s="117" t="str">
        <f t="shared" si="0"/>
        <v>RL</v>
      </c>
      <c r="F992" s="41" t="str">
        <v/>
      </c>
      <c r="G992" s="41" t="str">
        <v/>
      </c>
      <c r="H992" s="117">
        <f t="shared" si="1"/>
        <v>0</v>
      </c>
      <c r="I992" s="117">
        <f t="shared" si="2"/>
        <v>18</v>
      </c>
      <c r="J992" s="117">
        <f t="shared" si="3"/>
        <v>18.010000000000002</v>
      </c>
      <c r="K992" s="117" t="str">
        <f t="shared" si="4"/>
        <v>BR</v>
      </c>
      <c r="L992" s="42" t="str">
        <v>BR1801</v>
      </c>
      <c r="M992" s="121" t="str">
        <v/>
      </c>
      <c r="N992" s="121" t="str">
        <v/>
      </c>
      <c r="O992" s="121" t="str">
        <v/>
      </c>
      <c r="P992" s="121" t="str">
        <v/>
      </c>
      <c r="Q992" s="121" t="str">
        <v/>
      </c>
      <c r="R992" s="121" t="str">
        <v/>
      </c>
      <c r="S992" s="121" t="str">
        <v>Select a delivery address (default automatically selected)</v>
      </c>
      <c r="T992" s="119" t="str">
        <f>IF($C992&lt;4,IF($C992=3,T993,IF($C992=2,T$1,"")),Q992&amp;R992&amp;IF(LEN(S992)=0,"",Preferences!$C$2&amp;S992)&amp;IF(J993=J992,IF(LEN(R992&amp;S992)=0,"","
")&amp;T993,""))</f>
        <v xml:space="preserve">	• Select a delivery address (default automatically selected)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2" s="122" t="str">
        <v/>
      </c>
      <c r="V992" s="42"/>
      <c r="W992" s="42"/>
      <c r="X992" s="42"/>
      <c r="Y992" s="42"/>
      <c r="Z992" s="42"/>
      <c r="AA992" s="42"/>
      <c r="AB992" s="42"/>
    </row>
    <row r="993" spans="1:28" x14ac:dyDescent="0.25">
      <c r="A993" s="42" t="str">
        <v>1.18.1.6.3</v>
      </c>
      <c r="B993" s="121" t="str">
        <v>Add a new delivery address</v>
      </c>
      <c r="C993" s="41">
        <v>5</v>
      </c>
      <c r="D993" s="41" t="str">
        <v>RL</v>
      </c>
      <c r="E993" s="117" t="str">
        <f t="shared" si="0"/>
        <v>RL</v>
      </c>
      <c r="F993" s="41" t="str">
        <v/>
      </c>
      <c r="G993" s="41" t="str">
        <v/>
      </c>
      <c r="H993" s="117">
        <f t="shared" si="1"/>
        <v>0</v>
      </c>
      <c r="I993" s="117">
        <f t="shared" si="2"/>
        <v>18</v>
      </c>
      <c r="J993" s="117">
        <f t="shared" si="3"/>
        <v>18.010000000000002</v>
      </c>
      <c r="K993" s="117" t="str">
        <f t="shared" si="4"/>
        <v>BR</v>
      </c>
      <c r="L993" s="42" t="str">
        <v>BR1801</v>
      </c>
      <c r="M993" s="121" t="str">
        <v/>
      </c>
      <c r="N993" s="121" t="str">
        <v/>
      </c>
      <c r="O993" s="121" t="str">
        <v/>
      </c>
      <c r="P993" s="121" t="str">
        <v/>
      </c>
      <c r="Q993" s="121" t="str">
        <v/>
      </c>
      <c r="R993" s="121" t="str">
        <v/>
      </c>
      <c r="S993" s="121" t="str">
        <v>Add a new delivery address</v>
      </c>
      <c r="T993" s="119" t="str">
        <f>IF($C993&lt;4,IF($C993=3,T994,IF($C993=2,T$1,"")),Q993&amp;R993&amp;IF(LEN(S993)=0,"",Preferences!$C$2&amp;S993)&amp;IF(J994=J993,IF(LEN(R993&amp;S993)=0,"","
")&amp;T994,""))</f>
        <v xml:space="preserve">	• Add a new delivery address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3" s="122" t="str">
        <v/>
      </c>
      <c r="V993" s="42"/>
      <c r="W993" s="42"/>
      <c r="X993" s="42"/>
      <c r="Y993" s="42"/>
      <c r="Z993" s="42"/>
      <c r="AA993" s="42"/>
      <c r="AB993" s="42"/>
    </row>
    <row r="994" spans="1:28" x14ac:dyDescent="0.25">
      <c r="A994" s="42" t="str">
        <v>1.18.1.6.4</v>
      </c>
      <c r="B994" s="121" t="str">
        <v>Confirm the delivery address</v>
      </c>
      <c r="C994" s="41">
        <v>5</v>
      </c>
      <c r="D994" s="41" t="str">
        <v>RL</v>
      </c>
      <c r="E994" s="117" t="str">
        <f t="shared" si="0"/>
        <v>RL</v>
      </c>
      <c r="F994" s="41" t="str">
        <v/>
      </c>
      <c r="G994" s="41" t="str">
        <v/>
      </c>
      <c r="H994" s="117">
        <f t="shared" si="1"/>
        <v>0</v>
      </c>
      <c r="I994" s="117">
        <f t="shared" si="2"/>
        <v>18</v>
      </c>
      <c r="J994" s="117">
        <f t="shared" si="3"/>
        <v>18.010000000000002</v>
      </c>
      <c r="K994" s="117" t="str">
        <f t="shared" si="4"/>
        <v>BR</v>
      </c>
      <c r="L994" s="42" t="str">
        <v>BR1801</v>
      </c>
      <c r="M994" s="121" t="str">
        <v/>
      </c>
      <c r="N994" s="121" t="str">
        <v/>
      </c>
      <c r="O994" s="121" t="str">
        <v/>
      </c>
      <c r="P994" s="121" t="str">
        <v/>
      </c>
      <c r="Q994" s="121" t="str">
        <v/>
      </c>
      <c r="R994" s="121" t="str">
        <v/>
      </c>
      <c r="S994" s="121" t="str">
        <v>Confirm the delivery address</v>
      </c>
      <c r="T994" s="119" t="str">
        <f>IF($C994&lt;4,IF($C994=3,T995,IF($C994=2,T$1,"")),Q994&amp;R994&amp;IF(LEN(S994)=0,"",Preferences!$C$2&amp;S994)&amp;IF(J995=J994,IF(LEN(R994&amp;S994)=0,"","
")&amp;T995,""))</f>
        <v xml:space="preserve">	• Confirm the delivery address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4" s="122" t="str">
        <v/>
      </c>
      <c r="V994" s="42"/>
      <c r="W994" s="42"/>
      <c r="X994" s="42"/>
      <c r="Y994" s="42"/>
      <c r="Z994" s="42"/>
      <c r="AA994" s="42"/>
      <c r="AB994" s="42"/>
    </row>
    <row r="995" spans="1:28" x14ac:dyDescent="0.25">
      <c r="A995" s="42" t="str">
        <v>1.18.1.7</v>
      </c>
      <c r="B995" s="121" t="str">
        <v>The user may choose a different delivery address</v>
      </c>
      <c r="C995" s="41">
        <v>4</v>
      </c>
      <c r="D995" s="41" t="str">
        <v>RD</v>
      </c>
      <c r="E995" s="117" t="str">
        <f t="shared" si="0"/>
        <v>RD</v>
      </c>
      <c r="F995" s="41" t="str">
        <v/>
      </c>
      <c r="G995" s="41" t="str">
        <v/>
      </c>
      <c r="H995" s="117">
        <f t="shared" si="1"/>
        <v>0</v>
      </c>
      <c r="I995" s="117">
        <f t="shared" si="2"/>
        <v>18</v>
      </c>
      <c r="J995" s="117">
        <f t="shared" si="3"/>
        <v>18.010000000000002</v>
      </c>
      <c r="K995" s="117" t="str">
        <f t="shared" si="4"/>
        <v>BR</v>
      </c>
      <c r="L995" s="42" t="str">
        <v>BR1801</v>
      </c>
      <c r="M995" s="121" t="str">
        <v/>
      </c>
      <c r="N995" s="121" t="str">
        <v/>
      </c>
      <c r="O995" s="121" t="str">
        <v/>
      </c>
      <c r="P995" s="121" t="str">
        <v/>
      </c>
      <c r="Q995" s="121" t="str">
        <v xml:space="preserve"> 7. </v>
      </c>
      <c r="R995" s="121" t="str">
        <v>The user may choose a different delivery address</v>
      </c>
      <c r="S995" s="121" t="str">
        <v/>
      </c>
      <c r="T995" s="119" t="str">
        <f>IF($C995&lt;4,IF($C995=3,T996,IF($C995=2,T$1,"")),Q995&amp;R995&amp;IF(LEN(S995)=0,"",Preferences!$C$2&amp;S995)&amp;IF(J996=J995,IF(LEN(R995&amp;S995)=0,"","
")&amp;T996,""))</f>
        <v xml:space="preserve"> 7. The user may choose a different delivery address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5" s="122" t="str">
        <v/>
      </c>
      <c r="V995" s="42"/>
      <c r="W995" s="42"/>
      <c r="X995" s="42"/>
      <c r="Y995" s="42"/>
      <c r="Z995" s="42"/>
      <c r="AA995" s="42"/>
      <c r="AB995" s="42"/>
    </row>
    <row r="996" spans="1:28" x14ac:dyDescent="0.25">
      <c r="A996" s="42" t="str">
        <v>1.18.1.8</v>
      </c>
      <c r="B996" s="121" t="str">
        <v>When the user chooses to add a new delivery address, they are redirected to the delivery address section of their customer profile.</v>
      </c>
      <c r="C996" s="41">
        <v>4</v>
      </c>
      <c r="D996" s="41" t="str">
        <v>RD</v>
      </c>
      <c r="E996" s="117" t="str">
        <f t="shared" si="0"/>
        <v>RD</v>
      </c>
      <c r="F996" s="41" t="str">
        <v/>
      </c>
      <c r="G996" s="41" t="str">
        <v/>
      </c>
      <c r="H996" s="117">
        <f t="shared" si="1"/>
        <v>0</v>
      </c>
      <c r="I996" s="117">
        <f t="shared" si="2"/>
        <v>18</v>
      </c>
      <c r="J996" s="117">
        <f t="shared" si="3"/>
        <v>18.010000000000002</v>
      </c>
      <c r="K996" s="117" t="str">
        <f t="shared" si="4"/>
        <v>BR</v>
      </c>
      <c r="L996" s="42" t="str">
        <v>BR1801</v>
      </c>
      <c r="M996" s="121" t="str">
        <v/>
      </c>
      <c r="N996" s="121" t="str">
        <v/>
      </c>
      <c r="O996" s="121" t="str">
        <v/>
      </c>
      <c r="P996" s="121" t="str">
        <v/>
      </c>
      <c r="Q996" s="121" t="str">
        <v xml:space="preserve"> 8. </v>
      </c>
      <c r="R996" s="121" t="str">
        <v>When the user chooses to add a new delivery address, they are redirected to the delivery address section of their customer profile.</v>
      </c>
      <c r="S996" s="121" t="str">
        <v/>
      </c>
      <c r="T996" s="119" t="str">
        <f>IF($C996&lt;4,IF($C996=3,T997,IF($C996=2,T$1,"")),Q996&amp;R996&amp;IF(LEN(S996)=0,"",Preferences!$C$2&amp;S996)&amp;IF(J997=J996,IF(LEN(R996&amp;S996)=0,"","
")&amp;T997,""))</f>
        <v xml:space="preserve"> 8. When the user chooses to add a new delivery address, they are redirected to the delivery address section of their customer profile.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6" s="122" t="str">
        <v/>
      </c>
      <c r="V996" s="42"/>
      <c r="W996" s="42"/>
      <c r="X996" s="42"/>
      <c r="Y996" s="42"/>
      <c r="Z996" s="42"/>
      <c r="AA996" s="42"/>
      <c r="AB996" s="42"/>
    </row>
    <row r="997" spans="1:28" x14ac:dyDescent="0.25">
      <c r="A997" s="42" t="str">
        <v>1.18.1.8.1</v>
      </c>
      <c r="B997" s="121" t="str">
        <v>Refer to the Maintain delivery address(es) requirements of the Customer Profile section.</v>
      </c>
      <c r="C997" s="41">
        <v>5</v>
      </c>
      <c r="D997" s="41" t="str">
        <v>RL</v>
      </c>
      <c r="E997" s="117" t="str">
        <f t="shared" si="0"/>
        <v>RL</v>
      </c>
      <c r="F997" s="41" t="str">
        <v/>
      </c>
      <c r="G997" s="41" t="str">
        <v/>
      </c>
      <c r="H997" s="117">
        <f t="shared" si="1"/>
        <v>0</v>
      </c>
      <c r="I997" s="117">
        <f t="shared" si="2"/>
        <v>18</v>
      </c>
      <c r="J997" s="117">
        <f t="shared" si="3"/>
        <v>18.010000000000002</v>
      </c>
      <c r="K997" s="117" t="str">
        <f t="shared" si="4"/>
        <v>BR</v>
      </c>
      <c r="L997" s="42" t="str">
        <v>BR1801</v>
      </c>
      <c r="M997" s="121" t="str">
        <v/>
      </c>
      <c r="N997" s="121" t="str">
        <v/>
      </c>
      <c r="O997" s="121" t="str">
        <v/>
      </c>
      <c r="P997" s="121" t="str">
        <v/>
      </c>
      <c r="Q997" s="121" t="str">
        <v/>
      </c>
      <c r="R997" s="121" t="str">
        <v/>
      </c>
      <c r="S997" s="121" t="str">
        <v>Refer to the Maintain delivery address(es) requirements of the Customer Profile section.</v>
      </c>
      <c r="T997" s="119" t="str">
        <f>IF($C997&lt;4,IF($C997=3,T998,IF($C997=2,T$1,"")),Q997&amp;R997&amp;IF(LEN(S997)=0,"",Preferences!$C$2&amp;S997)&amp;IF(J998=J997,IF(LEN(R997&amp;S997)=0,"","
")&amp;T998,""))</f>
        <v xml:space="preserve">	• Refer to the Maintain delivery address(es) requirements of the Customer Profile section.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7" s="122" t="str">
        <v/>
      </c>
      <c r="V997" s="42"/>
      <c r="W997" s="42"/>
      <c r="X997" s="42"/>
      <c r="Y997" s="42"/>
      <c r="Z997" s="42"/>
      <c r="AA997" s="42"/>
      <c r="AB997" s="42"/>
    </row>
    <row r="998" spans="1:28" x14ac:dyDescent="0.25">
      <c r="A998" s="42" t="str">
        <v>1.18.1.9</v>
      </c>
      <c r="B998" s="121" t="str">
        <v>When choosing the Return to shopping cart option, the user is redirected back to their shopping cart.</v>
      </c>
      <c r="C998" s="41">
        <v>4</v>
      </c>
      <c r="D998" s="41" t="str">
        <v>RD</v>
      </c>
      <c r="E998" s="117" t="str">
        <f t="shared" si="0"/>
        <v>RD</v>
      </c>
      <c r="F998" s="41" t="str">
        <v/>
      </c>
      <c r="G998" s="41" t="str">
        <v/>
      </c>
      <c r="H998" s="117">
        <f t="shared" si="1"/>
        <v>0</v>
      </c>
      <c r="I998" s="117">
        <f t="shared" si="2"/>
        <v>18</v>
      </c>
      <c r="J998" s="117">
        <f t="shared" si="3"/>
        <v>18.010000000000002</v>
      </c>
      <c r="K998" s="117" t="str">
        <f t="shared" si="4"/>
        <v>BR</v>
      </c>
      <c r="L998" s="42" t="str">
        <v>BR1801</v>
      </c>
      <c r="M998" s="121" t="str">
        <v/>
      </c>
      <c r="N998" s="121" t="str">
        <v/>
      </c>
      <c r="O998" s="121" t="str">
        <v/>
      </c>
      <c r="P998" s="121" t="str">
        <v/>
      </c>
      <c r="Q998" s="121" t="str">
        <v xml:space="preserve"> 9. </v>
      </c>
      <c r="R998" s="121" t="str">
        <v>When choosing the Return to shopping cart option, the user is redirected back to their shopping cart.</v>
      </c>
      <c r="S998" s="121" t="str">
        <v/>
      </c>
      <c r="T998" s="119" t="str">
        <f>IF($C998&lt;4,IF($C998=3,T999,IF($C998=2,T$1,"")),Q998&amp;R998&amp;IF(LEN(S998)=0,"",Preferences!$C$2&amp;S998)&amp;IF(J999=J998,IF(LEN(R998&amp;S998)=0,"","
")&amp;T999,""))</f>
        <v xml:space="preserve"> 9. When choosing the Return to shopping cart option, the user is redirected back to their shopping cart.
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8" s="122" t="str">
        <v/>
      </c>
      <c r="V998" s="42"/>
      <c r="W998" s="42"/>
      <c r="X998" s="42"/>
      <c r="Y998" s="42"/>
      <c r="Z998" s="42"/>
      <c r="AA998" s="42"/>
      <c r="AB998" s="42"/>
    </row>
    <row r="999" spans="1:28" x14ac:dyDescent="0.25">
      <c r="A999" s="42" t="str">
        <v>1.18.1.10</v>
      </c>
      <c r="B999" s="121" t="str">
        <v>The user may optionally capture a delivery message, to be printed on the waybill.</v>
      </c>
      <c r="C999" s="41">
        <v>4</v>
      </c>
      <c r="D999" s="41" t="str">
        <v>RD</v>
      </c>
      <c r="E999" s="117" t="str">
        <f t="shared" si="0"/>
        <v>RD</v>
      </c>
      <c r="F999" s="41" t="str">
        <v/>
      </c>
      <c r="G999" s="41" t="str">
        <v/>
      </c>
      <c r="H999" s="117">
        <f t="shared" si="1"/>
        <v>0</v>
      </c>
      <c r="I999" s="117">
        <f t="shared" si="2"/>
        <v>18</v>
      </c>
      <c r="J999" s="117">
        <f t="shared" si="3"/>
        <v>18.010000000000002</v>
      </c>
      <c r="K999" s="117" t="str">
        <f t="shared" si="4"/>
        <v>BR</v>
      </c>
      <c r="L999" s="42" t="str">
        <v>BR1801</v>
      </c>
      <c r="M999" s="121" t="str">
        <v/>
      </c>
      <c r="N999" s="121" t="str">
        <v/>
      </c>
      <c r="O999" s="121" t="str">
        <v/>
      </c>
      <c r="P999" s="121" t="str">
        <v/>
      </c>
      <c r="Q999" s="121" t="str">
        <v xml:space="preserve">10. </v>
      </c>
      <c r="R999" s="121" t="str">
        <v>The user may optionally capture a delivery message, to be printed on the waybill.</v>
      </c>
      <c r="S999" s="121" t="str">
        <v/>
      </c>
      <c r="T999" s="119" t="str">
        <f>IF($C999&lt;4,IF($C999=3,T1000,IF($C999=2,T$1,"")),Q999&amp;R999&amp;IF(LEN(S999)=0,"",Preferences!$C$2&amp;S999)&amp;IF(J1000=J999,IF(LEN(R999&amp;S999)=0,"","
")&amp;T1000,""))</f>
        <v>10. The user may optionally capture a delivery message, to be printed on the waybill.
	• The purpose of the message is indicated with this plain-text message box.
11. On choosing to confirm the delivery address, the user is redirected to the confirm payment step of the checkout process.</v>
      </c>
      <c r="U999" s="122" t="str">
        <v/>
      </c>
      <c r="V999" s="42"/>
      <c r="W999" s="42"/>
      <c r="X999" s="42"/>
      <c r="Y999" s="42"/>
      <c r="Z999" s="42"/>
      <c r="AA999" s="42"/>
      <c r="AB999" s="42"/>
    </row>
    <row r="1000" spans="1:28" x14ac:dyDescent="0.25">
      <c r="A1000" s="42" t="str">
        <v>1.18.1.10.1</v>
      </c>
      <c r="B1000" s="121" t="str">
        <v>The purpose of the message is indicated with this plain-text message box.</v>
      </c>
      <c r="C1000" s="41">
        <v>5</v>
      </c>
      <c r="D1000" s="41" t="str">
        <v>RL</v>
      </c>
      <c r="E1000" s="117" t="str">
        <f t="shared" si="0"/>
        <v>RL</v>
      </c>
      <c r="F1000" s="41" t="str">
        <v/>
      </c>
      <c r="G1000" s="41" t="str">
        <v/>
      </c>
      <c r="H1000" s="117">
        <f t="shared" si="1"/>
        <v>0</v>
      </c>
      <c r="I1000" s="117">
        <f t="shared" si="2"/>
        <v>18</v>
      </c>
      <c r="J1000" s="117">
        <f t="shared" si="3"/>
        <v>18.010000000000002</v>
      </c>
      <c r="K1000" s="117" t="str">
        <f t="shared" si="4"/>
        <v>BR</v>
      </c>
      <c r="L1000" s="42" t="str">
        <v>BR1801</v>
      </c>
      <c r="M1000" s="121" t="str">
        <v/>
      </c>
      <c r="N1000" s="121" t="str">
        <v/>
      </c>
      <c r="O1000" s="121" t="str">
        <v/>
      </c>
      <c r="P1000" s="121" t="str">
        <v/>
      </c>
      <c r="Q1000" s="121" t="str">
        <v/>
      </c>
      <c r="R1000" s="121" t="str">
        <v/>
      </c>
      <c r="S1000" s="121" t="str">
        <v>The purpose of the message is indicated with this plain-text message box.</v>
      </c>
      <c r="T1000" s="119" t="str">
        <f>IF($C1000&lt;4,IF($C1000=3,T1001,IF($C1000=2,T$1,"")),Q1000&amp;R1000&amp;IF(LEN(S1000)=0,"",Preferences!$C$2&amp;S1000)&amp;IF(J1001=J1000,IF(LEN(R1000&amp;S1000)=0,"","
")&amp;T1001,""))</f>
        <v xml:space="preserve">	• The purpose of the message is indicated with this plain-text message box.
11. On choosing to confirm the delivery address, the user is redirected to the confirm payment step of the checkout process.</v>
      </c>
      <c r="U1000" s="122" t="str">
        <v/>
      </c>
      <c r="V1000" s="42"/>
      <c r="W1000" s="42"/>
      <c r="X1000" s="42"/>
      <c r="Y1000" s="42"/>
      <c r="Z1000" s="42"/>
      <c r="AA1000" s="42"/>
      <c r="AB1000" s="42"/>
    </row>
    <row r="1001" spans="1:28" x14ac:dyDescent="0.25">
      <c r="A1001" s="42" t="str">
        <v>1.18.1.11</v>
      </c>
      <c r="B1001" s="121" t="str">
        <v>On choosing to confirm the delivery address, the user is redirected to the confirm payment step of the checkout process.</v>
      </c>
      <c r="C1001" s="41">
        <v>4</v>
      </c>
      <c r="D1001" s="41" t="str">
        <v>RD</v>
      </c>
      <c r="E1001" s="117" t="str">
        <f t="shared" si="0"/>
        <v>RD</v>
      </c>
      <c r="F1001" s="41" t="str">
        <v/>
      </c>
      <c r="G1001" s="41" t="str">
        <v/>
      </c>
      <c r="H1001" s="117">
        <f t="shared" si="1"/>
        <v>0</v>
      </c>
      <c r="I1001" s="117">
        <f t="shared" si="2"/>
        <v>18</v>
      </c>
      <c r="J1001" s="117">
        <f t="shared" si="3"/>
        <v>18.010000000000002</v>
      </c>
      <c r="K1001" s="117" t="str">
        <f t="shared" si="4"/>
        <v>BR</v>
      </c>
      <c r="L1001" s="42" t="str">
        <v>BR1801</v>
      </c>
      <c r="M1001" s="121" t="str">
        <v/>
      </c>
      <c r="N1001" s="121" t="str">
        <v/>
      </c>
      <c r="O1001" s="121" t="str">
        <v/>
      </c>
      <c r="P1001" s="121" t="str">
        <v/>
      </c>
      <c r="Q1001" s="121" t="str">
        <v xml:space="preserve">11. </v>
      </c>
      <c r="R1001" s="121" t="str">
        <v>On choosing to confirm the delivery address, the user is redirected to the confirm payment step of the checkout process.</v>
      </c>
      <c r="S1001" s="121" t="str">
        <v/>
      </c>
      <c r="T1001" s="119" t="str">
        <f>IF($C1001&lt;4,IF($C1001=3,T1002,IF($C1001=2,T$1,"")),Q1001&amp;R1001&amp;IF(LEN(S1001)=0,"",Preferences!$C$2&amp;S1001)&amp;IF(J1002=J1001,IF(LEN(R1001&amp;S1001)=0,"","
")&amp;T1002,""))</f>
        <v>11. On choosing to confirm the delivery address, the user is redirected to the confirm payment step of the checkout process.</v>
      </c>
      <c r="U1001" s="122" t="str">
        <v/>
      </c>
      <c r="V1001" s="42"/>
      <c r="W1001" s="42"/>
      <c r="X1001" s="42"/>
      <c r="Y1001" s="42"/>
      <c r="Z1001" s="42"/>
      <c r="AA1001" s="42"/>
      <c r="AB1001" s="42"/>
    </row>
    <row r="1002" spans="1:28" x14ac:dyDescent="0.25">
      <c r="A1002" s="42" t="str">
        <v>1.18.2</v>
      </c>
      <c r="B1002" s="121" t="str">
        <v>18.2 Confirm payment method</v>
      </c>
      <c r="C1002" s="41">
        <v>3</v>
      </c>
      <c r="D1002" s="41" t="str">
        <v>R</v>
      </c>
      <c r="E1002" s="117" t="str">
        <f t="shared" si="0"/>
        <v>R</v>
      </c>
      <c r="F1002" s="41" t="str">
        <v/>
      </c>
      <c r="G1002" s="41" t="str">
        <v/>
      </c>
      <c r="H1002" s="117">
        <f t="shared" si="1"/>
        <v>0</v>
      </c>
      <c r="I1002" s="117">
        <f t="shared" si="2"/>
        <v>18</v>
      </c>
      <c r="J1002" s="117">
        <f t="shared" si="3"/>
        <v>18.020000000000003</v>
      </c>
      <c r="K1002" s="117" t="str">
        <f t="shared" si="4"/>
        <v>BR</v>
      </c>
      <c r="L1002" s="42" t="str">
        <v>BR1802</v>
      </c>
      <c r="M1002" s="121" t="str">
        <v/>
      </c>
      <c r="N1002" s="121" t="str">
        <v/>
      </c>
      <c r="O1002" s="121" t="str">
        <v>BR1802</v>
      </c>
      <c r="P1002" s="121" t="str">
        <v>Confirm payment method</v>
      </c>
      <c r="Q1002" s="121" t="str">
        <v/>
      </c>
      <c r="R1002" s="121" t="str">
        <v/>
      </c>
      <c r="S1002" s="121" t="str">
        <v/>
      </c>
      <c r="T1002" s="119" t="str">
        <f>IF($C1002&lt;4,IF($C1002=3,T1003,IF($C1002=2,T$1,"")),Q1002&amp;R1002&amp;IF(LEN(S1002)=0,"",Preferences!$C$2&amp;S1002)&amp;IF(J1003=J1002,IF(LEN(R1002&amp;S1002)=0,"","
")&amp;T1003,""))</f>
        <v xml:space="preserve"> 1. A breadcrumb is shown, listing the stages of checkout, with the confirm payment step highlighted.
	• The user may click the confirm address to return to that step.
 2. The customer is prompted to confirms their method of payment: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2" s="122" t="str">
        <v/>
      </c>
      <c r="V1002" s="42"/>
      <c r="W1002" s="42"/>
      <c r="X1002" s="42"/>
      <c r="Y1002" s="42"/>
      <c r="Z1002" s="42"/>
      <c r="AA1002" s="42"/>
      <c r="AB1002" s="42"/>
    </row>
    <row r="1003" spans="1:28" x14ac:dyDescent="0.25">
      <c r="A1003" s="42" t="str">
        <v>1.18.2.1</v>
      </c>
      <c r="B1003" s="121" t="str">
        <v>A breadcrumb is shown, listing the stages of checkout, with the confirm payment step highlighted.</v>
      </c>
      <c r="C1003" s="41">
        <v>4</v>
      </c>
      <c r="D1003" s="41" t="str">
        <v>RD</v>
      </c>
      <c r="E1003" s="117" t="str">
        <f t="shared" si="0"/>
        <v>RD</v>
      </c>
      <c r="F1003" s="41" t="str">
        <v/>
      </c>
      <c r="G1003" s="41" t="str">
        <v/>
      </c>
      <c r="H1003" s="117">
        <f t="shared" si="1"/>
        <v>0</v>
      </c>
      <c r="I1003" s="117">
        <f t="shared" si="2"/>
        <v>18</v>
      </c>
      <c r="J1003" s="117">
        <f t="shared" si="3"/>
        <v>18.020000000000003</v>
      </c>
      <c r="K1003" s="117" t="str">
        <f t="shared" si="4"/>
        <v>BR</v>
      </c>
      <c r="L1003" s="42" t="str">
        <v>BR1802</v>
      </c>
      <c r="M1003" s="121" t="str">
        <v/>
      </c>
      <c r="N1003" s="121" t="str">
        <v/>
      </c>
      <c r="O1003" s="121" t="str">
        <v/>
      </c>
      <c r="P1003" s="121" t="str">
        <v/>
      </c>
      <c r="Q1003" s="121" t="str">
        <v xml:space="preserve"> 1. </v>
      </c>
      <c r="R1003" s="121" t="str">
        <v>A breadcrumb is shown, listing the stages of checkout, with the confirm payment step highlighted.</v>
      </c>
      <c r="S1003" s="121" t="str">
        <v/>
      </c>
      <c r="T1003" s="119" t="str">
        <f>IF($C1003&lt;4,IF($C1003=3,T1004,IF($C1003=2,T$1,"")),Q1003&amp;R1003&amp;IF(LEN(S1003)=0,"",Preferences!$C$2&amp;S1003)&amp;IF(J1004=J1003,IF(LEN(R1003&amp;S1003)=0,"","
")&amp;T1004,""))</f>
        <v xml:space="preserve"> 1. A breadcrumb is shown, listing the stages of checkout, with the confirm payment step highlighted.
	• The user may click the confirm address to return to that step.
 2. The customer is prompted to confirms their method of payment: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3" s="122" t="str">
        <v/>
      </c>
      <c r="V1003" s="42"/>
      <c r="W1003" s="42"/>
      <c r="X1003" s="42"/>
      <c r="Y1003" s="42"/>
      <c r="Z1003" s="42"/>
      <c r="AA1003" s="42"/>
      <c r="AB1003" s="42"/>
    </row>
    <row r="1004" spans="1:28" x14ac:dyDescent="0.25">
      <c r="A1004" s="42" t="str">
        <v>1.18.2.1.1</v>
      </c>
      <c r="B1004" s="121" t="str">
        <v>The user may click the confirm address to return to that step.</v>
      </c>
      <c r="C1004" s="41">
        <v>5</v>
      </c>
      <c r="D1004" s="41" t="str">
        <v>RL</v>
      </c>
      <c r="E1004" s="117" t="str">
        <f t="shared" si="0"/>
        <v>RL</v>
      </c>
      <c r="F1004" s="41" t="str">
        <v/>
      </c>
      <c r="G1004" s="41" t="str">
        <v/>
      </c>
      <c r="H1004" s="117">
        <f t="shared" si="1"/>
        <v>0</v>
      </c>
      <c r="I1004" s="117">
        <f t="shared" si="2"/>
        <v>18</v>
      </c>
      <c r="J1004" s="117">
        <f t="shared" si="3"/>
        <v>18.020000000000003</v>
      </c>
      <c r="K1004" s="117" t="str">
        <f t="shared" si="4"/>
        <v>BR</v>
      </c>
      <c r="L1004" s="42" t="str">
        <v>BR1802</v>
      </c>
      <c r="M1004" s="121" t="str">
        <v/>
      </c>
      <c r="N1004" s="121" t="str">
        <v/>
      </c>
      <c r="O1004" s="121" t="str">
        <v/>
      </c>
      <c r="P1004" s="121" t="str">
        <v/>
      </c>
      <c r="Q1004" s="121" t="str">
        <v/>
      </c>
      <c r="R1004" s="121" t="str">
        <v/>
      </c>
      <c r="S1004" s="121" t="str">
        <v>The user may click the confirm address to return to that step.</v>
      </c>
      <c r="T1004" s="119" t="str">
        <f>IF($C1004&lt;4,IF($C1004=3,T1005,IF($C1004=2,T$1,"")),Q1004&amp;R1004&amp;IF(LEN(S1004)=0,"",Preferences!$C$2&amp;S1004)&amp;IF(J1005=J1004,IF(LEN(R1004&amp;S1004)=0,"","
")&amp;T1005,""))</f>
        <v xml:space="preserve">	• The user may click the confirm address to return to that step.
 2. The customer is prompted to confirms their method of payment: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4" s="122" t="str">
        <v/>
      </c>
      <c r="V1004" s="42"/>
      <c r="W1004" s="42"/>
      <c r="X1004" s="42"/>
      <c r="Y1004" s="42"/>
      <c r="Z1004" s="42"/>
      <c r="AA1004" s="42"/>
      <c r="AB1004" s="42"/>
    </row>
    <row r="1005" spans="1:28" x14ac:dyDescent="0.25">
      <c r="A1005" s="42" t="str">
        <v>1.18.2.2</v>
      </c>
      <c r="B1005" s="121" t="str">
        <v>The customer is prompted to confirms their method of payment:</v>
      </c>
      <c r="C1005" s="41">
        <v>4</v>
      </c>
      <c r="D1005" s="41" t="str">
        <v>RD</v>
      </c>
      <c r="E1005" s="117" t="str">
        <f t="shared" si="0"/>
        <v>RD</v>
      </c>
      <c r="F1005" s="41" t="str">
        <v/>
      </c>
      <c r="G1005" s="41" t="str">
        <v/>
      </c>
      <c r="H1005" s="117">
        <f t="shared" si="1"/>
        <v>0</v>
      </c>
      <c r="I1005" s="117">
        <f t="shared" si="2"/>
        <v>18</v>
      </c>
      <c r="J1005" s="117">
        <f t="shared" si="3"/>
        <v>18.020000000000003</v>
      </c>
      <c r="K1005" s="117" t="str">
        <f t="shared" si="4"/>
        <v>BR</v>
      </c>
      <c r="L1005" s="42" t="str">
        <v>BR1802</v>
      </c>
      <c r="M1005" s="121" t="str">
        <v/>
      </c>
      <c r="N1005" s="121" t="str">
        <v/>
      </c>
      <c r="O1005" s="121" t="str">
        <v/>
      </c>
      <c r="P1005" s="121" t="str">
        <v/>
      </c>
      <c r="Q1005" s="121" t="str">
        <v xml:space="preserve"> 2. </v>
      </c>
      <c r="R1005" s="121" t="str">
        <v>The customer is prompted to confirms their method of payment:</v>
      </c>
      <c r="S1005" s="121" t="str">
        <v/>
      </c>
      <c r="T1005" s="119" t="str">
        <f>IF($C1005&lt;4,IF($C1005=3,T1006,IF($C1005=2,T$1,"")),Q1005&amp;R1005&amp;IF(LEN(S1005)=0,"",Preferences!$C$2&amp;S1005)&amp;IF(J1006=J1005,IF(LEN(R1005&amp;S1005)=0,"","
")&amp;T1006,""))</f>
        <v xml:space="preserve"> 2. The customer is prompted to confirms their method of payment: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5" s="122" t="str">
        <v/>
      </c>
      <c r="V1005" s="42"/>
      <c r="W1005" s="42"/>
      <c r="X1005" s="42"/>
      <c r="Y1005" s="42"/>
      <c r="Z1005" s="42"/>
      <c r="AA1005" s="42"/>
      <c r="AB1005" s="42"/>
    </row>
    <row r="1006" spans="1:28" x14ac:dyDescent="0.25">
      <c r="A1006" s="42" t="str">
        <v>1.18.2.2.1</v>
      </c>
      <c r="B1006" s="121" t="str">
        <v>Specify debit/credit card as payment type</v>
      </c>
      <c r="C1006" s="41">
        <v>5</v>
      </c>
      <c r="D1006" s="41" t="str">
        <v>RL</v>
      </c>
      <c r="E1006" s="117" t="str">
        <f t="shared" si="0"/>
        <v>RL</v>
      </c>
      <c r="F1006" s="41" t="str">
        <v/>
      </c>
      <c r="G1006" s="41" t="str">
        <v/>
      </c>
      <c r="H1006" s="117">
        <f t="shared" si="1"/>
        <v>0</v>
      </c>
      <c r="I1006" s="117">
        <f t="shared" si="2"/>
        <v>18</v>
      </c>
      <c r="J1006" s="117">
        <f t="shared" si="3"/>
        <v>18.020000000000003</v>
      </c>
      <c r="K1006" s="117" t="str">
        <f t="shared" si="4"/>
        <v>BR</v>
      </c>
      <c r="L1006" s="42" t="str">
        <v>BR1802</v>
      </c>
      <c r="M1006" s="121" t="str">
        <v/>
      </c>
      <c r="N1006" s="121" t="str">
        <v/>
      </c>
      <c r="O1006" s="121" t="str">
        <v/>
      </c>
      <c r="P1006" s="121" t="str">
        <v/>
      </c>
      <c r="Q1006" s="121" t="str">
        <v/>
      </c>
      <c r="R1006" s="121" t="str">
        <v/>
      </c>
      <c r="S1006" s="121" t="str">
        <v>Specify debit/credit card as payment type</v>
      </c>
      <c r="T1006" s="119" t="str">
        <f>IF($C1006&lt;4,IF($C1006=3,T1007,IF($C1006=2,T$1,"")),Q1006&amp;R1006&amp;IF(LEN(S1006)=0,"",Preferences!$C$2&amp;S1006)&amp;IF(J1007=J1006,IF(LEN(R1006&amp;S1006)=0,"","
")&amp;T1007,""))</f>
        <v xml:space="preserve">	• Specify debit/credit card as payment type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6" s="122" t="str">
        <v/>
      </c>
      <c r="V1006" s="42"/>
      <c r="W1006" s="42"/>
      <c r="X1006" s="42"/>
      <c r="Y1006" s="42"/>
      <c r="Z1006" s="42"/>
      <c r="AA1006" s="42"/>
      <c r="AB1006" s="42"/>
    </row>
    <row r="1007" spans="1:28" x14ac:dyDescent="0.25">
      <c r="A1007" s="42" t="str">
        <v>1.18.2.2.2</v>
      </c>
      <c r="B1007" s="121" t="str">
        <v>Specify Zapper/Snapscan as payment type - PC only [TBC]</v>
      </c>
      <c r="C1007" s="41">
        <v>5</v>
      </c>
      <c r="D1007" s="41" t="str">
        <v>RL</v>
      </c>
      <c r="E1007" s="117" t="str">
        <f t="shared" si="0"/>
        <v>RL</v>
      </c>
      <c r="F1007" s="41" t="str">
        <v/>
      </c>
      <c r="G1007" s="41" t="str">
        <v/>
      </c>
      <c r="H1007" s="117">
        <f t="shared" si="1"/>
        <v>0</v>
      </c>
      <c r="I1007" s="117">
        <f t="shared" si="2"/>
        <v>18</v>
      </c>
      <c r="J1007" s="117">
        <f t="shared" si="3"/>
        <v>18.020000000000003</v>
      </c>
      <c r="K1007" s="117" t="str">
        <f t="shared" si="4"/>
        <v>BR</v>
      </c>
      <c r="L1007" s="42" t="str">
        <v>BR1802</v>
      </c>
      <c r="M1007" s="121" t="str">
        <v/>
      </c>
      <c r="N1007" s="121" t="str">
        <v/>
      </c>
      <c r="O1007" s="121" t="str">
        <v/>
      </c>
      <c r="P1007" s="121" t="str">
        <v/>
      </c>
      <c r="Q1007" s="121" t="str">
        <v/>
      </c>
      <c r="R1007" s="121" t="str">
        <v/>
      </c>
      <c r="S1007" s="121" t="str">
        <v>Specify Zapper/Snapscan as payment type - PC only [TBC]</v>
      </c>
      <c r="T1007" s="119" t="str">
        <f>IF($C1007&lt;4,IF($C1007=3,T1008,IF($C1007=2,T$1,"")),Q1007&amp;R1007&amp;IF(LEN(S1007)=0,"",Preferences!$C$2&amp;S1007)&amp;IF(J1008=J1007,IF(LEN(R1007&amp;S1007)=0,"","
")&amp;T1008,""))</f>
        <v xml:space="preserve">	• Specify Zapper/Snapscan as payment type - PC only [TBC]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7" s="122" t="str">
        <v/>
      </c>
      <c r="V1007" s="42"/>
      <c r="W1007" s="42"/>
      <c r="X1007" s="42"/>
      <c r="Y1007" s="42"/>
      <c r="Z1007" s="42"/>
      <c r="AA1007" s="42"/>
      <c r="AB1007" s="42"/>
    </row>
    <row r="1008" spans="1:28" x14ac:dyDescent="0.25">
      <c r="A1008" s="42" t="str">
        <v>1.18.2.3</v>
      </c>
      <c r="B1008" s="121" t="str">
        <v>The procedure for payment must be explained, including the use of bank security features (e.g. confirmation OTP).</v>
      </c>
      <c r="C1008" s="41">
        <v>4</v>
      </c>
      <c r="D1008" s="41" t="str">
        <v>RD</v>
      </c>
      <c r="E1008" s="117" t="str">
        <f t="shared" si="0"/>
        <v>RD</v>
      </c>
      <c r="F1008" s="41" t="str">
        <v/>
      </c>
      <c r="G1008" s="41" t="str">
        <v/>
      </c>
      <c r="H1008" s="117">
        <f t="shared" si="1"/>
        <v>0</v>
      </c>
      <c r="I1008" s="117">
        <f t="shared" si="2"/>
        <v>18</v>
      </c>
      <c r="J1008" s="117">
        <f t="shared" si="3"/>
        <v>18.020000000000003</v>
      </c>
      <c r="K1008" s="117" t="str">
        <f t="shared" si="4"/>
        <v>BR</v>
      </c>
      <c r="L1008" s="42" t="str">
        <v>BR1802</v>
      </c>
      <c r="M1008" s="121" t="str">
        <v/>
      </c>
      <c r="N1008" s="121" t="str">
        <v/>
      </c>
      <c r="O1008" s="121" t="str">
        <v/>
      </c>
      <c r="P1008" s="121" t="str">
        <v/>
      </c>
      <c r="Q1008" s="121" t="str">
        <v xml:space="preserve"> 3. </v>
      </c>
      <c r="R1008" s="121" t="str">
        <v>The procedure for payment must be explained, including the use of bank security features (e.g. confirmation OTP).</v>
      </c>
      <c r="S1008" s="121" t="str">
        <v/>
      </c>
      <c r="T1008" s="119" t="str">
        <f>IF($C1008&lt;4,IF($C1008=3,T1009,IF($C1008=2,T$1,"")),Q1008&amp;R1008&amp;IF(LEN(S1008)=0,"",Preferences!$C$2&amp;S1008)&amp;IF(J1009=J1008,IF(LEN(R1008&amp;S1008)=0,"","
")&amp;T1009,""))</f>
        <v xml:space="preserve"> 3. The procedure for payment must be explained, including the use of bank security features (e.g. confirmation OTP).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8" s="122" t="str">
        <v/>
      </c>
      <c r="V1008" s="42"/>
      <c r="W1008" s="42"/>
      <c r="X1008" s="42"/>
      <c r="Y1008" s="42"/>
      <c r="Z1008" s="42"/>
      <c r="AA1008" s="42"/>
      <c r="AB1008" s="42"/>
    </row>
    <row r="1009" spans="1:28" x14ac:dyDescent="0.25">
      <c r="A1009" s="42" t="str">
        <v>1.18.2.4</v>
      </c>
      <c r="B1009" s="121" t="str">
        <v>The user is presented the following options:</v>
      </c>
      <c r="C1009" s="41">
        <v>4</v>
      </c>
      <c r="D1009" s="41" t="str">
        <v>RD</v>
      </c>
      <c r="E1009" s="117" t="str">
        <f t="shared" si="0"/>
        <v>RD</v>
      </c>
      <c r="F1009" s="41" t="str">
        <v/>
      </c>
      <c r="G1009" s="41" t="str">
        <v/>
      </c>
      <c r="H1009" s="117">
        <f t="shared" si="1"/>
        <v>0</v>
      </c>
      <c r="I1009" s="117">
        <f t="shared" si="2"/>
        <v>18</v>
      </c>
      <c r="J1009" s="117">
        <f t="shared" si="3"/>
        <v>18.020000000000003</v>
      </c>
      <c r="K1009" s="117" t="str">
        <f t="shared" si="4"/>
        <v>BR</v>
      </c>
      <c r="L1009" s="42" t="str">
        <v>BR1802</v>
      </c>
      <c r="M1009" s="121" t="str">
        <v/>
      </c>
      <c r="N1009" s="121" t="str">
        <v/>
      </c>
      <c r="O1009" s="121" t="str">
        <v/>
      </c>
      <c r="P1009" s="121" t="str">
        <v/>
      </c>
      <c r="Q1009" s="121" t="str">
        <v xml:space="preserve"> 4. </v>
      </c>
      <c r="R1009" s="121" t="str">
        <v>The user is presented the following options:</v>
      </c>
      <c r="S1009" s="121" t="str">
        <v/>
      </c>
      <c r="T1009" s="119" t="str">
        <f>IF($C1009&lt;4,IF($C1009=3,T1010,IF($C1009=2,T$1,"")),Q1009&amp;R1009&amp;IF(LEN(S1009)=0,"",Preferences!$C$2&amp;S1009)&amp;IF(J1010=J1009,IF(LEN(R1009&amp;S1009)=0,"","
")&amp;T1010,""))</f>
        <v xml:space="preserve"> 4. The user is presented the following options: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09" s="122" t="str">
        <v/>
      </c>
      <c r="V1009" s="42"/>
      <c r="W1009" s="42"/>
      <c r="X1009" s="42"/>
      <c r="Y1009" s="42"/>
      <c r="Z1009" s="42"/>
      <c r="AA1009" s="42"/>
      <c r="AB1009" s="42"/>
    </row>
    <row r="1010" spans="1:28" x14ac:dyDescent="0.25">
      <c r="A1010" s="42" t="str">
        <v>1.18.2.4.1</v>
      </c>
      <c r="B1010" s="121" t="str">
        <v>Return to delivery</v>
      </c>
      <c r="C1010" s="41">
        <v>5</v>
      </c>
      <c r="D1010" s="41" t="str">
        <v>RL</v>
      </c>
      <c r="E1010" s="117" t="str">
        <f t="shared" si="0"/>
        <v>RL</v>
      </c>
      <c r="F1010" s="41" t="str">
        <v/>
      </c>
      <c r="G1010" s="41" t="str">
        <v/>
      </c>
      <c r="H1010" s="117">
        <f t="shared" si="1"/>
        <v>0</v>
      </c>
      <c r="I1010" s="117">
        <f t="shared" si="2"/>
        <v>18</v>
      </c>
      <c r="J1010" s="117">
        <f t="shared" si="3"/>
        <v>18.020000000000003</v>
      </c>
      <c r="K1010" s="117" t="str">
        <f t="shared" si="4"/>
        <v>BR</v>
      </c>
      <c r="L1010" s="42" t="str">
        <v>BR1802</v>
      </c>
      <c r="M1010" s="121" t="str">
        <v/>
      </c>
      <c r="N1010" s="121" t="str">
        <v/>
      </c>
      <c r="O1010" s="121" t="str">
        <v/>
      </c>
      <c r="P1010" s="121" t="str">
        <v/>
      </c>
      <c r="Q1010" s="121" t="str">
        <v/>
      </c>
      <c r="R1010" s="121" t="str">
        <v/>
      </c>
      <c r="S1010" s="121" t="str">
        <v>Return to delivery</v>
      </c>
      <c r="T1010" s="119" t="str">
        <f>IF($C1010&lt;4,IF($C1010=3,T1011,IF($C1010=2,T$1,"")),Q1010&amp;R1010&amp;IF(LEN(S1010)=0,"",Preferences!$C$2&amp;S1010)&amp;IF(J1011=J1010,IF(LEN(R1010&amp;S1010)=0,"","
")&amp;T1011,""))</f>
        <v xml:space="preserve">	• Return to delivery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10" s="122" t="str">
        <v/>
      </c>
      <c r="V1010" s="42"/>
      <c r="W1010" s="42"/>
      <c r="X1010" s="42"/>
      <c r="Y1010" s="42"/>
      <c r="Z1010" s="42"/>
      <c r="AA1010" s="42"/>
      <c r="AB1010" s="42"/>
    </row>
    <row r="1011" spans="1:28" x14ac:dyDescent="0.25">
      <c r="A1011" s="42" t="str">
        <v>1.18.2.4.2</v>
      </c>
      <c r="B1011" s="121" t="str">
        <v>Pay for order</v>
      </c>
      <c r="C1011" s="41">
        <v>5</v>
      </c>
      <c r="D1011" s="41" t="str">
        <v>RL</v>
      </c>
      <c r="E1011" s="117" t="str">
        <f t="shared" si="0"/>
        <v>RL</v>
      </c>
      <c r="F1011" s="41" t="str">
        <v/>
      </c>
      <c r="G1011" s="41" t="str">
        <v/>
      </c>
      <c r="H1011" s="117">
        <f t="shared" si="1"/>
        <v>0</v>
      </c>
      <c r="I1011" s="117">
        <f t="shared" si="2"/>
        <v>18</v>
      </c>
      <c r="J1011" s="117">
        <f t="shared" si="3"/>
        <v>18.020000000000003</v>
      </c>
      <c r="K1011" s="117" t="str">
        <f t="shared" si="4"/>
        <v>BR</v>
      </c>
      <c r="L1011" s="42" t="str">
        <v>BR1802</v>
      </c>
      <c r="M1011" s="121" t="str">
        <v/>
      </c>
      <c r="N1011" s="121" t="str">
        <v/>
      </c>
      <c r="O1011" s="121" t="str">
        <v/>
      </c>
      <c r="P1011" s="121" t="str">
        <v/>
      </c>
      <c r="Q1011" s="121" t="str">
        <v/>
      </c>
      <c r="R1011" s="121" t="str">
        <v/>
      </c>
      <c r="S1011" s="121" t="str">
        <v>Pay for order</v>
      </c>
      <c r="T1011" s="119" t="str">
        <f>IF($C1011&lt;4,IF($C1011=3,T1012,IF($C1011=2,T$1,"")),Q1011&amp;R1011&amp;IF(LEN(S1011)=0,"",Preferences!$C$2&amp;S1011)&amp;IF(J1012=J1011,IF(LEN(R1011&amp;S1011)=0,"","
")&amp;T1012,""))</f>
        <v xml:space="preserve">	• Pay for order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11" s="122" t="str">
        <v/>
      </c>
      <c r="V1011" s="42"/>
      <c r="W1011" s="42"/>
      <c r="X1011" s="42"/>
      <c r="Y1011" s="42"/>
      <c r="Z1011" s="42"/>
      <c r="AA1011" s="42"/>
      <c r="AB1011" s="42"/>
    </row>
    <row r="1012" spans="1:28" x14ac:dyDescent="0.25">
      <c r="A1012" s="42" t="str">
        <v>1.18.2.5</v>
      </c>
      <c r="B1012" s="121" t="str">
        <v>When choosing the return to delivery option, the user is returned to the confirm delivery step.</v>
      </c>
      <c r="C1012" s="41">
        <v>4</v>
      </c>
      <c r="D1012" s="41" t="str">
        <v>RD</v>
      </c>
      <c r="E1012" s="117" t="str">
        <f t="shared" si="0"/>
        <v>RD</v>
      </c>
      <c r="F1012" s="41" t="str">
        <v/>
      </c>
      <c r="G1012" s="41" t="str">
        <v/>
      </c>
      <c r="H1012" s="117">
        <f t="shared" si="1"/>
        <v>0</v>
      </c>
      <c r="I1012" s="117">
        <f t="shared" si="2"/>
        <v>18</v>
      </c>
      <c r="J1012" s="117">
        <f t="shared" si="3"/>
        <v>18.020000000000003</v>
      </c>
      <c r="K1012" s="117" t="str">
        <f t="shared" si="4"/>
        <v>BR</v>
      </c>
      <c r="L1012" s="42" t="str">
        <v>BR1802</v>
      </c>
      <c r="M1012" s="121" t="str">
        <v/>
      </c>
      <c r="N1012" s="121" t="str">
        <v/>
      </c>
      <c r="O1012" s="121" t="str">
        <v/>
      </c>
      <c r="P1012" s="121" t="str">
        <v/>
      </c>
      <c r="Q1012" s="121" t="str">
        <v xml:space="preserve"> 5. </v>
      </c>
      <c r="R1012" s="121" t="str">
        <v>When choosing the return to delivery option, the user is returned to the confirm delivery step.</v>
      </c>
      <c r="S1012" s="121" t="str">
        <v/>
      </c>
      <c r="T1012" s="119" t="str">
        <f>IF($C1012&lt;4,IF($C1012=3,T1013,IF($C1012=2,T$1,"")),Q1012&amp;R1012&amp;IF(LEN(S1012)=0,"",Preferences!$C$2&amp;S1012)&amp;IF(J1013=J1012,IF(LEN(R1012&amp;S1012)=0,"","
")&amp;T1013,""))</f>
        <v xml:space="preserve"> 5. When choosing the return to delivery option, the user is returned to the confirm delivery step.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12" s="122" t="str">
        <v/>
      </c>
      <c r="V1012" s="42"/>
      <c r="W1012" s="42"/>
      <c r="X1012" s="42"/>
      <c r="Y1012" s="42"/>
      <c r="Z1012" s="42"/>
      <c r="AA1012" s="42"/>
      <c r="AB1012" s="42"/>
    </row>
    <row r="1013" spans="1:28" x14ac:dyDescent="0.25">
      <c r="A1013" s="42" t="str">
        <v>1.18.2.6</v>
      </c>
      <c r="B1013" s="121" t="str">
        <v>The user must accept the terms and conditions for online payment processing.</v>
      </c>
      <c r="C1013" s="41">
        <v>4</v>
      </c>
      <c r="D1013" s="41" t="str">
        <v>RD</v>
      </c>
      <c r="E1013" s="117" t="str">
        <f t="shared" si="0"/>
        <v>RD</v>
      </c>
      <c r="F1013" s="41" t="str">
        <v/>
      </c>
      <c r="G1013" s="41" t="str">
        <v/>
      </c>
      <c r="H1013" s="117">
        <f t="shared" si="1"/>
        <v>0</v>
      </c>
      <c r="I1013" s="117">
        <f t="shared" si="2"/>
        <v>18</v>
      </c>
      <c r="J1013" s="117">
        <f t="shared" si="3"/>
        <v>18.020000000000003</v>
      </c>
      <c r="K1013" s="117" t="str">
        <f t="shared" si="4"/>
        <v>BR</v>
      </c>
      <c r="L1013" s="42" t="str">
        <v>BR1802</v>
      </c>
      <c r="M1013" s="121" t="str">
        <v/>
      </c>
      <c r="N1013" s="121" t="str">
        <v/>
      </c>
      <c r="O1013" s="121" t="str">
        <v/>
      </c>
      <c r="P1013" s="121" t="str">
        <v/>
      </c>
      <c r="Q1013" s="121" t="str">
        <v xml:space="preserve"> 6. </v>
      </c>
      <c r="R1013" s="121" t="str">
        <v>The user must accept the terms and conditions for online payment processing.</v>
      </c>
      <c r="S1013" s="121" t="str">
        <v/>
      </c>
      <c r="T1013" s="119" t="str">
        <f>IF($C1013&lt;4,IF($C1013=3,T1014,IF($C1013=2,T$1,"")),Q1013&amp;R1013&amp;IF(LEN(S1013)=0,"",Preferences!$C$2&amp;S1013)&amp;IF(J1014=J1013,IF(LEN(R1013&amp;S1013)=0,"","
")&amp;T1014,""))</f>
        <v xml:space="preserve"> 6. The user must accept the terms and conditions for online payment processing.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13" s="122" t="str">
        <v/>
      </c>
      <c r="V1013" s="42"/>
      <c r="W1013" s="42"/>
      <c r="X1013" s="42"/>
      <c r="Y1013" s="42"/>
      <c r="Z1013" s="42"/>
      <c r="AA1013" s="42"/>
      <c r="AB1013" s="42"/>
    </row>
    <row r="1014" spans="1:28" x14ac:dyDescent="0.25">
      <c r="A1014" s="42" t="str">
        <v>1.18.2.6.1</v>
      </c>
      <c r="B1014" s="121" t="str">
        <v>The user may choose to view the payment processing terms and conditions (presented in a separate tab/pop-up message).</v>
      </c>
      <c r="C1014" s="41">
        <v>5</v>
      </c>
      <c r="D1014" s="41" t="str">
        <v>RL</v>
      </c>
      <c r="E1014" s="117" t="str">
        <f t="shared" si="0"/>
        <v>RL</v>
      </c>
      <c r="F1014" s="41" t="str">
        <v/>
      </c>
      <c r="G1014" s="41" t="str">
        <v/>
      </c>
      <c r="H1014" s="117">
        <f t="shared" si="1"/>
        <v>0</v>
      </c>
      <c r="I1014" s="117">
        <f t="shared" si="2"/>
        <v>18</v>
      </c>
      <c r="J1014" s="117">
        <f t="shared" si="3"/>
        <v>18.020000000000003</v>
      </c>
      <c r="K1014" s="117" t="str">
        <f t="shared" si="4"/>
        <v>BR</v>
      </c>
      <c r="L1014" s="42" t="str">
        <v>BR1802</v>
      </c>
      <c r="M1014" s="121" t="str">
        <v/>
      </c>
      <c r="N1014" s="121" t="str">
        <v/>
      </c>
      <c r="O1014" s="121" t="str">
        <v/>
      </c>
      <c r="P1014" s="121" t="str">
        <v/>
      </c>
      <c r="Q1014" s="121" t="str">
        <v/>
      </c>
      <c r="R1014" s="121" t="str">
        <v/>
      </c>
      <c r="S1014" s="121" t="str">
        <v>The user may choose to view the payment processing terms and conditions (presented in a separate tab/pop-up message).</v>
      </c>
      <c r="T1014" s="119" t="str">
        <f>IF($C1014&lt;4,IF($C1014=3,T1015,IF($C1014=2,T$1,"")),Q1014&amp;R1014&amp;IF(LEN(S1014)=0,"",Preferences!$C$2&amp;S1014)&amp;IF(J1015=J1014,IF(LEN(R1014&amp;S1014)=0,"","
")&amp;T1015,""))</f>
        <v xml:space="preserve">	• The user may choose to view the payment processing terms and conditions (presented in a separate tab/pop-up message).
	• This tick-box is cleared each time the step is visited, or validation fails.
 7. When choosing the pay for order option, the user is redirected to the payment gateway, to process the payment for the order.
	• Refer to the Pay for order using debit/credit card requirements.</v>
      </c>
      <c r="U1014" s="122" t="str">
        <v/>
      </c>
      <c r="V1014" s="42"/>
      <c r="W1014" s="42"/>
      <c r="X1014" s="42"/>
      <c r="Y1014" s="42"/>
      <c r="Z1014" s="42"/>
      <c r="AA1014" s="42"/>
      <c r="AB1014" s="42"/>
    </row>
    <row r="1015" spans="1:28" x14ac:dyDescent="0.25">
      <c r="A1015" s="42" t="str">
        <v>1.18.2.6.2</v>
      </c>
      <c r="B1015" s="121" t="str">
        <v>This tick-box is cleared each time the step is visited, or validation fails.</v>
      </c>
      <c r="C1015" s="41">
        <v>5</v>
      </c>
      <c r="D1015" s="41" t="str">
        <v>RL</v>
      </c>
      <c r="E1015" s="117" t="str">
        <f t="shared" si="0"/>
        <v>RL</v>
      </c>
      <c r="F1015" s="41" t="str">
        <v/>
      </c>
      <c r="G1015" s="41" t="str">
        <v/>
      </c>
      <c r="H1015" s="117">
        <f t="shared" si="1"/>
        <v>0</v>
      </c>
      <c r="I1015" s="117">
        <f t="shared" si="2"/>
        <v>18</v>
      </c>
      <c r="J1015" s="117">
        <f t="shared" si="3"/>
        <v>18.020000000000003</v>
      </c>
      <c r="K1015" s="117" t="str">
        <f t="shared" si="4"/>
        <v>BR</v>
      </c>
      <c r="L1015" s="42" t="str">
        <v>BR1802</v>
      </c>
      <c r="M1015" s="121" t="str">
        <v/>
      </c>
      <c r="N1015" s="121" t="str">
        <v/>
      </c>
      <c r="O1015" s="121" t="str">
        <v/>
      </c>
      <c r="P1015" s="121" t="str">
        <v/>
      </c>
      <c r="Q1015" s="121" t="str">
        <v/>
      </c>
      <c r="R1015" s="121" t="str">
        <v/>
      </c>
      <c r="S1015" s="121" t="str">
        <v>This tick-box is cleared each time the step is visited, or validation fails.</v>
      </c>
      <c r="T1015" s="119" t="str">
        <f>IF($C1015&lt;4,IF($C1015=3,T1016,IF($C1015=2,T$1,"")),Q1015&amp;R1015&amp;IF(LEN(S1015)=0,"",Preferences!$C$2&amp;S1015)&amp;IF(J1016=J1015,IF(LEN(R1015&amp;S1015)=0,"","
")&amp;T1016,""))</f>
        <v xml:space="preserve">	• This tick-box is cleared each time the step is visited, or validation fails.
 7. When choosing the pay for order option, the user is redirected to the payment gateway, to process the payment for the order.
	• Refer to the Pay for order using debit/credit card requirements.</v>
      </c>
      <c r="U1015" s="122" t="str">
        <v/>
      </c>
      <c r="V1015" s="42"/>
      <c r="W1015" s="42"/>
      <c r="X1015" s="42"/>
      <c r="Y1015" s="42"/>
      <c r="Z1015" s="42"/>
      <c r="AA1015" s="42"/>
      <c r="AB1015" s="42"/>
    </row>
    <row r="1016" spans="1:28" x14ac:dyDescent="0.25">
      <c r="A1016" s="42" t="str">
        <v>1.18.2.7</v>
      </c>
      <c r="B1016" s="121" t="str">
        <v>When choosing the pay for order option, the user is redirected to the payment gateway, to process the payment for the order.</v>
      </c>
      <c r="C1016" s="41">
        <v>4</v>
      </c>
      <c r="D1016" s="41" t="str">
        <v>RD</v>
      </c>
      <c r="E1016" s="117" t="str">
        <f t="shared" si="0"/>
        <v>RD</v>
      </c>
      <c r="F1016" s="41" t="str">
        <v/>
      </c>
      <c r="G1016" s="41" t="str">
        <v/>
      </c>
      <c r="H1016" s="117">
        <f t="shared" si="1"/>
        <v>0</v>
      </c>
      <c r="I1016" s="117">
        <f t="shared" si="2"/>
        <v>18</v>
      </c>
      <c r="J1016" s="117">
        <f t="shared" si="3"/>
        <v>18.020000000000003</v>
      </c>
      <c r="K1016" s="117" t="str">
        <f t="shared" si="4"/>
        <v>BR</v>
      </c>
      <c r="L1016" s="42" t="str">
        <v>BR1802</v>
      </c>
      <c r="M1016" s="121" t="str">
        <v/>
      </c>
      <c r="N1016" s="121" t="str">
        <v/>
      </c>
      <c r="O1016" s="121" t="str">
        <v/>
      </c>
      <c r="P1016" s="121" t="str">
        <v/>
      </c>
      <c r="Q1016" s="121" t="str">
        <v xml:space="preserve"> 7. </v>
      </c>
      <c r="R1016" s="121" t="str">
        <v>When choosing the pay for order option, the user is redirected to the payment gateway, to process the payment for the order.</v>
      </c>
      <c r="S1016" s="121" t="str">
        <v/>
      </c>
      <c r="T1016" s="119" t="str">
        <f>IF($C1016&lt;4,IF($C1016=3,T1017,IF($C1016=2,T$1,"")),Q1016&amp;R1016&amp;IF(LEN(S1016)=0,"",Preferences!$C$2&amp;S1016)&amp;IF(J1017=J1016,IF(LEN(R1016&amp;S1016)=0,"","
")&amp;T1017,""))</f>
        <v xml:space="preserve"> 7. When choosing the pay for order option, the user is redirected to the payment gateway, to process the payment for the order.
	• Refer to the Pay for order using debit/credit card requirements.</v>
      </c>
      <c r="U1016" s="122" t="str">
        <v/>
      </c>
      <c r="V1016" s="42"/>
      <c r="W1016" s="42"/>
      <c r="X1016" s="42"/>
      <c r="Y1016" s="42"/>
      <c r="Z1016" s="42"/>
      <c r="AA1016" s="42"/>
      <c r="AB1016" s="42"/>
    </row>
    <row r="1017" spans="1:28" x14ac:dyDescent="0.25">
      <c r="A1017" s="42" t="str">
        <v>1.18.2.7.1</v>
      </c>
      <c r="B1017" s="121" t="str">
        <v>Refer to the Pay for order using debit/credit card requirements.</v>
      </c>
      <c r="C1017" s="41">
        <v>5</v>
      </c>
      <c r="D1017" s="41" t="str">
        <v>RL</v>
      </c>
      <c r="E1017" s="117" t="str">
        <f t="shared" si="0"/>
        <v>RL</v>
      </c>
      <c r="F1017" s="41" t="str">
        <v/>
      </c>
      <c r="G1017" s="41" t="str">
        <v/>
      </c>
      <c r="H1017" s="117">
        <f t="shared" si="1"/>
        <v>0</v>
      </c>
      <c r="I1017" s="117">
        <f t="shared" si="2"/>
        <v>18</v>
      </c>
      <c r="J1017" s="117">
        <f t="shared" si="3"/>
        <v>18.020000000000003</v>
      </c>
      <c r="K1017" s="117" t="str">
        <f t="shared" si="4"/>
        <v>BR</v>
      </c>
      <c r="L1017" s="42" t="str">
        <v>BR1802</v>
      </c>
      <c r="M1017" s="121" t="str">
        <v/>
      </c>
      <c r="N1017" s="121" t="str">
        <v/>
      </c>
      <c r="O1017" s="121" t="str">
        <v/>
      </c>
      <c r="P1017" s="121" t="str">
        <v/>
      </c>
      <c r="Q1017" s="121" t="str">
        <v/>
      </c>
      <c r="R1017" s="121" t="str">
        <v/>
      </c>
      <c r="S1017" s="121" t="str">
        <v>Refer to the Pay for order using debit/credit card requirements.</v>
      </c>
      <c r="T1017" s="119" t="str">
        <f>IF($C1017&lt;4,IF($C1017=3,T1018,IF($C1017=2,T$1,"")),Q1017&amp;R1017&amp;IF(LEN(S1017)=0,"",Preferences!$C$2&amp;S1017)&amp;IF(J1018=J1017,IF(LEN(R1017&amp;S1017)=0,"","
")&amp;T1018,""))</f>
        <v xml:space="preserve">	• Refer to the Pay for order using debit/credit card requirements.</v>
      </c>
      <c r="U1017" s="122" t="str">
        <v/>
      </c>
      <c r="V1017" s="42"/>
      <c r="W1017" s="42"/>
      <c r="X1017" s="42"/>
      <c r="Y1017" s="42"/>
      <c r="Z1017" s="42"/>
      <c r="AA1017" s="42"/>
      <c r="AB1017" s="42"/>
    </row>
    <row r="1018" spans="1:28" x14ac:dyDescent="0.25">
      <c r="A1018" s="42" t="str">
        <v>1.18.3</v>
      </c>
      <c r="B1018" s="121" t="str">
        <v>18.3 Pay for order using debit/credit card</v>
      </c>
      <c r="C1018" s="41">
        <v>3</v>
      </c>
      <c r="D1018" s="41" t="str">
        <v>R</v>
      </c>
      <c r="E1018" s="117" t="str">
        <f t="shared" si="0"/>
        <v>R</v>
      </c>
      <c r="F1018" s="41" t="str">
        <v/>
      </c>
      <c r="G1018" s="41" t="str">
        <v/>
      </c>
      <c r="H1018" s="117">
        <f t="shared" si="1"/>
        <v>0</v>
      </c>
      <c r="I1018" s="117">
        <f t="shared" si="2"/>
        <v>18</v>
      </c>
      <c r="J1018" s="117">
        <f t="shared" si="3"/>
        <v>18.030000000000005</v>
      </c>
      <c r="K1018" s="117" t="str">
        <f t="shared" si="4"/>
        <v>BR</v>
      </c>
      <c r="L1018" s="42" t="str">
        <v>BR1803</v>
      </c>
      <c r="M1018" s="121" t="str">
        <v/>
      </c>
      <c r="N1018" s="121" t="str">
        <v/>
      </c>
      <c r="O1018" s="121" t="str">
        <v>BR1803</v>
      </c>
      <c r="P1018" s="121" t="str">
        <v>Pay for order using debit/credit card</v>
      </c>
      <c r="Q1018" s="121" t="str">
        <v/>
      </c>
      <c r="R1018" s="121" t="str">
        <v/>
      </c>
      <c r="S1018" s="121" t="str">
        <v/>
      </c>
      <c r="T1018" s="119" t="str">
        <f>IF($C1018&lt;4,IF($C1018=3,T1019,IF($C1018=2,T$1,"")),Q1018&amp;R1018&amp;IF(LEN(S1018)=0,"",Preferences!$C$2&amp;S1018)&amp;IF(J1019=J1018,IF(LEN(R1018&amp;S1018)=0,"","
")&amp;T1019,""))</f>
        <v xml:space="preserve"> 1. Redirect to the card payment gateway
 2. Support secure payments, where the customer is prompted by their bank to enter a one-time password, etc.
 3. Support credit and debit cards for any South African bank.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18" s="122" t="str">
        <v/>
      </c>
      <c r="V1018" s="42"/>
      <c r="W1018" s="42"/>
      <c r="X1018" s="42"/>
      <c r="Y1018" s="42"/>
      <c r="Z1018" s="42"/>
      <c r="AA1018" s="42"/>
      <c r="AB1018" s="42"/>
    </row>
    <row r="1019" spans="1:28" x14ac:dyDescent="0.25">
      <c r="A1019" s="42" t="str">
        <v>1.18.3.1</v>
      </c>
      <c r="B1019" s="121" t="str">
        <v>Redirect to the card payment gateway</v>
      </c>
      <c r="C1019" s="41">
        <v>4</v>
      </c>
      <c r="D1019" s="41" t="str">
        <v>RD</v>
      </c>
      <c r="E1019" s="117" t="str">
        <f t="shared" si="0"/>
        <v>RD</v>
      </c>
      <c r="F1019" s="41" t="str">
        <v/>
      </c>
      <c r="G1019" s="41" t="str">
        <v/>
      </c>
      <c r="H1019" s="117">
        <f t="shared" si="1"/>
        <v>0</v>
      </c>
      <c r="I1019" s="117">
        <f t="shared" si="2"/>
        <v>18</v>
      </c>
      <c r="J1019" s="117">
        <f t="shared" si="3"/>
        <v>18.030000000000005</v>
      </c>
      <c r="K1019" s="117" t="str">
        <f t="shared" si="4"/>
        <v>BR</v>
      </c>
      <c r="L1019" s="42" t="str">
        <v>BR1803</v>
      </c>
      <c r="M1019" s="121" t="str">
        <v/>
      </c>
      <c r="N1019" s="121" t="str">
        <v/>
      </c>
      <c r="O1019" s="121" t="str">
        <v/>
      </c>
      <c r="P1019" s="121" t="str">
        <v/>
      </c>
      <c r="Q1019" s="121" t="str">
        <v xml:space="preserve"> 1. </v>
      </c>
      <c r="R1019" s="121" t="str">
        <v>Redirect to the card payment gateway</v>
      </c>
      <c r="S1019" s="121" t="str">
        <v/>
      </c>
      <c r="T1019" s="119" t="str">
        <f>IF($C1019&lt;4,IF($C1019=3,T1020,IF($C1019=2,T$1,"")),Q1019&amp;R1019&amp;IF(LEN(S1019)=0,"",Preferences!$C$2&amp;S1019)&amp;IF(J1020=J1019,IF(LEN(R1019&amp;S1019)=0,"","
")&amp;T1020,""))</f>
        <v xml:space="preserve"> 1. Redirect to the card payment gateway
 2. Support secure payments, where the customer is prompted by their bank to enter a one-time password, etc.
 3. Support credit and debit cards for any South African bank.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19" s="122" t="str">
        <v/>
      </c>
      <c r="V1019" s="42"/>
      <c r="W1019" s="42"/>
      <c r="X1019" s="42"/>
      <c r="Y1019" s="42"/>
      <c r="Z1019" s="42"/>
      <c r="AA1019" s="42"/>
      <c r="AB1019" s="42"/>
    </row>
    <row r="1020" spans="1:28" x14ac:dyDescent="0.25">
      <c r="A1020" s="42" t="str">
        <v>1.18.3.2</v>
      </c>
      <c r="B1020" s="121" t="str">
        <v>Support secure payments, where the customer is prompted by their bank to enter a one-time password, etc.</v>
      </c>
      <c r="C1020" s="41">
        <v>4</v>
      </c>
      <c r="D1020" s="41" t="str">
        <v>RD</v>
      </c>
      <c r="E1020" s="117" t="str">
        <f t="shared" si="0"/>
        <v>RD</v>
      </c>
      <c r="F1020" s="41" t="str">
        <v/>
      </c>
      <c r="G1020" s="41" t="str">
        <v/>
      </c>
      <c r="H1020" s="117">
        <f t="shared" si="1"/>
        <v>0</v>
      </c>
      <c r="I1020" s="117">
        <f t="shared" si="2"/>
        <v>18</v>
      </c>
      <c r="J1020" s="117">
        <f t="shared" si="3"/>
        <v>18.030000000000005</v>
      </c>
      <c r="K1020" s="117" t="str">
        <f t="shared" si="4"/>
        <v>BR</v>
      </c>
      <c r="L1020" s="42" t="str">
        <v>BR1803</v>
      </c>
      <c r="M1020" s="121" t="str">
        <v/>
      </c>
      <c r="N1020" s="121" t="str">
        <v/>
      </c>
      <c r="O1020" s="121" t="str">
        <v/>
      </c>
      <c r="P1020" s="121" t="str">
        <v/>
      </c>
      <c r="Q1020" s="121" t="str">
        <v xml:space="preserve"> 2. </v>
      </c>
      <c r="R1020" s="121" t="str">
        <v>Support secure payments, where the customer is prompted by their bank to enter a one-time password, etc.</v>
      </c>
      <c r="S1020" s="121" t="str">
        <v/>
      </c>
      <c r="T1020" s="119" t="str">
        <f>IF($C1020&lt;4,IF($C1020=3,T1021,IF($C1020=2,T$1,"")),Q1020&amp;R1020&amp;IF(LEN(S1020)=0,"",Preferences!$C$2&amp;S1020)&amp;IF(J1021=J1020,IF(LEN(R1020&amp;S1020)=0,"","
")&amp;T1021,""))</f>
        <v xml:space="preserve"> 2. Support secure payments, where the customer is prompted by their bank to enter a one-time password, etc.
 3. Support credit and debit cards for any South African bank.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20" s="122" t="str">
        <v/>
      </c>
      <c r="V1020" s="42"/>
      <c r="W1020" s="42"/>
      <c r="X1020" s="42"/>
      <c r="Y1020" s="42"/>
      <c r="Z1020" s="42"/>
      <c r="AA1020" s="42"/>
      <c r="AB1020" s="42"/>
    </row>
    <row r="1021" spans="1:28" x14ac:dyDescent="0.25">
      <c r="A1021" s="42" t="str">
        <v>1.18.3.3</v>
      </c>
      <c r="B1021" s="121" t="str">
        <v>Support credit and debit cards for any South African bank.</v>
      </c>
      <c r="C1021" s="41">
        <v>4</v>
      </c>
      <c r="D1021" s="41" t="str">
        <v>RD</v>
      </c>
      <c r="E1021" s="117" t="str">
        <f t="shared" si="0"/>
        <v>RD</v>
      </c>
      <c r="F1021" s="41" t="str">
        <v/>
      </c>
      <c r="G1021" s="41" t="str">
        <v/>
      </c>
      <c r="H1021" s="117">
        <f t="shared" si="1"/>
        <v>0</v>
      </c>
      <c r="I1021" s="117">
        <f t="shared" si="2"/>
        <v>18</v>
      </c>
      <c r="J1021" s="117">
        <f t="shared" si="3"/>
        <v>18.030000000000005</v>
      </c>
      <c r="K1021" s="117" t="str">
        <f t="shared" si="4"/>
        <v>BR</v>
      </c>
      <c r="L1021" s="42" t="str">
        <v>BR1803</v>
      </c>
      <c r="M1021" s="121" t="str">
        <v/>
      </c>
      <c r="N1021" s="121" t="str">
        <v/>
      </c>
      <c r="O1021" s="121" t="str">
        <v/>
      </c>
      <c r="P1021" s="121" t="str">
        <v/>
      </c>
      <c r="Q1021" s="121" t="str">
        <v xml:space="preserve"> 3. </v>
      </c>
      <c r="R1021" s="121" t="str">
        <v>Support credit and debit cards for any South African bank.</v>
      </c>
      <c r="S1021" s="121" t="str">
        <v/>
      </c>
      <c r="T1021" s="119" t="str">
        <f>IF($C1021&lt;4,IF($C1021=3,T1022,IF($C1021=2,T$1,"")),Q1021&amp;R1021&amp;IF(LEN(S1021)=0,"",Preferences!$C$2&amp;S1021)&amp;IF(J1022=J1021,IF(LEN(R1021&amp;S1021)=0,"","
")&amp;T1022,""))</f>
        <v xml:space="preserve"> 3. Support credit and debit cards for any South African bank.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21" s="122" t="str">
        <v/>
      </c>
      <c r="V1021" s="42"/>
      <c r="W1021" s="42"/>
      <c r="X1021" s="42"/>
      <c r="Y1021" s="42"/>
      <c r="Z1021" s="42"/>
      <c r="AA1021" s="42"/>
      <c r="AB1021" s="42"/>
    </row>
    <row r="1022" spans="1:28" x14ac:dyDescent="0.25">
      <c r="A1022" s="42" t="str">
        <v>1.18.3.4</v>
      </c>
      <c r="B1022" s="121" t="str">
        <v>For a successful payment, an order confirmation email is sent to the user.</v>
      </c>
      <c r="C1022" s="41">
        <v>4</v>
      </c>
      <c r="D1022" s="41" t="str">
        <v>RD</v>
      </c>
      <c r="E1022" s="117" t="str">
        <f t="shared" si="0"/>
        <v>RD</v>
      </c>
      <c r="F1022" s="41" t="str">
        <v/>
      </c>
      <c r="G1022" s="41" t="str">
        <v/>
      </c>
      <c r="H1022" s="117">
        <f t="shared" si="1"/>
        <v>0</v>
      </c>
      <c r="I1022" s="117">
        <f t="shared" si="2"/>
        <v>18</v>
      </c>
      <c r="J1022" s="117">
        <f t="shared" si="3"/>
        <v>18.030000000000005</v>
      </c>
      <c r="K1022" s="117" t="str">
        <f t="shared" si="4"/>
        <v>BR</v>
      </c>
      <c r="L1022" s="42" t="str">
        <v>BR1803</v>
      </c>
      <c r="M1022" s="121" t="str">
        <v/>
      </c>
      <c r="N1022" s="121" t="str">
        <v/>
      </c>
      <c r="O1022" s="121" t="str">
        <v/>
      </c>
      <c r="P1022" s="121" t="str">
        <v/>
      </c>
      <c r="Q1022" s="121" t="str">
        <v xml:space="preserve"> 4. </v>
      </c>
      <c r="R1022" s="121" t="str">
        <v>For a successful payment, an order confirmation email is sent to the user.</v>
      </c>
      <c r="S1022" s="121" t="str">
        <v/>
      </c>
      <c r="T1022" s="119" t="str">
        <f>IF($C1022&lt;4,IF($C1022=3,T1023,IF($C1022=2,T$1,"")),Q1022&amp;R1022&amp;IF(LEN(S1022)=0,"",Preferences!$C$2&amp;S1022)&amp;IF(J1023=J1022,IF(LEN(R1022&amp;S1022)=0,"","
")&amp;T1023,""))</f>
        <v xml:space="preserve"> 4. For a successful payment, an order confirmation email is sent to the user.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22" s="122" t="str">
        <v/>
      </c>
      <c r="V1022" s="42"/>
      <c r="W1022" s="42"/>
      <c r="X1022" s="42"/>
      <c r="Y1022" s="42"/>
      <c r="Z1022" s="42"/>
      <c r="AA1022" s="42"/>
      <c r="AB1022" s="42"/>
    </row>
    <row r="1023" spans="1:28" x14ac:dyDescent="0.25">
      <c r="A1023" s="42" t="str">
        <v>1.18.3.4.1</v>
      </c>
      <c r="B1023" s="121" t="str">
        <v>The email includes the full detail of the order.</v>
      </c>
      <c r="C1023" s="41">
        <v>5</v>
      </c>
      <c r="D1023" s="41" t="str">
        <v>RL</v>
      </c>
      <c r="E1023" s="117" t="str">
        <f t="shared" si="0"/>
        <v>RL</v>
      </c>
      <c r="F1023" s="41" t="str">
        <v/>
      </c>
      <c r="G1023" s="41" t="str">
        <v/>
      </c>
      <c r="H1023" s="117">
        <f t="shared" si="1"/>
        <v>0</v>
      </c>
      <c r="I1023" s="117">
        <f t="shared" si="2"/>
        <v>18</v>
      </c>
      <c r="J1023" s="117">
        <f t="shared" si="3"/>
        <v>18.030000000000005</v>
      </c>
      <c r="K1023" s="117" t="str">
        <f t="shared" si="4"/>
        <v>BR</v>
      </c>
      <c r="L1023" s="42" t="str">
        <v>BR1803</v>
      </c>
      <c r="M1023" s="121" t="str">
        <v/>
      </c>
      <c r="N1023" s="121" t="str">
        <v/>
      </c>
      <c r="O1023" s="121" t="str">
        <v/>
      </c>
      <c r="P1023" s="121" t="str">
        <v/>
      </c>
      <c r="Q1023" s="121" t="str">
        <v/>
      </c>
      <c r="R1023" s="121" t="str">
        <v/>
      </c>
      <c r="S1023" s="121" t="str">
        <v>The email includes the full detail of the order.</v>
      </c>
      <c r="T1023" s="119" t="str">
        <f>IF($C1023&lt;4,IF($C1023=3,T1024,IF($C1023=2,T$1,"")),Q1023&amp;R1023&amp;IF(LEN(S1023)=0,"",Preferences!$C$2&amp;S1023)&amp;IF(J1024=J1023,IF(LEN(R1023&amp;S1023)=0,"","
")&amp;T1024,""))</f>
        <v xml:space="preserve">	• The email includes the full detail of the order.
 5. If payment returns successful from payment gateway, redirect to payment confirmation page, with order number and link to order details.
 6. If payment returns failed from payment gateway, redirect back to payment method confirmation.</v>
      </c>
      <c r="U1023" s="122" t="str">
        <v/>
      </c>
      <c r="V1023" s="42"/>
      <c r="W1023" s="42"/>
      <c r="X1023" s="42"/>
      <c r="Y1023" s="42"/>
      <c r="Z1023" s="42"/>
      <c r="AA1023" s="42"/>
      <c r="AB1023" s="42"/>
    </row>
    <row r="1024" spans="1:28" x14ac:dyDescent="0.25">
      <c r="A1024" s="42" t="str">
        <v>1.18.3.5</v>
      </c>
      <c r="B1024" s="121" t="str">
        <v>If payment returns successful from payment gateway, redirect to payment confirmation page, with order number and link to order details.</v>
      </c>
      <c r="C1024" s="41">
        <v>4</v>
      </c>
      <c r="D1024" s="41" t="str">
        <v>RD</v>
      </c>
      <c r="E1024" s="117" t="str">
        <f t="shared" si="0"/>
        <v>RD</v>
      </c>
      <c r="F1024" s="41" t="str">
        <v/>
      </c>
      <c r="G1024" s="41" t="str">
        <v/>
      </c>
      <c r="H1024" s="117">
        <f t="shared" si="1"/>
        <v>0</v>
      </c>
      <c r="I1024" s="117">
        <f t="shared" si="2"/>
        <v>18</v>
      </c>
      <c r="J1024" s="117">
        <f t="shared" si="3"/>
        <v>18.030000000000005</v>
      </c>
      <c r="K1024" s="117" t="str">
        <f t="shared" si="4"/>
        <v>BR</v>
      </c>
      <c r="L1024" s="42" t="str">
        <v>BR1803</v>
      </c>
      <c r="M1024" s="121" t="str">
        <v/>
      </c>
      <c r="N1024" s="121" t="str">
        <v/>
      </c>
      <c r="O1024" s="121" t="str">
        <v/>
      </c>
      <c r="P1024" s="121" t="str">
        <v/>
      </c>
      <c r="Q1024" s="121" t="str">
        <v xml:space="preserve"> 5. </v>
      </c>
      <c r="R1024" s="121" t="str">
        <v>If payment returns successful from payment gateway, redirect to payment confirmation page, with order number and link to order details.</v>
      </c>
      <c r="S1024" s="121" t="str">
        <v/>
      </c>
      <c r="T1024" s="119" t="str">
        <f>IF($C1024&lt;4,IF($C1024=3,T1025,IF($C1024=2,T$1,"")),Q1024&amp;R1024&amp;IF(LEN(S1024)=0,"",Preferences!$C$2&amp;S1024)&amp;IF(J1025=J1024,IF(LEN(R1024&amp;S1024)=0,"","
")&amp;T1025,""))</f>
        <v xml:space="preserve"> 5. If payment returns successful from payment gateway, redirect to payment confirmation page, with order number and link to order details.
 6. If payment returns failed from payment gateway, redirect back to payment method confirmation.</v>
      </c>
      <c r="U1024" s="122" t="str">
        <v/>
      </c>
      <c r="V1024" s="42"/>
      <c r="W1024" s="42"/>
      <c r="X1024" s="42"/>
      <c r="Y1024" s="42"/>
      <c r="Z1024" s="42"/>
      <c r="AA1024" s="42"/>
      <c r="AB1024" s="42"/>
    </row>
    <row r="1025" spans="1:28" x14ac:dyDescent="0.25">
      <c r="A1025" s="42" t="str">
        <v>1.18.3.6</v>
      </c>
      <c r="B1025" s="121" t="str">
        <v>If payment returns failed from payment gateway, redirect back to payment method confirmation.</v>
      </c>
      <c r="C1025" s="41">
        <v>4</v>
      </c>
      <c r="D1025" s="41" t="str">
        <v>RD</v>
      </c>
      <c r="E1025" s="117" t="str">
        <f t="shared" si="0"/>
        <v>RD</v>
      </c>
      <c r="F1025" s="41" t="str">
        <v/>
      </c>
      <c r="G1025" s="41" t="str">
        <v/>
      </c>
      <c r="H1025" s="117">
        <f t="shared" si="1"/>
        <v>0</v>
      </c>
      <c r="I1025" s="117">
        <f t="shared" si="2"/>
        <v>18</v>
      </c>
      <c r="J1025" s="117">
        <f t="shared" si="3"/>
        <v>18.030000000000005</v>
      </c>
      <c r="K1025" s="117" t="str">
        <f t="shared" si="4"/>
        <v>BR</v>
      </c>
      <c r="L1025" s="42" t="str">
        <v>BR1803</v>
      </c>
      <c r="M1025" s="121" t="str">
        <v/>
      </c>
      <c r="N1025" s="121" t="str">
        <v/>
      </c>
      <c r="O1025" s="121" t="str">
        <v/>
      </c>
      <c r="P1025" s="121" t="str">
        <v/>
      </c>
      <c r="Q1025" s="121" t="str">
        <v xml:space="preserve"> 6. </v>
      </c>
      <c r="R1025" s="121" t="str">
        <v>If payment returns failed from payment gateway, redirect back to payment method confirmation.</v>
      </c>
      <c r="S1025" s="121" t="str">
        <v/>
      </c>
      <c r="T1025" s="119" t="str">
        <f>IF($C1025&lt;4,IF($C1025=3,T1026,IF($C1025=2,T$1,"")),Q1025&amp;R1025&amp;IF(LEN(S1025)=0,"",Preferences!$C$2&amp;S1025)&amp;IF(J1026=J1025,IF(LEN(R1025&amp;S1025)=0,"","
")&amp;T1026,""))</f>
        <v xml:space="preserve"> 6. If payment returns failed from payment gateway, redirect back to payment method confirmation.</v>
      </c>
      <c r="U1025" s="122" t="str">
        <v/>
      </c>
      <c r="V1025" s="42"/>
      <c r="W1025" s="42"/>
      <c r="X1025" s="42"/>
      <c r="Y1025" s="42"/>
      <c r="Z1025" s="42"/>
      <c r="AA1025" s="42"/>
      <c r="AB1025" s="42"/>
    </row>
    <row r="1026" spans="1:28" x14ac:dyDescent="0.25">
      <c r="A1026" s="42" t="str">
        <v>1.18.4</v>
      </c>
      <c r="B1026" s="121" t="str">
        <v>18.4 View payment successful confirmation</v>
      </c>
      <c r="C1026" s="41">
        <v>3</v>
      </c>
      <c r="D1026" s="41" t="str">
        <v>R</v>
      </c>
      <c r="E1026" s="117" t="str">
        <f t="shared" si="0"/>
        <v>R</v>
      </c>
      <c r="F1026" s="41" t="str">
        <v/>
      </c>
      <c r="G1026" s="41" t="str">
        <v/>
      </c>
      <c r="H1026" s="117">
        <f t="shared" si="1"/>
        <v>0</v>
      </c>
      <c r="I1026" s="117">
        <f t="shared" si="2"/>
        <v>18</v>
      </c>
      <c r="J1026" s="117">
        <f t="shared" si="3"/>
        <v>18.040000000000006</v>
      </c>
      <c r="K1026" s="117" t="str">
        <f t="shared" si="4"/>
        <v>BR</v>
      </c>
      <c r="L1026" s="42" t="str">
        <v>BR1804</v>
      </c>
      <c r="M1026" s="121" t="str">
        <v/>
      </c>
      <c r="N1026" s="121" t="str">
        <v/>
      </c>
      <c r="O1026" s="121" t="str">
        <v>BR1804</v>
      </c>
      <c r="P1026" s="121" t="str">
        <v>View payment successful confirmation</v>
      </c>
      <c r="Q1026" s="121" t="str">
        <v/>
      </c>
      <c r="R1026" s="121" t="str">
        <v/>
      </c>
      <c r="S1026" s="121" t="str">
        <v/>
      </c>
      <c r="T1026" s="119" t="str">
        <f>IF($C1026&lt;4,IF($C1026=3,T1027,IF($C1026=2,T$1,"")),Q1026&amp;R1026&amp;IF(LEN(S1026)=0,"",Preferences!$C$2&amp;S1026)&amp;IF(J1027=J1026,IF(LEN(R1026&amp;S1026)=0,"","
")&amp;T1027,""))</f>
        <v xml:space="preserve"> 1. The following is presented on a payment confirmation page:
	• A payment confirmation message
	• Order reference (linked to view the order)
	• Link to view the order
 2. The following actions are presented to the user:
	• View order
	• Continue shopping
 3. The view order option redirects the user to view the specific order.
 4. The continue shopping option redirects the user back to their last search results.</v>
      </c>
      <c r="U1026" s="122" t="str">
        <v/>
      </c>
      <c r="V1026" s="42"/>
      <c r="W1026" s="42"/>
      <c r="X1026" s="42"/>
      <c r="Y1026" s="42"/>
      <c r="Z1026" s="42"/>
      <c r="AA1026" s="42"/>
      <c r="AB1026" s="42"/>
    </row>
    <row r="1027" spans="1:28" x14ac:dyDescent="0.25">
      <c r="A1027" s="42" t="str">
        <v>1.18.4.1</v>
      </c>
      <c r="B1027" s="121" t="str">
        <v>The following is presented on a payment confirmation page:</v>
      </c>
      <c r="C1027" s="41">
        <v>4</v>
      </c>
      <c r="D1027" s="41" t="str">
        <v>RD</v>
      </c>
      <c r="E1027" s="117" t="str">
        <f t="shared" si="0"/>
        <v>RD</v>
      </c>
      <c r="F1027" s="41" t="str">
        <v/>
      </c>
      <c r="G1027" s="41" t="str">
        <v/>
      </c>
      <c r="H1027" s="117">
        <f t="shared" si="1"/>
        <v>0</v>
      </c>
      <c r="I1027" s="117">
        <f t="shared" si="2"/>
        <v>18</v>
      </c>
      <c r="J1027" s="117">
        <f t="shared" si="3"/>
        <v>18.040000000000006</v>
      </c>
      <c r="K1027" s="117" t="str">
        <f t="shared" si="4"/>
        <v>BR</v>
      </c>
      <c r="L1027" s="42" t="str">
        <v>BR1804</v>
      </c>
      <c r="M1027" s="121" t="str">
        <v/>
      </c>
      <c r="N1027" s="121" t="str">
        <v/>
      </c>
      <c r="O1027" s="121" t="str">
        <v/>
      </c>
      <c r="P1027" s="121" t="str">
        <v/>
      </c>
      <c r="Q1027" s="121" t="str">
        <v xml:space="preserve"> 1. </v>
      </c>
      <c r="R1027" s="121" t="str">
        <v>The following is presented on a payment confirmation page:</v>
      </c>
      <c r="S1027" s="121" t="str">
        <v/>
      </c>
      <c r="T1027" s="119" t="str">
        <f>IF($C1027&lt;4,IF($C1027=3,T1028,IF($C1027=2,T$1,"")),Q1027&amp;R1027&amp;IF(LEN(S1027)=0,"",Preferences!$C$2&amp;S1027)&amp;IF(J1028=J1027,IF(LEN(R1027&amp;S1027)=0,"","
")&amp;T1028,""))</f>
        <v xml:space="preserve"> 1. The following is presented on a payment confirmation page:
	• A payment confirmation message
	• Order reference (linked to view the order)
	• Link to view the order
 2. The following actions are presented to the user:
	• View order
	• Continue shopping
 3. The view order option redirects the user to view the specific order.
 4. The continue shopping option redirects the user back to their last search results.</v>
      </c>
      <c r="U1027" s="122" t="str">
        <v/>
      </c>
      <c r="V1027" s="42"/>
      <c r="W1027" s="42"/>
      <c r="X1027" s="42"/>
      <c r="Y1027" s="42"/>
      <c r="Z1027" s="42"/>
      <c r="AA1027" s="42"/>
      <c r="AB1027" s="42"/>
    </row>
    <row r="1028" spans="1:28" x14ac:dyDescent="0.25">
      <c r="A1028" s="42" t="str">
        <v>1.18.4.1.1</v>
      </c>
      <c r="B1028" s="121" t="str">
        <v>A payment confirmation message</v>
      </c>
      <c r="C1028" s="41">
        <v>5</v>
      </c>
      <c r="D1028" s="41" t="str">
        <v>RL</v>
      </c>
      <c r="E1028" s="117" t="str">
        <f t="shared" si="0"/>
        <v>RL</v>
      </c>
      <c r="F1028" s="41" t="str">
        <v/>
      </c>
      <c r="G1028" s="41" t="str">
        <v/>
      </c>
      <c r="H1028" s="117">
        <f t="shared" si="1"/>
        <v>0</v>
      </c>
      <c r="I1028" s="117">
        <f t="shared" si="2"/>
        <v>18</v>
      </c>
      <c r="J1028" s="117">
        <f t="shared" si="3"/>
        <v>18.040000000000006</v>
      </c>
      <c r="K1028" s="117" t="str">
        <f t="shared" si="4"/>
        <v>BR</v>
      </c>
      <c r="L1028" s="42" t="str">
        <v>BR1804</v>
      </c>
      <c r="M1028" s="121" t="str">
        <v/>
      </c>
      <c r="N1028" s="121" t="str">
        <v/>
      </c>
      <c r="O1028" s="121" t="str">
        <v/>
      </c>
      <c r="P1028" s="121" t="str">
        <v/>
      </c>
      <c r="Q1028" s="121" t="str">
        <v/>
      </c>
      <c r="R1028" s="121" t="str">
        <v/>
      </c>
      <c r="S1028" s="121" t="str">
        <v>A payment confirmation message</v>
      </c>
      <c r="T1028" s="119" t="str">
        <f>IF($C1028&lt;4,IF($C1028=3,T1029,IF($C1028=2,T$1,"")),Q1028&amp;R1028&amp;IF(LEN(S1028)=0,"",Preferences!$C$2&amp;S1028)&amp;IF(J1029=J1028,IF(LEN(R1028&amp;S1028)=0,"","
")&amp;T1029,""))</f>
        <v xml:space="preserve">	• A payment confirmation message
	• Order reference (linked to view the order)
	• Link to view the order
 2. The following actions are presented to the user:
	• View order
	• Continue shopping
 3. The view order option redirects the user to view the specific order.
 4. The continue shopping option redirects the user back to their last search results.</v>
      </c>
      <c r="U1028" s="122" t="str">
        <v/>
      </c>
      <c r="V1028" s="42"/>
      <c r="W1028" s="42"/>
      <c r="X1028" s="42"/>
      <c r="Y1028" s="42"/>
      <c r="Z1028" s="42"/>
      <c r="AA1028" s="42"/>
      <c r="AB1028" s="42"/>
    </row>
    <row r="1029" spans="1:28" x14ac:dyDescent="0.25">
      <c r="A1029" s="42" t="str">
        <v>1.18.4.1.2</v>
      </c>
      <c r="B1029" s="121" t="str">
        <v>Order reference (linked to view the order)</v>
      </c>
      <c r="C1029" s="41">
        <v>5</v>
      </c>
      <c r="D1029" s="41" t="str">
        <v>RL</v>
      </c>
      <c r="E1029" s="117" t="str">
        <f t="shared" si="0"/>
        <v>RL</v>
      </c>
      <c r="F1029" s="41" t="str">
        <v/>
      </c>
      <c r="G1029" s="41" t="str">
        <v/>
      </c>
      <c r="H1029" s="117">
        <f t="shared" si="1"/>
        <v>0</v>
      </c>
      <c r="I1029" s="117">
        <f t="shared" si="2"/>
        <v>18</v>
      </c>
      <c r="J1029" s="117">
        <f t="shared" si="3"/>
        <v>18.040000000000006</v>
      </c>
      <c r="K1029" s="117" t="str">
        <f t="shared" si="4"/>
        <v>BR</v>
      </c>
      <c r="L1029" s="42" t="str">
        <v>BR1804</v>
      </c>
      <c r="M1029" s="121" t="str">
        <v/>
      </c>
      <c r="N1029" s="121" t="str">
        <v/>
      </c>
      <c r="O1029" s="121" t="str">
        <v/>
      </c>
      <c r="P1029" s="121" t="str">
        <v/>
      </c>
      <c r="Q1029" s="121" t="str">
        <v/>
      </c>
      <c r="R1029" s="121" t="str">
        <v/>
      </c>
      <c r="S1029" s="121" t="str">
        <v>Order reference (linked to view the order)</v>
      </c>
      <c r="T1029" s="119" t="str">
        <f>IF($C1029&lt;4,IF($C1029=3,T1030,IF($C1029=2,T$1,"")),Q1029&amp;R1029&amp;IF(LEN(S1029)=0,"",Preferences!$C$2&amp;S1029)&amp;IF(J1030=J1029,IF(LEN(R1029&amp;S1029)=0,"","
")&amp;T1030,""))</f>
        <v xml:space="preserve">	• Order reference (linked to view the order)
	• Link to view the order
 2. The following actions are presented to the user:
	• View order
	• Continue shopping
 3. The view order option redirects the user to view the specific order.
 4. The continue shopping option redirects the user back to their last search results.</v>
      </c>
      <c r="U1029" s="122" t="str">
        <v/>
      </c>
      <c r="V1029" s="42"/>
      <c r="W1029" s="42"/>
      <c r="X1029" s="42"/>
      <c r="Y1029" s="42"/>
      <c r="Z1029" s="42"/>
      <c r="AA1029" s="42"/>
      <c r="AB1029" s="42"/>
    </row>
    <row r="1030" spans="1:28" x14ac:dyDescent="0.25">
      <c r="A1030" s="42" t="str">
        <v>1.18.4.1.3</v>
      </c>
      <c r="B1030" s="121" t="str">
        <v>Link to view the order</v>
      </c>
      <c r="C1030" s="41">
        <v>5</v>
      </c>
      <c r="D1030" s="41" t="str">
        <v>RL</v>
      </c>
      <c r="E1030" s="117" t="str">
        <f t="shared" si="0"/>
        <v>RL</v>
      </c>
      <c r="F1030" s="41" t="str">
        <v/>
      </c>
      <c r="G1030" s="41" t="str">
        <v/>
      </c>
      <c r="H1030" s="117">
        <f t="shared" si="1"/>
        <v>0</v>
      </c>
      <c r="I1030" s="117">
        <f t="shared" si="2"/>
        <v>18</v>
      </c>
      <c r="J1030" s="117">
        <f t="shared" si="3"/>
        <v>18.040000000000006</v>
      </c>
      <c r="K1030" s="117" t="str">
        <f t="shared" si="4"/>
        <v>BR</v>
      </c>
      <c r="L1030" s="42" t="str">
        <v>BR1804</v>
      </c>
      <c r="M1030" s="121" t="str">
        <v/>
      </c>
      <c r="N1030" s="121" t="str">
        <v/>
      </c>
      <c r="O1030" s="121" t="str">
        <v/>
      </c>
      <c r="P1030" s="121" t="str">
        <v/>
      </c>
      <c r="Q1030" s="121" t="str">
        <v/>
      </c>
      <c r="R1030" s="121" t="str">
        <v/>
      </c>
      <c r="S1030" s="121" t="str">
        <v>Link to view the order</v>
      </c>
      <c r="T1030" s="119" t="str">
        <f>IF($C1030&lt;4,IF($C1030=3,T1031,IF($C1030=2,T$1,"")),Q1030&amp;R1030&amp;IF(LEN(S1030)=0,"",Preferences!$C$2&amp;S1030)&amp;IF(J1031=J1030,IF(LEN(R1030&amp;S1030)=0,"","
")&amp;T1031,""))</f>
        <v xml:space="preserve">	• Link to view the order
 2. The following actions are presented to the user:
	• View order
	• Continue shopping
 3. The view order option redirects the user to view the specific order.
 4. The continue shopping option redirects the user back to their last search results.</v>
      </c>
      <c r="U1030" s="122" t="str">
        <v/>
      </c>
      <c r="V1030" s="42"/>
      <c r="W1030" s="42"/>
      <c r="X1030" s="42"/>
      <c r="Y1030" s="42"/>
      <c r="Z1030" s="42"/>
      <c r="AA1030" s="42"/>
      <c r="AB1030" s="42"/>
    </row>
    <row r="1031" spans="1:28" x14ac:dyDescent="0.25">
      <c r="A1031" s="42" t="str">
        <v>1.18.4.2</v>
      </c>
      <c r="B1031" s="121" t="str">
        <v>The following actions are presented to the user:</v>
      </c>
      <c r="C1031" s="41">
        <v>4</v>
      </c>
      <c r="D1031" s="41" t="str">
        <v>RD</v>
      </c>
      <c r="E1031" s="117" t="str">
        <f t="shared" si="0"/>
        <v>RD</v>
      </c>
      <c r="F1031" s="41" t="str">
        <v/>
      </c>
      <c r="G1031" s="41" t="str">
        <v/>
      </c>
      <c r="H1031" s="117">
        <f t="shared" si="1"/>
        <v>0</v>
      </c>
      <c r="I1031" s="117">
        <f t="shared" si="2"/>
        <v>18</v>
      </c>
      <c r="J1031" s="117">
        <f t="shared" si="3"/>
        <v>18.040000000000006</v>
      </c>
      <c r="K1031" s="117" t="str">
        <f t="shared" si="4"/>
        <v>BR</v>
      </c>
      <c r="L1031" s="42" t="str">
        <v>BR1804</v>
      </c>
      <c r="M1031" s="121" t="str">
        <v/>
      </c>
      <c r="N1031" s="121" t="str">
        <v/>
      </c>
      <c r="O1031" s="121" t="str">
        <v/>
      </c>
      <c r="P1031" s="121" t="str">
        <v/>
      </c>
      <c r="Q1031" s="121" t="str">
        <v xml:space="preserve"> 2. </v>
      </c>
      <c r="R1031" s="121" t="str">
        <v>The following actions are presented to the user:</v>
      </c>
      <c r="S1031" s="121" t="str">
        <v/>
      </c>
      <c r="T1031" s="119" t="str">
        <f>IF($C1031&lt;4,IF($C1031=3,T1032,IF($C1031=2,T$1,"")),Q1031&amp;R1031&amp;IF(LEN(S1031)=0,"",Preferences!$C$2&amp;S1031)&amp;IF(J1032=J1031,IF(LEN(R1031&amp;S1031)=0,"","
")&amp;T1032,""))</f>
        <v xml:space="preserve"> 2. The following actions are presented to the user:
	• View order
	• Continue shopping
 3. The view order option redirects the user to view the specific order.
 4. The continue shopping option redirects the user back to their last search results.</v>
      </c>
      <c r="U1031" s="122" t="str">
        <v/>
      </c>
      <c r="V1031" s="42"/>
      <c r="W1031" s="42"/>
      <c r="X1031" s="42"/>
      <c r="Y1031" s="42"/>
      <c r="Z1031" s="42"/>
      <c r="AA1031" s="42"/>
      <c r="AB1031" s="42"/>
    </row>
    <row r="1032" spans="1:28" x14ac:dyDescent="0.25">
      <c r="A1032" s="42" t="str">
        <v>1.18.4.2.1</v>
      </c>
      <c r="B1032" s="121" t="str">
        <v>View order</v>
      </c>
      <c r="C1032" s="41">
        <v>5</v>
      </c>
      <c r="D1032" s="41" t="str">
        <v>RL</v>
      </c>
      <c r="E1032" s="117" t="str">
        <f t="shared" si="0"/>
        <v>RL</v>
      </c>
      <c r="F1032" s="41" t="str">
        <v/>
      </c>
      <c r="G1032" s="41" t="str">
        <v/>
      </c>
      <c r="H1032" s="117">
        <f t="shared" si="1"/>
        <v>0</v>
      </c>
      <c r="I1032" s="117">
        <f t="shared" si="2"/>
        <v>18</v>
      </c>
      <c r="J1032" s="117">
        <f t="shared" si="3"/>
        <v>18.040000000000006</v>
      </c>
      <c r="K1032" s="117" t="str">
        <f t="shared" si="4"/>
        <v>BR</v>
      </c>
      <c r="L1032" s="42" t="str">
        <v>BR1804</v>
      </c>
      <c r="M1032" s="121" t="str">
        <v/>
      </c>
      <c r="N1032" s="121" t="str">
        <v/>
      </c>
      <c r="O1032" s="121" t="str">
        <v/>
      </c>
      <c r="P1032" s="121" t="str">
        <v/>
      </c>
      <c r="Q1032" s="121" t="str">
        <v/>
      </c>
      <c r="R1032" s="121" t="str">
        <v/>
      </c>
      <c r="S1032" s="121" t="str">
        <v>View order</v>
      </c>
      <c r="T1032" s="119" t="str">
        <f>IF($C1032&lt;4,IF($C1032=3,T1033,IF($C1032=2,T$1,"")),Q1032&amp;R1032&amp;IF(LEN(S1032)=0,"",Preferences!$C$2&amp;S1032)&amp;IF(J1033=J1032,IF(LEN(R1032&amp;S1032)=0,"","
")&amp;T1033,""))</f>
        <v xml:space="preserve">	• View order
	• Continue shopping
 3. The view order option redirects the user to view the specific order.
 4. The continue shopping option redirects the user back to their last search results.</v>
      </c>
      <c r="U1032" s="122" t="str">
        <v/>
      </c>
      <c r="V1032" s="42"/>
      <c r="W1032" s="42"/>
      <c r="X1032" s="42"/>
      <c r="Y1032" s="42"/>
      <c r="Z1032" s="42"/>
      <c r="AA1032" s="42"/>
      <c r="AB1032" s="42"/>
    </row>
    <row r="1033" spans="1:28" x14ac:dyDescent="0.25">
      <c r="A1033" s="42" t="str">
        <v>1.18.4.2.2</v>
      </c>
      <c r="B1033" s="121" t="str">
        <v>Continue shopping</v>
      </c>
      <c r="C1033" s="41">
        <v>5</v>
      </c>
      <c r="D1033" s="41" t="str">
        <v>RL</v>
      </c>
      <c r="E1033" s="117" t="str">
        <f t="shared" si="0"/>
        <v>RL</v>
      </c>
      <c r="F1033" s="41" t="str">
        <v/>
      </c>
      <c r="G1033" s="41" t="str">
        <v/>
      </c>
      <c r="H1033" s="117">
        <f t="shared" si="1"/>
        <v>0</v>
      </c>
      <c r="I1033" s="117">
        <f t="shared" si="2"/>
        <v>18</v>
      </c>
      <c r="J1033" s="117">
        <f t="shared" si="3"/>
        <v>18.040000000000006</v>
      </c>
      <c r="K1033" s="117" t="str">
        <f t="shared" si="4"/>
        <v>BR</v>
      </c>
      <c r="L1033" s="42" t="str">
        <v>BR1804</v>
      </c>
      <c r="M1033" s="121" t="str">
        <v/>
      </c>
      <c r="N1033" s="121" t="str">
        <v/>
      </c>
      <c r="O1033" s="121" t="str">
        <v/>
      </c>
      <c r="P1033" s="121" t="str">
        <v/>
      </c>
      <c r="Q1033" s="121" t="str">
        <v/>
      </c>
      <c r="R1033" s="121" t="str">
        <v/>
      </c>
      <c r="S1033" s="121" t="str">
        <v>Continue shopping</v>
      </c>
      <c r="T1033" s="119" t="str">
        <f>IF($C1033&lt;4,IF($C1033=3,T1034,IF($C1033=2,T$1,"")),Q1033&amp;R1033&amp;IF(LEN(S1033)=0,"",Preferences!$C$2&amp;S1033)&amp;IF(J1034=J1033,IF(LEN(R1033&amp;S1033)=0,"","
")&amp;T1034,""))</f>
        <v xml:space="preserve">	• Continue shopping
 3. The view order option redirects the user to view the specific order.
 4. The continue shopping option redirects the user back to their last search results.</v>
      </c>
      <c r="U1033" s="122" t="str">
        <v/>
      </c>
      <c r="V1033" s="42"/>
      <c r="W1033" s="42"/>
      <c r="X1033" s="42"/>
      <c r="Y1033" s="42"/>
      <c r="Z1033" s="42"/>
      <c r="AA1033" s="42"/>
      <c r="AB1033" s="42"/>
    </row>
    <row r="1034" spans="1:28" x14ac:dyDescent="0.25">
      <c r="A1034" s="42" t="str">
        <v>1.18.4.3</v>
      </c>
      <c r="B1034" s="121" t="str">
        <v>The view order option redirects the user to view the specific order.</v>
      </c>
      <c r="C1034" s="41">
        <v>4</v>
      </c>
      <c r="D1034" s="41" t="str">
        <v>RD</v>
      </c>
      <c r="E1034" s="117" t="str">
        <f t="shared" si="0"/>
        <v>RD</v>
      </c>
      <c r="F1034" s="41" t="str">
        <v/>
      </c>
      <c r="G1034" s="41" t="str">
        <v/>
      </c>
      <c r="H1034" s="117">
        <f t="shared" si="1"/>
        <v>0</v>
      </c>
      <c r="I1034" s="117">
        <f t="shared" si="2"/>
        <v>18</v>
      </c>
      <c r="J1034" s="117">
        <f t="shared" si="3"/>
        <v>18.040000000000006</v>
      </c>
      <c r="K1034" s="117" t="str">
        <f t="shared" si="4"/>
        <v>BR</v>
      </c>
      <c r="L1034" s="42" t="str">
        <v>BR1804</v>
      </c>
      <c r="M1034" s="121" t="str">
        <v/>
      </c>
      <c r="N1034" s="121" t="str">
        <v/>
      </c>
      <c r="O1034" s="121" t="str">
        <v/>
      </c>
      <c r="P1034" s="121" t="str">
        <v/>
      </c>
      <c r="Q1034" s="121" t="str">
        <v xml:space="preserve"> 3. </v>
      </c>
      <c r="R1034" s="121" t="str">
        <v>The view order option redirects the user to view the specific order.</v>
      </c>
      <c r="S1034" s="121" t="str">
        <v/>
      </c>
      <c r="T1034" s="119" t="str">
        <f>IF($C1034&lt;4,IF($C1034=3,T1035,IF($C1034=2,T$1,"")),Q1034&amp;R1034&amp;IF(LEN(S1034)=0,"",Preferences!$C$2&amp;S1034)&amp;IF(J1035=J1034,IF(LEN(R1034&amp;S1034)=0,"","
")&amp;T1035,""))</f>
        <v xml:space="preserve"> 3. The view order option redirects the user to view the specific order.
 4. The continue shopping option redirects the user back to their last search results.</v>
      </c>
      <c r="U1034" s="122" t="str">
        <v/>
      </c>
      <c r="V1034" s="42"/>
      <c r="W1034" s="42"/>
      <c r="X1034" s="42"/>
      <c r="Y1034" s="42"/>
      <c r="Z1034" s="42"/>
      <c r="AA1034" s="42"/>
      <c r="AB1034" s="42"/>
    </row>
    <row r="1035" spans="1:28" x14ac:dyDescent="0.25">
      <c r="A1035" s="42" t="str">
        <v>1.18.4.4</v>
      </c>
      <c r="B1035" s="121" t="str">
        <v>The continue shopping option redirects the user back to their last search results.</v>
      </c>
      <c r="C1035" s="41">
        <v>4</v>
      </c>
      <c r="D1035" s="41" t="str">
        <v>RD</v>
      </c>
      <c r="E1035" s="117" t="str">
        <f t="shared" si="0"/>
        <v>RD</v>
      </c>
      <c r="F1035" s="41" t="str">
        <v/>
      </c>
      <c r="G1035" s="41" t="str">
        <v/>
      </c>
      <c r="H1035" s="117">
        <f t="shared" si="1"/>
        <v>0</v>
      </c>
      <c r="I1035" s="117">
        <f t="shared" si="2"/>
        <v>18</v>
      </c>
      <c r="J1035" s="117">
        <f t="shared" si="3"/>
        <v>18.040000000000006</v>
      </c>
      <c r="K1035" s="117" t="str">
        <f t="shared" si="4"/>
        <v>BR</v>
      </c>
      <c r="L1035" s="42" t="str">
        <v>BR1804</v>
      </c>
      <c r="M1035" s="121" t="str">
        <v/>
      </c>
      <c r="N1035" s="121" t="str">
        <v/>
      </c>
      <c r="O1035" s="121" t="str">
        <v/>
      </c>
      <c r="P1035" s="121" t="str">
        <v/>
      </c>
      <c r="Q1035" s="121" t="str">
        <v xml:space="preserve"> 4. </v>
      </c>
      <c r="R1035" s="121" t="str">
        <v>The continue shopping option redirects the user back to their last search results.</v>
      </c>
      <c r="S1035" s="121" t="str">
        <v/>
      </c>
      <c r="T1035" s="119" t="str">
        <f>IF($C1035&lt;4,IF($C1035=3,T1036,IF($C1035=2,T$1,"")),Q1035&amp;R1035&amp;IF(LEN(S1035)=0,"",Preferences!$C$2&amp;S1035)&amp;IF(J1036=J1035,IF(LEN(R1035&amp;S1035)=0,"","
")&amp;T1036,""))</f>
        <v xml:space="preserve"> 4. The continue shopping option redirects the user back to their last search results.</v>
      </c>
      <c r="U1035" s="122" t="str">
        <v/>
      </c>
      <c r="V1035" s="42"/>
      <c r="W1035" s="42"/>
      <c r="X1035" s="42"/>
      <c r="Y1035" s="42"/>
      <c r="Z1035" s="42"/>
      <c r="AA1035" s="42"/>
      <c r="AB1035" s="42"/>
    </row>
    <row r="1036" spans="1:28" x14ac:dyDescent="0.25">
      <c r="A1036" s="42" t="str">
        <v>1.18.5</v>
      </c>
      <c r="B1036" s="121" t="str">
        <v>18.5 View payment failed</v>
      </c>
      <c r="C1036" s="41">
        <v>3</v>
      </c>
      <c r="D1036" s="41" t="str">
        <v>R</v>
      </c>
      <c r="E1036" s="117" t="str">
        <f t="shared" si="0"/>
        <v>R</v>
      </c>
      <c r="F1036" s="41" t="str">
        <v/>
      </c>
      <c r="G1036" s="41" t="str">
        <v/>
      </c>
      <c r="H1036" s="117">
        <f t="shared" si="1"/>
        <v>0</v>
      </c>
      <c r="I1036" s="117">
        <f t="shared" si="2"/>
        <v>18</v>
      </c>
      <c r="J1036" s="117">
        <f t="shared" si="3"/>
        <v>18.050000000000008</v>
      </c>
      <c r="K1036" s="117" t="str">
        <f t="shared" si="4"/>
        <v>BR</v>
      </c>
      <c r="L1036" s="42" t="str">
        <v>BR1805</v>
      </c>
      <c r="M1036" s="121" t="str">
        <v/>
      </c>
      <c r="N1036" s="121" t="str">
        <v/>
      </c>
      <c r="O1036" s="121" t="str">
        <v>BR1805</v>
      </c>
      <c r="P1036" s="121" t="str">
        <v>View payment failed</v>
      </c>
      <c r="Q1036" s="121" t="str">
        <v/>
      </c>
      <c r="R1036" s="121" t="str">
        <v/>
      </c>
      <c r="S1036" s="121" t="str">
        <v/>
      </c>
      <c r="T1036" s="119" t="str">
        <f>IF($C1036&lt;4,IF($C1036=3,T1037,IF($C1036=2,T$1,"")),Q1036&amp;R1036&amp;IF(LEN(S1036)=0,"",Preferences!$C$2&amp;S1036)&amp;IF(J1037=J1036,IF(LEN(R1036&amp;S1036)=0,"","
")&amp;T1037,""))</f>
        <v xml:space="preserve"> 1. The user is returned to the confirm payment page.
 2. The error returned from the payment gateway is presented, with a request to the user to check their payment details and try again.</v>
      </c>
      <c r="U1036" s="122" t="str">
        <v/>
      </c>
      <c r="V1036" s="42"/>
      <c r="W1036" s="42"/>
      <c r="X1036" s="42"/>
      <c r="Y1036" s="42"/>
      <c r="Z1036" s="42"/>
      <c r="AA1036" s="42"/>
      <c r="AB1036" s="42"/>
    </row>
    <row r="1037" spans="1:28" x14ac:dyDescent="0.25">
      <c r="A1037" s="42" t="str">
        <v>1.18.5.1</v>
      </c>
      <c r="B1037" s="121" t="str">
        <v>The user is returned to the confirm payment page.</v>
      </c>
      <c r="C1037" s="41">
        <v>4</v>
      </c>
      <c r="D1037" s="41" t="str">
        <v>RD</v>
      </c>
      <c r="E1037" s="117" t="str">
        <f t="shared" si="0"/>
        <v>RD</v>
      </c>
      <c r="F1037" s="41" t="str">
        <v/>
      </c>
      <c r="G1037" s="41" t="str">
        <v/>
      </c>
      <c r="H1037" s="117">
        <f t="shared" si="1"/>
        <v>0</v>
      </c>
      <c r="I1037" s="117">
        <f t="shared" si="2"/>
        <v>18</v>
      </c>
      <c r="J1037" s="117">
        <f t="shared" si="3"/>
        <v>18.050000000000008</v>
      </c>
      <c r="K1037" s="117" t="str">
        <f t="shared" si="4"/>
        <v>BR</v>
      </c>
      <c r="L1037" s="42" t="str">
        <v>BR1805</v>
      </c>
      <c r="M1037" s="121" t="str">
        <v/>
      </c>
      <c r="N1037" s="121" t="str">
        <v/>
      </c>
      <c r="O1037" s="121" t="str">
        <v/>
      </c>
      <c r="P1037" s="121" t="str">
        <v/>
      </c>
      <c r="Q1037" s="121" t="str">
        <v xml:space="preserve"> 1. </v>
      </c>
      <c r="R1037" s="121" t="str">
        <v>The user is returned to the confirm payment page.</v>
      </c>
      <c r="S1037" s="121" t="str">
        <v/>
      </c>
      <c r="T1037" s="119" t="str">
        <f>IF($C1037&lt;4,IF($C1037=3,T1038,IF($C1037=2,T$1,"")),Q1037&amp;R1037&amp;IF(LEN(S1037)=0,"",Preferences!$C$2&amp;S1037)&amp;IF(J1038=J1037,IF(LEN(R1037&amp;S1037)=0,"","
")&amp;T1038,""))</f>
        <v xml:space="preserve"> 1. The user is returned to the confirm payment page.
 2. The error returned from the payment gateway is presented, with a request to the user to check their payment details and try again.</v>
      </c>
      <c r="U1037" s="122" t="str">
        <v/>
      </c>
      <c r="V1037" s="42"/>
      <c r="W1037" s="42"/>
      <c r="X1037" s="42"/>
      <c r="Y1037" s="42"/>
      <c r="Z1037" s="42"/>
      <c r="AA1037" s="42"/>
      <c r="AB1037" s="42"/>
    </row>
    <row r="1038" spans="1:28" x14ac:dyDescent="0.25">
      <c r="A1038" s="42" t="str">
        <v>1.18.5.2</v>
      </c>
      <c r="B1038" s="121" t="str">
        <v>The error returned from the payment gateway is presented, with a request to the user to check their payment details and try again.</v>
      </c>
      <c r="C1038" s="41">
        <v>4</v>
      </c>
      <c r="D1038" s="41" t="str">
        <v>RD</v>
      </c>
      <c r="E1038" s="117" t="str">
        <f t="shared" si="0"/>
        <v>RD</v>
      </c>
      <c r="F1038" s="41" t="str">
        <v/>
      </c>
      <c r="G1038" s="41" t="str">
        <v/>
      </c>
      <c r="H1038" s="117">
        <f t="shared" si="1"/>
        <v>0</v>
      </c>
      <c r="I1038" s="117">
        <f t="shared" si="2"/>
        <v>18</v>
      </c>
      <c r="J1038" s="117">
        <f t="shared" si="3"/>
        <v>18.050000000000008</v>
      </c>
      <c r="K1038" s="117" t="str">
        <f t="shared" si="4"/>
        <v>BR</v>
      </c>
      <c r="L1038" s="42" t="str">
        <v>BR1805</v>
      </c>
      <c r="M1038" s="121" t="str">
        <v/>
      </c>
      <c r="N1038" s="121" t="str">
        <v/>
      </c>
      <c r="O1038" s="121" t="str">
        <v/>
      </c>
      <c r="P1038" s="121" t="str">
        <v/>
      </c>
      <c r="Q1038" s="121" t="str">
        <v xml:space="preserve"> 2. </v>
      </c>
      <c r="R1038" s="121" t="str">
        <v>The error returned from the payment gateway is presented, with a request to the user to check their payment details and try again.</v>
      </c>
      <c r="S1038" s="121" t="str">
        <v/>
      </c>
      <c r="T1038" s="119" t="str">
        <f>IF($C1038&lt;4,IF($C1038=3,T1039,IF($C1038=2,T$1,"")),Q1038&amp;R1038&amp;IF(LEN(S1038)=0,"",Preferences!$C$2&amp;S1038)&amp;IF(J1039=J1038,IF(LEN(R1038&amp;S1038)=0,"","
")&amp;T1039,""))</f>
        <v xml:space="preserve"> 2. The error returned from the payment gateway is presented, with a request to the user to check their payment details and try again.</v>
      </c>
      <c r="U1038" s="122" t="str">
        <v/>
      </c>
      <c r="V1038" s="42"/>
      <c r="W1038" s="42"/>
      <c r="X1038" s="42"/>
      <c r="Y1038" s="42"/>
      <c r="Z1038" s="42"/>
      <c r="AA1038" s="42"/>
      <c r="AB1038" s="42"/>
    </row>
    <row r="1039" spans="1:28" x14ac:dyDescent="0.25">
      <c r="A1039" s="42" t="str">
        <v>1.19</v>
      </c>
      <c r="B1039" s="121" t="str">
        <v>19 View Orders</v>
      </c>
      <c r="C1039" s="41">
        <v>2</v>
      </c>
      <c r="D1039" s="41" t="str">
        <v>RS</v>
      </c>
      <c r="E1039" s="117" t="str">
        <f t="shared" si="0"/>
        <v>RS</v>
      </c>
      <c r="F1039" s="41" t="str">
        <v/>
      </c>
      <c r="G1039" s="41" t="str">
        <v/>
      </c>
      <c r="H1039" s="117">
        <f t="shared" si="1"/>
        <v>0</v>
      </c>
      <c r="I1039" s="117">
        <f t="shared" si="2"/>
        <v>19</v>
      </c>
      <c r="J1039" s="117">
        <f t="shared" si="3"/>
        <v>19</v>
      </c>
      <c r="K1039" s="117" t="str">
        <f t="shared" si="4"/>
        <v>BR</v>
      </c>
      <c r="L1039" s="42">
        <v>19</v>
      </c>
      <c r="M1039" s="121" t="str">
        <v/>
      </c>
      <c r="N1039" s="121" t="str">
        <v>19 View Orders</v>
      </c>
      <c r="O1039" s="121" t="str">
        <v>ReqID</v>
      </c>
      <c r="P1039" s="121" t="e">
        <v>#N/A</v>
      </c>
      <c r="Q1039" s="121" t="str">
        <v/>
      </c>
      <c r="R1039" s="121" t="str">
        <v/>
      </c>
      <c r="S1039" s="121" t="str">
        <v/>
      </c>
      <c r="T1039" s="119" t="str">
        <f>IF($C1039&lt;4,IF($C1039=3,T1040,IF($C1039=2,T$1,"")),Q1039&amp;R1039&amp;IF(LEN(S1039)=0,"",Preferences!$C$2&amp;S1039)&amp;IF(J1040=J1039,IF(LEN(R1039&amp;S1039)=0,"","
")&amp;T1040,""))</f>
        <v>Description</v>
      </c>
      <c r="U1039" s="122" t="str">
        <v/>
      </c>
      <c r="V1039" s="42"/>
      <c r="W1039" s="42"/>
      <c r="X1039" s="42"/>
      <c r="Y1039" s="42"/>
      <c r="Z1039" s="42"/>
      <c r="AA1039" s="42"/>
      <c r="AB1039" s="42"/>
    </row>
    <row r="1040" spans="1:28" x14ac:dyDescent="0.25">
      <c r="A1040" s="42" t="str">
        <v>1.19.1</v>
      </c>
      <c r="B1040" s="121" t="str">
        <v>19.1 View customer orders list</v>
      </c>
      <c r="C1040" s="41">
        <v>3</v>
      </c>
      <c r="D1040" s="41" t="str">
        <v>R</v>
      </c>
      <c r="E1040" s="117" t="str">
        <f t="shared" si="0"/>
        <v>R</v>
      </c>
      <c r="F1040" s="41" t="str">
        <v/>
      </c>
      <c r="G1040" s="41" t="str">
        <v/>
      </c>
      <c r="H1040" s="117">
        <f t="shared" si="1"/>
        <v>0</v>
      </c>
      <c r="I1040" s="117">
        <f t="shared" si="2"/>
        <v>19</v>
      </c>
      <c r="J1040" s="117">
        <f t="shared" si="3"/>
        <v>19.010000000000002</v>
      </c>
      <c r="K1040" s="117" t="str">
        <f t="shared" si="4"/>
        <v>BR</v>
      </c>
      <c r="L1040" s="42" t="str">
        <v>BR1901</v>
      </c>
      <c r="M1040" s="121" t="str">
        <v/>
      </c>
      <c r="N1040" s="121" t="str">
        <v/>
      </c>
      <c r="O1040" s="121" t="str">
        <v>BR1901</v>
      </c>
      <c r="P1040" s="121" t="str">
        <v>View customer orders list</v>
      </c>
      <c r="Q1040" s="121" t="str">
        <v/>
      </c>
      <c r="R1040" s="121" t="str">
        <v/>
      </c>
      <c r="S1040" s="121" t="str">
        <v/>
      </c>
      <c r="T1040" s="119" t="str">
        <f>IF($C1040&lt;4,IF($C1040=3,T1041,IF($C1040=2,T$1,"")),Q1040&amp;R1040&amp;IF(LEN(S1040)=0,"",Preferences!$C$2&amp;S1040)&amp;IF(J1041=J1040,IF(LEN(R1040&amp;S1040)=0,"","
")&amp;T1041,""))</f>
        <v xml:space="preserve"> 1. A customer can choose to view their orders list:
	• From their user menu (My Orders)
	• From a given Order (Back to Orders)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0" s="122" t="str">
        <v/>
      </c>
      <c r="V1040" s="42"/>
      <c r="W1040" s="42"/>
      <c r="X1040" s="42"/>
      <c r="Y1040" s="42"/>
      <c r="Z1040" s="42"/>
      <c r="AA1040" s="42"/>
      <c r="AB1040" s="42"/>
    </row>
    <row r="1041" spans="1:28" x14ac:dyDescent="0.25">
      <c r="A1041" s="42" t="str">
        <v>1.19.1.1</v>
      </c>
      <c r="B1041" s="121" t="str">
        <v>A customer can choose to view their orders list:</v>
      </c>
      <c r="C1041" s="41">
        <v>4</v>
      </c>
      <c r="D1041" s="41" t="str">
        <v>RD</v>
      </c>
      <c r="E1041" s="117" t="str">
        <f t="shared" si="0"/>
        <v>RD</v>
      </c>
      <c r="F1041" s="41" t="str">
        <v/>
      </c>
      <c r="G1041" s="41" t="str">
        <v/>
      </c>
      <c r="H1041" s="117">
        <f t="shared" si="1"/>
        <v>0</v>
      </c>
      <c r="I1041" s="117">
        <f t="shared" si="2"/>
        <v>19</v>
      </c>
      <c r="J1041" s="117">
        <f t="shared" si="3"/>
        <v>19.010000000000002</v>
      </c>
      <c r="K1041" s="117" t="str">
        <f t="shared" si="4"/>
        <v>BR</v>
      </c>
      <c r="L1041" s="42" t="str">
        <v>BR1901</v>
      </c>
      <c r="M1041" s="121" t="str">
        <v/>
      </c>
      <c r="N1041" s="121" t="str">
        <v/>
      </c>
      <c r="O1041" s="121" t="str">
        <v/>
      </c>
      <c r="P1041" s="121" t="str">
        <v/>
      </c>
      <c r="Q1041" s="121" t="str">
        <v xml:space="preserve"> 1. </v>
      </c>
      <c r="R1041" s="121" t="str">
        <v>A customer can choose to view their orders list:</v>
      </c>
      <c r="S1041" s="121" t="str">
        <v/>
      </c>
      <c r="T1041" s="119" t="str">
        <f>IF($C1041&lt;4,IF($C1041=3,T1042,IF($C1041=2,T$1,"")),Q1041&amp;R1041&amp;IF(LEN(S1041)=0,"",Preferences!$C$2&amp;S1041)&amp;IF(J1042=J1041,IF(LEN(R1041&amp;S1041)=0,"","
")&amp;T1042,""))</f>
        <v xml:space="preserve"> 1. A customer can choose to view their orders list:
	• From their user menu (My Orders)
	• From a given Order (Back to Orders)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1" s="122" t="str">
        <v/>
      </c>
      <c r="V1041" s="42"/>
      <c r="W1041" s="42"/>
      <c r="X1041" s="42"/>
      <c r="Y1041" s="42"/>
      <c r="Z1041" s="42"/>
      <c r="AA1041" s="42"/>
      <c r="AB1041" s="42"/>
    </row>
    <row r="1042" spans="1:28" x14ac:dyDescent="0.25">
      <c r="A1042" s="42" t="str">
        <v>1.19.1.1.1</v>
      </c>
      <c r="B1042" s="121" t="str">
        <v>From their user menu (My Orders)</v>
      </c>
      <c r="C1042" s="41">
        <v>5</v>
      </c>
      <c r="D1042" s="41" t="str">
        <v>RL</v>
      </c>
      <c r="E1042" s="117" t="str">
        <f t="shared" si="0"/>
        <v>RL</v>
      </c>
      <c r="F1042" s="41" t="str">
        <v/>
      </c>
      <c r="G1042" s="41" t="str">
        <v/>
      </c>
      <c r="H1042" s="117">
        <f t="shared" si="1"/>
        <v>0</v>
      </c>
      <c r="I1042" s="117">
        <f t="shared" si="2"/>
        <v>19</v>
      </c>
      <c r="J1042" s="117">
        <f t="shared" si="3"/>
        <v>19.010000000000002</v>
      </c>
      <c r="K1042" s="117" t="str">
        <f t="shared" si="4"/>
        <v>BR</v>
      </c>
      <c r="L1042" s="42" t="str">
        <v>BR1901</v>
      </c>
      <c r="M1042" s="121" t="str">
        <v/>
      </c>
      <c r="N1042" s="121" t="str">
        <v/>
      </c>
      <c r="O1042" s="121" t="str">
        <v/>
      </c>
      <c r="P1042" s="121" t="str">
        <v/>
      </c>
      <c r="Q1042" s="121" t="str">
        <v/>
      </c>
      <c r="R1042" s="121" t="str">
        <v/>
      </c>
      <c r="S1042" s="121" t="str">
        <v>From their user menu (My Orders)</v>
      </c>
      <c r="T1042" s="119" t="str">
        <f>IF($C1042&lt;4,IF($C1042=3,T1043,IF($C1042=2,T$1,"")),Q1042&amp;R1042&amp;IF(LEN(S1042)=0,"",Preferences!$C$2&amp;S1042)&amp;IF(J1043=J1042,IF(LEN(R1042&amp;S1042)=0,"","
")&amp;T1043,""))</f>
        <v xml:space="preserve">	• From their user menu (My Orders)
	• From a given Order (Back to Orders)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2" s="122" t="str">
        <v/>
      </c>
      <c r="V1042" s="42"/>
      <c r="W1042" s="42"/>
      <c r="X1042" s="42"/>
      <c r="Y1042" s="42"/>
      <c r="Z1042" s="42"/>
      <c r="AA1042" s="42"/>
      <c r="AB1042" s="42"/>
    </row>
    <row r="1043" spans="1:28" x14ac:dyDescent="0.25">
      <c r="A1043" s="42" t="str">
        <v>1.19.1.1.2</v>
      </c>
      <c r="B1043" s="121" t="str">
        <v>From a given Order (Back to Orders)</v>
      </c>
      <c r="C1043" s="41">
        <v>5</v>
      </c>
      <c r="D1043" s="41" t="str">
        <v>RL</v>
      </c>
      <c r="E1043" s="117" t="str">
        <f t="shared" si="0"/>
        <v>RL</v>
      </c>
      <c r="F1043" s="41" t="str">
        <v/>
      </c>
      <c r="G1043" s="41" t="str">
        <v/>
      </c>
      <c r="H1043" s="117">
        <f t="shared" si="1"/>
        <v>0</v>
      </c>
      <c r="I1043" s="117">
        <f t="shared" si="2"/>
        <v>19</v>
      </c>
      <c r="J1043" s="117">
        <f t="shared" si="3"/>
        <v>19.010000000000002</v>
      </c>
      <c r="K1043" s="117" t="str">
        <f t="shared" si="4"/>
        <v>BR</v>
      </c>
      <c r="L1043" s="42" t="str">
        <v>BR1901</v>
      </c>
      <c r="M1043" s="121" t="str">
        <v/>
      </c>
      <c r="N1043" s="121" t="str">
        <v/>
      </c>
      <c r="O1043" s="121" t="str">
        <v/>
      </c>
      <c r="P1043" s="121" t="str">
        <v/>
      </c>
      <c r="Q1043" s="121" t="str">
        <v/>
      </c>
      <c r="R1043" s="121" t="str">
        <v/>
      </c>
      <c r="S1043" s="121" t="str">
        <v>From a given Order (Back to Orders)</v>
      </c>
      <c r="T1043" s="119" t="str">
        <f>IF($C1043&lt;4,IF($C1043=3,T1044,IF($C1043=2,T$1,"")),Q1043&amp;R1043&amp;IF(LEN(S1043)=0,"",Preferences!$C$2&amp;S1043)&amp;IF(J1044=J1043,IF(LEN(R1043&amp;S1043)=0,"","
")&amp;T1044,""))</f>
        <v xml:space="preserve">	• From a given Order (Back to Orders)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3" s="122" t="str">
        <v/>
      </c>
      <c r="V1043" s="42"/>
      <c r="W1043" s="42"/>
      <c r="X1043" s="42"/>
      <c r="Y1043" s="42"/>
      <c r="Z1043" s="42"/>
      <c r="AA1043" s="42"/>
      <c r="AB1043" s="42"/>
    </row>
    <row r="1044" spans="1:28" x14ac:dyDescent="0.25">
      <c r="A1044" s="42" t="str">
        <v>1.19.1.2</v>
      </c>
      <c r="B1044" s="121" t="str">
        <v>Present at least the following for the orders list:</v>
      </c>
      <c r="C1044" s="41">
        <v>4</v>
      </c>
      <c r="D1044" s="41" t="str">
        <v>RD</v>
      </c>
      <c r="E1044" s="117" t="str">
        <f t="shared" si="0"/>
        <v>RD</v>
      </c>
      <c r="F1044" s="41" t="str">
        <v/>
      </c>
      <c r="G1044" s="41" t="str">
        <v/>
      </c>
      <c r="H1044" s="117">
        <f t="shared" si="1"/>
        <v>0</v>
      </c>
      <c r="I1044" s="117">
        <f t="shared" si="2"/>
        <v>19</v>
      </c>
      <c r="J1044" s="117">
        <f t="shared" si="3"/>
        <v>19.010000000000002</v>
      </c>
      <c r="K1044" s="117" t="str">
        <f t="shared" si="4"/>
        <v>BR</v>
      </c>
      <c r="L1044" s="42" t="str">
        <v>BR1901</v>
      </c>
      <c r="M1044" s="121" t="str">
        <v/>
      </c>
      <c r="N1044" s="121" t="str">
        <v/>
      </c>
      <c r="O1044" s="121" t="str">
        <v/>
      </c>
      <c r="P1044" s="121" t="str">
        <v/>
      </c>
      <c r="Q1044" s="121" t="str">
        <v xml:space="preserve"> 2. </v>
      </c>
      <c r="R1044" s="121" t="str">
        <v>Present at least the following for the orders list:</v>
      </c>
      <c r="S1044" s="121" t="str">
        <v/>
      </c>
      <c r="T1044" s="119" t="str">
        <f>IF($C1044&lt;4,IF($C1044=3,T1045,IF($C1044=2,T$1,"")),Q1044&amp;R1044&amp;IF(LEN(S1044)=0,"",Preferences!$C$2&amp;S1044)&amp;IF(J1045=J1044,IF(LEN(R1044&amp;S1044)=0,"","
")&amp;T1045,""))</f>
        <v xml:space="preserve"> 2. Present at least the following for the orders list: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4" s="122" t="str">
        <v/>
      </c>
      <c r="V1044" s="42"/>
      <c r="W1044" s="42"/>
      <c r="X1044" s="42"/>
      <c r="Y1044" s="42"/>
      <c r="Z1044" s="42"/>
      <c r="AA1044" s="42"/>
      <c r="AB1044" s="42"/>
    </row>
    <row r="1045" spans="1:28" x14ac:dyDescent="0.25">
      <c r="A1045" s="42" t="str">
        <v>1.19.1.2.1</v>
      </c>
      <c r="B1045" s="121" t="str">
        <v>Order Number (link to order detail)</v>
      </c>
      <c r="C1045" s="41">
        <v>5</v>
      </c>
      <c r="D1045" s="41" t="str">
        <v>RL</v>
      </c>
      <c r="E1045" s="117" t="str">
        <f t="shared" si="0"/>
        <v>RL</v>
      </c>
      <c r="F1045" s="41" t="str">
        <v/>
      </c>
      <c r="G1045" s="41" t="str">
        <v/>
      </c>
      <c r="H1045" s="117">
        <f t="shared" si="1"/>
        <v>0</v>
      </c>
      <c r="I1045" s="117">
        <f t="shared" si="2"/>
        <v>19</v>
      </c>
      <c r="J1045" s="117">
        <f t="shared" si="3"/>
        <v>19.010000000000002</v>
      </c>
      <c r="K1045" s="117" t="str">
        <f t="shared" si="4"/>
        <v>BR</v>
      </c>
      <c r="L1045" s="42" t="str">
        <v>BR1901</v>
      </c>
      <c r="M1045" s="121" t="str">
        <v/>
      </c>
      <c r="N1045" s="121" t="str">
        <v/>
      </c>
      <c r="O1045" s="121" t="str">
        <v/>
      </c>
      <c r="P1045" s="121" t="str">
        <v/>
      </c>
      <c r="Q1045" s="121" t="str">
        <v/>
      </c>
      <c r="R1045" s="121" t="str">
        <v/>
      </c>
      <c r="S1045" s="121" t="str">
        <v>Order Number (link to order detail)</v>
      </c>
      <c r="T1045" s="119" t="str">
        <f>IF($C1045&lt;4,IF($C1045=3,T1046,IF($C1045=2,T$1,"")),Q1045&amp;R1045&amp;IF(LEN(S1045)=0,"",Preferences!$C$2&amp;S1045)&amp;IF(J1046=J1045,IF(LEN(R1045&amp;S1045)=0,"","
")&amp;T1046,""))</f>
        <v xml:space="preserve">	• Order Number (link to order detail)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5" s="122" t="str">
        <v/>
      </c>
      <c r="V1045" s="42"/>
      <c r="W1045" s="42"/>
      <c r="X1045" s="42"/>
      <c r="Y1045" s="42"/>
      <c r="Z1045" s="42"/>
      <c r="AA1045" s="42"/>
      <c r="AB1045" s="42"/>
    </row>
    <row r="1046" spans="1:28" x14ac:dyDescent="0.25">
      <c r="A1046" s="42" t="str">
        <v>1.19.1.2.2</v>
      </c>
      <c r="B1046" s="121" t="str">
        <v>Order Date (date-time order was paid)</v>
      </c>
      <c r="C1046" s="41">
        <v>5</v>
      </c>
      <c r="D1046" s="41" t="str">
        <v>RL</v>
      </c>
      <c r="E1046" s="117" t="str">
        <f t="shared" si="0"/>
        <v>RL</v>
      </c>
      <c r="F1046" s="41" t="str">
        <v/>
      </c>
      <c r="G1046" s="41" t="str">
        <v/>
      </c>
      <c r="H1046" s="117">
        <f t="shared" si="1"/>
        <v>0</v>
      </c>
      <c r="I1046" s="117">
        <f t="shared" si="2"/>
        <v>19</v>
      </c>
      <c r="J1046" s="117">
        <f t="shared" si="3"/>
        <v>19.010000000000002</v>
      </c>
      <c r="K1046" s="117" t="str">
        <f t="shared" si="4"/>
        <v>BR</v>
      </c>
      <c r="L1046" s="42" t="str">
        <v>BR1901</v>
      </c>
      <c r="M1046" s="121" t="str">
        <v/>
      </c>
      <c r="N1046" s="121" t="str">
        <v/>
      </c>
      <c r="O1046" s="121" t="str">
        <v/>
      </c>
      <c r="P1046" s="121" t="str">
        <v/>
      </c>
      <c r="Q1046" s="121" t="str">
        <v/>
      </c>
      <c r="R1046" s="121" t="str">
        <v/>
      </c>
      <c r="S1046" s="121" t="str">
        <v>Order Date (date-time order was paid)</v>
      </c>
      <c r="T1046" s="119" t="str">
        <f>IF($C1046&lt;4,IF($C1046=3,T1047,IF($C1046=2,T$1,"")),Q1046&amp;R1046&amp;IF(LEN(S1046)=0,"",Preferences!$C$2&amp;S1046)&amp;IF(J1047=J1046,IF(LEN(R1046&amp;S1046)=0,"","
")&amp;T1047,""))</f>
        <v xml:space="preserve">	• Order Date (date-time order was paid)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6" s="122" t="str">
        <v/>
      </c>
      <c r="V1046" s="42"/>
      <c r="W1046" s="42"/>
      <c r="X1046" s="42"/>
      <c r="Y1046" s="42"/>
      <c r="Z1046" s="42"/>
      <c r="AA1046" s="42"/>
      <c r="AB1046" s="42"/>
    </row>
    <row r="1047" spans="1:28" x14ac:dyDescent="0.25">
      <c r="A1047" s="42" t="str">
        <v>1.19.1.2.3</v>
      </c>
      <c r="B1047" s="121" t="str">
        <v>Order Status (pending, packed, delivery, completed)</v>
      </c>
      <c r="C1047" s="41">
        <v>5</v>
      </c>
      <c r="D1047" s="41" t="str">
        <v>RL</v>
      </c>
      <c r="E1047" s="117" t="str">
        <f t="shared" si="0"/>
        <v>RL</v>
      </c>
      <c r="F1047" s="41" t="str">
        <v/>
      </c>
      <c r="G1047" s="41" t="str">
        <v/>
      </c>
      <c r="H1047" s="117">
        <f t="shared" si="1"/>
        <v>0</v>
      </c>
      <c r="I1047" s="117">
        <f t="shared" si="2"/>
        <v>19</v>
      </c>
      <c r="J1047" s="117">
        <f t="shared" si="3"/>
        <v>19.010000000000002</v>
      </c>
      <c r="K1047" s="117" t="str">
        <f t="shared" si="4"/>
        <v>BR</v>
      </c>
      <c r="L1047" s="42" t="str">
        <v>BR1901</v>
      </c>
      <c r="M1047" s="121" t="str">
        <v/>
      </c>
      <c r="N1047" s="121" t="str">
        <v/>
      </c>
      <c r="O1047" s="121" t="str">
        <v/>
      </c>
      <c r="P1047" s="121" t="str">
        <v/>
      </c>
      <c r="Q1047" s="121" t="str">
        <v/>
      </c>
      <c r="R1047" s="121" t="str">
        <v/>
      </c>
      <c r="S1047" s="121" t="str">
        <v>Order Status (pending, packed, delivery, completed)</v>
      </c>
      <c r="T1047" s="119" t="str">
        <f>IF($C1047&lt;4,IF($C1047=3,T1048,IF($C1047=2,T$1,"")),Q1047&amp;R1047&amp;IF(LEN(S1047)=0,"",Preferences!$C$2&amp;S1047)&amp;IF(J1048=J1047,IF(LEN(R1047&amp;S1047)=0,"","
")&amp;T1048,""))</f>
        <v xml:space="preserve">	• Order Status (pending, packed, delivery, completed)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7" s="122" t="str">
        <v/>
      </c>
      <c r="V1047" s="42"/>
      <c r="W1047" s="42"/>
      <c r="X1047" s="42"/>
      <c r="Y1047" s="42"/>
      <c r="Z1047" s="42"/>
      <c r="AA1047" s="42"/>
      <c r="AB1047" s="42"/>
    </row>
    <row r="1048" spans="1:28" x14ac:dyDescent="0.25">
      <c r="A1048" s="42" t="str">
        <v>1.19.1.2.4</v>
      </c>
      <c r="B1048" s="121" t="str">
        <v>Order Value (total value of order)</v>
      </c>
      <c r="C1048" s="41">
        <v>5</v>
      </c>
      <c r="D1048" s="41" t="str">
        <v>RL</v>
      </c>
      <c r="E1048" s="117" t="str">
        <f t="shared" si="0"/>
        <v>RL</v>
      </c>
      <c r="F1048" s="41" t="str">
        <v/>
      </c>
      <c r="G1048" s="41" t="str">
        <v/>
      </c>
      <c r="H1048" s="117">
        <f t="shared" si="1"/>
        <v>0</v>
      </c>
      <c r="I1048" s="117">
        <f t="shared" si="2"/>
        <v>19</v>
      </c>
      <c r="J1048" s="117">
        <f t="shared" si="3"/>
        <v>19.010000000000002</v>
      </c>
      <c r="K1048" s="117" t="str">
        <f t="shared" si="4"/>
        <v>BR</v>
      </c>
      <c r="L1048" s="42" t="str">
        <v>BR1901</v>
      </c>
      <c r="M1048" s="121" t="str">
        <v/>
      </c>
      <c r="N1048" s="121" t="str">
        <v/>
      </c>
      <c r="O1048" s="121" t="str">
        <v/>
      </c>
      <c r="P1048" s="121" t="str">
        <v/>
      </c>
      <c r="Q1048" s="121" t="str">
        <v/>
      </c>
      <c r="R1048" s="121" t="str">
        <v/>
      </c>
      <c r="S1048" s="121" t="str">
        <v>Order Value (total value of order)</v>
      </c>
      <c r="T1048" s="119" t="str">
        <f>IF($C1048&lt;4,IF($C1048=3,T1049,IF($C1048=2,T$1,"")),Q1048&amp;R1048&amp;IF(LEN(S1048)=0,"",Preferences!$C$2&amp;S1048)&amp;IF(J1049=J1048,IF(LEN(R1048&amp;S1048)=0,"","
")&amp;T1049,""))</f>
        <v xml:space="preserve">	• Order Value (total value of order)
	• Number of items in delivery
	• Delivery address (name of chosen delivery address)
	• For an order in the delivery status, the expected delivery date
	• View icon (link to order detail)
	• Enquire icon (link to submit an enquiry, linked to the given order)</v>
      </c>
      <c r="U1048" s="122" t="str">
        <v/>
      </c>
      <c r="V1048" s="42"/>
      <c r="W1048" s="42"/>
      <c r="X1048" s="42"/>
      <c r="Y1048" s="42"/>
      <c r="Z1048" s="42"/>
      <c r="AA1048" s="42"/>
      <c r="AB1048" s="42"/>
    </row>
    <row r="1049" spans="1:28" x14ac:dyDescent="0.25">
      <c r="A1049" s="42" t="str">
        <v>1.19.1.2.5</v>
      </c>
      <c r="B1049" s="121" t="str">
        <v>Number of items in delivery</v>
      </c>
      <c r="C1049" s="41">
        <v>5</v>
      </c>
      <c r="D1049" s="41" t="str">
        <v>RL</v>
      </c>
      <c r="E1049" s="117" t="str">
        <f t="shared" si="0"/>
        <v>RL</v>
      </c>
      <c r="F1049" s="41" t="str">
        <v/>
      </c>
      <c r="G1049" s="41" t="str">
        <v/>
      </c>
      <c r="H1049" s="117">
        <f t="shared" si="1"/>
        <v>0</v>
      </c>
      <c r="I1049" s="117">
        <f t="shared" si="2"/>
        <v>19</v>
      </c>
      <c r="J1049" s="117">
        <f t="shared" si="3"/>
        <v>19.010000000000002</v>
      </c>
      <c r="K1049" s="117" t="str">
        <f t="shared" si="4"/>
        <v>BR</v>
      </c>
      <c r="L1049" s="42" t="str">
        <v>BR1901</v>
      </c>
      <c r="M1049" s="121" t="str">
        <v/>
      </c>
      <c r="N1049" s="121" t="str">
        <v/>
      </c>
      <c r="O1049" s="121" t="str">
        <v/>
      </c>
      <c r="P1049" s="121" t="str">
        <v/>
      </c>
      <c r="Q1049" s="121" t="str">
        <v/>
      </c>
      <c r="R1049" s="121" t="str">
        <v/>
      </c>
      <c r="S1049" s="121" t="str">
        <v>Number of items in delivery</v>
      </c>
      <c r="T1049" s="119" t="str">
        <f>IF($C1049&lt;4,IF($C1049=3,T1050,IF($C1049=2,T$1,"")),Q1049&amp;R1049&amp;IF(LEN(S1049)=0,"",Preferences!$C$2&amp;S1049)&amp;IF(J1050=J1049,IF(LEN(R1049&amp;S1049)=0,"","
")&amp;T1050,""))</f>
        <v xml:space="preserve">	• Number of items in delivery
	• Delivery address (name of chosen delivery address)
	• For an order in the delivery status, the expected delivery date
	• View icon (link to order detail)
	• Enquire icon (link to submit an enquiry, linked to the given order)</v>
      </c>
      <c r="U1049" s="122" t="str">
        <v/>
      </c>
      <c r="V1049" s="42"/>
      <c r="W1049" s="42"/>
      <c r="X1049" s="42"/>
      <c r="Y1049" s="42"/>
      <c r="Z1049" s="42"/>
      <c r="AA1049" s="42"/>
      <c r="AB1049" s="42"/>
    </row>
    <row r="1050" spans="1:28" x14ac:dyDescent="0.25">
      <c r="A1050" s="42" t="str">
        <v>1.19.1.2.6</v>
      </c>
      <c r="B1050" s="121" t="str">
        <v>Delivery address (name of chosen delivery address)</v>
      </c>
      <c r="C1050" s="41">
        <v>5</v>
      </c>
      <c r="D1050" s="41" t="str">
        <v>RL</v>
      </c>
      <c r="E1050" s="117" t="str">
        <f t="shared" si="0"/>
        <v>RL</v>
      </c>
      <c r="F1050" s="41" t="str">
        <v/>
      </c>
      <c r="G1050" s="41" t="str">
        <v/>
      </c>
      <c r="H1050" s="117">
        <f t="shared" si="1"/>
        <v>0</v>
      </c>
      <c r="I1050" s="117">
        <f t="shared" si="2"/>
        <v>19</v>
      </c>
      <c r="J1050" s="117">
        <f t="shared" si="3"/>
        <v>19.010000000000002</v>
      </c>
      <c r="K1050" s="117" t="str">
        <f t="shared" si="4"/>
        <v>BR</v>
      </c>
      <c r="L1050" s="42" t="str">
        <v>BR1901</v>
      </c>
      <c r="M1050" s="121" t="str">
        <v/>
      </c>
      <c r="N1050" s="121" t="str">
        <v/>
      </c>
      <c r="O1050" s="121" t="str">
        <v/>
      </c>
      <c r="P1050" s="121" t="str">
        <v/>
      </c>
      <c r="Q1050" s="121" t="str">
        <v/>
      </c>
      <c r="R1050" s="121" t="str">
        <v/>
      </c>
      <c r="S1050" s="121" t="str">
        <v>Delivery address (name of chosen delivery address)</v>
      </c>
      <c r="T1050" s="119" t="str">
        <f>IF($C1050&lt;4,IF($C1050=3,T1051,IF($C1050=2,T$1,"")),Q1050&amp;R1050&amp;IF(LEN(S1050)=0,"",Preferences!$C$2&amp;S1050)&amp;IF(J1051=J1050,IF(LEN(R1050&amp;S1050)=0,"","
")&amp;T1051,""))</f>
        <v xml:space="preserve">	• Delivery address (name of chosen delivery address)
	• For an order in the delivery status, the expected delivery date
	• View icon (link to order detail)
	• Enquire icon (link to submit an enquiry, linked to the given order)</v>
      </c>
      <c r="U1050" s="122" t="str">
        <v/>
      </c>
      <c r="V1050" s="42"/>
      <c r="W1050" s="42"/>
      <c r="X1050" s="42"/>
      <c r="Y1050" s="42"/>
      <c r="Z1050" s="42"/>
      <c r="AA1050" s="42"/>
      <c r="AB1050" s="42"/>
    </row>
    <row r="1051" spans="1:28" x14ac:dyDescent="0.25">
      <c r="A1051" s="42" t="str">
        <v>1.19.1.2.7</v>
      </c>
      <c r="B1051" s="121" t="str">
        <v>For an order in the delivery status, the expected delivery date</v>
      </c>
      <c r="C1051" s="41">
        <v>5</v>
      </c>
      <c r="D1051" s="41" t="str">
        <v>RL</v>
      </c>
      <c r="E1051" s="117" t="str">
        <f t="shared" si="0"/>
        <v>RL</v>
      </c>
      <c r="F1051" s="41" t="str">
        <v/>
      </c>
      <c r="G1051" s="41" t="str">
        <v/>
      </c>
      <c r="H1051" s="117">
        <f t="shared" si="1"/>
        <v>0</v>
      </c>
      <c r="I1051" s="117">
        <f t="shared" si="2"/>
        <v>19</v>
      </c>
      <c r="J1051" s="117">
        <f t="shared" si="3"/>
        <v>19.010000000000002</v>
      </c>
      <c r="K1051" s="117" t="str">
        <f t="shared" si="4"/>
        <v>BR</v>
      </c>
      <c r="L1051" s="42" t="str">
        <v>BR1901</v>
      </c>
      <c r="M1051" s="121" t="str">
        <v/>
      </c>
      <c r="N1051" s="121" t="str">
        <v/>
      </c>
      <c r="O1051" s="121" t="str">
        <v/>
      </c>
      <c r="P1051" s="121" t="str">
        <v/>
      </c>
      <c r="Q1051" s="121" t="str">
        <v/>
      </c>
      <c r="R1051" s="121" t="str">
        <v/>
      </c>
      <c r="S1051" s="121" t="str">
        <v>For an order in the delivery status, the expected delivery date</v>
      </c>
      <c r="T1051" s="119" t="str">
        <f>IF($C1051&lt;4,IF($C1051=3,T1052,IF($C1051=2,T$1,"")),Q1051&amp;R1051&amp;IF(LEN(S1051)=0,"",Preferences!$C$2&amp;S1051)&amp;IF(J1052=J1051,IF(LEN(R1051&amp;S1051)=0,"","
")&amp;T1052,""))</f>
        <v xml:space="preserve">	• For an order in the delivery status, the expected delivery date
	• View icon (link to order detail)
	• Enquire icon (link to submit an enquiry, linked to the given order)</v>
      </c>
      <c r="U1051" s="122" t="str">
        <v/>
      </c>
      <c r="V1051" s="42"/>
      <c r="W1051" s="42"/>
      <c r="X1051" s="42"/>
      <c r="Y1051" s="42"/>
      <c r="Z1051" s="42"/>
      <c r="AA1051" s="42"/>
      <c r="AB1051" s="42"/>
    </row>
    <row r="1052" spans="1:28" x14ac:dyDescent="0.25">
      <c r="A1052" s="42" t="str">
        <v>1.19.1.2.8</v>
      </c>
      <c r="B1052" s="121" t="str">
        <v>View icon (link to order detail)</v>
      </c>
      <c r="C1052" s="41">
        <v>5</v>
      </c>
      <c r="D1052" s="41" t="str">
        <v>RL</v>
      </c>
      <c r="E1052" s="117" t="str">
        <f t="shared" si="0"/>
        <v>RL</v>
      </c>
      <c r="F1052" s="41" t="str">
        <v/>
      </c>
      <c r="G1052" s="41" t="str">
        <v/>
      </c>
      <c r="H1052" s="117">
        <f t="shared" si="1"/>
        <v>0</v>
      </c>
      <c r="I1052" s="117">
        <f t="shared" si="2"/>
        <v>19</v>
      </c>
      <c r="J1052" s="117">
        <f t="shared" si="3"/>
        <v>19.010000000000002</v>
      </c>
      <c r="K1052" s="117" t="str">
        <f t="shared" si="4"/>
        <v>BR</v>
      </c>
      <c r="L1052" s="42" t="str">
        <v>BR1901</v>
      </c>
      <c r="M1052" s="121" t="str">
        <v/>
      </c>
      <c r="N1052" s="121" t="str">
        <v/>
      </c>
      <c r="O1052" s="121" t="str">
        <v/>
      </c>
      <c r="P1052" s="121" t="str">
        <v/>
      </c>
      <c r="Q1052" s="121" t="str">
        <v/>
      </c>
      <c r="R1052" s="121" t="str">
        <v/>
      </c>
      <c r="S1052" s="121" t="str">
        <v>View icon (link to order detail)</v>
      </c>
      <c r="T1052" s="119" t="str">
        <f>IF($C1052&lt;4,IF($C1052=3,T1053,IF($C1052=2,T$1,"")),Q1052&amp;R1052&amp;IF(LEN(S1052)=0,"",Preferences!$C$2&amp;S1052)&amp;IF(J1053=J1052,IF(LEN(R1052&amp;S1052)=0,"","
")&amp;T1053,""))</f>
        <v xml:space="preserve">	• View icon (link to order detail)
	• Enquire icon (link to submit an enquiry, linked to the given order)</v>
      </c>
      <c r="U1052" s="122" t="str">
        <v/>
      </c>
      <c r="V1052" s="42"/>
      <c r="W1052" s="42"/>
      <c r="X1052" s="42"/>
      <c r="Y1052" s="42"/>
      <c r="Z1052" s="42"/>
      <c r="AA1052" s="42"/>
      <c r="AB1052" s="42"/>
    </row>
    <row r="1053" spans="1:28" x14ac:dyDescent="0.25">
      <c r="A1053" s="42" t="str">
        <v>1.19.1.2.9</v>
      </c>
      <c r="B1053" s="121" t="str">
        <v>Enquire icon (link to submit an enquiry, linked to the given order)</v>
      </c>
      <c r="C1053" s="41">
        <v>5</v>
      </c>
      <c r="D1053" s="41" t="str">
        <v>RL</v>
      </c>
      <c r="E1053" s="117" t="str">
        <f t="shared" si="0"/>
        <v>RL</v>
      </c>
      <c r="F1053" s="41" t="str">
        <v/>
      </c>
      <c r="G1053" s="41" t="str">
        <v/>
      </c>
      <c r="H1053" s="117">
        <f t="shared" si="1"/>
        <v>0</v>
      </c>
      <c r="I1053" s="117">
        <f t="shared" si="2"/>
        <v>19</v>
      </c>
      <c r="J1053" s="117">
        <f t="shared" si="3"/>
        <v>19.010000000000002</v>
      </c>
      <c r="K1053" s="117" t="str">
        <f t="shared" si="4"/>
        <v>BR</v>
      </c>
      <c r="L1053" s="42" t="str">
        <v>BR1901</v>
      </c>
      <c r="M1053" s="121" t="str">
        <v/>
      </c>
      <c r="N1053" s="121" t="str">
        <v/>
      </c>
      <c r="O1053" s="121" t="str">
        <v/>
      </c>
      <c r="P1053" s="121" t="str">
        <v/>
      </c>
      <c r="Q1053" s="121" t="str">
        <v/>
      </c>
      <c r="R1053" s="121" t="str">
        <v/>
      </c>
      <c r="S1053" s="121" t="str">
        <v>Enquire icon (link to submit an enquiry, linked to the given order)</v>
      </c>
      <c r="T1053" s="119" t="str">
        <f>IF($C1053&lt;4,IF($C1053=3,T1054,IF($C1053=2,T$1,"")),Q1053&amp;R1053&amp;IF(LEN(S1053)=0,"",Preferences!$C$2&amp;S1053)&amp;IF(J1054=J1053,IF(LEN(R1053&amp;S1053)=0,"","
")&amp;T1054,""))</f>
        <v xml:space="preserve">	• Enquire icon (link to submit an enquiry, linked to the given order)</v>
      </c>
      <c r="U1053" s="122" t="str">
        <v/>
      </c>
      <c r="V1053" s="42"/>
      <c r="W1053" s="42"/>
      <c r="X1053" s="42"/>
      <c r="Y1053" s="42"/>
      <c r="Z1053" s="42"/>
      <c r="AA1053" s="42"/>
      <c r="AB1053" s="42"/>
    </row>
    <row r="1054" spans="1:28" x14ac:dyDescent="0.25">
      <c r="A1054" s="42" t="str">
        <v>1.19.2</v>
      </c>
      <c r="B1054" s="121" t="str">
        <v>19.2 View customer order</v>
      </c>
      <c r="C1054" s="41">
        <v>3</v>
      </c>
      <c r="D1054" s="41" t="str">
        <v>R</v>
      </c>
      <c r="E1054" s="117" t="str">
        <f t="shared" si="0"/>
        <v>R</v>
      </c>
      <c r="F1054" s="41" t="str">
        <v/>
      </c>
      <c r="G1054" s="41" t="str">
        <v/>
      </c>
      <c r="H1054" s="117">
        <f t="shared" si="1"/>
        <v>0</v>
      </c>
      <c r="I1054" s="117">
        <f t="shared" si="2"/>
        <v>19</v>
      </c>
      <c r="J1054" s="117">
        <f t="shared" si="3"/>
        <v>19.020000000000003</v>
      </c>
      <c r="K1054" s="117" t="str">
        <f t="shared" si="4"/>
        <v>BR</v>
      </c>
      <c r="L1054" s="42" t="str">
        <v>BR1902</v>
      </c>
      <c r="M1054" s="121" t="str">
        <v/>
      </c>
      <c r="N1054" s="121" t="str">
        <v/>
      </c>
      <c r="O1054" s="121" t="str">
        <v>BR1902</v>
      </c>
      <c r="P1054" s="121" t="str">
        <v>View customer order</v>
      </c>
      <c r="Q1054" s="121" t="str">
        <v/>
      </c>
      <c r="R1054" s="121" t="str">
        <v/>
      </c>
      <c r="S1054" s="121" t="str">
        <v/>
      </c>
      <c r="T1054" s="119" t="str">
        <f>IF($C1054&lt;4,IF($C1054=3,T1055,IF($C1054=2,T$1,"")),Q1054&amp;R1054&amp;IF(LEN(S1054)=0,"",Preferences!$C$2&amp;S1054)&amp;IF(J1055=J1054,IF(LEN(R1054&amp;S1054)=0,"","
")&amp;T1055,""))</f>
        <v xml:space="preserve"> 1. A customer can choose to view a specific order:
	• From their orders list
	• From the new order confirmation page (after payment was processed)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4" s="122" t="str">
        <v/>
      </c>
      <c r="V1054" s="42"/>
      <c r="W1054" s="42"/>
      <c r="X1054" s="42"/>
      <c r="Y1054" s="42"/>
      <c r="Z1054" s="42"/>
      <c r="AA1054" s="42"/>
      <c r="AB1054" s="42"/>
    </row>
    <row r="1055" spans="1:28" x14ac:dyDescent="0.25">
      <c r="A1055" s="42" t="str">
        <v>1.19.2.1</v>
      </c>
      <c r="B1055" s="121" t="str">
        <v>A customer can choose to view a specific order:</v>
      </c>
      <c r="C1055" s="41">
        <v>4</v>
      </c>
      <c r="D1055" s="41" t="str">
        <v>RD</v>
      </c>
      <c r="E1055" s="117" t="str">
        <f t="shared" si="0"/>
        <v>RD</v>
      </c>
      <c r="F1055" s="41" t="str">
        <v/>
      </c>
      <c r="G1055" s="41" t="str">
        <v/>
      </c>
      <c r="H1055" s="117">
        <f t="shared" si="1"/>
        <v>0</v>
      </c>
      <c r="I1055" s="117">
        <f t="shared" si="2"/>
        <v>19</v>
      </c>
      <c r="J1055" s="117">
        <f t="shared" si="3"/>
        <v>19.020000000000003</v>
      </c>
      <c r="K1055" s="117" t="str">
        <f t="shared" si="4"/>
        <v>BR</v>
      </c>
      <c r="L1055" s="42" t="str">
        <v>BR1902</v>
      </c>
      <c r="M1055" s="121" t="str">
        <v/>
      </c>
      <c r="N1055" s="121" t="str">
        <v/>
      </c>
      <c r="O1055" s="121" t="str">
        <v/>
      </c>
      <c r="P1055" s="121" t="str">
        <v/>
      </c>
      <c r="Q1055" s="121" t="str">
        <v xml:space="preserve"> 1. </v>
      </c>
      <c r="R1055" s="121" t="str">
        <v>A customer can choose to view a specific order:</v>
      </c>
      <c r="S1055" s="121" t="str">
        <v/>
      </c>
      <c r="T1055" s="119" t="str">
        <f>IF($C1055&lt;4,IF($C1055=3,T1056,IF($C1055=2,T$1,"")),Q1055&amp;R1055&amp;IF(LEN(S1055)=0,"",Preferences!$C$2&amp;S1055)&amp;IF(J1056=J1055,IF(LEN(R1055&amp;S1055)=0,"","
")&amp;T1056,""))</f>
        <v xml:space="preserve"> 1. A customer can choose to view a specific order:
	• From their orders list
	• From the new order confirmation page (after payment was processed)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5" s="122" t="str">
        <v/>
      </c>
      <c r="V1055" s="42"/>
      <c r="W1055" s="42"/>
      <c r="X1055" s="42"/>
      <c r="Y1055" s="42"/>
      <c r="Z1055" s="42"/>
      <c r="AA1055" s="42"/>
      <c r="AB1055" s="42"/>
    </row>
    <row r="1056" spans="1:28" x14ac:dyDescent="0.25">
      <c r="A1056" s="42" t="str">
        <v>1.19.2.1.1</v>
      </c>
      <c r="B1056" s="121" t="str">
        <v>From their orders list</v>
      </c>
      <c r="C1056" s="41">
        <v>5</v>
      </c>
      <c r="D1056" s="41" t="str">
        <v>RL</v>
      </c>
      <c r="E1056" s="117" t="str">
        <f t="shared" si="0"/>
        <v>RL</v>
      </c>
      <c r="F1056" s="41" t="str">
        <v/>
      </c>
      <c r="G1056" s="41" t="str">
        <v/>
      </c>
      <c r="H1056" s="117">
        <f t="shared" si="1"/>
        <v>0</v>
      </c>
      <c r="I1056" s="117">
        <f t="shared" si="2"/>
        <v>19</v>
      </c>
      <c r="J1056" s="117">
        <f t="shared" si="3"/>
        <v>19.020000000000003</v>
      </c>
      <c r="K1056" s="117" t="str">
        <f t="shared" si="4"/>
        <v>BR</v>
      </c>
      <c r="L1056" s="42" t="str">
        <v>BR1902</v>
      </c>
      <c r="M1056" s="121" t="str">
        <v/>
      </c>
      <c r="N1056" s="121" t="str">
        <v/>
      </c>
      <c r="O1056" s="121" t="str">
        <v/>
      </c>
      <c r="P1056" s="121" t="str">
        <v/>
      </c>
      <c r="Q1056" s="121" t="str">
        <v/>
      </c>
      <c r="R1056" s="121" t="str">
        <v/>
      </c>
      <c r="S1056" s="121" t="str">
        <v>From their orders list</v>
      </c>
      <c r="T1056" s="119" t="str">
        <f>IF($C1056&lt;4,IF($C1056=3,T1057,IF($C1056=2,T$1,"")),Q1056&amp;R1056&amp;IF(LEN(S1056)=0,"",Preferences!$C$2&amp;S1056)&amp;IF(J1057=J1056,IF(LEN(R1056&amp;S1056)=0,"","
")&amp;T1057,""))</f>
        <v xml:space="preserve">	• From their orders list
	• From the new order confirmation page (after payment was processed)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6" s="122" t="str">
        <v/>
      </c>
      <c r="V1056" s="42"/>
      <c r="W1056" s="42"/>
      <c r="X1056" s="42"/>
      <c r="Y1056" s="42"/>
      <c r="Z1056" s="42"/>
      <c r="AA1056" s="42"/>
      <c r="AB1056" s="42"/>
    </row>
    <row r="1057" spans="1:28" x14ac:dyDescent="0.25">
      <c r="A1057" s="42" t="str">
        <v>1.19.2.1.2</v>
      </c>
      <c r="B1057" s="121" t="str">
        <v>From the new order confirmation page (after payment was processed)</v>
      </c>
      <c r="C1057" s="41">
        <v>5</v>
      </c>
      <c r="D1057" s="41" t="str">
        <v>RL</v>
      </c>
      <c r="E1057" s="117" t="str">
        <f t="shared" si="0"/>
        <v>RL</v>
      </c>
      <c r="F1057" s="41" t="str">
        <v/>
      </c>
      <c r="G1057" s="41" t="str">
        <v/>
      </c>
      <c r="H1057" s="117">
        <f t="shared" si="1"/>
        <v>0</v>
      </c>
      <c r="I1057" s="117">
        <f t="shared" si="2"/>
        <v>19</v>
      </c>
      <c r="J1057" s="117">
        <f t="shared" si="3"/>
        <v>19.020000000000003</v>
      </c>
      <c r="K1057" s="117" t="str">
        <f t="shared" si="4"/>
        <v>BR</v>
      </c>
      <c r="L1057" s="42" t="str">
        <v>BR1902</v>
      </c>
      <c r="M1057" s="121" t="str">
        <v/>
      </c>
      <c r="N1057" s="121" t="str">
        <v/>
      </c>
      <c r="O1057" s="121" t="str">
        <v/>
      </c>
      <c r="P1057" s="121" t="str">
        <v/>
      </c>
      <c r="Q1057" s="121" t="str">
        <v/>
      </c>
      <c r="R1057" s="121" t="str">
        <v/>
      </c>
      <c r="S1057" s="121" t="str">
        <v>From the new order confirmation page (after payment was processed)</v>
      </c>
      <c r="T1057" s="119" t="str">
        <f>IF($C1057&lt;4,IF($C1057=3,T1058,IF($C1057=2,T$1,"")),Q1057&amp;R1057&amp;IF(LEN(S1057)=0,"",Preferences!$C$2&amp;S1057)&amp;IF(J1058=J1057,IF(LEN(R1057&amp;S1057)=0,"","
")&amp;T1058,""))</f>
        <v xml:space="preserve">	• From the new order confirmation page (after payment was processed)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7" s="122" t="str">
        <v/>
      </c>
      <c r="V1057" s="42"/>
      <c r="W1057" s="42"/>
      <c r="X1057" s="42"/>
      <c r="Y1057" s="42"/>
      <c r="Z1057" s="42"/>
      <c r="AA1057" s="42"/>
      <c r="AB1057" s="42"/>
    </row>
    <row r="1058" spans="1:28" x14ac:dyDescent="0.25">
      <c r="A1058" s="42" t="str">
        <v>1.19.2.1.3</v>
      </c>
      <c r="B1058" s="121" t="str">
        <v>From a link in a status update email (requires user to login)</v>
      </c>
      <c r="C1058" s="41">
        <v>5</v>
      </c>
      <c r="D1058" s="41" t="str">
        <v>RL</v>
      </c>
      <c r="E1058" s="117" t="str">
        <f t="shared" si="0"/>
        <v>RL</v>
      </c>
      <c r="F1058" s="41" t="str">
        <v/>
      </c>
      <c r="G1058" s="41" t="str">
        <v/>
      </c>
      <c r="H1058" s="117">
        <f t="shared" si="1"/>
        <v>0</v>
      </c>
      <c r="I1058" s="117">
        <f t="shared" si="2"/>
        <v>19</v>
      </c>
      <c r="J1058" s="117">
        <f t="shared" si="3"/>
        <v>19.020000000000003</v>
      </c>
      <c r="K1058" s="117" t="str">
        <f t="shared" si="4"/>
        <v>BR</v>
      </c>
      <c r="L1058" s="42" t="str">
        <v>BR1902</v>
      </c>
      <c r="M1058" s="121" t="str">
        <v/>
      </c>
      <c r="N1058" s="121" t="str">
        <v/>
      </c>
      <c r="O1058" s="121" t="str">
        <v/>
      </c>
      <c r="P1058" s="121" t="str">
        <v/>
      </c>
      <c r="Q1058" s="121" t="str">
        <v/>
      </c>
      <c r="R1058" s="121" t="str">
        <v/>
      </c>
      <c r="S1058" s="121" t="str">
        <v>From a link in a status update email (requires user to login)</v>
      </c>
      <c r="T1058" s="119" t="str">
        <f>IF($C1058&lt;4,IF($C1058=3,T1059,IF($C1058=2,T$1,"")),Q1058&amp;R1058&amp;IF(LEN(S1058)=0,"",Preferences!$C$2&amp;S1058)&amp;IF(J1059=J1058,IF(LEN(R1058&amp;S1058)=0,"","
")&amp;T1059,""))</f>
        <v xml:space="preserve">	• From a link in a status update email (requires user to login)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8" s="122" t="str">
        <v/>
      </c>
      <c r="V1058" s="42"/>
      <c r="W1058" s="42"/>
      <c r="X1058" s="42"/>
      <c r="Y1058" s="42"/>
      <c r="Z1058" s="42"/>
      <c r="AA1058" s="42"/>
      <c r="AB1058" s="42"/>
    </row>
    <row r="1059" spans="1:28" x14ac:dyDescent="0.25">
      <c r="A1059" s="42" t="str">
        <v>1.19.2.2</v>
      </c>
      <c r="B1059" s="121" t="str">
        <v>Present at least the following details for a customer order:</v>
      </c>
      <c r="C1059" s="41">
        <v>4</v>
      </c>
      <c r="D1059" s="41" t="str">
        <v>RD</v>
      </c>
      <c r="E1059" s="117" t="str">
        <f t="shared" si="0"/>
        <v>RD</v>
      </c>
      <c r="F1059" s="41" t="str">
        <v/>
      </c>
      <c r="G1059" s="41" t="str">
        <v/>
      </c>
      <c r="H1059" s="117">
        <f t="shared" si="1"/>
        <v>0</v>
      </c>
      <c r="I1059" s="117">
        <f t="shared" si="2"/>
        <v>19</v>
      </c>
      <c r="J1059" s="117">
        <f t="shared" si="3"/>
        <v>19.020000000000003</v>
      </c>
      <c r="K1059" s="117" t="str">
        <f t="shared" si="4"/>
        <v>BR</v>
      </c>
      <c r="L1059" s="42" t="str">
        <v>BR1902</v>
      </c>
      <c r="M1059" s="121" t="str">
        <v/>
      </c>
      <c r="N1059" s="121" t="str">
        <v/>
      </c>
      <c r="O1059" s="121" t="str">
        <v/>
      </c>
      <c r="P1059" s="121" t="str">
        <v/>
      </c>
      <c r="Q1059" s="121" t="str">
        <v xml:space="preserve"> 2. </v>
      </c>
      <c r="R1059" s="121" t="str">
        <v>Present at least the following details for a customer order:</v>
      </c>
      <c r="S1059" s="121" t="str">
        <v/>
      </c>
      <c r="T1059" s="119" t="str">
        <f>IF($C1059&lt;4,IF($C1059=3,T1060,IF($C1059=2,T$1,"")),Q1059&amp;R1059&amp;IF(LEN(S1059)=0,"",Preferences!$C$2&amp;S1059)&amp;IF(J1060=J1059,IF(LEN(R1059&amp;S1059)=0,"","
")&amp;T1060,""))</f>
        <v xml:space="preserve"> 2. Present at least the following details for a customer order: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59" s="122" t="str">
        <v/>
      </c>
      <c r="V1059" s="42"/>
      <c r="W1059" s="42"/>
      <c r="X1059" s="42"/>
      <c r="Y1059" s="42"/>
      <c r="Z1059" s="42"/>
      <c r="AA1059" s="42"/>
      <c r="AB1059" s="42"/>
    </row>
    <row r="1060" spans="1:28" x14ac:dyDescent="0.25">
      <c r="A1060" s="42" t="str">
        <v>1.19.2.2.1</v>
      </c>
      <c r="B1060" s="121" t="str">
        <v>Order Number</v>
      </c>
      <c r="C1060" s="41">
        <v>5</v>
      </c>
      <c r="D1060" s="41" t="str">
        <v>RL</v>
      </c>
      <c r="E1060" s="117" t="str">
        <f t="shared" si="0"/>
        <v>RL</v>
      </c>
      <c r="F1060" s="41" t="str">
        <v/>
      </c>
      <c r="G1060" s="41" t="str">
        <v/>
      </c>
      <c r="H1060" s="117">
        <f t="shared" si="1"/>
        <v>0</v>
      </c>
      <c r="I1060" s="117">
        <f t="shared" si="2"/>
        <v>19</v>
      </c>
      <c r="J1060" s="117">
        <f t="shared" si="3"/>
        <v>19.020000000000003</v>
      </c>
      <c r="K1060" s="117" t="str">
        <f t="shared" si="4"/>
        <v>BR</v>
      </c>
      <c r="L1060" s="42" t="str">
        <v>BR1902</v>
      </c>
      <c r="M1060" s="121" t="str">
        <v/>
      </c>
      <c r="N1060" s="121" t="str">
        <v/>
      </c>
      <c r="O1060" s="121" t="str">
        <v/>
      </c>
      <c r="P1060" s="121" t="str">
        <v/>
      </c>
      <c r="Q1060" s="121" t="str">
        <v/>
      </c>
      <c r="R1060" s="121" t="str">
        <v/>
      </c>
      <c r="S1060" s="121" t="str">
        <v>Order Number</v>
      </c>
      <c r="T1060" s="119" t="str">
        <f>IF($C1060&lt;4,IF($C1060=3,T1061,IF($C1060=2,T$1,"")),Q1060&amp;R1060&amp;IF(LEN(S1060)=0,"",Preferences!$C$2&amp;S1060)&amp;IF(J1061=J1060,IF(LEN(R1060&amp;S1060)=0,"","
")&amp;T1061,""))</f>
        <v xml:space="preserve">	• Order Number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0" s="122" t="str">
        <v/>
      </c>
      <c r="V1060" s="42"/>
      <c r="W1060" s="42"/>
      <c r="X1060" s="42"/>
      <c r="Y1060" s="42"/>
      <c r="Z1060" s="42"/>
      <c r="AA1060" s="42"/>
      <c r="AB1060" s="42"/>
    </row>
    <row r="1061" spans="1:28" x14ac:dyDescent="0.25">
      <c r="A1061" s="42" t="str">
        <v>1.19.2.2.2</v>
      </c>
      <c r="B1061" s="121" t="str">
        <v>Order Date (date-time order was paid)</v>
      </c>
      <c r="C1061" s="41">
        <v>5</v>
      </c>
      <c r="D1061" s="41" t="str">
        <v>RL</v>
      </c>
      <c r="E1061" s="117" t="str">
        <f t="shared" si="0"/>
        <v>RL</v>
      </c>
      <c r="F1061" s="41" t="str">
        <v/>
      </c>
      <c r="G1061" s="41" t="str">
        <v/>
      </c>
      <c r="H1061" s="117">
        <f t="shared" si="1"/>
        <v>0</v>
      </c>
      <c r="I1061" s="117">
        <f t="shared" si="2"/>
        <v>19</v>
      </c>
      <c r="J1061" s="117">
        <f t="shared" si="3"/>
        <v>19.020000000000003</v>
      </c>
      <c r="K1061" s="117" t="str">
        <f t="shared" si="4"/>
        <v>BR</v>
      </c>
      <c r="L1061" s="42" t="str">
        <v>BR1902</v>
      </c>
      <c r="M1061" s="121" t="str">
        <v/>
      </c>
      <c r="N1061" s="121" t="str">
        <v/>
      </c>
      <c r="O1061" s="121" t="str">
        <v/>
      </c>
      <c r="P1061" s="121" t="str">
        <v/>
      </c>
      <c r="Q1061" s="121" t="str">
        <v/>
      </c>
      <c r="R1061" s="121" t="str">
        <v/>
      </c>
      <c r="S1061" s="121" t="str">
        <v>Order Date (date-time order was paid)</v>
      </c>
      <c r="T1061" s="119" t="str">
        <f>IF($C1061&lt;4,IF($C1061=3,T1062,IF($C1061=2,T$1,"")),Q1061&amp;R1061&amp;IF(LEN(S1061)=0,"",Preferences!$C$2&amp;S1061)&amp;IF(J1062=J1061,IF(LEN(R1061&amp;S1061)=0,"","
")&amp;T1062,""))</f>
        <v xml:space="preserve">	• Order Date (date-time order was paid)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1" s="122" t="str">
        <v/>
      </c>
      <c r="V1061" s="42"/>
      <c r="W1061" s="42"/>
      <c r="X1061" s="42"/>
      <c r="Y1061" s="42"/>
      <c r="Z1061" s="42"/>
      <c r="AA1061" s="42"/>
      <c r="AB1061" s="42"/>
    </row>
    <row r="1062" spans="1:28" x14ac:dyDescent="0.25">
      <c r="A1062" s="42" t="str">
        <v>1.19.2.2.3</v>
      </c>
      <c r="B1062" s="121" t="str">
        <v>Order Status (pending, packed, delivery, completed)</v>
      </c>
      <c r="C1062" s="41">
        <v>5</v>
      </c>
      <c r="D1062" s="41" t="str">
        <v>RL</v>
      </c>
      <c r="E1062" s="117" t="str">
        <f t="shared" si="0"/>
        <v>RL</v>
      </c>
      <c r="F1062" s="41" t="str">
        <v/>
      </c>
      <c r="G1062" s="41" t="str">
        <v/>
      </c>
      <c r="H1062" s="117">
        <f t="shared" si="1"/>
        <v>0</v>
      </c>
      <c r="I1062" s="117">
        <f t="shared" si="2"/>
        <v>19</v>
      </c>
      <c r="J1062" s="117">
        <f t="shared" si="3"/>
        <v>19.020000000000003</v>
      </c>
      <c r="K1062" s="117" t="str">
        <f t="shared" si="4"/>
        <v>BR</v>
      </c>
      <c r="L1062" s="42" t="str">
        <v>BR1902</v>
      </c>
      <c r="M1062" s="121" t="str">
        <v/>
      </c>
      <c r="N1062" s="121" t="str">
        <v/>
      </c>
      <c r="O1062" s="121" t="str">
        <v/>
      </c>
      <c r="P1062" s="121" t="str">
        <v/>
      </c>
      <c r="Q1062" s="121" t="str">
        <v/>
      </c>
      <c r="R1062" s="121" t="str">
        <v/>
      </c>
      <c r="S1062" s="121" t="str">
        <v>Order Status (pending, packed, delivery, completed)</v>
      </c>
      <c r="T1062" s="119" t="str">
        <f>IF($C1062&lt;4,IF($C1062=3,T1063,IF($C1062=2,T$1,"")),Q1062&amp;R1062&amp;IF(LEN(S1062)=0,"",Preferences!$C$2&amp;S1062)&amp;IF(J1063=J1062,IF(LEN(R1062&amp;S1062)=0,"","
")&amp;T1063,""))</f>
        <v xml:space="preserve">	• Order Status (pending, packed, delivery, completed)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2" s="122" t="str">
        <v/>
      </c>
      <c r="V1062" s="42"/>
      <c r="W1062" s="42"/>
      <c r="X1062" s="42"/>
      <c r="Y1062" s="42"/>
      <c r="Z1062" s="42"/>
      <c r="AA1062" s="42"/>
      <c r="AB1062" s="42"/>
    </row>
    <row r="1063" spans="1:28" x14ac:dyDescent="0.25">
      <c r="A1063" s="42" t="str">
        <v>1.19.2.2.4</v>
      </c>
      <c r="B1063" s="121" t="str">
        <v>Last Update (date-time of the last status update for the order)</v>
      </c>
      <c r="C1063" s="41">
        <v>5</v>
      </c>
      <c r="D1063" s="41" t="str">
        <v>RL</v>
      </c>
      <c r="E1063" s="117" t="str">
        <f t="shared" si="0"/>
        <v>RL</v>
      </c>
      <c r="F1063" s="41" t="str">
        <v/>
      </c>
      <c r="G1063" s="41" t="str">
        <v/>
      </c>
      <c r="H1063" s="117">
        <f t="shared" si="1"/>
        <v>0</v>
      </c>
      <c r="I1063" s="117">
        <f t="shared" si="2"/>
        <v>19</v>
      </c>
      <c r="J1063" s="117">
        <f t="shared" si="3"/>
        <v>19.020000000000003</v>
      </c>
      <c r="K1063" s="117" t="str">
        <f t="shared" si="4"/>
        <v>BR</v>
      </c>
      <c r="L1063" s="42" t="str">
        <v>BR1902</v>
      </c>
      <c r="M1063" s="121" t="str">
        <v/>
      </c>
      <c r="N1063" s="121" t="str">
        <v/>
      </c>
      <c r="O1063" s="121" t="str">
        <v/>
      </c>
      <c r="P1063" s="121" t="str">
        <v/>
      </c>
      <c r="Q1063" s="121" t="str">
        <v/>
      </c>
      <c r="R1063" s="121" t="str">
        <v/>
      </c>
      <c r="S1063" s="121" t="str">
        <v>Last Update (date-time of the last status update for the order)</v>
      </c>
      <c r="T1063" s="119" t="str">
        <f>IF($C1063&lt;4,IF($C1063=3,T1064,IF($C1063=2,T$1,"")),Q1063&amp;R1063&amp;IF(LEN(S1063)=0,"",Preferences!$C$2&amp;S1063)&amp;IF(J1064=J1063,IF(LEN(R1063&amp;S1063)=0,"","
")&amp;T1064,""))</f>
        <v xml:space="preserve">	• Last Update (date-time of the last status update for the order)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3" s="122" t="str">
        <v/>
      </c>
      <c r="V1063" s="42"/>
      <c r="W1063" s="42"/>
      <c r="X1063" s="42"/>
      <c r="Y1063" s="42"/>
      <c r="Z1063" s="42"/>
      <c r="AA1063" s="42"/>
      <c r="AB1063" s="42"/>
    </row>
    <row r="1064" spans="1:28" x14ac:dyDescent="0.25">
      <c r="A1064" s="42" t="str">
        <v>1.19.2.2.5</v>
      </c>
      <c r="B1064" s="121" t="str">
        <v>Delivery address (name of chosen delivery address)</v>
      </c>
      <c r="C1064" s="41">
        <v>5</v>
      </c>
      <c r="D1064" s="41" t="str">
        <v>RL</v>
      </c>
      <c r="E1064" s="117" t="str">
        <f t="shared" si="0"/>
        <v>RL</v>
      </c>
      <c r="F1064" s="41" t="str">
        <v/>
      </c>
      <c r="G1064" s="41" t="str">
        <v/>
      </c>
      <c r="H1064" s="117">
        <f t="shared" si="1"/>
        <v>0</v>
      </c>
      <c r="I1064" s="117">
        <f t="shared" si="2"/>
        <v>19</v>
      </c>
      <c r="J1064" s="117">
        <f t="shared" si="3"/>
        <v>19.020000000000003</v>
      </c>
      <c r="K1064" s="117" t="str">
        <f t="shared" si="4"/>
        <v>BR</v>
      </c>
      <c r="L1064" s="42" t="str">
        <v>BR1902</v>
      </c>
      <c r="M1064" s="121" t="str">
        <v/>
      </c>
      <c r="N1064" s="121" t="str">
        <v/>
      </c>
      <c r="O1064" s="121" t="str">
        <v/>
      </c>
      <c r="P1064" s="121" t="str">
        <v/>
      </c>
      <c r="Q1064" s="121" t="str">
        <v/>
      </c>
      <c r="R1064" s="121" t="str">
        <v/>
      </c>
      <c r="S1064" s="121" t="str">
        <v>Delivery address (name of chosen delivery address)</v>
      </c>
      <c r="T1064" s="119" t="str">
        <f>IF($C1064&lt;4,IF($C1064=3,T1065,IF($C1064=2,T$1,"")),Q1064&amp;R1064&amp;IF(LEN(S1064)=0,"",Preferences!$C$2&amp;S1064)&amp;IF(J1065=J1064,IF(LEN(R1064&amp;S1064)=0,"","
")&amp;T1065,""))</f>
        <v xml:space="preserve">	• Delivery address (name of chosen delivery address)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4" s="122" t="str">
        <v/>
      </c>
      <c r="V1064" s="42"/>
      <c r="W1064" s="42"/>
      <c r="X1064" s="42"/>
      <c r="Y1064" s="42"/>
      <c r="Z1064" s="42"/>
      <c r="AA1064" s="42"/>
      <c r="AB1064" s="42"/>
    </row>
    <row r="1065" spans="1:28" x14ac:dyDescent="0.25">
      <c r="A1065" s="42" t="str">
        <v>1.19.2.2.6</v>
      </c>
      <c r="B1065" s="121" t="str">
        <v>For an order in the delivery status, the expected delivery date</v>
      </c>
      <c r="C1065" s="41">
        <v>5</v>
      </c>
      <c r="D1065" s="41" t="str">
        <v>RL</v>
      </c>
      <c r="E1065" s="117" t="str">
        <f t="shared" si="0"/>
        <v>RL</v>
      </c>
      <c r="F1065" s="41" t="str">
        <v/>
      </c>
      <c r="G1065" s="41" t="str">
        <v/>
      </c>
      <c r="H1065" s="117">
        <f t="shared" si="1"/>
        <v>0</v>
      </c>
      <c r="I1065" s="117">
        <f t="shared" si="2"/>
        <v>19</v>
      </c>
      <c r="J1065" s="117">
        <f t="shared" si="3"/>
        <v>19.020000000000003</v>
      </c>
      <c r="K1065" s="117" t="str">
        <f t="shared" si="4"/>
        <v>BR</v>
      </c>
      <c r="L1065" s="42" t="str">
        <v>BR1902</v>
      </c>
      <c r="M1065" s="121" t="str">
        <v/>
      </c>
      <c r="N1065" s="121" t="str">
        <v/>
      </c>
      <c r="O1065" s="121" t="str">
        <v/>
      </c>
      <c r="P1065" s="121" t="str">
        <v/>
      </c>
      <c r="Q1065" s="121" t="str">
        <v/>
      </c>
      <c r="R1065" s="121" t="str">
        <v/>
      </c>
      <c r="S1065" s="121" t="str">
        <v>For an order in the delivery status, the expected delivery date</v>
      </c>
      <c r="T1065" s="119" t="str">
        <f>IF($C1065&lt;4,IF($C1065=3,T1066,IF($C1065=2,T$1,"")),Q1065&amp;R1065&amp;IF(LEN(S1065)=0,"",Preferences!$C$2&amp;S1065)&amp;IF(J1066=J1065,IF(LEN(R1065&amp;S1065)=0,"","
")&amp;T1066,""))</f>
        <v xml:space="preserve">	• For an order in the delivery status, the expected delivery date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5" s="122" t="str">
        <v/>
      </c>
      <c r="V1065" s="42"/>
      <c r="W1065" s="42"/>
      <c r="X1065" s="42"/>
      <c r="Y1065" s="42"/>
      <c r="Z1065" s="42"/>
      <c r="AA1065" s="42"/>
      <c r="AB1065" s="42"/>
    </row>
    <row r="1066" spans="1:28" x14ac:dyDescent="0.25">
      <c r="A1066" s="42" t="str">
        <v>1.19.2.2.7</v>
      </c>
      <c r="B1066" s="121" t="str">
        <v>Products list</v>
      </c>
      <c r="C1066" s="41">
        <v>5</v>
      </c>
      <c r="D1066" s="41" t="str">
        <v>RL</v>
      </c>
      <c r="E1066" s="117" t="str">
        <f t="shared" si="0"/>
        <v>RL</v>
      </c>
      <c r="F1066" s="41" t="str">
        <v/>
      </c>
      <c r="G1066" s="41" t="str">
        <v/>
      </c>
      <c r="H1066" s="117">
        <f t="shared" si="1"/>
        <v>0</v>
      </c>
      <c r="I1066" s="117">
        <f t="shared" si="2"/>
        <v>19</v>
      </c>
      <c r="J1066" s="117">
        <f t="shared" si="3"/>
        <v>19.020000000000003</v>
      </c>
      <c r="K1066" s="117" t="str">
        <f t="shared" si="4"/>
        <v>BR</v>
      </c>
      <c r="L1066" s="42" t="str">
        <v>BR1902</v>
      </c>
      <c r="M1066" s="121" t="str">
        <v/>
      </c>
      <c r="N1066" s="121" t="str">
        <v/>
      </c>
      <c r="O1066" s="121" t="str">
        <v/>
      </c>
      <c r="P1066" s="121" t="str">
        <v/>
      </c>
      <c r="Q1066" s="121" t="str">
        <v/>
      </c>
      <c r="R1066" s="121" t="str">
        <v/>
      </c>
      <c r="S1066" s="121" t="str">
        <v>Products list</v>
      </c>
      <c r="T1066" s="119" t="str">
        <f>IF($C1066&lt;4,IF($C1066=3,T1067,IF($C1066=2,T$1,"")),Q1066&amp;R1066&amp;IF(LEN(S1066)=0,"",Preferences!$C$2&amp;S1066)&amp;IF(J1067=J1066,IF(LEN(R1066&amp;S1066)=0,"","
")&amp;T1067,""))</f>
        <v xml:space="preserve">	• Products list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6" s="122" t="str">
        <v/>
      </c>
      <c r="V1066" s="42"/>
      <c r="W1066" s="42"/>
      <c r="X1066" s="42"/>
      <c r="Y1066" s="42"/>
      <c r="Z1066" s="42"/>
      <c r="AA1066" s="42"/>
      <c r="AB1066" s="42"/>
    </row>
    <row r="1067" spans="1:28" x14ac:dyDescent="0.25">
      <c r="A1067" s="42" t="str">
        <v>1.19.2.2.8</v>
      </c>
      <c r="B1067" s="121" t="str">
        <v>Total Number of items in delivery</v>
      </c>
      <c r="C1067" s="41">
        <v>5</v>
      </c>
      <c r="D1067" s="41" t="str">
        <v>RL</v>
      </c>
      <c r="E1067" s="117" t="str">
        <f t="shared" si="0"/>
        <v>RL</v>
      </c>
      <c r="F1067" s="41" t="str">
        <v/>
      </c>
      <c r="G1067" s="41" t="str">
        <v/>
      </c>
      <c r="H1067" s="117">
        <f t="shared" si="1"/>
        <v>0</v>
      </c>
      <c r="I1067" s="117">
        <f t="shared" si="2"/>
        <v>19</v>
      </c>
      <c r="J1067" s="117">
        <f t="shared" si="3"/>
        <v>19.020000000000003</v>
      </c>
      <c r="K1067" s="117" t="str">
        <f t="shared" si="4"/>
        <v>BR</v>
      </c>
      <c r="L1067" s="42" t="str">
        <v>BR1902</v>
      </c>
      <c r="M1067" s="121" t="str">
        <v/>
      </c>
      <c r="N1067" s="121" t="str">
        <v/>
      </c>
      <c r="O1067" s="121" t="str">
        <v/>
      </c>
      <c r="P1067" s="121" t="str">
        <v/>
      </c>
      <c r="Q1067" s="121" t="str">
        <v/>
      </c>
      <c r="R1067" s="121" t="str">
        <v/>
      </c>
      <c r="S1067" s="121" t="str">
        <v>Total Number of items in delivery</v>
      </c>
      <c r="T1067" s="119" t="str">
        <f>IF($C1067&lt;4,IF($C1067=3,T1068,IF($C1067=2,T$1,"")),Q1067&amp;R1067&amp;IF(LEN(S1067)=0,"",Preferences!$C$2&amp;S1067)&amp;IF(J1068=J1067,IF(LEN(R1067&amp;S1067)=0,"","
")&amp;T1068,""))</f>
        <v xml:space="preserve">	• Total Number of items in delivery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7" s="122" t="str">
        <v/>
      </c>
      <c r="V1067" s="42"/>
      <c r="W1067" s="42"/>
      <c r="X1067" s="42"/>
      <c r="Y1067" s="42"/>
      <c r="Z1067" s="42"/>
      <c r="AA1067" s="42"/>
      <c r="AB1067" s="42"/>
    </row>
    <row r="1068" spans="1:28" x14ac:dyDescent="0.25">
      <c r="A1068" s="42" t="str">
        <v>1.19.2.2.9</v>
      </c>
      <c r="B1068" s="121" t="str">
        <v>Total VAT</v>
      </c>
      <c r="C1068" s="41">
        <v>5</v>
      </c>
      <c r="D1068" s="41" t="str">
        <v>RL</v>
      </c>
      <c r="E1068" s="117" t="str">
        <f t="shared" si="0"/>
        <v>RL</v>
      </c>
      <c r="F1068" s="41" t="str">
        <v/>
      </c>
      <c r="G1068" s="41" t="str">
        <v/>
      </c>
      <c r="H1068" s="117">
        <f t="shared" si="1"/>
        <v>0</v>
      </c>
      <c r="I1068" s="117">
        <f t="shared" si="2"/>
        <v>19</v>
      </c>
      <c r="J1068" s="117">
        <f t="shared" si="3"/>
        <v>19.020000000000003</v>
      </c>
      <c r="K1068" s="117" t="str">
        <f t="shared" si="4"/>
        <v>BR</v>
      </c>
      <c r="L1068" s="42" t="str">
        <v>BR1902</v>
      </c>
      <c r="M1068" s="121" t="str">
        <v/>
      </c>
      <c r="N1068" s="121" t="str">
        <v/>
      </c>
      <c r="O1068" s="121" t="str">
        <v/>
      </c>
      <c r="P1068" s="121" t="str">
        <v/>
      </c>
      <c r="Q1068" s="121" t="str">
        <v/>
      </c>
      <c r="R1068" s="121" t="str">
        <v/>
      </c>
      <c r="S1068" s="121" t="str">
        <v>Total VAT</v>
      </c>
      <c r="T1068" s="119" t="str">
        <f>IF($C1068&lt;4,IF($C1068=3,T1069,IF($C1068=2,T$1,"")),Q1068&amp;R1068&amp;IF(LEN(S1068)=0,"",Preferences!$C$2&amp;S1068)&amp;IF(J1069=J1068,IF(LEN(R1068&amp;S1068)=0,"","
")&amp;T1069,""))</f>
        <v xml:space="preserve">	• Total VAT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8" s="122" t="str">
        <v/>
      </c>
      <c r="V1068" s="42"/>
      <c r="W1068" s="42"/>
      <c r="X1068" s="42"/>
      <c r="Y1068" s="42"/>
      <c r="Z1068" s="42"/>
      <c r="AA1068" s="42"/>
      <c r="AB1068" s="42"/>
    </row>
    <row r="1069" spans="1:28" x14ac:dyDescent="0.25">
      <c r="A1069" s="42" t="str">
        <v>1.19.2.2.10</v>
      </c>
      <c r="B1069" s="121" t="str">
        <v>Total Value (total value incl. of order)</v>
      </c>
      <c r="C1069" s="41">
        <v>5</v>
      </c>
      <c r="D1069" s="41" t="str">
        <v>RL</v>
      </c>
      <c r="E1069" s="117" t="str">
        <f t="shared" si="0"/>
        <v>RL</v>
      </c>
      <c r="F1069" s="41" t="str">
        <v/>
      </c>
      <c r="G1069" s="41" t="str">
        <v/>
      </c>
      <c r="H1069" s="117">
        <f t="shared" si="1"/>
        <v>0</v>
      </c>
      <c r="I1069" s="117">
        <f t="shared" si="2"/>
        <v>19</v>
      </c>
      <c r="J1069" s="117">
        <f t="shared" si="3"/>
        <v>19.020000000000003</v>
      </c>
      <c r="K1069" s="117" t="str">
        <f t="shared" si="4"/>
        <v>BR</v>
      </c>
      <c r="L1069" s="42" t="str">
        <v>BR1902</v>
      </c>
      <c r="M1069" s="121" t="str">
        <v/>
      </c>
      <c r="N1069" s="121" t="str">
        <v/>
      </c>
      <c r="O1069" s="121" t="str">
        <v/>
      </c>
      <c r="P1069" s="121" t="str">
        <v/>
      </c>
      <c r="Q1069" s="121" t="str">
        <v/>
      </c>
      <c r="R1069" s="121" t="str">
        <v/>
      </c>
      <c r="S1069" s="121" t="str">
        <v>Total Value (total value incl. of order)</v>
      </c>
      <c r="T1069" s="119" t="str">
        <f>IF($C1069&lt;4,IF($C1069=3,T1070,IF($C1069=2,T$1,"")),Q1069&amp;R1069&amp;IF(LEN(S1069)=0,"",Preferences!$C$2&amp;S1069)&amp;IF(J1070=J1069,IF(LEN(R1069&amp;S1069)=0,"","
")&amp;T1070,""))</f>
        <v xml:space="preserve">	• Total Value (total value incl. of order)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69" s="122" t="str">
        <v/>
      </c>
      <c r="V1069" s="42"/>
      <c r="W1069" s="42"/>
      <c r="X1069" s="42"/>
      <c r="Y1069" s="42"/>
      <c r="Z1069" s="42"/>
      <c r="AA1069" s="42"/>
      <c r="AB1069" s="42"/>
    </row>
    <row r="1070" spans="1:28" x14ac:dyDescent="0.25">
      <c r="A1070" s="42" t="str">
        <v>1.19.2.2.11</v>
      </c>
      <c r="B1070" s="121" t="str">
        <v>Enquire icon (link to submit an enquiry, linked to the given order)</v>
      </c>
      <c r="C1070" s="41">
        <v>5</v>
      </c>
      <c r="D1070" s="41" t="str">
        <v>RL</v>
      </c>
      <c r="E1070" s="117" t="str">
        <f t="shared" si="0"/>
        <v>RL</v>
      </c>
      <c r="F1070" s="41" t="str">
        <v/>
      </c>
      <c r="G1070" s="41" t="str">
        <v/>
      </c>
      <c r="H1070" s="117">
        <f t="shared" si="1"/>
        <v>0</v>
      </c>
      <c r="I1070" s="117">
        <f t="shared" si="2"/>
        <v>19</v>
      </c>
      <c r="J1070" s="117">
        <f t="shared" si="3"/>
        <v>19.020000000000003</v>
      </c>
      <c r="K1070" s="117" t="str">
        <f t="shared" si="4"/>
        <v>BR</v>
      </c>
      <c r="L1070" s="42" t="str">
        <v>BR1902</v>
      </c>
      <c r="M1070" s="121" t="str">
        <v/>
      </c>
      <c r="N1070" s="121" t="str">
        <v/>
      </c>
      <c r="O1070" s="121" t="str">
        <v/>
      </c>
      <c r="P1070" s="121" t="str">
        <v/>
      </c>
      <c r="Q1070" s="121" t="str">
        <v/>
      </c>
      <c r="R1070" s="121" t="str">
        <v/>
      </c>
      <c r="S1070" s="121" t="str">
        <v>Enquire icon (link to submit an enquiry, linked to the given order)</v>
      </c>
      <c r="T1070" s="119" t="str">
        <f>IF($C1070&lt;4,IF($C1070=3,T1071,IF($C1070=2,T$1,"")),Q1070&amp;R1070&amp;IF(LEN(S1070)=0,"",Preferences!$C$2&amp;S1070)&amp;IF(J1071=J1070,IF(LEN(R1070&amp;S1070)=0,"","
")&amp;T1071,""))</f>
        <v xml:space="preserve">	• Enquire icon (link to submit an enquiry, linked to the given order)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70" s="122" t="str">
        <v/>
      </c>
      <c r="V1070" s="42"/>
      <c r="W1070" s="42"/>
      <c r="X1070" s="42"/>
      <c r="Y1070" s="42"/>
      <c r="Z1070" s="42"/>
      <c r="AA1070" s="42"/>
      <c r="AB1070" s="42"/>
    </row>
    <row r="1071" spans="1:28" x14ac:dyDescent="0.25">
      <c r="A1071" s="42" t="str">
        <v>1.19.2.2.12</v>
      </c>
      <c r="B1071" s="121" t="str">
        <v>Request return icon (link to submit a product return enquiry, linked to the given order)</v>
      </c>
      <c r="C1071" s="41">
        <v>5</v>
      </c>
      <c r="D1071" s="41" t="str">
        <v>RL</v>
      </c>
      <c r="E1071" s="117" t="str">
        <f t="shared" si="0"/>
        <v>RL</v>
      </c>
      <c r="F1071" s="41" t="str">
        <v/>
      </c>
      <c r="G1071" s="41" t="str">
        <v/>
      </c>
      <c r="H1071" s="117">
        <f t="shared" si="1"/>
        <v>0</v>
      </c>
      <c r="I1071" s="117">
        <f t="shared" si="2"/>
        <v>19</v>
      </c>
      <c r="J1071" s="117">
        <f t="shared" si="3"/>
        <v>19.020000000000003</v>
      </c>
      <c r="K1071" s="117" t="str">
        <f t="shared" si="4"/>
        <v>BR</v>
      </c>
      <c r="L1071" s="42" t="str">
        <v>BR1902</v>
      </c>
      <c r="M1071" s="121" t="str">
        <v/>
      </c>
      <c r="N1071" s="121" t="str">
        <v/>
      </c>
      <c r="O1071" s="121" t="str">
        <v/>
      </c>
      <c r="P1071" s="121" t="str">
        <v/>
      </c>
      <c r="Q1071" s="121" t="str">
        <v/>
      </c>
      <c r="R1071" s="121" t="str">
        <v/>
      </c>
      <c r="S1071" s="121" t="str">
        <v>Request return icon (link to submit a product return enquiry, linked to the given order)</v>
      </c>
      <c r="T1071" s="119" t="str">
        <f>IF($C1071&lt;4,IF($C1071=3,T1072,IF($C1071=2,T$1,"")),Q1071&amp;R1071&amp;IF(LEN(S1071)=0,"",Preferences!$C$2&amp;S1071)&amp;IF(J1072=J1071,IF(LEN(R1071&amp;S1071)=0,"","
")&amp;T1072,""))</f>
        <v xml:space="preserve">	• Request return icon (link to submit a product return enquiry, linked to the given order)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71" s="122" t="str">
        <v/>
      </c>
      <c r="V1071" s="42"/>
      <c r="W1071" s="42"/>
      <c r="X1071" s="42"/>
      <c r="Y1071" s="42"/>
      <c r="Z1071" s="42"/>
      <c r="AA1071" s="42"/>
      <c r="AB1071" s="42"/>
    </row>
    <row r="1072" spans="1:28" x14ac:dyDescent="0.25">
      <c r="A1072" s="42" t="str">
        <v>1.19.2.2.13</v>
      </c>
      <c r="B1072" s="121" t="str">
        <v>If a pending return is in progress, a link to the return request is presented, with the return status.</v>
      </c>
      <c r="C1072" s="41">
        <v>5</v>
      </c>
      <c r="D1072" s="41" t="str">
        <v>RL</v>
      </c>
      <c r="E1072" s="117" t="str">
        <f t="shared" si="0"/>
        <v>RL</v>
      </c>
      <c r="F1072" s="41" t="str">
        <v/>
      </c>
      <c r="G1072" s="41" t="str">
        <v/>
      </c>
      <c r="H1072" s="117">
        <f t="shared" si="1"/>
        <v>0</v>
      </c>
      <c r="I1072" s="117">
        <f t="shared" si="2"/>
        <v>19</v>
      </c>
      <c r="J1072" s="117">
        <f t="shared" si="3"/>
        <v>19.020000000000003</v>
      </c>
      <c r="K1072" s="117" t="str">
        <f t="shared" si="4"/>
        <v>BR</v>
      </c>
      <c r="L1072" s="42" t="str">
        <v>BR1902</v>
      </c>
      <c r="M1072" s="121" t="str">
        <v/>
      </c>
      <c r="N1072" s="121" t="str">
        <v/>
      </c>
      <c r="O1072" s="121" t="str">
        <v/>
      </c>
      <c r="P1072" s="121" t="str">
        <v/>
      </c>
      <c r="Q1072" s="121" t="str">
        <v/>
      </c>
      <c r="R1072" s="121" t="str">
        <v/>
      </c>
      <c r="S1072" s="121" t="str">
        <v>If a pending return is in progress, a link to the return request is presented, with the return status.</v>
      </c>
      <c r="T1072" s="119" t="str">
        <f>IF($C1072&lt;4,IF($C1072=3,T1073,IF($C1072=2,T$1,"")),Q1072&amp;R1072&amp;IF(LEN(S1072)=0,"",Preferences!$C$2&amp;S1072)&amp;IF(J1073=J1072,IF(LEN(R1072&amp;S1072)=0,"","
")&amp;T1073,""))</f>
        <v xml:space="preserve">	• If a pending return is in progress, a link to the return request is presented, with the return status.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72" s="122" t="str">
        <v/>
      </c>
      <c r="V1072" s="42"/>
      <c r="W1072" s="42"/>
      <c r="X1072" s="42"/>
      <c r="Y1072" s="42"/>
      <c r="Z1072" s="42"/>
      <c r="AA1072" s="42"/>
      <c r="AB1072" s="42"/>
    </row>
    <row r="1073" spans="1:28" x14ac:dyDescent="0.25">
      <c r="A1073" s="42" t="str">
        <v>1.19.2.3</v>
      </c>
      <c r="B1073" s="121" t="str">
        <v>Present at least the following for each product in the customer order products list:</v>
      </c>
      <c r="C1073" s="41">
        <v>4</v>
      </c>
      <c r="D1073" s="41" t="str">
        <v>RD</v>
      </c>
      <c r="E1073" s="117" t="str">
        <f t="shared" si="0"/>
        <v>RD</v>
      </c>
      <c r="F1073" s="41" t="str">
        <v/>
      </c>
      <c r="G1073" s="41" t="str">
        <v/>
      </c>
      <c r="H1073" s="117">
        <f t="shared" si="1"/>
        <v>0</v>
      </c>
      <c r="I1073" s="117">
        <f t="shared" si="2"/>
        <v>19</v>
      </c>
      <c r="J1073" s="117">
        <f t="shared" si="3"/>
        <v>19.020000000000003</v>
      </c>
      <c r="K1073" s="117" t="str">
        <f t="shared" si="4"/>
        <v>BR</v>
      </c>
      <c r="L1073" s="42" t="str">
        <v>BR1902</v>
      </c>
      <c r="M1073" s="121" t="str">
        <v/>
      </c>
      <c r="N1073" s="121" t="str">
        <v/>
      </c>
      <c r="O1073" s="121" t="str">
        <v/>
      </c>
      <c r="P1073" s="121" t="str">
        <v/>
      </c>
      <c r="Q1073" s="121" t="str">
        <v xml:space="preserve"> 3. </v>
      </c>
      <c r="R1073" s="121" t="str">
        <v>Present at least the following for each product in the customer order products list:</v>
      </c>
      <c r="S1073" s="121" t="str">
        <v/>
      </c>
      <c r="T1073" s="119" t="str">
        <f>IF($C1073&lt;4,IF($C1073=3,T1074,IF($C1073=2,T$1,"")),Q1073&amp;R1073&amp;IF(LEN(S1073)=0,"",Preferences!$C$2&amp;S1073)&amp;IF(J1074=J1073,IF(LEN(R1073&amp;S1073)=0,"","
")&amp;T1074,""))</f>
        <v xml:space="preserve"> 3. Present at least the following for each product in the customer order products list:
	• Product Number
	• Product Title (link to product)
	• Thumbnail image
	• Quantity ordered
	• Unit product price (incl.) on order
	• Total product price (incl.) on order
 4. Also see the Enquire about order requirement below.</v>
      </c>
      <c r="U1073" s="122" t="str">
        <v/>
      </c>
      <c r="V1073" s="42"/>
      <c r="W1073" s="42"/>
      <c r="X1073" s="42"/>
      <c r="Y1073" s="42"/>
      <c r="Z1073" s="42"/>
      <c r="AA1073" s="42"/>
      <c r="AB1073" s="42"/>
    </row>
    <row r="1074" spans="1:28" x14ac:dyDescent="0.25">
      <c r="A1074" s="42" t="str">
        <v>1.19.2.3.1</v>
      </c>
      <c r="B1074" s="121" t="str">
        <v>Product Number</v>
      </c>
      <c r="C1074" s="41">
        <v>5</v>
      </c>
      <c r="D1074" s="41" t="str">
        <v>RL</v>
      </c>
      <c r="E1074" s="117" t="str">
        <f t="shared" si="0"/>
        <v>RL</v>
      </c>
      <c r="F1074" s="41" t="str">
        <v/>
      </c>
      <c r="G1074" s="41" t="str">
        <v/>
      </c>
      <c r="H1074" s="117">
        <f t="shared" si="1"/>
        <v>0</v>
      </c>
      <c r="I1074" s="117">
        <f t="shared" si="2"/>
        <v>19</v>
      </c>
      <c r="J1074" s="117">
        <f t="shared" si="3"/>
        <v>19.020000000000003</v>
      </c>
      <c r="K1074" s="117" t="str">
        <f t="shared" si="4"/>
        <v>BR</v>
      </c>
      <c r="L1074" s="42" t="str">
        <v>BR1902</v>
      </c>
      <c r="M1074" s="121" t="str">
        <v/>
      </c>
      <c r="N1074" s="121" t="str">
        <v/>
      </c>
      <c r="O1074" s="121" t="str">
        <v/>
      </c>
      <c r="P1074" s="121" t="str">
        <v/>
      </c>
      <c r="Q1074" s="121" t="str">
        <v/>
      </c>
      <c r="R1074" s="121" t="str">
        <v/>
      </c>
      <c r="S1074" s="121" t="str">
        <v>Product Number</v>
      </c>
      <c r="T1074" s="119" t="str">
        <f>IF($C1074&lt;4,IF($C1074=3,T1075,IF($C1074=2,T$1,"")),Q1074&amp;R1074&amp;IF(LEN(S1074)=0,"",Preferences!$C$2&amp;S1074)&amp;IF(J1075=J1074,IF(LEN(R1074&amp;S1074)=0,"","
")&amp;T1075,""))</f>
        <v xml:space="preserve">	• Product Number
	• Product Title (link to product)
	• Thumbnail image
	• Quantity ordered
	• Unit product price (incl.) on order
	• Total product price (incl.) on order
 4. Also see the Enquire about order requirement below.</v>
      </c>
      <c r="U1074" s="122" t="str">
        <v/>
      </c>
      <c r="V1074" s="42"/>
      <c r="W1074" s="42"/>
      <c r="X1074" s="42"/>
      <c r="Y1074" s="42"/>
      <c r="Z1074" s="42"/>
      <c r="AA1074" s="42"/>
      <c r="AB1074" s="42"/>
    </row>
    <row r="1075" spans="1:28" x14ac:dyDescent="0.25">
      <c r="A1075" s="42" t="str">
        <v>1.19.2.3.2</v>
      </c>
      <c r="B1075" s="121" t="str">
        <v>Product Title (link to product)</v>
      </c>
      <c r="C1075" s="41">
        <v>5</v>
      </c>
      <c r="D1075" s="41" t="str">
        <v>RL</v>
      </c>
      <c r="E1075" s="117" t="str">
        <f t="shared" si="0"/>
        <v>RL</v>
      </c>
      <c r="F1075" s="41" t="str">
        <v/>
      </c>
      <c r="G1075" s="41" t="str">
        <v/>
      </c>
      <c r="H1075" s="117">
        <f t="shared" si="1"/>
        <v>0</v>
      </c>
      <c r="I1075" s="117">
        <f t="shared" si="2"/>
        <v>19</v>
      </c>
      <c r="J1075" s="117">
        <f t="shared" si="3"/>
        <v>19.020000000000003</v>
      </c>
      <c r="K1075" s="117" t="str">
        <f t="shared" si="4"/>
        <v>BR</v>
      </c>
      <c r="L1075" s="42" t="str">
        <v>BR1902</v>
      </c>
      <c r="M1075" s="121" t="str">
        <v/>
      </c>
      <c r="N1075" s="121" t="str">
        <v/>
      </c>
      <c r="O1075" s="121" t="str">
        <v/>
      </c>
      <c r="P1075" s="121" t="str">
        <v/>
      </c>
      <c r="Q1075" s="121" t="str">
        <v/>
      </c>
      <c r="R1075" s="121" t="str">
        <v/>
      </c>
      <c r="S1075" s="121" t="str">
        <v>Product Title (link to product)</v>
      </c>
      <c r="T1075" s="119" t="str">
        <f>IF($C1075&lt;4,IF($C1075=3,T1076,IF($C1075=2,T$1,"")),Q1075&amp;R1075&amp;IF(LEN(S1075)=0,"",Preferences!$C$2&amp;S1075)&amp;IF(J1076=J1075,IF(LEN(R1075&amp;S1075)=0,"","
")&amp;T1076,""))</f>
        <v xml:space="preserve">	• Product Title (link to product)
	• Thumbnail image
	• Quantity ordered
	• Unit product price (incl.) on order
	• Total product price (incl.) on order
 4. Also see the Enquire about order requirement below.</v>
      </c>
      <c r="U1075" s="122" t="str">
        <v/>
      </c>
      <c r="V1075" s="42"/>
      <c r="W1075" s="42"/>
      <c r="X1075" s="42"/>
      <c r="Y1075" s="42"/>
      <c r="Z1075" s="42"/>
      <c r="AA1075" s="42"/>
      <c r="AB1075" s="42"/>
    </row>
    <row r="1076" spans="1:28" x14ac:dyDescent="0.25">
      <c r="A1076" s="42" t="str">
        <v>1.19.2.3.3</v>
      </c>
      <c r="B1076" s="121" t="str">
        <v>Thumbnail image</v>
      </c>
      <c r="C1076" s="41">
        <v>5</v>
      </c>
      <c r="D1076" s="41" t="str">
        <v>RL</v>
      </c>
      <c r="E1076" s="117" t="str">
        <f t="shared" si="0"/>
        <v>RL</v>
      </c>
      <c r="F1076" s="41" t="str">
        <v/>
      </c>
      <c r="G1076" s="41" t="str">
        <v/>
      </c>
      <c r="H1076" s="117">
        <f t="shared" si="1"/>
        <v>0</v>
      </c>
      <c r="I1076" s="117">
        <f t="shared" si="2"/>
        <v>19</v>
      </c>
      <c r="J1076" s="117">
        <f t="shared" si="3"/>
        <v>19.020000000000003</v>
      </c>
      <c r="K1076" s="117" t="str">
        <f t="shared" si="4"/>
        <v>BR</v>
      </c>
      <c r="L1076" s="42" t="str">
        <v>BR1902</v>
      </c>
      <c r="M1076" s="121" t="str">
        <v/>
      </c>
      <c r="N1076" s="121" t="str">
        <v/>
      </c>
      <c r="O1076" s="121" t="str">
        <v/>
      </c>
      <c r="P1076" s="121" t="str">
        <v/>
      </c>
      <c r="Q1076" s="121" t="str">
        <v/>
      </c>
      <c r="R1076" s="121" t="str">
        <v/>
      </c>
      <c r="S1076" s="121" t="str">
        <v>Thumbnail image</v>
      </c>
      <c r="T1076" s="119" t="str">
        <f>IF($C1076&lt;4,IF($C1076=3,T1077,IF($C1076=2,T$1,"")),Q1076&amp;R1076&amp;IF(LEN(S1076)=0,"",Preferences!$C$2&amp;S1076)&amp;IF(J1077=J1076,IF(LEN(R1076&amp;S1076)=0,"","
")&amp;T1077,""))</f>
        <v xml:space="preserve">	• Thumbnail image
	• Quantity ordered
	• Unit product price (incl.) on order
	• Total product price (incl.) on order
 4. Also see the Enquire about order requirement below.</v>
      </c>
      <c r="U1076" s="122" t="str">
        <v/>
      </c>
      <c r="V1076" s="42"/>
      <c r="W1076" s="42"/>
      <c r="X1076" s="42"/>
      <c r="Y1076" s="42"/>
      <c r="Z1076" s="42"/>
      <c r="AA1076" s="42"/>
      <c r="AB1076" s="42"/>
    </row>
    <row r="1077" spans="1:28" x14ac:dyDescent="0.25">
      <c r="A1077" s="42" t="str">
        <v>1.19.2.3.4</v>
      </c>
      <c r="B1077" s="121" t="str">
        <v>Quantity ordered</v>
      </c>
      <c r="C1077" s="41">
        <v>5</v>
      </c>
      <c r="D1077" s="41" t="str">
        <v>RL</v>
      </c>
      <c r="E1077" s="117" t="str">
        <f t="shared" si="0"/>
        <v>RL</v>
      </c>
      <c r="F1077" s="41" t="str">
        <v/>
      </c>
      <c r="G1077" s="41" t="str">
        <v/>
      </c>
      <c r="H1077" s="117">
        <f t="shared" si="1"/>
        <v>0</v>
      </c>
      <c r="I1077" s="117">
        <f t="shared" si="2"/>
        <v>19</v>
      </c>
      <c r="J1077" s="117">
        <f t="shared" si="3"/>
        <v>19.020000000000003</v>
      </c>
      <c r="K1077" s="117" t="str">
        <f t="shared" si="4"/>
        <v>BR</v>
      </c>
      <c r="L1077" s="42" t="str">
        <v>BR1902</v>
      </c>
      <c r="M1077" s="121" t="str">
        <v/>
      </c>
      <c r="N1077" s="121" t="str">
        <v/>
      </c>
      <c r="O1077" s="121" t="str">
        <v/>
      </c>
      <c r="P1077" s="121" t="str">
        <v/>
      </c>
      <c r="Q1077" s="121" t="str">
        <v/>
      </c>
      <c r="R1077" s="121" t="str">
        <v/>
      </c>
      <c r="S1077" s="121" t="str">
        <v>Quantity ordered</v>
      </c>
      <c r="T1077" s="119" t="str">
        <f>IF($C1077&lt;4,IF($C1077=3,T1078,IF($C1077=2,T$1,"")),Q1077&amp;R1077&amp;IF(LEN(S1077)=0,"",Preferences!$C$2&amp;S1077)&amp;IF(J1078=J1077,IF(LEN(R1077&amp;S1077)=0,"","
")&amp;T1078,""))</f>
        <v xml:space="preserve">	• Quantity ordered
	• Unit product price (incl.) on order
	• Total product price (incl.) on order
 4. Also see the Enquire about order requirement below.</v>
      </c>
      <c r="U1077" s="122" t="str">
        <v/>
      </c>
      <c r="V1077" s="42"/>
      <c r="W1077" s="42"/>
      <c r="X1077" s="42"/>
      <c r="Y1077" s="42"/>
      <c r="Z1077" s="42"/>
      <c r="AA1077" s="42"/>
      <c r="AB1077" s="42"/>
    </row>
    <row r="1078" spans="1:28" x14ac:dyDescent="0.25">
      <c r="A1078" s="42" t="str">
        <v>1.19.2.3.5</v>
      </c>
      <c r="B1078" s="121" t="str">
        <v>Unit product price (incl.) on order</v>
      </c>
      <c r="C1078" s="41">
        <v>5</v>
      </c>
      <c r="D1078" s="41" t="str">
        <v>RL</v>
      </c>
      <c r="E1078" s="117" t="str">
        <f t="shared" si="0"/>
        <v>RL</v>
      </c>
      <c r="F1078" s="41" t="str">
        <v/>
      </c>
      <c r="G1078" s="41" t="str">
        <v/>
      </c>
      <c r="H1078" s="117">
        <f t="shared" si="1"/>
        <v>0</v>
      </c>
      <c r="I1078" s="117">
        <f t="shared" si="2"/>
        <v>19</v>
      </c>
      <c r="J1078" s="117">
        <f t="shared" si="3"/>
        <v>19.020000000000003</v>
      </c>
      <c r="K1078" s="117" t="str">
        <f t="shared" si="4"/>
        <v>BR</v>
      </c>
      <c r="L1078" s="42" t="str">
        <v>BR1902</v>
      </c>
      <c r="M1078" s="121" t="str">
        <v/>
      </c>
      <c r="N1078" s="121" t="str">
        <v/>
      </c>
      <c r="O1078" s="121" t="str">
        <v/>
      </c>
      <c r="P1078" s="121" t="str">
        <v/>
      </c>
      <c r="Q1078" s="121" t="str">
        <v/>
      </c>
      <c r="R1078" s="121" t="str">
        <v/>
      </c>
      <c r="S1078" s="121" t="str">
        <v>Unit product price (incl.) on order</v>
      </c>
      <c r="T1078" s="119" t="str">
        <f>IF($C1078&lt;4,IF($C1078=3,T1079,IF($C1078=2,T$1,"")),Q1078&amp;R1078&amp;IF(LEN(S1078)=0,"",Preferences!$C$2&amp;S1078)&amp;IF(J1079=J1078,IF(LEN(R1078&amp;S1078)=0,"","
")&amp;T1079,""))</f>
        <v xml:space="preserve">	• Unit product price (incl.) on order
	• Total product price (incl.) on order
 4. Also see the Enquire about order requirement below.</v>
      </c>
      <c r="U1078" s="122" t="str">
        <v/>
      </c>
      <c r="V1078" s="42"/>
      <c r="W1078" s="42"/>
      <c r="X1078" s="42"/>
      <c r="Y1078" s="42"/>
      <c r="Z1078" s="42"/>
      <c r="AA1078" s="42"/>
      <c r="AB1078" s="42"/>
    </row>
    <row r="1079" spans="1:28" x14ac:dyDescent="0.25">
      <c r="A1079" s="42" t="str">
        <v>1.19.2.3.6</v>
      </c>
      <c r="B1079" s="121" t="str">
        <v>Total product price (incl.) on order</v>
      </c>
      <c r="C1079" s="41">
        <v>5</v>
      </c>
      <c r="D1079" s="41" t="str">
        <v>RL</v>
      </c>
      <c r="E1079" s="117" t="str">
        <f t="shared" si="0"/>
        <v>RL</v>
      </c>
      <c r="F1079" s="41" t="str">
        <v/>
      </c>
      <c r="G1079" s="41" t="str">
        <v/>
      </c>
      <c r="H1079" s="117">
        <f t="shared" si="1"/>
        <v>0</v>
      </c>
      <c r="I1079" s="117">
        <f t="shared" si="2"/>
        <v>19</v>
      </c>
      <c r="J1079" s="117">
        <f t="shared" si="3"/>
        <v>19.020000000000003</v>
      </c>
      <c r="K1079" s="117" t="str">
        <f t="shared" si="4"/>
        <v>BR</v>
      </c>
      <c r="L1079" s="42" t="str">
        <v>BR1902</v>
      </c>
      <c r="M1079" s="121" t="str">
        <v/>
      </c>
      <c r="N1079" s="121" t="str">
        <v/>
      </c>
      <c r="O1079" s="121" t="str">
        <v/>
      </c>
      <c r="P1079" s="121" t="str">
        <v/>
      </c>
      <c r="Q1079" s="121" t="str">
        <v/>
      </c>
      <c r="R1079" s="121" t="str">
        <v/>
      </c>
      <c r="S1079" s="121" t="str">
        <v>Total product price (incl.) on order</v>
      </c>
      <c r="T1079" s="119" t="str">
        <f>IF($C1079&lt;4,IF($C1079=3,T1080,IF($C1079=2,T$1,"")),Q1079&amp;R1079&amp;IF(LEN(S1079)=0,"",Preferences!$C$2&amp;S1079)&amp;IF(J1080=J1079,IF(LEN(R1079&amp;S1079)=0,"","
")&amp;T1080,""))</f>
        <v xml:space="preserve">	• Total product price (incl.) on order
 4. Also see the Enquire about order requirement below.</v>
      </c>
      <c r="U1079" s="122" t="str">
        <v/>
      </c>
      <c r="V1079" s="42"/>
      <c r="W1079" s="42"/>
      <c r="X1079" s="42"/>
      <c r="Y1079" s="42"/>
      <c r="Z1079" s="42"/>
      <c r="AA1079" s="42"/>
      <c r="AB1079" s="42"/>
    </row>
    <row r="1080" spans="1:28" x14ac:dyDescent="0.25">
      <c r="A1080" s="42" t="str">
        <v>1.19.2.4</v>
      </c>
      <c r="B1080" s="121" t="str">
        <v>Also see the Enquire about order requirement below.</v>
      </c>
      <c r="C1080" s="41">
        <v>4</v>
      </c>
      <c r="D1080" s="41" t="str">
        <v>RD</v>
      </c>
      <c r="E1080" s="117" t="str">
        <f t="shared" si="0"/>
        <v>RD</v>
      </c>
      <c r="F1080" s="41" t="str">
        <v/>
      </c>
      <c r="G1080" s="41" t="str">
        <v/>
      </c>
      <c r="H1080" s="117">
        <f t="shared" si="1"/>
        <v>0</v>
      </c>
      <c r="I1080" s="117">
        <f t="shared" si="2"/>
        <v>19</v>
      </c>
      <c r="J1080" s="117">
        <f t="shared" si="3"/>
        <v>19.020000000000003</v>
      </c>
      <c r="K1080" s="117" t="str">
        <f t="shared" si="4"/>
        <v>BR</v>
      </c>
      <c r="L1080" s="42" t="str">
        <v>BR1902</v>
      </c>
      <c r="M1080" s="121" t="str">
        <v/>
      </c>
      <c r="N1080" s="121" t="str">
        <v/>
      </c>
      <c r="O1080" s="121" t="str">
        <v/>
      </c>
      <c r="P1080" s="121" t="str">
        <v/>
      </c>
      <c r="Q1080" s="121" t="str">
        <v xml:space="preserve"> 4. </v>
      </c>
      <c r="R1080" s="121" t="str">
        <v>Also see the Enquire about order requirement below.</v>
      </c>
      <c r="S1080" s="121" t="str">
        <v/>
      </c>
      <c r="T1080" s="119" t="str">
        <f>IF($C1080&lt;4,IF($C1080=3,T1081,IF($C1080=2,T$1,"")),Q1080&amp;R1080&amp;IF(LEN(S1080)=0,"",Preferences!$C$2&amp;S1080)&amp;IF(J1081=J1080,IF(LEN(R1080&amp;S1080)=0,"","
")&amp;T1081,""))</f>
        <v xml:space="preserve"> 4. Also see the Enquire about order requirement below.</v>
      </c>
      <c r="U1080" s="122" t="str">
        <v/>
      </c>
      <c r="V1080" s="42"/>
      <c r="W1080" s="42"/>
      <c r="X1080" s="42"/>
      <c r="Y1080" s="42"/>
      <c r="Z1080" s="42"/>
      <c r="AA1080" s="42"/>
      <c r="AB1080" s="42"/>
    </row>
    <row r="1081" spans="1:28" x14ac:dyDescent="0.25">
      <c r="A1081" s="42" t="str">
        <v>1.19.3</v>
      </c>
      <c r="B1081" s="121" t="str">
        <v>19.3 Receive order status updates</v>
      </c>
      <c r="C1081" s="41">
        <v>3</v>
      </c>
      <c r="D1081" s="41" t="str">
        <v>R</v>
      </c>
      <c r="E1081" s="117" t="str">
        <f t="shared" si="0"/>
        <v>R</v>
      </c>
      <c r="F1081" s="41" t="str">
        <v/>
      </c>
      <c r="G1081" s="41" t="str">
        <v/>
      </c>
      <c r="H1081" s="117">
        <f t="shared" si="1"/>
        <v>0</v>
      </c>
      <c r="I1081" s="117">
        <f t="shared" si="2"/>
        <v>19</v>
      </c>
      <c r="J1081" s="117">
        <f t="shared" si="3"/>
        <v>19.030000000000005</v>
      </c>
      <c r="K1081" s="117" t="str">
        <f t="shared" si="4"/>
        <v>BR</v>
      </c>
      <c r="L1081" s="42" t="str">
        <v>BR1903</v>
      </c>
      <c r="M1081" s="121" t="str">
        <v/>
      </c>
      <c r="N1081" s="121" t="str">
        <v/>
      </c>
      <c r="O1081" s="121" t="str">
        <v>BR1903</v>
      </c>
      <c r="P1081" s="121" t="str">
        <v>Receive order status updates</v>
      </c>
      <c r="Q1081" s="121" t="str">
        <v/>
      </c>
      <c r="R1081" s="121" t="str">
        <v/>
      </c>
      <c r="S1081" s="121" t="str">
        <v/>
      </c>
      <c r="T1081" s="119" t="str">
        <f>IF($C1081&lt;4,IF($C1081=3,T1082,IF($C1081=2,T$1,"")),Q1081&amp;R1081&amp;IF(LEN(S1081)=0,"",Preferences!$C$2&amp;S1081)&amp;IF(J1082=J1081,IF(LEN(R1081&amp;S1081)=0,"","
")&amp;T1082,""))</f>
        <v xml:space="preserve"> 1. A customer is notified of selected status changes to their order:
	• Order received
	• Order processed (once assigned to the supplier)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1" s="122" t="str">
        <v/>
      </c>
      <c r="V1081" s="42"/>
      <c r="W1081" s="42"/>
      <c r="X1081" s="42"/>
      <c r="Y1081" s="42"/>
      <c r="Z1081" s="42"/>
      <c r="AA1081" s="42"/>
      <c r="AB1081" s="42"/>
    </row>
    <row r="1082" spans="1:28" x14ac:dyDescent="0.25">
      <c r="A1082" s="42" t="str">
        <v>1.19.3.1</v>
      </c>
      <c r="B1082" s="121" t="str">
        <v>A customer is notified of selected status changes to their order:</v>
      </c>
      <c r="C1082" s="41">
        <v>4</v>
      </c>
      <c r="D1082" s="41" t="str">
        <v>RD</v>
      </c>
      <c r="E1082" s="117" t="str">
        <f t="shared" si="0"/>
        <v>RD</v>
      </c>
      <c r="F1082" s="41" t="str">
        <v/>
      </c>
      <c r="G1082" s="41" t="str">
        <v/>
      </c>
      <c r="H1082" s="117">
        <f t="shared" si="1"/>
        <v>0</v>
      </c>
      <c r="I1082" s="117">
        <f t="shared" si="2"/>
        <v>19</v>
      </c>
      <c r="J1082" s="117">
        <f t="shared" si="3"/>
        <v>19.030000000000005</v>
      </c>
      <c r="K1082" s="117" t="str">
        <f t="shared" si="4"/>
        <v>BR</v>
      </c>
      <c r="L1082" s="42" t="str">
        <v>BR1903</v>
      </c>
      <c r="M1082" s="121" t="str">
        <v/>
      </c>
      <c r="N1082" s="121" t="str">
        <v/>
      </c>
      <c r="O1082" s="121" t="str">
        <v/>
      </c>
      <c r="P1082" s="121" t="str">
        <v/>
      </c>
      <c r="Q1082" s="121" t="str">
        <v xml:space="preserve"> 1. </v>
      </c>
      <c r="R1082" s="121" t="str">
        <v>A customer is notified of selected status changes to their order:</v>
      </c>
      <c r="S1082" s="121" t="str">
        <v/>
      </c>
      <c r="T1082" s="119" t="str">
        <f>IF($C1082&lt;4,IF($C1082=3,T1083,IF($C1082=2,T$1,"")),Q1082&amp;R1082&amp;IF(LEN(S1082)=0,"",Preferences!$C$2&amp;S1082)&amp;IF(J1083=J1082,IF(LEN(R1082&amp;S1082)=0,"","
")&amp;T1083,""))</f>
        <v xml:space="preserve"> 1. A customer is notified of selected status changes to their order:
	• Order received
	• Order processed (once assigned to the supplier)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2" s="122" t="str">
        <v/>
      </c>
      <c r="V1082" s="42"/>
      <c r="W1082" s="42"/>
      <c r="X1082" s="42"/>
      <c r="Y1082" s="42"/>
      <c r="Z1082" s="42"/>
      <c r="AA1082" s="42"/>
      <c r="AB1082" s="42"/>
    </row>
    <row r="1083" spans="1:28" x14ac:dyDescent="0.25">
      <c r="A1083" s="42" t="str">
        <v>1.19.3.1.1</v>
      </c>
      <c r="B1083" s="121" t="str">
        <v>Order received</v>
      </c>
      <c r="C1083" s="41">
        <v>5</v>
      </c>
      <c r="D1083" s="41" t="str">
        <v>RL</v>
      </c>
      <c r="E1083" s="117" t="str">
        <f t="shared" si="0"/>
        <v>RL</v>
      </c>
      <c r="F1083" s="41" t="str">
        <v/>
      </c>
      <c r="G1083" s="41" t="str">
        <v/>
      </c>
      <c r="H1083" s="117">
        <f t="shared" si="1"/>
        <v>0</v>
      </c>
      <c r="I1083" s="117">
        <f t="shared" si="2"/>
        <v>19</v>
      </c>
      <c r="J1083" s="117">
        <f t="shared" si="3"/>
        <v>19.030000000000005</v>
      </c>
      <c r="K1083" s="117" t="str">
        <f t="shared" si="4"/>
        <v>BR</v>
      </c>
      <c r="L1083" s="42" t="str">
        <v>BR1903</v>
      </c>
      <c r="M1083" s="121" t="str">
        <v/>
      </c>
      <c r="N1083" s="121" t="str">
        <v/>
      </c>
      <c r="O1083" s="121" t="str">
        <v/>
      </c>
      <c r="P1083" s="121" t="str">
        <v/>
      </c>
      <c r="Q1083" s="121" t="str">
        <v/>
      </c>
      <c r="R1083" s="121" t="str">
        <v/>
      </c>
      <c r="S1083" s="121" t="str">
        <v>Order received</v>
      </c>
      <c r="T1083" s="119" t="str">
        <f>IF($C1083&lt;4,IF($C1083=3,T1084,IF($C1083=2,T$1,"")),Q1083&amp;R1083&amp;IF(LEN(S1083)=0,"",Preferences!$C$2&amp;S1083)&amp;IF(J1084=J1083,IF(LEN(R1083&amp;S1083)=0,"","
")&amp;T1084,""))</f>
        <v xml:space="preserve">	• Order received
	• Order processed (once assigned to the supplier)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3" s="122" t="str">
        <v/>
      </c>
      <c r="V1083" s="42"/>
      <c r="W1083" s="42"/>
      <c r="X1083" s="42"/>
      <c r="Y1083" s="42"/>
      <c r="Z1083" s="42"/>
      <c r="AA1083" s="42"/>
      <c r="AB1083" s="42"/>
    </row>
    <row r="1084" spans="1:28" x14ac:dyDescent="0.25">
      <c r="A1084" s="42" t="str">
        <v>1.19.3.1.2</v>
      </c>
      <c r="B1084" s="121" t="str">
        <v>Order processed (once assigned to the supplier)</v>
      </c>
      <c r="C1084" s="41">
        <v>5</v>
      </c>
      <c r="D1084" s="41" t="str">
        <v>RL</v>
      </c>
      <c r="E1084" s="117" t="str">
        <f t="shared" si="0"/>
        <v>RL</v>
      </c>
      <c r="F1084" s="41" t="str">
        <v/>
      </c>
      <c r="G1084" s="41" t="str">
        <v/>
      </c>
      <c r="H1084" s="117">
        <f t="shared" si="1"/>
        <v>0</v>
      </c>
      <c r="I1084" s="117">
        <f t="shared" si="2"/>
        <v>19</v>
      </c>
      <c r="J1084" s="117">
        <f t="shared" si="3"/>
        <v>19.030000000000005</v>
      </c>
      <c r="K1084" s="117" t="str">
        <f t="shared" si="4"/>
        <v>BR</v>
      </c>
      <c r="L1084" s="42" t="str">
        <v>BR1903</v>
      </c>
      <c r="M1084" s="121" t="str">
        <v/>
      </c>
      <c r="N1084" s="121" t="str">
        <v/>
      </c>
      <c r="O1084" s="121" t="str">
        <v/>
      </c>
      <c r="P1084" s="121" t="str">
        <v/>
      </c>
      <c r="Q1084" s="121" t="str">
        <v/>
      </c>
      <c r="R1084" s="121" t="str">
        <v/>
      </c>
      <c r="S1084" s="121" t="str">
        <v>Order processed (once assigned to the supplier)</v>
      </c>
      <c r="T1084" s="119" t="str">
        <f>IF($C1084&lt;4,IF($C1084=3,T1085,IF($C1084=2,T$1,"")),Q1084&amp;R1084&amp;IF(LEN(S1084)=0,"",Preferences!$C$2&amp;S1084)&amp;IF(J1085=J1084,IF(LEN(R1084&amp;S1084)=0,"","
")&amp;T1085,""))</f>
        <v xml:space="preserve">	• Order processed (once assigned to the supplier)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4" s="122" t="str">
        <v/>
      </c>
      <c r="V1084" s="42"/>
      <c r="W1084" s="42"/>
      <c r="X1084" s="42"/>
      <c r="Y1084" s="42"/>
      <c r="Z1084" s="42"/>
      <c r="AA1084" s="42"/>
      <c r="AB1084" s="42"/>
    </row>
    <row r="1085" spans="1:28" x14ac:dyDescent="0.25">
      <c r="A1085" s="42" t="str">
        <v>1.19.3.1.3</v>
      </c>
      <c r="B1085" s="121" t="str">
        <v>Order packed</v>
      </c>
      <c r="C1085" s="41">
        <v>5</v>
      </c>
      <c r="D1085" s="41" t="str">
        <v>RL</v>
      </c>
      <c r="E1085" s="117" t="str">
        <f t="shared" si="0"/>
        <v>RL</v>
      </c>
      <c r="F1085" s="41" t="str">
        <v/>
      </c>
      <c r="G1085" s="41" t="str">
        <v/>
      </c>
      <c r="H1085" s="117">
        <f t="shared" si="1"/>
        <v>0</v>
      </c>
      <c r="I1085" s="117">
        <f t="shared" si="2"/>
        <v>19</v>
      </c>
      <c r="J1085" s="117">
        <f t="shared" si="3"/>
        <v>19.030000000000005</v>
      </c>
      <c r="K1085" s="117" t="str">
        <f t="shared" si="4"/>
        <v>BR</v>
      </c>
      <c r="L1085" s="42" t="str">
        <v>BR1903</v>
      </c>
      <c r="M1085" s="121" t="str">
        <v/>
      </c>
      <c r="N1085" s="121" t="str">
        <v/>
      </c>
      <c r="O1085" s="121" t="str">
        <v/>
      </c>
      <c r="P1085" s="121" t="str">
        <v/>
      </c>
      <c r="Q1085" s="121" t="str">
        <v/>
      </c>
      <c r="R1085" s="121" t="str">
        <v/>
      </c>
      <c r="S1085" s="121" t="str">
        <v>Order packed</v>
      </c>
      <c r="T1085" s="119" t="str">
        <f>IF($C1085&lt;4,IF($C1085=3,T1086,IF($C1085=2,T$1,"")),Q1085&amp;R1085&amp;IF(LEN(S1085)=0,"",Preferences!$C$2&amp;S1085)&amp;IF(J1086=J1085,IF(LEN(R1085&amp;S1085)=0,"","
")&amp;T1086,""))</f>
        <v xml:space="preserve">	• Order packed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5" s="122" t="str">
        <v/>
      </c>
      <c r="V1085" s="42"/>
      <c r="W1085" s="42"/>
      <c r="X1085" s="42"/>
      <c r="Y1085" s="42"/>
      <c r="Z1085" s="42"/>
      <c r="AA1085" s="42"/>
      <c r="AB1085" s="42"/>
    </row>
    <row r="1086" spans="1:28" x14ac:dyDescent="0.25">
      <c r="A1086" s="42" t="str">
        <v>1.19.3.1.4</v>
      </c>
      <c r="B1086" s="121" t="str">
        <v>Order dispatched</v>
      </c>
      <c r="C1086" s="41">
        <v>5</v>
      </c>
      <c r="D1086" s="41" t="str">
        <v>RL</v>
      </c>
      <c r="E1086" s="117" t="str">
        <f t="shared" si="0"/>
        <v>RL</v>
      </c>
      <c r="F1086" s="41" t="str">
        <v/>
      </c>
      <c r="G1086" s="41" t="str">
        <v/>
      </c>
      <c r="H1086" s="117">
        <f t="shared" si="1"/>
        <v>0</v>
      </c>
      <c r="I1086" s="117">
        <f t="shared" si="2"/>
        <v>19</v>
      </c>
      <c r="J1086" s="117">
        <f t="shared" si="3"/>
        <v>19.030000000000005</v>
      </c>
      <c r="K1086" s="117" t="str">
        <f t="shared" si="4"/>
        <v>BR</v>
      </c>
      <c r="L1086" s="42" t="str">
        <v>BR1903</v>
      </c>
      <c r="M1086" s="121" t="str">
        <v/>
      </c>
      <c r="N1086" s="121" t="str">
        <v/>
      </c>
      <c r="O1086" s="121" t="str">
        <v/>
      </c>
      <c r="P1086" s="121" t="str">
        <v/>
      </c>
      <c r="Q1086" s="121" t="str">
        <v/>
      </c>
      <c r="R1086" s="121" t="str">
        <v/>
      </c>
      <c r="S1086" s="121" t="str">
        <v>Order dispatched</v>
      </c>
      <c r="T1086" s="119" t="str">
        <f>IF($C1086&lt;4,IF($C1086=3,T1087,IF($C1086=2,T$1,"")),Q1086&amp;R1086&amp;IF(LEN(S1086)=0,"",Preferences!$C$2&amp;S1086)&amp;IF(J1087=J1086,IF(LEN(R1086&amp;S1086)=0,"","
")&amp;T1087,""))</f>
        <v xml:space="preserve">	• Order dispatched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6" s="122" t="str">
        <v/>
      </c>
      <c r="V1086" s="42"/>
      <c r="W1086" s="42"/>
      <c r="X1086" s="42"/>
      <c r="Y1086" s="42"/>
      <c r="Z1086" s="42"/>
      <c r="AA1086" s="42"/>
      <c r="AB1086" s="42"/>
    </row>
    <row r="1087" spans="1:28" x14ac:dyDescent="0.25">
      <c r="A1087" s="42" t="str">
        <v>1.19.3.1.5</v>
      </c>
      <c r="B1087" s="121" t="str">
        <v>Order delivered</v>
      </c>
      <c r="C1087" s="41">
        <v>5</v>
      </c>
      <c r="D1087" s="41" t="str">
        <v>RL</v>
      </c>
      <c r="E1087" s="117" t="str">
        <f t="shared" si="0"/>
        <v>RL</v>
      </c>
      <c r="F1087" s="41" t="str">
        <v/>
      </c>
      <c r="G1087" s="41" t="str">
        <v/>
      </c>
      <c r="H1087" s="117">
        <f t="shared" si="1"/>
        <v>0</v>
      </c>
      <c r="I1087" s="117">
        <f t="shared" si="2"/>
        <v>19</v>
      </c>
      <c r="J1087" s="117">
        <f t="shared" si="3"/>
        <v>19.030000000000005</v>
      </c>
      <c r="K1087" s="117" t="str">
        <f t="shared" si="4"/>
        <v>BR</v>
      </c>
      <c r="L1087" s="42" t="str">
        <v>BR1903</v>
      </c>
      <c r="M1087" s="121" t="str">
        <v/>
      </c>
      <c r="N1087" s="121" t="str">
        <v/>
      </c>
      <c r="O1087" s="121" t="str">
        <v/>
      </c>
      <c r="P1087" s="121" t="str">
        <v/>
      </c>
      <c r="Q1087" s="121" t="str">
        <v/>
      </c>
      <c r="R1087" s="121" t="str">
        <v/>
      </c>
      <c r="S1087" s="121" t="str">
        <v>Order delivered</v>
      </c>
      <c r="T1087" s="119" t="str">
        <f>IF($C1087&lt;4,IF($C1087=3,T1088,IF($C1087=2,T$1,"")),Q1087&amp;R1087&amp;IF(LEN(S1087)=0,"",Preferences!$C$2&amp;S1087)&amp;IF(J1088=J1087,IF(LEN(R1087&amp;S1087)=0,"","
")&amp;T1088,""))</f>
        <v xml:space="preserve">	• Order delivered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7" s="122" t="str">
        <v/>
      </c>
      <c r="V1087" s="42"/>
      <c r="W1087" s="42"/>
      <c r="X1087" s="42"/>
      <c r="Y1087" s="42"/>
      <c r="Z1087" s="42"/>
      <c r="AA1087" s="42"/>
      <c r="AB1087" s="42"/>
    </row>
    <row r="1088" spans="1:28" x14ac:dyDescent="0.25">
      <c r="A1088" s="42" t="str">
        <v>1.19.3.1.6</v>
      </c>
      <c r="B1088" s="121" t="str">
        <v>Order cancelled</v>
      </c>
      <c r="C1088" s="41">
        <v>5</v>
      </c>
      <c r="D1088" s="41" t="str">
        <v>RL</v>
      </c>
      <c r="E1088" s="117" t="str">
        <f t="shared" si="0"/>
        <v>RL</v>
      </c>
      <c r="F1088" s="41" t="str">
        <v/>
      </c>
      <c r="G1088" s="41" t="str">
        <v/>
      </c>
      <c r="H1088" s="117">
        <f t="shared" si="1"/>
        <v>0</v>
      </c>
      <c r="I1088" s="117">
        <f t="shared" si="2"/>
        <v>19</v>
      </c>
      <c r="J1088" s="117">
        <f t="shared" si="3"/>
        <v>19.030000000000005</v>
      </c>
      <c r="K1088" s="117" t="str">
        <f t="shared" si="4"/>
        <v>BR</v>
      </c>
      <c r="L1088" s="42" t="str">
        <v>BR1903</v>
      </c>
      <c r="M1088" s="121" t="str">
        <v/>
      </c>
      <c r="N1088" s="121" t="str">
        <v/>
      </c>
      <c r="O1088" s="121" t="str">
        <v/>
      </c>
      <c r="P1088" s="121" t="str">
        <v/>
      </c>
      <c r="Q1088" s="121" t="str">
        <v/>
      </c>
      <c r="R1088" s="121" t="str">
        <v/>
      </c>
      <c r="S1088" s="121" t="str">
        <v>Order cancelled</v>
      </c>
      <c r="T1088" s="119" t="str">
        <f>IF($C1088&lt;4,IF($C1088=3,T1089,IF($C1088=2,T$1,"")),Q1088&amp;R1088&amp;IF(LEN(S1088)=0,"",Preferences!$C$2&amp;S1088)&amp;IF(J1089=J1088,IF(LEN(R1088&amp;S1088)=0,"","
")&amp;T1089,""))</f>
        <v xml:space="preserve">	• Order cancelled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8" s="122" t="str">
        <v/>
      </c>
      <c r="V1088" s="42"/>
      <c r="W1088" s="42"/>
      <c r="X1088" s="42"/>
      <c r="Y1088" s="42"/>
      <c r="Z1088" s="42"/>
      <c r="AA1088" s="42"/>
      <c r="AB1088" s="42"/>
    </row>
    <row r="1089" spans="1:28" x14ac:dyDescent="0.25">
      <c r="A1089" s="42" t="str">
        <v>1.19.3.2</v>
      </c>
      <c r="B1089" s="121" t="str">
        <v>The status message is sent to their registered email address, to contain at least the following:</v>
      </c>
      <c r="C1089" s="41">
        <v>4</v>
      </c>
      <c r="D1089" s="41" t="str">
        <v>RD</v>
      </c>
      <c r="E1089" s="117" t="str">
        <f t="shared" si="0"/>
        <v>RD</v>
      </c>
      <c r="F1089" s="41" t="str">
        <v/>
      </c>
      <c r="G1089" s="41" t="str">
        <v/>
      </c>
      <c r="H1089" s="117">
        <f t="shared" si="1"/>
        <v>0</v>
      </c>
      <c r="I1089" s="117">
        <f t="shared" si="2"/>
        <v>19</v>
      </c>
      <c r="J1089" s="117">
        <f t="shared" si="3"/>
        <v>19.030000000000005</v>
      </c>
      <c r="K1089" s="117" t="str">
        <f t="shared" si="4"/>
        <v>BR</v>
      </c>
      <c r="L1089" s="42" t="str">
        <v>BR1903</v>
      </c>
      <c r="M1089" s="121" t="str">
        <v/>
      </c>
      <c r="N1089" s="121" t="str">
        <v/>
      </c>
      <c r="O1089" s="121" t="str">
        <v/>
      </c>
      <c r="P1089" s="121" t="str">
        <v/>
      </c>
      <c r="Q1089" s="121" t="str">
        <v xml:space="preserve"> 2. </v>
      </c>
      <c r="R1089" s="121" t="str">
        <v>The status message is sent to their registered email address, to contain at least the following:</v>
      </c>
      <c r="S1089" s="121" t="str">
        <v/>
      </c>
      <c r="T1089" s="119" t="str">
        <f>IF($C1089&lt;4,IF($C1089=3,T1090,IF($C1089=2,T$1,"")),Q1089&amp;R1089&amp;IF(LEN(S1089)=0,"",Preferences!$C$2&amp;S1089)&amp;IF(J1090=J1089,IF(LEN(R1089&amp;S1089)=0,"","
")&amp;T1090,""))</f>
        <v xml:space="preserve"> 2. The status message is sent to their registered email address, to contain at least the following: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89" s="122" t="str">
        <v/>
      </c>
      <c r="V1089" s="42"/>
      <c r="W1089" s="42"/>
      <c r="X1089" s="42"/>
      <c r="Y1089" s="42"/>
      <c r="Z1089" s="42"/>
      <c r="AA1089" s="42"/>
      <c r="AB1089" s="42"/>
    </row>
    <row r="1090" spans="1:28" x14ac:dyDescent="0.25">
      <c r="A1090" s="42" t="str">
        <v>1.19.3.2.1</v>
      </c>
      <c r="B1090" s="121" t="str">
        <v>Order number</v>
      </c>
      <c r="C1090" s="41">
        <v>5</v>
      </c>
      <c r="D1090" s="41" t="str">
        <v>RL</v>
      </c>
      <c r="E1090" s="117" t="str">
        <f t="shared" si="0"/>
        <v>RL</v>
      </c>
      <c r="F1090" s="41" t="str">
        <v/>
      </c>
      <c r="G1090" s="41" t="str">
        <v/>
      </c>
      <c r="H1090" s="117">
        <f t="shared" si="1"/>
        <v>0</v>
      </c>
      <c r="I1090" s="117">
        <f t="shared" si="2"/>
        <v>19</v>
      </c>
      <c r="J1090" s="117">
        <f t="shared" si="3"/>
        <v>19.030000000000005</v>
      </c>
      <c r="K1090" s="117" t="str">
        <f t="shared" si="4"/>
        <v>BR</v>
      </c>
      <c r="L1090" s="42" t="str">
        <v>BR1903</v>
      </c>
      <c r="M1090" s="121" t="str">
        <v/>
      </c>
      <c r="N1090" s="121" t="str">
        <v/>
      </c>
      <c r="O1090" s="121" t="str">
        <v/>
      </c>
      <c r="P1090" s="121" t="str">
        <v/>
      </c>
      <c r="Q1090" s="121" t="str">
        <v/>
      </c>
      <c r="R1090" s="121" t="str">
        <v/>
      </c>
      <c r="S1090" s="121" t="str">
        <v>Order number</v>
      </c>
      <c r="T1090" s="119" t="str">
        <f>IF($C1090&lt;4,IF($C1090=3,T1091,IF($C1090=2,T$1,"")),Q1090&amp;R1090&amp;IF(LEN(S1090)=0,"",Preferences!$C$2&amp;S1090)&amp;IF(J1091=J1090,IF(LEN(R1090&amp;S1090)=0,"","
")&amp;T1091,""))</f>
        <v xml:space="preserve">	• Order number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90" s="122" t="str">
        <v/>
      </c>
      <c r="V1090" s="42"/>
      <c r="W1090" s="42"/>
      <c r="X1090" s="42"/>
      <c r="Y1090" s="42"/>
      <c r="Z1090" s="42"/>
      <c r="AA1090" s="42"/>
      <c r="AB1090" s="42"/>
    </row>
    <row r="1091" spans="1:28" x14ac:dyDescent="0.25">
      <c r="A1091" s="42" t="str">
        <v>1.19.3.2.2</v>
      </c>
      <c r="B1091" s="121" t="str">
        <v>Order date</v>
      </c>
      <c r="C1091" s="41">
        <v>5</v>
      </c>
      <c r="D1091" s="41" t="str">
        <v>RL</v>
      </c>
      <c r="E1091" s="117" t="str">
        <f t="shared" si="0"/>
        <v>RL</v>
      </c>
      <c r="F1091" s="41" t="str">
        <v/>
      </c>
      <c r="G1091" s="41" t="str">
        <v/>
      </c>
      <c r="H1091" s="117">
        <f t="shared" si="1"/>
        <v>0</v>
      </c>
      <c r="I1091" s="117">
        <f t="shared" si="2"/>
        <v>19</v>
      </c>
      <c r="J1091" s="117">
        <f t="shared" si="3"/>
        <v>19.030000000000005</v>
      </c>
      <c r="K1091" s="117" t="str">
        <f t="shared" si="4"/>
        <v>BR</v>
      </c>
      <c r="L1091" s="42" t="str">
        <v>BR1903</v>
      </c>
      <c r="M1091" s="121" t="str">
        <v/>
      </c>
      <c r="N1091" s="121" t="str">
        <v/>
      </c>
      <c r="O1091" s="121" t="str">
        <v/>
      </c>
      <c r="P1091" s="121" t="str">
        <v/>
      </c>
      <c r="Q1091" s="121" t="str">
        <v/>
      </c>
      <c r="R1091" s="121" t="str">
        <v/>
      </c>
      <c r="S1091" s="121" t="str">
        <v>Order date</v>
      </c>
      <c r="T1091" s="119" t="str">
        <f>IF($C1091&lt;4,IF($C1091=3,T1092,IF($C1091=2,T$1,"")),Q1091&amp;R1091&amp;IF(LEN(S1091)=0,"",Preferences!$C$2&amp;S1091)&amp;IF(J1092=J1091,IF(LEN(R1091&amp;S1091)=0,"","
")&amp;T1092,""))</f>
        <v xml:space="preserve">	• Order date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91" s="122" t="str">
        <v/>
      </c>
      <c r="V1091" s="42"/>
      <c r="W1091" s="42"/>
      <c r="X1091" s="42"/>
      <c r="Y1091" s="42"/>
      <c r="Z1091" s="42"/>
      <c r="AA1091" s="42"/>
      <c r="AB1091" s="42"/>
    </row>
    <row r="1092" spans="1:28" x14ac:dyDescent="0.25">
      <c r="A1092" s="42" t="str">
        <v>1.19.3.2.3</v>
      </c>
      <c r="B1092" s="121" t="str">
        <v>New Status</v>
      </c>
      <c r="C1092" s="41">
        <v>5</v>
      </c>
      <c r="D1092" s="41" t="str">
        <v>RL</v>
      </c>
      <c r="E1092" s="117" t="str">
        <f t="shared" si="0"/>
        <v>RL</v>
      </c>
      <c r="F1092" s="41" t="str">
        <v/>
      </c>
      <c r="G1092" s="41" t="str">
        <v/>
      </c>
      <c r="H1092" s="117">
        <f t="shared" si="1"/>
        <v>0</v>
      </c>
      <c r="I1092" s="117">
        <f t="shared" si="2"/>
        <v>19</v>
      </c>
      <c r="J1092" s="117">
        <f t="shared" si="3"/>
        <v>19.030000000000005</v>
      </c>
      <c r="K1092" s="117" t="str">
        <f t="shared" si="4"/>
        <v>BR</v>
      </c>
      <c r="L1092" s="42" t="str">
        <v>BR1903</v>
      </c>
      <c r="M1092" s="121" t="str">
        <v/>
      </c>
      <c r="N1092" s="121" t="str">
        <v/>
      </c>
      <c r="O1092" s="121" t="str">
        <v/>
      </c>
      <c r="P1092" s="121" t="str">
        <v/>
      </c>
      <c r="Q1092" s="121" t="str">
        <v/>
      </c>
      <c r="R1092" s="121" t="str">
        <v/>
      </c>
      <c r="S1092" s="121" t="str">
        <v>New Status</v>
      </c>
      <c r="T1092" s="119" t="str">
        <f>IF($C1092&lt;4,IF($C1092=3,T1093,IF($C1092=2,T$1,"")),Q1092&amp;R1092&amp;IF(LEN(S1092)=0,"",Preferences!$C$2&amp;S1092)&amp;IF(J1093=J1092,IF(LEN(R1092&amp;S1092)=0,"","
")&amp;T1093,""))</f>
        <v xml:space="preserve">	• New Status
	• Delivery address
	• Expected delivery date (included for delivery status)
	• List of products (same as specified in the View customer order requirements)
	• Total value
 3. In addition, the customer is notified via SMS about a despatch or delivered, could not deliver status.</v>
      </c>
      <c r="U1092" s="122" t="str">
        <v/>
      </c>
      <c r="V1092" s="42"/>
      <c r="W1092" s="42"/>
      <c r="X1092" s="42"/>
      <c r="Y1092" s="42"/>
      <c r="Z1092" s="42"/>
      <c r="AA1092" s="42"/>
      <c r="AB1092" s="42"/>
    </row>
    <row r="1093" spans="1:28" x14ac:dyDescent="0.25">
      <c r="A1093" s="42" t="str">
        <v>1.19.3.2.4</v>
      </c>
      <c r="B1093" s="121" t="str">
        <v>Delivery address</v>
      </c>
      <c r="C1093" s="41">
        <v>5</v>
      </c>
      <c r="D1093" s="41" t="str">
        <v>RL</v>
      </c>
      <c r="E1093" s="117" t="str">
        <f t="shared" si="0"/>
        <v>RL</v>
      </c>
      <c r="F1093" s="41" t="str">
        <v/>
      </c>
      <c r="G1093" s="41" t="str">
        <v/>
      </c>
      <c r="H1093" s="117">
        <f t="shared" si="1"/>
        <v>0</v>
      </c>
      <c r="I1093" s="117">
        <f t="shared" si="2"/>
        <v>19</v>
      </c>
      <c r="J1093" s="117">
        <f t="shared" si="3"/>
        <v>19.030000000000005</v>
      </c>
      <c r="K1093" s="117" t="str">
        <f t="shared" si="4"/>
        <v>BR</v>
      </c>
      <c r="L1093" s="42" t="str">
        <v>BR1903</v>
      </c>
      <c r="M1093" s="121" t="str">
        <v/>
      </c>
      <c r="N1093" s="121" t="str">
        <v/>
      </c>
      <c r="O1093" s="121" t="str">
        <v/>
      </c>
      <c r="P1093" s="121" t="str">
        <v/>
      </c>
      <c r="Q1093" s="121" t="str">
        <v/>
      </c>
      <c r="R1093" s="121" t="str">
        <v/>
      </c>
      <c r="S1093" s="121" t="str">
        <v>Delivery address</v>
      </c>
      <c r="T1093" s="119" t="str">
        <f>IF($C1093&lt;4,IF($C1093=3,T1094,IF($C1093=2,T$1,"")),Q1093&amp;R1093&amp;IF(LEN(S1093)=0,"",Preferences!$C$2&amp;S1093)&amp;IF(J1094=J1093,IF(LEN(R1093&amp;S1093)=0,"","
")&amp;T1094,""))</f>
        <v xml:space="preserve">	• Delivery address
	• Expected delivery date (included for delivery status)
	• List of products (same as specified in the View customer order requirements)
	• Total value
 3. In addition, the customer is notified via SMS about a despatch or delivered, could not deliver status.</v>
      </c>
      <c r="U1093" s="122" t="str">
        <v/>
      </c>
      <c r="V1093" s="42"/>
      <c r="W1093" s="42"/>
      <c r="X1093" s="42"/>
      <c r="Y1093" s="42"/>
      <c r="Z1093" s="42"/>
      <c r="AA1093" s="42"/>
      <c r="AB1093" s="42"/>
    </row>
    <row r="1094" spans="1:28" x14ac:dyDescent="0.25">
      <c r="A1094" s="42" t="str">
        <v>1.19.3.2.5</v>
      </c>
      <c r="B1094" s="121" t="str">
        <v>Expected delivery date (included for delivery status)</v>
      </c>
      <c r="C1094" s="41">
        <v>5</v>
      </c>
      <c r="D1094" s="41" t="str">
        <v>RL</v>
      </c>
      <c r="E1094" s="117" t="str">
        <f t="shared" si="0"/>
        <v>RL</v>
      </c>
      <c r="F1094" s="41" t="str">
        <v/>
      </c>
      <c r="G1094" s="41" t="str">
        <v/>
      </c>
      <c r="H1094" s="117">
        <f t="shared" si="1"/>
        <v>0</v>
      </c>
      <c r="I1094" s="117">
        <f t="shared" si="2"/>
        <v>19</v>
      </c>
      <c r="J1094" s="117">
        <f t="shared" si="3"/>
        <v>19.030000000000005</v>
      </c>
      <c r="K1094" s="117" t="str">
        <f t="shared" si="4"/>
        <v>BR</v>
      </c>
      <c r="L1094" s="42" t="str">
        <v>BR1903</v>
      </c>
      <c r="M1094" s="121" t="str">
        <v/>
      </c>
      <c r="N1094" s="121" t="str">
        <v/>
      </c>
      <c r="O1094" s="121" t="str">
        <v/>
      </c>
      <c r="P1094" s="121" t="str">
        <v/>
      </c>
      <c r="Q1094" s="121" t="str">
        <v/>
      </c>
      <c r="R1094" s="121" t="str">
        <v/>
      </c>
      <c r="S1094" s="121" t="str">
        <v>Expected delivery date (included for delivery status)</v>
      </c>
      <c r="T1094" s="119" t="str">
        <f>IF($C1094&lt;4,IF($C1094=3,T1095,IF($C1094=2,T$1,"")),Q1094&amp;R1094&amp;IF(LEN(S1094)=0,"",Preferences!$C$2&amp;S1094)&amp;IF(J1095=J1094,IF(LEN(R1094&amp;S1094)=0,"","
")&amp;T1095,""))</f>
        <v xml:space="preserve">	• Expected delivery date (included for delivery status)
	• List of products (same as specified in the View customer order requirements)
	• Total value
 3. In addition, the customer is notified via SMS about a despatch or delivered, could not deliver status.</v>
      </c>
      <c r="U1094" s="122" t="str">
        <v/>
      </c>
      <c r="V1094" s="42"/>
      <c r="W1094" s="42"/>
      <c r="X1094" s="42"/>
      <c r="Y1094" s="42"/>
      <c r="Z1094" s="42"/>
      <c r="AA1094" s="42"/>
      <c r="AB1094" s="42"/>
    </row>
    <row r="1095" spans="1:28" x14ac:dyDescent="0.25">
      <c r="A1095" s="42" t="str">
        <v>1.19.3.2.6</v>
      </c>
      <c r="B1095" s="121" t="str">
        <v>List of products (same as specified in the View customer order requirements)</v>
      </c>
      <c r="C1095" s="41">
        <v>5</v>
      </c>
      <c r="D1095" s="41" t="str">
        <v>RL</v>
      </c>
      <c r="E1095" s="117" t="str">
        <f t="shared" si="0"/>
        <v>RL</v>
      </c>
      <c r="F1095" s="41" t="str">
        <v/>
      </c>
      <c r="G1095" s="41" t="str">
        <v/>
      </c>
      <c r="H1095" s="117">
        <f t="shared" si="1"/>
        <v>0</v>
      </c>
      <c r="I1095" s="117">
        <f t="shared" si="2"/>
        <v>19</v>
      </c>
      <c r="J1095" s="117">
        <f t="shared" si="3"/>
        <v>19.030000000000005</v>
      </c>
      <c r="K1095" s="117" t="str">
        <f t="shared" si="4"/>
        <v>BR</v>
      </c>
      <c r="L1095" s="42" t="str">
        <v>BR1903</v>
      </c>
      <c r="M1095" s="121" t="str">
        <v/>
      </c>
      <c r="N1095" s="121" t="str">
        <v/>
      </c>
      <c r="O1095" s="121" t="str">
        <v/>
      </c>
      <c r="P1095" s="121" t="str">
        <v/>
      </c>
      <c r="Q1095" s="121" t="str">
        <v/>
      </c>
      <c r="R1095" s="121" t="str">
        <v/>
      </c>
      <c r="S1095" s="121" t="str">
        <v>List of products (same as specified in the View customer order requirements)</v>
      </c>
      <c r="T1095" s="119" t="str">
        <f>IF($C1095&lt;4,IF($C1095=3,T1096,IF($C1095=2,T$1,"")),Q1095&amp;R1095&amp;IF(LEN(S1095)=0,"",Preferences!$C$2&amp;S1095)&amp;IF(J1096=J1095,IF(LEN(R1095&amp;S1095)=0,"","
")&amp;T1096,""))</f>
        <v xml:space="preserve">	• List of products (same as specified in the View customer order requirements)
	• Total value
 3. In addition, the customer is notified via SMS about a despatch or delivered, could not deliver status.</v>
      </c>
      <c r="U1095" s="122" t="str">
        <v/>
      </c>
      <c r="V1095" s="42"/>
      <c r="W1095" s="42"/>
      <c r="X1095" s="42"/>
      <c r="Y1095" s="42"/>
      <c r="Z1095" s="42"/>
      <c r="AA1095" s="42"/>
      <c r="AB1095" s="42"/>
    </row>
    <row r="1096" spans="1:28" x14ac:dyDescent="0.25">
      <c r="A1096" s="42" t="str">
        <v>1.19.3.2.7</v>
      </c>
      <c r="B1096" s="121" t="str">
        <v>Total value</v>
      </c>
      <c r="C1096" s="41">
        <v>5</v>
      </c>
      <c r="D1096" s="41" t="str">
        <v>RL</v>
      </c>
      <c r="E1096" s="117" t="str">
        <f t="shared" si="0"/>
        <v>RL</v>
      </c>
      <c r="F1096" s="41" t="str">
        <v/>
      </c>
      <c r="G1096" s="41" t="str">
        <v/>
      </c>
      <c r="H1096" s="117">
        <f t="shared" si="1"/>
        <v>0</v>
      </c>
      <c r="I1096" s="117">
        <f t="shared" si="2"/>
        <v>19</v>
      </c>
      <c r="J1096" s="117">
        <f t="shared" si="3"/>
        <v>19.030000000000005</v>
      </c>
      <c r="K1096" s="117" t="str">
        <f t="shared" si="4"/>
        <v>BR</v>
      </c>
      <c r="L1096" s="42" t="str">
        <v>BR1903</v>
      </c>
      <c r="M1096" s="121" t="str">
        <v/>
      </c>
      <c r="N1096" s="121" t="str">
        <v/>
      </c>
      <c r="O1096" s="121" t="str">
        <v/>
      </c>
      <c r="P1096" s="121" t="str">
        <v/>
      </c>
      <c r="Q1096" s="121" t="str">
        <v/>
      </c>
      <c r="R1096" s="121" t="str">
        <v/>
      </c>
      <c r="S1096" s="121" t="str">
        <v>Total value</v>
      </c>
      <c r="T1096" s="119" t="str">
        <f>IF($C1096&lt;4,IF($C1096=3,T1097,IF($C1096=2,T$1,"")),Q1096&amp;R1096&amp;IF(LEN(S1096)=0,"",Preferences!$C$2&amp;S1096)&amp;IF(J1097=J1096,IF(LEN(R1096&amp;S1096)=0,"","
")&amp;T1097,""))</f>
        <v xml:space="preserve">	• Total value
 3. In addition, the customer is notified via SMS about a despatch or delivered, could not deliver status.</v>
      </c>
      <c r="U1096" s="122" t="str">
        <v/>
      </c>
      <c r="V1096" s="42"/>
      <c r="W1096" s="42"/>
      <c r="X1096" s="42"/>
      <c r="Y1096" s="42"/>
      <c r="Z1096" s="42"/>
      <c r="AA1096" s="42"/>
      <c r="AB1096" s="42"/>
    </row>
    <row r="1097" spans="1:28" x14ac:dyDescent="0.25">
      <c r="A1097" s="42" t="str">
        <v>1.19.3.3</v>
      </c>
      <c r="B1097" s="121" t="str">
        <v>In addition, the customer is notified via SMS about a despatch or delivered, could not deliver status.</v>
      </c>
      <c r="C1097" s="41">
        <v>4</v>
      </c>
      <c r="D1097" s="41" t="str">
        <v>RD</v>
      </c>
      <c r="E1097" s="117" t="str">
        <f t="shared" si="0"/>
        <v>RD</v>
      </c>
      <c r="F1097" s="41" t="str">
        <v/>
      </c>
      <c r="G1097" s="41" t="str">
        <v/>
      </c>
      <c r="H1097" s="117">
        <f t="shared" si="1"/>
        <v>0</v>
      </c>
      <c r="I1097" s="117">
        <f t="shared" si="2"/>
        <v>19</v>
      </c>
      <c r="J1097" s="117">
        <f t="shared" si="3"/>
        <v>19.030000000000005</v>
      </c>
      <c r="K1097" s="117" t="str">
        <f t="shared" si="4"/>
        <v>BR</v>
      </c>
      <c r="L1097" s="42" t="str">
        <v>BR1903</v>
      </c>
      <c r="M1097" s="121" t="str">
        <v/>
      </c>
      <c r="N1097" s="121" t="str">
        <v/>
      </c>
      <c r="O1097" s="121" t="str">
        <v/>
      </c>
      <c r="P1097" s="121" t="str">
        <v/>
      </c>
      <c r="Q1097" s="121" t="str">
        <v xml:space="preserve"> 3. </v>
      </c>
      <c r="R1097" s="121" t="str">
        <v>In addition, the customer is notified via SMS about a despatch or delivered, could not deliver status.</v>
      </c>
      <c r="S1097" s="121" t="str">
        <v/>
      </c>
      <c r="T1097" s="119" t="str">
        <f>IF($C1097&lt;4,IF($C1097=3,T1098,IF($C1097=2,T$1,"")),Q1097&amp;R1097&amp;IF(LEN(S1097)=0,"",Preferences!$C$2&amp;S1097)&amp;IF(J1098=J1097,IF(LEN(R1097&amp;S1097)=0,"","
")&amp;T1098,""))</f>
        <v xml:space="preserve"> 3. In addition, the customer is notified via SMS about a despatch or delivered, could not deliver status.</v>
      </c>
      <c r="U1097" s="122" t="str">
        <v/>
      </c>
      <c r="V1097" s="42"/>
      <c r="W1097" s="42"/>
      <c r="X1097" s="42"/>
      <c r="Y1097" s="42"/>
      <c r="Z1097" s="42"/>
      <c r="AA1097" s="42"/>
      <c r="AB1097" s="42"/>
    </row>
    <row r="1098" spans="1:28" x14ac:dyDescent="0.25">
      <c r="A1098" s="42" t="str">
        <v>1.19.4</v>
      </c>
      <c r="B1098" s="121" t="str">
        <v>19.4 Enquire about order</v>
      </c>
      <c r="C1098" s="41">
        <v>3</v>
      </c>
      <c r="D1098" s="41" t="str">
        <v>R</v>
      </c>
      <c r="E1098" s="117" t="str">
        <f t="shared" si="0"/>
        <v>R</v>
      </c>
      <c r="F1098" s="41" t="str">
        <v/>
      </c>
      <c r="G1098" s="41" t="str">
        <v/>
      </c>
      <c r="H1098" s="117">
        <f t="shared" si="1"/>
        <v>0</v>
      </c>
      <c r="I1098" s="117">
        <f t="shared" si="2"/>
        <v>19</v>
      </c>
      <c r="J1098" s="117">
        <f t="shared" si="3"/>
        <v>19.040000000000006</v>
      </c>
      <c r="K1098" s="117" t="str">
        <f t="shared" si="4"/>
        <v>BR</v>
      </c>
      <c r="L1098" s="42" t="str">
        <v>BR1904</v>
      </c>
      <c r="M1098" s="121" t="str">
        <v/>
      </c>
      <c r="N1098" s="121" t="str">
        <v/>
      </c>
      <c r="O1098" s="121" t="str">
        <v>BR1904</v>
      </c>
      <c r="P1098" s="121" t="str">
        <v>Enquire about order</v>
      </c>
      <c r="Q1098" s="121" t="str">
        <v/>
      </c>
      <c r="R1098" s="121" t="str">
        <v/>
      </c>
      <c r="S1098" s="121" t="str">
        <v/>
      </c>
      <c r="T1098" s="119" t="str">
        <f>IF($C1098&lt;4,IF($C1098=3,T1099,IF($C1098=2,T$1,"")),Q1098&amp;R1098&amp;IF(LEN(S1098)=0,"",Preferences!$C$2&amp;S1098)&amp;IF(J1099=J1098,IF(LEN(R1098&amp;S1098)=0,"","
")&amp;T1099,""))</f>
        <v xml:space="preserve"> 1. When viewing an order, a customer can choose to enquire about that order.
	• The customer is prompted to capture their message.
 2. The enquiry is submitted as a customer message of type order enquiry, with the reference to the specific order.</v>
      </c>
      <c r="U1098" s="122" t="str">
        <v/>
      </c>
      <c r="V1098" s="42"/>
      <c r="W1098" s="42"/>
      <c r="X1098" s="42"/>
      <c r="Y1098" s="42"/>
      <c r="Z1098" s="42"/>
      <c r="AA1098" s="42"/>
      <c r="AB1098" s="42"/>
    </row>
    <row r="1099" spans="1:28" x14ac:dyDescent="0.25">
      <c r="A1099" s="42" t="str">
        <v>1.19.4.1</v>
      </c>
      <c r="B1099" s="121" t="str">
        <v>When viewing an order, a customer can choose to enquire about that order.</v>
      </c>
      <c r="C1099" s="41">
        <v>4</v>
      </c>
      <c r="D1099" s="41" t="str">
        <v>RD</v>
      </c>
      <c r="E1099" s="117" t="str">
        <f t="shared" si="0"/>
        <v>RD</v>
      </c>
      <c r="F1099" s="41" t="str">
        <v/>
      </c>
      <c r="G1099" s="41" t="str">
        <v/>
      </c>
      <c r="H1099" s="117">
        <f t="shared" si="1"/>
        <v>0</v>
      </c>
      <c r="I1099" s="117">
        <f t="shared" si="2"/>
        <v>19</v>
      </c>
      <c r="J1099" s="117">
        <f t="shared" si="3"/>
        <v>19.040000000000006</v>
      </c>
      <c r="K1099" s="117" t="str">
        <f t="shared" si="4"/>
        <v>BR</v>
      </c>
      <c r="L1099" s="42" t="str">
        <v>BR1904</v>
      </c>
      <c r="M1099" s="121" t="str">
        <v/>
      </c>
      <c r="N1099" s="121" t="str">
        <v/>
      </c>
      <c r="O1099" s="121" t="str">
        <v/>
      </c>
      <c r="P1099" s="121" t="str">
        <v/>
      </c>
      <c r="Q1099" s="121" t="str">
        <v xml:space="preserve"> 1. </v>
      </c>
      <c r="R1099" s="121" t="str">
        <v>When viewing an order, a customer can choose to enquire about that order.</v>
      </c>
      <c r="S1099" s="121" t="str">
        <v/>
      </c>
      <c r="T1099" s="119" t="str">
        <f>IF($C1099&lt;4,IF($C1099=3,T1100,IF($C1099=2,T$1,"")),Q1099&amp;R1099&amp;IF(LEN(S1099)=0,"",Preferences!$C$2&amp;S1099)&amp;IF(J1100=J1099,IF(LEN(R1099&amp;S1099)=0,"","
")&amp;T1100,""))</f>
        <v xml:space="preserve"> 1. When viewing an order, a customer can choose to enquire about that order.
	• The customer is prompted to capture their message.
 2. The enquiry is submitted as a customer message of type order enquiry, with the reference to the specific order.</v>
      </c>
      <c r="U1099" s="122" t="str">
        <v/>
      </c>
      <c r="V1099" s="42"/>
      <c r="W1099" s="42"/>
      <c r="X1099" s="42"/>
      <c r="Y1099" s="42"/>
      <c r="Z1099" s="42"/>
      <c r="AA1099" s="42"/>
      <c r="AB1099" s="42"/>
    </row>
    <row r="1100" spans="1:28" x14ac:dyDescent="0.25">
      <c r="A1100" s="42" t="str">
        <v>1.19.4.1.1</v>
      </c>
      <c r="B1100" s="121" t="str">
        <v>The customer is prompted to capture their message.</v>
      </c>
      <c r="C1100" s="41">
        <v>5</v>
      </c>
      <c r="D1100" s="41" t="str">
        <v>RL</v>
      </c>
      <c r="E1100" s="117" t="str">
        <f t="shared" si="0"/>
        <v>RL</v>
      </c>
      <c r="F1100" s="41" t="str">
        <v/>
      </c>
      <c r="G1100" s="41" t="str">
        <v/>
      </c>
      <c r="H1100" s="117">
        <f t="shared" si="1"/>
        <v>0</v>
      </c>
      <c r="I1100" s="117">
        <f t="shared" si="2"/>
        <v>19</v>
      </c>
      <c r="J1100" s="117">
        <f t="shared" si="3"/>
        <v>19.040000000000006</v>
      </c>
      <c r="K1100" s="117" t="str">
        <f t="shared" si="4"/>
        <v>BR</v>
      </c>
      <c r="L1100" s="42" t="str">
        <v>BR1904</v>
      </c>
      <c r="M1100" s="121" t="str">
        <v/>
      </c>
      <c r="N1100" s="121" t="str">
        <v/>
      </c>
      <c r="O1100" s="121" t="str">
        <v/>
      </c>
      <c r="P1100" s="121" t="str">
        <v/>
      </c>
      <c r="Q1100" s="121" t="str">
        <v/>
      </c>
      <c r="R1100" s="121" t="str">
        <v/>
      </c>
      <c r="S1100" s="121" t="str">
        <v>The customer is prompted to capture their message.</v>
      </c>
      <c r="T1100" s="119" t="str">
        <f>IF($C1100&lt;4,IF($C1100=3,T1101,IF($C1100=2,T$1,"")),Q1100&amp;R1100&amp;IF(LEN(S1100)=0,"",Preferences!$C$2&amp;S1100)&amp;IF(J1101=J1100,IF(LEN(R1100&amp;S1100)=0,"","
")&amp;T1101,""))</f>
        <v xml:space="preserve">	• The customer is prompted to capture their message.
 2. The enquiry is submitted as a customer message of type order enquiry, with the reference to the specific order.</v>
      </c>
      <c r="U1100" s="122" t="str">
        <v/>
      </c>
      <c r="V1100" s="42"/>
      <c r="W1100" s="42"/>
      <c r="X1100" s="42"/>
      <c r="Y1100" s="42"/>
      <c r="Z1100" s="42"/>
      <c r="AA1100" s="42"/>
      <c r="AB1100" s="42"/>
    </row>
    <row r="1101" spans="1:28" x14ac:dyDescent="0.25">
      <c r="A1101" s="42" t="str">
        <v>1.19.4.2</v>
      </c>
      <c r="B1101" s="121" t="str">
        <v>The enquiry is submitted as a customer message of type order enquiry, with the reference to the specific order.</v>
      </c>
      <c r="C1101" s="41">
        <v>4</v>
      </c>
      <c r="D1101" s="41" t="str">
        <v>RD</v>
      </c>
      <c r="E1101" s="117" t="str">
        <f t="shared" si="0"/>
        <v>RD</v>
      </c>
      <c r="F1101" s="41" t="str">
        <v/>
      </c>
      <c r="G1101" s="41" t="str">
        <v/>
      </c>
      <c r="H1101" s="117">
        <f t="shared" si="1"/>
        <v>0</v>
      </c>
      <c r="I1101" s="117">
        <f t="shared" si="2"/>
        <v>19</v>
      </c>
      <c r="J1101" s="117">
        <f t="shared" si="3"/>
        <v>19.040000000000006</v>
      </c>
      <c r="K1101" s="117" t="str">
        <f t="shared" si="4"/>
        <v>BR</v>
      </c>
      <c r="L1101" s="42" t="str">
        <v>BR1904</v>
      </c>
      <c r="M1101" s="121" t="str">
        <v/>
      </c>
      <c r="N1101" s="121" t="str">
        <v/>
      </c>
      <c r="O1101" s="121" t="str">
        <v/>
      </c>
      <c r="P1101" s="121" t="str">
        <v/>
      </c>
      <c r="Q1101" s="121" t="str">
        <v xml:space="preserve"> 2. </v>
      </c>
      <c r="R1101" s="121" t="str">
        <v>The enquiry is submitted as a customer message of type order enquiry, with the reference to the specific order.</v>
      </c>
      <c r="S1101" s="121" t="str">
        <v/>
      </c>
      <c r="T1101" s="119" t="str">
        <f>IF($C1101&lt;4,IF($C1101=3,T1102,IF($C1101=2,T$1,"")),Q1101&amp;R1101&amp;IF(LEN(S1101)=0,"",Preferences!$C$2&amp;S1101)&amp;IF(J1102=J1101,IF(LEN(R1101&amp;S1101)=0,"","
")&amp;T1102,""))</f>
        <v xml:space="preserve"> 2. The enquiry is submitted as a customer message of type order enquiry, with the reference to the specific order.</v>
      </c>
      <c r="U1101" s="122" t="str">
        <v/>
      </c>
      <c r="V1101" s="42"/>
      <c r="W1101" s="42"/>
      <c r="X1101" s="42"/>
      <c r="Y1101" s="42"/>
      <c r="Z1101" s="42"/>
      <c r="AA1101" s="42"/>
      <c r="AB1101" s="42"/>
    </row>
    <row r="1102" spans="1:28" x14ac:dyDescent="0.25">
      <c r="A1102" s="42" t="str">
        <v>1.20</v>
      </c>
      <c r="B1102" s="121" t="str">
        <v>20 Return Products</v>
      </c>
      <c r="C1102" s="41">
        <v>2</v>
      </c>
      <c r="D1102" s="41" t="str">
        <v>RS</v>
      </c>
      <c r="E1102" s="117" t="str">
        <f t="shared" si="0"/>
        <v>RS</v>
      </c>
      <c r="F1102" s="41" t="str">
        <v/>
      </c>
      <c r="G1102" s="41" t="str">
        <v/>
      </c>
      <c r="H1102" s="117">
        <f t="shared" si="1"/>
        <v>0</v>
      </c>
      <c r="I1102" s="117">
        <f t="shared" si="2"/>
        <v>20</v>
      </c>
      <c r="J1102" s="117">
        <f t="shared" si="3"/>
        <v>20</v>
      </c>
      <c r="K1102" s="117" t="str">
        <f t="shared" si="4"/>
        <v>BR</v>
      </c>
      <c r="L1102" s="42">
        <v>20</v>
      </c>
      <c r="M1102" s="121" t="str">
        <v/>
      </c>
      <c r="N1102" s="121" t="str">
        <v>20 Return Products</v>
      </c>
      <c r="O1102" s="121" t="str">
        <v>ReqID</v>
      </c>
      <c r="P1102" s="121" t="e">
        <v>#N/A</v>
      </c>
      <c r="Q1102" s="121" t="str">
        <v/>
      </c>
      <c r="R1102" s="121" t="str">
        <v/>
      </c>
      <c r="S1102" s="121" t="str">
        <v/>
      </c>
      <c r="T1102" s="119" t="str">
        <f>IF($C1102&lt;4,IF($C1102=3,T1103,IF($C1102=2,T$1,"")),Q1102&amp;R1102&amp;IF(LEN(S1102)=0,"",Preferences!$C$2&amp;S1102)&amp;IF(J1103=J1102,IF(LEN(R1102&amp;S1102)=0,"","
")&amp;T1103,""))</f>
        <v>Description</v>
      </c>
      <c r="U1102" s="122" t="str">
        <v/>
      </c>
      <c r="V1102" s="42"/>
      <c r="W1102" s="42"/>
      <c r="X1102" s="42"/>
      <c r="Y1102" s="42"/>
      <c r="Z1102" s="42"/>
      <c r="AA1102" s="42"/>
      <c r="AB1102" s="42"/>
    </row>
    <row r="1103" spans="1:28" x14ac:dyDescent="0.25">
      <c r="A1103" s="42" t="str">
        <v>1.20.1</v>
      </c>
      <c r="B1103" s="121" t="str">
        <v>20.1 Request product return</v>
      </c>
      <c r="C1103" s="41">
        <v>3</v>
      </c>
      <c r="D1103" s="41" t="str">
        <v>R</v>
      </c>
      <c r="E1103" s="117" t="str">
        <f t="shared" si="0"/>
        <v>R</v>
      </c>
      <c r="F1103" s="41" t="str">
        <v/>
      </c>
      <c r="G1103" s="41" t="str">
        <v/>
      </c>
      <c r="H1103" s="117">
        <f t="shared" si="1"/>
        <v>0</v>
      </c>
      <c r="I1103" s="117">
        <f t="shared" si="2"/>
        <v>20</v>
      </c>
      <c r="J1103" s="117">
        <f t="shared" si="3"/>
        <v>20.010000000000002</v>
      </c>
      <c r="K1103" s="117" t="str">
        <f t="shared" si="4"/>
        <v>BR</v>
      </c>
      <c r="L1103" s="42" t="str">
        <v>BR2001</v>
      </c>
      <c r="M1103" s="121" t="str">
        <v/>
      </c>
      <c r="N1103" s="121" t="str">
        <v/>
      </c>
      <c r="O1103" s="121" t="str">
        <v>BR2001</v>
      </c>
      <c r="P1103" s="121" t="str">
        <v>Request product return</v>
      </c>
      <c r="Q1103" s="121" t="str">
        <v/>
      </c>
      <c r="R1103" s="121" t="str">
        <v/>
      </c>
      <c r="S1103" s="121" t="str">
        <v/>
      </c>
      <c r="T1103" s="119" t="str">
        <f>IF($C1103&lt;4,IF($C1103=3,T1104,IF($C1103=2,T$1,"")),Q1103&amp;R1103&amp;IF(LEN(S1103)=0,"",Preferences!$C$2&amp;S1103)&amp;IF(J1104=J1103,IF(LEN(R1103&amp;S1103)=0,"","
")&amp;T1104,""))</f>
        <v xml:space="preserve"> 1. The user may choose to request a product return as follows:
 2. By choosing the request return option when viewing an order.
	• The current order is set as the reference for the order.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3" s="122" t="str">
        <v/>
      </c>
      <c r="V1103" s="42"/>
      <c r="W1103" s="42"/>
      <c r="X1103" s="42"/>
      <c r="Y1103" s="42"/>
      <c r="Z1103" s="42"/>
      <c r="AA1103" s="42"/>
      <c r="AB1103" s="42"/>
    </row>
    <row r="1104" spans="1:28" x14ac:dyDescent="0.25">
      <c r="A1104" s="42" t="str">
        <v>1.20.1.1</v>
      </c>
      <c r="B1104" s="121" t="str">
        <v>The user may choose to request a product return as follows:</v>
      </c>
      <c r="C1104" s="41">
        <v>4</v>
      </c>
      <c r="D1104" s="41" t="str">
        <v>RD</v>
      </c>
      <c r="E1104" s="117" t="str">
        <f t="shared" si="0"/>
        <v>RD</v>
      </c>
      <c r="F1104" s="41" t="str">
        <v/>
      </c>
      <c r="G1104" s="41" t="str">
        <v/>
      </c>
      <c r="H1104" s="117">
        <f t="shared" si="1"/>
        <v>0</v>
      </c>
      <c r="I1104" s="117">
        <f t="shared" si="2"/>
        <v>20</v>
      </c>
      <c r="J1104" s="117">
        <f t="shared" si="3"/>
        <v>20.010000000000002</v>
      </c>
      <c r="K1104" s="117" t="str">
        <f t="shared" si="4"/>
        <v>BR</v>
      </c>
      <c r="L1104" s="42" t="str">
        <v>BR2001</v>
      </c>
      <c r="M1104" s="121" t="str">
        <v/>
      </c>
      <c r="N1104" s="121" t="str">
        <v/>
      </c>
      <c r="O1104" s="121" t="str">
        <v/>
      </c>
      <c r="P1104" s="121" t="str">
        <v/>
      </c>
      <c r="Q1104" s="121" t="str">
        <v xml:space="preserve"> 1. </v>
      </c>
      <c r="R1104" s="121" t="str">
        <v>The user may choose to request a product return as follows:</v>
      </c>
      <c r="S1104" s="121" t="str">
        <v/>
      </c>
      <c r="T1104" s="119" t="str">
        <f>IF($C1104&lt;4,IF($C1104=3,T1105,IF($C1104=2,T$1,"")),Q1104&amp;R1104&amp;IF(LEN(S1104)=0,"",Preferences!$C$2&amp;S1104)&amp;IF(J1105=J1104,IF(LEN(R1104&amp;S1104)=0,"","
")&amp;T1105,""))</f>
        <v xml:space="preserve"> 1. The user may choose to request a product return as follows:
 2. By choosing the request return option when viewing an order.
	• The current order is set as the reference for the order.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4" s="122" t="str">
        <v/>
      </c>
      <c r="V1104" s="42"/>
      <c r="W1104" s="42"/>
      <c r="X1104" s="42"/>
      <c r="Y1104" s="42"/>
      <c r="Z1104" s="42"/>
      <c r="AA1104" s="42"/>
      <c r="AB1104" s="42"/>
    </row>
    <row r="1105" spans="1:28" x14ac:dyDescent="0.25">
      <c r="A1105" s="42" t="str">
        <v>1.20.1.2</v>
      </c>
      <c r="B1105" s="121" t="str">
        <v>By choosing the request return option when viewing an order.</v>
      </c>
      <c r="C1105" s="41">
        <v>4</v>
      </c>
      <c r="D1105" s="41" t="str">
        <v>RD</v>
      </c>
      <c r="E1105" s="117" t="str">
        <f t="shared" si="0"/>
        <v>RD</v>
      </c>
      <c r="F1105" s="41" t="str">
        <v/>
      </c>
      <c r="G1105" s="41" t="str">
        <v/>
      </c>
      <c r="H1105" s="117">
        <f t="shared" si="1"/>
        <v>0</v>
      </c>
      <c r="I1105" s="117">
        <f t="shared" si="2"/>
        <v>20</v>
      </c>
      <c r="J1105" s="117">
        <f t="shared" si="3"/>
        <v>20.010000000000002</v>
      </c>
      <c r="K1105" s="117" t="str">
        <f t="shared" si="4"/>
        <v>BR</v>
      </c>
      <c r="L1105" s="42" t="str">
        <v>BR2001</v>
      </c>
      <c r="M1105" s="121" t="str">
        <v/>
      </c>
      <c r="N1105" s="121" t="str">
        <v/>
      </c>
      <c r="O1105" s="121" t="str">
        <v/>
      </c>
      <c r="P1105" s="121" t="str">
        <v/>
      </c>
      <c r="Q1105" s="121" t="str">
        <v xml:space="preserve"> 2. </v>
      </c>
      <c r="R1105" s="121" t="str">
        <v>By choosing the request return option when viewing an order.</v>
      </c>
      <c r="S1105" s="121" t="str">
        <v/>
      </c>
      <c r="T1105" s="119" t="str">
        <f>IF($C1105&lt;4,IF($C1105=3,T1106,IF($C1105=2,T$1,"")),Q1105&amp;R1105&amp;IF(LEN(S1105)=0,"",Preferences!$C$2&amp;S1105)&amp;IF(J1106=J1105,IF(LEN(R1105&amp;S1105)=0,"","
")&amp;T1106,""))</f>
        <v xml:space="preserve"> 2. By choosing the request return option when viewing an order.
	• The current order is set as the reference for the order.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5" s="122" t="str">
        <v/>
      </c>
      <c r="V1105" s="42"/>
      <c r="W1105" s="42"/>
      <c r="X1105" s="42"/>
      <c r="Y1105" s="42"/>
      <c r="Z1105" s="42"/>
      <c r="AA1105" s="42"/>
      <c r="AB1105" s="42"/>
    </row>
    <row r="1106" spans="1:28" x14ac:dyDescent="0.25">
      <c r="A1106" s="42" t="str">
        <v>1.20.1.2.1</v>
      </c>
      <c r="B1106" s="121" t="str">
        <v>The current order is set as the reference for the order.</v>
      </c>
      <c r="C1106" s="41">
        <v>5</v>
      </c>
      <c r="D1106" s="41" t="str">
        <v>RL</v>
      </c>
      <c r="E1106" s="117" t="str">
        <f t="shared" si="0"/>
        <v>RL</v>
      </c>
      <c r="F1106" s="41" t="str">
        <v/>
      </c>
      <c r="G1106" s="41" t="str">
        <v/>
      </c>
      <c r="H1106" s="117">
        <f t="shared" si="1"/>
        <v>0</v>
      </c>
      <c r="I1106" s="117">
        <f t="shared" si="2"/>
        <v>20</v>
      </c>
      <c r="J1106" s="117">
        <f t="shared" si="3"/>
        <v>20.010000000000002</v>
      </c>
      <c r="K1106" s="117" t="str">
        <f t="shared" si="4"/>
        <v>BR</v>
      </c>
      <c r="L1106" s="42" t="str">
        <v>BR2001</v>
      </c>
      <c r="M1106" s="121" t="str">
        <v/>
      </c>
      <c r="N1106" s="121" t="str">
        <v/>
      </c>
      <c r="O1106" s="121" t="str">
        <v/>
      </c>
      <c r="P1106" s="121" t="str">
        <v/>
      </c>
      <c r="Q1106" s="121" t="str">
        <v/>
      </c>
      <c r="R1106" s="121" t="str">
        <v/>
      </c>
      <c r="S1106" s="121" t="str">
        <v>The current order is set as the reference for the order.</v>
      </c>
      <c r="T1106" s="119" t="str">
        <f>IF($C1106&lt;4,IF($C1106=3,T1107,IF($C1106=2,T$1,"")),Q1106&amp;R1106&amp;IF(LEN(S1106)=0,"",Preferences!$C$2&amp;S1106)&amp;IF(J1107=J1106,IF(LEN(R1106&amp;S1106)=0,"","
")&amp;T1107,""))</f>
        <v xml:space="preserve">	• The current order is set as the reference for the order.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6" s="122" t="str">
        <v/>
      </c>
      <c r="V1106" s="42"/>
      <c r="W1106" s="42"/>
      <c r="X1106" s="42"/>
      <c r="Y1106" s="42"/>
      <c r="Z1106" s="42"/>
      <c r="AA1106" s="42"/>
      <c r="AB1106" s="42"/>
    </row>
    <row r="1107" spans="1:28" x14ac:dyDescent="0.25">
      <c r="A1107" s="42" t="str">
        <v>1.20.1.3</v>
      </c>
      <c r="B1107" s="121" t="str">
        <v>By choosing the request return option when viewing their returns page.</v>
      </c>
      <c r="C1107" s="41">
        <v>4</v>
      </c>
      <c r="D1107" s="41" t="str">
        <v>RD</v>
      </c>
      <c r="E1107" s="117" t="str">
        <f t="shared" si="0"/>
        <v>RD</v>
      </c>
      <c r="F1107" s="41" t="str">
        <v/>
      </c>
      <c r="G1107" s="41" t="str">
        <v/>
      </c>
      <c r="H1107" s="117">
        <f t="shared" si="1"/>
        <v>0</v>
      </c>
      <c r="I1107" s="117">
        <f t="shared" si="2"/>
        <v>20</v>
      </c>
      <c r="J1107" s="117">
        <f t="shared" si="3"/>
        <v>20.010000000000002</v>
      </c>
      <c r="K1107" s="117" t="str">
        <f t="shared" si="4"/>
        <v>BR</v>
      </c>
      <c r="L1107" s="42" t="str">
        <v>BR2001</v>
      </c>
      <c r="M1107" s="121" t="str">
        <v/>
      </c>
      <c r="N1107" s="121" t="str">
        <v/>
      </c>
      <c r="O1107" s="121" t="str">
        <v/>
      </c>
      <c r="P1107" s="121" t="str">
        <v/>
      </c>
      <c r="Q1107" s="121" t="str">
        <v xml:space="preserve"> 3. </v>
      </c>
      <c r="R1107" s="121" t="str">
        <v>By choosing the request return option when viewing their returns page.</v>
      </c>
      <c r="S1107" s="121" t="str">
        <v/>
      </c>
      <c r="T1107" s="119" t="str">
        <f>IF($C1107&lt;4,IF($C1107=3,T1108,IF($C1107=2,T$1,"")),Q1107&amp;R1107&amp;IF(LEN(S1107)=0,"",Preferences!$C$2&amp;S1107)&amp;IF(J1108=J1107,IF(LEN(R1107&amp;S1107)=0,"","
")&amp;T1108,""))</f>
        <v xml:space="preserve"> 3. By choosing the request return option when viewing their returns page.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7" s="122" t="str">
        <v/>
      </c>
      <c r="V1107" s="42"/>
      <c r="W1107" s="42"/>
      <c r="X1107" s="42"/>
      <c r="Y1107" s="42"/>
      <c r="Z1107" s="42"/>
      <c r="AA1107" s="42"/>
      <c r="AB1107" s="42"/>
    </row>
    <row r="1108" spans="1:28" x14ac:dyDescent="0.25">
      <c r="A1108" s="42" t="str">
        <v>1.20.1.3.1</v>
      </c>
      <c r="B1108" s="121" t="str">
        <v>The user is prompted to complete a closed order (descending date order).</v>
      </c>
      <c r="C1108" s="41">
        <v>5</v>
      </c>
      <c r="D1108" s="41" t="str">
        <v>RL</v>
      </c>
      <c r="E1108" s="117" t="str">
        <f t="shared" si="0"/>
        <v>RL</v>
      </c>
      <c r="F1108" s="41" t="str">
        <v/>
      </c>
      <c r="G1108" s="41" t="str">
        <v/>
      </c>
      <c r="H1108" s="117">
        <f t="shared" si="1"/>
        <v>0</v>
      </c>
      <c r="I1108" s="117">
        <f t="shared" si="2"/>
        <v>20</v>
      </c>
      <c r="J1108" s="117">
        <f t="shared" si="3"/>
        <v>20.010000000000002</v>
      </c>
      <c r="K1108" s="117" t="str">
        <f t="shared" si="4"/>
        <v>BR</v>
      </c>
      <c r="L1108" s="42" t="str">
        <v>BR2001</v>
      </c>
      <c r="M1108" s="121" t="str">
        <v/>
      </c>
      <c r="N1108" s="121" t="str">
        <v/>
      </c>
      <c r="O1108" s="121" t="str">
        <v/>
      </c>
      <c r="P1108" s="121" t="str">
        <v/>
      </c>
      <c r="Q1108" s="121" t="str">
        <v/>
      </c>
      <c r="R1108" s="121" t="str">
        <v/>
      </c>
      <c r="S1108" s="121" t="str">
        <v>The user is prompted to complete a closed order (descending date order).</v>
      </c>
      <c r="T1108" s="119" t="str">
        <f>IF($C1108&lt;4,IF($C1108=3,T1109,IF($C1108=2,T$1,"")),Q1108&amp;R1108&amp;IF(LEN(S1108)=0,"",Preferences!$C$2&amp;S1108)&amp;IF(J1109=J1108,IF(LEN(R1108&amp;S1108)=0,"","
")&amp;T1109,""))</f>
        <v xml:space="preserve">	• The user is prompted to complete a closed order (descending date order).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8" s="122" t="str">
        <v/>
      </c>
      <c r="V1108" s="42"/>
      <c r="W1108" s="42"/>
      <c r="X1108" s="42"/>
      <c r="Y1108" s="42"/>
      <c r="Z1108" s="42"/>
      <c r="AA1108" s="42"/>
      <c r="AB1108" s="42"/>
    </row>
    <row r="1109" spans="1:28" x14ac:dyDescent="0.25">
      <c r="A1109" s="42" t="str">
        <v>1.20.1.4</v>
      </c>
      <c r="B1109" s="121" t="str">
        <v>The customer is then prompted to select the product(s) from that order to return.</v>
      </c>
      <c r="C1109" s="41">
        <v>4</v>
      </c>
      <c r="D1109" s="41" t="str">
        <v>RD</v>
      </c>
      <c r="E1109" s="117" t="str">
        <f t="shared" si="0"/>
        <v>RD</v>
      </c>
      <c r="F1109" s="41" t="str">
        <v/>
      </c>
      <c r="G1109" s="41" t="str">
        <v/>
      </c>
      <c r="H1109" s="117">
        <f t="shared" si="1"/>
        <v>0</v>
      </c>
      <c r="I1109" s="117">
        <f t="shared" si="2"/>
        <v>20</v>
      </c>
      <c r="J1109" s="117">
        <f t="shared" si="3"/>
        <v>20.010000000000002</v>
      </c>
      <c r="K1109" s="117" t="str">
        <f t="shared" si="4"/>
        <v>BR</v>
      </c>
      <c r="L1109" s="42" t="str">
        <v>BR2001</v>
      </c>
      <c r="M1109" s="121" t="str">
        <v/>
      </c>
      <c r="N1109" s="121" t="str">
        <v/>
      </c>
      <c r="O1109" s="121" t="str">
        <v/>
      </c>
      <c r="P1109" s="121" t="str">
        <v/>
      </c>
      <c r="Q1109" s="121" t="str">
        <v xml:space="preserve"> 4. </v>
      </c>
      <c r="R1109" s="121" t="str">
        <v>The customer is then prompted to select the product(s) from that order to return.</v>
      </c>
      <c r="S1109" s="121" t="str">
        <v/>
      </c>
      <c r="T1109" s="119" t="str">
        <f>IF($C1109&lt;4,IF($C1109=3,T1110,IF($C1109=2,T$1,"")),Q1109&amp;R1109&amp;IF(LEN(S1109)=0,"",Preferences!$C$2&amp;S1109)&amp;IF(J1110=J1109,IF(LEN(R1109&amp;S1109)=0,"","
")&amp;T1110,""))</f>
        <v xml:space="preserve"> 4. The customer is then prompted to select the product(s) from that order to return.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09" s="122" t="str">
        <v/>
      </c>
      <c r="V1109" s="42"/>
      <c r="W1109" s="42"/>
      <c r="X1109" s="42"/>
      <c r="Y1109" s="42"/>
      <c r="Z1109" s="42"/>
      <c r="AA1109" s="42"/>
      <c r="AB1109" s="42"/>
    </row>
    <row r="1110" spans="1:28" x14ac:dyDescent="0.25">
      <c r="A1110" s="42" t="str">
        <v>1.20.1.4.1</v>
      </c>
      <c r="B1110" s="121" t="str">
        <v>Only products not previously returned may be selected, up to the quantity in the order.</v>
      </c>
      <c r="C1110" s="41">
        <v>5</v>
      </c>
      <c r="D1110" s="41" t="str">
        <v>RL</v>
      </c>
      <c r="E1110" s="117" t="str">
        <f t="shared" si="0"/>
        <v>RL</v>
      </c>
      <c r="F1110" s="41" t="str">
        <v/>
      </c>
      <c r="G1110" s="41" t="str">
        <v/>
      </c>
      <c r="H1110" s="117">
        <f t="shared" si="1"/>
        <v>0</v>
      </c>
      <c r="I1110" s="117">
        <f t="shared" si="2"/>
        <v>20</v>
      </c>
      <c r="J1110" s="117">
        <f t="shared" si="3"/>
        <v>20.010000000000002</v>
      </c>
      <c r="K1110" s="117" t="str">
        <f t="shared" si="4"/>
        <v>BR</v>
      </c>
      <c r="L1110" s="42" t="str">
        <v>BR2001</v>
      </c>
      <c r="M1110" s="121" t="str">
        <v/>
      </c>
      <c r="N1110" s="121" t="str">
        <v/>
      </c>
      <c r="O1110" s="121" t="str">
        <v/>
      </c>
      <c r="P1110" s="121" t="str">
        <v/>
      </c>
      <c r="Q1110" s="121" t="str">
        <v/>
      </c>
      <c r="R1110" s="121" t="str">
        <v/>
      </c>
      <c r="S1110" s="121" t="str">
        <v>Only products not previously returned may be selected, up to the quantity in the order.</v>
      </c>
      <c r="T1110" s="119" t="str">
        <f>IF($C1110&lt;4,IF($C1110=3,T1111,IF($C1110=2,T$1,"")),Q1110&amp;R1110&amp;IF(LEN(S1110)=0,"",Preferences!$C$2&amp;S1110)&amp;IF(J1111=J1110,IF(LEN(R1110&amp;S1110)=0,"","
")&amp;T1111,""))</f>
        <v xml:space="preserve">	• Only products not previously returned may be selected, up to the quantity in the order.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0" s="122" t="str">
        <v/>
      </c>
      <c r="V1110" s="42"/>
      <c r="W1110" s="42"/>
      <c r="X1110" s="42"/>
      <c r="Y1110" s="42"/>
      <c r="Z1110" s="42"/>
      <c r="AA1110" s="42"/>
      <c r="AB1110" s="42"/>
    </row>
    <row r="1111" spans="1:28" x14ac:dyDescent="0.25">
      <c r="A1111" s="42" t="str">
        <v>1.20.1.5</v>
      </c>
      <c r="B1111" s="121" t="str">
        <v>The customer is prompted to select a reason for each selected product, to include at least the following reasons:</v>
      </c>
      <c r="C1111" s="41">
        <v>4</v>
      </c>
      <c r="D1111" s="41" t="str">
        <v>RD</v>
      </c>
      <c r="E1111" s="117" t="str">
        <f t="shared" si="0"/>
        <v>RD</v>
      </c>
      <c r="F1111" s="41" t="str">
        <v/>
      </c>
      <c r="G1111" s="41" t="str">
        <v/>
      </c>
      <c r="H1111" s="117">
        <f t="shared" si="1"/>
        <v>0</v>
      </c>
      <c r="I1111" s="117">
        <f t="shared" si="2"/>
        <v>20</v>
      </c>
      <c r="J1111" s="117">
        <f t="shared" si="3"/>
        <v>20.010000000000002</v>
      </c>
      <c r="K1111" s="117" t="str">
        <f t="shared" si="4"/>
        <v>BR</v>
      </c>
      <c r="L1111" s="42" t="str">
        <v>BR2001</v>
      </c>
      <c r="M1111" s="121" t="str">
        <v/>
      </c>
      <c r="N1111" s="121" t="str">
        <v/>
      </c>
      <c r="O1111" s="121" t="str">
        <v/>
      </c>
      <c r="P1111" s="121" t="str">
        <v/>
      </c>
      <c r="Q1111" s="121" t="str">
        <v xml:space="preserve"> 5. </v>
      </c>
      <c r="R1111" s="121" t="str">
        <v>The customer is prompted to select a reason for each selected product, to include at least the following reasons:</v>
      </c>
      <c r="S1111" s="121" t="str">
        <v/>
      </c>
      <c r="T1111" s="119" t="str">
        <f>IF($C1111&lt;4,IF($C1111=3,T1112,IF($C1111=2,T$1,"")),Q1111&amp;R1111&amp;IF(LEN(S1111)=0,"",Preferences!$C$2&amp;S1111)&amp;IF(J1112=J1111,IF(LEN(R1111&amp;S1111)=0,"","
")&amp;T1112,""))</f>
        <v xml:space="preserve"> 5. The customer is prompted to select a reason for each selected product, to include at least the following reasons: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1" s="122" t="str">
        <v/>
      </c>
      <c r="V1111" s="42"/>
      <c r="W1111" s="42"/>
      <c r="X1111" s="42"/>
      <c r="Y1111" s="42"/>
      <c r="Z1111" s="42"/>
      <c r="AA1111" s="42"/>
      <c r="AB1111" s="42"/>
    </row>
    <row r="1112" spans="1:28" x14ac:dyDescent="0.25">
      <c r="A1112" s="42" t="str">
        <v>1.20.1.5.1</v>
      </c>
      <c r="B1112" s="121" t="str">
        <v>Product damaged</v>
      </c>
      <c r="C1112" s="41">
        <v>5</v>
      </c>
      <c r="D1112" s="41" t="str">
        <v>RL</v>
      </c>
      <c r="E1112" s="117" t="str">
        <f t="shared" si="0"/>
        <v>RL</v>
      </c>
      <c r="F1112" s="41" t="str">
        <v/>
      </c>
      <c r="G1112" s="41" t="str">
        <v/>
      </c>
      <c r="H1112" s="117">
        <f t="shared" si="1"/>
        <v>0</v>
      </c>
      <c r="I1112" s="117">
        <f t="shared" si="2"/>
        <v>20</v>
      </c>
      <c r="J1112" s="117">
        <f t="shared" si="3"/>
        <v>20.010000000000002</v>
      </c>
      <c r="K1112" s="117" t="str">
        <f t="shared" si="4"/>
        <v>BR</v>
      </c>
      <c r="L1112" s="42" t="str">
        <v>BR2001</v>
      </c>
      <c r="M1112" s="121" t="str">
        <v/>
      </c>
      <c r="N1112" s="121" t="str">
        <v/>
      </c>
      <c r="O1112" s="121" t="str">
        <v/>
      </c>
      <c r="P1112" s="121" t="str">
        <v/>
      </c>
      <c r="Q1112" s="121" t="str">
        <v/>
      </c>
      <c r="R1112" s="121" t="str">
        <v/>
      </c>
      <c r="S1112" s="121" t="str">
        <v>Product damaged</v>
      </c>
      <c r="T1112" s="119" t="str">
        <f>IF($C1112&lt;4,IF($C1112=3,T1113,IF($C1112=2,T$1,"")),Q1112&amp;R1112&amp;IF(LEN(S1112)=0,"",Preferences!$C$2&amp;S1112)&amp;IF(J1113=J1112,IF(LEN(R1112&amp;S1112)=0,"","
")&amp;T1113,""))</f>
        <v xml:space="preserve">	• Product damaged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2" s="122" t="str">
        <v/>
      </c>
      <c r="V1112" s="42"/>
      <c r="W1112" s="42"/>
      <c r="X1112" s="42"/>
      <c r="Y1112" s="42"/>
      <c r="Z1112" s="42"/>
      <c r="AA1112" s="42"/>
      <c r="AB1112" s="42"/>
    </row>
    <row r="1113" spans="1:28" x14ac:dyDescent="0.25">
      <c r="A1113" s="42" t="str">
        <v>1.20.1.5.2</v>
      </c>
      <c r="B1113" s="121" t="str">
        <v>Wrong product delivered</v>
      </c>
      <c r="C1113" s="41">
        <v>5</v>
      </c>
      <c r="D1113" s="41" t="str">
        <v>RL</v>
      </c>
      <c r="E1113" s="117" t="str">
        <f t="shared" si="0"/>
        <v>RL</v>
      </c>
      <c r="F1113" s="41" t="str">
        <v/>
      </c>
      <c r="G1113" s="41" t="str">
        <v/>
      </c>
      <c r="H1113" s="117">
        <f t="shared" si="1"/>
        <v>0</v>
      </c>
      <c r="I1113" s="117">
        <f t="shared" si="2"/>
        <v>20</v>
      </c>
      <c r="J1113" s="117">
        <f t="shared" si="3"/>
        <v>20.010000000000002</v>
      </c>
      <c r="K1113" s="117" t="str">
        <f t="shared" si="4"/>
        <v>BR</v>
      </c>
      <c r="L1113" s="42" t="str">
        <v>BR2001</v>
      </c>
      <c r="M1113" s="121" t="str">
        <v/>
      </c>
      <c r="N1113" s="121" t="str">
        <v/>
      </c>
      <c r="O1113" s="121" t="str">
        <v/>
      </c>
      <c r="P1113" s="121" t="str">
        <v/>
      </c>
      <c r="Q1113" s="121" t="str">
        <v/>
      </c>
      <c r="R1113" s="121" t="str">
        <v/>
      </c>
      <c r="S1113" s="121" t="str">
        <v>Wrong product delivered</v>
      </c>
      <c r="T1113" s="119" t="str">
        <f>IF($C1113&lt;4,IF($C1113=3,T1114,IF($C1113=2,T$1,"")),Q1113&amp;R1113&amp;IF(LEN(S1113)=0,"",Preferences!$C$2&amp;S1113)&amp;IF(J1114=J1113,IF(LEN(R1113&amp;S1113)=0,"","
")&amp;T1114,""))</f>
        <v xml:space="preserve">	• Wrong product delivered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3" s="122" t="str">
        <v/>
      </c>
      <c r="V1113" s="42"/>
      <c r="W1113" s="42"/>
      <c r="X1113" s="42"/>
      <c r="Y1113" s="42"/>
      <c r="Z1113" s="42"/>
      <c r="AA1113" s="42"/>
      <c r="AB1113" s="42"/>
    </row>
    <row r="1114" spans="1:28" x14ac:dyDescent="0.25">
      <c r="A1114" s="42" t="str">
        <v>1.20.1.5.3</v>
      </c>
      <c r="B1114" s="121" t="str">
        <v>Product not meet expectations</v>
      </c>
      <c r="C1114" s="41">
        <v>5</v>
      </c>
      <c r="D1114" s="41" t="str">
        <v>RL</v>
      </c>
      <c r="E1114" s="117" t="str">
        <f t="shared" si="0"/>
        <v>RL</v>
      </c>
      <c r="F1114" s="41" t="str">
        <v/>
      </c>
      <c r="G1114" s="41" t="str">
        <v/>
      </c>
      <c r="H1114" s="117">
        <f t="shared" si="1"/>
        <v>0</v>
      </c>
      <c r="I1114" s="117">
        <f t="shared" si="2"/>
        <v>20</v>
      </c>
      <c r="J1114" s="117">
        <f t="shared" si="3"/>
        <v>20.010000000000002</v>
      </c>
      <c r="K1114" s="117" t="str">
        <f t="shared" si="4"/>
        <v>BR</v>
      </c>
      <c r="L1114" s="42" t="str">
        <v>BR2001</v>
      </c>
      <c r="M1114" s="121" t="str">
        <v/>
      </c>
      <c r="N1114" s="121" t="str">
        <v/>
      </c>
      <c r="O1114" s="121" t="str">
        <v/>
      </c>
      <c r="P1114" s="121" t="str">
        <v/>
      </c>
      <c r="Q1114" s="121" t="str">
        <v/>
      </c>
      <c r="R1114" s="121" t="str">
        <v/>
      </c>
      <c r="S1114" s="121" t="str">
        <v>Product not meet expectations</v>
      </c>
      <c r="T1114" s="119" t="str">
        <f>IF($C1114&lt;4,IF($C1114=3,T1115,IF($C1114=2,T$1,"")),Q1114&amp;R1114&amp;IF(LEN(S1114)=0,"",Preferences!$C$2&amp;S1114)&amp;IF(J1115=J1114,IF(LEN(R1114&amp;S1114)=0,"","
")&amp;T1115,""))</f>
        <v xml:space="preserve">	• Product not meet expectations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4" s="122" t="str">
        <v/>
      </c>
      <c r="V1114" s="42"/>
      <c r="W1114" s="42"/>
      <c r="X1114" s="42"/>
      <c r="Y1114" s="42"/>
      <c r="Z1114" s="42"/>
      <c r="AA1114" s="42"/>
      <c r="AB1114" s="42"/>
    </row>
    <row r="1115" spans="1:28" x14ac:dyDescent="0.25">
      <c r="A1115" s="42" t="str">
        <v>1.20.1.5.4</v>
      </c>
      <c r="B1115" s="121" t="str">
        <v>Product no longer needed</v>
      </c>
      <c r="C1115" s="41">
        <v>5</v>
      </c>
      <c r="D1115" s="41" t="str">
        <v>RL</v>
      </c>
      <c r="E1115" s="117" t="str">
        <f t="shared" si="0"/>
        <v>RL</v>
      </c>
      <c r="F1115" s="41" t="str">
        <v/>
      </c>
      <c r="G1115" s="41" t="str">
        <v/>
      </c>
      <c r="H1115" s="117">
        <f t="shared" si="1"/>
        <v>0</v>
      </c>
      <c r="I1115" s="117">
        <f t="shared" si="2"/>
        <v>20</v>
      </c>
      <c r="J1115" s="117">
        <f t="shared" si="3"/>
        <v>20.010000000000002</v>
      </c>
      <c r="K1115" s="117" t="str">
        <f t="shared" si="4"/>
        <v>BR</v>
      </c>
      <c r="L1115" s="42" t="str">
        <v>BR2001</v>
      </c>
      <c r="M1115" s="121" t="str">
        <v/>
      </c>
      <c r="N1115" s="121" t="str">
        <v/>
      </c>
      <c r="O1115" s="121" t="str">
        <v/>
      </c>
      <c r="P1115" s="121" t="str">
        <v/>
      </c>
      <c r="Q1115" s="121" t="str">
        <v/>
      </c>
      <c r="R1115" s="121" t="str">
        <v/>
      </c>
      <c r="S1115" s="121" t="str">
        <v>Product no longer needed</v>
      </c>
      <c r="T1115" s="119" t="str">
        <f>IF($C1115&lt;4,IF($C1115=3,T1116,IF($C1115=2,T$1,"")),Q1115&amp;R1115&amp;IF(LEN(S1115)=0,"",Preferences!$C$2&amp;S1115)&amp;IF(J1116=J1115,IF(LEN(R1115&amp;S1115)=0,"","
")&amp;T1116,""))</f>
        <v xml:space="preserve">	• Product no longer needed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5" s="122" t="str">
        <v/>
      </c>
      <c r="V1115" s="42"/>
      <c r="W1115" s="42"/>
      <c r="X1115" s="42"/>
      <c r="Y1115" s="42"/>
      <c r="Z1115" s="42"/>
      <c r="AA1115" s="42"/>
      <c r="AB1115" s="42"/>
    </row>
    <row r="1116" spans="1:28" x14ac:dyDescent="0.25">
      <c r="A1116" s="42" t="str">
        <v>1.20.1.5.5</v>
      </c>
      <c r="B1116" s="121" t="str">
        <v>Other</v>
      </c>
      <c r="C1116" s="41">
        <v>5</v>
      </c>
      <c r="D1116" s="41" t="str">
        <v>RL</v>
      </c>
      <c r="E1116" s="117" t="str">
        <f t="shared" si="0"/>
        <v>RL</v>
      </c>
      <c r="F1116" s="41" t="str">
        <v/>
      </c>
      <c r="G1116" s="41" t="str">
        <v/>
      </c>
      <c r="H1116" s="117">
        <f t="shared" si="1"/>
        <v>0</v>
      </c>
      <c r="I1116" s="117">
        <f t="shared" si="2"/>
        <v>20</v>
      </c>
      <c r="J1116" s="117">
        <f t="shared" si="3"/>
        <v>20.010000000000002</v>
      </c>
      <c r="K1116" s="117" t="str">
        <f t="shared" si="4"/>
        <v>BR</v>
      </c>
      <c r="L1116" s="42" t="str">
        <v>BR2001</v>
      </c>
      <c r="M1116" s="121" t="str">
        <v/>
      </c>
      <c r="N1116" s="121" t="str">
        <v/>
      </c>
      <c r="O1116" s="121" t="str">
        <v/>
      </c>
      <c r="P1116" s="121" t="str">
        <v/>
      </c>
      <c r="Q1116" s="121" t="str">
        <v/>
      </c>
      <c r="R1116" s="121" t="str">
        <v/>
      </c>
      <c r="S1116" s="121" t="str">
        <v>Other</v>
      </c>
      <c r="T1116" s="119" t="str">
        <f>IF($C1116&lt;4,IF($C1116=3,T1117,IF($C1116=2,T$1,"")),Q1116&amp;R1116&amp;IF(LEN(S1116)=0,"",Preferences!$C$2&amp;S1116)&amp;IF(J1117=J1116,IF(LEN(R1116&amp;S1116)=0,"","
")&amp;T1117,""))</f>
        <v xml:space="preserve">	• Other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6" s="122" t="str">
        <v/>
      </c>
      <c r="V1116" s="42"/>
      <c r="W1116" s="42"/>
      <c r="X1116" s="42"/>
      <c r="Y1116" s="42"/>
      <c r="Z1116" s="42"/>
      <c r="AA1116" s="42"/>
      <c r="AB1116" s="42"/>
    </row>
    <row r="1117" spans="1:28" x14ac:dyDescent="0.25">
      <c r="A1117" s="42" t="str">
        <v>1.20.1.6</v>
      </c>
      <c r="B1117" s="121" t="str">
        <v>The customer is prompted to select an action for the request:</v>
      </c>
      <c r="C1117" s="41">
        <v>4</v>
      </c>
      <c r="D1117" s="41" t="str">
        <v>RD</v>
      </c>
      <c r="E1117" s="117" t="str">
        <f t="shared" si="0"/>
        <v>RD</v>
      </c>
      <c r="F1117" s="41" t="str">
        <v/>
      </c>
      <c r="G1117" s="41" t="str">
        <v/>
      </c>
      <c r="H1117" s="117">
        <f t="shared" si="1"/>
        <v>0</v>
      </c>
      <c r="I1117" s="117">
        <f t="shared" si="2"/>
        <v>20</v>
      </c>
      <c r="J1117" s="117">
        <f t="shared" si="3"/>
        <v>20.010000000000002</v>
      </c>
      <c r="K1117" s="117" t="str">
        <f t="shared" si="4"/>
        <v>BR</v>
      </c>
      <c r="L1117" s="42" t="str">
        <v>BR2001</v>
      </c>
      <c r="M1117" s="121" t="str">
        <v/>
      </c>
      <c r="N1117" s="121" t="str">
        <v/>
      </c>
      <c r="O1117" s="121" t="str">
        <v/>
      </c>
      <c r="P1117" s="121" t="str">
        <v/>
      </c>
      <c r="Q1117" s="121" t="str">
        <v xml:space="preserve"> 6. </v>
      </c>
      <c r="R1117" s="121" t="str">
        <v>The customer is prompted to select an action for the request:</v>
      </c>
      <c r="S1117" s="121" t="str">
        <v/>
      </c>
      <c r="T1117" s="119" t="str">
        <f>IF($C1117&lt;4,IF($C1117=3,T1118,IF($C1117=2,T$1,"")),Q1117&amp;R1117&amp;IF(LEN(S1117)=0,"",Preferences!$C$2&amp;S1117)&amp;IF(J1118=J1117,IF(LEN(R1117&amp;S1117)=0,"","
")&amp;T1118,""))</f>
        <v xml:space="preserve"> 6. The customer is prompted to select an action for the request: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7" s="122" t="str">
        <v/>
      </c>
      <c r="V1117" s="42"/>
      <c r="W1117" s="42"/>
      <c r="X1117" s="42"/>
      <c r="Y1117" s="42"/>
      <c r="Z1117" s="42"/>
      <c r="AA1117" s="42"/>
      <c r="AB1117" s="42"/>
    </row>
    <row r="1118" spans="1:28" x14ac:dyDescent="0.25">
      <c r="A1118" s="42" t="str">
        <v>1.20.1.6.1</v>
      </c>
      <c r="B1118" s="121" t="str">
        <v>Return and replace</v>
      </c>
      <c r="C1118" s="41">
        <v>5</v>
      </c>
      <c r="D1118" s="41" t="str">
        <v>RL</v>
      </c>
      <c r="E1118" s="117" t="str">
        <f t="shared" si="0"/>
        <v>RL</v>
      </c>
      <c r="F1118" s="41" t="str">
        <v/>
      </c>
      <c r="G1118" s="41" t="str">
        <v/>
      </c>
      <c r="H1118" s="117">
        <f t="shared" si="1"/>
        <v>0</v>
      </c>
      <c r="I1118" s="117">
        <f t="shared" si="2"/>
        <v>20</v>
      </c>
      <c r="J1118" s="117">
        <f t="shared" si="3"/>
        <v>20.010000000000002</v>
      </c>
      <c r="K1118" s="117" t="str">
        <f t="shared" si="4"/>
        <v>BR</v>
      </c>
      <c r="L1118" s="42" t="str">
        <v>BR2001</v>
      </c>
      <c r="M1118" s="121" t="str">
        <v/>
      </c>
      <c r="N1118" s="121" t="str">
        <v/>
      </c>
      <c r="O1118" s="121" t="str">
        <v/>
      </c>
      <c r="P1118" s="121" t="str">
        <v/>
      </c>
      <c r="Q1118" s="121" t="str">
        <v/>
      </c>
      <c r="R1118" s="121" t="str">
        <v/>
      </c>
      <c r="S1118" s="121" t="str">
        <v>Return and replace</v>
      </c>
      <c r="T1118" s="119" t="str">
        <f>IF($C1118&lt;4,IF($C1118=3,T1119,IF($C1118=2,T$1,"")),Q1118&amp;R1118&amp;IF(LEN(S1118)=0,"",Preferences!$C$2&amp;S1118)&amp;IF(J1119=J1118,IF(LEN(R1118&amp;S1118)=0,"","
")&amp;T1119,""))</f>
        <v xml:space="preserve">	• Return and replace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8" s="122" t="str">
        <v/>
      </c>
      <c r="V1118" s="42"/>
      <c r="W1118" s="42"/>
      <c r="X1118" s="42"/>
      <c r="Y1118" s="42"/>
      <c r="Z1118" s="42"/>
      <c r="AA1118" s="42"/>
      <c r="AB1118" s="42"/>
    </row>
    <row r="1119" spans="1:28" x14ac:dyDescent="0.25">
      <c r="A1119" s="42" t="str">
        <v>1.20.1.6.2</v>
      </c>
      <c r="B1119" s="121" t="str">
        <v>Return and refund</v>
      </c>
      <c r="C1119" s="41">
        <v>5</v>
      </c>
      <c r="D1119" s="41" t="str">
        <v>RL</v>
      </c>
      <c r="E1119" s="117" t="str">
        <f t="shared" si="0"/>
        <v>RL</v>
      </c>
      <c r="F1119" s="41" t="str">
        <v/>
      </c>
      <c r="G1119" s="41" t="str">
        <v/>
      </c>
      <c r="H1119" s="117">
        <f t="shared" si="1"/>
        <v>0</v>
      </c>
      <c r="I1119" s="117">
        <f t="shared" si="2"/>
        <v>20</v>
      </c>
      <c r="J1119" s="117">
        <f t="shared" si="3"/>
        <v>20.010000000000002</v>
      </c>
      <c r="K1119" s="117" t="str">
        <f t="shared" si="4"/>
        <v>BR</v>
      </c>
      <c r="L1119" s="42" t="str">
        <v>BR2001</v>
      </c>
      <c r="M1119" s="121" t="str">
        <v/>
      </c>
      <c r="N1119" s="121" t="str">
        <v/>
      </c>
      <c r="O1119" s="121" t="str">
        <v/>
      </c>
      <c r="P1119" s="121" t="str">
        <v/>
      </c>
      <c r="Q1119" s="121" t="str">
        <v/>
      </c>
      <c r="R1119" s="121" t="str">
        <v/>
      </c>
      <c r="S1119" s="121" t="str">
        <v>Return and refund</v>
      </c>
      <c r="T1119" s="119" t="str">
        <f>IF($C1119&lt;4,IF($C1119=3,T1120,IF($C1119=2,T$1,"")),Q1119&amp;R1119&amp;IF(LEN(S1119)=0,"",Preferences!$C$2&amp;S1119)&amp;IF(J1120=J1119,IF(LEN(R1119&amp;S1119)=0,"","
")&amp;T1120,""))</f>
        <v xml:space="preserve">	• Return and refund
	• Other
 7. The customer is prompted to capture a message to explain the request further.
 8. The customer is prompted to confirm the collection address, or choose a different (delivery) address.
 9. The request is submitted as a return request, associated with the selected order.</v>
      </c>
      <c r="U1119" s="122" t="str">
        <v/>
      </c>
      <c r="V1119" s="42"/>
      <c r="W1119" s="42"/>
      <c r="X1119" s="42"/>
      <c r="Y1119" s="42"/>
      <c r="Z1119" s="42"/>
      <c r="AA1119" s="42"/>
      <c r="AB1119" s="42"/>
    </row>
    <row r="1120" spans="1:28" x14ac:dyDescent="0.25">
      <c r="A1120" s="42" t="str">
        <v>1.20.1.6.3</v>
      </c>
      <c r="B1120" s="121" t="str">
        <v>Other</v>
      </c>
      <c r="C1120" s="41">
        <v>5</v>
      </c>
      <c r="D1120" s="41" t="str">
        <v>RL</v>
      </c>
      <c r="E1120" s="117" t="str">
        <f t="shared" si="0"/>
        <v>RL</v>
      </c>
      <c r="F1120" s="41" t="str">
        <v/>
      </c>
      <c r="G1120" s="41" t="str">
        <v/>
      </c>
      <c r="H1120" s="117">
        <f t="shared" si="1"/>
        <v>0</v>
      </c>
      <c r="I1120" s="117">
        <f t="shared" si="2"/>
        <v>20</v>
      </c>
      <c r="J1120" s="117">
        <f t="shared" si="3"/>
        <v>20.010000000000002</v>
      </c>
      <c r="K1120" s="117" t="str">
        <f t="shared" si="4"/>
        <v>BR</v>
      </c>
      <c r="L1120" s="42" t="str">
        <v>BR2001</v>
      </c>
      <c r="M1120" s="121" t="str">
        <v/>
      </c>
      <c r="N1120" s="121" t="str">
        <v/>
      </c>
      <c r="O1120" s="121" t="str">
        <v/>
      </c>
      <c r="P1120" s="121" t="str">
        <v/>
      </c>
      <c r="Q1120" s="121" t="str">
        <v/>
      </c>
      <c r="R1120" s="121" t="str">
        <v/>
      </c>
      <c r="S1120" s="121" t="str">
        <v>Other</v>
      </c>
      <c r="T1120" s="119" t="str">
        <f>IF($C1120&lt;4,IF($C1120=3,T1121,IF($C1120=2,T$1,"")),Q1120&amp;R1120&amp;IF(LEN(S1120)=0,"",Preferences!$C$2&amp;S1120)&amp;IF(J1121=J1120,IF(LEN(R1120&amp;S1120)=0,"","
")&amp;T1121,""))</f>
        <v xml:space="preserve">	• Other
 7. The customer is prompted to capture a message to explain the request further.
 8. The customer is prompted to confirm the collection address, or choose a different (delivery) address.
 9. The request is submitted as a return request, associated with the selected order.</v>
      </c>
      <c r="U1120" s="122" t="str">
        <v/>
      </c>
      <c r="V1120" s="42"/>
      <c r="W1120" s="42"/>
      <c r="X1120" s="42"/>
      <c r="Y1120" s="42"/>
      <c r="Z1120" s="42"/>
      <c r="AA1120" s="42"/>
      <c r="AB1120" s="42"/>
    </row>
    <row r="1121" spans="1:28" x14ac:dyDescent="0.25">
      <c r="A1121" s="42" t="str">
        <v>1.20.1.7</v>
      </c>
      <c r="B1121" s="121" t="str">
        <v>The customer is prompted to capture a message to explain the request further.</v>
      </c>
      <c r="C1121" s="41">
        <v>4</v>
      </c>
      <c r="D1121" s="41" t="str">
        <v>RD</v>
      </c>
      <c r="E1121" s="117" t="str">
        <f t="shared" si="0"/>
        <v>RD</v>
      </c>
      <c r="F1121" s="41" t="str">
        <v/>
      </c>
      <c r="G1121" s="41" t="str">
        <v/>
      </c>
      <c r="H1121" s="117">
        <f t="shared" si="1"/>
        <v>0</v>
      </c>
      <c r="I1121" s="117">
        <f t="shared" si="2"/>
        <v>20</v>
      </c>
      <c r="J1121" s="117">
        <f t="shared" si="3"/>
        <v>20.010000000000002</v>
      </c>
      <c r="K1121" s="117" t="str">
        <f t="shared" si="4"/>
        <v>BR</v>
      </c>
      <c r="L1121" s="42" t="str">
        <v>BR2001</v>
      </c>
      <c r="M1121" s="121" t="str">
        <v/>
      </c>
      <c r="N1121" s="121" t="str">
        <v/>
      </c>
      <c r="O1121" s="121" t="str">
        <v/>
      </c>
      <c r="P1121" s="121" t="str">
        <v/>
      </c>
      <c r="Q1121" s="121" t="str">
        <v xml:space="preserve"> 7. </v>
      </c>
      <c r="R1121" s="121" t="str">
        <v>The customer is prompted to capture a message to explain the request further.</v>
      </c>
      <c r="S1121" s="121" t="str">
        <v/>
      </c>
      <c r="T1121" s="119" t="str">
        <f>IF($C1121&lt;4,IF($C1121=3,T1122,IF($C1121=2,T$1,"")),Q1121&amp;R1121&amp;IF(LEN(S1121)=0,"",Preferences!$C$2&amp;S1121)&amp;IF(J1122=J1121,IF(LEN(R1121&amp;S1121)=0,"","
")&amp;T1122,""))</f>
        <v xml:space="preserve"> 7. The customer is prompted to capture a message to explain the request further.
 8. The customer is prompted to confirm the collection address, or choose a different (delivery) address.
 9. The request is submitted as a return request, associated with the selected order.</v>
      </c>
      <c r="U1121" s="122" t="str">
        <v/>
      </c>
      <c r="V1121" s="42"/>
      <c r="W1121" s="42"/>
      <c r="X1121" s="42"/>
      <c r="Y1121" s="42"/>
      <c r="Z1121" s="42"/>
      <c r="AA1121" s="42"/>
      <c r="AB1121" s="42"/>
    </row>
    <row r="1122" spans="1:28" x14ac:dyDescent="0.25">
      <c r="A1122" s="42" t="str">
        <v>1.20.1.8</v>
      </c>
      <c r="B1122" s="121" t="str">
        <v>The customer is prompted to confirm the collection address, or choose a different (delivery) address.</v>
      </c>
      <c r="C1122" s="41">
        <v>4</v>
      </c>
      <c r="D1122" s="41" t="str">
        <v>RD</v>
      </c>
      <c r="E1122" s="117" t="str">
        <f t="shared" si="0"/>
        <v>RD</v>
      </c>
      <c r="F1122" s="41" t="str">
        <v/>
      </c>
      <c r="G1122" s="41" t="str">
        <v/>
      </c>
      <c r="H1122" s="117">
        <f t="shared" si="1"/>
        <v>0</v>
      </c>
      <c r="I1122" s="117">
        <f t="shared" si="2"/>
        <v>20</v>
      </c>
      <c r="J1122" s="117">
        <f t="shared" si="3"/>
        <v>20.010000000000002</v>
      </c>
      <c r="K1122" s="117" t="str">
        <f t="shared" si="4"/>
        <v>BR</v>
      </c>
      <c r="L1122" s="42" t="str">
        <v>BR2001</v>
      </c>
      <c r="M1122" s="121" t="str">
        <v/>
      </c>
      <c r="N1122" s="121" t="str">
        <v/>
      </c>
      <c r="O1122" s="121" t="str">
        <v/>
      </c>
      <c r="P1122" s="121" t="str">
        <v/>
      </c>
      <c r="Q1122" s="121" t="str">
        <v xml:space="preserve"> 8. </v>
      </c>
      <c r="R1122" s="121" t="str">
        <v>The customer is prompted to confirm the collection address, or choose a different (delivery) address.</v>
      </c>
      <c r="S1122" s="121" t="str">
        <v/>
      </c>
      <c r="T1122" s="119" t="str">
        <f>IF($C1122&lt;4,IF($C1122=3,T1123,IF($C1122=2,T$1,"")),Q1122&amp;R1122&amp;IF(LEN(S1122)=0,"",Preferences!$C$2&amp;S1122)&amp;IF(J1123=J1122,IF(LEN(R1122&amp;S1122)=0,"","
")&amp;T1123,""))</f>
        <v xml:space="preserve"> 8. The customer is prompted to confirm the collection address, or choose a different (delivery) address.
 9. The request is submitted as a return request, associated with the selected order.</v>
      </c>
      <c r="U1122" s="122" t="str">
        <v/>
      </c>
      <c r="V1122" s="42"/>
      <c r="W1122" s="42"/>
      <c r="X1122" s="42"/>
      <c r="Y1122" s="42"/>
      <c r="Z1122" s="42"/>
      <c r="AA1122" s="42"/>
      <c r="AB1122" s="42"/>
    </row>
    <row r="1123" spans="1:28" x14ac:dyDescent="0.25">
      <c r="A1123" s="42" t="str">
        <v>1.20.1.9</v>
      </c>
      <c r="B1123" s="121" t="str">
        <v>The request is submitted as a return request, associated with the selected order.</v>
      </c>
      <c r="C1123" s="41">
        <v>4</v>
      </c>
      <c r="D1123" s="41" t="str">
        <v>RD</v>
      </c>
      <c r="E1123" s="117" t="str">
        <f t="shared" si="0"/>
        <v>RD</v>
      </c>
      <c r="F1123" s="41" t="str">
        <v/>
      </c>
      <c r="G1123" s="41" t="str">
        <v/>
      </c>
      <c r="H1123" s="117">
        <f t="shared" si="1"/>
        <v>0</v>
      </c>
      <c r="I1123" s="117">
        <f t="shared" si="2"/>
        <v>20</v>
      </c>
      <c r="J1123" s="117">
        <f t="shared" si="3"/>
        <v>20.010000000000002</v>
      </c>
      <c r="K1123" s="117" t="str">
        <f t="shared" si="4"/>
        <v>BR</v>
      </c>
      <c r="L1123" s="42" t="str">
        <v>BR2001</v>
      </c>
      <c r="M1123" s="121" t="str">
        <v/>
      </c>
      <c r="N1123" s="121" t="str">
        <v/>
      </c>
      <c r="O1123" s="121" t="str">
        <v/>
      </c>
      <c r="P1123" s="121" t="str">
        <v/>
      </c>
      <c r="Q1123" s="121" t="str">
        <v xml:space="preserve"> 9. </v>
      </c>
      <c r="R1123" s="121" t="str">
        <v>The request is submitted as a return request, associated with the selected order.</v>
      </c>
      <c r="S1123" s="121" t="str">
        <v/>
      </c>
      <c r="T1123" s="119" t="str">
        <f>IF($C1123&lt;4,IF($C1123=3,T1124,IF($C1123=2,T$1,"")),Q1123&amp;R1123&amp;IF(LEN(S1123)=0,"",Preferences!$C$2&amp;S1123)&amp;IF(J1124=J1123,IF(LEN(R1123&amp;S1123)=0,"","
")&amp;T1124,""))</f>
        <v xml:space="preserve"> 9. The request is submitted as a return request, associated with the selected order.</v>
      </c>
      <c r="U1123" s="122" t="str">
        <v/>
      </c>
      <c r="V1123" s="42"/>
      <c r="W1123" s="42"/>
      <c r="X1123" s="42"/>
      <c r="Y1123" s="42"/>
      <c r="Z1123" s="42"/>
      <c r="AA1123" s="42"/>
      <c r="AB1123" s="42"/>
    </row>
    <row r="1124" spans="1:28" x14ac:dyDescent="0.25">
      <c r="A1124" s="42" t="str">
        <v>1.20.2</v>
      </c>
      <c r="B1124" s="121" t="str">
        <v>20.2 View return request list</v>
      </c>
      <c r="C1124" s="41">
        <v>3</v>
      </c>
      <c r="D1124" s="41" t="str">
        <v>R</v>
      </c>
      <c r="E1124" s="117" t="str">
        <f t="shared" si="0"/>
        <v>R</v>
      </c>
      <c r="F1124" s="41" t="str">
        <v/>
      </c>
      <c r="G1124" s="41" t="str">
        <v/>
      </c>
      <c r="H1124" s="117">
        <f t="shared" si="1"/>
        <v>0</v>
      </c>
      <c r="I1124" s="117">
        <f t="shared" si="2"/>
        <v>20</v>
      </c>
      <c r="J1124" s="117">
        <f t="shared" si="3"/>
        <v>20.020000000000003</v>
      </c>
      <c r="K1124" s="117" t="str">
        <f t="shared" si="4"/>
        <v>BR</v>
      </c>
      <c r="L1124" s="42" t="str">
        <v>BR2002</v>
      </c>
      <c r="M1124" s="121" t="str">
        <v/>
      </c>
      <c r="N1124" s="121" t="str">
        <v/>
      </c>
      <c r="O1124" s="121" t="str">
        <v>BR2002</v>
      </c>
      <c r="P1124" s="121" t="str">
        <v>View return request list</v>
      </c>
      <c r="Q1124" s="121" t="str">
        <v/>
      </c>
      <c r="R1124" s="121" t="str">
        <v/>
      </c>
      <c r="S1124" s="121" t="str">
        <v/>
      </c>
      <c r="T1124" s="119" t="str">
        <f>IF($C1124&lt;4,IF($C1124=3,T1125,IF($C1124=2,T$1,"")),Q1124&amp;R1124&amp;IF(LEN(S1124)=0,"",Preferences!$C$2&amp;S1124)&amp;IF(J1125=J1124,IF(LEN(R1124&amp;S1124)=0,"","
")&amp;T1125,""))</f>
        <v xml:space="preserve"> 1. A customer can choose to view their return requests list:
	• From their user menu (My Orders)
	• From a given Order (Back to Orders)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4" s="122" t="str">
        <v/>
      </c>
      <c r="V1124" s="42"/>
      <c r="W1124" s="42"/>
      <c r="X1124" s="42"/>
      <c r="Y1124" s="42"/>
      <c r="Z1124" s="42"/>
      <c r="AA1124" s="42"/>
      <c r="AB1124" s="42"/>
    </row>
    <row r="1125" spans="1:28" x14ac:dyDescent="0.25">
      <c r="A1125" s="42" t="str">
        <v>1.20.2.1</v>
      </c>
      <c r="B1125" s="121" t="str">
        <v>A customer can choose to view their return requests list:</v>
      </c>
      <c r="C1125" s="41">
        <v>4</v>
      </c>
      <c r="D1125" s="41" t="str">
        <v>RD</v>
      </c>
      <c r="E1125" s="117" t="str">
        <f t="shared" si="0"/>
        <v>RD</v>
      </c>
      <c r="F1125" s="41" t="str">
        <v/>
      </c>
      <c r="G1125" s="41" t="str">
        <v/>
      </c>
      <c r="H1125" s="117">
        <f t="shared" si="1"/>
        <v>0</v>
      </c>
      <c r="I1125" s="117">
        <f t="shared" si="2"/>
        <v>20</v>
      </c>
      <c r="J1125" s="117">
        <f t="shared" si="3"/>
        <v>20.020000000000003</v>
      </c>
      <c r="K1125" s="117" t="str">
        <f t="shared" si="4"/>
        <v>BR</v>
      </c>
      <c r="L1125" s="42" t="str">
        <v>BR2002</v>
      </c>
      <c r="M1125" s="121" t="str">
        <v/>
      </c>
      <c r="N1125" s="121" t="str">
        <v/>
      </c>
      <c r="O1125" s="121" t="str">
        <v/>
      </c>
      <c r="P1125" s="121" t="str">
        <v/>
      </c>
      <c r="Q1125" s="121" t="str">
        <v xml:space="preserve"> 1. </v>
      </c>
      <c r="R1125" s="121" t="str">
        <v>A customer can choose to view their return requests list:</v>
      </c>
      <c r="S1125" s="121" t="str">
        <v/>
      </c>
      <c r="T1125" s="119" t="str">
        <f>IF($C1125&lt;4,IF($C1125=3,T1126,IF($C1125=2,T$1,"")),Q1125&amp;R1125&amp;IF(LEN(S1125)=0,"",Preferences!$C$2&amp;S1125)&amp;IF(J1126=J1125,IF(LEN(R1125&amp;S1125)=0,"","
")&amp;T1126,""))</f>
        <v xml:space="preserve"> 1. A customer can choose to view their return requests list:
	• From their user menu (My Orders)
	• From a given Order (Back to Orders)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5" s="122" t="str">
        <v/>
      </c>
      <c r="V1125" s="42"/>
      <c r="W1125" s="42"/>
      <c r="X1125" s="42"/>
      <c r="Y1125" s="42"/>
      <c r="Z1125" s="42"/>
      <c r="AA1125" s="42"/>
      <c r="AB1125" s="42"/>
    </row>
    <row r="1126" spans="1:28" x14ac:dyDescent="0.25">
      <c r="A1126" s="42" t="str">
        <v>1.20.2.1.1</v>
      </c>
      <c r="B1126" s="121" t="str">
        <v>From their user menu (My Orders)</v>
      </c>
      <c r="C1126" s="41">
        <v>5</v>
      </c>
      <c r="D1126" s="41" t="str">
        <v>RL</v>
      </c>
      <c r="E1126" s="117" t="str">
        <f t="shared" si="0"/>
        <v>RL</v>
      </c>
      <c r="F1126" s="41" t="str">
        <v/>
      </c>
      <c r="G1126" s="41" t="str">
        <v/>
      </c>
      <c r="H1126" s="117">
        <f t="shared" si="1"/>
        <v>0</v>
      </c>
      <c r="I1126" s="117">
        <f t="shared" si="2"/>
        <v>20</v>
      </c>
      <c r="J1126" s="117">
        <f t="shared" si="3"/>
        <v>20.020000000000003</v>
      </c>
      <c r="K1126" s="117" t="str">
        <f t="shared" si="4"/>
        <v>BR</v>
      </c>
      <c r="L1126" s="42" t="str">
        <v>BR2002</v>
      </c>
      <c r="M1126" s="121" t="str">
        <v/>
      </c>
      <c r="N1126" s="121" t="str">
        <v/>
      </c>
      <c r="O1126" s="121" t="str">
        <v/>
      </c>
      <c r="P1126" s="121" t="str">
        <v/>
      </c>
      <c r="Q1126" s="121" t="str">
        <v/>
      </c>
      <c r="R1126" s="121" t="str">
        <v/>
      </c>
      <c r="S1126" s="121" t="str">
        <v>From their user menu (My Orders)</v>
      </c>
      <c r="T1126" s="119" t="str">
        <f>IF($C1126&lt;4,IF($C1126=3,T1127,IF($C1126=2,T$1,"")),Q1126&amp;R1126&amp;IF(LEN(S1126)=0,"",Preferences!$C$2&amp;S1126)&amp;IF(J1127=J1126,IF(LEN(R1126&amp;S1126)=0,"","
")&amp;T1127,""))</f>
        <v xml:space="preserve">	• From their user menu (My Orders)
	• From a given Order (Back to Orders)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6" s="122" t="str">
        <v/>
      </c>
      <c r="V1126" s="42"/>
      <c r="W1126" s="42"/>
      <c r="X1126" s="42"/>
      <c r="Y1126" s="42"/>
      <c r="Z1126" s="42"/>
      <c r="AA1126" s="42"/>
      <c r="AB1126" s="42"/>
    </row>
    <row r="1127" spans="1:28" x14ac:dyDescent="0.25">
      <c r="A1127" s="42" t="str">
        <v>1.20.2.1.2</v>
      </c>
      <c r="B1127" s="121" t="str">
        <v>From a given Order (Back to Orders)</v>
      </c>
      <c r="C1127" s="41">
        <v>5</v>
      </c>
      <c r="D1127" s="41" t="str">
        <v>RL</v>
      </c>
      <c r="E1127" s="117" t="str">
        <f t="shared" si="0"/>
        <v>RL</v>
      </c>
      <c r="F1127" s="41" t="str">
        <v/>
      </c>
      <c r="G1127" s="41" t="str">
        <v/>
      </c>
      <c r="H1127" s="117">
        <f t="shared" si="1"/>
        <v>0</v>
      </c>
      <c r="I1127" s="117">
        <f t="shared" si="2"/>
        <v>20</v>
      </c>
      <c r="J1127" s="117">
        <f t="shared" si="3"/>
        <v>20.020000000000003</v>
      </c>
      <c r="K1127" s="117" t="str">
        <f t="shared" si="4"/>
        <v>BR</v>
      </c>
      <c r="L1127" s="42" t="str">
        <v>BR2002</v>
      </c>
      <c r="M1127" s="121" t="str">
        <v/>
      </c>
      <c r="N1127" s="121" t="str">
        <v/>
      </c>
      <c r="O1127" s="121" t="str">
        <v/>
      </c>
      <c r="P1127" s="121" t="str">
        <v/>
      </c>
      <c r="Q1127" s="121" t="str">
        <v/>
      </c>
      <c r="R1127" s="121" t="str">
        <v/>
      </c>
      <c r="S1127" s="121" t="str">
        <v>From a given Order (Back to Orders)</v>
      </c>
      <c r="T1127" s="119" t="str">
        <f>IF($C1127&lt;4,IF($C1127=3,T1128,IF($C1127=2,T$1,"")),Q1127&amp;R1127&amp;IF(LEN(S1127)=0,"",Preferences!$C$2&amp;S1127)&amp;IF(J1128=J1127,IF(LEN(R1127&amp;S1127)=0,"","
")&amp;T1128,""))</f>
        <v xml:space="preserve">	• From a given Order (Back to Orders)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7" s="122" t="str">
        <v/>
      </c>
      <c r="V1127" s="42"/>
      <c r="W1127" s="42"/>
      <c r="X1127" s="42"/>
      <c r="Y1127" s="42"/>
      <c r="Z1127" s="42"/>
      <c r="AA1127" s="42"/>
      <c r="AB1127" s="42"/>
    </row>
    <row r="1128" spans="1:28" x14ac:dyDescent="0.25">
      <c r="A1128" s="42" t="str">
        <v>1.20.2.2</v>
      </c>
      <c r="B1128" s="121" t="str">
        <v>Present at least the following for the return requests list:</v>
      </c>
      <c r="C1128" s="41">
        <v>4</v>
      </c>
      <c r="D1128" s="41" t="str">
        <v>RD</v>
      </c>
      <c r="E1128" s="117" t="str">
        <f t="shared" si="0"/>
        <v>RD</v>
      </c>
      <c r="F1128" s="41" t="str">
        <v/>
      </c>
      <c r="G1128" s="41" t="str">
        <v/>
      </c>
      <c r="H1128" s="117">
        <f t="shared" si="1"/>
        <v>0</v>
      </c>
      <c r="I1128" s="117">
        <f t="shared" si="2"/>
        <v>20</v>
      </c>
      <c r="J1128" s="117">
        <f t="shared" si="3"/>
        <v>20.020000000000003</v>
      </c>
      <c r="K1128" s="117" t="str">
        <f t="shared" si="4"/>
        <v>BR</v>
      </c>
      <c r="L1128" s="42" t="str">
        <v>BR2002</v>
      </c>
      <c r="M1128" s="121" t="str">
        <v/>
      </c>
      <c r="N1128" s="121" t="str">
        <v/>
      </c>
      <c r="O1128" s="121" t="str">
        <v/>
      </c>
      <c r="P1128" s="121" t="str">
        <v/>
      </c>
      <c r="Q1128" s="121" t="str">
        <v xml:space="preserve"> 2. </v>
      </c>
      <c r="R1128" s="121" t="str">
        <v>Present at least the following for the return requests list:</v>
      </c>
      <c r="S1128" s="121" t="str">
        <v/>
      </c>
      <c r="T1128" s="119" t="str">
        <f>IF($C1128&lt;4,IF($C1128=3,T1129,IF($C1128=2,T$1,"")),Q1128&amp;R1128&amp;IF(LEN(S1128)=0,"",Preferences!$C$2&amp;S1128)&amp;IF(J1129=J1128,IF(LEN(R1128&amp;S1128)=0,"","
")&amp;T1129,""))</f>
        <v xml:space="preserve"> 2. Present at least the following for the return requests list: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8" s="122" t="str">
        <v/>
      </c>
      <c r="V1128" s="42"/>
      <c r="W1128" s="42"/>
      <c r="X1128" s="42"/>
      <c r="Y1128" s="42"/>
      <c r="Z1128" s="42"/>
      <c r="AA1128" s="42"/>
      <c r="AB1128" s="42"/>
    </row>
    <row r="1129" spans="1:28" x14ac:dyDescent="0.25">
      <c r="A1129" s="42" t="str">
        <v>1.20.2.2.1</v>
      </c>
      <c r="B1129" s="121" t="str">
        <v>Return Number (link to return detail)</v>
      </c>
      <c r="C1129" s="41">
        <v>5</v>
      </c>
      <c r="D1129" s="41" t="str">
        <v>RL</v>
      </c>
      <c r="E1129" s="117" t="str">
        <f t="shared" si="0"/>
        <v>RL</v>
      </c>
      <c r="F1129" s="41" t="str">
        <v/>
      </c>
      <c r="G1129" s="41" t="str">
        <v/>
      </c>
      <c r="H1129" s="117">
        <f t="shared" si="1"/>
        <v>0</v>
      </c>
      <c r="I1129" s="117">
        <f t="shared" si="2"/>
        <v>20</v>
      </c>
      <c r="J1129" s="117">
        <f t="shared" si="3"/>
        <v>20.020000000000003</v>
      </c>
      <c r="K1129" s="117" t="str">
        <f t="shared" si="4"/>
        <v>BR</v>
      </c>
      <c r="L1129" s="42" t="str">
        <v>BR2002</v>
      </c>
      <c r="M1129" s="121" t="str">
        <v/>
      </c>
      <c r="N1129" s="121" t="str">
        <v/>
      </c>
      <c r="O1129" s="121" t="str">
        <v/>
      </c>
      <c r="P1129" s="121" t="str">
        <v/>
      </c>
      <c r="Q1129" s="121" t="str">
        <v/>
      </c>
      <c r="R1129" s="121" t="str">
        <v/>
      </c>
      <c r="S1129" s="121" t="str">
        <v>Return Number (link to return detail)</v>
      </c>
      <c r="T1129" s="119" t="str">
        <f>IF($C1129&lt;4,IF($C1129=3,T1130,IF($C1129=2,T$1,"")),Q1129&amp;R1129&amp;IF(LEN(S1129)=0,"",Preferences!$C$2&amp;S1129)&amp;IF(J1130=J1129,IF(LEN(R1129&amp;S1129)=0,"","
")&amp;T1130,""))</f>
        <v xml:space="preserve">	• Return Number (link to return detail)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29" s="122" t="str">
        <v/>
      </c>
      <c r="V1129" s="42"/>
      <c r="W1129" s="42"/>
      <c r="X1129" s="42"/>
      <c r="Y1129" s="42"/>
      <c r="Z1129" s="42"/>
      <c r="AA1129" s="42"/>
      <c r="AB1129" s="42"/>
    </row>
    <row r="1130" spans="1:28" x14ac:dyDescent="0.25">
      <c r="A1130" s="42" t="str">
        <v>1.20.2.2.2</v>
      </c>
      <c r="B1130" s="121" t="str">
        <v>Return Date (date-time return request was submitted)</v>
      </c>
      <c r="C1130" s="41">
        <v>5</v>
      </c>
      <c r="D1130" s="41" t="str">
        <v>RL</v>
      </c>
      <c r="E1130" s="117" t="str">
        <f t="shared" si="0"/>
        <v>RL</v>
      </c>
      <c r="F1130" s="41" t="str">
        <v/>
      </c>
      <c r="G1130" s="41" t="str">
        <v/>
      </c>
      <c r="H1130" s="117">
        <f t="shared" si="1"/>
        <v>0</v>
      </c>
      <c r="I1130" s="117">
        <f t="shared" si="2"/>
        <v>20</v>
      </c>
      <c r="J1130" s="117">
        <f t="shared" si="3"/>
        <v>20.020000000000003</v>
      </c>
      <c r="K1130" s="117" t="str">
        <f t="shared" si="4"/>
        <v>BR</v>
      </c>
      <c r="L1130" s="42" t="str">
        <v>BR2002</v>
      </c>
      <c r="M1130" s="121" t="str">
        <v/>
      </c>
      <c r="N1130" s="121" t="str">
        <v/>
      </c>
      <c r="O1130" s="121" t="str">
        <v/>
      </c>
      <c r="P1130" s="121" t="str">
        <v/>
      </c>
      <c r="Q1130" s="121" t="str">
        <v/>
      </c>
      <c r="R1130" s="121" t="str">
        <v/>
      </c>
      <c r="S1130" s="121" t="str">
        <v>Return Date (date-time return request was submitted)</v>
      </c>
      <c r="T1130" s="119" t="str">
        <f>IF($C1130&lt;4,IF($C1130=3,T1131,IF($C1130=2,T$1,"")),Q1130&amp;R1130&amp;IF(LEN(S1130)=0,"",Preferences!$C$2&amp;S1130)&amp;IF(J1131=J1130,IF(LEN(R1130&amp;S1130)=0,"","
")&amp;T1131,""))</f>
        <v xml:space="preserve">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30" s="122" t="str">
        <v/>
      </c>
      <c r="V1130" s="42"/>
      <c r="W1130" s="42"/>
      <c r="X1130" s="42"/>
      <c r="Y1130" s="42"/>
      <c r="Z1130" s="42"/>
      <c r="AA1130" s="42"/>
      <c r="AB1130" s="42"/>
    </row>
    <row r="1131" spans="1:28" x14ac:dyDescent="0.25">
      <c r="A1131" s="42" t="str">
        <v>1.20.2.2.3</v>
      </c>
      <c r="B1131" s="121" t="str">
        <v>Return Status (pending, approved, collecting, return, completed)</v>
      </c>
      <c r="C1131" s="41">
        <v>5</v>
      </c>
      <c r="D1131" s="41" t="str">
        <v>RL</v>
      </c>
      <c r="E1131" s="117" t="str">
        <f t="shared" si="0"/>
        <v>RL</v>
      </c>
      <c r="F1131" s="41" t="str">
        <v/>
      </c>
      <c r="G1131" s="41" t="str">
        <v/>
      </c>
      <c r="H1131" s="117">
        <f t="shared" si="1"/>
        <v>0</v>
      </c>
      <c r="I1131" s="117">
        <f t="shared" si="2"/>
        <v>20</v>
      </c>
      <c r="J1131" s="117">
        <f t="shared" si="3"/>
        <v>20.020000000000003</v>
      </c>
      <c r="K1131" s="117" t="str">
        <f t="shared" si="4"/>
        <v>BR</v>
      </c>
      <c r="L1131" s="42" t="str">
        <v>BR2002</v>
      </c>
      <c r="M1131" s="121" t="str">
        <v/>
      </c>
      <c r="N1131" s="121" t="str">
        <v/>
      </c>
      <c r="O1131" s="121" t="str">
        <v/>
      </c>
      <c r="P1131" s="121" t="str">
        <v/>
      </c>
      <c r="Q1131" s="121" t="str">
        <v/>
      </c>
      <c r="R1131" s="121" t="str">
        <v/>
      </c>
      <c r="S1131" s="121" t="str">
        <v>Return Status (pending, approved, collecting, return, completed)</v>
      </c>
      <c r="T1131" s="119" t="str">
        <f>IF($C1131&lt;4,IF($C1131=3,T1132,IF($C1131=2,T$1,"")),Q1131&amp;R1131&amp;IF(LEN(S1131)=0,"",Preferences!$C$2&amp;S1131)&amp;IF(J1132=J1131,IF(LEN(R1131&amp;S1131)=0,"","
")&amp;T1132,""))</f>
        <v xml:space="preserve">	• Return Status (pending, approved, collecting, return, completed)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31" s="122" t="str">
        <v/>
      </c>
      <c r="V1131" s="42"/>
      <c r="W1131" s="42"/>
      <c r="X1131" s="42"/>
      <c r="Y1131" s="42"/>
      <c r="Z1131" s="42"/>
      <c r="AA1131" s="42"/>
      <c r="AB1131" s="42"/>
    </row>
    <row r="1132" spans="1:28" x14ac:dyDescent="0.25">
      <c r="A1132" s="42" t="str">
        <v>1.20.2.2.4</v>
      </c>
      <c r="B1132" s="121" t="str">
        <v>Return Value (total value of return)</v>
      </c>
      <c r="C1132" s="41">
        <v>5</v>
      </c>
      <c r="D1132" s="41" t="str">
        <v>RL</v>
      </c>
      <c r="E1132" s="117" t="str">
        <f t="shared" si="0"/>
        <v>RL</v>
      </c>
      <c r="F1132" s="41" t="str">
        <v/>
      </c>
      <c r="G1132" s="41" t="str">
        <v/>
      </c>
      <c r="H1132" s="117">
        <f t="shared" si="1"/>
        <v>0</v>
      </c>
      <c r="I1132" s="117">
        <f t="shared" si="2"/>
        <v>20</v>
      </c>
      <c r="J1132" s="117">
        <f t="shared" si="3"/>
        <v>20.020000000000003</v>
      </c>
      <c r="K1132" s="117" t="str">
        <f t="shared" si="4"/>
        <v>BR</v>
      </c>
      <c r="L1132" s="42" t="str">
        <v>BR2002</v>
      </c>
      <c r="M1132" s="121" t="str">
        <v/>
      </c>
      <c r="N1132" s="121" t="str">
        <v/>
      </c>
      <c r="O1132" s="121" t="str">
        <v/>
      </c>
      <c r="P1132" s="121" t="str">
        <v/>
      </c>
      <c r="Q1132" s="121" t="str">
        <v/>
      </c>
      <c r="R1132" s="121" t="str">
        <v/>
      </c>
      <c r="S1132" s="121" t="str">
        <v>Return Value (total value of return)</v>
      </c>
      <c r="T1132" s="119" t="str">
        <f>IF($C1132&lt;4,IF($C1132=3,T1133,IF($C1132=2,T$1,"")),Q1132&amp;R1132&amp;IF(LEN(S1132)=0,"",Preferences!$C$2&amp;S1132)&amp;IF(J1133=J1132,IF(LEN(R1132&amp;S1132)=0,"","
")&amp;T1133,""))</f>
        <v xml:space="preserve">	• Return Value (total value of return)
	• Number of items in return
	• Collection address (name of chosen delivery address)
	• For a return in the collecting status, present the expected collection date
	• View icon (link to return detail)
	• Enquire icon (link to submit an enquiry, linked to the given return)</v>
      </c>
      <c r="U1132" s="122" t="str">
        <v/>
      </c>
      <c r="V1132" s="42"/>
      <c r="W1132" s="42"/>
      <c r="X1132" s="42"/>
      <c r="Y1132" s="42"/>
      <c r="Z1132" s="42"/>
      <c r="AA1132" s="42"/>
      <c r="AB1132" s="42"/>
    </row>
    <row r="1133" spans="1:28" x14ac:dyDescent="0.25">
      <c r="A1133" s="42" t="str">
        <v>1.20.2.2.5</v>
      </c>
      <c r="B1133" s="121" t="str">
        <v>Number of items in return</v>
      </c>
      <c r="C1133" s="41">
        <v>5</v>
      </c>
      <c r="D1133" s="41" t="str">
        <v>RL</v>
      </c>
      <c r="E1133" s="117" t="str">
        <f t="shared" si="0"/>
        <v>RL</v>
      </c>
      <c r="F1133" s="41" t="str">
        <v/>
      </c>
      <c r="G1133" s="41" t="str">
        <v/>
      </c>
      <c r="H1133" s="117">
        <f t="shared" si="1"/>
        <v>0</v>
      </c>
      <c r="I1133" s="117">
        <f t="shared" si="2"/>
        <v>20</v>
      </c>
      <c r="J1133" s="117">
        <f t="shared" si="3"/>
        <v>20.020000000000003</v>
      </c>
      <c r="K1133" s="117" t="str">
        <f t="shared" si="4"/>
        <v>BR</v>
      </c>
      <c r="L1133" s="42" t="str">
        <v>BR2002</v>
      </c>
      <c r="M1133" s="121" t="str">
        <v/>
      </c>
      <c r="N1133" s="121" t="str">
        <v/>
      </c>
      <c r="O1133" s="121" t="str">
        <v/>
      </c>
      <c r="P1133" s="121" t="str">
        <v/>
      </c>
      <c r="Q1133" s="121" t="str">
        <v/>
      </c>
      <c r="R1133" s="121" t="str">
        <v/>
      </c>
      <c r="S1133" s="121" t="str">
        <v>Number of items in return</v>
      </c>
      <c r="T1133" s="119" t="str">
        <f>IF($C1133&lt;4,IF($C1133=3,T1134,IF($C1133=2,T$1,"")),Q1133&amp;R1133&amp;IF(LEN(S1133)=0,"",Preferences!$C$2&amp;S1133)&amp;IF(J1134=J1133,IF(LEN(R1133&amp;S1133)=0,"","
")&amp;T1134,""))</f>
        <v xml:space="preserve">	• Number of items in return
	• Collection address (name of chosen delivery address)
	• For a return in the collecting status, present the expected collection date
	• View icon (link to return detail)
	• Enquire icon (link to submit an enquiry, linked to the given return)</v>
      </c>
      <c r="U1133" s="122" t="str">
        <v/>
      </c>
      <c r="V1133" s="42"/>
      <c r="W1133" s="42"/>
      <c r="X1133" s="42"/>
      <c r="Y1133" s="42"/>
      <c r="Z1133" s="42"/>
      <c r="AA1133" s="42"/>
      <c r="AB1133" s="42"/>
    </row>
    <row r="1134" spans="1:28" x14ac:dyDescent="0.25">
      <c r="A1134" s="42" t="str">
        <v>1.20.2.2.6</v>
      </c>
      <c r="B1134" s="121" t="str">
        <v>Collection address (name of chosen delivery address)</v>
      </c>
      <c r="C1134" s="41">
        <v>5</v>
      </c>
      <c r="D1134" s="41" t="str">
        <v>RL</v>
      </c>
      <c r="E1134" s="117" t="str">
        <f t="shared" si="0"/>
        <v>RL</v>
      </c>
      <c r="F1134" s="41" t="str">
        <v/>
      </c>
      <c r="G1134" s="41" t="str">
        <v/>
      </c>
      <c r="H1134" s="117">
        <f t="shared" si="1"/>
        <v>0</v>
      </c>
      <c r="I1134" s="117">
        <f t="shared" si="2"/>
        <v>20</v>
      </c>
      <c r="J1134" s="117">
        <f t="shared" si="3"/>
        <v>20.020000000000003</v>
      </c>
      <c r="K1134" s="117" t="str">
        <f t="shared" si="4"/>
        <v>BR</v>
      </c>
      <c r="L1134" s="42" t="str">
        <v>BR2002</v>
      </c>
      <c r="M1134" s="121" t="str">
        <v/>
      </c>
      <c r="N1134" s="121" t="str">
        <v/>
      </c>
      <c r="O1134" s="121" t="str">
        <v/>
      </c>
      <c r="P1134" s="121" t="str">
        <v/>
      </c>
      <c r="Q1134" s="121" t="str">
        <v/>
      </c>
      <c r="R1134" s="121" t="str">
        <v/>
      </c>
      <c r="S1134" s="121" t="str">
        <v>Collection address (name of chosen delivery address)</v>
      </c>
      <c r="T1134" s="119" t="str">
        <f>IF($C1134&lt;4,IF($C1134=3,T1135,IF($C1134=2,T$1,"")),Q1134&amp;R1134&amp;IF(LEN(S1134)=0,"",Preferences!$C$2&amp;S1134)&amp;IF(J1135=J1134,IF(LEN(R1134&amp;S1134)=0,"","
")&amp;T1135,""))</f>
        <v xml:space="preserve">	• Collection address (name of chosen delivery address)
	• For a return in the collecting status, present the expected collection date
	• View icon (link to return detail)
	• Enquire icon (link to submit an enquiry, linked to the given return)</v>
      </c>
      <c r="U1134" s="122" t="str">
        <v/>
      </c>
      <c r="V1134" s="42"/>
      <c r="W1134" s="42"/>
      <c r="X1134" s="42"/>
      <c r="Y1134" s="42"/>
      <c r="Z1134" s="42"/>
      <c r="AA1134" s="42"/>
      <c r="AB1134" s="42"/>
    </row>
    <row r="1135" spans="1:28" x14ac:dyDescent="0.25">
      <c r="A1135" s="42" t="str">
        <v>1.20.2.2.7</v>
      </c>
      <c r="B1135" s="121" t="str">
        <v>For a return in the collecting status, present the expected collection date</v>
      </c>
      <c r="C1135" s="41">
        <v>5</v>
      </c>
      <c r="D1135" s="41" t="str">
        <v>RL</v>
      </c>
      <c r="E1135" s="117" t="str">
        <f t="shared" si="0"/>
        <v>RL</v>
      </c>
      <c r="F1135" s="41" t="str">
        <v/>
      </c>
      <c r="G1135" s="41" t="str">
        <v/>
      </c>
      <c r="H1135" s="117">
        <f t="shared" si="1"/>
        <v>0</v>
      </c>
      <c r="I1135" s="117">
        <f t="shared" si="2"/>
        <v>20</v>
      </c>
      <c r="J1135" s="117">
        <f t="shared" si="3"/>
        <v>20.020000000000003</v>
      </c>
      <c r="K1135" s="117" t="str">
        <f t="shared" si="4"/>
        <v>BR</v>
      </c>
      <c r="L1135" s="42" t="str">
        <v>BR2002</v>
      </c>
      <c r="M1135" s="121" t="str">
        <v/>
      </c>
      <c r="N1135" s="121" t="str">
        <v/>
      </c>
      <c r="O1135" s="121" t="str">
        <v/>
      </c>
      <c r="P1135" s="121" t="str">
        <v/>
      </c>
      <c r="Q1135" s="121" t="str">
        <v/>
      </c>
      <c r="R1135" s="121" t="str">
        <v/>
      </c>
      <c r="S1135" s="121" t="str">
        <v>For a return in the collecting status, present the expected collection date</v>
      </c>
      <c r="T1135" s="119" t="str">
        <f>IF($C1135&lt;4,IF($C1135=3,T1136,IF($C1135=2,T$1,"")),Q1135&amp;R1135&amp;IF(LEN(S1135)=0,"",Preferences!$C$2&amp;S1135)&amp;IF(J1136=J1135,IF(LEN(R1135&amp;S1135)=0,"","
")&amp;T1136,""))</f>
        <v xml:space="preserve">	• For a return in the collecting status, present the expected collection date
	• View icon (link to return detail)
	• Enquire icon (link to submit an enquiry, linked to the given return)</v>
      </c>
      <c r="U1135" s="122" t="str">
        <v/>
      </c>
      <c r="V1135" s="42"/>
      <c r="W1135" s="42"/>
      <c r="X1135" s="42"/>
      <c r="Y1135" s="42"/>
      <c r="Z1135" s="42"/>
      <c r="AA1135" s="42"/>
      <c r="AB1135" s="42"/>
    </row>
    <row r="1136" spans="1:28" x14ac:dyDescent="0.25">
      <c r="A1136" s="42" t="str">
        <v>1.20.2.2.8</v>
      </c>
      <c r="B1136" s="121" t="str">
        <v>View icon (link to return detail)</v>
      </c>
      <c r="C1136" s="41">
        <v>5</v>
      </c>
      <c r="D1136" s="41" t="str">
        <v>RL</v>
      </c>
      <c r="E1136" s="117" t="str">
        <f t="shared" si="0"/>
        <v>RL</v>
      </c>
      <c r="F1136" s="41" t="str">
        <v/>
      </c>
      <c r="G1136" s="41" t="str">
        <v/>
      </c>
      <c r="H1136" s="117">
        <f t="shared" si="1"/>
        <v>0</v>
      </c>
      <c r="I1136" s="117">
        <f t="shared" si="2"/>
        <v>20</v>
      </c>
      <c r="J1136" s="117">
        <f t="shared" si="3"/>
        <v>20.020000000000003</v>
      </c>
      <c r="K1136" s="117" t="str">
        <f t="shared" si="4"/>
        <v>BR</v>
      </c>
      <c r="L1136" s="42" t="str">
        <v>BR2002</v>
      </c>
      <c r="M1136" s="121" t="str">
        <v/>
      </c>
      <c r="N1136" s="121" t="str">
        <v/>
      </c>
      <c r="O1136" s="121" t="str">
        <v/>
      </c>
      <c r="P1136" s="121" t="str">
        <v/>
      </c>
      <c r="Q1136" s="121" t="str">
        <v/>
      </c>
      <c r="R1136" s="121" t="str">
        <v/>
      </c>
      <c r="S1136" s="121" t="str">
        <v>View icon (link to return detail)</v>
      </c>
      <c r="T1136" s="119" t="str">
        <f>IF($C1136&lt;4,IF($C1136=3,T1137,IF($C1136=2,T$1,"")),Q1136&amp;R1136&amp;IF(LEN(S1136)=0,"",Preferences!$C$2&amp;S1136)&amp;IF(J1137=J1136,IF(LEN(R1136&amp;S1136)=0,"","
")&amp;T1137,""))</f>
        <v xml:space="preserve">	• View icon (link to return detail)
	• Enquire icon (link to submit an enquiry, linked to the given return)</v>
      </c>
      <c r="U1136" s="122" t="str">
        <v/>
      </c>
      <c r="V1136" s="42"/>
      <c r="W1136" s="42"/>
      <c r="X1136" s="42"/>
      <c r="Y1136" s="42"/>
      <c r="Z1136" s="42"/>
      <c r="AA1136" s="42"/>
      <c r="AB1136" s="42"/>
    </row>
    <row r="1137" spans="1:28" x14ac:dyDescent="0.25">
      <c r="A1137" s="42" t="str">
        <v>1.20.2.2.9</v>
      </c>
      <c r="B1137" s="121" t="str">
        <v>Enquire icon (link to submit an enquiry, linked to the given return)</v>
      </c>
      <c r="C1137" s="41">
        <v>5</v>
      </c>
      <c r="D1137" s="41" t="str">
        <v>RL</v>
      </c>
      <c r="E1137" s="117" t="str">
        <f t="shared" si="0"/>
        <v>RL</v>
      </c>
      <c r="F1137" s="41" t="str">
        <v/>
      </c>
      <c r="G1137" s="41" t="str">
        <v/>
      </c>
      <c r="H1137" s="117">
        <f t="shared" si="1"/>
        <v>0</v>
      </c>
      <c r="I1137" s="117">
        <f t="shared" si="2"/>
        <v>20</v>
      </c>
      <c r="J1137" s="117">
        <f t="shared" si="3"/>
        <v>20.020000000000003</v>
      </c>
      <c r="K1137" s="117" t="str">
        <f t="shared" si="4"/>
        <v>BR</v>
      </c>
      <c r="L1137" s="42" t="str">
        <v>BR2002</v>
      </c>
      <c r="M1137" s="121" t="str">
        <v/>
      </c>
      <c r="N1137" s="121" t="str">
        <v/>
      </c>
      <c r="O1137" s="121" t="str">
        <v/>
      </c>
      <c r="P1137" s="121" t="str">
        <v/>
      </c>
      <c r="Q1137" s="121" t="str">
        <v/>
      </c>
      <c r="R1137" s="121" t="str">
        <v/>
      </c>
      <c r="S1137" s="121" t="str">
        <v>Enquire icon (link to submit an enquiry, linked to the given return)</v>
      </c>
      <c r="T1137" s="119" t="str">
        <f>IF($C1137&lt;4,IF($C1137=3,T1138,IF($C1137=2,T$1,"")),Q1137&amp;R1137&amp;IF(LEN(S1137)=0,"",Preferences!$C$2&amp;S1137)&amp;IF(J1138=J1137,IF(LEN(R1137&amp;S1137)=0,"","
")&amp;T1138,""))</f>
        <v xml:space="preserve">	• Enquire icon (link to submit an enquiry, linked to the given return)</v>
      </c>
      <c r="U1137" s="122" t="str">
        <v/>
      </c>
      <c r="V1137" s="42"/>
      <c r="W1137" s="42"/>
      <c r="X1137" s="42"/>
      <c r="Y1137" s="42"/>
      <c r="Z1137" s="42"/>
      <c r="AA1137" s="42"/>
      <c r="AB1137" s="42"/>
    </row>
    <row r="1138" spans="1:28" x14ac:dyDescent="0.25">
      <c r="A1138" s="42" t="str">
        <v>1.20.3</v>
      </c>
      <c r="B1138" s="121" t="str">
        <v>20.3 View return request</v>
      </c>
      <c r="C1138" s="41">
        <v>3</v>
      </c>
      <c r="D1138" s="41" t="str">
        <v>R</v>
      </c>
      <c r="E1138" s="117" t="str">
        <f t="shared" si="0"/>
        <v>R</v>
      </c>
      <c r="F1138" s="41" t="str">
        <v/>
      </c>
      <c r="G1138" s="41" t="str">
        <v/>
      </c>
      <c r="H1138" s="117">
        <f t="shared" si="1"/>
        <v>0</v>
      </c>
      <c r="I1138" s="117">
        <f t="shared" si="2"/>
        <v>20</v>
      </c>
      <c r="J1138" s="117">
        <f t="shared" si="3"/>
        <v>20.030000000000005</v>
      </c>
      <c r="K1138" s="117" t="str">
        <f t="shared" si="4"/>
        <v>BR</v>
      </c>
      <c r="L1138" s="42" t="str">
        <v>BR2003</v>
      </c>
      <c r="M1138" s="121" t="str">
        <v/>
      </c>
      <c r="N1138" s="121" t="str">
        <v/>
      </c>
      <c r="O1138" s="121" t="str">
        <v>BR2003</v>
      </c>
      <c r="P1138" s="121" t="str">
        <v>View return request</v>
      </c>
      <c r="Q1138" s="121" t="str">
        <v/>
      </c>
      <c r="R1138" s="121" t="str">
        <v/>
      </c>
      <c r="S1138" s="121" t="str">
        <v/>
      </c>
      <c r="T1138" s="119" t="str">
        <f>IF($C1138&lt;4,IF($C1138=3,T1139,IF($C1138=2,T$1,"")),Q1138&amp;R1138&amp;IF(LEN(S1138)=0,"",Preferences!$C$2&amp;S1138)&amp;IF(J1139=J1138,IF(LEN(R1138&amp;S1138)=0,"","
")&amp;T1139,""))</f>
        <v xml:space="preserve"> 1. Present at least the following for the selected return requests:
	• Return Number (link to return detail)
	• Original Order Number (link to order to which the return applies)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38" s="122" t="str">
        <v/>
      </c>
      <c r="V1138" s="42"/>
      <c r="W1138" s="42"/>
      <c r="X1138" s="42"/>
      <c r="Y1138" s="42"/>
      <c r="Z1138" s="42"/>
      <c r="AA1138" s="42"/>
      <c r="AB1138" s="42"/>
    </row>
    <row r="1139" spans="1:28" x14ac:dyDescent="0.25">
      <c r="A1139" s="42" t="str">
        <v>1.20.3.1</v>
      </c>
      <c r="B1139" s="121" t="str">
        <v>Present at least the following for the selected return requests:</v>
      </c>
      <c r="C1139" s="41">
        <v>4</v>
      </c>
      <c r="D1139" s="41" t="str">
        <v>RD</v>
      </c>
      <c r="E1139" s="117" t="str">
        <f t="shared" si="0"/>
        <v>RD</v>
      </c>
      <c r="F1139" s="41" t="str">
        <v/>
      </c>
      <c r="G1139" s="41" t="str">
        <v/>
      </c>
      <c r="H1139" s="117">
        <f t="shared" si="1"/>
        <v>0</v>
      </c>
      <c r="I1139" s="117">
        <f t="shared" si="2"/>
        <v>20</v>
      </c>
      <c r="J1139" s="117">
        <f t="shared" si="3"/>
        <v>20.030000000000005</v>
      </c>
      <c r="K1139" s="117" t="str">
        <f t="shared" si="4"/>
        <v>BR</v>
      </c>
      <c r="L1139" s="42" t="str">
        <v>BR2003</v>
      </c>
      <c r="M1139" s="121" t="str">
        <v/>
      </c>
      <c r="N1139" s="121" t="str">
        <v/>
      </c>
      <c r="O1139" s="121" t="str">
        <v/>
      </c>
      <c r="P1139" s="121" t="str">
        <v/>
      </c>
      <c r="Q1139" s="121" t="str">
        <v xml:space="preserve"> 1. </v>
      </c>
      <c r="R1139" s="121" t="str">
        <v>Present at least the following for the selected return requests:</v>
      </c>
      <c r="S1139" s="121" t="str">
        <v/>
      </c>
      <c r="T1139" s="119" t="str">
        <f>IF($C1139&lt;4,IF($C1139=3,T1140,IF($C1139=2,T$1,"")),Q1139&amp;R1139&amp;IF(LEN(S1139)=0,"",Preferences!$C$2&amp;S1139)&amp;IF(J1140=J1139,IF(LEN(R1139&amp;S1139)=0,"","
")&amp;T1140,""))</f>
        <v xml:space="preserve"> 1. Present at least the following for the selected return requests:
	• Return Number (link to return detail)
	• Original Order Number (link to order to which the return applies)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39" s="122" t="str">
        <v/>
      </c>
      <c r="V1139" s="42"/>
      <c r="W1139" s="42"/>
      <c r="X1139" s="42"/>
      <c r="Y1139" s="42"/>
      <c r="Z1139" s="42"/>
      <c r="AA1139" s="42"/>
      <c r="AB1139" s="42"/>
    </row>
    <row r="1140" spans="1:28" x14ac:dyDescent="0.25">
      <c r="A1140" s="42" t="str">
        <v>1.20.3.1.1</v>
      </c>
      <c r="B1140" s="121" t="str">
        <v>Return Number (link to return detail)</v>
      </c>
      <c r="C1140" s="41">
        <v>5</v>
      </c>
      <c r="D1140" s="41" t="str">
        <v>RL</v>
      </c>
      <c r="E1140" s="117" t="str">
        <f t="shared" si="0"/>
        <v>RL</v>
      </c>
      <c r="F1140" s="41" t="str">
        <v/>
      </c>
      <c r="G1140" s="41" t="str">
        <v/>
      </c>
      <c r="H1140" s="117">
        <f t="shared" si="1"/>
        <v>0</v>
      </c>
      <c r="I1140" s="117">
        <f t="shared" si="2"/>
        <v>20</v>
      </c>
      <c r="J1140" s="117">
        <f t="shared" si="3"/>
        <v>20.030000000000005</v>
      </c>
      <c r="K1140" s="117" t="str">
        <f t="shared" si="4"/>
        <v>BR</v>
      </c>
      <c r="L1140" s="42" t="str">
        <v>BR2003</v>
      </c>
      <c r="M1140" s="121" t="str">
        <v/>
      </c>
      <c r="N1140" s="121" t="str">
        <v/>
      </c>
      <c r="O1140" s="121" t="str">
        <v/>
      </c>
      <c r="P1140" s="121" t="str">
        <v/>
      </c>
      <c r="Q1140" s="121" t="str">
        <v/>
      </c>
      <c r="R1140" s="121" t="str">
        <v/>
      </c>
      <c r="S1140" s="121" t="str">
        <v>Return Number (link to return detail)</v>
      </c>
      <c r="T1140" s="119" t="str">
        <f>IF($C1140&lt;4,IF($C1140=3,T1141,IF($C1140=2,T$1,"")),Q1140&amp;R1140&amp;IF(LEN(S1140)=0,"",Preferences!$C$2&amp;S1140)&amp;IF(J1141=J1140,IF(LEN(R1140&amp;S1140)=0,"","
")&amp;T1141,""))</f>
        <v xml:space="preserve">	• Return Number (link to return detail)
	• Original Order Number (link to order to which the return applies)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0" s="122" t="str">
        <v/>
      </c>
      <c r="V1140" s="42"/>
      <c r="W1140" s="42"/>
      <c r="X1140" s="42"/>
      <c r="Y1140" s="42"/>
      <c r="Z1140" s="42"/>
      <c r="AA1140" s="42"/>
      <c r="AB1140" s="42"/>
    </row>
    <row r="1141" spans="1:28" x14ac:dyDescent="0.25">
      <c r="A1141" s="42" t="str">
        <v>1.20.3.1.2</v>
      </c>
      <c r="B1141" s="121" t="str">
        <v>Original Order Number (link to order to which the return applies)</v>
      </c>
      <c r="C1141" s="41">
        <v>5</v>
      </c>
      <c r="D1141" s="41" t="str">
        <v>RL</v>
      </c>
      <c r="E1141" s="117" t="str">
        <f t="shared" si="0"/>
        <v>RL</v>
      </c>
      <c r="F1141" s="41" t="str">
        <v/>
      </c>
      <c r="G1141" s="41" t="str">
        <v/>
      </c>
      <c r="H1141" s="117">
        <f t="shared" si="1"/>
        <v>0</v>
      </c>
      <c r="I1141" s="117">
        <f t="shared" si="2"/>
        <v>20</v>
      </c>
      <c r="J1141" s="117">
        <f t="shared" si="3"/>
        <v>20.030000000000005</v>
      </c>
      <c r="K1141" s="117" t="str">
        <f t="shared" si="4"/>
        <v>BR</v>
      </c>
      <c r="L1141" s="42" t="str">
        <v>BR2003</v>
      </c>
      <c r="M1141" s="121" t="str">
        <v/>
      </c>
      <c r="N1141" s="121" t="str">
        <v/>
      </c>
      <c r="O1141" s="121" t="str">
        <v/>
      </c>
      <c r="P1141" s="121" t="str">
        <v/>
      </c>
      <c r="Q1141" s="121" t="str">
        <v/>
      </c>
      <c r="R1141" s="121" t="str">
        <v/>
      </c>
      <c r="S1141" s="121" t="str">
        <v>Original Order Number (link to order to which the return applies)</v>
      </c>
      <c r="T1141" s="119" t="str">
        <f>IF($C1141&lt;4,IF($C1141=3,T1142,IF($C1141=2,T$1,"")),Q1141&amp;R1141&amp;IF(LEN(S1141)=0,"",Preferences!$C$2&amp;S1141)&amp;IF(J1142=J1141,IF(LEN(R1141&amp;S1141)=0,"","
")&amp;T1142,""))</f>
        <v xml:space="preserve">	• Original Order Number (link to order to which the return applies)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1" s="122" t="str">
        <v/>
      </c>
      <c r="V1141" s="42"/>
      <c r="W1141" s="42"/>
      <c r="X1141" s="42"/>
      <c r="Y1141" s="42"/>
      <c r="Z1141" s="42"/>
      <c r="AA1141" s="42"/>
      <c r="AB1141" s="42"/>
    </row>
    <row r="1142" spans="1:28" x14ac:dyDescent="0.25">
      <c r="A1142" s="42" t="str">
        <v>1.20.3.1.3</v>
      </c>
      <c r="B1142" s="121" t="str">
        <v>Return Date (date-time return request was submitted)</v>
      </c>
      <c r="C1142" s="41">
        <v>5</v>
      </c>
      <c r="D1142" s="41" t="str">
        <v>RL</v>
      </c>
      <c r="E1142" s="117" t="str">
        <f t="shared" si="0"/>
        <v>RL</v>
      </c>
      <c r="F1142" s="41" t="str">
        <v/>
      </c>
      <c r="G1142" s="41" t="str">
        <v/>
      </c>
      <c r="H1142" s="117">
        <f t="shared" si="1"/>
        <v>0</v>
      </c>
      <c r="I1142" s="117">
        <f t="shared" si="2"/>
        <v>20</v>
      </c>
      <c r="J1142" s="117">
        <f t="shared" si="3"/>
        <v>20.030000000000005</v>
      </c>
      <c r="K1142" s="117" t="str">
        <f t="shared" si="4"/>
        <v>BR</v>
      </c>
      <c r="L1142" s="42" t="str">
        <v>BR2003</v>
      </c>
      <c r="M1142" s="121" t="str">
        <v/>
      </c>
      <c r="N1142" s="121" t="str">
        <v/>
      </c>
      <c r="O1142" s="121" t="str">
        <v/>
      </c>
      <c r="P1142" s="121" t="str">
        <v/>
      </c>
      <c r="Q1142" s="121" t="str">
        <v/>
      </c>
      <c r="R1142" s="121" t="str">
        <v/>
      </c>
      <c r="S1142" s="121" t="str">
        <v>Return Date (date-time return request was submitted)</v>
      </c>
      <c r="T1142" s="119" t="str">
        <f>IF($C1142&lt;4,IF($C1142=3,T1143,IF($C1142=2,T$1,"")),Q1142&amp;R1142&amp;IF(LEN(S1142)=0,"",Preferences!$C$2&amp;S1142)&amp;IF(J1143=J1142,IF(LEN(R1142&amp;S1142)=0,"","
")&amp;T1143,""))</f>
        <v xml:space="preserve">	• Return Date (date-time return request was submitted)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2" s="122" t="str">
        <v/>
      </c>
      <c r="V1142" s="42"/>
      <c r="W1142" s="42"/>
      <c r="X1142" s="42"/>
      <c r="Y1142" s="42"/>
      <c r="Z1142" s="42"/>
      <c r="AA1142" s="42"/>
      <c r="AB1142" s="42"/>
    </row>
    <row r="1143" spans="1:28" x14ac:dyDescent="0.25">
      <c r="A1143" s="42" t="str">
        <v>1.20.3.1.4</v>
      </c>
      <c r="B1143" s="121" t="str">
        <v>Return Status (pending, approved, collecting, return, completed)</v>
      </c>
      <c r="C1143" s="41">
        <v>5</v>
      </c>
      <c r="D1143" s="41" t="str">
        <v>RL</v>
      </c>
      <c r="E1143" s="117" t="str">
        <f t="shared" si="0"/>
        <v>RL</v>
      </c>
      <c r="F1143" s="41" t="str">
        <v/>
      </c>
      <c r="G1143" s="41" t="str">
        <v/>
      </c>
      <c r="H1143" s="117">
        <f t="shared" si="1"/>
        <v>0</v>
      </c>
      <c r="I1143" s="117">
        <f t="shared" si="2"/>
        <v>20</v>
      </c>
      <c r="J1143" s="117">
        <f t="shared" si="3"/>
        <v>20.030000000000005</v>
      </c>
      <c r="K1143" s="117" t="str">
        <f t="shared" si="4"/>
        <v>BR</v>
      </c>
      <c r="L1143" s="42" t="str">
        <v>BR2003</v>
      </c>
      <c r="M1143" s="121" t="str">
        <v/>
      </c>
      <c r="N1143" s="121" t="str">
        <v/>
      </c>
      <c r="O1143" s="121" t="str">
        <v/>
      </c>
      <c r="P1143" s="121" t="str">
        <v/>
      </c>
      <c r="Q1143" s="121" t="str">
        <v/>
      </c>
      <c r="R1143" s="121" t="str">
        <v/>
      </c>
      <c r="S1143" s="121" t="str">
        <v>Return Status (pending, approved, collecting, return, completed)</v>
      </c>
      <c r="T1143" s="119" t="str">
        <f>IF($C1143&lt;4,IF($C1143=3,T1144,IF($C1143=2,T$1,"")),Q1143&amp;R1143&amp;IF(LEN(S1143)=0,"",Preferences!$C$2&amp;S1143)&amp;IF(J1144=J1143,IF(LEN(R1143&amp;S1143)=0,"","
")&amp;T1144,""))</f>
        <v xml:space="preserve">	• Return Status (pending, approved, collecting, return, completed)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3" s="122" t="str">
        <v/>
      </c>
      <c r="V1143" s="42"/>
      <c r="W1143" s="42"/>
      <c r="X1143" s="42"/>
      <c r="Y1143" s="42"/>
      <c r="Z1143" s="42"/>
      <c r="AA1143" s="42"/>
      <c r="AB1143" s="42"/>
    </row>
    <row r="1144" spans="1:28" x14ac:dyDescent="0.25">
      <c r="A1144" s="42" t="str">
        <v>1.20.3.1.5</v>
      </c>
      <c r="B1144" s="121" t="str">
        <v>Return Value (total value of return)</v>
      </c>
      <c r="C1144" s="41">
        <v>5</v>
      </c>
      <c r="D1144" s="41" t="str">
        <v>RL</v>
      </c>
      <c r="E1144" s="117" t="str">
        <f t="shared" si="0"/>
        <v>RL</v>
      </c>
      <c r="F1144" s="41" t="str">
        <v/>
      </c>
      <c r="G1144" s="41" t="str">
        <v/>
      </c>
      <c r="H1144" s="117">
        <f t="shared" si="1"/>
        <v>0</v>
      </c>
      <c r="I1144" s="117">
        <f t="shared" si="2"/>
        <v>20</v>
      </c>
      <c r="J1144" s="117">
        <f t="shared" si="3"/>
        <v>20.030000000000005</v>
      </c>
      <c r="K1144" s="117" t="str">
        <f t="shared" si="4"/>
        <v>BR</v>
      </c>
      <c r="L1144" s="42" t="str">
        <v>BR2003</v>
      </c>
      <c r="M1144" s="121" t="str">
        <v/>
      </c>
      <c r="N1144" s="121" t="str">
        <v/>
      </c>
      <c r="O1144" s="121" t="str">
        <v/>
      </c>
      <c r="P1144" s="121" t="str">
        <v/>
      </c>
      <c r="Q1144" s="121" t="str">
        <v/>
      </c>
      <c r="R1144" s="121" t="str">
        <v/>
      </c>
      <c r="S1144" s="121" t="str">
        <v>Return Value (total value of return)</v>
      </c>
      <c r="T1144" s="119" t="str">
        <f>IF($C1144&lt;4,IF($C1144=3,T1145,IF($C1144=2,T$1,"")),Q1144&amp;R1144&amp;IF(LEN(S1144)=0,"",Preferences!$C$2&amp;S1144)&amp;IF(J1145=J1144,IF(LEN(R1144&amp;S1144)=0,"","
")&amp;T1145,""))</f>
        <v xml:space="preserve">	• Return Value (total value of return)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4" s="122" t="str">
        <v/>
      </c>
      <c r="V1144" s="42"/>
      <c r="W1144" s="42"/>
      <c r="X1144" s="42"/>
      <c r="Y1144" s="42"/>
      <c r="Z1144" s="42"/>
      <c r="AA1144" s="42"/>
      <c r="AB1144" s="42"/>
    </row>
    <row r="1145" spans="1:28" x14ac:dyDescent="0.25">
      <c r="A1145" s="42" t="str">
        <v>1.20.3.1.6</v>
      </c>
      <c r="B1145" s="121" t="str">
        <v>Number of items in return</v>
      </c>
      <c r="C1145" s="41">
        <v>5</v>
      </c>
      <c r="D1145" s="41" t="str">
        <v>RL</v>
      </c>
      <c r="E1145" s="117" t="str">
        <f t="shared" si="0"/>
        <v>RL</v>
      </c>
      <c r="F1145" s="41" t="str">
        <v/>
      </c>
      <c r="G1145" s="41" t="str">
        <v/>
      </c>
      <c r="H1145" s="117">
        <f t="shared" si="1"/>
        <v>0</v>
      </c>
      <c r="I1145" s="117">
        <f t="shared" si="2"/>
        <v>20</v>
      </c>
      <c r="J1145" s="117">
        <f t="shared" si="3"/>
        <v>20.030000000000005</v>
      </c>
      <c r="K1145" s="117" t="str">
        <f t="shared" si="4"/>
        <v>BR</v>
      </c>
      <c r="L1145" s="42" t="str">
        <v>BR2003</v>
      </c>
      <c r="M1145" s="121" t="str">
        <v/>
      </c>
      <c r="N1145" s="121" t="str">
        <v/>
      </c>
      <c r="O1145" s="121" t="str">
        <v/>
      </c>
      <c r="P1145" s="121" t="str">
        <v/>
      </c>
      <c r="Q1145" s="121" t="str">
        <v/>
      </c>
      <c r="R1145" s="121" t="str">
        <v/>
      </c>
      <c r="S1145" s="121" t="str">
        <v>Number of items in return</v>
      </c>
      <c r="T1145" s="119" t="str">
        <f>IF($C1145&lt;4,IF($C1145=3,T1146,IF($C1145=2,T$1,"")),Q1145&amp;R1145&amp;IF(LEN(S1145)=0,"",Preferences!$C$2&amp;S1145)&amp;IF(J1146=J1145,IF(LEN(R1145&amp;S1145)=0,"","
")&amp;T1146,""))</f>
        <v xml:space="preserve">	• Number of items in return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5" s="122" t="str">
        <v/>
      </c>
      <c r="V1145" s="42"/>
      <c r="W1145" s="42"/>
      <c r="X1145" s="42"/>
      <c r="Y1145" s="42"/>
      <c r="Z1145" s="42"/>
      <c r="AA1145" s="42"/>
      <c r="AB1145" s="42"/>
    </row>
    <row r="1146" spans="1:28" x14ac:dyDescent="0.25">
      <c r="A1146" s="42" t="str">
        <v>1.20.3.1.7</v>
      </c>
      <c r="B1146" s="121" t="str">
        <v>Collection address (name of chosen delivery address)</v>
      </c>
      <c r="C1146" s="41">
        <v>5</v>
      </c>
      <c r="D1146" s="41" t="str">
        <v>RL</v>
      </c>
      <c r="E1146" s="117" t="str">
        <f t="shared" si="0"/>
        <v>RL</v>
      </c>
      <c r="F1146" s="41" t="str">
        <v/>
      </c>
      <c r="G1146" s="41" t="str">
        <v/>
      </c>
      <c r="H1146" s="117">
        <f t="shared" si="1"/>
        <v>0</v>
      </c>
      <c r="I1146" s="117">
        <f t="shared" si="2"/>
        <v>20</v>
      </c>
      <c r="J1146" s="117">
        <f t="shared" si="3"/>
        <v>20.030000000000005</v>
      </c>
      <c r="K1146" s="117" t="str">
        <f t="shared" si="4"/>
        <v>BR</v>
      </c>
      <c r="L1146" s="42" t="str">
        <v>BR2003</v>
      </c>
      <c r="M1146" s="121" t="str">
        <v/>
      </c>
      <c r="N1146" s="121" t="str">
        <v/>
      </c>
      <c r="O1146" s="121" t="str">
        <v/>
      </c>
      <c r="P1146" s="121" t="str">
        <v/>
      </c>
      <c r="Q1146" s="121" t="str">
        <v/>
      </c>
      <c r="R1146" s="121" t="str">
        <v/>
      </c>
      <c r="S1146" s="121" t="str">
        <v>Collection address (name of chosen delivery address)</v>
      </c>
      <c r="T1146" s="119" t="str">
        <f>IF($C1146&lt;4,IF($C1146=3,T1147,IF($C1146=2,T$1,"")),Q1146&amp;R1146&amp;IF(LEN(S1146)=0,"",Preferences!$C$2&amp;S1146)&amp;IF(J1147=J1146,IF(LEN(R1146&amp;S1146)=0,"","
")&amp;T1147,""))</f>
        <v xml:space="preserve">	• Collection address (name of chosen delivery address)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6" s="122" t="str">
        <v/>
      </c>
      <c r="V1146" s="42"/>
      <c r="W1146" s="42"/>
      <c r="X1146" s="42"/>
      <c r="Y1146" s="42"/>
      <c r="Z1146" s="42"/>
      <c r="AA1146" s="42"/>
      <c r="AB1146" s="42"/>
    </row>
    <row r="1147" spans="1:28" x14ac:dyDescent="0.25">
      <c r="A1147" s="42" t="str">
        <v>1.20.3.1.8</v>
      </c>
      <c r="B1147" s="121" t="str">
        <v>For a return in the collecting status, present the expected collection date</v>
      </c>
      <c r="C1147" s="41">
        <v>5</v>
      </c>
      <c r="D1147" s="41" t="str">
        <v>RL</v>
      </c>
      <c r="E1147" s="117" t="str">
        <f t="shared" si="0"/>
        <v>RL</v>
      </c>
      <c r="F1147" s="41" t="str">
        <v/>
      </c>
      <c r="G1147" s="41" t="str">
        <v/>
      </c>
      <c r="H1147" s="117">
        <f t="shared" si="1"/>
        <v>0</v>
      </c>
      <c r="I1147" s="117">
        <f t="shared" si="2"/>
        <v>20</v>
      </c>
      <c r="J1147" s="117">
        <f t="shared" si="3"/>
        <v>20.030000000000005</v>
      </c>
      <c r="K1147" s="117" t="str">
        <f t="shared" si="4"/>
        <v>BR</v>
      </c>
      <c r="L1147" s="42" t="str">
        <v>BR2003</v>
      </c>
      <c r="M1147" s="121" t="str">
        <v/>
      </c>
      <c r="N1147" s="121" t="str">
        <v/>
      </c>
      <c r="O1147" s="121" t="str">
        <v/>
      </c>
      <c r="P1147" s="121" t="str">
        <v/>
      </c>
      <c r="Q1147" s="121" t="str">
        <v/>
      </c>
      <c r="R1147" s="121" t="str">
        <v/>
      </c>
      <c r="S1147" s="121" t="str">
        <v>For a return in the collecting status, present the expected collection date</v>
      </c>
      <c r="T1147" s="119" t="str">
        <f>IF($C1147&lt;4,IF($C1147=3,T1148,IF($C1147=2,T$1,"")),Q1147&amp;R1147&amp;IF(LEN(S1147)=0,"",Preferences!$C$2&amp;S1147)&amp;IF(J1148=J1147,IF(LEN(R1147&amp;S1147)=0,"","
")&amp;T1148,""))</f>
        <v xml:space="preserve">	• For a return in the collecting status, present the expected collection date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7" s="122" t="str">
        <v/>
      </c>
      <c r="V1147" s="42"/>
      <c r="W1147" s="42"/>
      <c r="X1147" s="42"/>
      <c r="Y1147" s="42"/>
      <c r="Z1147" s="42"/>
      <c r="AA1147" s="42"/>
      <c r="AB1147" s="42"/>
    </row>
    <row r="1148" spans="1:28" x14ac:dyDescent="0.25">
      <c r="A1148" s="42" t="str">
        <v>1.20.3.1.9</v>
      </c>
      <c r="B1148" s="121" t="str">
        <v>List of products to return</v>
      </c>
      <c r="C1148" s="41">
        <v>5</v>
      </c>
      <c r="D1148" s="41" t="str">
        <v>RL</v>
      </c>
      <c r="E1148" s="117" t="str">
        <f t="shared" si="0"/>
        <v>RL</v>
      </c>
      <c r="F1148" s="41" t="str">
        <v/>
      </c>
      <c r="G1148" s="41" t="str">
        <v/>
      </c>
      <c r="H1148" s="117">
        <f t="shared" si="1"/>
        <v>0</v>
      </c>
      <c r="I1148" s="117">
        <f t="shared" si="2"/>
        <v>20</v>
      </c>
      <c r="J1148" s="117">
        <f t="shared" si="3"/>
        <v>20.030000000000005</v>
      </c>
      <c r="K1148" s="117" t="str">
        <f t="shared" si="4"/>
        <v>BR</v>
      </c>
      <c r="L1148" s="42" t="str">
        <v>BR2003</v>
      </c>
      <c r="M1148" s="121" t="str">
        <v/>
      </c>
      <c r="N1148" s="121" t="str">
        <v/>
      </c>
      <c r="O1148" s="121" t="str">
        <v/>
      </c>
      <c r="P1148" s="121" t="str">
        <v/>
      </c>
      <c r="Q1148" s="121" t="str">
        <v/>
      </c>
      <c r="R1148" s="121" t="str">
        <v/>
      </c>
      <c r="S1148" s="121" t="str">
        <v>List of products to return</v>
      </c>
      <c r="T1148" s="119" t="str">
        <f>IF($C1148&lt;4,IF($C1148=3,T1149,IF($C1148=2,T$1,"")),Q1148&amp;R1148&amp;IF(LEN(S1148)=0,"",Preferences!$C$2&amp;S1148)&amp;IF(J1149=J1148,IF(LEN(R1148&amp;S1148)=0,"","
")&amp;T1149,""))</f>
        <v xml:space="preserve">	• List of products to return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8" s="122" t="str">
        <v/>
      </c>
      <c r="V1148" s="42"/>
      <c r="W1148" s="42"/>
      <c r="X1148" s="42"/>
      <c r="Y1148" s="42"/>
      <c r="Z1148" s="42"/>
      <c r="AA1148" s="42"/>
      <c r="AB1148" s="42"/>
    </row>
    <row r="1149" spans="1:28" x14ac:dyDescent="0.25">
      <c r="A1149" s="42" t="str">
        <v>1.20.3.1.10</v>
      </c>
      <c r="B1149" s="121" t="str">
        <v>View icon (link to return detail)</v>
      </c>
      <c r="C1149" s="41">
        <v>5</v>
      </c>
      <c r="D1149" s="41" t="str">
        <v>RL</v>
      </c>
      <c r="E1149" s="117" t="str">
        <f t="shared" si="0"/>
        <v>RL</v>
      </c>
      <c r="F1149" s="41" t="str">
        <v/>
      </c>
      <c r="G1149" s="41" t="str">
        <v/>
      </c>
      <c r="H1149" s="117">
        <f t="shared" si="1"/>
        <v>0</v>
      </c>
      <c r="I1149" s="117">
        <f t="shared" si="2"/>
        <v>20</v>
      </c>
      <c r="J1149" s="117">
        <f t="shared" si="3"/>
        <v>20.030000000000005</v>
      </c>
      <c r="K1149" s="117" t="str">
        <f t="shared" si="4"/>
        <v>BR</v>
      </c>
      <c r="L1149" s="42" t="str">
        <v>BR2003</v>
      </c>
      <c r="M1149" s="121" t="str">
        <v/>
      </c>
      <c r="N1149" s="121" t="str">
        <v/>
      </c>
      <c r="O1149" s="121" t="str">
        <v/>
      </c>
      <c r="P1149" s="121" t="str">
        <v/>
      </c>
      <c r="Q1149" s="121" t="str">
        <v/>
      </c>
      <c r="R1149" s="121" t="str">
        <v/>
      </c>
      <c r="S1149" s="121" t="str">
        <v>View icon (link to return detail)</v>
      </c>
      <c r="T1149" s="119" t="str">
        <f>IF($C1149&lt;4,IF($C1149=3,T1150,IF($C1149=2,T$1,"")),Q1149&amp;R1149&amp;IF(LEN(S1149)=0,"",Preferences!$C$2&amp;S1149)&amp;IF(J1150=J1149,IF(LEN(R1149&amp;S1149)=0,"","
")&amp;T1150,""))</f>
        <v xml:space="preserve">	• View icon (link to return detail)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49" s="122" t="str">
        <v/>
      </c>
      <c r="V1149" s="42"/>
      <c r="W1149" s="42"/>
      <c r="X1149" s="42"/>
      <c r="Y1149" s="42"/>
      <c r="Z1149" s="42"/>
      <c r="AA1149" s="42"/>
      <c r="AB1149" s="42"/>
    </row>
    <row r="1150" spans="1:28" x14ac:dyDescent="0.25">
      <c r="A1150" s="42" t="str">
        <v>1.20.3.1.11</v>
      </c>
      <c r="B1150" s="121" t="str">
        <v>Enquire icon (link to submit an enquiry, linked to the given return)</v>
      </c>
      <c r="C1150" s="41">
        <v>5</v>
      </c>
      <c r="D1150" s="41" t="str">
        <v>RL</v>
      </c>
      <c r="E1150" s="117" t="str">
        <f t="shared" si="0"/>
        <v>RL</v>
      </c>
      <c r="F1150" s="41" t="str">
        <v/>
      </c>
      <c r="G1150" s="41" t="str">
        <v/>
      </c>
      <c r="H1150" s="117">
        <f t="shared" si="1"/>
        <v>0</v>
      </c>
      <c r="I1150" s="117">
        <f t="shared" si="2"/>
        <v>20</v>
      </c>
      <c r="J1150" s="117">
        <f t="shared" si="3"/>
        <v>20.030000000000005</v>
      </c>
      <c r="K1150" s="117" t="str">
        <f t="shared" si="4"/>
        <v>BR</v>
      </c>
      <c r="L1150" s="42" t="str">
        <v>BR2003</v>
      </c>
      <c r="M1150" s="121" t="str">
        <v/>
      </c>
      <c r="N1150" s="121" t="str">
        <v/>
      </c>
      <c r="O1150" s="121" t="str">
        <v/>
      </c>
      <c r="P1150" s="121" t="str">
        <v/>
      </c>
      <c r="Q1150" s="121" t="str">
        <v/>
      </c>
      <c r="R1150" s="121" t="str">
        <v/>
      </c>
      <c r="S1150" s="121" t="str">
        <v>Enquire icon (link to submit an enquiry, linked to the given return)</v>
      </c>
      <c r="T1150" s="119" t="str">
        <f>IF($C1150&lt;4,IF($C1150=3,T1151,IF($C1150=2,T$1,"")),Q1150&amp;R1150&amp;IF(LEN(S1150)=0,"",Preferences!$C$2&amp;S1150)&amp;IF(J1151=J1150,IF(LEN(R1150&amp;S1150)=0,"","
")&amp;T1151,""))</f>
        <v xml:space="preserve">	• Enquire icon (link to submit an enquiry, linked to the given return)
 2. Present at least the following for each product in the list of products to return:
	• Product Number
	• Product Title (link to product)
	• Thumbnail image
	• Quantity to return
	• Unit product price (incl.) on order
	• Total product price (incl.) on order</v>
      </c>
      <c r="U1150" s="122" t="str">
        <v/>
      </c>
      <c r="V1150" s="42"/>
      <c r="W1150" s="42"/>
      <c r="X1150" s="42"/>
      <c r="Y1150" s="42"/>
      <c r="Z1150" s="42"/>
      <c r="AA1150" s="42"/>
      <c r="AB1150" s="42"/>
    </row>
    <row r="1151" spans="1:28" x14ac:dyDescent="0.25">
      <c r="A1151" s="42" t="str">
        <v>1.20.3.2</v>
      </c>
      <c r="B1151" s="121" t="str">
        <v>Present at least the following for each product in the list of products to return:</v>
      </c>
      <c r="C1151" s="41">
        <v>4</v>
      </c>
      <c r="D1151" s="41" t="str">
        <v>RD</v>
      </c>
      <c r="E1151" s="117" t="str">
        <f t="shared" si="0"/>
        <v>RD</v>
      </c>
      <c r="F1151" s="41" t="str">
        <v/>
      </c>
      <c r="G1151" s="41" t="str">
        <v/>
      </c>
      <c r="H1151" s="117">
        <f t="shared" si="1"/>
        <v>0</v>
      </c>
      <c r="I1151" s="117">
        <f t="shared" si="2"/>
        <v>20</v>
      </c>
      <c r="J1151" s="117">
        <f t="shared" si="3"/>
        <v>20.030000000000005</v>
      </c>
      <c r="K1151" s="117" t="str">
        <f t="shared" si="4"/>
        <v>BR</v>
      </c>
      <c r="L1151" s="42" t="str">
        <v>BR2003</v>
      </c>
      <c r="M1151" s="121" t="str">
        <v/>
      </c>
      <c r="N1151" s="121" t="str">
        <v/>
      </c>
      <c r="O1151" s="121" t="str">
        <v/>
      </c>
      <c r="P1151" s="121" t="str">
        <v/>
      </c>
      <c r="Q1151" s="121" t="str">
        <v xml:space="preserve"> 2. </v>
      </c>
      <c r="R1151" s="121" t="str">
        <v>Present at least the following for each product in the list of products to return:</v>
      </c>
      <c r="S1151" s="121" t="str">
        <v/>
      </c>
      <c r="T1151" s="119" t="str">
        <f>IF($C1151&lt;4,IF($C1151=3,T1152,IF($C1151=2,T$1,"")),Q1151&amp;R1151&amp;IF(LEN(S1151)=0,"",Preferences!$C$2&amp;S1151)&amp;IF(J1152=J1151,IF(LEN(R1151&amp;S1151)=0,"","
")&amp;T1152,""))</f>
        <v xml:space="preserve"> 2. Present at least the following for each product in the list of products to return:
	• Product Number
	• Product Title (link to product)
	• Thumbnail image
	• Quantity to return
	• Unit product price (incl.) on order
	• Total product price (incl.) on order</v>
      </c>
      <c r="U1151" s="122" t="str">
        <v/>
      </c>
      <c r="V1151" s="42"/>
      <c r="W1151" s="42"/>
      <c r="X1151" s="42"/>
      <c r="Y1151" s="42"/>
      <c r="Z1151" s="42"/>
      <c r="AA1151" s="42"/>
      <c r="AB1151" s="42"/>
    </row>
    <row r="1152" spans="1:28" x14ac:dyDescent="0.25">
      <c r="A1152" s="42" t="str">
        <v>1.20.3.2.1</v>
      </c>
      <c r="B1152" s="121" t="str">
        <v>Product Number</v>
      </c>
      <c r="C1152" s="41">
        <v>5</v>
      </c>
      <c r="D1152" s="41" t="str">
        <v>RL</v>
      </c>
      <c r="E1152" s="117" t="str">
        <f t="shared" si="0"/>
        <v>RL</v>
      </c>
      <c r="F1152" s="41" t="str">
        <v/>
      </c>
      <c r="G1152" s="41" t="str">
        <v/>
      </c>
      <c r="H1152" s="117">
        <f t="shared" si="1"/>
        <v>0</v>
      </c>
      <c r="I1152" s="117">
        <f t="shared" si="2"/>
        <v>20</v>
      </c>
      <c r="J1152" s="117">
        <f t="shared" si="3"/>
        <v>20.030000000000005</v>
      </c>
      <c r="K1152" s="117" t="str">
        <f t="shared" si="4"/>
        <v>BR</v>
      </c>
      <c r="L1152" s="42" t="str">
        <v>BR2003</v>
      </c>
      <c r="M1152" s="121" t="str">
        <v/>
      </c>
      <c r="N1152" s="121" t="str">
        <v/>
      </c>
      <c r="O1152" s="121" t="str">
        <v/>
      </c>
      <c r="P1152" s="121" t="str">
        <v/>
      </c>
      <c r="Q1152" s="121" t="str">
        <v/>
      </c>
      <c r="R1152" s="121" t="str">
        <v/>
      </c>
      <c r="S1152" s="121" t="str">
        <v>Product Number</v>
      </c>
      <c r="T1152" s="119" t="str">
        <f>IF($C1152&lt;4,IF($C1152=3,T1153,IF($C1152=2,T$1,"")),Q1152&amp;R1152&amp;IF(LEN(S1152)=0,"",Preferences!$C$2&amp;S1152)&amp;IF(J1153=J1152,IF(LEN(R1152&amp;S1152)=0,"","
")&amp;T1153,""))</f>
        <v xml:space="preserve">	• Product Number
	• Product Title (link to product)
	• Thumbnail image
	• Quantity to return
	• Unit product price (incl.) on order
	• Total product price (incl.) on order</v>
      </c>
      <c r="U1152" s="122" t="str">
        <v/>
      </c>
      <c r="V1152" s="42"/>
      <c r="W1152" s="42"/>
      <c r="X1152" s="42"/>
      <c r="Y1152" s="42"/>
      <c r="Z1152" s="42"/>
      <c r="AA1152" s="42"/>
      <c r="AB1152" s="42"/>
    </row>
    <row r="1153" spans="1:28" x14ac:dyDescent="0.25">
      <c r="A1153" s="42" t="str">
        <v>1.20.3.2.2</v>
      </c>
      <c r="B1153" s="121" t="str">
        <v>Product Title (link to product)</v>
      </c>
      <c r="C1153" s="41">
        <v>5</v>
      </c>
      <c r="D1153" s="41" t="str">
        <v>RL</v>
      </c>
      <c r="E1153" s="117" t="str">
        <f t="shared" si="0"/>
        <v>RL</v>
      </c>
      <c r="F1153" s="41" t="str">
        <v/>
      </c>
      <c r="G1153" s="41" t="str">
        <v/>
      </c>
      <c r="H1153" s="117">
        <f t="shared" si="1"/>
        <v>0</v>
      </c>
      <c r="I1153" s="117">
        <f t="shared" si="2"/>
        <v>20</v>
      </c>
      <c r="J1153" s="117">
        <f t="shared" si="3"/>
        <v>20.030000000000005</v>
      </c>
      <c r="K1153" s="117" t="str">
        <f t="shared" si="4"/>
        <v>BR</v>
      </c>
      <c r="L1153" s="42" t="str">
        <v>BR2003</v>
      </c>
      <c r="M1153" s="121" t="str">
        <v/>
      </c>
      <c r="N1153" s="121" t="str">
        <v/>
      </c>
      <c r="O1153" s="121" t="str">
        <v/>
      </c>
      <c r="P1153" s="121" t="str">
        <v/>
      </c>
      <c r="Q1153" s="121" t="str">
        <v/>
      </c>
      <c r="R1153" s="121" t="str">
        <v/>
      </c>
      <c r="S1153" s="121" t="str">
        <v>Product Title (link to product)</v>
      </c>
      <c r="T1153" s="119" t="str">
        <f>IF($C1153&lt;4,IF($C1153=3,T1154,IF($C1153=2,T$1,"")),Q1153&amp;R1153&amp;IF(LEN(S1153)=0,"",Preferences!$C$2&amp;S1153)&amp;IF(J1154=J1153,IF(LEN(R1153&amp;S1153)=0,"","
")&amp;T1154,""))</f>
        <v xml:space="preserve">	• Product Title (link to product)
	• Thumbnail image
	• Quantity to return
	• Unit product price (incl.) on order
	• Total product price (incl.) on order</v>
      </c>
      <c r="U1153" s="122" t="str">
        <v/>
      </c>
      <c r="V1153" s="42"/>
      <c r="W1153" s="42"/>
      <c r="X1153" s="42"/>
      <c r="Y1153" s="42"/>
      <c r="Z1153" s="42"/>
      <c r="AA1153" s="42"/>
      <c r="AB1153" s="42"/>
    </row>
    <row r="1154" spans="1:28" x14ac:dyDescent="0.25">
      <c r="A1154" s="42" t="str">
        <v>1.20.3.2.3</v>
      </c>
      <c r="B1154" s="121" t="str">
        <v>Thumbnail image</v>
      </c>
      <c r="C1154" s="41">
        <v>5</v>
      </c>
      <c r="D1154" s="41" t="str">
        <v>RL</v>
      </c>
      <c r="E1154" s="117" t="str">
        <f t="shared" si="0"/>
        <v>RL</v>
      </c>
      <c r="F1154" s="41" t="str">
        <v/>
      </c>
      <c r="G1154" s="41" t="str">
        <v/>
      </c>
      <c r="H1154" s="117">
        <f t="shared" si="1"/>
        <v>0</v>
      </c>
      <c r="I1154" s="117">
        <f t="shared" si="2"/>
        <v>20</v>
      </c>
      <c r="J1154" s="117">
        <f t="shared" si="3"/>
        <v>20.030000000000005</v>
      </c>
      <c r="K1154" s="117" t="str">
        <f t="shared" si="4"/>
        <v>BR</v>
      </c>
      <c r="L1154" s="42" t="str">
        <v>BR2003</v>
      </c>
      <c r="M1154" s="121" t="str">
        <v/>
      </c>
      <c r="N1154" s="121" t="str">
        <v/>
      </c>
      <c r="O1154" s="121" t="str">
        <v/>
      </c>
      <c r="P1154" s="121" t="str">
        <v/>
      </c>
      <c r="Q1154" s="121" t="str">
        <v/>
      </c>
      <c r="R1154" s="121" t="str">
        <v/>
      </c>
      <c r="S1154" s="121" t="str">
        <v>Thumbnail image</v>
      </c>
      <c r="T1154" s="119" t="str">
        <f>IF($C1154&lt;4,IF($C1154=3,T1155,IF($C1154=2,T$1,"")),Q1154&amp;R1154&amp;IF(LEN(S1154)=0,"",Preferences!$C$2&amp;S1154)&amp;IF(J1155=J1154,IF(LEN(R1154&amp;S1154)=0,"","
")&amp;T1155,""))</f>
        <v xml:space="preserve">	• Thumbnail image
	• Quantity to return
	• Unit product price (incl.) on order
	• Total product price (incl.) on order</v>
      </c>
      <c r="U1154" s="122" t="str">
        <v/>
      </c>
      <c r="V1154" s="42"/>
      <c r="W1154" s="42"/>
      <c r="X1154" s="42"/>
      <c r="Y1154" s="42"/>
      <c r="Z1154" s="42"/>
      <c r="AA1154" s="42"/>
      <c r="AB1154" s="42"/>
    </row>
    <row r="1155" spans="1:28" x14ac:dyDescent="0.25">
      <c r="A1155" s="42" t="str">
        <v>1.20.3.2.4</v>
      </c>
      <c r="B1155" s="121" t="str">
        <v>Quantity to return</v>
      </c>
      <c r="C1155" s="41">
        <v>5</v>
      </c>
      <c r="D1155" s="41" t="str">
        <v>RL</v>
      </c>
      <c r="E1155" s="117" t="str">
        <f t="shared" si="0"/>
        <v>RL</v>
      </c>
      <c r="F1155" s="41" t="str">
        <v/>
      </c>
      <c r="G1155" s="41" t="str">
        <v/>
      </c>
      <c r="H1155" s="117">
        <f t="shared" si="1"/>
        <v>0</v>
      </c>
      <c r="I1155" s="117">
        <f t="shared" si="2"/>
        <v>20</v>
      </c>
      <c r="J1155" s="117">
        <f t="shared" si="3"/>
        <v>20.030000000000005</v>
      </c>
      <c r="K1155" s="117" t="str">
        <f t="shared" si="4"/>
        <v>BR</v>
      </c>
      <c r="L1155" s="42" t="str">
        <v>BR2003</v>
      </c>
      <c r="M1155" s="121" t="str">
        <v/>
      </c>
      <c r="N1155" s="121" t="str">
        <v/>
      </c>
      <c r="O1155" s="121" t="str">
        <v/>
      </c>
      <c r="P1155" s="121" t="str">
        <v/>
      </c>
      <c r="Q1155" s="121" t="str">
        <v/>
      </c>
      <c r="R1155" s="121" t="str">
        <v/>
      </c>
      <c r="S1155" s="121" t="str">
        <v>Quantity to return</v>
      </c>
      <c r="T1155" s="119" t="str">
        <f>IF($C1155&lt;4,IF($C1155=3,T1156,IF($C1155=2,T$1,"")),Q1155&amp;R1155&amp;IF(LEN(S1155)=0,"",Preferences!$C$2&amp;S1155)&amp;IF(J1156=J1155,IF(LEN(R1155&amp;S1155)=0,"","
")&amp;T1156,""))</f>
        <v xml:space="preserve">	• Quantity to return
	• Unit product price (incl.) on order
	• Total product price (incl.) on order</v>
      </c>
      <c r="U1155" s="122" t="str">
        <v/>
      </c>
      <c r="V1155" s="42"/>
      <c r="W1155" s="42"/>
      <c r="X1155" s="42"/>
      <c r="Y1155" s="42"/>
      <c r="Z1155" s="42"/>
      <c r="AA1155" s="42"/>
      <c r="AB1155" s="42"/>
    </row>
    <row r="1156" spans="1:28" x14ac:dyDescent="0.25">
      <c r="A1156" s="42" t="str">
        <v>1.20.3.2.5</v>
      </c>
      <c r="B1156" s="121" t="str">
        <v>Unit product price (incl.) on order</v>
      </c>
      <c r="C1156" s="41">
        <v>5</v>
      </c>
      <c r="D1156" s="41" t="str">
        <v>RL</v>
      </c>
      <c r="E1156" s="117" t="str">
        <f t="shared" si="0"/>
        <v>RL</v>
      </c>
      <c r="F1156" s="41" t="str">
        <v/>
      </c>
      <c r="G1156" s="41" t="str">
        <v/>
      </c>
      <c r="H1156" s="117">
        <f t="shared" si="1"/>
        <v>0</v>
      </c>
      <c r="I1156" s="117">
        <f t="shared" si="2"/>
        <v>20</v>
      </c>
      <c r="J1156" s="117">
        <f t="shared" si="3"/>
        <v>20.030000000000005</v>
      </c>
      <c r="K1156" s="117" t="str">
        <f t="shared" si="4"/>
        <v>BR</v>
      </c>
      <c r="L1156" s="42" t="str">
        <v>BR2003</v>
      </c>
      <c r="M1156" s="121" t="str">
        <v/>
      </c>
      <c r="N1156" s="121" t="str">
        <v/>
      </c>
      <c r="O1156" s="121" t="str">
        <v/>
      </c>
      <c r="P1156" s="121" t="str">
        <v/>
      </c>
      <c r="Q1156" s="121" t="str">
        <v/>
      </c>
      <c r="R1156" s="121" t="str">
        <v/>
      </c>
      <c r="S1156" s="121" t="str">
        <v>Unit product price (incl.) on order</v>
      </c>
      <c r="T1156" s="119" t="str">
        <f>IF($C1156&lt;4,IF($C1156=3,T1157,IF($C1156=2,T$1,"")),Q1156&amp;R1156&amp;IF(LEN(S1156)=0,"",Preferences!$C$2&amp;S1156)&amp;IF(J1157=J1156,IF(LEN(R1156&amp;S1156)=0,"","
")&amp;T1157,""))</f>
        <v xml:space="preserve">	• Unit product price (incl.) on order
	• Total product price (incl.) on order</v>
      </c>
      <c r="U1156" s="122" t="str">
        <v/>
      </c>
      <c r="V1156" s="42"/>
      <c r="W1156" s="42"/>
      <c r="X1156" s="42"/>
      <c r="Y1156" s="42"/>
      <c r="Z1156" s="42"/>
      <c r="AA1156" s="42"/>
      <c r="AB1156" s="42"/>
    </row>
    <row r="1157" spans="1:28" x14ac:dyDescent="0.25">
      <c r="A1157" s="42" t="str">
        <v>1.20.3.2.6</v>
      </c>
      <c r="B1157" s="121" t="str">
        <v>Total product price (incl.) on order</v>
      </c>
      <c r="C1157" s="41">
        <v>5</v>
      </c>
      <c r="D1157" s="41" t="str">
        <v>RL</v>
      </c>
      <c r="E1157" s="117" t="str">
        <f t="shared" si="0"/>
        <v>RL</v>
      </c>
      <c r="F1157" s="41" t="str">
        <v/>
      </c>
      <c r="G1157" s="41" t="str">
        <v/>
      </c>
      <c r="H1157" s="117">
        <f t="shared" si="1"/>
        <v>0</v>
      </c>
      <c r="I1157" s="117">
        <f t="shared" si="2"/>
        <v>20</v>
      </c>
      <c r="J1157" s="117">
        <f t="shared" si="3"/>
        <v>20.030000000000005</v>
      </c>
      <c r="K1157" s="117" t="str">
        <f t="shared" si="4"/>
        <v>BR</v>
      </c>
      <c r="L1157" s="42" t="str">
        <v>BR2003</v>
      </c>
      <c r="M1157" s="121" t="str">
        <v/>
      </c>
      <c r="N1157" s="121" t="str">
        <v/>
      </c>
      <c r="O1157" s="121" t="str">
        <v/>
      </c>
      <c r="P1157" s="121" t="str">
        <v/>
      </c>
      <c r="Q1157" s="121" t="str">
        <v/>
      </c>
      <c r="R1157" s="121" t="str">
        <v/>
      </c>
      <c r="S1157" s="121" t="str">
        <v>Total product price (incl.) on order</v>
      </c>
      <c r="T1157" s="119" t="str">
        <f>IF($C1157&lt;4,IF($C1157=3,T1158,IF($C1157=2,T$1,"")),Q1157&amp;R1157&amp;IF(LEN(S1157)=0,"",Preferences!$C$2&amp;S1157)&amp;IF(J1158=J1157,IF(LEN(R1157&amp;S1157)=0,"","
")&amp;T1158,""))</f>
        <v xml:space="preserve">	• Total product price (incl.) on order</v>
      </c>
      <c r="U1157" s="122" t="str">
        <v/>
      </c>
      <c r="V1157" s="42"/>
      <c r="W1157" s="42"/>
      <c r="X1157" s="42"/>
      <c r="Y1157" s="42"/>
      <c r="Z1157" s="42"/>
      <c r="AA1157" s="42"/>
      <c r="AB1157" s="42"/>
    </row>
    <row r="1158" spans="1:28" x14ac:dyDescent="0.25">
      <c r="A1158" s="42" t="str">
        <v>1.20.4</v>
      </c>
      <c r="B1158" s="121" t="str">
        <v>20.4 Enquire about return request</v>
      </c>
      <c r="C1158" s="41">
        <v>3</v>
      </c>
      <c r="D1158" s="41" t="str">
        <v>R</v>
      </c>
      <c r="E1158" s="117" t="str">
        <f t="shared" si="0"/>
        <v>R</v>
      </c>
      <c r="F1158" s="41" t="str">
        <v/>
      </c>
      <c r="G1158" s="41" t="str">
        <v/>
      </c>
      <c r="H1158" s="117">
        <f t="shared" si="1"/>
        <v>0</v>
      </c>
      <c r="I1158" s="117">
        <f t="shared" si="2"/>
        <v>20</v>
      </c>
      <c r="J1158" s="117">
        <f t="shared" si="3"/>
        <v>20.040000000000006</v>
      </c>
      <c r="K1158" s="117" t="str">
        <f t="shared" si="4"/>
        <v>BR</v>
      </c>
      <c r="L1158" s="42" t="str">
        <v>BR2004</v>
      </c>
      <c r="M1158" s="121" t="str">
        <v/>
      </c>
      <c r="N1158" s="121" t="str">
        <v/>
      </c>
      <c r="O1158" s="121" t="str">
        <v>BR2004</v>
      </c>
      <c r="P1158" s="121" t="str">
        <v>Enquire about return request</v>
      </c>
      <c r="Q1158" s="121" t="str">
        <v/>
      </c>
      <c r="R1158" s="121" t="str">
        <v/>
      </c>
      <c r="S1158" s="121" t="str">
        <v/>
      </c>
      <c r="T1158" s="119" t="str">
        <f>IF($C1158&lt;4,IF($C1158=3,T1159,IF($C1158=2,T$1,"")),Q1158&amp;R1158&amp;IF(LEN(S1158)=0,"",Preferences!$C$2&amp;S1158)&amp;IF(J1159=J1158,IF(LEN(R1158&amp;S1158)=0,"","
")&amp;T1159,""))</f>
        <v xml:space="preserve"> 1. When viewing a return request, a customer can choose to enquire about that return request.
	• The customer is prompted to capture their message.
 2. The customer enquiry is submitted as a customer message of type return-enquiry, with the reference to the specific return.</v>
      </c>
      <c r="U1158" s="122" t="str">
        <v/>
      </c>
      <c r="V1158" s="42"/>
      <c r="W1158" s="42"/>
      <c r="X1158" s="42"/>
      <c r="Y1158" s="42"/>
      <c r="Z1158" s="42"/>
      <c r="AA1158" s="42"/>
      <c r="AB1158" s="42"/>
    </row>
    <row r="1159" spans="1:28" x14ac:dyDescent="0.25">
      <c r="A1159" s="42" t="str">
        <v>1.20.4.1</v>
      </c>
      <c r="B1159" s="121" t="str">
        <v>When viewing a return request, a customer can choose to enquire about that return request.</v>
      </c>
      <c r="C1159" s="41">
        <v>4</v>
      </c>
      <c r="D1159" s="41" t="str">
        <v>RD</v>
      </c>
      <c r="E1159" s="117" t="str">
        <f t="shared" si="0"/>
        <v>RD</v>
      </c>
      <c r="F1159" s="41" t="str">
        <v/>
      </c>
      <c r="G1159" s="41" t="str">
        <v/>
      </c>
      <c r="H1159" s="117">
        <f t="shared" si="1"/>
        <v>0</v>
      </c>
      <c r="I1159" s="117">
        <f t="shared" si="2"/>
        <v>20</v>
      </c>
      <c r="J1159" s="117">
        <f t="shared" si="3"/>
        <v>20.040000000000006</v>
      </c>
      <c r="K1159" s="117" t="str">
        <f t="shared" si="4"/>
        <v>BR</v>
      </c>
      <c r="L1159" s="42" t="str">
        <v>BR2004</v>
      </c>
      <c r="M1159" s="121" t="str">
        <v/>
      </c>
      <c r="N1159" s="121" t="str">
        <v/>
      </c>
      <c r="O1159" s="121" t="str">
        <v/>
      </c>
      <c r="P1159" s="121" t="str">
        <v/>
      </c>
      <c r="Q1159" s="121" t="str">
        <v xml:space="preserve"> 1. </v>
      </c>
      <c r="R1159" s="121" t="str">
        <v>When viewing a return request, a customer can choose to enquire about that return request.</v>
      </c>
      <c r="S1159" s="121" t="str">
        <v/>
      </c>
      <c r="T1159" s="119" t="str">
        <f>IF($C1159&lt;4,IF($C1159=3,T1160,IF($C1159=2,T$1,"")),Q1159&amp;R1159&amp;IF(LEN(S1159)=0,"",Preferences!$C$2&amp;S1159)&amp;IF(J1160=J1159,IF(LEN(R1159&amp;S1159)=0,"","
")&amp;T1160,""))</f>
        <v xml:space="preserve"> 1. When viewing a return request, a customer can choose to enquire about that return request.
	• The customer is prompted to capture their message.
 2. The customer enquiry is submitted as a customer message of type return-enquiry, with the reference to the specific return.</v>
      </c>
      <c r="U1159" s="122" t="str">
        <v/>
      </c>
      <c r="V1159" s="42"/>
      <c r="W1159" s="42"/>
      <c r="X1159" s="42"/>
      <c r="Y1159" s="42"/>
      <c r="Z1159" s="42"/>
      <c r="AA1159" s="42"/>
      <c r="AB1159" s="42"/>
    </row>
    <row r="1160" spans="1:28" x14ac:dyDescent="0.25">
      <c r="A1160" s="42" t="str">
        <v>1.20.4.1.1</v>
      </c>
      <c r="B1160" s="121" t="str">
        <v>The customer is prompted to capture their message.</v>
      </c>
      <c r="C1160" s="41">
        <v>5</v>
      </c>
      <c r="D1160" s="41" t="str">
        <v>RL</v>
      </c>
      <c r="E1160" s="117" t="str">
        <f t="shared" si="0"/>
        <v>RL</v>
      </c>
      <c r="F1160" s="41" t="str">
        <v/>
      </c>
      <c r="G1160" s="41" t="str">
        <v/>
      </c>
      <c r="H1160" s="117">
        <f t="shared" si="1"/>
        <v>0</v>
      </c>
      <c r="I1160" s="117">
        <f t="shared" si="2"/>
        <v>20</v>
      </c>
      <c r="J1160" s="117">
        <f t="shared" si="3"/>
        <v>20.040000000000006</v>
      </c>
      <c r="K1160" s="117" t="str">
        <f t="shared" si="4"/>
        <v>BR</v>
      </c>
      <c r="L1160" s="42" t="str">
        <v>BR2004</v>
      </c>
      <c r="M1160" s="121" t="str">
        <v/>
      </c>
      <c r="N1160" s="121" t="str">
        <v/>
      </c>
      <c r="O1160" s="121" t="str">
        <v/>
      </c>
      <c r="P1160" s="121" t="str">
        <v/>
      </c>
      <c r="Q1160" s="121" t="str">
        <v/>
      </c>
      <c r="R1160" s="121" t="str">
        <v/>
      </c>
      <c r="S1160" s="121" t="str">
        <v>The customer is prompted to capture their message.</v>
      </c>
      <c r="T1160" s="119" t="str">
        <f>IF($C1160&lt;4,IF($C1160=3,T1161,IF($C1160=2,T$1,"")),Q1160&amp;R1160&amp;IF(LEN(S1160)=0,"",Preferences!$C$2&amp;S1160)&amp;IF(J1161=J1160,IF(LEN(R1160&amp;S1160)=0,"","
")&amp;T1161,""))</f>
        <v xml:space="preserve">	• The customer is prompted to capture their message.
 2. The customer enquiry is submitted as a customer message of type return-enquiry, with the reference to the specific return.</v>
      </c>
      <c r="U1160" s="122" t="str">
        <v/>
      </c>
      <c r="V1160" s="42"/>
      <c r="W1160" s="42"/>
      <c r="X1160" s="42"/>
      <c r="Y1160" s="42"/>
      <c r="Z1160" s="42"/>
      <c r="AA1160" s="42"/>
      <c r="AB1160" s="42"/>
    </row>
    <row r="1161" spans="1:28" x14ac:dyDescent="0.25">
      <c r="A1161" s="42" t="str">
        <v>1.20.4.2</v>
      </c>
      <c r="B1161" s="121" t="str">
        <v>The customer enquiry is submitted as a customer message of type return-enquiry, with the reference to the specific return.</v>
      </c>
      <c r="C1161" s="41">
        <v>4</v>
      </c>
      <c r="D1161" s="41" t="str">
        <v>RD</v>
      </c>
      <c r="E1161" s="117" t="str">
        <f t="shared" si="0"/>
        <v>RD</v>
      </c>
      <c r="F1161" s="41" t="str">
        <v/>
      </c>
      <c r="G1161" s="41" t="str">
        <v/>
      </c>
      <c r="H1161" s="117">
        <f t="shared" si="1"/>
        <v>0</v>
      </c>
      <c r="I1161" s="117">
        <f t="shared" si="2"/>
        <v>20</v>
      </c>
      <c r="J1161" s="117">
        <f t="shared" si="3"/>
        <v>20.040000000000006</v>
      </c>
      <c r="K1161" s="117" t="str">
        <f t="shared" si="4"/>
        <v>BR</v>
      </c>
      <c r="L1161" s="42" t="str">
        <v>BR2004</v>
      </c>
      <c r="M1161" s="121" t="str">
        <v/>
      </c>
      <c r="N1161" s="121" t="str">
        <v/>
      </c>
      <c r="O1161" s="121" t="str">
        <v/>
      </c>
      <c r="P1161" s="121" t="str">
        <v/>
      </c>
      <c r="Q1161" s="121" t="str">
        <v xml:space="preserve"> 2. </v>
      </c>
      <c r="R1161" s="121" t="str">
        <v>The customer enquiry is submitted as a customer message of type return-enquiry, with the reference to the specific return.</v>
      </c>
      <c r="S1161" s="121" t="str">
        <v/>
      </c>
      <c r="T1161" s="119" t="str">
        <f>IF($C1161&lt;4,IF($C1161=3,T1162,IF($C1161=2,T$1,"")),Q1161&amp;R1161&amp;IF(LEN(S1161)=0,"",Preferences!$C$2&amp;S1161)&amp;IF(J1162=J1161,IF(LEN(R1161&amp;S1161)=0,"","
")&amp;T1162,""))</f>
        <v xml:space="preserve"> 2. The customer enquiry is submitted as a customer message of type return-enquiry, with the reference to the specific return.</v>
      </c>
      <c r="U1161" s="122" t="str">
        <v/>
      </c>
      <c r="V1161" s="42"/>
      <c r="W1161" s="42"/>
      <c r="X1161" s="42"/>
      <c r="Y1161" s="42"/>
      <c r="Z1161" s="42"/>
      <c r="AA1161" s="42"/>
      <c r="AB1161" s="42"/>
    </row>
    <row r="1162" spans="1:28" x14ac:dyDescent="0.25">
      <c r="A1162" s="42" t="str">
        <v>1.21</v>
      </c>
      <c r="B1162" s="121" t="str">
        <v>21 Customer Messages</v>
      </c>
      <c r="C1162" s="41">
        <v>2</v>
      </c>
      <c r="D1162" s="41" t="str">
        <v>RS</v>
      </c>
      <c r="E1162" s="117" t="str">
        <f t="shared" si="0"/>
        <v>RS</v>
      </c>
      <c r="F1162" s="41" t="str">
        <v/>
      </c>
      <c r="G1162" s="41" t="str">
        <v/>
      </c>
      <c r="H1162" s="117">
        <f t="shared" si="1"/>
        <v>0</v>
      </c>
      <c r="I1162" s="117">
        <f t="shared" si="2"/>
        <v>21</v>
      </c>
      <c r="J1162" s="117">
        <f t="shared" si="3"/>
        <v>21</v>
      </c>
      <c r="K1162" s="117" t="str">
        <f t="shared" si="4"/>
        <v>BR</v>
      </c>
      <c r="L1162" s="42">
        <v>21</v>
      </c>
      <c r="M1162" s="121" t="str">
        <v/>
      </c>
      <c r="N1162" s="121" t="str">
        <v>21 Customer Messages</v>
      </c>
      <c r="O1162" s="121" t="str">
        <v>ReqID</v>
      </c>
      <c r="P1162" s="121" t="e">
        <v>#N/A</v>
      </c>
      <c r="Q1162" s="121" t="str">
        <v/>
      </c>
      <c r="R1162" s="121" t="str">
        <v/>
      </c>
      <c r="S1162" s="121" t="str">
        <v/>
      </c>
      <c r="T1162" s="119" t="str">
        <f>IF($C1162&lt;4,IF($C1162=3,T1163,IF($C1162=2,T$1,"")),Q1162&amp;R1162&amp;IF(LEN(S1162)=0,"",Preferences!$C$2&amp;S1162)&amp;IF(J1163=J1162,IF(LEN(R1162&amp;S1162)=0,"","
")&amp;T1163,""))</f>
        <v>Description</v>
      </c>
      <c r="U1162" s="122" t="str">
        <v/>
      </c>
      <c r="V1162" s="42"/>
      <c r="W1162" s="42"/>
      <c r="X1162" s="42"/>
      <c r="Y1162" s="42"/>
      <c r="Z1162" s="42"/>
      <c r="AA1162" s="42"/>
      <c r="AB1162" s="42"/>
    </row>
    <row r="1163" spans="1:28" x14ac:dyDescent="0.25">
      <c r="A1163" s="42" t="str">
        <v>1.21.1</v>
      </c>
      <c r="B1163" s="121" t="str">
        <v>21.1 Notify user that their submitted request has been received</v>
      </c>
      <c r="C1163" s="41">
        <v>3</v>
      </c>
      <c r="D1163" s="41" t="str">
        <v>R</v>
      </c>
      <c r="E1163" s="117" t="str">
        <f t="shared" si="0"/>
        <v>R</v>
      </c>
      <c r="F1163" s="41" t="str">
        <v/>
      </c>
      <c r="G1163" s="41" t="str">
        <v/>
      </c>
      <c r="H1163" s="117">
        <f t="shared" si="1"/>
        <v>0</v>
      </c>
      <c r="I1163" s="117">
        <f t="shared" si="2"/>
        <v>21</v>
      </c>
      <c r="J1163" s="117">
        <f t="shared" si="3"/>
        <v>21.01</v>
      </c>
      <c r="K1163" s="117" t="str">
        <f t="shared" si="4"/>
        <v>BR</v>
      </c>
      <c r="L1163" s="42" t="str">
        <v>BR2101</v>
      </c>
      <c r="M1163" s="121" t="str">
        <v/>
      </c>
      <c r="N1163" s="121" t="str">
        <v/>
      </c>
      <c r="O1163" s="121" t="str">
        <v>BR2101</v>
      </c>
      <c r="P1163" s="121" t="str">
        <v>Notify user that their submitted request has been received</v>
      </c>
      <c r="Q1163" s="121" t="str">
        <v/>
      </c>
      <c r="R1163" s="121" t="str">
        <v/>
      </c>
      <c r="S1163" s="121" t="str">
        <v/>
      </c>
      <c r="T1163" s="119" t="str">
        <f>IF($C1163&lt;4,IF($C1163=3,T1164,IF($C1163=2,T$1,"")),Q1163&amp;R1163&amp;IF(LEN(S1163)=0,"",Preferences!$C$2&amp;S1163)&amp;IF(J1164=J1163,IF(LEN(R1163&amp;S1163)=0,"","
")&amp;T1164,""))</f>
        <v xml:space="preserve"> 1. When an enquiry of any type is submitted online, the user is informed that their submission has been received.
	• A visual message with their submission reference is presented.
	• A copy of the submission is sent to their registered/provided email address.</v>
      </c>
      <c r="U1163" s="122" t="str">
        <v/>
      </c>
      <c r="V1163" s="42"/>
      <c r="W1163" s="42"/>
      <c r="X1163" s="42"/>
      <c r="Y1163" s="42"/>
      <c r="Z1163" s="42"/>
      <c r="AA1163" s="42"/>
      <c r="AB1163" s="42"/>
    </row>
    <row r="1164" spans="1:28" x14ac:dyDescent="0.25">
      <c r="A1164" s="42" t="str">
        <v>1.21.1.1</v>
      </c>
      <c r="B1164" s="121" t="str">
        <v>When an enquiry of any type is submitted online, the user is informed that their submission has been received.</v>
      </c>
      <c r="C1164" s="41">
        <v>4</v>
      </c>
      <c r="D1164" s="41" t="str">
        <v>RD</v>
      </c>
      <c r="E1164" s="117" t="str">
        <f t="shared" si="0"/>
        <v>RD</v>
      </c>
      <c r="F1164" s="41" t="str">
        <v/>
      </c>
      <c r="G1164" s="41" t="str">
        <v/>
      </c>
      <c r="H1164" s="117">
        <f t="shared" si="1"/>
        <v>0</v>
      </c>
      <c r="I1164" s="117">
        <f t="shared" si="2"/>
        <v>21</v>
      </c>
      <c r="J1164" s="117">
        <f t="shared" si="3"/>
        <v>21.01</v>
      </c>
      <c r="K1164" s="117" t="str">
        <f t="shared" si="4"/>
        <v>BR</v>
      </c>
      <c r="L1164" s="42" t="str">
        <v>BR2101</v>
      </c>
      <c r="M1164" s="121" t="str">
        <v/>
      </c>
      <c r="N1164" s="121" t="str">
        <v/>
      </c>
      <c r="O1164" s="121" t="str">
        <v/>
      </c>
      <c r="P1164" s="121" t="str">
        <v/>
      </c>
      <c r="Q1164" s="121" t="str">
        <v xml:space="preserve"> 1. </v>
      </c>
      <c r="R1164" s="121" t="str">
        <v>When an enquiry of any type is submitted online, the user is informed that their submission has been received.</v>
      </c>
      <c r="S1164" s="121" t="str">
        <v/>
      </c>
      <c r="T1164" s="119" t="str">
        <f>IF($C1164&lt;4,IF($C1164=3,T1165,IF($C1164=2,T$1,"")),Q1164&amp;R1164&amp;IF(LEN(S1164)=0,"",Preferences!$C$2&amp;S1164)&amp;IF(J1165=J1164,IF(LEN(R1164&amp;S1164)=0,"","
")&amp;T1165,""))</f>
        <v xml:space="preserve"> 1. When an enquiry of any type is submitted online, the user is informed that their submission has been received.
	• A visual message with their submission reference is presented.
	• A copy of the submission is sent to their registered/provided email address.</v>
      </c>
      <c r="U1164" s="122" t="str">
        <v/>
      </c>
      <c r="V1164" s="42"/>
      <c r="W1164" s="42"/>
      <c r="X1164" s="42"/>
      <c r="Y1164" s="42"/>
      <c r="Z1164" s="42"/>
      <c r="AA1164" s="42"/>
      <c r="AB1164" s="42"/>
    </row>
    <row r="1165" spans="1:28" x14ac:dyDescent="0.25">
      <c r="A1165" s="42" t="str">
        <v>1.21.1.1.1</v>
      </c>
      <c r="B1165" s="121" t="str">
        <v>A visual message with their submission reference is presented.</v>
      </c>
      <c r="C1165" s="41">
        <v>5</v>
      </c>
      <c r="D1165" s="41" t="str">
        <v>RL</v>
      </c>
      <c r="E1165" s="117" t="str">
        <f t="shared" si="0"/>
        <v>RL</v>
      </c>
      <c r="F1165" s="41" t="str">
        <v/>
      </c>
      <c r="G1165" s="41" t="str">
        <v/>
      </c>
      <c r="H1165" s="117">
        <f t="shared" si="1"/>
        <v>0</v>
      </c>
      <c r="I1165" s="117">
        <f t="shared" si="2"/>
        <v>21</v>
      </c>
      <c r="J1165" s="117">
        <f t="shared" si="3"/>
        <v>21.01</v>
      </c>
      <c r="K1165" s="117" t="str">
        <f t="shared" si="4"/>
        <v>BR</v>
      </c>
      <c r="L1165" s="42" t="str">
        <v>BR2101</v>
      </c>
      <c r="M1165" s="121" t="str">
        <v/>
      </c>
      <c r="N1165" s="121" t="str">
        <v/>
      </c>
      <c r="O1165" s="121" t="str">
        <v/>
      </c>
      <c r="P1165" s="121" t="str">
        <v/>
      </c>
      <c r="Q1165" s="121" t="str">
        <v/>
      </c>
      <c r="R1165" s="121" t="str">
        <v/>
      </c>
      <c r="S1165" s="121" t="str">
        <v>A visual message with their submission reference is presented.</v>
      </c>
      <c r="T1165" s="119" t="str">
        <f>IF($C1165&lt;4,IF($C1165=3,T1166,IF($C1165=2,T$1,"")),Q1165&amp;R1165&amp;IF(LEN(S1165)=0,"",Preferences!$C$2&amp;S1165)&amp;IF(J1166=J1165,IF(LEN(R1165&amp;S1165)=0,"","
")&amp;T1166,""))</f>
        <v xml:space="preserve">	• A visual message with their submission reference is presented.
	• A copy of the submission is sent to their registered/provided email address.</v>
      </c>
      <c r="U1165" s="122" t="str">
        <v/>
      </c>
      <c r="V1165" s="42"/>
      <c r="W1165" s="42"/>
      <c r="X1165" s="42"/>
      <c r="Y1165" s="42"/>
      <c r="Z1165" s="42"/>
      <c r="AA1165" s="42"/>
      <c r="AB1165" s="42"/>
    </row>
    <row r="1166" spans="1:28" x14ac:dyDescent="0.25">
      <c r="A1166" s="42" t="str">
        <v>1.21.1.1.2</v>
      </c>
      <c r="B1166" s="121" t="str">
        <v>A copy of the submission is sent to their registered/provided email address.</v>
      </c>
      <c r="C1166" s="41">
        <v>5</v>
      </c>
      <c r="D1166" s="41" t="str">
        <v>RL</v>
      </c>
      <c r="E1166" s="117" t="str">
        <f t="shared" si="0"/>
        <v>RL</v>
      </c>
      <c r="F1166" s="41" t="str">
        <v/>
      </c>
      <c r="G1166" s="41" t="str">
        <v/>
      </c>
      <c r="H1166" s="117">
        <f t="shared" si="1"/>
        <v>0</v>
      </c>
      <c r="I1166" s="117">
        <f t="shared" si="2"/>
        <v>21</v>
      </c>
      <c r="J1166" s="117">
        <f t="shared" si="3"/>
        <v>21.01</v>
      </c>
      <c r="K1166" s="117" t="str">
        <f t="shared" si="4"/>
        <v>BR</v>
      </c>
      <c r="L1166" s="42" t="str">
        <v>BR2101</v>
      </c>
      <c r="M1166" s="121" t="str">
        <v/>
      </c>
      <c r="N1166" s="121" t="str">
        <v/>
      </c>
      <c r="O1166" s="121" t="str">
        <v/>
      </c>
      <c r="P1166" s="121" t="str">
        <v/>
      </c>
      <c r="Q1166" s="121" t="str">
        <v/>
      </c>
      <c r="R1166" s="121" t="str">
        <v/>
      </c>
      <c r="S1166" s="121" t="str">
        <v>A copy of the submission is sent to their registered/provided email address.</v>
      </c>
      <c r="T1166" s="119" t="str">
        <f>IF($C1166&lt;4,IF($C1166=3,T1167,IF($C1166=2,T$1,"")),Q1166&amp;R1166&amp;IF(LEN(S1166)=0,"",Preferences!$C$2&amp;S1166)&amp;IF(J1167=J1166,IF(LEN(R1166&amp;S1166)=0,"","
")&amp;T1167,""))</f>
        <v xml:space="preserve">	• A copy of the submission is sent to their registered/provided email address.</v>
      </c>
      <c r="U1166" s="122" t="str">
        <v/>
      </c>
      <c r="V1166" s="42"/>
      <c r="W1166" s="42"/>
      <c r="X1166" s="42"/>
      <c r="Y1166" s="42"/>
      <c r="Z1166" s="42"/>
      <c r="AA1166" s="42"/>
      <c r="AB1166" s="42"/>
    </row>
    <row r="1167" spans="1:28" x14ac:dyDescent="0.25">
      <c r="A1167" s="42" t="str">
        <v>1.21.2</v>
      </c>
      <c r="B1167" s="121" t="str">
        <v>21.2 Present customer messages alert</v>
      </c>
      <c r="C1167" s="41">
        <v>3</v>
      </c>
      <c r="D1167" s="41" t="str">
        <v>R</v>
      </c>
      <c r="E1167" s="117" t="str">
        <f t="shared" si="0"/>
        <v>R</v>
      </c>
      <c r="F1167" s="41" t="str">
        <v/>
      </c>
      <c r="G1167" s="41" t="str">
        <v/>
      </c>
      <c r="H1167" s="117">
        <f t="shared" si="1"/>
        <v>0</v>
      </c>
      <c r="I1167" s="117">
        <f t="shared" si="2"/>
        <v>21</v>
      </c>
      <c r="J1167" s="117">
        <f t="shared" si="3"/>
        <v>21.020000000000003</v>
      </c>
      <c r="K1167" s="117" t="str">
        <f t="shared" si="4"/>
        <v>BR</v>
      </c>
      <c r="L1167" s="42" t="str">
        <v>BR2102</v>
      </c>
      <c r="M1167" s="121" t="str">
        <v/>
      </c>
      <c r="N1167" s="121" t="str">
        <v/>
      </c>
      <c r="O1167" s="121" t="str">
        <v>BR2102</v>
      </c>
      <c r="P1167" s="121" t="str">
        <v>Present customer messages alert</v>
      </c>
      <c r="Q1167" s="121" t="str">
        <v/>
      </c>
      <c r="R1167" s="121" t="str">
        <v/>
      </c>
      <c r="S1167" s="121" t="str">
        <v/>
      </c>
      <c r="T1167" s="119" t="str">
        <f>IF($C1167&lt;4,IF($C1167=3,T1168,IF($C1167=2,T$1,"")),Q1167&amp;R1167&amp;IF(LEN(S1167)=0,"",Preferences!$C$2&amp;S1167)&amp;IF(J1168=J1167,IF(LEN(R1167&amp;S1167)=0,"","
")&amp;T1168,""))</f>
        <v xml:space="preserve"> 1. A customer is alerted about unread messages as follows:
	• A message icon is presented near the customer menu, with a count of unread messages.
	• After login, the user is prompted with an option to review their new message(s) - supersedes an in-progress shopping cart.
	• On their profile, a banner-alert is presented with an option to review their new messages.
 2. On clicking the alert, the user is presented their messages, as described in the View customer messages list requirement.</v>
      </c>
      <c r="U1167" s="122" t="str">
        <v/>
      </c>
      <c r="V1167" s="42"/>
      <c r="W1167" s="42"/>
      <c r="X1167" s="42"/>
      <c r="Y1167" s="42"/>
      <c r="Z1167" s="42"/>
      <c r="AA1167" s="42"/>
      <c r="AB1167" s="42"/>
    </row>
    <row r="1168" spans="1:28" x14ac:dyDescent="0.25">
      <c r="A1168" s="42" t="str">
        <v>1.21.2.1</v>
      </c>
      <c r="B1168" s="121" t="str">
        <v>A customer is alerted about unread messages as follows:</v>
      </c>
      <c r="C1168" s="41">
        <v>4</v>
      </c>
      <c r="D1168" s="41" t="str">
        <v>RD</v>
      </c>
      <c r="E1168" s="117" t="str">
        <f t="shared" si="0"/>
        <v>RD</v>
      </c>
      <c r="F1168" s="41" t="str">
        <v/>
      </c>
      <c r="G1168" s="41" t="str">
        <v/>
      </c>
      <c r="H1168" s="117">
        <f t="shared" si="1"/>
        <v>0</v>
      </c>
      <c r="I1168" s="117">
        <f t="shared" si="2"/>
        <v>21</v>
      </c>
      <c r="J1168" s="117">
        <f t="shared" si="3"/>
        <v>21.020000000000003</v>
      </c>
      <c r="K1168" s="117" t="str">
        <f t="shared" si="4"/>
        <v>BR</v>
      </c>
      <c r="L1168" s="42" t="str">
        <v>BR2102</v>
      </c>
      <c r="M1168" s="121" t="str">
        <v/>
      </c>
      <c r="N1168" s="121" t="str">
        <v/>
      </c>
      <c r="O1168" s="121" t="str">
        <v/>
      </c>
      <c r="P1168" s="121" t="str">
        <v/>
      </c>
      <c r="Q1168" s="121" t="str">
        <v xml:space="preserve"> 1. </v>
      </c>
      <c r="R1168" s="121" t="str">
        <v>A customer is alerted about unread messages as follows:</v>
      </c>
      <c r="S1168" s="121" t="str">
        <v/>
      </c>
      <c r="T1168" s="119" t="str">
        <f>IF($C1168&lt;4,IF($C1168=3,T1169,IF($C1168=2,T$1,"")),Q1168&amp;R1168&amp;IF(LEN(S1168)=0,"",Preferences!$C$2&amp;S1168)&amp;IF(J1169=J1168,IF(LEN(R1168&amp;S1168)=0,"","
")&amp;T1169,""))</f>
        <v xml:space="preserve"> 1. A customer is alerted about unread messages as follows:
	• A message icon is presented near the customer menu, with a count of unread messages.
	• After login, the user is prompted with an option to review their new message(s) - supersedes an in-progress shopping cart.
	• On their profile, a banner-alert is presented with an option to review their new messages.
 2. On clicking the alert, the user is presented their messages, as described in the View customer messages list requirement.</v>
      </c>
      <c r="U1168" s="122" t="str">
        <v/>
      </c>
      <c r="V1168" s="42"/>
      <c r="W1168" s="42"/>
      <c r="X1168" s="42"/>
      <c r="Y1168" s="42"/>
      <c r="Z1168" s="42"/>
      <c r="AA1168" s="42"/>
      <c r="AB1168" s="42"/>
    </row>
    <row r="1169" spans="1:28" x14ac:dyDescent="0.25">
      <c r="A1169" s="42" t="str">
        <v>1.21.2.1.1</v>
      </c>
      <c r="B1169" s="121" t="str">
        <v>A message icon is presented near the customer menu, with a count of unread messages.</v>
      </c>
      <c r="C1169" s="41">
        <v>5</v>
      </c>
      <c r="D1169" s="41" t="str">
        <v>RL</v>
      </c>
      <c r="E1169" s="117" t="str">
        <f t="shared" si="0"/>
        <v>RL</v>
      </c>
      <c r="F1169" s="41" t="str">
        <v/>
      </c>
      <c r="G1169" s="41" t="str">
        <v/>
      </c>
      <c r="H1169" s="117">
        <f t="shared" si="1"/>
        <v>0</v>
      </c>
      <c r="I1169" s="117">
        <f t="shared" si="2"/>
        <v>21</v>
      </c>
      <c r="J1169" s="117">
        <f t="shared" si="3"/>
        <v>21.020000000000003</v>
      </c>
      <c r="K1169" s="117" t="str">
        <f t="shared" si="4"/>
        <v>BR</v>
      </c>
      <c r="L1169" s="42" t="str">
        <v>BR2102</v>
      </c>
      <c r="M1169" s="121" t="str">
        <v/>
      </c>
      <c r="N1169" s="121" t="str">
        <v/>
      </c>
      <c r="O1169" s="121" t="str">
        <v/>
      </c>
      <c r="P1169" s="121" t="str">
        <v/>
      </c>
      <c r="Q1169" s="121" t="str">
        <v/>
      </c>
      <c r="R1169" s="121" t="str">
        <v/>
      </c>
      <c r="S1169" s="121" t="str">
        <v>A message icon is presented near the customer menu, with a count of unread messages.</v>
      </c>
      <c r="T1169" s="119" t="str">
        <f>IF($C1169&lt;4,IF($C1169=3,T1170,IF($C1169=2,T$1,"")),Q1169&amp;R1169&amp;IF(LEN(S1169)=0,"",Preferences!$C$2&amp;S1169)&amp;IF(J1170=J1169,IF(LEN(R1169&amp;S1169)=0,"","
")&amp;T1170,""))</f>
        <v xml:space="preserve">	• A message icon is presented near the customer menu, with a count of unread messages.
	• After login, the user is prompted with an option to review their new message(s) - supersedes an in-progress shopping cart.
	• On their profile, a banner-alert is presented with an option to review their new messages.
 2. On clicking the alert, the user is presented their messages, as described in the View customer messages list requirement.</v>
      </c>
      <c r="U1169" s="122" t="str">
        <v/>
      </c>
      <c r="V1169" s="42"/>
      <c r="W1169" s="42"/>
      <c r="X1169" s="42"/>
      <c r="Y1169" s="42"/>
      <c r="Z1169" s="42"/>
      <c r="AA1169" s="42"/>
      <c r="AB1169" s="42"/>
    </row>
    <row r="1170" spans="1:28" x14ac:dyDescent="0.25">
      <c r="A1170" s="42" t="str">
        <v>1.21.2.1.2</v>
      </c>
      <c r="B1170" s="121" t="str">
        <v>After login, the user is prompted with an option to review their new message(s) - supersedes an in-progress shopping cart.</v>
      </c>
      <c r="C1170" s="41">
        <v>5</v>
      </c>
      <c r="D1170" s="41" t="str">
        <v>RL</v>
      </c>
      <c r="E1170" s="117" t="str">
        <f t="shared" si="0"/>
        <v>RL</v>
      </c>
      <c r="F1170" s="41" t="str">
        <v/>
      </c>
      <c r="G1170" s="41" t="str">
        <v/>
      </c>
      <c r="H1170" s="117">
        <f t="shared" si="1"/>
        <v>0</v>
      </c>
      <c r="I1170" s="117">
        <f t="shared" si="2"/>
        <v>21</v>
      </c>
      <c r="J1170" s="117">
        <f t="shared" si="3"/>
        <v>21.020000000000003</v>
      </c>
      <c r="K1170" s="117" t="str">
        <f t="shared" si="4"/>
        <v>BR</v>
      </c>
      <c r="L1170" s="42" t="str">
        <v>BR2102</v>
      </c>
      <c r="M1170" s="121" t="str">
        <v/>
      </c>
      <c r="N1170" s="121" t="str">
        <v/>
      </c>
      <c r="O1170" s="121" t="str">
        <v/>
      </c>
      <c r="P1170" s="121" t="str">
        <v/>
      </c>
      <c r="Q1170" s="121" t="str">
        <v/>
      </c>
      <c r="R1170" s="121" t="str">
        <v/>
      </c>
      <c r="S1170" s="121" t="str">
        <v>After login, the user is prompted with an option to review their new message(s) - supersedes an in-progress shopping cart.</v>
      </c>
      <c r="T1170" s="119" t="str">
        <f>IF($C1170&lt;4,IF($C1170=3,T1171,IF($C1170=2,T$1,"")),Q1170&amp;R1170&amp;IF(LEN(S1170)=0,"",Preferences!$C$2&amp;S1170)&amp;IF(J1171=J1170,IF(LEN(R1170&amp;S1170)=0,"","
")&amp;T1171,""))</f>
        <v xml:space="preserve">	• After login, the user is prompted with an option to review their new message(s) - supersedes an in-progress shopping cart.
	• On their profile, a banner-alert is presented with an option to review their new messages.
 2. On clicking the alert, the user is presented their messages, as described in the View customer messages list requirement.</v>
      </c>
      <c r="U1170" s="122" t="str">
        <v/>
      </c>
      <c r="V1170" s="42"/>
      <c r="W1170" s="42"/>
      <c r="X1170" s="42"/>
      <c r="Y1170" s="42"/>
      <c r="Z1170" s="42"/>
      <c r="AA1170" s="42"/>
      <c r="AB1170" s="42"/>
    </row>
    <row r="1171" spans="1:28" x14ac:dyDescent="0.25">
      <c r="A1171" s="42" t="str">
        <v>1.21.2.1.3</v>
      </c>
      <c r="B1171" s="121" t="str">
        <v>On their profile, a banner-alert is presented with an option to review their new messages.</v>
      </c>
      <c r="C1171" s="41">
        <v>5</v>
      </c>
      <c r="D1171" s="41" t="str">
        <v>RL</v>
      </c>
      <c r="E1171" s="117" t="str">
        <f t="shared" si="0"/>
        <v>RL</v>
      </c>
      <c r="F1171" s="41" t="str">
        <v/>
      </c>
      <c r="G1171" s="41" t="str">
        <v/>
      </c>
      <c r="H1171" s="117">
        <f t="shared" si="1"/>
        <v>0</v>
      </c>
      <c r="I1171" s="117">
        <f t="shared" si="2"/>
        <v>21</v>
      </c>
      <c r="J1171" s="117">
        <f t="shared" si="3"/>
        <v>21.020000000000003</v>
      </c>
      <c r="K1171" s="117" t="str">
        <f t="shared" si="4"/>
        <v>BR</v>
      </c>
      <c r="L1171" s="42" t="str">
        <v>BR2102</v>
      </c>
      <c r="M1171" s="121" t="str">
        <v/>
      </c>
      <c r="N1171" s="121" t="str">
        <v/>
      </c>
      <c r="O1171" s="121" t="str">
        <v/>
      </c>
      <c r="P1171" s="121" t="str">
        <v/>
      </c>
      <c r="Q1171" s="121" t="str">
        <v/>
      </c>
      <c r="R1171" s="121" t="str">
        <v/>
      </c>
      <c r="S1171" s="121" t="str">
        <v>On their profile, a banner-alert is presented with an option to review their new messages.</v>
      </c>
      <c r="T1171" s="119" t="str">
        <f>IF($C1171&lt;4,IF($C1171=3,T1172,IF($C1171=2,T$1,"")),Q1171&amp;R1171&amp;IF(LEN(S1171)=0,"",Preferences!$C$2&amp;S1171)&amp;IF(J1172=J1171,IF(LEN(R1171&amp;S1171)=0,"","
")&amp;T1172,""))</f>
        <v xml:space="preserve">	• On their profile, a banner-alert is presented with an option to review their new messages.
 2. On clicking the alert, the user is presented their messages, as described in the View customer messages list requirement.</v>
      </c>
      <c r="U1171" s="122" t="str">
        <v/>
      </c>
      <c r="V1171" s="42"/>
      <c r="W1171" s="42"/>
      <c r="X1171" s="42"/>
      <c r="Y1171" s="42"/>
      <c r="Z1171" s="42"/>
      <c r="AA1171" s="42"/>
      <c r="AB1171" s="42"/>
    </row>
    <row r="1172" spans="1:28" x14ac:dyDescent="0.25">
      <c r="A1172" s="42" t="str">
        <v>1.21.2.2</v>
      </c>
      <c r="B1172" s="121" t="str">
        <v>On clicking the alert, the user is presented their messages, as described in the View customer messages list requirement.</v>
      </c>
      <c r="C1172" s="41">
        <v>4</v>
      </c>
      <c r="D1172" s="41" t="str">
        <v>RD</v>
      </c>
      <c r="E1172" s="117" t="str">
        <f t="shared" si="0"/>
        <v>RD</v>
      </c>
      <c r="F1172" s="41" t="str">
        <v/>
      </c>
      <c r="G1172" s="41" t="str">
        <v/>
      </c>
      <c r="H1172" s="117">
        <f t="shared" si="1"/>
        <v>0</v>
      </c>
      <c r="I1172" s="117">
        <f t="shared" si="2"/>
        <v>21</v>
      </c>
      <c r="J1172" s="117">
        <f t="shared" si="3"/>
        <v>21.020000000000003</v>
      </c>
      <c r="K1172" s="117" t="str">
        <f t="shared" si="4"/>
        <v>BR</v>
      </c>
      <c r="L1172" s="42" t="str">
        <v>BR2102</v>
      </c>
      <c r="M1172" s="121" t="str">
        <v/>
      </c>
      <c r="N1172" s="121" t="str">
        <v/>
      </c>
      <c r="O1172" s="121" t="str">
        <v/>
      </c>
      <c r="P1172" s="121" t="str">
        <v/>
      </c>
      <c r="Q1172" s="121" t="str">
        <v xml:space="preserve"> 2. </v>
      </c>
      <c r="R1172" s="121" t="str">
        <v>On clicking the alert, the user is presented their messages, as described in the View customer messages list requirement.</v>
      </c>
      <c r="S1172" s="121" t="str">
        <v/>
      </c>
      <c r="T1172" s="119" t="str">
        <f>IF($C1172&lt;4,IF($C1172=3,T1173,IF($C1172=2,T$1,"")),Q1172&amp;R1172&amp;IF(LEN(S1172)=0,"",Preferences!$C$2&amp;S1172)&amp;IF(J1173=J1172,IF(LEN(R1172&amp;S1172)=0,"","
")&amp;T1173,""))</f>
        <v xml:space="preserve"> 2. On clicking the alert, the user is presented their messages, as described in the View customer messages list requirement.</v>
      </c>
      <c r="U1172" s="122" t="str">
        <v/>
      </c>
      <c r="V1172" s="42"/>
      <c r="W1172" s="42"/>
      <c r="X1172" s="42"/>
      <c r="Y1172" s="42"/>
      <c r="Z1172" s="42"/>
      <c r="AA1172" s="42"/>
      <c r="AB1172" s="42"/>
    </row>
    <row r="1173" spans="1:28" x14ac:dyDescent="0.25">
      <c r="A1173" s="42" t="str">
        <v>1.21.3</v>
      </c>
      <c r="B1173" s="121" t="str">
        <v>21.3 Customer views their messages list.</v>
      </c>
      <c r="C1173" s="41">
        <v>3</v>
      </c>
      <c r="D1173" s="41" t="str">
        <v>R</v>
      </c>
      <c r="E1173" s="117" t="str">
        <f t="shared" si="0"/>
        <v>R</v>
      </c>
      <c r="F1173" s="41" t="str">
        <v/>
      </c>
      <c r="G1173" s="41" t="str">
        <v/>
      </c>
      <c r="H1173" s="117">
        <f t="shared" si="1"/>
        <v>0</v>
      </c>
      <c r="I1173" s="117">
        <f t="shared" si="2"/>
        <v>21</v>
      </c>
      <c r="J1173" s="117">
        <f t="shared" si="3"/>
        <v>21.030000000000005</v>
      </c>
      <c r="K1173" s="117" t="str">
        <f t="shared" si="4"/>
        <v>BR</v>
      </c>
      <c r="L1173" s="42" t="str">
        <v>BR2103</v>
      </c>
      <c r="M1173" s="121" t="str">
        <v/>
      </c>
      <c r="N1173" s="121" t="str">
        <v/>
      </c>
      <c r="O1173" s="121" t="str">
        <v>BR2103</v>
      </c>
      <c r="P1173" s="121" t="str">
        <v>Customer views their messages list.</v>
      </c>
      <c r="Q1173" s="121" t="str">
        <v/>
      </c>
      <c r="R1173" s="121" t="str">
        <v/>
      </c>
      <c r="S1173" s="121" t="str">
        <v/>
      </c>
      <c r="T1173" s="119" t="str">
        <f>IF($C1173&lt;4,IF($C1173=3,T1174,IF($C1173=2,T$1,"")),Q1173&amp;R1173&amp;IF(LEN(S1173)=0,"",Preferences!$C$2&amp;S1173)&amp;IF(J1174=J1173,IF(LEN(R1173&amp;S1173)=0,"","
")&amp;T1174,""))</f>
        <v xml:space="preserve"> 1. A customer can choose to view their messages list:
	• From their user menu (My Messages)
	• From a message alert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3" s="122" t="str">
        <v/>
      </c>
      <c r="V1173" s="42"/>
      <c r="W1173" s="42"/>
      <c r="X1173" s="42"/>
      <c r="Y1173" s="42"/>
      <c r="Z1173" s="42"/>
      <c r="AA1173" s="42"/>
      <c r="AB1173" s="42"/>
    </row>
    <row r="1174" spans="1:28" x14ac:dyDescent="0.25">
      <c r="A1174" s="42" t="str">
        <v>1.21.3.1</v>
      </c>
      <c r="B1174" s="121" t="str">
        <v>A customer can choose to view their messages list:</v>
      </c>
      <c r="C1174" s="41">
        <v>4</v>
      </c>
      <c r="D1174" s="41" t="str">
        <v>RD</v>
      </c>
      <c r="E1174" s="117" t="str">
        <f t="shared" si="0"/>
        <v>RD</v>
      </c>
      <c r="F1174" s="41" t="str">
        <v/>
      </c>
      <c r="G1174" s="41" t="str">
        <v/>
      </c>
      <c r="H1174" s="117">
        <f t="shared" si="1"/>
        <v>0</v>
      </c>
      <c r="I1174" s="117">
        <f t="shared" si="2"/>
        <v>21</v>
      </c>
      <c r="J1174" s="117">
        <f t="shared" si="3"/>
        <v>21.030000000000005</v>
      </c>
      <c r="K1174" s="117" t="str">
        <f t="shared" si="4"/>
        <v>BR</v>
      </c>
      <c r="L1174" s="42" t="str">
        <v>BR2103</v>
      </c>
      <c r="M1174" s="121" t="str">
        <v/>
      </c>
      <c r="N1174" s="121" t="str">
        <v/>
      </c>
      <c r="O1174" s="121" t="str">
        <v/>
      </c>
      <c r="P1174" s="121" t="str">
        <v/>
      </c>
      <c r="Q1174" s="121" t="str">
        <v xml:space="preserve"> 1. </v>
      </c>
      <c r="R1174" s="121" t="str">
        <v>A customer can choose to view their messages list:</v>
      </c>
      <c r="S1174" s="121" t="str">
        <v/>
      </c>
      <c r="T1174" s="119" t="str">
        <f>IF($C1174&lt;4,IF($C1174=3,T1175,IF($C1174=2,T$1,"")),Q1174&amp;R1174&amp;IF(LEN(S1174)=0,"",Preferences!$C$2&amp;S1174)&amp;IF(J1175=J1174,IF(LEN(R1174&amp;S1174)=0,"","
")&amp;T1175,""))</f>
        <v xml:space="preserve"> 1. A customer can choose to view their messages list:
	• From their user menu (My Messages)
	• From a message alert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4" s="122" t="str">
        <v/>
      </c>
      <c r="V1174" s="42"/>
      <c r="W1174" s="42"/>
      <c r="X1174" s="42"/>
      <c r="Y1174" s="42"/>
      <c r="Z1174" s="42"/>
      <c r="AA1174" s="42"/>
      <c r="AB1174" s="42"/>
    </row>
    <row r="1175" spans="1:28" x14ac:dyDescent="0.25">
      <c r="A1175" s="42" t="str">
        <v>1.21.3.1.1</v>
      </c>
      <c r="B1175" s="121" t="str">
        <v>From their user menu (My Messages)</v>
      </c>
      <c r="C1175" s="41">
        <v>5</v>
      </c>
      <c r="D1175" s="41" t="str">
        <v>RL</v>
      </c>
      <c r="E1175" s="117" t="str">
        <f t="shared" si="0"/>
        <v>RL</v>
      </c>
      <c r="F1175" s="41" t="str">
        <v/>
      </c>
      <c r="G1175" s="41" t="str">
        <v/>
      </c>
      <c r="H1175" s="117">
        <f t="shared" si="1"/>
        <v>0</v>
      </c>
      <c r="I1175" s="117">
        <f t="shared" si="2"/>
        <v>21</v>
      </c>
      <c r="J1175" s="117">
        <f t="shared" si="3"/>
        <v>21.030000000000005</v>
      </c>
      <c r="K1175" s="117" t="str">
        <f t="shared" si="4"/>
        <v>BR</v>
      </c>
      <c r="L1175" s="42" t="str">
        <v>BR2103</v>
      </c>
      <c r="M1175" s="121" t="str">
        <v/>
      </c>
      <c r="N1175" s="121" t="str">
        <v/>
      </c>
      <c r="O1175" s="121" t="str">
        <v/>
      </c>
      <c r="P1175" s="121" t="str">
        <v/>
      </c>
      <c r="Q1175" s="121" t="str">
        <v/>
      </c>
      <c r="R1175" s="121" t="str">
        <v/>
      </c>
      <c r="S1175" s="121" t="str">
        <v>From their user menu (My Messages)</v>
      </c>
      <c r="T1175" s="119" t="str">
        <f>IF($C1175&lt;4,IF($C1175=3,T1176,IF($C1175=2,T$1,"")),Q1175&amp;R1175&amp;IF(LEN(S1175)=0,"",Preferences!$C$2&amp;S1175)&amp;IF(J1176=J1175,IF(LEN(R1175&amp;S1175)=0,"","
")&amp;T1176,""))</f>
        <v xml:space="preserve">	• From their user menu (My Messages)
	• From a message alert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5" s="122" t="str">
        <v/>
      </c>
      <c r="V1175" s="42"/>
      <c r="W1175" s="42"/>
      <c r="X1175" s="42"/>
      <c r="Y1175" s="42"/>
      <c r="Z1175" s="42"/>
      <c r="AA1175" s="42"/>
      <c r="AB1175" s="42"/>
    </row>
    <row r="1176" spans="1:28" x14ac:dyDescent="0.25">
      <c r="A1176" s="42" t="str">
        <v>1.21.3.1.2</v>
      </c>
      <c r="B1176" s="121" t="str">
        <v>From a message alert</v>
      </c>
      <c r="C1176" s="41">
        <v>5</v>
      </c>
      <c r="D1176" s="41" t="str">
        <v>RL</v>
      </c>
      <c r="E1176" s="117" t="str">
        <f t="shared" si="0"/>
        <v>RL</v>
      </c>
      <c r="F1176" s="41" t="str">
        <v/>
      </c>
      <c r="G1176" s="41" t="str">
        <v/>
      </c>
      <c r="H1176" s="117">
        <f t="shared" si="1"/>
        <v>0</v>
      </c>
      <c r="I1176" s="117">
        <f t="shared" si="2"/>
        <v>21</v>
      </c>
      <c r="J1176" s="117">
        <f t="shared" si="3"/>
        <v>21.030000000000005</v>
      </c>
      <c r="K1176" s="117" t="str">
        <f t="shared" si="4"/>
        <v>BR</v>
      </c>
      <c r="L1176" s="42" t="str">
        <v>BR2103</v>
      </c>
      <c r="M1176" s="121" t="str">
        <v/>
      </c>
      <c r="N1176" s="121" t="str">
        <v/>
      </c>
      <c r="O1176" s="121" t="str">
        <v/>
      </c>
      <c r="P1176" s="121" t="str">
        <v/>
      </c>
      <c r="Q1176" s="121" t="str">
        <v/>
      </c>
      <c r="R1176" s="121" t="str">
        <v/>
      </c>
      <c r="S1176" s="121" t="str">
        <v>From a message alert</v>
      </c>
      <c r="T1176" s="119" t="str">
        <f>IF($C1176&lt;4,IF($C1176=3,T1177,IF($C1176=2,T$1,"")),Q1176&amp;R1176&amp;IF(LEN(S1176)=0,"",Preferences!$C$2&amp;S1176)&amp;IF(J1177=J1176,IF(LEN(R1176&amp;S1176)=0,"","
")&amp;T1177,""))</f>
        <v xml:space="preserve">	• From a message alert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6" s="122" t="str">
        <v/>
      </c>
      <c r="V1176" s="42"/>
      <c r="W1176" s="42"/>
      <c r="X1176" s="42"/>
      <c r="Y1176" s="42"/>
      <c r="Z1176" s="42"/>
      <c r="AA1176" s="42"/>
      <c r="AB1176" s="42"/>
    </row>
    <row r="1177" spans="1:28" x14ac:dyDescent="0.25">
      <c r="A1177" s="42" t="str">
        <v>1.21.3.2</v>
      </c>
      <c r="B1177" s="121" t="str">
        <v>Present at least the following for each messages in the list:</v>
      </c>
      <c r="C1177" s="41">
        <v>4</v>
      </c>
      <c r="D1177" s="41" t="str">
        <v>RD</v>
      </c>
      <c r="E1177" s="117" t="str">
        <f t="shared" si="0"/>
        <v>RD</v>
      </c>
      <c r="F1177" s="41" t="str">
        <v/>
      </c>
      <c r="G1177" s="41" t="str">
        <v/>
      </c>
      <c r="H1177" s="117">
        <f t="shared" si="1"/>
        <v>0</v>
      </c>
      <c r="I1177" s="117">
        <f t="shared" si="2"/>
        <v>21</v>
      </c>
      <c r="J1177" s="117">
        <f t="shared" si="3"/>
        <v>21.030000000000005</v>
      </c>
      <c r="K1177" s="117" t="str">
        <f t="shared" si="4"/>
        <v>BR</v>
      </c>
      <c r="L1177" s="42" t="str">
        <v>BR2103</v>
      </c>
      <c r="M1177" s="121" t="str">
        <v/>
      </c>
      <c r="N1177" s="121" t="str">
        <v/>
      </c>
      <c r="O1177" s="121" t="str">
        <v/>
      </c>
      <c r="P1177" s="121" t="str">
        <v/>
      </c>
      <c r="Q1177" s="121" t="str">
        <v xml:space="preserve"> 2. </v>
      </c>
      <c r="R1177" s="121" t="str">
        <v>Present at least the following for each messages in the list:</v>
      </c>
      <c r="S1177" s="121" t="str">
        <v/>
      </c>
      <c r="T1177" s="119" t="str">
        <f>IF($C1177&lt;4,IF($C1177=3,T1178,IF($C1177=2,T$1,"")),Q1177&amp;R1177&amp;IF(LEN(S1177)=0,"",Preferences!$C$2&amp;S1177)&amp;IF(J1178=J1177,IF(LEN(R1177&amp;S1177)=0,"","
")&amp;T1178,""))</f>
        <v xml:space="preserve"> 2. Present at least the following for each messages in the list: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7" s="122" t="str">
        <v/>
      </c>
      <c r="V1177" s="42"/>
      <c r="W1177" s="42"/>
      <c r="X1177" s="42"/>
      <c r="Y1177" s="42"/>
      <c r="Z1177" s="42"/>
      <c r="AA1177" s="42"/>
      <c r="AB1177" s="42"/>
    </row>
    <row r="1178" spans="1:28" x14ac:dyDescent="0.25">
      <c r="A1178" s="42" t="str">
        <v>1.21.3.2.1</v>
      </c>
      <c r="B1178" s="121" t="str">
        <v>Message reference (link to view message)</v>
      </c>
      <c r="C1178" s="41">
        <v>5</v>
      </c>
      <c r="D1178" s="41" t="str">
        <v>RL</v>
      </c>
      <c r="E1178" s="117" t="str">
        <f t="shared" si="0"/>
        <v>RL</v>
      </c>
      <c r="F1178" s="41" t="str">
        <v/>
      </c>
      <c r="G1178" s="41" t="str">
        <v/>
      </c>
      <c r="H1178" s="117">
        <f t="shared" si="1"/>
        <v>0</v>
      </c>
      <c r="I1178" s="117">
        <f t="shared" si="2"/>
        <v>21</v>
      </c>
      <c r="J1178" s="117">
        <f t="shared" si="3"/>
        <v>21.030000000000005</v>
      </c>
      <c r="K1178" s="117" t="str">
        <f t="shared" si="4"/>
        <v>BR</v>
      </c>
      <c r="L1178" s="42" t="str">
        <v>BR2103</v>
      </c>
      <c r="M1178" s="121" t="str">
        <v/>
      </c>
      <c r="N1178" s="121" t="str">
        <v/>
      </c>
      <c r="O1178" s="121" t="str">
        <v/>
      </c>
      <c r="P1178" s="121" t="str">
        <v/>
      </c>
      <c r="Q1178" s="121" t="str">
        <v/>
      </c>
      <c r="R1178" s="121" t="str">
        <v/>
      </c>
      <c r="S1178" s="121" t="str">
        <v>Message reference (link to view message)</v>
      </c>
      <c r="T1178" s="119" t="str">
        <f>IF($C1178&lt;4,IF($C1178=3,T1179,IF($C1178=2,T$1,"")),Q1178&amp;R1178&amp;IF(LEN(S1178)=0,"",Preferences!$C$2&amp;S1178)&amp;IF(J1179=J1178,IF(LEN(R1178&amp;S1178)=0,"","
")&amp;T1179,""))</f>
        <v xml:space="preserve">	• Message reference (link to view message)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8" s="122" t="str">
        <v/>
      </c>
      <c r="V1178" s="42"/>
      <c r="W1178" s="42"/>
      <c r="X1178" s="42"/>
      <c r="Y1178" s="42"/>
      <c r="Z1178" s="42"/>
      <c r="AA1178" s="42"/>
      <c r="AB1178" s="42"/>
    </row>
    <row r="1179" spans="1:28" x14ac:dyDescent="0.25">
      <c r="A1179" s="42" t="str">
        <v>1.21.3.2.2</v>
      </c>
      <c r="B1179" s="121" t="str">
        <v>Date-time of message</v>
      </c>
      <c r="C1179" s="41">
        <v>5</v>
      </c>
      <c r="D1179" s="41" t="str">
        <v>RL</v>
      </c>
      <c r="E1179" s="117" t="str">
        <f t="shared" si="0"/>
        <v>RL</v>
      </c>
      <c r="F1179" s="41" t="str">
        <v/>
      </c>
      <c r="G1179" s="41" t="str">
        <v/>
      </c>
      <c r="H1179" s="117">
        <f t="shared" si="1"/>
        <v>0</v>
      </c>
      <c r="I1179" s="117">
        <f t="shared" si="2"/>
        <v>21</v>
      </c>
      <c r="J1179" s="117">
        <f t="shared" si="3"/>
        <v>21.030000000000005</v>
      </c>
      <c r="K1179" s="117" t="str">
        <f t="shared" si="4"/>
        <v>BR</v>
      </c>
      <c r="L1179" s="42" t="str">
        <v>BR2103</v>
      </c>
      <c r="M1179" s="121" t="str">
        <v/>
      </c>
      <c r="N1179" s="121" t="str">
        <v/>
      </c>
      <c r="O1179" s="121" t="str">
        <v/>
      </c>
      <c r="P1179" s="121" t="str">
        <v/>
      </c>
      <c r="Q1179" s="121" t="str">
        <v/>
      </c>
      <c r="R1179" s="121" t="str">
        <v/>
      </c>
      <c r="S1179" s="121" t="str">
        <v>Date-time of message</v>
      </c>
      <c r="T1179" s="119" t="str">
        <f>IF($C1179&lt;4,IF($C1179=3,T1180,IF($C1179=2,T$1,"")),Q1179&amp;R1179&amp;IF(LEN(S1179)=0,"",Preferences!$C$2&amp;S1179)&amp;IF(J1180=J1179,IF(LEN(R1179&amp;S1179)=0,"","
")&amp;T1180,""))</f>
        <v xml:space="preserve">	• Date-time of message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79" s="122" t="str">
        <v/>
      </c>
      <c r="V1179" s="42"/>
      <c r="W1179" s="42"/>
      <c r="X1179" s="42"/>
      <c r="Y1179" s="42"/>
      <c r="Z1179" s="42"/>
      <c r="AA1179" s="42"/>
      <c r="AB1179" s="42"/>
    </row>
    <row r="1180" spans="1:28" x14ac:dyDescent="0.25">
      <c r="A1180" s="42" t="str">
        <v>1.21.3.2.3</v>
      </c>
      <c r="B1180" s="121" t="str">
        <v>Message subject (link to view message)</v>
      </c>
      <c r="C1180" s="41">
        <v>5</v>
      </c>
      <c r="D1180" s="41" t="str">
        <v>RL</v>
      </c>
      <c r="E1180" s="117" t="str">
        <f t="shared" si="0"/>
        <v>RL</v>
      </c>
      <c r="F1180" s="41" t="str">
        <v/>
      </c>
      <c r="G1180" s="41" t="str">
        <v/>
      </c>
      <c r="H1180" s="117">
        <f t="shared" si="1"/>
        <v>0</v>
      </c>
      <c r="I1180" s="117">
        <f t="shared" si="2"/>
        <v>21</v>
      </c>
      <c r="J1180" s="117">
        <f t="shared" si="3"/>
        <v>21.030000000000005</v>
      </c>
      <c r="K1180" s="117" t="str">
        <f t="shared" si="4"/>
        <v>BR</v>
      </c>
      <c r="L1180" s="42" t="str">
        <v>BR2103</v>
      </c>
      <c r="M1180" s="121" t="str">
        <v/>
      </c>
      <c r="N1180" s="121" t="str">
        <v/>
      </c>
      <c r="O1180" s="121" t="str">
        <v/>
      </c>
      <c r="P1180" s="121" t="str">
        <v/>
      </c>
      <c r="Q1180" s="121" t="str">
        <v/>
      </c>
      <c r="R1180" s="121" t="str">
        <v/>
      </c>
      <c r="S1180" s="121" t="str">
        <v>Message subject (link to view message)</v>
      </c>
      <c r="T1180" s="119" t="str">
        <f>IF($C1180&lt;4,IF($C1180=3,T1181,IF($C1180=2,T$1,"")),Q1180&amp;R1180&amp;IF(LEN(S1180)=0,"",Preferences!$C$2&amp;S1180)&amp;IF(J1181=J1180,IF(LEN(R1180&amp;S1180)=0,"","
")&amp;T1181,""))</f>
        <v xml:space="preserve">	• Message subject (link to view message)
	• Message type
	• Order Number (if relevant; link to order detail)
	• A view message icon (link to view message)
	• A mark-as-read icon, to mark the message as read.
 3. The list of messages are sorted in date descending order, with unread messages clearly highlighted.</v>
      </c>
      <c r="U1180" s="122" t="str">
        <v/>
      </c>
      <c r="V1180" s="42"/>
      <c r="W1180" s="42"/>
      <c r="X1180" s="42"/>
      <c r="Y1180" s="42"/>
      <c r="Z1180" s="42"/>
      <c r="AA1180" s="42"/>
      <c r="AB1180" s="42"/>
    </row>
    <row r="1181" spans="1:28" x14ac:dyDescent="0.25">
      <c r="A1181" s="42" t="str">
        <v>1.21.3.2.4</v>
      </c>
      <c r="B1181" s="121" t="str">
        <v>Message type</v>
      </c>
      <c r="C1181" s="41">
        <v>5</v>
      </c>
      <c r="D1181" s="41" t="str">
        <v>RL</v>
      </c>
      <c r="E1181" s="117" t="str">
        <f t="shared" si="0"/>
        <v>RL</v>
      </c>
      <c r="F1181" s="41" t="str">
        <v/>
      </c>
      <c r="G1181" s="41" t="str">
        <v/>
      </c>
      <c r="H1181" s="117">
        <f t="shared" si="1"/>
        <v>0</v>
      </c>
      <c r="I1181" s="117">
        <f t="shared" si="2"/>
        <v>21</v>
      </c>
      <c r="J1181" s="117">
        <f t="shared" si="3"/>
        <v>21.030000000000005</v>
      </c>
      <c r="K1181" s="117" t="str">
        <f t="shared" si="4"/>
        <v>BR</v>
      </c>
      <c r="L1181" s="42" t="str">
        <v>BR2103</v>
      </c>
      <c r="M1181" s="121" t="str">
        <v/>
      </c>
      <c r="N1181" s="121" t="str">
        <v/>
      </c>
      <c r="O1181" s="121" t="str">
        <v/>
      </c>
      <c r="P1181" s="121" t="str">
        <v/>
      </c>
      <c r="Q1181" s="121" t="str">
        <v/>
      </c>
      <c r="R1181" s="121" t="str">
        <v/>
      </c>
      <c r="S1181" s="121" t="str">
        <v>Message type</v>
      </c>
      <c r="T1181" s="119" t="str">
        <f>IF($C1181&lt;4,IF($C1181=3,T1182,IF($C1181=2,T$1,"")),Q1181&amp;R1181&amp;IF(LEN(S1181)=0,"",Preferences!$C$2&amp;S1181)&amp;IF(J1182=J1181,IF(LEN(R1181&amp;S1181)=0,"","
")&amp;T1182,""))</f>
        <v xml:space="preserve">	• Message type
	• Order Number (if relevant; link to order detail)
	• A view message icon (link to view message)
	• A mark-as-read icon, to mark the message as read.
 3. The list of messages are sorted in date descending order, with unread messages clearly highlighted.</v>
      </c>
      <c r="U1181" s="122" t="str">
        <v/>
      </c>
      <c r="V1181" s="42"/>
      <c r="W1181" s="42"/>
      <c r="X1181" s="42"/>
      <c r="Y1181" s="42"/>
      <c r="Z1181" s="42"/>
      <c r="AA1181" s="42"/>
      <c r="AB1181" s="42"/>
    </row>
    <row r="1182" spans="1:28" x14ac:dyDescent="0.25">
      <c r="A1182" s="42" t="str">
        <v>1.21.3.2.5</v>
      </c>
      <c r="B1182" s="121" t="str">
        <v>Order Number (if relevant; link to order detail)</v>
      </c>
      <c r="C1182" s="41">
        <v>5</v>
      </c>
      <c r="D1182" s="41" t="str">
        <v>RL</v>
      </c>
      <c r="E1182" s="117" t="str">
        <f t="shared" si="0"/>
        <v>RL</v>
      </c>
      <c r="F1182" s="41" t="str">
        <v/>
      </c>
      <c r="G1182" s="41" t="str">
        <v/>
      </c>
      <c r="H1182" s="117">
        <f t="shared" si="1"/>
        <v>0</v>
      </c>
      <c r="I1182" s="117">
        <f t="shared" si="2"/>
        <v>21</v>
      </c>
      <c r="J1182" s="117">
        <f t="shared" si="3"/>
        <v>21.030000000000005</v>
      </c>
      <c r="K1182" s="117" t="str">
        <f t="shared" si="4"/>
        <v>BR</v>
      </c>
      <c r="L1182" s="42" t="str">
        <v>BR2103</v>
      </c>
      <c r="M1182" s="121" t="str">
        <v/>
      </c>
      <c r="N1182" s="121" t="str">
        <v/>
      </c>
      <c r="O1182" s="121" t="str">
        <v/>
      </c>
      <c r="P1182" s="121" t="str">
        <v/>
      </c>
      <c r="Q1182" s="121" t="str">
        <v/>
      </c>
      <c r="R1182" s="121" t="str">
        <v/>
      </c>
      <c r="S1182" s="121" t="str">
        <v>Order Number (if relevant; link to order detail)</v>
      </c>
      <c r="T1182" s="119" t="str">
        <f>IF($C1182&lt;4,IF($C1182=3,T1183,IF($C1182=2,T$1,"")),Q1182&amp;R1182&amp;IF(LEN(S1182)=0,"",Preferences!$C$2&amp;S1182)&amp;IF(J1183=J1182,IF(LEN(R1182&amp;S1182)=0,"","
")&amp;T1183,""))</f>
        <v xml:space="preserve">	• Order Number (if relevant; link to order detail)
	• A view message icon (link to view message)
	• A mark-as-read icon, to mark the message as read.
 3. The list of messages are sorted in date descending order, with unread messages clearly highlighted.</v>
      </c>
      <c r="U1182" s="122" t="str">
        <v/>
      </c>
      <c r="V1182" s="42"/>
      <c r="W1182" s="42"/>
      <c r="X1182" s="42"/>
      <c r="Y1182" s="42"/>
      <c r="Z1182" s="42"/>
      <c r="AA1182" s="42"/>
      <c r="AB1182" s="42"/>
    </row>
    <row r="1183" spans="1:28" x14ac:dyDescent="0.25">
      <c r="A1183" s="42" t="str">
        <v>1.21.3.2.6</v>
      </c>
      <c r="B1183" s="121" t="str">
        <v>A view message icon (link to view message)</v>
      </c>
      <c r="C1183" s="41">
        <v>5</v>
      </c>
      <c r="D1183" s="41" t="str">
        <v>RL</v>
      </c>
      <c r="E1183" s="117" t="str">
        <f t="shared" si="0"/>
        <v>RL</v>
      </c>
      <c r="F1183" s="41" t="str">
        <v/>
      </c>
      <c r="G1183" s="41" t="str">
        <v/>
      </c>
      <c r="H1183" s="117">
        <f t="shared" si="1"/>
        <v>0</v>
      </c>
      <c r="I1183" s="117">
        <f t="shared" si="2"/>
        <v>21</v>
      </c>
      <c r="J1183" s="117">
        <f t="shared" si="3"/>
        <v>21.030000000000005</v>
      </c>
      <c r="K1183" s="117" t="str">
        <f t="shared" si="4"/>
        <v>BR</v>
      </c>
      <c r="L1183" s="42" t="str">
        <v>BR2103</v>
      </c>
      <c r="M1183" s="121" t="str">
        <v/>
      </c>
      <c r="N1183" s="121" t="str">
        <v/>
      </c>
      <c r="O1183" s="121" t="str">
        <v/>
      </c>
      <c r="P1183" s="121" t="str">
        <v/>
      </c>
      <c r="Q1183" s="121" t="str">
        <v/>
      </c>
      <c r="R1183" s="121" t="str">
        <v/>
      </c>
      <c r="S1183" s="121" t="str">
        <v>A view message icon (link to view message)</v>
      </c>
      <c r="T1183" s="119" t="str">
        <f>IF($C1183&lt;4,IF($C1183=3,T1184,IF($C1183=2,T$1,"")),Q1183&amp;R1183&amp;IF(LEN(S1183)=0,"",Preferences!$C$2&amp;S1183)&amp;IF(J1184=J1183,IF(LEN(R1183&amp;S1183)=0,"","
")&amp;T1184,""))</f>
        <v xml:space="preserve">	• A view message icon (link to view message)
	• A mark-as-read icon, to mark the message as read.
 3. The list of messages are sorted in date descending order, with unread messages clearly highlighted.</v>
      </c>
      <c r="U1183" s="122" t="str">
        <v/>
      </c>
      <c r="V1183" s="42"/>
      <c r="W1183" s="42"/>
      <c r="X1183" s="42"/>
      <c r="Y1183" s="42"/>
      <c r="Z1183" s="42"/>
      <c r="AA1183" s="42"/>
      <c r="AB1183" s="42"/>
    </row>
    <row r="1184" spans="1:28" x14ac:dyDescent="0.25">
      <c r="A1184" s="42" t="str">
        <v>1.21.3.2.7</v>
      </c>
      <c r="B1184" s="121" t="str">
        <v>A mark-as-read icon, to mark the message as read.</v>
      </c>
      <c r="C1184" s="41">
        <v>5</v>
      </c>
      <c r="D1184" s="41" t="str">
        <v>RL</v>
      </c>
      <c r="E1184" s="117" t="str">
        <f t="shared" si="0"/>
        <v>RL</v>
      </c>
      <c r="F1184" s="41" t="str">
        <v/>
      </c>
      <c r="G1184" s="41" t="str">
        <v/>
      </c>
      <c r="H1184" s="117">
        <f t="shared" si="1"/>
        <v>0</v>
      </c>
      <c r="I1184" s="117">
        <f t="shared" si="2"/>
        <v>21</v>
      </c>
      <c r="J1184" s="117">
        <f t="shared" si="3"/>
        <v>21.030000000000005</v>
      </c>
      <c r="K1184" s="117" t="str">
        <f t="shared" si="4"/>
        <v>BR</v>
      </c>
      <c r="L1184" s="42" t="str">
        <v>BR2103</v>
      </c>
      <c r="M1184" s="121" t="str">
        <v/>
      </c>
      <c r="N1184" s="121" t="str">
        <v/>
      </c>
      <c r="O1184" s="121" t="str">
        <v/>
      </c>
      <c r="P1184" s="121" t="str">
        <v/>
      </c>
      <c r="Q1184" s="121" t="str">
        <v/>
      </c>
      <c r="R1184" s="121" t="str">
        <v/>
      </c>
      <c r="S1184" s="121" t="str">
        <v>A mark-as-read icon, to mark the message as read.</v>
      </c>
      <c r="T1184" s="119" t="str">
        <f>IF($C1184&lt;4,IF($C1184=3,T1185,IF($C1184=2,T$1,"")),Q1184&amp;R1184&amp;IF(LEN(S1184)=0,"",Preferences!$C$2&amp;S1184)&amp;IF(J1185=J1184,IF(LEN(R1184&amp;S1184)=0,"","
")&amp;T1185,""))</f>
        <v xml:space="preserve">	• A mark-as-read icon, to mark the message as read.
 3. The list of messages are sorted in date descending order, with unread messages clearly highlighted.</v>
      </c>
      <c r="U1184" s="122" t="str">
        <v/>
      </c>
      <c r="V1184" s="42"/>
      <c r="W1184" s="42"/>
      <c r="X1184" s="42"/>
      <c r="Y1184" s="42"/>
      <c r="Z1184" s="42"/>
      <c r="AA1184" s="42"/>
      <c r="AB1184" s="42"/>
    </row>
    <row r="1185" spans="1:28" x14ac:dyDescent="0.25">
      <c r="A1185" s="42" t="str">
        <v>1.21.3.3</v>
      </c>
      <c r="B1185" s="121" t="str">
        <v>The list of messages are sorted in date descending order, with unread messages clearly highlighted.</v>
      </c>
      <c r="C1185" s="41">
        <v>4</v>
      </c>
      <c r="D1185" s="41" t="str">
        <v>RD</v>
      </c>
      <c r="E1185" s="117" t="str">
        <f t="shared" si="0"/>
        <v>RD</v>
      </c>
      <c r="F1185" s="41" t="str">
        <v/>
      </c>
      <c r="G1185" s="41" t="str">
        <v/>
      </c>
      <c r="H1185" s="117">
        <f t="shared" si="1"/>
        <v>0</v>
      </c>
      <c r="I1185" s="117">
        <f t="shared" si="2"/>
        <v>21</v>
      </c>
      <c r="J1185" s="117">
        <f t="shared" si="3"/>
        <v>21.030000000000005</v>
      </c>
      <c r="K1185" s="117" t="str">
        <f t="shared" si="4"/>
        <v>BR</v>
      </c>
      <c r="L1185" s="42" t="str">
        <v>BR2103</v>
      </c>
      <c r="M1185" s="121" t="str">
        <v/>
      </c>
      <c r="N1185" s="121" t="str">
        <v/>
      </c>
      <c r="O1185" s="121" t="str">
        <v/>
      </c>
      <c r="P1185" s="121" t="str">
        <v/>
      </c>
      <c r="Q1185" s="121" t="str">
        <v xml:space="preserve"> 3. </v>
      </c>
      <c r="R1185" s="121" t="str">
        <v>The list of messages are sorted in date descending order, with unread messages clearly highlighted.</v>
      </c>
      <c r="S1185" s="121" t="str">
        <v/>
      </c>
      <c r="T1185" s="119" t="str">
        <f>IF($C1185&lt;4,IF($C1185=3,T1186,IF($C1185=2,T$1,"")),Q1185&amp;R1185&amp;IF(LEN(S1185)=0,"",Preferences!$C$2&amp;S1185)&amp;IF(J1186=J1185,IF(LEN(R1185&amp;S1185)=0,"","
")&amp;T1186,""))</f>
        <v xml:space="preserve"> 3. The list of messages are sorted in date descending order, with unread messages clearly highlighted.</v>
      </c>
      <c r="U1185" s="122" t="str">
        <v/>
      </c>
      <c r="V1185" s="42"/>
      <c r="W1185" s="42"/>
      <c r="X1185" s="42"/>
      <c r="Y1185" s="42"/>
      <c r="Z1185" s="42"/>
      <c r="AA1185" s="42"/>
      <c r="AB1185" s="42"/>
    </row>
    <row r="1186" spans="1:28" x14ac:dyDescent="0.25">
      <c r="A1186" s="42" t="str">
        <v>1.21.4</v>
      </c>
      <c r="B1186" s="121" t="str">
        <v>21.4 Customer views message detail</v>
      </c>
      <c r="C1186" s="41">
        <v>3</v>
      </c>
      <c r="D1186" s="41" t="str">
        <v>R</v>
      </c>
      <c r="E1186" s="117" t="str">
        <f t="shared" si="0"/>
        <v>R</v>
      </c>
      <c r="F1186" s="41" t="str">
        <v/>
      </c>
      <c r="G1186" s="41" t="str">
        <v/>
      </c>
      <c r="H1186" s="117">
        <f t="shared" si="1"/>
        <v>0</v>
      </c>
      <c r="I1186" s="117">
        <f t="shared" si="2"/>
        <v>21</v>
      </c>
      <c r="J1186" s="117">
        <f t="shared" si="3"/>
        <v>21.040000000000006</v>
      </c>
      <c r="K1186" s="117" t="str">
        <f t="shared" si="4"/>
        <v>BR</v>
      </c>
      <c r="L1186" s="42" t="str">
        <v>BR2104</v>
      </c>
      <c r="M1186" s="121" t="str">
        <v/>
      </c>
      <c r="N1186" s="121" t="str">
        <v/>
      </c>
      <c r="O1186" s="121" t="str">
        <v>BR2104</v>
      </c>
      <c r="P1186" s="121" t="str">
        <v>Customer views message detail</v>
      </c>
      <c r="Q1186" s="121" t="str">
        <v/>
      </c>
      <c r="R1186" s="121" t="str">
        <v/>
      </c>
      <c r="S1186" s="121" t="str">
        <v/>
      </c>
      <c r="T1186" s="119" t="str">
        <f>IF($C1186&lt;4,IF($C1186=3,T1187,IF($C1186=2,T$1,"")),Q1186&amp;R1186&amp;IF(LEN(S1186)=0,"",Preferences!$C$2&amp;S1186)&amp;IF(J1187=J1186,IF(LEN(R1186&amp;S1186)=0,"","
")&amp;T1187,""))</f>
        <v xml:space="preserve"> 1. Present a message thread type list of messages associated with the original message, sorted in descending date (latest first) order.
 2. Present at least the following for each message:
	• Message reference (link to view message)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86" s="122" t="str">
        <v/>
      </c>
      <c r="V1186" s="42"/>
      <c r="W1186" s="42"/>
      <c r="X1186" s="42"/>
      <c r="Y1186" s="42"/>
      <c r="Z1186" s="42"/>
      <c r="AA1186" s="42"/>
      <c r="AB1186" s="42"/>
    </row>
    <row r="1187" spans="1:28" x14ac:dyDescent="0.25">
      <c r="A1187" s="42" t="str">
        <v>1.21.4.1</v>
      </c>
      <c r="B1187" s="121" t="str">
        <v>Present a message thread type list of messages associated with the original message, sorted in descending date (latest first) order.</v>
      </c>
      <c r="C1187" s="41">
        <v>4</v>
      </c>
      <c r="D1187" s="41" t="str">
        <v>RD</v>
      </c>
      <c r="E1187" s="117" t="str">
        <f t="shared" si="0"/>
        <v>RD</v>
      </c>
      <c r="F1187" s="41" t="str">
        <v/>
      </c>
      <c r="G1187" s="41" t="str">
        <v/>
      </c>
      <c r="H1187" s="117">
        <f t="shared" si="1"/>
        <v>0</v>
      </c>
      <c r="I1187" s="117">
        <f t="shared" si="2"/>
        <v>21</v>
      </c>
      <c r="J1187" s="117">
        <f t="shared" si="3"/>
        <v>21.040000000000006</v>
      </c>
      <c r="K1187" s="117" t="str">
        <f t="shared" si="4"/>
        <v>BR</v>
      </c>
      <c r="L1187" s="42" t="str">
        <v>BR2104</v>
      </c>
      <c r="M1187" s="121" t="str">
        <v/>
      </c>
      <c r="N1187" s="121" t="str">
        <v/>
      </c>
      <c r="O1187" s="121" t="str">
        <v/>
      </c>
      <c r="P1187" s="121" t="str">
        <v/>
      </c>
      <c r="Q1187" s="121" t="str">
        <v xml:space="preserve"> 1. </v>
      </c>
      <c r="R1187" s="121" t="str">
        <v>Present a message thread type list of messages associated with the original message, sorted in descending date (latest first) order.</v>
      </c>
      <c r="S1187" s="121" t="str">
        <v/>
      </c>
      <c r="T1187" s="119" t="str">
        <f>IF($C1187&lt;4,IF($C1187=3,T1188,IF($C1187=2,T$1,"")),Q1187&amp;R1187&amp;IF(LEN(S1187)=0,"",Preferences!$C$2&amp;S1187)&amp;IF(J1188=J1187,IF(LEN(R1187&amp;S1187)=0,"","
")&amp;T1188,""))</f>
        <v xml:space="preserve"> 1. Present a message thread type list of messages associated with the original message, sorted in descending date (latest first) order.
 2. Present at least the following for each message:
	• Message reference (link to view message)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87" s="122" t="str">
        <v/>
      </c>
      <c r="V1187" s="42"/>
      <c r="W1187" s="42"/>
      <c r="X1187" s="42"/>
      <c r="Y1187" s="42"/>
      <c r="Z1187" s="42"/>
      <c r="AA1187" s="42"/>
      <c r="AB1187" s="42"/>
    </row>
    <row r="1188" spans="1:28" x14ac:dyDescent="0.25">
      <c r="A1188" s="42" t="str">
        <v>1.21.4.2</v>
      </c>
      <c r="B1188" s="121" t="str">
        <v>Present at least the following for each message:</v>
      </c>
      <c r="C1188" s="41">
        <v>4</v>
      </c>
      <c r="D1188" s="41" t="str">
        <v>RD</v>
      </c>
      <c r="E1188" s="117" t="str">
        <f t="shared" si="0"/>
        <v>RD</v>
      </c>
      <c r="F1188" s="41" t="str">
        <v/>
      </c>
      <c r="G1188" s="41" t="str">
        <v/>
      </c>
      <c r="H1188" s="117">
        <f t="shared" si="1"/>
        <v>0</v>
      </c>
      <c r="I1188" s="117">
        <f t="shared" si="2"/>
        <v>21</v>
      </c>
      <c r="J1188" s="117">
        <f t="shared" si="3"/>
        <v>21.040000000000006</v>
      </c>
      <c r="K1188" s="117" t="str">
        <f t="shared" si="4"/>
        <v>BR</v>
      </c>
      <c r="L1188" s="42" t="str">
        <v>BR2104</v>
      </c>
      <c r="M1188" s="121" t="str">
        <v/>
      </c>
      <c r="N1188" s="121" t="str">
        <v/>
      </c>
      <c r="O1188" s="121" t="str">
        <v/>
      </c>
      <c r="P1188" s="121" t="str">
        <v/>
      </c>
      <c r="Q1188" s="121" t="str">
        <v xml:space="preserve"> 2. </v>
      </c>
      <c r="R1188" s="121" t="str">
        <v>Present at least the following for each message:</v>
      </c>
      <c r="S1188" s="121" t="str">
        <v/>
      </c>
      <c r="T1188" s="119" t="str">
        <f>IF($C1188&lt;4,IF($C1188=3,T1189,IF($C1188=2,T$1,"")),Q1188&amp;R1188&amp;IF(LEN(S1188)=0,"",Preferences!$C$2&amp;S1188)&amp;IF(J1189=J1188,IF(LEN(R1188&amp;S1188)=0,"","
")&amp;T1189,""))</f>
        <v xml:space="preserve"> 2. Present at least the following for each message:
	• Message reference (link to view message)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88" s="122" t="str">
        <v/>
      </c>
      <c r="V1188" s="42"/>
      <c r="W1188" s="42"/>
      <c r="X1188" s="42"/>
      <c r="Y1188" s="42"/>
      <c r="Z1188" s="42"/>
      <c r="AA1188" s="42"/>
      <c r="AB1188" s="42"/>
    </row>
    <row r="1189" spans="1:28" x14ac:dyDescent="0.25">
      <c r="A1189" s="42" t="str">
        <v>1.21.4.2.1</v>
      </c>
      <c r="B1189" s="121" t="str">
        <v>Message reference (link to view message)</v>
      </c>
      <c r="C1189" s="41">
        <v>5</v>
      </c>
      <c r="D1189" s="41" t="str">
        <v>RL</v>
      </c>
      <c r="E1189" s="117" t="str">
        <f t="shared" si="0"/>
        <v>RL</v>
      </c>
      <c r="F1189" s="41" t="str">
        <v/>
      </c>
      <c r="G1189" s="41" t="str">
        <v/>
      </c>
      <c r="H1189" s="117">
        <f t="shared" si="1"/>
        <v>0</v>
      </c>
      <c r="I1189" s="117">
        <f t="shared" si="2"/>
        <v>21</v>
      </c>
      <c r="J1189" s="117">
        <f t="shared" si="3"/>
        <v>21.040000000000006</v>
      </c>
      <c r="K1189" s="117" t="str">
        <f t="shared" si="4"/>
        <v>BR</v>
      </c>
      <c r="L1189" s="42" t="str">
        <v>BR2104</v>
      </c>
      <c r="M1189" s="121" t="str">
        <v/>
      </c>
      <c r="N1189" s="121" t="str">
        <v/>
      </c>
      <c r="O1189" s="121" t="str">
        <v/>
      </c>
      <c r="P1189" s="121" t="str">
        <v/>
      </c>
      <c r="Q1189" s="121" t="str">
        <v/>
      </c>
      <c r="R1189" s="121" t="str">
        <v/>
      </c>
      <c r="S1189" s="121" t="str">
        <v>Message reference (link to view message)</v>
      </c>
      <c r="T1189" s="119" t="str">
        <f>IF($C1189&lt;4,IF($C1189=3,T1190,IF($C1189=2,T$1,"")),Q1189&amp;R1189&amp;IF(LEN(S1189)=0,"",Preferences!$C$2&amp;S1189)&amp;IF(J1190=J1189,IF(LEN(R1189&amp;S1189)=0,"","
")&amp;T1190,""))</f>
        <v xml:space="preserve">	• Message reference (link to view message)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89" s="122" t="str">
        <v/>
      </c>
      <c r="V1189" s="42"/>
      <c r="W1189" s="42"/>
      <c r="X1189" s="42"/>
      <c r="Y1189" s="42"/>
      <c r="Z1189" s="42"/>
      <c r="AA1189" s="42"/>
      <c r="AB1189" s="42"/>
    </row>
    <row r="1190" spans="1:28" x14ac:dyDescent="0.25">
      <c r="A1190" s="42" t="str">
        <v>1.21.4.2.2</v>
      </c>
      <c r="B1190" s="121" t="str">
        <v>Date-time of message</v>
      </c>
      <c r="C1190" s="41">
        <v>5</v>
      </c>
      <c r="D1190" s="41" t="str">
        <v>RL</v>
      </c>
      <c r="E1190" s="117" t="str">
        <f t="shared" si="0"/>
        <v>RL</v>
      </c>
      <c r="F1190" s="41" t="str">
        <v/>
      </c>
      <c r="G1190" s="41" t="str">
        <v/>
      </c>
      <c r="H1190" s="117">
        <f t="shared" si="1"/>
        <v>0</v>
      </c>
      <c r="I1190" s="117">
        <f t="shared" si="2"/>
        <v>21</v>
      </c>
      <c r="J1190" s="117">
        <f t="shared" si="3"/>
        <v>21.040000000000006</v>
      </c>
      <c r="K1190" s="117" t="str">
        <f t="shared" si="4"/>
        <v>BR</v>
      </c>
      <c r="L1190" s="42" t="str">
        <v>BR2104</v>
      </c>
      <c r="M1190" s="121" t="str">
        <v/>
      </c>
      <c r="N1190" s="121" t="str">
        <v/>
      </c>
      <c r="O1190" s="121" t="str">
        <v/>
      </c>
      <c r="P1190" s="121" t="str">
        <v/>
      </c>
      <c r="Q1190" s="121" t="str">
        <v/>
      </c>
      <c r="R1190" s="121" t="str">
        <v/>
      </c>
      <c r="S1190" s="121" t="str">
        <v>Date-time of message</v>
      </c>
      <c r="T1190" s="119" t="str">
        <f>IF($C1190&lt;4,IF($C1190=3,T1191,IF($C1190=2,T$1,"")),Q1190&amp;R1190&amp;IF(LEN(S1190)=0,"",Preferences!$C$2&amp;S1190)&amp;IF(J1191=J1190,IF(LEN(R1190&amp;S1190)=0,"","
")&amp;T1191,""))</f>
        <v xml:space="preserve">	• Date-time of message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0" s="122" t="str">
        <v/>
      </c>
      <c r="V1190" s="42"/>
      <c r="W1190" s="42"/>
      <c r="X1190" s="42"/>
      <c r="Y1190" s="42"/>
      <c r="Z1190" s="42"/>
      <c r="AA1190" s="42"/>
      <c r="AB1190" s="42"/>
    </row>
    <row r="1191" spans="1:28" x14ac:dyDescent="0.25">
      <c r="A1191" s="42" t="str">
        <v>1.21.4.2.3</v>
      </c>
      <c r="B1191" s="121" t="str">
        <v>Message type</v>
      </c>
      <c r="C1191" s="41">
        <v>5</v>
      </c>
      <c r="D1191" s="41" t="str">
        <v>RL</v>
      </c>
      <c r="E1191" s="117" t="str">
        <f t="shared" si="0"/>
        <v>RL</v>
      </c>
      <c r="F1191" s="41" t="str">
        <v/>
      </c>
      <c r="G1191" s="41" t="str">
        <v/>
      </c>
      <c r="H1191" s="117">
        <f t="shared" si="1"/>
        <v>0</v>
      </c>
      <c r="I1191" s="117">
        <f t="shared" si="2"/>
        <v>21</v>
      </c>
      <c r="J1191" s="117">
        <f t="shared" si="3"/>
        <v>21.040000000000006</v>
      </c>
      <c r="K1191" s="117" t="str">
        <f t="shared" si="4"/>
        <v>BR</v>
      </c>
      <c r="L1191" s="42" t="str">
        <v>BR2104</v>
      </c>
      <c r="M1191" s="121" t="str">
        <v/>
      </c>
      <c r="N1191" s="121" t="str">
        <v/>
      </c>
      <c r="O1191" s="121" t="str">
        <v/>
      </c>
      <c r="P1191" s="121" t="str">
        <v/>
      </c>
      <c r="Q1191" s="121" t="str">
        <v/>
      </c>
      <c r="R1191" s="121" t="str">
        <v/>
      </c>
      <c r="S1191" s="121" t="str">
        <v>Message type</v>
      </c>
      <c r="T1191" s="119" t="str">
        <f>IF($C1191&lt;4,IF($C1191=3,T1192,IF($C1191=2,T$1,"")),Q1191&amp;R1191&amp;IF(LEN(S1191)=0,"",Preferences!$C$2&amp;S1191)&amp;IF(J1192=J1191,IF(LEN(R1191&amp;S1191)=0,"","
")&amp;T1192,""))</f>
        <v xml:space="preserve">	• Message type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1" s="122" t="str">
        <v/>
      </c>
      <c r="V1191" s="42"/>
      <c r="W1191" s="42"/>
      <c r="X1191" s="42"/>
      <c r="Y1191" s="42"/>
      <c r="Z1191" s="42"/>
      <c r="AA1191" s="42"/>
      <c r="AB1191" s="42"/>
    </row>
    <row r="1192" spans="1:28" x14ac:dyDescent="0.25">
      <c r="A1192" s="42" t="str">
        <v>1.21.4.2.4</v>
      </c>
      <c r="B1192" s="121" t="str">
        <v>Message subject</v>
      </c>
      <c r="C1192" s="41">
        <v>5</v>
      </c>
      <c r="D1192" s="41" t="str">
        <v>RL</v>
      </c>
      <c r="E1192" s="117" t="str">
        <f t="shared" si="0"/>
        <v>RL</v>
      </c>
      <c r="F1192" s="41" t="str">
        <v/>
      </c>
      <c r="G1192" s="41" t="str">
        <v/>
      </c>
      <c r="H1192" s="117">
        <f t="shared" si="1"/>
        <v>0</v>
      </c>
      <c r="I1192" s="117">
        <f t="shared" si="2"/>
        <v>21</v>
      </c>
      <c r="J1192" s="117">
        <f t="shared" si="3"/>
        <v>21.040000000000006</v>
      </c>
      <c r="K1192" s="117" t="str">
        <f t="shared" si="4"/>
        <v>BR</v>
      </c>
      <c r="L1192" s="42" t="str">
        <v>BR2104</v>
      </c>
      <c r="M1192" s="121" t="str">
        <v/>
      </c>
      <c r="N1192" s="121" t="str">
        <v/>
      </c>
      <c r="O1192" s="121" t="str">
        <v/>
      </c>
      <c r="P1192" s="121" t="str">
        <v/>
      </c>
      <c r="Q1192" s="121" t="str">
        <v/>
      </c>
      <c r="R1192" s="121" t="str">
        <v/>
      </c>
      <c r="S1192" s="121" t="str">
        <v>Message subject</v>
      </c>
      <c r="T1192" s="119" t="str">
        <f>IF($C1192&lt;4,IF($C1192=3,T1193,IF($C1192=2,T$1,"")),Q1192&amp;R1192&amp;IF(LEN(S1192)=0,"",Preferences!$C$2&amp;S1192)&amp;IF(J1193=J1192,IF(LEN(R1192&amp;S1192)=0,"","
")&amp;T1193,""))</f>
        <v xml:space="preserve">	• Message subject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2" s="122" t="str">
        <v/>
      </c>
      <c r="V1192" s="42"/>
      <c r="W1192" s="42"/>
      <c r="X1192" s="42"/>
      <c r="Y1192" s="42"/>
      <c r="Z1192" s="42"/>
      <c r="AA1192" s="42"/>
      <c r="AB1192" s="42"/>
    </row>
    <row r="1193" spans="1:28" x14ac:dyDescent="0.25">
      <c r="A1193" s="42" t="str">
        <v>1.21.4.2.5</v>
      </c>
      <c r="B1193" s="121" t="str">
        <v>Message detail</v>
      </c>
      <c r="C1193" s="41">
        <v>5</v>
      </c>
      <c r="D1193" s="41" t="str">
        <v>RL</v>
      </c>
      <c r="E1193" s="117" t="str">
        <f t="shared" si="0"/>
        <v>RL</v>
      </c>
      <c r="F1193" s="41" t="str">
        <v/>
      </c>
      <c r="G1193" s="41" t="str">
        <v/>
      </c>
      <c r="H1193" s="117">
        <f t="shared" si="1"/>
        <v>0</v>
      </c>
      <c r="I1193" s="117">
        <f t="shared" si="2"/>
        <v>21</v>
      </c>
      <c r="J1193" s="117">
        <f t="shared" si="3"/>
        <v>21.040000000000006</v>
      </c>
      <c r="K1193" s="117" t="str">
        <f t="shared" si="4"/>
        <v>BR</v>
      </c>
      <c r="L1193" s="42" t="str">
        <v>BR2104</v>
      </c>
      <c r="M1193" s="121" t="str">
        <v/>
      </c>
      <c r="N1193" s="121" t="str">
        <v/>
      </c>
      <c r="O1193" s="121" t="str">
        <v/>
      </c>
      <c r="P1193" s="121" t="str">
        <v/>
      </c>
      <c r="Q1193" s="121" t="str">
        <v/>
      </c>
      <c r="R1193" s="121" t="str">
        <v/>
      </c>
      <c r="S1193" s="121" t="str">
        <v>Message detail</v>
      </c>
      <c r="T1193" s="119" t="str">
        <f>IF($C1193&lt;4,IF($C1193=3,T1194,IF($C1193=2,T$1,"")),Q1193&amp;R1193&amp;IF(LEN(S1193)=0,"",Preferences!$C$2&amp;S1193)&amp;IF(J1194=J1193,IF(LEN(R1193&amp;S1193)=0,"","
")&amp;T1194,""))</f>
        <v xml:space="preserve">	• Message detail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3" s="122" t="str">
        <v/>
      </c>
      <c r="V1193" s="42"/>
      <c r="W1193" s="42"/>
      <c r="X1193" s="42"/>
      <c r="Y1193" s="42"/>
      <c r="Z1193" s="42"/>
      <c r="AA1193" s="42"/>
      <c r="AB1193" s="42"/>
    </row>
    <row r="1194" spans="1:28" x14ac:dyDescent="0.25">
      <c r="A1194" s="42" t="str">
        <v>1.21.4.2.6</v>
      </c>
      <c r="B1194" s="121" t="str">
        <v>Order Number (if relevant; link to order detail)</v>
      </c>
      <c r="C1194" s="41">
        <v>5</v>
      </c>
      <c r="D1194" s="41" t="str">
        <v>RL</v>
      </c>
      <c r="E1194" s="117" t="str">
        <f t="shared" si="0"/>
        <v>RL</v>
      </c>
      <c r="F1194" s="41" t="str">
        <v/>
      </c>
      <c r="G1194" s="41" t="str">
        <v/>
      </c>
      <c r="H1194" s="117">
        <f t="shared" si="1"/>
        <v>0</v>
      </c>
      <c r="I1194" s="117">
        <f t="shared" si="2"/>
        <v>21</v>
      </c>
      <c r="J1194" s="117">
        <f t="shared" si="3"/>
        <v>21.040000000000006</v>
      </c>
      <c r="K1194" s="117" t="str">
        <f t="shared" si="4"/>
        <v>BR</v>
      </c>
      <c r="L1194" s="42" t="str">
        <v>BR2104</v>
      </c>
      <c r="M1194" s="121" t="str">
        <v/>
      </c>
      <c r="N1194" s="121" t="str">
        <v/>
      </c>
      <c r="O1194" s="121" t="str">
        <v/>
      </c>
      <c r="P1194" s="121" t="str">
        <v/>
      </c>
      <c r="Q1194" s="121" t="str">
        <v/>
      </c>
      <c r="R1194" s="121" t="str">
        <v/>
      </c>
      <c r="S1194" s="121" t="str">
        <v>Order Number (if relevant; link to order detail)</v>
      </c>
      <c r="T1194" s="119" t="str">
        <f>IF($C1194&lt;4,IF($C1194=3,T1195,IF($C1194=2,T$1,"")),Q1194&amp;R1194&amp;IF(LEN(S1194)=0,"",Preferences!$C$2&amp;S1194)&amp;IF(J1195=J1194,IF(LEN(R1194&amp;S1194)=0,"","
")&amp;T1195,""))</f>
        <v xml:space="preserve">	• Order Number (if relevant; link to order detail)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4" s="122" t="str">
        <v/>
      </c>
      <c r="V1194" s="42"/>
      <c r="W1194" s="42"/>
      <c r="X1194" s="42"/>
      <c r="Y1194" s="42"/>
      <c r="Z1194" s="42"/>
      <c r="AA1194" s="42"/>
      <c r="AB1194" s="42"/>
    </row>
    <row r="1195" spans="1:28" x14ac:dyDescent="0.25">
      <c r="A1195" s="42" t="str">
        <v>1.21.4.2.7</v>
      </c>
      <c r="B1195" s="121" t="str">
        <v>Returns Number (if relevant; link to return request detail)</v>
      </c>
      <c r="C1195" s="41">
        <v>5</v>
      </c>
      <c r="D1195" s="41" t="str">
        <v>RL</v>
      </c>
      <c r="E1195" s="117" t="str">
        <f t="shared" si="0"/>
        <v>RL</v>
      </c>
      <c r="F1195" s="41" t="str">
        <v/>
      </c>
      <c r="G1195" s="41" t="str">
        <v/>
      </c>
      <c r="H1195" s="117">
        <f t="shared" si="1"/>
        <v>0</v>
      </c>
      <c r="I1195" s="117">
        <f t="shared" si="2"/>
        <v>21</v>
      </c>
      <c r="J1195" s="117">
        <f t="shared" si="3"/>
        <v>21.040000000000006</v>
      </c>
      <c r="K1195" s="117" t="str">
        <f t="shared" si="4"/>
        <v>BR</v>
      </c>
      <c r="L1195" s="42" t="str">
        <v>BR2104</v>
      </c>
      <c r="M1195" s="121" t="str">
        <v/>
      </c>
      <c r="N1195" s="121" t="str">
        <v/>
      </c>
      <c r="O1195" s="121" t="str">
        <v/>
      </c>
      <c r="P1195" s="121" t="str">
        <v/>
      </c>
      <c r="Q1195" s="121" t="str">
        <v/>
      </c>
      <c r="R1195" s="121" t="str">
        <v/>
      </c>
      <c r="S1195" s="121" t="str">
        <v>Returns Number (if relevant; link to return request detail)</v>
      </c>
      <c r="T1195" s="119" t="str">
        <f>IF($C1195&lt;4,IF($C1195=3,T1196,IF($C1195=2,T$1,"")),Q1195&amp;R1195&amp;IF(LEN(S1195)=0,"",Preferences!$C$2&amp;S1195)&amp;IF(J1196=J1195,IF(LEN(R1195&amp;S1195)=0,"","
")&amp;T1196,""))</f>
        <v xml:space="preserve">	• Returns Number (if relevant; link to return request detail)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5" s="122" t="str">
        <v/>
      </c>
      <c r="V1195" s="42"/>
      <c r="W1195" s="42"/>
      <c r="X1195" s="42"/>
      <c r="Y1195" s="42"/>
      <c r="Z1195" s="42"/>
      <c r="AA1195" s="42"/>
      <c r="AB1195" s="42"/>
    </row>
    <row r="1196" spans="1:28" x14ac:dyDescent="0.25">
      <c r="A1196" s="42" t="str">
        <v>1.21.4.2.8</v>
      </c>
      <c r="B1196" s="121" t="str">
        <v>A reply icon on the last message, to submit a reply to that message.</v>
      </c>
      <c r="C1196" s="41">
        <v>5</v>
      </c>
      <c r="D1196" s="41" t="str">
        <v>RL</v>
      </c>
      <c r="E1196" s="117" t="str">
        <f t="shared" si="0"/>
        <v>RL</v>
      </c>
      <c r="F1196" s="41" t="str">
        <v/>
      </c>
      <c r="G1196" s="41" t="str">
        <v/>
      </c>
      <c r="H1196" s="117">
        <f t="shared" si="1"/>
        <v>0</v>
      </c>
      <c r="I1196" s="117">
        <f t="shared" si="2"/>
        <v>21</v>
      </c>
      <c r="J1196" s="117">
        <f t="shared" si="3"/>
        <v>21.040000000000006</v>
      </c>
      <c r="K1196" s="117" t="str">
        <f t="shared" si="4"/>
        <v>BR</v>
      </c>
      <c r="L1196" s="42" t="str">
        <v>BR2104</v>
      </c>
      <c r="M1196" s="121" t="str">
        <v/>
      </c>
      <c r="N1196" s="121" t="str">
        <v/>
      </c>
      <c r="O1196" s="121" t="str">
        <v/>
      </c>
      <c r="P1196" s="121" t="str">
        <v/>
      </c>
      <c r="Q1196" s="121" t="str">
        <v/>
      </c>
      <c r="R1196" s="121" t="str">
        <v/>
      </c>
      <c r="S1196" s="121" t="str">
        <v>A reply icon on the last message, to submit a reply to that message.</v>
      </c>
      <c r="T1196" s="119" t="str">
        <f>IF($C1196&lt;4,IF($C1196=3,T1197,IF($C1196=2,T$1,"")),Q1196&amp;R1196&amp;IF(LEN(S1196)=0,"",Preferences!$C$2&amp;S1196)&amp;IF(J1197=J1196,IF(LEN(R1196&amp;S1196)=0,"","
")&amp;T1197,""))</f>
        <v xml:space="preserve">	• A reply icon on the last message, to submit a reply to that message.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6" s="122" t="str">
        <v/>
      </c>
      <c r="V1196" s="42"/>
      <c r="W1196" s="42"/>
      <c r="X1196" s="42"/>
      <c r="Y1196" s="42"/>
      <c r="Z1196" s="42"/>
      <c r="AA1196" s="42"/>
      <c r="AB1196" s="42"/>
    </row>
    <row r="1197" spans="1:28" x14ac:dyDescent="0.25">
      <c r="A1197" s="42" t="str">
        <v>1.21.4.3</v>
      </c>
      <c r="B1197" s="121" t="str">
        <v>The customer may choose to mark an enquiry topic as closed, or cancelled.</v>
      </c>
      <c r="C1197" s="41">
        <v>4</v>
      </c>
      <c r="D1197" s="41" t="str">
        <v>RD</v>
      </c>
      <c r="E1197" s="117" t="str">
        <f t="shared" si="0"/>
        <v>RD</v>
      </c>
      <c r="F1197" s="41" t="str">
        <v/>
      </c>
      <c r="G1197" s="41" t="str">
        <v/>
      </c>
      <c r="H1197" s="117">
        <f t="shared" si="1"/>
        <v>0</v>
      </c>
      <c r="I1197" s="117">
        <f t="shared" si="2"/>
        <v>21</v>
      </c>
      <c r="J1197" s="117">
        <f t="shared" si="3"/>
        <v>21.040000000000006</v>
      </c>
      <c r="K1197" s="117" t="str">
        <f t="shared" si="4"/>
        <v>BR</v>
      </c>
      <c r="L1197" s="42" t="str">
        <v>BR2104</v>
      </c>
      <c r="M1197" s="121" t="str">
        <v/>
      </c>
      <c r="N1197" s="121" t="str">
        <v/>
      </c>
      <c r="O1197" s="121" t="str">
        <v/>
      </c>
      <c r="P1197" s="121" t="str">
        <v/>
      </c>
      <c r="Q1197" s="121" t="str">
        <v xml:space="preserve"> 3. </v>
      </c>
      <c r="R1197" s="121" t="str">
        <v>The customer may choose to mark an enquiry topic as closed, or cancelled.</v>
      </c>
      <c r="S1197" s="121" t="str">
        <v/>
      </c>
      <c r="T1197" s="119" t="str">
        <f>IF($C1197&lt;4,IF($C1197=3,T1198,IF($C1197=2,T$1,"")),Q1197&amp;R1197&amp;IF(LEN(S1197)=0,"",Preferences!$C$2&amp;S1197)&amp;IF(J1198=J1197,IF(LEN(R1197&amp;S1197)=0,"","
")&amp;T1198,""))</f>
        <v xml:space="preserve"> 3. The customer may choose to mark an enquiry topic as closed, or cancelled.
	• The customer is prompted to provide an optional note when closing the topic.
 4. When submitting a reply, the new message is automatically associated with the original message in that thread, with the relevant classification applied.</v>
      </c>
      <c r="U1197" s="122" t="str">
        <v/>
      </c>
      <c r="V1197" s="42"/>
      <c r="W1197" s="42"/>
      <c r="X1197" s="42"/>
      <c r="Y1197" s="42"/>
      <c r="Z1197" s="42"/>
      <c r="AA1197" s="42"/>
      <c r="AB1197" s="42"/>
    </row>
    <row r="1198" spans="1:28" x14ac:dyDescent="0.25">
      <c r="A1198" s="42" t="str">
        <v>1.21.4.3.1</v>
      </c>
      <c r="B1198" s="121" t="str">
        <v>The customer is prompted to provide an optional note when closing the topic.</v>
      </c>
      <c r="C1198" s="41">
        <v>5</v>
      </c>
      <c r="D1198" s="41" t="str">
        <v>RL</v>
      </c>
      <c r="E1198" s="117" t="str">
        <f t="shared" si="0"/>
        <v>RL</v>
      </c>
      <c r="F1198" s="41" t="str">
        <v/>
      </c>
      <c r="G1198" s="41" t="str">
        <v/>
      </c>
      <c r="H1198" s="117">
        <f t="shared" si="1"/>
        <v>0</v>
      </c>
      <c r="I1198" s="117">
        <f t="shared" si="2"/>
        <v>21</v>
      </c>
      <c r="J1198" s="117">
        <f t="shared" si="3"/>
        <v>21.040000000000006</v>
      </c>
      <c r="K1198" s="117" t="str">
        <f t="shared" si="4"/>
        <v>BR</v>
      </c>
      <c r="L1198" s="42" t="str">
        <v>BR2104</v>
      </c>
      <c r="M1198" s="121" t="str">
        <v/>
      </c>
      <c r="N1198" s="121" t="str">
        <v/>
      </c>
      <c r="O1198" s="121" t="str">
        <v/>
      </c>
      <c r="P1198" s="121" t="str">
        <v/>
      </c>
      <c r="Q1198" s="121" t="str">
        <v/>
      </c>
      <c r="R1198" s="121" t="str">
        <v/>
      </c>
      <c r="S1198" s="121" t="str">
        <v>The customer is prompted to provide an optional note when closing the topic.</v>
      </c>
      <c r="T1198" s="119" t="str">
        <f>IF($C1198&lt;4,IF($C1198=3,T1199,IF($C1198=2,T$1,"")),Q1198&amp;R1198&amp;IF(LEN(S1198)=0,"",Preferences!$C$2&amp;S1198)&amp;IF(J1199=J1198,IF(LEN(R1198&amp;S1198)=0,"","
")&amp;T1199,""))</f>
        <v xml:space="preserve">	• The customer is prompted to provide an optional note when closing the topic.
 4. When submitting a reply, the new message is automatically associated with the original message in that thread, with the relevant classification applied.</v>
      </c>
      <c r="U1198" s="122" t="str">
        <v/>
      </c>
      <c r="V1198" s="42"/>
      <c r="W1198" s="42"/>
      <c r="X1198" s="42"/>
      <c r="Y1198" s="42"/>
      <c r="Z1198" s="42"/>
      <c r="AA1198" s="42"/>
      <c r="AB1198" s="42"/>
    </row>
    <row r="1199" spans="1:28" x14ac:dyDescent="0.25">
      <c r="A1199" s="42" t="str">
        <v>1.21.4.4</v>
      </c>
      <c r="B1199" s="121" t="str">
        <v>When submitting a reply, the new message is automatically associated with the original message in that thread, with the relevant classification applied.</v>
      </c>
      <c r="C1199" s="41">
        <v>4</v>
      </c>
      <c r="D1199" s="41" t="str">
        <v>RD</v>
      </c>
      <c r="E1199" s="117" t="str">
        <f t="shared" si="0"/>
        <v>RD</v>
      </c>
      <c r="F1199" s="41" t="str">
        <v/>
      </c>
      <c r="G1199" s="41" t="str">
        <v/>
      </c>
      <c r="H1199" s="117">
        <f t="shared" si="1"/>
        <v>0</v>
      </c>
      <c r="I1199" s="117">
        <f t="shared" si="2"/>
        <v>21</v>
      </c>
      <c r="J1199" s="117">
        <f t="shared" si="3"/>
        <v>21.040000000000006</v>
      </c>
      <c r="K1199" s="117" t="str">
        <f t="shared" si="4"/>
        <v>BR</v>
      </c>
      <c r="L1199" s="42" t="str">
        <v>BR2104</v>
      </c>
      <c r="M1199" s="121" t="str">
        <v/>
      </c>
      <c r="N1199" s="121" t="str">
        <v/>
      </c>
      <c r="O1199" s="121" t="str">
        <v/>
      </c>
      <c r="P1199" s="121" t="str">
        <v/>
      </c>
      <c r="Q1199" s="121" t="str">
        <v xml:space="preserve"> 4. </v>
      </c>
      <c r="R1199" s="121" t="str">
        <v>When submitting a reply, the new message is automatically associated with the original message in that thread, with the relevant classification applied.</v>
      </c>
      <c r="S1199" s="121" t="str">
        <v/>
      </c>
      <c r="T1199" s="119" t="str">
        <f>IF($C1199&lt;4,IF($C1199=3,T1200,IF($C1199=2,T$1,"")),Q1199&amp;R1199&amp;IF(LEN(S1199)=0,"",Preferences!$C$2&amp;S1199)&amp;IF(J1200=J1199,IF(LEN(R1199&amp;S1199)=0,"","
")&amp;T1200,""))</f>
        <v xml:space="preserve"> 4. When submitting a reply, the new message is automatically associated with the original message in that thread, with the relevant classification applied.</v>
      </c>
      <c r="U1199" s="122" t="str">
        <v/>
      </c>
      <c r="V1199" s="42"/>
      <c r="W1199" s="42"/>
      <c r="X1199" s="42"/>
      <c r="Y1199" s="42"/>
      <c r="Z1199" s="42"/>
      <c r="AA1199" s="42"/>
      <c r="AB1199" s="42"/>
    </row>
    <row r="1200" spans="1:28" x14ac:dyDescent="0.25">
      <c r="A1200" s="42" t="str">
        <v>1.21.5</v>
      </c>
      <c r="B1200" s="121" t="str">
        <v>21.5 Back-office views customer messages needing attention</v>
      </c>
      <c r="C1200" s="41">
        <v>3</v>
      </c>
      <c r="D1200" s="41" t="str">
        <v>R</v>
      </c>
      <c r="E1200" s="117" t="str">
        <f t="shared" si="0"/>
        <v>R</v>
      </c>
      <c r="F1200" s="41" t="str">
        <v/>
      </c>
      <c r="G1200" s="41" t="str">
        <v/>
      </c>
      <c r="H1200" s="117">
        <f t="shared" si="1"/>
        <v>0</v>
      </c>
      <c r="I1200" s="117">
        <f t="shared" si="2"/>
        <v>21</v>
      </c>
      <c r="J1200" s="117">
        <f t="shared" si="3"/>
        <v>21.050000000000008</v>
      </c>
      <c r="K1200" s="117" t="str">
        <f t="shared" si="4"/>
        <v>BR</v>
      </c>
      <c r="L1200" s="42" t="str">
        <v>BR2105</v>
      </c>
      <c r="M1200" s="121" t="str">
        <v/>
      </c>
      <c r="N1200" s="121" t="str">
        <v/>
      </c>
      <c r="O1200" s="121" t="str">
        <v>BR2105</v>
      </c>
      <c r="P1200" s="121" t="str">
        <v>Back-office views customer messages needing attention</v>
      </c>
      <c r="Q1200" s="121" t="str">
        <v/>
      </c>
      <c r="R1200" s="121" t="str">
        <v/>
      </c>
      <c r="S1200" s="121" t="str">
        <v/>
      </c>
      <c r="T1200" s="119" t="str">
        <f>IF($C1200&lt;4,IF($C1200=3,T1201,IF($C1200=2,T$1,"")),Q1200&amp;R1200&amp;IF(LEN(S1200)=0,"",Preferences!$C$2&amp;S1200)&amp;IF(J1201=J1200,IF(LEN(R1200&amp;S1200)=0,"","
")&amp;T1201,""))</f>
        <v xml:space="preserve"> 1. Each type of customer request must be directed to the appropriate department for attention, but tracked centrally.
 2. The applicable back-office area must be able to view a list of customer messages applicable to their area.
 3. Present at least the following for each messages in the list: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0" s="122" t="str">
        <v/>
      </c>
      <c r="V1200" s="42"/>
      <c r="W1200" s="42"/>
      <c r="X1200" s="42"/>
      <c r="Y1200" s="42"/>
      <c r="Z1200" s="42"/>
      <c r="AA1200" s="42"/>
      <c r="AB1200" s="42"/>
    </row>
    <row r="1201" spans="1:28" x14ac:dyDescent="0.25">
      <c r="A1201" s="42" t="str">
        <v>1.21.5.1</v>
      </c>
      <c r="B1201" s="121" t="str">
        <v>Each type of customer request must be directed to the appropriate department for attention, but tracked centrally.</v>
      </c>
      <c r="C1201" s="41">
        <v>4</v>
      </c>
      <c r="D1201" s="41" t="str">
        <v>RD</v>
      </c>
      <c r="E1201" s="117" t="str">
        <f t="shared" si="0"/>
        <v>RD</v>
      </c>
      <c r="F1201" s="41" t="str">
        <v/>
      </c>
      <c r="G1201" s="41" t="str">
        <v/>
      </c>
      <c r="H1201" s="117">
        <f t="shared" si="1"/>
        <v>0</v>
      </c>
      <c r="I1201" s="117">
        <f t="shared" si="2"/>
        <v>21</v>
      </c>
      <c r="J1201" s="117">
        <f t="shared" si="3"/>
        <v>21.050000000000008</v>
      </c>
      <c r="K1201" s="117" t="str">
        <f t="shared" si="4"/>
        <v>BR</v>
      </c>
      <c r="L1201" s="42" t="str">
        <v>BR2105</v>
      </c>
      <c r="M1201" s="121" t="str">
        <v/>
      </c>
      <c r="N1201" s="121" t="str">
        <v/>
      </c>
      <c r="O1201" s="121" t="str">
        <v/>
      </c>
      <c r="P1201" s="121" t="str">
        <v/>
      </c>
      <c r="Q1201" s="121" t="str">
        <v xml:space="preserve"> 1. </v>
      </c>
      <c r="R1201" s="121" t="str">
        <v>Each type of customer request must be directed to the appropriate department for attention, but tracked centrally.</v>
      </c>
      <c r="S1201" s="121" t="str">
        <v/>
      </c>
      <c r="T1201" s="119" t="str">
        <f>IF($C1201&lt;4,IF($C1201=3,T1202,IF($C1201=2,T$1,"")),Q1201&amp;R1201&amp;IF(LEN(S1201)=0,"",Preferences!$C$2&amp;S1201)&amp;IF(J1202=J1201,IF(LEN(R1201&amp;S1201)=0,"","
")&amp;T1202,""))</f>
        <v xml:space="preserve"> 1. Each type of customer request must be directed to the appropriate department for attention, but tracked centrally.
 2. The applicable back-office area must be able to view a list of customer messages applicable to their area.
 3. Present at least the following for each messages in the list: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1" s="122" t="str">
        <v/>
      </c>
      <c r="V1201" s="42"/>
      <c r="W1201" s="42"/>
      <c r="X1201" s="42"/>
      <c r="Y1201" s="42"/>
      <c r="Z1201" s="42"/>
      <c r="AA1201" s="42"/>
      <c r="AB1201" s="42"/>
    </row>
    <row r="1202" spans="1:28" x14ac:dyDescent="0.25">
      <c r="A1202" s="42" t="str">
        <v>1.21.5.2</v>
      </c>
      <c r="B1202" s="121" t="str">
        <v>The applicable back-office area must be able to view a list of customer messages applicable to their area.</v>
      </c>
      <c r="C1202" s="41">
        <v>4</v>
      </c>
      <c r="D1202" s="41" t="str">
        <v>RD</v>
      </c>
      <c r="E1202" s="117" t="str">
        <f t="shared" si="0"/>
        <v>RD</v>
      </c>
      <c r="F1202" s="41" t="str">
        <v/>
      </c>
      <c r="G1202" s="41" t="str">
        <v/>
      </c>
      <c r="H1202" s="117">
        <f t="shared" si="1"/>
        <v>0</v>
      </c>
      <c r="I1202" s="117">
        <f t="shared" si="2"/>
        <v>21</v>
      </c>
      <c r="J1202" s="117">
        <f t="shared" si="3"/>
        <v>21.050000000000008</v>
      </c>
      <c r="K1202" s="117" t="str">
        <f t="shared" si="4"/>
        <v>BR</v>
      </c>
      <c r="L1202" s="42" t="str">
        <v>BR2105</v>
      </c>
      <c r="M1202" s="121" t="str">
        <v/>
      </c>
      <c r="N1202" s="121" t="str">
        <v/>
      </c>
      <c r="O1202" s="121" t="str">
        <v/>
      </c>
      <c r="P1202" s="121" t="str">
        <v/>
      </c>
      <c r="Q1202" s="121" t="str">
        <v xml:space="preserve"> 2. </v>
      </c>
      <c r="R1202" s="121" t="str">
        <v>The applicable back-office area must be able to view a list of customer messages applicable to their area.</v>
      </c>
      <c r="S1202" s="121" t="str">
        <v/>
      </c>
      <c r="T1202" s="119" t="str">
        <f>IF($C1202&lt;4,IF($C1202=3,T1203,IF($C1202=2,T$1,"")),Q1202&amp;R1202&amp;IF(LEN(S1202)=0,"",Preferences!$C$2&amp;S1202)&amp;IF(J1203=J1202,IF(LEN(R1202&amp;S1202)=0,"","
")&amp;T1203,""))</f>
        <v xml:space="preserve"> 2. The applicable back-office area must be able to view a list of customer messages applicable to their area.
 3. Present at least the following for each messages in the list: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2" s="122" t="str">
        <v/>
      </c>
      <c r="V1202" s="42"/>
      <c r="W1202" s="42"/>
      <c r="X1202" s="42"/>
      <c r="Y1202" s="42"/>
      <c r="Z1202" s="42"/>
      <c r="AA1202" s="42"/>
      <c r="AB1202" s="42"/>
    </row>
    <row r="1203" spans="1:28" x14ac:dyDescent="0.25">
      <c r="A1203" s="42" t="str">
        <v>1.21.5.3</v>
      </c>
      <c r="B1203" s="121" t="str">
        <v>Present at least the following for each messages in the list:</v>
      </c>
      <c r="C1203" s="41">
        <v>4</v>
      </c>
      <c r="D1203" s="41" t="str">
        <v>RD</v>
      </c>
      <c r="E1203" s="117" t="str">
        <f t="shared" si="0"/>
        <v>RD</v>
      </c>
      <c r="F1203" s="41" t="str">
        <v/>
      </c>
      <c r="G1203" s="41" t="str">
        <v/>
      </c>
      <c r="H1203" s="117">
        <f t="shared" si="1"/>
        <v>0</v>
      </c>
      <c r="I1203" s="117">
        <f t="shared" si="2"/>
        <v>21</v>
      </c>
      <c r="J1203" s="117">
        <f t="shared" si="3"/>
        <v>21.050000000000008</v>
      </c>
      <c r="K1203" s="117" t="str">
        <f t="shared" si="4"/>
        <v>BR</v>
      </c>
      <c r="L1203" s="42" t="str">
        <v>BR2105</v>
      </c>
      <c r="M1203" s="121" t="str">
        <v/>
      </c>
      <c r="N1203" s="121" t="str">
        <v/>
      </c>
      <c r="O1203" s="121" t="str">
        <v/>
      </c>
      <c r="P1203" s="121" t="str">
        <v/>
      </c>
      <c r="Q1203" s="121" t="str">
        <v xml:space="preserve"> 3. </v>
      </c>
      <c r="R1203" s="121" t="str">
        <v>Present at least the following for each messages in the list:</v>
      </c>
      <c r="S1203" s="121" t="str">
        <v/>
      </c>
      <c r="T1203" s="119" t="str">
        <f>IF($C1203&lt;4,IF($C1203=3,T1204,IF($C1203=2,T$1,"")),Q1203&amp;R1203&amp;IF(LEN(S1203)=0,"",Preferences!$C$2&amp;S1203)&amp;IF(J1204=J1203,IF(LEN(R1203&amp;S1203)=0,"","
")&amp;T1204,""))</f>
        <v xml:space="preserve"> 3. Present at least the following for each messages in the list: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3" s="122" t="str">
        <v/>
      </c>
      <c r="V1203" s="42"/>
      <c r="W1203" s="42"/>
      <c r="X1203" s="42"/>
      <c r="Y1203" s="42"/>
      <c r="Z1203" s="42"/>
      <c r="AA1203" s="42"/>
      <c r="AB1203" s="42"/>
    </row>
    <row r="1204" spans="1:28" x14ac:dyDescent="0.25">
      <c r="A1204" s="42" t="str">
        <v>1.21.5.3.1</v>
      </c>
      <c r="B1204" s="121" t="str">
        <v>Customer Title</v>
      </c>
      <c r="C1204" s="41">
        <v>5</v>
      </c>
      <c r="D1204" s="41" t="str">
        <v>RL</v>
      </c>
      <c r="E1204" s="117" t="str">
        <f t="shared" si="0"/>
        <v>RL</v>
      </c>
      <c r="F1204" s="41" t="str">
        <v/>
      </c>
      <c r="G1204" s="41" t="str">
        <v/>
      </c>
      <c r="H1204" s="117">
        <f t="shared" si="1"/>
        <v>0</v>
      </c>
      <c r="I1204" s="117">
        <f t="shared" si="2"/>
        <v>21</v>
      </c>
      <c r="J1204" s="117">
        <f t="shared" si="3"/>
        <v>21.050000000000008</v>
      </c>
      <c r="K1204" s="117" t="str">
        <f t="shared" si="4"/>
        <v>BR</v>
      </c>
      <c r="L1204" s="42" t="str">
        <v>BR2105</v>
      </c>
      <c r="M1204" s="121" t="str">
        <v/>
      </c>
      <c r="N1204" s="121" t="str">
        <v/>
      </c>
      <c r="O1204" s="121" t="str">
        <v/>
      </c>
      <c r="P1204" s="121" t="str">
        <v/>
      </c>
      <c r="Q1204" s="121" t="str">
        <v/>
      </c>
      <c r="R1204" s="121" t="str">
        <v/>
      </c>
      <c r="S1204" s="121" t="str">
        <v>Customer Title</v>
      </c>
      <c r="T1204" s="119" t="str">
        <f>IF($C1204&lt;4,IF($C1204=3,T1205,IF($C1204=2,T$1,"")),Q1204&amp;R1204&amp;IF(LEN(S1204)=0,"",Preferences!$C$2&amp;S1204)&amp;IF(J1205=J1204,IF(LEN(R1204&amp;S1204)=0,"","
")&amp;T1205,""))</f>
        <v xml:space="preserve">	• Customer Title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4" s="122" t="str">
        <v/>
      </c>
      <c r="V1204" s="42"/>
      <c r="W1204" s="42"/>
      <c r="X1204" s="42"/>
      <c r="Y1204" s="42"/>
      <c r="Z1204" s="42"/>
      <c r="AA1204" s="42"/>
      <c r="AB1204" s="42"/>
    </row>
    <row r="1205" spans="1:28" x14ac:dyDescent="0.25">
      <c r="A1205" s="42" t="str">
        <v>1.21.5.3.2</v>
      </c>
      <c r="B1205" s="121" t="str">
        <v>Customer Name &amp; Surname</v>
      </c>
      <c r="C1205" s="41">
        <v>5</v>
      </c>
      <c r="D1205" s="41" t="str">
        <v>RL</v>
      </c>
      <c r="E1205" s="117" t="str">
        <f t="shared" si="0"/>
        <v>RL</v>
      </c>
      <c r="F1205" s="41" t="str">
        <v/>
      </c>
      <c r="G1205" s="41" t="str">
        <v/>
      </c>
      <c r="H1205" s="117">
        <f t="shared" si="1"/>
        <v>0</v>
      </c>
      <c r="I1205" s="117">
        <f t="shared" si="2"/>
        <v>21</v>
      </c>
      <c r="J1205" s="117">
        <f t="shared" si="3"/>
        <v>21.050000000000008</v>
      </c>
      <c r="K1205" s="117" t="str">
        <f t="shared" si="4"/>
        <v>BR</v>
      </c>
      <c r="L1205" s="42" t="str">
        <v>BR2105</v>
      </c>
      <c r="M1205" s="121" t="str">
        <v/>
      </c>
      <c r="N1205" s="121" t="str">
        <v/>
      </c>
      <c r="O1205" s="121" t="str">
        <v/>
      </c>
      <c r="P1205" s="121" t="str">
        <v/>
      </c>
      <c r="Q1205" s="121" t="str">
        <v/>
      </c>
      <c r="R1205" s="121" t="str">
        <v/>
      </c>
      <c r="S1205" s="121" t="str">
        <v>Customer Name &amp; Surname</v>
      </c>
      <c r="T1205" s="119" t="str">
        <f>IF($C1205&lt;4,IF($C1205=3,T1206,IF($C1205=2,T$1,"")),Q1205&amp;R1205&amp;IF(LEN(S1205)=0,"",Preferences!$C$2&amp;S1205)&amp;IF(J1206=J1205,IF(LEN(R1205&amp;S1205)=0,"","
")&amp;T1206,""))</f>
        <v xml:space="preserve">	• Customer Name &amp; Surname
	• Customer Phone number
	• Message Reference
	• Date-time of message
	• Message Type
	• Message Status
	• Message Subject
	• Message Detail
	• Order Number (if relevant, a link to view the order detail)
	• Return Number (if relevant, a link to view the return detail)</v>
      </c>
      <c r="U1205" s="122" t="str">
        <v/>
      </c>
      <c r="V1205" s="42"/>
      <c r="W1205" s="42"/>
      <c r="X1205" s="42"/>
      <c r="Y1205" s="42"/>
      <c r="Z1205" s="42"/>
      <c r="AA1205" s="42"/>
      <c r="AB1205" s="42"/>
    </row>
    <row r="1206" spans="1:28" x14ac:dyDescent="0.25">
      <c r="A1206" s="42" t="str">
        <v>1.21.5.3.3</v>
      </c>
      <c r="B1206" s="121" t="str">
        <v>Customer Phone number</v>
      </c>
      <c r="C1206" s="41">
        <v>5</v>
      </c>
      <c r="D1206" s="41" t="str">
        <v>RL</v>
      </c>
      <c r="E1206" s="117" t="str">
        <f t="shared" si="0"/>
        <v>RL</v>
      </c>
      <c r="F1206" s="41" t="str">
        <v/>
      </c>
      <c r="G1206" s="41" t="str">
        <v/>
      </c>
      <c r="H1206" s="117">
        <f t="shared" si="1"/>
        <v>0</v>
      </c>
      <c r="I1206" s="117">
        <f t="shared" si="2"/>
        <v>21</v>
      </c>
      <c r="J1206" s="117">
        <f t="shared" si="3"/>
        <v>21.050000000000008</v>
      </c>
      <c r="K1206" s="117" t="str">
        <f t="shared" si="4"/>
        <v>BR</v>
      </c>
      <c r="L1206" s="42" t="str">
        <v>BR2105</v>
      </c>
      <c r="M1206" s="121" t="str">
        <v/>
      </c>
      <c r="N1206" s="121" t="str">
        <v/>
      </c>
      <c r="O1206" s="121" t="str">
        <v/>
      </c>
      <c r="P1206" s="121" t="str">
        <v/>
      </c>
      <c r="Q1206" s="121" t="str">
        <v/>
      </c>
      <c r="R1206" s="121" t="str">
        <v/>
      </c>
      <c r="S1206" s="121" t="str">
        <v>Customer Phone number</v>
      </c>
      <c r="T1206" s="119" t="str">
        <f>IF($C1206&lt;4,IF($C1206=3,T1207,IF($C1206=2,T$1,"")),Q1206&amp;R1206&amp;IF(LEN(S1206)=0,"",Preferences!$C$2&amp;S1206)&amp;IF(J1207=J1206,IF(LEN(R1206&amp;S1206)=0,"","
")&amp;T1207,""))</f>
        <v xml:space="preserve">	• Customer Phone number
	• Message Reference
	• Date-time of message
	• Message Type
	• Message Status
	• Message Subject
	• Message Detail
	• Order Number (if relevant, a link to view the order detail)
	• Return Number (if relevant, a link to view the return detail)</v>
      </c>
      <c r="U1206" s="122" t="str">
        <v/>
      </c>
      <c r="V1206" s="42"/>
      <c r="W1206" s="42"/>
      <c r="X1206" s="42"/>
      <c r="Y1206" s="42"/>
      <c r="Z1206" s="42"/>
      <c r="AA1206" s="42"/>
      <c r="AB1206" s="42"/>
    </row>
    <row r="1207" spans="1:28" x14ac:dyDescent="0.25">
      <c r="A1207" s="42" t="str">
        <v>1.21.5.3.4</v>
      </c>
      <c r="B1207" s="121" t="str">
        <v>Message Reference</v>
      </c>
      <c r="C1207" s="41">
        <v>5</v>
      </c>
      <c r="D1207" s="41" t="str">
        <v>RL</v>
      </c>
      <c r="E1207" s="117" t="str">
        <f t="shared" si="0"/>
        <v>RL</v>
      </c>
      <c r="F1207" s="41" t="str">
        <v/>
      </c>
      <c r="G1207" s="41" t="str">
        <v/>
      </c>
      <c r="H1207" s="117">
        <f t="shared" si="1"/>
        <v>0</v>
      </c>
      <c r="I1207" s="117">
        <f t="shared" si="2"/>
        <v>21</v>
      </c>
      <c r="J1207" s="117">
        <f t="shared" si="3"/>
        <v>21.050000000000008</v>
      </c>
      <c r="K1207" s="117" t="str">
        <f t="shared" si="4"/>
        <v>BR</v>
      </c>
      <c r="L1207" s="42" t="str">
        <v>BR2105</v>
      </c>
      <c r="M1207" s="121" t="str">
        <v/>
      </c>
      <c r="N1207" s="121" t="str">
        <v/>
      </c>
      <c r="O1207" s="121" t="str">
        <v/>
      </c>
      <c r="P1207" s="121" t="str">
        <v/>
      </c>
      <c r="Q1207" s="121" t="str">
        <v/>
      </c>
      <c r="R1207" s="121" t="str">
        <v/>
      </c>
      <c r="S1207" s="121" t="str">
        <v>Message Reference</v>
      </c>
      <c r="T1207" s="119" t="str">
        <f>IF($C1207&lt;4,IF($C1207=3,T1208,IF($C1207=2,T$1,"")),Q1207&amp;R1207&amp;IF(LEN(S1207)=0,"",Preferences!$C$2&amp;S1207)&amp;IF(J1208=J1207,IF(LEN(R1207&amp;S1207)=0,"","
")&amp;T1208,""))</f>
        <v xml:space="preserve">	• Message Reference
	• Date-time of message
	• Message Type
	• Message Status
	• Message Subject
	• Message Detail
	• Order Number (if relevant, a link to view the order detail)
	• Return Number (if relevant, a link to view the return detail)</v>
      </c>
      <c r="U1207" s="122" t="str">
        <v/>
      </c>
      <c r="V1207" s="42"/>
      <c r="W1207" s="42"/>
      <c r="X1207" s="42"/>
      <c r="Y1207" s="42"/>
      <c r="Z1207" s="42"/>
      <c r="AA1207" s="42"/>
      <c r="AB1207" s="42"/>
    </row>
    <row r="1208" spans="1:28" x14ac:dyDescent="0.25">
      <c r="A1208" s="42" t="str">
        <v>1.21.5.3.5</v>
      </c>
      <c r="B1208" s="121" t="str">
        <v>Date-time of message</v>
      </c>
      <c r="C1208" s="41">
        <v>5</v>
      </c>
      <c r="D1208" s="41" t="str">
        <v>RL</v>
      </c>
      <c r="E1208" s="117" t="str">
        <f t="shared" si="0"/>
        <v>RL</v>
      </c>
      <c r="F1208" s="41" t="str">
        <v/>
      </c>
      <c r="G1208" s="41" t="str">
        <v/>
      </c>
      <c r="H1208" s="117">
        <f t="shared" si="1"/>
        <v>0</v>
      </c>
      <c r="I1208" s="117">
        <f t="shared" si="2"/>
        <v>21</v>
      </c>
      <c r="J1208" s="117">
        <f t="shared" si="3"/>
        <v>21.050000000000008</v>
      </c>
      <c r="K1208" s="117" t="str">
        <f t="shared" si="4"/>
        <v>BR</v>
      </c>
      <c r="L1208" s="42" t="str">
        <v>BR2105</v>
      </c>
      <c r="M1208" s="121" t="str">
        <v/>
      </c>
      <c r="N1208" s="121" t="str">
        <v/>
      </c>
      <c r="O1208" s="121" t="str">
        <v/>
      </c>
      <c r="P1208" s="121" t="str">
        <v/>
      </c>
      <c r="Q1208" s="121" t="str">
        <v/>
      </c>
      <c r="R1208" s="121" t="str">
        <v/>
      </c>
      <c r="S1208" s="121" t="str">
        <v>Date-time of message</v>
      </c>
      <c r="T1208" s="119" t="str">
        <f>IF($C1208&lt;4,IF($C1208=3,T1209,IF($C1208=2,T$1,"")),Q1208&amp;R1208&amp;IF(LEN(S1208)=0,"",Preferences!$C$2&amp;S1208)&amp;IF(J1209=J1208,IF(LEN(R1208&amp;S1208)=0,"","
")&amp;T1209,""))</f>
        <v xml:space="preserve">	• Date-time of message
	• Message Type
	• Message Status
	• Message Subject
	• Message Detail
	• Order Number (if relevant, a link to view the order detail)
	• Return Number (if relevant, a link to view the return detail)</v>
      </c>
      <c r="U1208" s="122" t="str">
        <v/>
      </c>
      <c r="V1208" s="42"/>
      <c r="W1208" s="42"/>
      <c r="X1208" s="42"/>
      <c r="Y1208" s="42"/>
      <c r="Z1208" s="42"/>
      <c r="AA1208" s="42"/>
      <c r="AB1208" s="42"/>
    </row>
    <row r="1209" spans="1:28" x14ac:dyDescent="0.25">
      <c r="A1209" s="42" t="str">
        <v>1.21.5.3.6</v>
      </c>
      <c r="B1209" s="121" t="str">
        <v>Message Type</v>
      </c>
      <c r="C1209" s="41">
        <v>5</v>
      </c>
      <c r="D1209" s="41" t="str">
        <v>RL</v>
      </c>
      <c r="E1209" s="117" t="str">
        <f t="shared" si="0"/>
        <v>RL</v>
      </c>
      <c r="F1209" s="41" t="str">
        <v/>
      </c>
      <c r="G1209" s="41" t="str">
        <v/>
      </c>
      <c r="H1209" s="117">
        <f t="shared" si="1"/>
        <v>0</v>
      </c>
      <c r="I1209" s="117">
        <f t="shared" si="2"/>
        <v>21</v>
      </c>
      <c r="J1209" s="117">
        <f t="shared" si="3"/>
        <v>21.050000000000008</v>
      </c>
      <c r="K1209" s="117" t="str">
        <f t="shared" si="4"/>
        <v>BR</v>
      </c>
      <c r="L1209" s="42" t="str">
        <v>BR2105</v>
      </c>
      <c r="M1209" s="121" t="str">
        <v/>
      </c>
      <c r="N1209" s="121" t="str">
        <v/>
      </c>
      <c r="O1209" s="121" t="str">
        <v/>
      </c>
      <c r="P1209" s="121" t="str">
        <v/>
      </c>
      <c r="Q1209" s="121" t="str">
        <v/>
      </c>
      <c r="R1209" s="121" t="str">
        <v/>
      </c>
      <c r="S1209" s="121" t="str">
        <v>Message Type</v>
      </c>
      <c r="T1209" s="119" t="str">
        <f>IF($C1209&lt;4,IF($C1209=3,T1210,IF($C1209=2,T$1,"")),Q1209&amp;R1209&amp;IF(LEN(S1209)=0,"",Preferences!$C$2&amp;S1209)&amp;IF(J1210=J1209,IF(LEN(R1209&amp;S1209)=0,"","
")&amp;T1210,""))</f>
        <v xml:space="preserve">	• Message Type
	• Message Status
	• Message Subject
	• Message Detail
	• Order Number (if relevant, a link to view the order detail)
	• Return Number (if relevant, a link to view the return detail)</v>
      </c>
      <c r="U1209" s="122" t="str">
        <v/>
      </c>
      <c r="V1209" s="42"/>
      <c r="W1209" s="42"/>
      <c r="X1209" s="42"/>
      <c r="Y1209" s="42"/>
      <c r="Z1209" s="42"/>
      <c r="AA1209" s="42"/>
      <c r="AB1209" s="42"/>
    </row>
    <row r="1210" spans="1:28" x14ac:dyDescent="0.25">
      <c r="A1210" s="42" t="str">
        <v>1.21.5.3.7</v>
      </c>
      <c r="B1210" s="121" t="str">
        <v>Message Status</v>
      </c>
      <c r="C1210" s="41">
        <v>5</v>
      </c>
      <c r="D1210" s="41" t="str">
        <v>RL</v>
      </c>
      <c r="E1210" s="117" t="str">
        <f t="shared" si="0"/>
        <v>RL</v>
      </c>
      <c r="F1210" s="41" t="str">
        <v/>
      </c>
      <c r="G1210" s="41" t="str">
        <v/>
      </c>
      <c r="H1210" s="117">
        <f t="shared" si="1"/>
        <v>0</v>
      </c>
      <c r="I1210" s="117">
        <f t="shared" si="2"/>
        <v>21</v>
      </c>
      <c r="J1210" s="117">
        <f t="shared" si="3"/>
        <v>21.050000000000008</v>
      </c>
      <c r="K1210" s="117" t="str">
        <f t="shared" si="4"/>
        <v>BR</v>
      </c>
      <c r="L1210" s="42" t="str">
        <v>BR2105</v>
      </c>
      <c r="M1210" s="121" t="str">
        <v/>
      </c>
      <c r="N1210" s="121" t="str">
        <v/>
      </c>
      <c r="O1210" s="121" t="str">
        <v/>
      </c>
      <c r="P1210" s="121" t="str">
        <v/>
      </c>
      <c r="Q1210" s="121" t="str">
        <v/>
      </c>
      <c r="R1210" s="121" t="str">
        <v/>
      </c>
      <c r="S1210" s="121" t="str">
        <v>Message Status</v>
      </c>
      <c r="T1210" s="119" t="str">
        <f>IF($C1210&lt;4,IF($C1210=3,T1211,IF($C1210=2,T$1,"")),Q1210&amp;R1210&amp;IF(LEN(S1210)=0,"",Preferences!$C$2&amp;S1210)&amp;IF(J1211=J1210,IF(LEN(R1210&amp;S1210)=0,"","
")&amp;T1211,""))</f>
        <v xml:space="preserve">	• Message Status
	• Message Subject
	• Message Detail
	• Order Number (if relevant, a link to view the order detail)
	• Return Number (if relevant, a link to view the return detail)</v>
      </c>
      <c r="U1210" s="122" t="str">
        <v/>
      </c>
      <c r="V1210" s="42"/>
      <c r="W1210" s="42"/>
      <c r="X1210" s="42"/>
      <c r="Y1210" s="42"/>
      <c r="Z1210" s="42"/>
      <c r="AA1210" s="42"/>
      <c r="AB1210" s="42"/>
    </row>
    <row r="1211" spans="1:28" x14ac:dyDescent="0.25">
      <c r="A1211" s="42" t="str">
        <v>1.21.5.3.8</v>
      </c>
      <c r="B1211" s="121" t="str">
        <v>Message Subject</v>
      </c>
      <c r="C1211" s="41">
        <v>5</v>
      </c>
      <c r="D1211" s="41" t="str">
        <v>RL</v>
      </c>
      <c r="E1211" s="117" t="str">
        <f t="shared" si="0"/>
        <v>RL</v>
      </c>
      <c r="F1211" s="41" t="str">
        <v/>
      </c>
      <c r="G1211" s="41" t="str">
        <v/>
      </c>
      <c r="H1211" s="117">
        <f t="shared" si="1"/>
        <v>0</v>
      </c>
      <c r="I1211" s="117">
        <f t="shared" si="2"/>
        <v>21</v>
      </c>
      <c r="J1211" s="117">
        <f t="shared" si="3"/>
        <v>21.050000000000008</v>
      </c>
      <c r="K1211" s="117" t="str">
        <f t="shared" si="4"/>
        <v>BR</v>
      </c>
      <c r="L1211" s="42" t="str">
        <v>BR2105</v>
      </c>
      <c r="M1211" s="121" t="str">
        <v/>
      </c>
      <c r="N1211" s="121" t="str">
        <v/>
      </c>
      <c r="O1211" s="121" t="str">
        <v/>
      </c>
      <c r="P1211" s="121" t="str">
        <v/>
      </c>
      <c r="Q1211" s="121" t="str">
        <v/>
      </c>
      <c r="R1211" s="121" t="str">
        <v/>
      </c>
      <c r="S1211" s="121" t="str">
        <v>Message Subject</v>
      </c>
      <c r="T1211" s="119" t="str">
        <f>IF($C1211&lt;4,IF($C1211=3,T1212,IF($C1211=2,T$1,"")),Q1211&amp;R1211&amp;IF(LEN(S1211)=0,"",Preferences!$C$2&amp;S1211)&amp;IF(J1212=J1211,IF(LEN(R1211&amp;S1211)=0,"","
")&amp;T1212,""))</f>
        <v xml:space="preserve">	• Message Subject
	• Message Detail
	• Order Number (if relevant, a link to view the order detail)
	• Return Number (if relevant, a link to view the return detail)</v>
      </c>
      <c r="U1211" s="122" t="str">
        <v/>
      </c>
      <c r="V1211" s="42"/>
      <c r="W1211" s="42"/>
      <c r="X1211" s="42"/>
      <c r="Y1211" s="42"/>
      <c r="Z1211" s="42"/>
      <c r="AA1211" s="42"/>
      <c r="AB1211" s="42"/>
    </row>
    <row r="1212" spans="1:28" x14ac:dyDescent="0.25">
      <c r="A1212" s="42" t="str">
        <v>1.21.5.3.9</v>
      </c>
      <c r="B1212" s="121" t="str">
        <v>Message Detail</v>
      </c>
      <c r="C1212" s="41">
        <v>5</v>
      </c>
      <c r="D1212" s="41" t="str">
        <v>RL</v>
      </c>
      <c r="E1212" s="117" t="str">
        <f t="shared" si="0"/>
        <v>RL</v>
      </c>
      <c r="F1212" s="41" t="str">
        <v/>
      </c>
      <c r="G1212" s="41" t="str">
        <v/>
      </c>
      <c r="H1212" s="117">
        <f t="shared" si="1"/>
        <v>0</v>
      </c>
      <c r="I1212" s="117">
        <f t="shared" si="2"/>
        <v>21</v>
      </c>
      <c r="J1212" s="117">
        <f t="shared" si="3"/>
        <v>21.050000000000008</v>
      </c>
      <c r="K1212" s="117" t="str">
        <f t="shared" si="4"/>
        <v>BR</v>
      </c>
      <c r="L1212" s="42" t="str">
        <v>BR2105</v>
      </c>
      <c r="M1212" s="121" t="str">
        <v/>
      </c>
      <c r="N1212" s="121" t="str">
        <v/>
      </c>
      <c r="O1212" s="121" t="str">
        <v/>
      </c>
      <c r="P1212" s="121" t="str">
        <v/>
      </c>
      <c r="Q1212" s="121" t="str">
        <v/>
      </c>
      <c r="R1212" s="121" t="str">
        <v/>
      </c>
      <c r="S1212" s="121" t="str">
        <v>Message Detail</v>
      </c>
      <c r="T1212" s="119" t="str">
        <f>IF($C1212&lt;4,IF($C1212=3,T1213,IF($C1212=2,T$1,"")),Q1212&amp;R1212&amp;IF(LEN(S1212)=0,"",Preferences!$C$2&amp;S1212)&amp;IF(J1213=J1212,IF(LEN(R1212&amp;S1212)=0,"","
")&amp;T1213,""))</f>
        <v xml:space="preserve">	• Message Detail
	• Order Number (if relevant, a link to view the order detail)
	• Return Number (if relevant, a link to view the return detail)</v>
      </c>
      <c r="U1212" s="122" t="str">
        <v/>
      </c>
      <c r="V1212" s="42"/>
      <c r="W1212" s="42"/>
      <c r="X1212" s="42"/>
      <c r="Y1212" s="42"/>
      <c r="Z1212" s="42"/>
      <c r="AA1212" s="42"/>
      <c r="AB1212" s="42"/>
    </row>
    <row r="1213" spans="1:28" x14ac:dyDescent="0.25">
      <c r="A1213" s="42" t="str">
        <v>1.21.5.3.10</v>
      </c>
      <c r="B1213" s="121" t="str">
        <v>Order Number (if relevant, a link to view the order detail)</v>
      </c>
      <c r="C1213" s="41">
        <v>5</v>
      </c>
      <c r="D1213" s="41" t="str">
        <v>RL</v>
      </c>
      <c r="E1213" s="117" t="str">
        <f t="shared" si="0"/>
        <v>RL</v>
      </c>
      <c r="F1213" s="41" t="str">
        <v/>
      </c>
      <c r="G1213" s="41" t="str">
        <v/>
      </c>
      <c r="H1213" s="117">
        <f t="shared" si="1"/>
        <v>0</v>
      </c>
      <c r="I1213" s="117">
        <f t="shared" si="2"/>
        <v>21</v>
      </c>
      <c r="J1213" s="117">
        <f t="shared" si="3"/>
        <v>21.050000000000008</v>
      </c>
      <c r="K1213" s="117" t="str">
        <f t="shared" si="4"/>
        <v>BR</v>
      </c>
      <c r="L1213" s="42" t="str">
        <v>BR2105</v>
      </c>
      <c r="M1213" s="121" t="str">
        <v/>
      </c>
      <c r="N1213" s="121" t="str">
        <v/>
      </c>
      <c r="O1213" s="121" t="str">
        <v/>
      </c>
      <c r="P1213" s="121" t="str">
        <v/>
      </c>
      <c r="Q1213" s="121" t="str">
        <v/>
      </c>
      <c r="R1213" s="121" t="str">
        <v/>
      </c>
      <c r="S1213" s="121" t="str">
        <v>Order Number (if relevant, a link to view the order detail)</v>
      </c>
      <c r="T1213" s="119" t="str">
        <f>IF($C1213&lt;4,IF($C1213=3,T1214,IF($C1213=2,T$1,"")),Q1213&amp;R1213&amp;IF(LEN(S1213)=0,"",Preferences!$C$2&amp;S1213)&amp;IF(J1214=J1213,IF(LEN(R1213&amp;S1213)=0,"","
")&amp;T1214,""))</f>
        <v xml:space="preserve">	• Order Number (if relevant, a link to view the order detail)
	• Return Number (if relevant, a link to view the return detail)</v>
      </c>
      <c r="U1213" s="122" t="str">
        <v/>
      </c>
      <c r="V1213" s="42"/>
      <c r="W1213" s="42"/>
      <c r="X1213" s="42"/>
      <c r="Y1213" s="42"/>
      <c r="Z1213" s="42"/>
      <c r="AA1213" s="42"/>
      <c r="AB1213" s="42"/>
    </row>
    <row r="1214" spans="1:28" x14ac:dyDescent="0.25">
      <c r="A1214" s="42" t="str">
        <v>1.21.5.3.11</v>
      </c>
      <c r="B1214" s="121" t="str">
        <v>Return Number (if relevant, a link to view the return detail)</v>
      </c>
      <c r="C1214" s="41">
        <v>5</v>
      </c>
      <c r="D1214" s="41" t="str">
        <v>RL</v>
      </c>
      <c r="E1214" s="117" t="str">
        <f t="shared" si="0"/>
        <v>RL</v>
      </c>
      <c r="F1214" s="41" t="str">
        <v/>
      </c>
      <c r="G1214" s="41" t="str">
        <v/>
      </c>
      <c r="H1214" s="117">
        <f t="shared" si="1"/>
        <v>0</v>
      </c>
      <c r="I1214" s="117">
        <f t="shared" si="2"/>
        <v>21</v>
      </c>
      <c r="J1214" s="117">
        <f t="shared" si="3"/>
        <v>21.050000000000008</v>
      </c>
      <c r="K1214" s="117" t="str">
        <f t="shared" si="4"/>
        <v>BR</v>
      </c>
      <c r="L1214" s="42" t="str">
        <v>BR2105</v>
      </c>
      <c r="M1214" s="121" t="str">
        <v/>
      </c>
      <c r="N1214" s="121" t="str">
        <v/>
      </c>
      <c r="O1214" s="121" t="str">
        <v/>
      </c>
      <c r="P1214" s="121" t="str">
        <v/>
      </c>
      <c r="Q1214" s="121" t="str">
        <v/>
      </c>
      <c r="R1214" s="121" t="str">
        <v/>
      </c>
      <c r="S1214" s="121" t="str">
        <v>Return Number (if relevant, a link to view the return detail)</v>
      </c>
      <c r="T1214" s="119" t="str">
        <f>IF($C1214&lt;4,IF($C1214=3,T1215,IF($C1214=2,T$1,"")),Q1214&amp;R1214&amp;IF(LEN(S1214)=0,"",Preferences!$C$2&amp;S1214)&amp;IF(J1215=J1214,IF(LEN(R1214&amp;S1214)=0,"","
")&amp;T1215,""))</f>
        <v xml:space="preserve">	• Return Number (if relevant, a link to view the return detail)</v>
      </c>
      <c r="U1214" s="122" t="str">
        <v/>
      </c>
      <c r="V1214" s="42"/>
      <c r="W1214" s="42"/>
      <c r="X1214" s="42"/>
      <c r="Y1214" s="42"/>
      <c r="Z1214" s="42"/>
      <c r="AA1214" s="42"/>
      <c r="AB1214" s="42"/>
    </row>
    <row r="1215" spans="1:28" x14ac:dyDescent="0.25">
      <c r="A1215" s="42" t="str">
        <v>1.21.6</v>
      </c>
      <c r="B1215" s="121" t="str">
        <v>21.6 Back-office responds to customer message</v>
      </c>
      <c r="C1215" s="41">
        <v>3</v>
      </c>
      <c r="D1215" s="41" t="str">
        <v>R</v>
      </c>
      <c r="E1215" s="117" t="str">
        <f t="shared" si="0"/>
        <v>R</v>
      </c>
      <c r="F1215" s="41" t="str">
        <v/>
      </c>
      <c r="G1215" s="41" t="str">
        <v/>
      </c>
      <c r="H1215" s="117">
        <f t="shared" si="1"/>
        <v>0</v>
      </c>
      <c r="I1215" s="117">
        <f t="shared" si="2"/>
        <v>21</v>
      </c>
      <c r="J1215" s="117">
        <f t="shared" si="3"/>
        <v>21.060000000000009</v>
      </c>
      <c r="K1215" s="117" t="str">
        <f t="shared" si="4"/>
        <v>BR</v>
      </c>
      <c r="L1215" s="42" t="str">
        <v>BR2106</v>
      </c>
      <c r="M1215" s="121" t="str">
        <v/>
      </c>
      <c r="N1215" s="121" t="str">
        <v/>
      </c>
      <c r="O1215" s="121" t="str">
        <v>BR2106</v>
      </c>
      <c r="P1215" s="121" t="str">
        <v>Back-office responds to customer message</v>
      </c>
      <c r="Q1215" s="121" t="str">
        <v/>
      </c>
      <c r="R1215" s="121" t="str">
        <v/>
      </c>
      <c r="S1215" s="121" t="str">
        <v/>
      </c>
      <c r="T1215" s="119" t="str">
        <f>IF($C1215&lt;4,IF($C1215=3,T1216,IF($C1215=2,T$1,"")),Q1215&amp;R1215&amp;IF(LEN(S1215)=0,"",Preferences!$C$2&amp;S1215)&amp;IF(J1216=J1215,IF(LEN(R1215&amp;S1215)=0,"","
")&amp;T1216,""))</f>
        <v xml:space="preserve"> 1. Present a message thread type list of messages associated with the original message, sorted in descending date (latest first) order.
 2. Present at least the following information for each customer message:
	• Customer Title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15" s="122" t="str">
        <v/>
      </c>
      <c r="V1215" s="42"/>
      <c r="W1215" s="42"/>
      <c r="X1215" s="42"/>
      <c r="Y1215" s="42"/>
      <c r="Z1215" s="42"/>
      <c r="AA1215" s="42"/>
      <c r="AB1215" s="42"/>
    </row>
    <row r="1216" spans="1:28" x14ac:dyDescent="0.25">
      <c r="A1216" s="42" t="str">
        <v>1.21.6.1</v>
      </c>
      <c r="B1216" s="121" t="str">
        <v>Present a message thread type list of messages associated with the original message, sorted in descending date (latest first) order.</v>
      </c>
      <c r="C1216" s="41">
        <v>4</v>
      </c>
      <c r="D1216" s="41" t="str">
        <v>RD</v>
      </c>
      <c r="E1216" s="117" t="str">
        <f t="shared" si="0"/>
        <v>RD</v>
      </c>
      <c r="F1216" s="41" t="str">
        <v/>
      </c>
      <c r="G1216" s="41" t="str">
        <v/>
      </c>
      <c r="H1216" s="117">
        <f t="shared" si="1"/>
        <v>0</v>
      </c>
      <c r="I1216" s="117">
        <f t="shared" si="2"/>
        <v>21</v>
      </c>
      <c r="J1216" s="117">
        <f t="shared" si="3"/>
        <v>21.060000000000009</v>
      </c>
      <c r="K1216" s="117" t="str">
        <f t="shared" si="4"/>
        <v>BR</v>
      </c>
      <c r="L1216" s="42" t="str">
        <v>BR2106</v>
      </c>
      <c r="M1216" s="121" t="str">
        <v/>
      </c>
      <c r="N1216" s="121" t="str">
        <v/>
      </c>
      <c r="O1216" s="121" t="str">
        <v/>
      </c>
      <c r="P1216" s="121" t="str">
        <v/>
      </c>
      <c r="Q1216" s="121" t="str">
        <v xml:space="preserve"> 1. </v>
      </c>
      <c r="R1216" s="121" t="str">
        <v>Present a message thread type list of messages associated with the original message, sorted in descending date (latest first) order.</v>
      </c>
      <c r="S1216" s="121" t="str">
        <v/>
      </c>
      <c r="T1216" s="119" t="str">
        <f>IF($C1216&lt;4,IF($C1216=3,T1217,IF($C1216=2,T$1,"")),Q1216&amp;R1216&amp;IF(LEN(S1216)=0,"",Preferences!$C$2&amp;S1216)&amp;IF(J1217=J1216,IF(LEN(R1216&amp;S1216)=0,"","
")&amp;T1217,""))</f>
        <v xml:space="preserve"> 1. Present a message thread type list of messages associated with the original message, sorted in descending date (latest first) order.
 2. Present at least the following information for each customer message:
	• Customer Title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16" s="122" t="str">
        <v/>
      </c>
      <c r="V1216" s="42"/>
      <c r="W1216" s="42"/>
      <c r="X1216" s="42"/>
      <c r="Y1216" s="42"/>
      <c r="Z1216" s="42"/>
      <c r="AA1216" s="42"/>
      <c r="AB1216" s="42"/>
    </row>
    <row r="1217" spans="1:28" x14ac:dyDescent="0.25">
      <c r="A1217" s="42" t="str">
        <v>1.21.6.2</v>
      </c>
      <c r="B1217" s="121" t="str">
        <v>Present at least the following information for each customer message:</v>
      </c>
      <c r="C1217" s="41">
        <v>4</v>
      </c>
      <c r="D1217" s="41" t="str">
        <v>RD</v>
      </c>
      <c r="E1217" s="117" t="str">
        <f t="shared" si="0"/>
        <v>RD</v>
      </c>
      <c r="F1217" s="41" t="str">
        <v/>
      </c>
      <c r="G1217" s="41" t="str">
        <v/>
      </c>
      <c r="H1217" s="117">
        <f t="shared" si="1"/>
        <v>0</v>
      </c>
      <c r="I1217" s="117">
        <f t="shared" si="2"/>
        <v>21</v>
      </c>
      <c r="J1217" s="117">
        <f t="shared" si="3"/>
        <v>21.060000000000009</v>
      </c>
      <c r="K1217" s="117" t="str">
        <f t="shared" si="4"/>
        <v>BR</v>
      </c>
      <c r="L1217" s="42" t="str">
        <v>BR2106</v>
      </c>
      <c r="M1217" s="121" t="str">
        <v/>
      </c>
      <c r="N1217" s="121" t="str">
        <v/>
      </c>
      <c r="O1217" s="121" t="str">
        <v/>
      </c>
      <c r="P1217" s="121" t="str">
        <v/>
      </c>
      <c r="Q1217" s="121" t="str">
        <v xml:space="preserve"> 2. </v>
      </c>
      <c r="R1217" s="121" t="str">
        <v>Present at least the following information for each customer message:</v>
      </c>
      <c r="S1217" s="121" t="str">
        <v/>
      </c>
      <c r="T1217" s="119" t="str">
        <f>IF($C1217&lt;4,IF($C1217=3,T1218,IF($C1217=2,T$1,"")),Q1217&amp;R1217&amp;IF(LEN(S1217)=0,"",Preferences!$C$2&amp;S1217)&amp;IF(J1218=J1217,IF(LEN(R1217&amp;S1217)=0,"","
")&amp;T1218,""))</f>
        <v xml:space="preserve"> 2. Present at least the following information for each customer message:
	• Customer Title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17" s="122" t="str">
        <v/>
      </c>
      <c r="V1217" s="42"/>
      <c r="W1217" s="42"/>
      <c r="X1217" s="42"/>
      <c r="Y1217" s="42"/>
      <c r="Z1217" s="42"/>
      <c r="AA1217" s="42"/>
      <c r="AB1217" s="42"/>
    </row>
    <row r="1218" spans="1:28" x14ac:dyDescent="0.25">
      <c r="A1218" s="42" t="str">
        <v>1.21.6.2.1</v>
      </c>
      <c r="B1218" s="121" t="str">
        <v>Customer Title</v>
      </c>
      <c r="C1218" s="41">
        <v>5</v>
      </c>
      <c r="D1218" s="41" t="str">
        <v>RL</v>
      </c>
      <c r="E1218" s="117" t="str">
        <f t="shared" si="0"/>
        <v>RL</v>
      </c>
      <c r="F1218" s="41" t="str">
        <v/>
      </c>
      <c r="G1218" s="41" t="str">
        <v/>
      </c>
      <c r="H1218" s="117">
        <f t="shared" si="1"/>
        <v>0</v>
      </c>
      <c r="I1218" s="117">
        <f t="shared" si="2"/>
        <v>21</v>
      </c>
      <c r="J1218" s="117">
        <f t="shared" si="3"/>
        <v>21.060000000000009</v>
      </c>
      <c r="K1218" s="117" t="str">
        <f t="shared" si="4"/>
        <v>BR</v>
      </c>
      <c r="L1218" s="42" t="str">
        <v>BR2106</v>
      </c>
      <c r="M1218" s="121" t="str">
        <v/>
      </c>
      <c r="N1218" s="121" t="str">
        <v/>
      </c>
      <c r="O1218" s="121" t="str">
        <v/>
      </c>
      <c r="P1218" s="121" t="str">
        <v/>
      </c>
      <c r="Q1218" s="121" t="str">
        <v/>
      </c>
      <c r="R1218" s="121" t="str">
        <v/>
      </c>
      <c r="S1218" s="121" t="str">
        <v>Customer Title</v>
      </c>
      <c r="T1218" s="119" t="str">
        <f>IF($C1218&lt;4,IF($C1218=3,T1219,IF($C1218=2,T$1,"")),Q1218&amp;R1218&amp;IF(LEN(S1218)=0,"",Preferences!$C$2&amp;S1218)&amp;IF(J1219=J1218,IF(LEN(R1218&amp;S1218)=0,"","
")&amp;T1219,""))</f>
        <v xml:space="preserve">	• Customer Title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18" s="122" t="str">
        <v/>
      </c>
      <c r="V1218" s="42"/>
      <c r="W1218" s="42"/>
      <c r="X1218" s="42"/>
      <c r="Y1218" s="42"/>
      <c r="Z1218" s="42"/>
      <c r="AA1218" s="42"/>
      <c r="AB1218" s="42"/>
    </row>
    <row r="1219" spans="1:28" x14ac:dyDescent="0.25">
      <c r="A1219" s="42" t="str">
        <v>1.21.6.2.2</v>
      </c>
      <c r="B1219" s="121" t="str">
        <v>Customer Name &amp; Surname</v>
      </c>
      <c r="C1219" s="41">
        <v>5</v>
      </c>
      <c r="D1219" s="41" t="str">
        <v>RL</v>
      </c>
      <c r="E1219" s="117" t="str">
        <f t="shared" si="0"/>
        <v>RL</v>
      </c>
      <c r="F1219" s="41" t="str">
        <v/>
      </c>
      <c r="G1219" s="41" t="str">
        <v/>
      </c>
      <c r="H1219" s="117">
        <f t="shared" si="1"/>
        <v>0</v>
      </c>
      <c r="I1219" s="117">
        <f t="shared" si="2"/>
        <v>21</v>
      </c>
      <c r="J1219" s="117">
        <f t="shared" si="3"/>
        <v>21.060000000000009</v>
      </c>
      <c r="K1219" s="117" t="str">
        <f t="shared" si="4"/>
        <v>BR</v>
      </c>
      <c r="L1219" s="42" t="str">
        <v>BR2106</v>
      </c>
      <c r="M1219" s="121" t="str">
        <v/>
      </c>
      <c r="N1219" s="121" t="str">
        <v/>
      </c>
      <c r="O1219" s="121" t="str">
        <v/>
      </c>
      <c r="P1219" s="121" t="str">
        <v/>
      </c>
      <c r="Q1219" s="121" t="str">
        <v/>
      </c>
      <c r="R1219" s="121" t="str">
        <v/>
      </c>
      <c r="S1219" s="121" t="str">
        <v>Customer Name &amp; Surname</v>
      </c>
      <c r="T1219" s="119" t="str">
        <f>IF($C1219&lt;4,IF($C1219=3,T1220,IF($C1219=2,T$1,"")),Q1219&amp;R1219&amp;IF(LEN(S1219)=0,"",Preferences!$C$2&amp;S1219)&amp;IF(J1220=J1219,IF(LEN(R1219&amp;S1219)=0,"","
")&amp;T1220,""))</f>
        <v xml:space="preserve">	• Customer Name &amp; Surname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19" s="122" t="str">
        <v/>
      </c>
      <c r="V1219" s="42"/>
      <c r="W1219" s="42"/>
      <c r="X1219" s="42"/>
      <c r="Y1219" s="42"/>
      <c r="Z1219" s="42"/>
      <c r="AA1219" s="42"/>
      <c r="AB1219" s="42"/>
    </row>
    <row r="1220" spans="1:28" x14ac:dyDescent="0.25">
      <c r="A1220" s="42" t="str">
        <v>1.21.6.2.3</v>
      </c>
      <c r="B1220" s="121" t="str">
        <v>Customer Phone number</v>
      </c>
      <c r="C1220" s="41">
        <v>5</v>
      </c>
      <c r="D1220" s="41" t="str">
        <v>RL</v>
      </c>
      <c r="E1220" s="117" t="str">
        <f t="shared" si="0"/>
        <v>RL</v>
      </c>
      <c r="F1220" s="41" t="str">
        <v/>
      </c>
      <c r="G1220" s="41" t="str">
        <v/>
      </c>
      <c r="H1220" s="117">
        <f t="shared" si="1"/>
        <v>0</v>
      </c>
      <c r="I1220" s="117">
        <f t="shared" si="2"/>
        <v>21</v>
      </c>
      <c r="J1220" s="117">
        <f t="shared" si="3"/>
        <v>21.060000000000009</v>
      </c>
      <c r="K1220" s="117" t="str">
        <f t="shared" si="4"/>
        <v>BR</v>
      </c>
      <c r="L1220" s="42" t="str">
        <v>BR2106</v>
      </c>
      <c r="M1220" s="121" t="str">
        <v/>
      </c>
      <c r="N1220" s="121" t="str">
        <v/>
      </c>
      <c r="O1220" s="121" t="str">
        <v/>
      </c>
      <c r="P1220" s="121" t="str">
        <v/>
      </c>
      <c r="Q1220" s="121" t="str">
        <v/>
      </c>
      <c r="R1220" s="121" t="str">
        <v/>
      </c>
      <c r="S1220" s="121" t="str">
        <v>Customer Phone number</v>
      </c>
      <c r="T1220" s="119" t="str">
        <f>IF($C1220&lt;4,IF($C1220=3,T1221,IF($C1220=2,T$1,"")),Q1220&amp;R1220&amp;IF(LEN(S1220)=0,"",Preferences!$C$2&amp;S1220)&amp;IF(J1221=J1220,IF(LEN(R1220&amp;S1220)=0,"","
")&amp;T1221,""))</f>
        <v xml:space="preserve">	• Customer Phone number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0" s="122" t="str">
        <v/>
      </c>
      <c r="V1220" s="42"/>
      <c r="W1220" s="42"/>
      <c r="X1220" s="42"/>
      <c r="Y1220" s="42"/>
      <c r="Z1220" s="42"/>
      <c r="AA1220" s="42"/>
      <c r="AB1220" s="42"/>
    </row>
    <row r="1221" spans="1:28" x14ac:dyDescent="0.25">
      <c r="A1221" s="42" t="str">
        <v>1.21.6.2.4</v>
      </c>
      <c r="B1221" s="121" t="str">
        <v>Message Reference</v>
      </c>
      <c r="C1221" s="41">
        <v>5</v>
      </c>
      <c r="D1221" s="41" t="str">
        <v>RL</v>
      </c>
      <c r="E1221" s="117" t="str">
        <f t="shared" si="0"/>
        <v>RL</v>
      </c>
      <c r="F1221" s="41" t="str">
        <v/>
      </c>
      <c r="G1221" s="41" t="str">
        <v/>
      </c>
      <c r="H1221" s="117">
        <f t="shared" si="1"/>
        <v>0</v>
      </c>
      <c r="I1221" s="117">
        <f t="shared" si="2"/>
        <v>21</v>
      </c>
      <c r="J1221" s="117">
        <f t="shared" si="3"/>
        <v>21.060000000000009</v>
      </c>
      <c r="K1221" s="117" t="str">
        <f t="shared" si="4"/>
        <v>BR</v>
      </c>
      <c r="L1221" s="42" t="str">
        <v>BR2106</v>
      </c>
      <c r="M1221" s="121" t="str">
        <v/>
      </c>
      <c r="N1221" s="121" t="str">
        <v/>
      </c>
      <c r="O1221" s="121" t="str">
        <v/>
      </c>
      <c r="P1221" s="121" t="str">
        <v/>
      </c>
      <c r="Q1221" s="121" t="str">
        <v/>
      </c>
      <c r="R1221" s="121" t="str">
        <v/>
      </c>
      <c r="S1221" s="121" t="str">
        <v>Message Reference</v>
      </c>
      <c r="T1221" s="119" t="str">
        <f>IF($C1221&lt;4,IF($C1221=3,T1222,IF($C1221=2,T$1,"")),Q1221&amp;R1221&amp;IF(LEN(S1221)=0,"",Preferences!$C$2&amp;S1221)&amp;IF(J1222=J1221,IF(LEN(R1221&amp;S1221)=0,"","
")&amp;T1222,""))</f>
        <v xml:space="preserve">	• Message Reference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1" s="122" t="str">
        <v/>
      </c>
      <c r="V1221" s="42"/>
      <c r="W1221" s="42"/>
      <c r="X1221" s="42"/>
      <c r="Y1221" s="42"/>
      <c r="Z1221" s="42"/>
      <c r="AA1221" s="42"/>
      <c r="AB1221" s="42"/>
    </row>
    <row r="1222" spans="1:28" x14ac:dyDescent="0.25">
      <c r="A1222" s="42" t="str">
        <v>1.21.6.2.5</v>
      </c>
      <c r="B1222" s="121" t="str">
        <v>Date-time of message</v>
      </c>
      <c r="C1222" s="41">
        <v>5</v>
      </c>
      <c r="D1222" s="41" t="str">
        <v>RL</v>
      </c>
      <c r="E1222" s="117" t="str">
        <f t="shared" si="0"/>
        <v>RL</v>
      </c>
      <c r="F1222" s="41" t="str">
        <v/>
      </c>
      <c r="G1222" s="41" t="str">
        <v/>
      </c>
      <c r="H1222" s="117">
        <f t="shared" si="1"/>
        <v>0</v>
      </c>
      <c r="I1222" s="117">
        <f t="shared" si="2"/>
        <v>21</v>
      </c>
      <c r="J1222" s="117">
        <f t="shared" si="3"/>
        <v>21.060000000000009</v>
      </c>
      <c r="K1222" s="117" t="str">
        <f t="shared" si="4"/>
        <v>BR</v>
      </c>
      <c r="L1222" s="42" t="str">
        <v>BR2106</v>
      </c>
      <c r="M1222" s="121" t="str">
        <v/>
      </c>
      <c r="N1222" s="121" t="str">
        <v/>
      </c>
      <c r="O1222" s="121" t="str">
        <v/>
      </c>
      <c r="P1222" s="121" t="str">
        <v/>
      </c>
      <c r="Q1222" s="121" t="str">
        <v/>
      </c>
      <c r="R1222" s="121" t="str">
        <v/>
      </c>
      <c r="S1222" s="121" t="str">
        <v>Date-time of message</v>
      </c>
      <c r="T1222" s="119" t="str">
        <f>IF($C1222&lt;4,IF($C1222=3,T1223,IF($C1222=2,T$1,"")),Q1222&amp;R1222&amp;IF(LEN(S1222)=0,"",Preferences!$C$2&amp;S1222)&amp;IF(J1223=J1222,IF(LEN(R1222&amp;S1222)=0,"","
")&amp;T1223,""))</f>
        <v xml:space="preserve">	• Date-time of message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2" s="122" t="str">
        <v/>
      </c>
      <c r="V1222" s="42"/>
      <c r="W1222" s="42"/>
      <c r="X1222" s="42"/>
      <c r="Y1222" s="42"/>
      <c r="Z1222" s="42"/>
      <c r="AA1222" s="42"/>
      <c r="AB1222" s="42"/>
    </row>
    <row r="1223" spans="1:28" x14ac:dyDescent="0.25">
      <c r="A1223" s="42" t="str">
        <v>1.21.6.2.6</v>
      </c>
      <c r="B1223" s="121" t="str">
        <v>Message Type</v>
      </c>
      <c r="C1223" s="41">
        <v>5</v>
      </c>
      <c r="D1223" s="41" t="str">
        <v>RL</v>
      </c>
      <c r="E1223" s="117" t="str">
        <f t="shared" si="0"/>
        <v>RL</v>
      </c>
      <c r="F1223" s="41" t="str">
        <v/>
      </c>
      <c r="G1223" s="41" t="str">
        <v/>
      </c>
      <c r="H1223" s="117">
        <f t="shared" si="1"/>
        <v>0</v>
      </c>
      <c r="I1223" s="117">
        <f t="shared" si="2"/>
        <v>21</v>
      </c>
      <c r="J1223" s="117">
        <f t="shared" si="3"/>
        <v>21.060000000000009</v>
      </c>
      <c r="K1223" s="117" t="str">
        <f t="shared" si="4"/>
        <v>BR</v>
      </c>
      <c r="L1223" s="42" t="str">
        <v>BR2106</v>
      </c>
      <c r="M1223" s="121" t="str">
        <v/>
      </c>
      <c r="N1223" s="121" t="str">
        <v/>
      </c>
      <c r="O1223" s="121" t="str">
        <v/>
      </c>
      <c r="P1223" s="121" t="str">
        <v/>
      </c>
      <c r="Q1223" s="121" t="str">
        <v/>
      </c>
      <c r="R1223" s="121" t="str">
        <v/>
      </c>
      <c r="S1223" s="121" t="str">
        <v>Message Type</v>
      </c>
      <c r="T1223" s="119" t="str">
        <f>IF($C1223&lt;4,IF($C1223=3,T1224,IF($C1223=2,T$1,"")),Q1223&amp;R1223&amp;IF(LEN(S1223)=0,"",Preferences!$C$2&amp;S1223)&amp;IF(J1224=J1223,IF(LEN(R1223&amp;S1223)=0,"","
")&amp;T1224,""))</f>
        <v xml:space="preserve">	• Message Type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3" s="122" t="str">
        <v/>
      </c>
      <c r="V1223" s="42"/>
      <c r="W1223" s="42"/>
      <c r="X1223" s="42"/>
      <c r="Y1223" s="42"/>
      <c r="Z1223" s="42"/>
      <c r="AA1223" s="42"/>
      <c r="AB1223" s="42"/>
    </row>
    <row r="1224" spans="1:28" x14ac:dyDescent="0.25">
      <c r="A1224" s="42" t="str">
        <v>1.21.6.2.7</v>
      </c>
      <c r="B1224" s="121" t="str">
        <v>Message Status</v>
      </c>
      <c r="C1224" s="41">
        <v>5</v>
      </c>
      <c r="D1224" s="41" t="str">
        <v>RL</v>
      </c>
      <c r="E1224" s="117" t="str">
        <f t="shared" si="0"/>
        <v>RL</v>
      </c>
      <c r="F1224" s="41" t="str">
        <v/>
      </c>
      <c r="G1224" s="41" t="str">
        <v/>
      </c>
      <c r="H1224" s="117">
        <f t="shared" si="1"/>
        <v>0</v>
      </c>
      <c r="I1224" s="117">
        <f t="shared" si="2"/>
        <v>21</v>
      </c>
      <c r="J1224" s="117">
        <f t="shared" si="3"/>
        <v>21.060000000000009</v>
      </c>
      <c r="K1224" s="117" t="str">
        <f t="shared" si="4"/>
        <v>BR</v>
      </c>
      <c r="L1224" s="42" t="str">
        <v>BR2106</v>
      </c>
      <c r="M1224" s="121" t="str">
        <v/>
      </c>
      <c r="N1224" s="121" t="str">
        <v/>
      </c>
      <c r="O1224" s="121" t="str">
        <v/>
      </c>
      <c r="P1224" s="121" t="str">
        <v/>
      </c>
      <c r="Q1224" s="121" t="str">
        <v/>
      </c>
      <c r="R1224" s="121" t="str">
        <v/>
      </c>
      <c r="S1224" s="121" t="str">
        <v>Message Status</v>
      </c>
      <c r="T1224" s="119" t="str">
        <f>IF($C1224&lt;4,IF($C1224=3,T1225,IF($C1224=2,T$1,"")),Q1224&amp;R1224&amp;IF(LEN(S1224)=0,"",Preferences!$C$2&amp;S1224)&amp;IF(J1225=J1224,IF(LEN(R1224&amp;S1224)=0,"","
")&amp;T1225,""))</f>
        <v xml:space="preserve">	• Message Status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4" s="122" t="str">
        <v/>
      </c>
      <c r="V1224" s="42"/>
      <c r="W1224" s="42"/>
      <c r="X1224" s="42"/>
      <c r="Y1224" s="42"/>
      <c r="Z1224" s="42"/>
      <c r="AA1224" s="42"/>
      <c r="AB1224" s="42"/>
    </row>
    <row r="1225" spans="1:28" x14ac:dyDescent="0.25">
      <c r="A1225" s="42" t="str">
        <v>1.21.6.2.8</v>
      </c>
      <c r="B1225" s="121" t="str">
        <v>Message Subject</v>
      </c>
      <c r="C1225" s="41">
        <v>5</v>
      </c>
      <c r="D1225" s="41" t="str">
        <v>RL</v>
      </c>
      <c r="E1225" s="117" t="str">
        <f t="shared" si="0"/>
        <v>RL</v>
      </c>
      <c r="F1225" s="41" t="str">
        <v/>
      </c>
      <c r="G1225" s="41" t="str">
        <v/>
      </c>
      <c r="H1225" s="117">
        <f t="shared" si="1"/>
        <v>0</v>
      </c>
      <c r="I1225" s="117">
        <f t="shared" si="2"/>
        <v>21</v>
      </c>
      <c r="J1225" s="117">
        <f t="shared" si="3"/>
        <v>21.060000000000009</v>
      </c>
      <c r="K1225" s="117" t="str">
        <f t="shared" si="4"/>
        <v>BR</v>
      </c>
      <c r="L1225" s="42" t="str">
        <v>BR2106</v>
      </c>
      <c r="M1225" s="121" t="str">
        <v/>
      </c>
      <c r="N1225" s="121" t="str">
        <v/>
      </c>
      <c r="O1225" s="121" t="str">
        <v/>
      </c>
      <c r="P1225" s="121" t="str">
        <v/>
      </c>
      <c r="Q1225" s="121" t="str">
        <v/>
      </c>
      <c r="R1225" s="121" t="str">
        <v/>
      </c>
      <c r="S1225" s="121" t="str">
        <v>Message Subject</v>
      </c>
      <c r="T1225" s="119" t="str">
        <f>IF($C1225&lt;4,IF($C1225=3,T1226,IF($C1225=2,T$1,"")),Q1225&amp;R1225&amp;IF(LEN(S1225)=0,"",Preferences!$C$2&amp;S1225)&amp;IF(J1226=J1225,IF(LEN(R1225&amp;S1225)=0,"","
")&amp;T1226,""))</f>
        <v xml:space="preserve">	• Message Subject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5" s="122" t="str">
        <v/>
      </c>
      <c r="V1225" s="42"/>
      <c r="W1225" s="42"/>
      <c r="X1225" s="42"/>
      <c r="Y1225" s="42"/>
      <c r="Z1225" s="42"/>
      <c r="AA1225" s="42"/>
      <c r="AB1225" s="42"/>
    </row>
    <row r="1226" spans="1:28" x14ac:dyDescent="0.25">
      <c r="A1226" s="42" t="str">
        <v>1.21.6.2.9</v>
      </c>
      <c r="B1226" s="121" t="str">
        <v>Message Detail</v>
      </c>
      <c r="C1226" s="41">
        <v>5</v>
      </c>
      <c r="D1226" s="41" t="str">
        <v>RL</v>
      </c>
      <c r="E1226" s="117" t="str">
        <f t="shared" si="0"/>
        <v>RL</v>
      </c>
      <c r="F1226" s="41" t="str">
        <v/>
      </c>
      <c r="G1226" s="41" t="str">
        <v/>
      </c>
      <c r="H1226" s="117">
        <f t="shared" si="1"/>
        <v>0</v>
      </c>
      <c r="I1226" s="117">
        <f t="shared" si="2"/>
        <v>21</v>
      </c>
      <c r="J1226" s="117">
        <f t="shared" si="3"/>
        <v>21.060000000000009</v>
      </c>
      <c r="K1226" s="117" t="str">
        <f t="shared" si="4"/>
        <v>BR</v>
      </c>
      <c r="L1226" s="42" t="str">
        <v>BR2106</v>
      </c>
      <c r="M1226" s="121" t="str">
        <v/>
      </c>
      <c r="N1226" s="121" t="str">
        <v/>
      </c>
      <c r="O1226" s="121" t="str">
        <v/>
      </c>
      <c r="P1226" s="121" t="str">
        <v/>
      </c>
      <c r="Q1226" s="121" t="str">
        <v/>
      </c>
      <c r="R1226" s="121" t="str">
        <v/>
      </c>
      <c r="S1226" s="121" t="str">
        <v>Message Detail</v>
      </c>
      <c r="T1226" s="119" t="str">
        <f>IF($C1226&lt;4,IF($C1226=3,T1227,IF($C1226=2,T$1,"")),Q1226&amp;R1226&amp;IF(LEN(S1226)=0,"",Preferences!$C$2&amp;S1226)&amp;IF(J1227=J1226,IF(LEN(R1226&amp;S1226)=0,"","
")&amp;T1227,""))</f>
        <v xml:space="preserve">	• Message Detail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6" s="122" t="str">
        <v/>
      </c>
      <c r="V1226" s="42"/>
      <c r="W1226" s="42"/>
      <c r="X1226" s="42"/>
      <c r="Y1226" s="42"/>
      <c r="Z1226" s="42"/>
      <c r="AA1226" s="42"/>
      <c r="AB1226" s="42"/>
    </row>
    <row r="1227" spans="1:28" x14ac:dyDescent="0.25">
      <c r="A1227" s="42" t="str">
        <v>1.21.6.2.10</v>
      </c>
      <c r="B1227" s="121" t="str">
        <v>Order Number (if relevant to their role, a link to view the order detail)</v>
      </c>
      <c r="C1227" s="41">
        <v>5</v>
      </c>
      <c r="D1227" s="41" t="str">
        <v>RL</v>
      </c>
      <c r="E1227" s="117" t="str">
        <f t="shared" si="0"/>
        <v>RL</v>
      </c>
      <c r="F1227" s="41" t="str">
        <v/>
      </c>
      <c r="G1227" s="41" t="str">
        <v/>
      </c>
      <c r="H1227" s="117">
        <f t="shared" si="1"/>
        <v>0</v>
      </c>
      <c r="I1227" s="117">
        <f t="shared" si="2"/>
        <v>21</v>
      </c>
      <c r="J1227" s="117">
        <f t="shared" si="3"/>
        <v>21.060000000000009</v>
      </c>
      <c r="K1227" s="117" t="str">
        <f t="shared" si="4"/>
        <v>BR</v>
      </c>
      <c r="L1227" s="42" t="str">
        <v>BR2106</v>
      </c>
      <c r="M1227" s="121" t="str">
        <v/>
      </c>
      <c r="N1227" s="121" t="str">
        <v/>
      </c>
      <c r="O1227" s="121" t="str">
        <v/>
      </c>
      <c r="P1227" s="121" t="str">
        <v/>
      </c>
      <c r="Q1227" s="121" t="str">
        <v/>
      </c>
      <c r="R1227" s="121" t="str">
        <v/>
      </c>
      <c r="S1227" s="121" t="str">
        <v>Order Number (if relevant to their role, a link to view the order detail)</v>
      </c>
      <c r="T1227" s="119" t="str">
        <f>IF($C1227&lt;4,IF($C1227=3,T1228,IF($C1227=2,T$1,"")),Q1227&amp;R1227&amp;IF(LEN(S1227)=0,"",Preferences!$C$2&amp;S1227)&amp;IF(J1228=J1227,IF(LEN(R1227&amp;S1227)=0,"","
")&amp;T1228,""))</f>
        <v xml:space="preserve">	• Order Number (if relevant to their role, a link to view the order detail)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7" s="122" t="str">
        <v/>
      </c>
      <c r="V1227" s="42"/>
      <c r="W1227" s="42"/>
      <c r="X1227" s="42"/>
      <c r="Y1227" s="42"/>
      <c r="Z1227" s="42"/>
      <c r="AA1227" s="42"/>
      <c r="AB1227" s="42"/>
    </row>
    <row r="1228" spans="1:28" x14ac:dyDescent="0.25">
      <c r="A1228" s="42" t="str">
        <v>1.21.6.2.11</v>
      </c>
      <c r="B1228" s="121" t="str">
        <v>Return Number (if relevant to their role, a link to view the return detail)</v>
      </c>
      <c r="C1228" s="41">
        <v>5</v>
      </c>
      <c r="D1228" s="41" t="str">
        <v>RL</v>
      </c>
      <c r="E1228" s="117" t="str">
        <f t="shared" si="0"/>
        <v>RL</v>
      </c>
      <c r="F1228" s="41" t="str">
        <v/>
      </c>
      <c r="G1228" s="41" t="str">
        <v/>
      </c>
      <c r="H1228" s="117">
        <f t="shared" si="1"/>
        <v>0</v>
      </c>
      <c r="I1228" s="117">
        <f t="shared" si="2"/>
        <v>21</v>
      </c>
      <c r="J1228" s="117">
        <f t="shared" si="3"/>
        <v>21.060000000000009</v>
      </c>
      <c r="K1228" s="117" t="str">
        <f t="shared" si="4"/>
        <v>BR</v>
      </c>
      <c r="L1228" s="42" t="str">
        <v>BR2106</v>
      </c>
      <c r="M1228" s="121" t="str">
        <v/>
      </c>
      <c r="N1228" s="121" t="str">
        <v/>
      </c>
      <c r="O1228" s="121" t="str">
        <v/>
      </c>
      <c r="P1228" s="121" t="str">
        <v/>
      </c>
      <c r="Q1228" s="121" t="str">
        <v/>
      </c>
      <c r="R1228" s="121" t="str">
        <v/>
      </c>
      <c r="S1228" s="121" t="str">
        <v>Return Number (if relevant to their role, a link to view the return detail)</v>
      </c>
      <c r="T1228" s="119" t="str">
        <f>IF($C1228&lt;4,IF($C1228=3,T1229,IF($C1228=2,T$1,"")),Q1228&amp;R1228&amp;IF(LEN(S1228)=0,"",Preferences!$C$2&amp;S1228)&amp;IF(J1229=J1228,IF(LEN(R1228&amp;S1228)=0,"","
")&amp;T1229,""))</f>
        <v xml:space="preserve">	• Return Number (if relevant to their role, a link to view the return detail)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8" s="122" t="str">
        <v/>
      </c>
      <c r="V1228" s="42"/>
      <c r="W1228" s="42"/>
      <c r="X1228" s="42"/>
      <c r="Y1228" s="42"/>
      <c r="Z1228" s="42"/>
      <c r="AA1228" s="42"/>
      <c r="AB1228" s="42"/>
    </row>
    <row r="1229" spans="1:28" x14ac:dyDescent="0.25">
      <c r="A1229" s="42" t="str">
        <v>1.21.6.3</v>
      </c>
      <c r="B1229" s="121" t="str">
        <v>The applicable back-office area must be able to reply to the last customer message.</v>
      </c>
      <c r="C1229" s="41">
        <v>4</v>
      </c>
      <c r="D1229" s="41" t="str">
        <v>RD</v>
      </c>
      <c r="E1229" s="117" t="str">
        <f t="shared" si="0"/>
        <v>RD</v>
      </c>
      <c r="F1229" s="41" t="str">
        <v/>
      </c>
      <c r="G1229" s="41" t="str">
        <v/>
      </c>
      <c r="H1229" s="117">
        <f t="shared" si="1"/>
        <v>0</v>
      </c>
      <c r="I1229" s="117">
        <f t="shared" si="2"/>
        <v>21</v>
      </c>
      <c r="J1229" s="117">
        <f t="shared" si="3"/>
        <v>21.060000000000009</v>
      </c>
      <c r="K1229" s="117" t="str">
        <f t="shared" si="4"/>
        <v>BR</v>
      </c>
      <c r="L1229" s="42" t="str">
        <v>BR2106</v>
      </c>
      <c r="M1229" s="121" t="str">
        <v/>
      </c>
      <c r="N1229" s="121" t="str">
        <v/>
      </c>
      <c r="O1229" s="121" t="str">
        <v/>
      </c>
      <c r="P1229" s="121" t="str">
        <v/>
      </c>
      <c r="Q1229" s="121" t="str">
        <v xml:space="preserve"> 3. </v>
      </c>
      <c r="R1229" s="121" t="str">
        <v>The applicable back-office area must be able to reply to the last customer message.</v>
      </c>
      <c r="S1229" s="121" t="str">
        <v/>
      </c>
      <c r="T1229" s="119" t="str">
        <f>IF($C1229&lt;4,IF($C1229=3,T1230,IF($C1229=2,T$1,"")),Q1229&amp;R1229&amp;IF(LEN(S1229)=0,"",Preferences!$C$2&amp;S1229)&amp;IF(J1230=J1229,IF(LEN(R1229&amp;S1229)=0,"","
")&amp;T1230,""))</f>
        <v xml:space="preserve"> 3. The applicable back-office area must be able to reply to the last customer message.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29" s="122" t="str">
        <v/>
      </c>
      <c r="V1229" s="42"/>
      <c r="W1229" s="42"/>
      <c r="X1229" s="42"/>
      <c r="Y1229" s="42"/>
      <c r="Z1229" s="42"/>
      <c r="AA1229" s="42"/>
      <c r="AB1229" s="42"/>
    </row>
    <row r="1230" spans="1:28" x14ac:dyDescent="0.25">
      <c r="A1230" s="42" t="str">
        <v>1.21.6.3.1</v>
      </c>
      <c r="B1230" s="121" t="str">
        <v>The reply may only contain normal text.</v>
      </c>
      <c r="C1230" s="41">
        <v>5</v>
      </c>
      <c r="D1230" s="41" t="str">
        <v>RL</v>
      </c>
      <c r="E1230" s="117" t="str">
        <f t="shared" si="0"/>
        <v>RL</v>
      </c>
      <c r="F1230" s="41" t="str">
        <v/>
      </c>
      <c r="G1230" s="41" t="str">
        <v/>
      </c>
      <c r="H1230" s="117">
        <f t="shared" si="1"/>
        <v>0</v>
      </c>
      <c r="I1230" s="117">
        <f t="shared" si="2"/>
        <v>21</v>
      </c>
      <c r="J1230" s="117">
        <f t="shared" si="3"/>
        <v>21.060000000000009</v>
      </c>
      <c r="K1230" s="117" t="str">
        <f t="shared" si="4"/>
        <v>BR</v>
      </c>
      <c r="L1230" s="42" t="str">
        <v>BR2106</v>
      </c>
      <c r="M1230" s="121" t="str">
        <v/>
      </c>
      <c r="N1230" s="121" t="str">
        <v/>
      </c>
      <c r="O1230" s="121" t="str">
        <v/>
      </c>
      <c r="P1230" s="121" t="str">
        <v/>
      </c>
      <c r="Q1230" s="121" t="str">
        <v/>
      </c>
      <c r="R1230" s="121" t="str">
        <v/>
      </c>
      <c r="S1230" s="121" t="str">
        <v>The reply may only contain normal text.</v>
      </c>
      <c r="T1230" s="119" t="str">
        <f>IF($C1230&lt;4,IF($C1230=3,T1231,IF($C1230=2,T$1,"")),Q1230&amp;R1230&amp;IF(LEN(S1230)=0,"",Preferences!$C$2&amp;S1230)&amp;IF(J1231=J1230,IF(LEN(R1230&amp;S1230)=0,"","
")&amp;T1231,""))</f>
        <v xml:space="preserve">	• The reply may only contain normal text.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30" s="122" t="str">
        <v/>
      </c>
      <c r="V1230" s="42"/>
      <c r="W1230" s="42"/>
      <c r="X1230" s="42"/>
      <c r="Y1230" s="42"/>
      <c r="Z1230" s="42"/>
      <c r="AA1230" s="42"/>
      <c r="AB1230" s="42"/>
    </row>
    <row r="1231" spans="1:28" x14ac:dyDescent="0.25">
      <c r="A1231" s="42" t="str">
        <v>1.21.6.4</v>
      </c>
      <c r="B1231" s="121" t="str">
        <v>The reply message must be presented to the customer via the following channels:</v>
      </c>
      <c r="C1231" s="41">
        <v>4</v>
      </c>
      <c r="D1231" s="41" t="str">
        <v>RD</v>
      </c>
      <c r="E1231" s="117" t="str">
        <f t="shared" si="0"/>
        <v>RD</v>
      </c>
      <c r="F1231" s="41" t="str">
        <v/>
      </c>
      <c r="G1231" s="41" t="str">
        <v/>
      </c>
      <c r="H1231" s="117">
        <f t="shared" si="1"/>
        <v>0</v>
      </c>
      <c r="I1231" s="117">
        <f t="shared" si="2"/>
        <v>21</v>
      </c>
      <c r="J1231" s="117">
        <f t="shared" si="3"/>
        <v>21.060000000000009</v>
      </c>
      <c r="K1231" s="117" t="str">
        <f t="shared" si="4"/>
        <v>BR</v>
      </c>
      <c r="L1231" s="42" t="str">
        <v>BR2106</v>
      </c>
      <c r="M1231" s="121" t="str">
        <v/>
      </c>
      <c r="N1231" s="121" t="str">
        <v/>
      </c>
      <c r="O1231" s="121" t="str">
        <v/>
      </c>
      <c r="P1231" s="121" t="str">
        <v/>
      </c>
      <c r="Q1231" s="121" t="str">
        <v xml:space="preserve"> 4. </v>
      </c>
      <c r="R1231" s="121" t="str">
        <v>The reply message must be presented to the customer via the following channels:</v>
      </c>
      <c r="S1231" s="121" t="str">
        <v/>
      </c>
      <c r="T1231" s="119" t="str">
        <f>IF($C1231&lt;4,IF($C1231=3,T1232,IF($C1231=2,T$1,"")),Q1231&amp;R1231&amp;IF(LEN(S1231)=0,"",Preferences!$C$2&amp;S1231)&amp;IF(J1232=J1231,IF(LEN(R1231&amp;S1231)=0,"","
")&amp;T1232,""))</f>
        <v xml:space="preserve"> 4. The reply message must be presented to the customer via the following channels:
	• Email with message, as well as link to their original enquiry (require login to view).
	• Posted on the online shop as an unread message.
	• SMS to the customer, notifying them to read the reply online or in their email.</v>
      </c>
      <c r="U1231" s="122" t="str">
        <v/>
      </c>
      <c r="V1231" s="42"/>
      <c r="W1231" s="42"/>
      <c r="X1231" s="42"/>
      <c r="Y1231" s="42"/>
      <c r="Z1231" s="42"/>
      <c r="AA1231" s="42"/>
      <c r="AB1231" s="42"/>
    </row>
    <row r="1232" spans="1:28" x14ac:dyDescent="0.25">
      <c r="A1232" s="42" t="str">
        <v>1.21.6.4.1</v>
      </c>
      <c r="B1232" s="121" t="str">
        <v>Email with message, as well as link to their original enquiry (require login to view).</v>
      </c>
      <c r="C1232" s="41">
        <v>5</v>
      </c>
      <c r="D1232" s="41" t="str">
        <v>RL</v>
      </c>
      <c r="E1232" s="117" t="str">
        <f t="shared" si="0"/>
        <v>RL</v>
      </c>
      <c r="F1232" s="41" t="str">
        <v/>
      </c>
      <c r="G1232" s="41" t="str">
        <v/>
      </c>
      <c r="H1232" s="117">
        <f t="shared" si="1"/>
        <v>0</v>
      </c>
      <c r="I1232" s="117">
        <f t="shared" si="2"/>
        <v>21</v>
      </c>
      <c r="J1232" s="117">
        <f t="shared" si="3"/>
        <v>21.060000000000009</v>
      </c>
      <c r="K1232" s="117" t="str">
        <f t="shared" si="4"/>
        <v>BR</v>
      </c>
      <c r="L1232" s="42" t="str">
        <v>BR2106</v>
      </c>
      <c r="M1232" s="121" t="str">
        <v/>
      </c>
      <c r="N1232" s="121" t="str">
        <v/>
      </c>
      <c r="O1232" s="121" t="str">
        <v/>
      </c>
      <c r="P1232" s="121" t="str">
        <v/>
      </c>
      <c r="Q1232" s="121" t="str">
        <v/>
      </c>
      <c r="R1232" s="121" t="str">
        <v/>
      </c>
      <c r="S1232" s="121" t="str">
        <v>Email with message, as well as link to their original enquiry (require login to view).</v>
      </c>
      <c r="T1232" s="119" t="str">
        <f>IF($C1232&lt;4,IF($C1232=3,T1233,IF($C1232=2,T$1,"")),Q1232&amp;R1232&amp;IF(LEN(S1232)=0,"",Preferences!$C$2&amp;S1232)&amp;IF(J1233=J1232,IF(LEN(R1232&amp;S1232)=0,"","
")&amp;T1233,""))</f>
        <v xml:space="preserve">	• Email with message, as well as link to their original enquiry (require login to view).
	• Posted on the online shop as an unread message.
	• SMS to the customer, notifying them to read the reply online or in their email.</v>
      </c>
      <c r="U1232" s="122" t="str">
        <v/>
      </c>
      <c r="V1232" s="42"/>
      <c r="W1232" s="42"/>
      <c r="X1232" s="42"/>
      <c r="Y1232" s="42"/>
      <c r="Z1232" s="42"/>
      <c r="AA1232" s="42"/>
      <c r="AB1232" s="42"/>
    </row>
    <row r="1233" spans="1:28" x14ac:dyDescent="0.25">
      <c r="A1233" s="42" t="str">
        <v>1.21.6.4.2</v>
      </c>
      <c r="B1233" s="121" t="str">
        <v>Posted on the online shop as an unread message.</v>
      </c>
      <c r="C1233" s="41">
        <v>5</v>
      </c>
      <c r="D1233" s="41" t="str">
        <v>RL</v>
      </c>
      <c r="E1233" s="117" t="str">
        <f t="shared" si="0"/>
        <v>RL</v>
      </c>
      <c r="F1233" s="41" t="str">
        <v/>
      </c>
      <c r="G1233" s="41" t="str">
        <v/>
      </c>
      <c r="H1233" s="117">
        <f t="shared" si="1"/>
        <v>0</v>
      </c>
      <c r="I1233" s="117">
        <f t="shared" si="2"/>
        <v>21</v>
      </c>
      <c r="J1233" s="117">
        <f t="shared" si="3"/>
        <v>21.060000000000009</v>
      </c>
      <c r="K1233" s="117" t="str">
        <f t="shared" si="4"/>
        <v>BR</v>
      </c>
      <c r="L1233" s="42" t="str">
        <v>BR2106</v>
      </c>
      <c r="M1233" s="121" t="str">
        <v/>
      </c>
      <c r="N1233" s="121" t="str">
        <v/>
      </c>
      <c r="O1233" s="121" t="str">
        <v/>
      </c>
      <c r="P1233" s="121" t="str">
        <v/>
      </c>
      <c r="Q1233" s="121" t="str">
        <v/>
      </c>
      <c r="R1233" s="121" t="str">
        <v/>
      </c>
      <c r="S1233" s="121" t="str">
        <v>Posted on the online shop as an unread message.</v>
      </c>
      <c r="T1233" s="119" t="str">
        <f>IF($C1233&lt;4,IF($C1233=3,T1234,IF($C1233=2,T$1,"")),Q1233&amp;R1233&amp;IF(LEN(S1233)=0,"",Preferences!$C$2&amp;S1233)&amp;IF(J1234=J1233,IF(LEN(R1233&amp;S1233)=0,"","
")&amp;T1234,""))</f>
        <v xml:space="preserve">	• Posted on the online shop as an unread message.
	• SMS to the customer, notifying them to read the reply online or in their email.</v>
      </c>
      <c r="U1233" s="122" t="str">
        <v/>
      </c>
      <c r="V1233" s="42"/>
      <c r="W1233" s="42"/>
      <c r="X1233" s="42"/>
      <c r="Y1233" s="42"/>
      <c r="Z1233" s="42"/>
      <c r="AA1233" s="42"/>
      <c r="AB1233" s="42"/>
    </row>
    <row r="1234" spans="1:28" x14ac:dyDescent="0.25">
      <c r="A1234" s="42" t="str">
        <v>1.21.6.4.3</v>
      </c>
      <c r="B1234" s="121" t="str">
        <v>SMS to the customer, notifying them to read the reply online or in their email.</v>
      </c>
      <c r="C1234" s="41">
        <v>5</v>
      </c>
      <c r="D1234" s="41" t="str">
        <v>RL</v>
      </c>
      <c r="E1234" s="117" t="str">
        <f t="shared" si="0"/>
        <v>RL</v>
      </c>
      <c r="F1234" s="41" t="str">
        <v/>
      </c>
      <c r="G1234" s="41" t="str">
        <v/>
      </c>
      <c r="H1234" s="117">
        <f t="shared" si="1"/>
        <v>0</v>
      </c>
      <c r="I1234" s="117">
        <f t="shared" si="2"/>
        <v>21</v>
      </c>
      <c r="J1234" s="117">
        <f t="shared" si="3"/>
        <v>21.060000000000009</v>
      </c>
      <c r="K1234" s="117" t="str">
        <f t="shared" si="4"/>
        <v>BR</v>
      </c>
      <c r="L1234" s="42" t="str">
        <v>BR2106</v>
      </c>
      <c r="M1234" s="121" t="str">
        <v/>
      </c>
      <c r="N1234" s="121" t="str">
        <v/>
      </c>
      <c r="O1234" s="121" t="str">
        <v/>
      </c>
      <c r="P1234" s="121" t="str">
        <v/>
      </c>
      <c r="Q1234" s="121" t="str">
        <v/>
      </c>
      <c r="R1234" s="121" t="str">
        <v/>
      </c>
      <c r="S1234" s="121" t="str">
        <v>SMS to the customer, notifying them to read the reply online or in their email.</v>
      </c>
      <c r="T1234" s="119" t="str">
        <f>IF($C1234&lt;4,IF($C1234=3,T1235,IF($C1234=2,T$1,"")),Q1234&amp;R1234&amp;IF(LEN(S1234)=0,"",Preferences!$C$2&amp;S1234)&amp;IF(J1235=J1234,IF(LEN(R1234&amp;S1234)=0,"","
")&amp;T1235,""))</f>
        <v xml:space="preserve">	• SMS to the customer, notifying them to read the reply online or in their email.</v>
      </c>
      <c r="U1234" s="122" t="str">
        <v/>
      </c>
      <c r="V1234" s="42"/>
      <c r="W1234" s="42"/>
      <c r="X1234" s="42"/>
      <c r="Y1234" s="42"/>
      <c r="Z1234" s="42"/>
      <c r="AA1234" s="42"/>
      <c r="AB1234" s="42"/>
    </row>
    <row r="1235" spans="1:28" x14ac:dyDescent="0.25">
      <c r="A1235" s="42" t="str">
        <v>1.22</v>
      </c>
      <c r="B1235" s="121" t="str">
        <v>22 Online Payments Management</v>
      </c>
      <c r="C1235" s="41">
        <v>2</v>
      </c>
      <c r="D1235" s="41" t="str">
        <v>RS</v>
      </c>
      <c r="E1235" s="117" t="str">
        <f t="shared" si="0"/>
        <v>RS</v>
      </c>
      <c r="F1235" s="41" t="str">
        <v/>
      </c>
      <c r="G1235" s="41" t="str">
        <v/>
      </c>
      <c r="H1235" s="117">
        <f t="shared" si="1"/>
        <v>0</v>
      </c>
      <c r="I1235" s="117">
        <f t="shared" si="2"/>
        <v>22</v>
      </c>
      <c r="J1235" s="117">
        <f t="shared" si="3"/>
        <v>22</v>
      </c>
      <c r="K1235" s="117" t="str">
        <f t="shared" si="4"/>
        <v>BR</v>
      </c>
      <c r="L1235" s="42">
        <v>22</v>
      </c>
      <c r="M1235" s="121" t="str">
        <v/>
      </c>
      <c r="N1235" s="121" t="str">
        <v>22 Online Payments Management</v>
      </c>
      <c r="O1235" s="121" t="str">
        <v>ReqID</v>
      </c>
      <c r="P1235" s="121" t="e">
        <v>#N/A</v>
      </c>
      <c r="Q1235" s="121" t="str">
        <v/>
      </c>
      <c r="R1235" s="121" t="str">
        <v/>
      </c>
      <c r="S1235" s="121" t="str">
        <v/>
      </c>
      <c r="T1235" s="119" t="str">
        <f>IF($C1235&lt;4,IF($C1235=3,T1236,IF($C1235=2,T$1,"")),Q1235&amp;R1235&amp;IF(LEN(S1235)=0,"",Preferences!$C$2&amp;S1235)&amp;IF(J1236=J1235,IF(LEN(R1235&amp;S1235)=0,"","
")&amp;T1236,""))</f>
        <v>Description</v>
      </c>
      <c r="U1235" s="122" t="str">
        <v/>
      </c>
      <c r="V1235" s="42"/>
      <c r="W1235" s="42"/>
      <c r="X1235" s="42"/>
      <c r="Y1235" s="42"/>
      <c r="Z1235" s="42"/>
      <c r="AA1235" s="42"/>
      <c r="AB1235" s="42"/>
    </row>
    <row r="1236" spans="1:28" x14ac:dyDescent="0.25">
      <c r="A1236" s="42" t="str">
        <v>1.22.1</v>
      </c>
      <c r="B1236" s="121" t="str">
        <v>22.1 Process customer card payment</v>
      </c>
      <c r="C1236" s="41">
        <v>3</v>
      </c>
      <c r="D1236" s="41" t="str">
        <v>R</v>
      </c>
      <c r="E1236" s="117" t="str">
        <f t="shared" si="0"/>
        <v>R</v>
      </c>
      <c r="F1236" s="41" t="str">
        <v/>
      </c>
      <c r="G1236" s="41" t="str">
        <v/>
      </c>
      <c r="H1236" s="117">
        <f t="shared" si="1"/>
        <v>0</v>
      </c>
      <c r="I1236" s="117">
        <f t="shared" si="2"/>
        <v>22</v>
      </c>
      <c r="J1236" s="117">
        <f t="shared" si="3"/>
        <v>22.01</v>
      </c>
      <c r="K1236" s="117" t="str">
        <f t="shared" si="4"/>
        <v>BR</v>
      </c>
      <c r="L1236" s="42" t="str">
        <v>BR2201</v>
      </c>
      <c r="M1236" s="121" t="str">
        <v/>
      </c>
      <c r="N1236" s="121" t="str">
        <v/>
      </c>
      <c r="O1236" s="121" t="str">
        <v>BR2201</v>
      </c>
      <c r="P1236" s="121" t="str">
        <v>Process customer card payment</v>
      </c>
      <c r="Q1236" s="121" t="str">
        <v/>
      </c>
      <c r="R1236" s="121" t="str">
        <v/>
      </c>
      <c r="S1236" s="121" t="str">
        <v/>
      </c>
      <c r="T1236" s="119" t="str">
        <f>IF($C1236&lt;4,IF($C1236=3,T1237,IF($C1236=2,T$1,"")),Q1236&amp;R1236&amp;IF(LEN(S1236)=0,"",Preferences!$C$2&amp;S1236)&amp;IF(J1237=J1236,IF(LEN(R1236&amp;S1236)=0,"","
")&amp;T1237,""))</f>
        <v xml:space="preserve"> 1. The customer online payment transaction must be logged, without compromising payment confidentiality.
 2. Also see the Checkout and Pay section.</v>
      </c>
      <c r="U1236" s="122" t="str">
        <v/>
      </c>
      <c r="V1236" s="42"/>
      <c r="W1236" s="42"/>
      <c r="X1236" s="42"/>
      <c r="Y1236" s="42"/>
      <c r="Z1236" s="42"/>
      <c r="AA1236" s="42"/>
      <c r="AB1236" s="42"/>
    </row>
    <row r="1237" spans="1:28" x14ac:dyDescent="0.25">
      <c r="A1237" s="42" t="str">
        <v>1.22.1.1</v>
      </c>
      <c r="B1237" s="121" t="str">
        <v>The customer online payment transaction must be logged, without compromising payment confidentiality.</v>
      </c>
      <c r="C1237" s="41">
        <v>4</v>
      </c>
      <c r="D1237" s="41" t="str">
        <v>RD</v>
      </c>
      <c r="E1237" s="117" t="str">
        <f t="shared" si="0"/>
        <v>RD</v>
      </c>
      <c r="F1237" s="41" t="str">
        <v/>
      </c>
      <c r="G1237" s="41" t="str">
        <v/>
      </c>
      <c r="H1237" s="117">
        <f t="shared" si="1"/>
        <v>0</v>
      </c>
      <c r="I1237" s="117">
        <f t="shared" si="2"/>
        <v>22</v>
      </c>
      <c r="J1237" s="117">
        <f t="shared" si="3"/>
        <v>22.01</v>
      </c>
      <c r="K1237" s="117" t="str">
        <f t="shared" si="4"/>
        <v>BR</v>
      </c>
      <c r="L1237" s="42" t="str">
        <v>BR2201</v>
      </c>
      <c r="M1237" s="121" t="str">
        <v/>
      </c>
      <c r="N1237" s="121" t="str">
        <v/>
      </c>
      <c r="O1237" s="121" t="str">
        <v/>
      </c>
      <c r="P1237" s="121" t="str">
        <v/>
      </c>
      <c r="Q1237" s="121" t="str">
        <v xml:space="preserve"> 1. </v>
      </c>
      <c r="R1237" s="121" t="str">
        <v>The customer online payment transaction must be logged, without compromising payment confidentiality.</v>
      </c>
      <c r="S1237" s="121" t="str">
        <v/>
      </c>
      <c r="T1237" s="119" t="str">
        <f>IF($C1237&lt;4,IF($C1237=3,T1238,IF($C1237=2,T$1,"")),Q1237&amp;R1237&amp;IF(LEN(S1237)=0,"",Preferences!$C$2&amp;S1237)&amp;IF(J1238=J1237,IF(LEN(R1237&amp;S1237)=0,"","
")&amp;T1238,""))</f>
        <v xml:space="preserve"> 1. The customer online payment transaction must be logged, without compromising payment confidentiality.
 2. Also see the Checkout and Pay section.</v>
      </c>
      <c r="U1237" s="122" t="str">
        <v/>
      </c>
      <c r="V1237" s="42"/>
      <c r="W1237" s="42"/>
      <c r="X1237" s="42"/>
      <c r="Y1237" s="42"/>
      <c r="Z1237" s="42"/>
      <c r="AA1237" s="42"/>
      <c r="AB1237" s="42"/>
    </row>
    <row r="1238" spans="1:28" x14ac:dyDescent="0.25">
      <c r="A1238" s="42" t="str">
        <v>1.22.1.2</v>
      </c>
      <c r="B1238" s="121" t="str">
        <v>Also see the Checkout and Pay section.</v>
      </c>
      <c r="C1238" s="41">
        <v>4</v>
      </c>
      <c r="D1238" s="41" t="str">
        <v>RD</v>
      </c>
      <c r="E1238" s="117" t="str">
        <f t="shared" si="0"/>
        <v>RD</v>
      </c>
      <c r="F1238" s="41" t="str">
        <v/>
      </c>
      <c r="G1238" s="41" t="str">
        <v/>
      </c>
      <c r="H1238" s="117">
        <f t="shared" si="1"/>
        <v>0</v>
      </c>
      <c r="I1238" s="117">
        <f t="shared" si="2"/>
        <v>22</v>
      </c>
      <c r="J1238" s="117">
        <f t="shared" si="3"/>
        <v>22.01</v>
      </c>
      <c r="K1238" s="117" t="str">
        <f t="shared" si="4"/>
        <v>BR</v>
      </c>
      <c r="L1238" s="42" t="str">
        <v>BR2201</v>
      </c>
      <c r="M1238" s="121" t="str">
        <v/>
      </c>
      <c r="N1238" s="121" t="str">
        <v/>
      </c>
      <c r="O1238" s="121" t="str">
        <v/>
      </c>
      <c r="P1238" s="121" t="str">
        <v/>
      </c>
      <c r="Q1238" s="121" t="str">
        <v xml:space="preserve"> 2. </v>
      </c>
      <c r="R1238" s="121" t="str">
        <v>Also see the Checkout and Pay section.</v>
      </c>
      <c r="S1238" s="121" t="str">
        <v/>
      </c>
      <c r="T1238" s="119" t="str">
        <f>IF($C1238&lt;4,IF($C1238=3,T1239,IF($C1238=2,T$1,"")),Q1238&amp;R1238&amp;IF(LEN(S1238)=0,"",Preferences!$C$2&amp;S1238)&amp;IF(J1239=J1238,IF(LEN(R1238&amp;S1238)=0,"","
")&amp;T1239,""))</f>
        <v xml:space="preserve"> 2. Also see the Checkout and Pay section.</v>
      </c>
      <c r="U1238" s="122" t="str">
        <v/>
      </c>
      <c r="V1238" s="42"/>
      <c r="W1238" s="42"/>
      <c r="X1238" s="42"/>
      <c r="Y1238" s="42"/>
      <c r="Z1238" s="42"/>
      <c r="AA1238" s="42"/>
      <c r="AB1238" s="42"/>
    </row>
    <row r="1239" spans="1:28" x14ac:dyDescent="0.25">
      <c r="A1239" s="42" t="str">
        <v>1.22.2</v>
      </c>
      <c r="B1239" s="121" t="str">
        <v>22.2 Reverse approved customer online payment</v>
      </c>
      <c r="C1239" s="41">
        <v>3</v>
      </c>
      <c r="D1239" s="41" t="str">
        <v>R</v>
      </c>
      <c r="E1239" s="117" t="str">
        <f t="shared" si="0"/>
        <v>R</v>
      </c>
      <c r="F1239" s="41" t="str">
        <v/>
      </c>
      <c r="G1239" s="41" t="str">
        <v/>
      </c>
      <c r="H1239" s="117">
        <f t="shared" si="1"/>
        <v>0</v>
      </c>
      <c r="I1239" s="117">
        <f t="shared" si="2"/>
        <v>22</v>
      </c>
      <c r="J1239" s="117">
        <f t="shared" si="3"/>
        <v>22.020000000000003</v>
      </c>
      <c r="K1239" s="117" t="str">
        <f t="shared" si="4"/>
        <v>BR</v>
      </c>
      <c r="L1239" s="42" t="str">
        <v>BR2202</v>
      </c>
      <c r="M1239" s="121" t="str">
        <v/>
      </c>
      <c r="N1239" s="121" t="str">
        <v/>
      </c>
      <c r="O1239" s="121" t="str">
        <v>BR2202</v>
      </c>
      <c r="P1239" s="121" t="str">
        <v>Reverse approved customer online payment</v>
      </c>
      <c r="Q1239" s="121" t="str">
        <v/>
      </c>
      <c r="R1239" s="121" t="str">
        <v/>
      </c>
      <c r="S1239" s="121" t="str">
        <v/>
      </c>
      <c r="T1239" s="119" t="str">
        <f>IF($C1239&lt;4,IF($C1239=3,T1240,IF($C1239=2,T$1,"")),Q1239&amp;R1239&amp;IF(LEN(S1239)=0,"",Preferences!$C$2&amp;S1239)&amp;IF(J1240=J1239,IF(LEN(R1239&amp;S1239)=0,"","
")&amp;T1240,""))</f>
        <v xml:space="preserve"> 1. Approval to reverse an online payment may be granted for the following events:
	• The online payment returned as failed, but payment was taken from the bank (need Finance approval)
	• A customer's request to cancel their unprocessed order was approved (Order Manager approval).
	• An order that cannot be fulfilled by a supplier was cancelled (Order Manager approval).
 2. The reversal of an online payment will be processed directly with the payment gateway or bank (as appropriate).</v>
      </c>
      <c r="U1239" s="122" t="str">
        <v/>
      </c>
      <c r="V1239" s="42"/>
      <c r="W1239" s="42"/>
      <c r="X1239" s="42"/>
      <c r="Y1239" s="42"/>
      <c r="Z1239" s="42"/>
      <c r="AA1239" s="42"/>
      <c r="AB1239" s="42"/>
    </row>
    <row r="1240" spans="1:28" x14ac:dyDescent="0.25">
      <c r="A1240" s="42" t="str">
        <v>1.22.2.1</v>
      </c>
      <c r="B1240" s="121" t="str">
        <v>Approval to reverse an online payment may be granted for the following events:</v>
      </c>
      <c r="C1240" s="41">
        <v>4</v>
      </c>
      <c r="D1240" s="41" t="str">
        <v>RD</v>
      </c>
      <c r="E1240" s="117" t="str">
        <f t="shared" si="0"/>
        <v>RD</v>
      </c>
      <c r="F1240" s="41" t="str">
        <v/>
      </c>
      <c r="G1240" s="41" t="str">
        <v/>
      </c>
      <c r="H1240" s="117">
        <f t="shared" si="1"/>
        <v>0</v>
      </c>
      <c r="I1240" s="117">
        <f t="shared" si="2"/>
        <v>22</v>
      </c>
      <c r="J1240" s="117">
        <f t="shared" si="3"/>
        <v>22.020000000000003</v>
      </c>
      <c r="K1240" s="117" t="str">
        <f t="shared" si="4"/>
        <v>BR</v>
      </c>
      <c r="L1240" s="42" t="str">
        <v>BR2202</v>
      </c>
      <c r="M1240" s="121" t="str">
        <v/>
      </c>
      <c r="N1240" s="121" t="str">
        <v/>
      </c>
      <c r="O1240" s="121" t="str">
        <v/>
      </c>
      <c r="P1240" s="121" t="str">
        <v/>
      </c>
      <c r="Q1240" s="121" t="str">
        <v xml:space="preserve"> 1. </v>
      </c>
      <c r="R1240" s="121" t="str">
        <v>Approval to reverse an online payment may be granted for the following events:</v>
      </c>
      <c r="S1240" s="121" t="str">
        <v/>
      </c>
      <c r="T1240" s="119" t="str">
        <f>IF($C1240&lt;4,IF($C1240=3,T1241,IF($C1240=2,T$1,"")),Q1240&amp;R1240&amp;IF(LEN(S1240)=0,"",Preferences!$C$2&amp;S1240)&amp;IF(J1241=J1240,IF(LEN(R1240&amp;S1240)=0,"","
")&amp;T1241,""))</f>
        <v xml:space="preserve"> 1. Approval to reverse an online payment may be granted for the following events:
	• The online payment returned as failed, but payment was taken from the bank (need Finance approval)
	• A customer's request to cancel their unprocessed order was approved (Order Manager approval).
	• An order that cannot be fulfilled by a supplier was cancelled (Order Manager approval).
 2. The reversal of an online payment will be processed directly with the payment gateway or bank (as appropriate).</v>
      </c>
      <c r="U1240" s="122" t="str">
        <v/>
      </c>
      <c r="V1240" s="42"/>
      <c r="W1240" s="42"/>
      <c r="X1240" s="42"/>
      <c r="Y1240" s="42"/>
      <c r="Z1240" s="42"/>
      <c r="AA1240" s="42"/>
      <c r="AB1240" s="42"/>
    </row>
    <row r="1241" spans="1:28" x14ac:dyDescent="0.25">
      <c r="A1241" s="42" t="str">
        <v>1.22.2.1.1</v>
      </c>
      <c r="B1241" s="121" t="str">
        <v>The online payment returned as failed, but payment was taken from the bank (need Finance approval)</v>
      </c>
      <c r="C1241" s="41">
        <v>5</v>
      </c>
      <c r="D1241" s="41" t="str">
        <v>RL</v>
      </c>
      <c r="E1241" s="117" t="str">
        <f t="shared" si="0"/>
        <v>RL</v>
      </c>
      <c r="F1241" s="41" t="str">
        <v/>
      </c>
      <c r="G1241" s="41" t="str">
        <v/>
      </c>
      <c r="H1241" s="117">
        <f t="shared" si="1"/>
        <v>0</v>
      </c>
      <c r="I1241" s="117">
        <f t="shared" si="2"/>
        <v>22</v>
      </c>
      <c r="J1241" s="117">
        <f t="shared" si="3"/>
        <v>22.020000000000003</v>
      </c>
      <c r="K1241" s="117" t="str">
        <f t="shared" si="4"/>
        <v>BR</v>
      </c>
      <c r="L1241" s="42" t="str">
        <v>BR2202</v>
      </c>
      <c r="M1241" s="121" t="str">
        <v/>
      </c>
      <c r="N1241" s="121" t="str">
        <v/>
      </c>
      <c r="O1241" s="121" t="str">
        <v/>
      </c>
      <c r="P1241" s="121" t="str">
        <v/>
      </c>
      <c r="Q1241" s="121" t="str">
        <v/>
      </c>
      <c r="R1241" s="121" t="str">
        <v/>
      </c>
      <c r="S1241" s="121" t="str">
        <v>The online payment returned as failed, but payment was taken from the bank (need Finance approval)</v>
      </c>
      <c r="T1241" s="119" t="str">
        <f>IF($C1241&lt;4,IF($C1241=3,T1242,IF($C1241=2,T$1,"")),Q1241&amp;R1241&amp;IF(LEN(S1241)=0,"",Preferences!$C$2&amp;S1241)&amp;IF(J1242=J1241,IF(LEN(R1241&amp;S1241)=0,"","
")&amp;T1242,""))</f>
        <v xml:space="preserve">	• The online payment returned as failed, but payment was taken from the bank (need Finance approval)
	• A customer's request to cancel their unprocessed order was approved (Order Manager approval).
	• An order that cannot be fulfilled by a supplier was cancelled (Order Manager approval).
 2. The reversal of an online payment will be processed directly with the payment gateway or bank (as appropriate).</v>
      </c>
      <c r="U1241" s="122" t="str">
        <v/>
      </c>
      <c r="V1241" s="42"/>
      <c r="W1241" s="42"/>
      <c r="X1241" s="42"/>
      <c r="Y1241" s="42"/>
      <c r="Z1241" s="42"/>
      <c r="AA1241" s="42"/>
      <c r="AB1241" s="42"/>
    </row>
    <row r="1242" spans="1:28" x14ac:dyDescent="0.25">
      <c r="A1242" s="42" t="str">
        <v>1.22.2.1.2</v>
      </c>
      <c r="B1242" s="121" t="str">
        <v>A customer's request to cancel their unprocessed order was approved (Order Manager approval).</v>
      </c>
      <c r="C1242" s="41">
        <v>5</v>
      </c>
      <c r="D1242" s="41" t="str">
        <v>RL</v>
      </c>
      <c r="E1242" s="117" t="str">
        <f t="shared" si="0"/>
        <v>RL</v>
      </c>
      <c r="F1242" s="41" t="str">
        <v/>
      </c>
      <c r="G1242" s="41" t="str">
        <v/>
      </c>
      <c r="H1242" s="117">
        <f t="shared" si="1"/>
        <v>0</v>
      </c>
      <c r="I1242" s="117">
        <f t="shared" si="2"/>
        <v>22</v>
      </c>
      <c r="J1242" s="117">
        <f t="shared" si="3"/>
        <v>22.020000000000003</v>
      </c>
      <c r="K1242" s="117" t="str">
        <f t="shared" si="4"/>
        <v>BR</v>
      </c>
      <c r="L1242" s="42" t="str">
        <v>BR2202</v>
      </c>
      <c r="M1242" s="121" t="str">
        <v/>
      </c>
      <c r="N1242" s="121" t="str">
        <v/>
      </c>
      <c r="O1242" s="121" t="str">
        <v/>
      </c>
      <c r="P1242" s="121" t="str">
        <v/>
      </c>
      <c r="Q1242" s="121" t="str">
        <v/>
      </c>
      <c r="R1242" s="121" t="str">
        <v/>
      </c>
      <c r="S1242" s="121" t="str">
        <v>A customer's request to cancel their unprocessed order was approved (Order Manager approval).</v>
      </c>
      <c r="T1242" s="119" t="str">
        <f>IF($C1242&lt;4,IF($C1242=3,T1243,IF($C1242=2,T$1,"")),Q1242&amp;R1242&amp;IF(LEN(S1242)=0,"",Preferences!$C$2&amp;S1242)&amp;IF(J1243=J1242,IF(LEN(R1242&amp;S1242)=0,"","
")&amp;T1243,""))</f>
        <v xml:space="preserve">	• A customer's request to cancel their unprocessed order was approved (Order Manager approval).
	• An order that cannot be fulfilled by a supplier was cancelled (Order Manager approval).
 2. The reversal of an online payment will be processed directly with the payment gateway or bank (as appropriate).</v>
      </c>
      <c r="U1242" s="122" t="str">
        <v/>
      </c>
      <c r="V1242" s="42"/>
      <c r="W1242" s="42"/>
      <c r="X1242" s="42"/>
      <c r="Y1242" s="42"/>
      <c r="Z1242" s="42"/>
      <c r="AA1242" s="42"/>
      <c r="AB1242" s="42"/>
    </row>
    <row r="1243" spans="1:28" x14ac:dyDescent="0.25">
      <c r="A1243" s="42" t="str">
        <v>1.22.2.1.3</v>
      </c>
      <c r="B1243" s="121" t="str">
        <v>An order that cannot be fulfilled by a supplier was cancelled (Order Manager approval).</v>
      </c>
      <c r="C1243" s="41">
        <v>5</v>
      </c>
      <c r="D1243" s="41" t="str">
        <v>RL</v>
      </c>
      <c r="E1243" s="117" t="str">
        <f t="shared" si="0"/>
        <v>RL</v>
      </c>
      <c r="F1243" s="41" t="str">
        <v/>
      </c>
      <c r="G1243" s="41" t="str">
        <v/>
      </c>
      <c r="H1243" s="117">
        <f t="shared" si="1"/>
        <v>0</v>
      </c>
      <c r="I1243" s="117">
        <f t="shared" si="2"/>
        <v>22</v>
      </c>
      <c r="J1243" s="117">
        <f t="shared" si="3"/>
        <v>22.020000000000003</v>
      </c>
      <c r="K1243" s="117" t="str">
        <f t="shared" si="4"/>
        <v>BR</v>
      </c>
      <c r="L1243" s="42" t="str">
        <v>BR2202</v>
      </c>
      <c r="M1243" s="121" t="str">
        <v/>
      </c>
      <c r="N1243" s="121" t="str">
        <v/>
      </c>
      <c r="O1243" s="121" t="str">
        <v/>
      </c>
      <c r="P1243" s="121" t="str">
        <v/>
      </c>
      <c r="Q1243" s="121" t="str">
        <v/>
      </c>
      <c r="R1243" s="121" t="str">
        <v/>
      </c>
      <c r="S1243" s="121" t="str">
        <v>An order that cannot be fulfilled by a supplier was cancelled (Order Manager approval).</v>
      </c>
      <c r="T1243" s="119" t="str">
        <f>IF($C1243&lt;4,IF($C1243=3,T1244,IF($C1243=2,T$1,"")),Q1243&amp;R1243&amp;IF(LEN(S1243)=0,"",Preferences!$C$2&amp;S1243)&amp;IF(J1244=J1243,IF(LEN(R1243&amp;S1243)=0,"","
")&amp;T1244,""))</f>
        <v xml:space="preserve">	• An order that cannot be fulfilled by a supplier was cancelled (Order Manager approval).
 2. The reversal of an online payment will be processed directly with the payment gateway or bank (as appropriate).</v>
      </c>
      <c r="U1243" s="122" t="str">
        <v/>
      </c>
      <c r="V1243" s="42"/>
      <c r="W1243" s="42"/>
      <c r="X1243" s="42"/>
      <c r="Y1243" s="42"/>
      <c r="Z1243" s="42"/>
      <c r="AA1243" s="42"/>
      <c r="AB1243" s="42"/>
    </row>
    <row r="1244" spans="1:28" x14ac:dyDescent="0.25">
      <c r="A1244" s="42" t="str">
        <v>1.22.2.2</v>
      </c>
      <c r="B1244" s="121" t="str">
        <v>The reversal of an online payment will be processed directly with the payment gateway or bank (as appropriate).</v>
      </c>
      <c r="C1244" s="41">
        <v>4</v>
      </c>
      <c r="D1244" s="41" t="str">
        <v>RD</v>
      </c>
      <c r="E1244" s="117" t="str">
        <f t="shared" si="0"/>
        <v>RD</v>
      </c>
      <c r="F1244" s="41" t="str">
        <v/>
      </c>
      <c r="G1244" s="41" t="str">
        <v/>
      </c>
      <c r="H1244" s="117">
        <f t="shared" si="1"/>
        <v>0</v>
      </c>
      <c r="I1244" s="117">
        <f t="shared" si="2"/>
        <v>22</v>
      </c>
      <c r="J1244" s="117">
        <f t="shared" si="3"/>
        <v>22.020000000000003</v>
      </c>
      <c r="K1244" s="117" t="str">
        <f t="shared" si="4"/>
        <v>BR</v>
      </c>
      <c r="L1244" s="42" t="str">
        <v>BR2202</v>
      </c>
      <c r="M1244" s="121" t="str">
        <v/>
      </c>
      <c r="N1244" s="121" t="str">
        <v/>
      </c>
      <c r="O1244" s="121" t="str">
        <v/>
      </c>
      <c r="P1244" s="121" t="str">
        <v/>
      </c>
      <c r="Q1244" s="121" t="str">
        <v xml:space="preserve"> 2. </v>
      </c>
      <c r="R1244" s="121" t="str">
        <v>The reversal of an online payment will be processed directly with the payment gateway or bank (as appropriate).</v>
      </c>
      <c r="S1244" s="121" t="str">
        <v/>
      </c>
      <c r="T1244" s="119" t="str">
        <f>IF($C1244&lt;4,IF($C1244=3,T1245,IF($C1244=2,T$1,"")),Q1244&amp;R1244&amp;IF(LEN(S1244)=0,"",Preferences!$C$2&amp;S1244)&amp;IF(J1245=J1244,IF(LEN(R1244&amp;S1244)=0,"","
")&amp;T1245,""))</f>
        <v xml:space="preserve"> 2. The reversal of an online payment will be processed directly with the payment gateway or bank (as appropriate).</v>
      </c>
      <c r="U1244" s="122" t="str">
        <v/>
      </c>
      <c r="V1244" s="42"/>
      <c r="W1244" s="42"/>
      <c r="X1244" s="42"/>
      <c r="Y1244" s="42"/>
      <c r="Z1244" s="42"/>
      <c r="AA1244" s="42"/>
      <c r="AB1244" s="42"/>
    </row>
    <row r="1245" spans="1:28" x14ac:dyDescent="0.25">
      <c r="A1245" s="42" t="str">
        <v>1.22.3</v>
      </c>
      <c r="B1245" s="121" t="str">
        <v>22.3 Reconcile online payments to transactions from the payment gateway.</v>
      </c>
      <c r="C1245" s="41">
        <v>3</v>
      </c>
      <c r="D1245" s="41" t="str">
        <v>R</v>
      </c>
      <c r="E1245" s="117" t="str">
        <f t="shared" si="0"/>
        <v>R</v>
      </c>
      <c r="F1245" s="41" t="str">
        <v/>
      </c>
      <c r="G1245" s="41" t="str">
        <v/>
      </c>
      <c r="H1245" s="117">
        <f t="shared" si="1"/>
        <v>0</v>
      </c>
      <c r="I1245" s="117">
        <f t="shared" si="2"/>
        <v>22</v>
      </c>
      <c r="J1245" s="117">
        <f t="shared" si="3"/>
        <v>22.030000000000005</v>
      </c>
      <c r="K1245" s="117" t="str">
        <f t="shared" si="4"/>
        <v>BR</v>
      </c>
      <c r="L1245" s="42" t="str">
        <v>BR2203</v>
      </c>
      <c r="M1245" s="121" t="str">
        <v/>
      </c>
      <c r="N1245" s="121" t="str">
        <v/>
      </c>
      <c r="O1245" s="121" t="str">
        <v>BR2203</v>
      </c>
      <c r="P1245" s="121" t="str">
        <v>Reconcile online payments to transactions from the payment gateway.</v>
      </c>
      <c r="Q1245" s="121" t="str">
        <v/>
      </c>
      <c r="R1245" s="121" t="str">
        <v/>
      </c>
      <c r="S1245" s="121" t="str">
        <v/>
      </c>
      <c r="T1245" s="119" t="str">
        <f>IF($C1245&lt;4,IF($C1245=3,T1246,IF($C1245=2,T$1,"")),Q1245&amp;R1245&amp;IF(LEN(S1245)=0,"",Preferences!$C$2&amp;S1245)&amp;IF(J1246=J1245,IF(LEN(R1245&amp;S1245)=0,"","
")&amp;T1246,""))</f>
        <v xml:space="preserve"> 1. The transaction log from the payment gateway will serve as remittance advice, to be loaded into the financial system.
 2. The financial department of the business must reconcile the online payments as recorded on the online shop, to the transaction log provided by the payment gateway.
 3. The reconciliation must be done on a daily basis, in order to identify and address any discrepancies within 1/2 working days.
 4. the financial department must action any discrepancies wit the customer and payment gateway.</v>
      </c>
      <c r="U1245" s="122" t="str">
        <v/>
      </c>
      <c r="V1245" s="42"/>
      <c r="W1245" s="42"/>
      <c r="X1245" s="42"/>
      <c r="Y1245" s="42"/>
      <c r="Z1245" s="42"/>
      <c r="AA1245" s="42"/>
      <c r="AB1245" s="42"/>
    </row>
    <row r="1246" spans="1:28" x14ac:dyDescent="0.25">
      <c r="A1246" s="42" t="str">
        <v>1.22.3.1</v>
      </c>
      <c r="B1246" s="121" t="str">
        <v>The transaction log from the payment gateway will serve as remittance advice, to be loaded into the financial system.</v>
      </c>
      <c r="C1246" s="41">
        <v>4</v>
      </c>
      <c r="D1246" s="41" t="str">
        <v>RD</v>
      </c>
      <c r="E1246" s="117" t="str">
        <f t="shared" si="0"/>
        <v>RD</v>
      </c>
      <c r="F1246" s="41" t="str">
        <v/>
      </c>
      <c r="G1246" s="41" t="str">
        <v/>
      </c>
      <c r="H1246" s="117">
        <f t="shared" si="1"/>
        <v>0</v>
      </c>
      <c r="I1246" s="117">
        <f t="shared" si="2"/>
        <v>22</v>
      </c>
      <c r="J1246" s="117">
        <f t="shared" si="3"/>
        <v>22.030000000000005</v>
      </c>
      <c r="K1246" s="117" t="str">
        <f t="shared" si="4"/>
        <v>BR</v>
      </c>
      <c r="L1246" s="42" t="str">
        <v>BR2203</v>
      </c>
      <c r="M1246" s="121" t="str">
        <v/>
      </c>
      <c r="N1246" s="121" t="str">
        <v/>
      </c>
      <c r="O1246" s="121" t="str">
        <v/>
      </c>
      <c r="P1246" s="121" t="str">
        <v/>
      </c>
      <c r="Q1246" s="121" t="str">
        <v xml:space="preserve"> 1. </v>
      </c>
      <c r="R1246" s="121" t="str">
        <v>The transaction log from the payment gateway will serve as remittance advice, to be loaded into the financial system.</v>
      </c>
      <c r="S1246" s="121" t="str">
        <v/>
      </c>
      <c r="T1246" s="119" t="str">
        <f>IF($C1246&lt;4,IF($C1246=3,T1247,IF($C1246=2,T$1,"")),Q1246&amp;R1246&amp;IF(LEN(S1246)=0,"",Preferences!$C$2&amp;S1246)&amp;IF(J1247=J1246,IF(LEN(R1246&amp;S1246)=0,"","
")&amp;T1247,""))</f>
        <v xml:space="preserve"> 1. The transaction log from the payment gateway will serve as remittance advice, to be loaded into the financial system.
 2. The financial department of the business must reconcile the online payments as recorded on the online shop, to the transaction log provided by the payment gateway.
 3. The reconciliation must be done on a daily basis, in order to identify and address any discrepancies within 1/2 working days.
 4. the financial department must action any discrepancies wit the customer and payment gateway.</v>
      </c>
      <c r="U1246" s="122" t="str">
        <v/>
      </c>
      <c r="V1246" s="42"/>
      <c r="W1246" s="42"/>
      <c r="X1246" s="42"/>
      <c r="Y1246" s="42"/>
      <c r="Z1246" s="42"/>
      <c r="AA1246" s="42"/>
      <c r="AB1246" s="42"/>
    </row>
    <row r="1247" spans="1:28" x14ac:dyDescent="0.25">
      <c r="A1247" s="42" t="str">
        <v>1.22.3.2</v>
      </c>
      <c r="B1247" s="121" t="str">
        <v>The financial department of the business must reconcile the online payments as recorded on the online shop, to the transaction log provided by the payment gateway.</v>
      </c>
      <c r="C1247" s="41">
        <v>4</v>
      </c>
      <c r="D1247" s="41" t="str">
        <v>RD</v>
      </c>
      <c r="E1247" s="117" t="str">
        <f t="shared" si="0"/>
        <v>RD</v>
      </c>
      <c r="F1247" s="41" t="str">
        <v/>
      </c>
      <c r="G1247" s="41" t="str">
        <v/>
      </c>
      <c r="H1247" s="117">
        <f t="shared" si="1"/>
        <v>0</v>
      </c>
      <c r="I1247" s="117">
        <f t="shared" si="2"/>
        <v>22</v>
      </c>
      <c r="J1247" s="117">
        <f t="shared" si="3"/>
        <v>22.030000000000005</v>
      </c>
      <c r="K1247" s="117" t="str">
        <f t="shared" si="4"/>
        <v>BR</v>
      </c>
      <c r="L1247" s="42" t="str">
        <v>BR2203</v>
      </c>
      <c r="M1247" s="121" t="str">
        <v/>
      </c>
      <c r="N1247" s="121" t="str">
        <v/>
      </c>
      <c r="O1247" s="121" t="str">
        <v/>
      </c>
      <c r="P1247" s="121" t="str">
        <v/>
      </c>
      <c r="Q1247" s="121" t="str">
        <v xml:space="preserve"> 2. </v>
      </c>
      <c r="R1247" s="121" t="str">
        <v>The financial department of the business must reconcile the online payments as recorded on the online shop, to the transaction log provided by the payment gateway.</v>
      </c>
      <c r="S1247" s="121" t="str">
        <v/>
      </c>
      <c r="T1247" s="119" t="str">
        <f>IF($C1247&lt;4,IF($C1247=3,T1248,IF($C1247=2,T$1,"")),Q1247&amp;R1247&amp;IF(LEN(S1247)=0,"",Preferences!$C$2&amp;S1247)&amp;IF(J1248=J1247,IF(LEN(R1247&amp;S1247)=0,"","
")&amp;T1248,""))</f>
        <v xml:space="preserve"> 2. The financial department of the business must reconcile the online payments as recorded on the online shop, to the transaction log provided by the payment gateway.
 3. The reconciliation must be done on a daily basis, in order to identify and address any discrepancies within 1/2 working days.
 4. the financial department must action any discrepancies wit the customer and payment gateway.</v>
      </c>
      <c r="U1247" s="122" t="str">
        <v/>
      </c>
      <c r="V1247" s="42"/>
      <c r="W1247" s="42"/>
      <c r="X1247" s="42"/>
      <c r="Y1247" s="42"/>
      <c r="Z1247" s="42"/>
      <c r="AA1247" s="42"/>
      <c r="AB1247" s="42"/>
    </row>
    <row r="1248" spans="1:28" x14ac:dyDescent="0.25">
      <c r="A1248" s="42" t="str">
        <v>1.22.3.3</v>
      </c>
      <c r="B1248" s="121" t="str">
        <v>The reconciliation must be done on a daily basis, in order to identify and address any discrepancies within 1/2 working days.</v>
      </c>
      <c r="C1248" s="41">
        <v>4</v>
      </c>
      <c r="D1248" s="41" t="str">
        <v>RD</v>
      </c>
      <c r="E1248" s="117" t="str">
        <f t="shared" si="0"/>
        <v>RD</v>
      </c>
      <c r="F1248" s="41" t="str">
        <v/>
      </c>
      <c r="G1248" s="41" t="str">
        <v/>
      </c>
      <c r="H1248" s="117">
        <f t="shared" si="1"/>
        <v>0</v>
      </c>
      <c r="I1248" s="117">
        <f t="shared" si="2"/>
        <v>22</v>
      </c>
      <c r="J1248" s="117">
        <f t="shared" si="3"/>
        <v>22.030000000000005</v>
      </c>
      <c r="K1248" s="117" t="str">
        <f t="shared" si="4"/>
        <v>BR</v>
      </c>
      <c r="L1248" s="42" t="str">
        <v>BR2203</v>
      </c>
      <c r="M1248" s="121" t="str">
        <v/>
      </c>
      <c r="N1248" s="121" t="str">
        <v/>
      </c>
      <c r="O1248" s="121" t="str">
        <v/>
      </c>
      <c r="P1248" s="121" t="str">
        <v/>
      </c>
      <c r="Q1248" s="121" t="str">
        <v xml:space="preserve"> 3. </v>
      </c>
      <c r="R1248" s="121" t="str">
        <v>The reconciliation must be done on a daily basis, in order to identify and address any discrepancies within 1/2 working days.</v>
      </c>
      <c r="S1248" s="121" t="str">
        <v/>
      </c>
      <c r="T1248" s="119" t="str">
        <f>IF($C1248&lt;4,IF($C1248=3,T1249,IF($C1248=2,T$1,"")),Q1248&amp;R1248&amp;IF(LEN(S1248)=0,"",Preferences!$C$2&amp;S1248)&amp;IF(J1249=J1248,IF(LEN(R1248&amp;S1248)=0,"","
")&amp;T1249,""))</f>
        <v xml:space="preserve"> 3. The reconciliation must be done on a daily basis, in order to identify and address any discrepancies within 1/2 working days.
 4. the financial department must action any discrepancies wit the customer and payment gateway.</v>
      </c>
      <c r="U1248" s="122" t="str">
        <v/>
      </c>
      <c r="V1248" s="42"/>
      <c r="W1248" s="42"/>
      <c r="X1248" s="42"/>
      <c r="Y1248" s="42"/>
      <c r="Z1248" s="42"/>
      <c r="AA1248" s="42"/>
      <c r="AB1248" s="42"/>
    </row>
    <row r="1249" spans="1:28" x14ac:dyDescent="0.25">
      <c r="A1249" s="42" t="str">
        <v>1.22.3.4</v>
      </c>
      <c r="B1249" s="121" t="str">
        <v>the financial department must action any discrepancies wit the customer and payment gateway.</v>
      </c>
      <c r="C1249" s="41">
        <v>4</v>
      </c>
      <c r="D1249" s="41" t="str">
        <v>RD</v>
      </c>
      <c r="E1249" s="117" t="str">
        <f t="shared" si="0"/>
        <v>RD</v>
      </c>
      <c r="F1249" s="41" t="str">
        <v/>
      </c>
      <c r="G1249" s="41" t="str">
        <v/>
      </c>
      <c r="H1249" s="117">
        <f t="shared" si="1"/>
        <v>0</v>
      </c>
      <c r="I1249" s="117">
        <f t="shared" si="2"/>
        <v>22</v>
      </c>
      <c r="J1249" s="117">
        <f t="shared" si="3"/>
        <v>22.030000000000005</v>
      </c>
      <c r="K1249" s="117" t="str">
        <f t="shared" si="4"/>
        <v>BR</v>
      </c>
      <c r="L1249" s="42" t="str">
        <v>BR2203</v>
      </c>
      <c r="M1249" s="121" t="str">
        <v/>
      </c>
      <c r="N1249" s="121" t="str">
        <v/>
      </c>
      <c r="O1249" s="121" t="str">
        <v/>
      </c>
      <c r="P1249" s="121" t="str">
        <v/>
      </c>
      <c r="Q1249" s="121" t="str">
        <v xml:space="preserve"> 4. </v>
      </c>
      <c r="R1249" s="121" t="str">
        <v>the financial department must action any discrepancies wit the customer and payment gateway.</v>
      </c>
      <c r="S1249" s="121" t="str">
        <v/>
      </c>
      <c r="T1249" s="119" t="str">
        <f>IF($C1249&lt;4,IF($C1249=3,T1250,IF($C1249=2,T$1,"")),Q1249&amp;R1249&amp;IF(LEN(S1249)=0,"",Preferences!$C$2&amp;S1249)&amp;IF(J1250=J1249,IF(LEN(R1249&amp;S1249)=0,"","
")&amp;T1250,""))</f>
        <v xml:space="preserve"> 4. the financial department must action any discrepancies wit the customer and payment gateway.</v>
      </c>
      <c r="U1249" s="122" t="str">
        <v/>
      </c>
      <c r="V1249" s="42"/>
      <c r="W1249" s="42"/>
      <c r="X1249" s="42"/>
      <c r="Y1249" s="42"/>
      <c r="Z1249" s="42"/>
      <c r="AA1249" s="42"/>
      <c r="AB1249" s="42"/>
    </row>
    <row r="1250" spans="1:28" x14ac:dyDescent="0.25">
      <c r="A1250" s="42" t="str">
        <v>1.22.4</v>
      </c>
      <c r="B1250" s="121" t="str">
        <v>22.4 Reconcile online transactions from the payment gateway to the bank deposits.</v>
      </c>
      <c r="C1250" s="41">
        <v>3</v>
      </c>
      <c r="D1250" s="41" t="str">
        <v>R</v>
      </c>
      <c r="E1250" s="117" t="str">
        <f t="shared" si="0"/>
        <v>R</v>
      </c>
      <c r="F1250" s="41" t="str">
        <v/>
      </c>
      <c r="G1250" s="41" t="str">
        <v/>
      </c>
      <c r="H1250" s="117">
        <f t="shared" si="1"/>
        <v>0</v>
      </c>
      <c r="I1250" s="117">
        <f t="shared" si="2"/>
        <v>22</v>
      </c>
      <c r="J1250" s="117">
        <f t="shared" si="3"/>
        <v>22.040000000000006</v>
      </c>
      <c r="K1250" s="117" t="str">
        <f t="shared" si="4"/>
        <v>BR</v>
      </c>
      <c r="L1250" s="42" t="str">
        <v>BR2204</v>
      </c>
      <c r="M1250" s="121" t="str">
        <v/>
      </c>
      <c r="N1250" s="121" t="str">
        <v/>
      </c>
      <c r="O1250" s="121" t="str">
        <v>BR2204</v>
      </c>
      <c r="P1250" s="121" t="str">
        <v>Reconcile online transactions from the payment gateway to the bank deposits.</v>
      </c>
      <c r="Q1250" s="121" t="str">
        <v/>
      </c>
      <c r="R1250" s="121" t="str">
        <v/>
      </c>
      <c r="S1250" s="121" t="str">
        <v/>
      </c>
      <c r="T1250" s="119" t="str">
        <f>IF($C1250&lt;4,IF($C1250=3,T1251,IF($C1250=2,T$1,"")),Q1250&amp;R1250&amp;IF(LEN(S1250)=0,"",Preferences!$C$2&amp;S1250)&amp;IF(J1251=J1250,IF(LEN(R1250&amp;S1250)=0,"","
")&amp;T1251,""))</f>
        <v xml:space="preserve"> 1. The financial department of the business must reconcile the transaction log provided by the payment gateway to the bank statement, to be performed in the financial system.
 2. The reconciliation must be done on a daily basis, in order to identify and address any discrepancies within 1/2 working days.
 3. the financial department must action any discrepancies wit the customer and payment gateway.</v>
      </c>
      <c r="U1250" s="122" t="str">
        <v/>
      </c>
      <c r="V1250" s="42"/>
      <c r="W1250" s="42"/>
      <c r="X1250" s="42"/>
      <c r="Y1250" s="42"/>
      <c r="Z1250" s="42"/>
      <c r="AA1250" s="42"/>
      <c r="AB1250" s="42"/>
    </row>
    <row r="1251" spans="1:28" x14ac:dyDescent="0.25">
      <c r="A1251" s="42" t="str">
        <v>1.22.4.1</v>
      </c>
      <c r="B1251" s="121" t="str">
        <v>The financial department of the business must reconcile the transaction log provided by the payment gateway to the bank statement, to be performed in the financial system.</v>
      </c>
      <c r="C1251" s="41">
        <v>4</v>
      </c>
      <c r="D1251" s="41" t="str">
        <v>RD</v>
      </c>
      <c r="E1251" s="117" t="str">
        <f t="shared" si="0"/>
        <v>RD</v>
      </c>
      <c r="F1251" s="41" t="str">
        <v/>
      </c>
      <c r="G1251" s="41" t="str">
        <v/>
      </c>
      <c r="H1251" s="117">
        <f t="shared" si="1"/>
        <v>0</v>
      </c>
      <c r="I1251" s="117">
        <f t="shared" si="2"/>
        <v>22</v>
      </c>
      <c r="J1251" s="117">
        <f t="shared" si="3"/>
        <v>22.040000000000006</v>
      </c>
      <c r="K1251" s="117" t="str">
        <f t="shared" si="4"/>
        <v>BR</v>
      </c>
      <c r="L1251" s="42" t="str">
        <v>BR2204</v>
      </c>
      <c r="M1251" s="121" t="str">
        <v/>
      </c>
      <c r="N1251" s="121" t="str">
        <v/>
      </c>
      <c r="O1251" s="121" t="str">
        <v/>
      </c>
      <c r="P1251" s="121" t="str">
        <v/>
      </c>
      <c r="Q1251" s="121" t="str">
        <v xml:space="preserve"> 1. </v>
      </c>
      <c r="R1251" s="121" t="str">
        <v>The financial department of the business must reconcile the transaction log provided by the payment gateway to the bank statement, to be performed in the financial system.</v>
      </c>
      <c r="S1251" s="121" t="str">
        <v/>
      </c>
      <c r="T1251" s="119" t="str">
        <f>IF($C1251&lt;4,IF($C1251=3,T1252,IF($C1251=2,T$1,"")),Q1251&amp;R1251&amp;IF(LEN(S1251)=0,"",Preferences!$C$2&amp;S1251)&amp;IF(J1252=J1251,IF(LEN(R1251&amp;S1251)=0,"","
")&amp;T1252,""))</f>
        <v xml:space="preserve"> 1. The financial department of the business must reconcile the transaction log provided by the payment gateway to the bank statement, to be performed in the financial system.
 2. The reconciliation must be done on a daily basis, in order to identify and address any discrepancies within 1/2 working days.
 3. the financial department must action any discrepancies wit the customer and payment gateway.</v>
      </c>
      <c r="U1251" s="122" t="str">
        <v/>
      </c>
      <c r="V1251" s="42"/>
      <c r="W1251" s="42"/>
      <c r="X1251" s="42"/>
      <c r="Y1251" s="42"/>
      <c r="Z1251" s="42"/>
      <c r="AA1251" s="42"/>
      <c r="AB1251" s="42"/>
    </row>
    <row r="1252" spans="1:28" x14ac:dyDescent="0.25">
      <c r="A1252" s="42" t="str">
        <v>1.22.4.2</v>
      </c>
      <c r="B1252" s="121" t="str">
        <v>The reconciliation must be done on a daily basis, in order to identify and address any discrepancies within 1/2 working days.</v>
      </c>
      <c r="C1252" s="41">
        <v>4</v>
      </c>
      <c r="D1252" s="41" t="str">
        <v>RD</v>
      </c>
      <c r="E1252" s="117" t="str">
        <f t="shared" si="0"/>
        <v>RD</v>
      </c>
      <c r="F1252" s="41" t="str">
        <v/>
      </c>
      <c r="G1252" s="41" t="str">
        <v/>
      </c>
      <c r="H1252" s="117">
        <f t="shared" si="1"/>
        <v>0</v>
      </c>
      <c r="I1252" s="117">
        <f t="shared" si="2"/>
        <v>22</v>
      </c>
      <c r="J1252" s="117">
        <f t="shared" si="3"/>
        <v>22.040000000000006</v>
      </c>
      <c r="K1252" s="117" t="str">
        <f t="shared" si="4"/>
        <v>BR</v>
      </c>
      <c r="L1252" s="42" t="str">
        <v>BR2204</v>
      </c>
      <c r="M1252" s="121" t="str">
        <v/>
      </c>
      <c r="N1252" s="121" t="str">
        <v/>
      </c>
      <c r="O1252" s="121" t="str">
        <v/>
      </c>
      <c r="P1252" s="121" t="str">
        <v/>
      </c>
      <c r="Q1252" s="121" t="str">
        <v xml:space="preserve"> 2. </v>
      </c>
      <c r="R1252" s="121" t="str">
        <v>The reconciliation must be done on a daily basis, in order to identify and address any discrepancies within 1/2 working days.</v>
      </c>
      <c r="S1252" s="121" t="str">
        <v/>
      </c>
      <c r="T1252" s="119" t="str">
        <f>IF($C1252&lt;4,IF($C1252=3,T1253,IF($C1252=2,T$1,"")),Q1252&amp;R1252&amp;IF(LEN(S1252)=0,"",Preferences!$C$2&amp;S1252)&amp;IF(J1253=J1252,IF(LEN(R1252&amp;S1252)=0,"","
")&amp;T1253,""))</f>
        <v xml:space="preserve"> 2. The reconciliation must be done on a daily basis, in order to identify and address any discrepancies within 1/2 working days.
 3. the financial department must action any discrepancies wit the customer and payment gateway.</v>
      </c>
      <c r="U1252" s="122" t="str">
        <v/>
      </c>
      <c r="V1252" s="42"/>
      <c r="W1252" s="42"/>
      <c r="X1252" s="42"/>
      <c r="Y1252" s="42"/>
      <c r="Z1252" s="42"/>
      <c r="AA1252" s="42"/>
      <c r="AB1252" s="42"/>
    </row>
    <row r="1253" spans="1:28" x14ac:dyDescent="0.25">
      <c r="A1253" s="42" t="str">
        <v>1.22.4.3</v>
      </c>
      <c r="B1253" s="121" t="str">
        <v>the financial department must action any discrepancies wit the customer and payment gateway.</v>
      </c>
      <c r="C1253" s="41">
        <v>4</v>
      </c>
      <c r="D1253" s="41" t="str">
        <v>RD</v>
      </c>
      <c r="E1253" s="117" t="str">
        <f t="shared" si="0"/>
        <v>RD</v>
      </c>
      <c r="F1253" s="41" t="str">
        <v/>
      </c>
      <c r="G1253" s="41" t="str">
        <v/>
      </c>
      <c r="H1253" s="117">
        <f t="shared" si="1"/>
        <v>0</v>
      </c>
      <c r="I1253" s="117">
        <f t="shared" si="2"/>
        <v>22</v>
      </c>
      <c r="J1253" s="117">
        <f t="shared" si="3"/>
        <v>22.040000000000006</v>
      </c>
      <c r="K1253" s="117" t="str">
        <f t="shared" si="4"/>
        <v>BR</v>
      </c>
      <c r="L1253" s="42" t="str">
        <v>BR2204</v>
      </c>
      <c r="M1253" s="121" t="str">
        <v/>
      </c>
      <c r="N1253" s="121" t="str">
        <v/>
      </c>
      <c r="O1253" s="121" t="str">
        <v/>
      </c>
      <c r="P1253" s="121" t="str">
        <v/>
      </c>
      <c r="Q1253" s="121" t="str">
        <v xml:space="preserve"> 3. </v>
      </c>
      <c r="R1253" s="121" t="str">
        <v>the financial department must action any discrepancies wit the customer and payment gateway.</v>
      </c>
      <c r="S1253" s="121" t="str">
        <v/>
      </c>
      <c r="T1253" s="119" t="str">
        <f>IF($C1253&lt;4,IF($C1253=3,T1254,IF($C1253=2,T$1,"")),Q1253&amp;R1253&amp;IF(LEN(S1253)=0,"",Preferences!$C$2&amp;S1253)&amp;IF(J1254=J1253,IF(LEN(R1253&amp;S1253)=0,"","
")&amp;T1254,""))</f>
        <v xml:space="preserve"> 3. the financial department must action any discrepancies wit the customer and payment gateway.</v>
      </c>
      <c r="U1253" s="122" t="str">
        <v/>
      </c>
      <c r="V1253" s="42"/>
      <c r="W1253" s="42"/>
      <c r="X1253" s="42"/>
      <c r="Y1253" s="42"/>
      <c r="Z1253" s="42"/>
      <c r="AA1253" s="42"/>
      <c r="AB1253" s="42"/>
    </row>
    <row r="1254" spans="1:28" x14ac:dyDescent="0.25">
      <c r="A1254" s="42" t="str">
        <v>1.23</v>
      </c>
      <c r="B1254" s="121" t="str">
        <v>23 Customer Orders Management</v>
      </c>
      <c r="C1254" s="41">
        <v>2</v>
      </c>
      <c r="D1254" s="41" t="str">
        <v>RS</v>
      </c>
      <c r="E1254" s="117" t="str">
        <f t="shared" si="0"/>
        <v>RS</v>
      </c>
      <c r="F1254" s="41" t="str">
        <v/>
      </c>
      <c r="G1254" s="41" t="str">
        <v/>
      </c>
      <c r="H1254" s="117">
        <f t="shared" si="1"/>
        <v>0</v>
      </c>
      <c r="I1254" s="117">
        <f t="shared" si="2"/>
        <v>23</v>
      </c>
      <c r="J1254" s="117">
        <f t="shared" si="3"/>
        <v>23</v>
      </c>
      <c r="K1254" s="117" t="str">
        <f t="shared" si="4"/>
        <v>BR</v>
      </c>
      <c r="L1254" s="42">
        <v>23</v>
      </c>
      <c r="M1254" s="121" t="str">
        <v/>
      </c>
      <c r="N1254" s="121" t="str">
        <v>23 Customer Orders Management</v>
      </c>
      <c r="O1254" s="121" t="str">
        <v>ReqID</v>
      </c>
      <c r="P1254" s="121" t="e">
        <v>#N/A</v>
      </c>
      <c r="Q1254" s="121" t="str">
        <v/>
      </c>
      <c r="R1254" s="121" t="str">
        <v/>
      </c>
      <c r="S1254" s="121" t="str">
        <v/>
      </c>
      <c r="T1254" s="119" t="str">
        <f>IF($C1254&lt;4,IF($C1254=3,T1255,IF($C1254=2,T$1,"")),Q1254&amp;R1254&amp;IF(LEN(S1254)=0,"",Preferences!$C$2&amp;S1254)&amp;IF(J1255=J1254,IF(LEN(R1254&amp;S1254)=0,"","
")&amp;T1255,""))</f>
        <v>Description</v>
      </c>
      <c r="U1254" s="122" t="str">
        <v/>
      </c>
      <c r="V1254" s="42"/>
      <c r="W1254" s="42"/>
      <c r="X1254" s="42"/>
      <c r="Y1254" s="42"/>
      <c r="Z1254" s="42"/>
      <c r="AA1254" s="42"/>
      <c r="AB1254" s="42"/>
    </row>
    <row r="1255" spans="1:28" x14ac:dyDescent="0.25">
      <c r="A1255" s="42" t="str">
        <v>1.23.1</v>
      </c>
      <c r="B1255" s="121" t="str">
        <v>23.1 Allocate the products for a customer order to the relevant suppliers (drop-shipping)</v>
      </c>
      <c r="C1255" s="41">
        <v>3</v>
      </c>
      <c r="D1255" s="41" t="str">
        <v>R</v>
      </c>
      <c r="E1255" s="117" t="str">
        <f t="shared" si="0"/>
        <v>R</v>
      </c>
      <c r="F1255" s="41" t="str">
        <v/>
      </c>
      <c r="G1255" s="41" t="str">
        <v/>
      </c>
      <c r="H1255" s="117">
        <f t="shared" si="1"/>
        <v>0</v>
      </c>
      <c r="I1255" s="117">
        <f t="shared" si="2"/>
        <v>23</v>
      </c>
      <c r="J1255" s="117">
        <f t="shared" si="3"/>
        <v>23.01</v>
      </c>
      <c r="K1255" s="117" t="str">
        <f t="shared" si="4"/>
        <v>BR</v>
      </c>
      <c r="L1255" s="42" t="str">
        <v>BR2301</v>
      </c>
      <c r="M1255" s="121" t="str">
        <v/>
      </c>
      <c r="N1255" s="121" t="str">
        <v/>
      </c>
      <c r="O1255" s="121" t="str">
        <v>BR2301</v>
      </c>
      <c r="P1255" s="121" t="str">
        <v>Allocate the products for a customer order to the relevant suppliers (drop-shipping)</v>
      </c>
      <c r="Q1255" s="121" t="str">
        <v/>
      </c>
      <c r="R1255" s="121" t="str">
        <v/>
      </c>
      <c r="S1255" s="121" t="str">
        <v/>
      </c>
      <c r="T1255" s="119" t="str">
        <f>IF($C1255&lt;4,IF($C1255=3,T1256,IF($C1255=2,T$1,"")),Q1255&amp;R1255&amp;IF(LEN(S1255)=0,"",Preferences!$C$2&amp;S1255)&amp;IF(J1256=J1255,IF(LEN(R1255&amp;S1255)=0,"","
")&amp;T1256,""))</f>
        <v xml:space="preserve"> 1. Each product in a customer order must be allocated to an order for the supplier that fulfills that product.
	• The supplier order must be associated with the customer order.
 2. The supplier orders must be managed from creation to completion.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55" s="122" t="str">
        <v/>
      </c>
      <c r="V1255" s="42"/>
      <c r="W1255" s="42"/>
      <c r="X1255" s="42"/>
      <c r="Y1255" s="42"/>
      <c r="Z1255" s="42"/>
      <c r="AA1255" s="42"/>
      <c r="AB1255" s="42"/>
    </row>
    <row r="1256" spans="1:28" x14ac:dyDescent="0.25">
      <c r="A1256" s="42" t="str">
        <v>1.23.1.1</v>
      </c>
      <c r="B1256" s="121" t="str">
        <v>Each product in a customer order must be allocated to an order for the supplier that fulfills that product.</v>
      </c>
      <c r="C1256" s="41">
        <v>4</v>
      </c>
      <c r="D1256" s="41" t="str">
        <v>RD</v>
      </c>
      <c r="E1256" s="117" t="str">
        <f t="shared" si="0"/>
        <v>RD</v>
      </c>
      <c r="F1256" s="41" t="str">
        <v/>
      </c>
      <c r="G1256" s="41" t="str">
        <v/>
      </c>
      <c r="H1256" s="117">
        <f t="shared" si="1"/>
        <v>0</v>
      </c>
      <c r="I1256" s="117">
        <f t="shared" si="2"/>
        <v>23</v>
      </c>
      <c r="J1256" s="117">
        <f t="shared" si="3"/>
        <v>23.01</v>
      </c>
      <c r="K1256" s="117" t="str">
        <f t="shared" si="4"/>
        <v>BR</v>
      </c>
      <c r="L1256" s="42" t="str">
        <v>BR2301</v>
      </c>
      <c r="M1256" s="121" t="str">
        <v/>
      </c>
      <c r="N1256" s="121" t="str">
        <v/>
      </c>
      <c r="O1256" s="121" t="str">
        <v/>
      </c>
      <c r="P1256" s="121" t="str">
        <v/>
      </c>
      <c r="Q1256" s="121" t="str">
        <v xml:space="preserve"> 1. </v>
      </c>
      <c r="R1256" s="121" t="str">
        <v>Each product in a customer order must be allocated to an order for the supplier that fulfills that product.</v>
      </c>
      <c r="S1256" s="121" t="str">
        <v/>
      </c>
      <c r="T1256" s="119" t="str">
        <f>IF($C1256&lt;4,IF($C1256=3,T1257,IF($C1256=2,T$1,"")),Q1256&amp;R1256&amp;IF(LEN(S1256)=0,"",Preferences!$C$2&amp;S1256)&amp;IF(J1257=J1256,IF(LEN(R1256&amp;S1256)=0,"","
")&amp;T1257,""))</f>
        <v xml:space="preserve"> 1. Each product in a customer order must be allocated to an order for the supplier that fulfills that product.
	• The supplier order must be associated with the customer order.
 2. The supplier orders must be managed from creation to completion.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56" s="122" t="str">
        <v/>
      </c>
      <c r="V1256" s="42"/>
      <c r="W1256" s="42"/>
      <c r="X1256" s="42"/>
      <c r="Y1256" s="42"/>
      <c r="Z1256" s="42"/>
      <c r="AA1256" s="42"/>
      <c r="AB1256" s="42"/>
    </row>
    <row r="1257" spans="1:28" x14ac:dyDescent="0.25">
      <c r="A1257" s="42" t="str">
        <v>1.23.1.1.1</v>
      </c>
      <c r="B1257" s="121" t="str">
        <v>The supplier order must be associated with the customer order.</v>
      </c>
      <c r="C1257" s="41">
        <v>5</v>
      </c>
      <c r="D1257" s="41" t="str">
        <v>RL</v>
      </c>
      <c r="E1257" s="117" t="str">
        <f t="shared" si="0"/>
        <v>RL</v>
      </c>
      <c r="F1257" s="41" t="str">
        <v/>
      </c>
      <c r="G1257" s="41" t="str">
        <v/>
      </c>
      <c r="H1257" s="117">
        <f t="shared" si="1"/>
        <v>0</v>
      </c>
      <c r="I1257" s="117">
        <f t="shared" si="2"/>
        <v>23</v>
      </c>
      <c r="J1257" s="117">
        <f t="shared" si="3"/>
        <v>23.01</v>
      </c>
      <c r="K1257" s="117" t="str">
        <f t="shared" si="4"/>
        <v>BR</v>
      </c>
      <c r="L1257" s="42" t="str">
        <v>BR2301</v>
      </c>
      <c r="M1257" s="121" t="str">
        <v/>
      </c>
      <c r="N1257" s="121" t="str">
        <v/>
      </c>
      <c r="O1257" s="121" t="str">
        <v/>
      </c>
      <c r="P1257" s="121" t="str">
        <v/>
      </c>
      <c r="Q1257" s="121" t="str">
        <v/>
      </c>
      <c r="R1257" s="121" t="str">
        <v/>
      </c>
      <c r="S1257" s="121" t="str">
        <v>The supplier order must be associated with the customer order.</v>
      </c>
      <c r="T1257" s="119" t="str">
        <f>IF($C1257&lt;4,IF($C1257=3,T1258,IF($C1257=2,T$1,"")),Q1257&amp;R1257&amp;IF(LEN(S1257)=0,"",Preferences!$C$2&amp;S1257)&amp;IF(J1258=J1257,IF(LEN(R1257&amp;S1257)=0,"","
")&amp;T1258,""))</f>
        <v xml:space="preserve">	• The supplier order must be associated with the customer order.
 2. The supplier orders must be managed from creation to completion.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57" s="122" t="str">
        <v/>
      </c>
      <c r="V1257" s="42"/>
      <c r="W1257" s="42"/>
      <c r="X1257" s="42"/>
      <c r="Y1257" s="42"/>
      <c r="Z1257" s="42"/>
      <c r="AA1257" s="42"/>
      <c r="AB1257" s="42"/>
    </row>
    <row r="1258" spans="1:28" x14ac:dyDescent="0.25">
      <c r="A1258" s="42" t="str">
        <v>1.23.1.2</v>
      </c>
      <c r="B1258" s="121" t="str">
        <v>The supplier orders must be managed from creation to completion.</v>
      </c>
      <c r="C1258" s="41">
        <v>4</v>
      </c>
      <c r="D1258" s="41" t="str">
        <v>RD</v>
      </c>
      <c r="E1258" s="117" t="str">
        <f t="shared" si="0"/>
        <v>RD</v>
      </c>
      <c r="F1258" s="41" t="str">
        <v/>
      </c>
      <c r="G1258" s="41" t="str">
        <v/>
      </c>
      <c r="H1258" s="117">
        <f t="shared" si="1"/>
        <v>0</v>
      </c>
      <c r="I1258" s="117">
        <f t="shared" si="2"/>
        <v>23</v>
      </c>
      <c r="J1258" s="117">
        <f t="shared" si="3"/>
        <v>23.01</v>
      </c>
      <c r="K1258" s="117" t="str">
        <f t="shared" si="4"/>
        <v>BR</v>
      </c>
      <c r="L1258" s="42" t="str">
        <v>BR2301</v>
      </c>
      <c r="M1258" s="121" t="str">
        <v/>
      </c>
      <c r="N1258" s="121" t="str">
        <v/>
      </c>
      <c r="O1258" s="121" t="str">
        <v/>
      </c>
      <c r="P1258" s="121" t="str">
        <v/>
      </c>
      <c r="Q1258" s="121" t="str">
        <v xml:space="preserve"> 2. </v>
      </c>
      <c r="R1258" s="121" t="str">
        <v>The supplier orders must be managed from creation to completion.</v>
      </c>
      <c r="S1258" s="121" t="str">
        <v/>
      </c>
      <c r="T1258" s="119" t="str">
        <f>IF($C1258&lt;4,IF($C1258=3,T1259,IF($C1258=2,T$1,"")),Q1258&amp;R1258&amp;IF(LEN(S1258)=0,"",Preferences!$C$2&amp;S1258)&amp;IF(J1259=J1258,IF(LEN(R1258&amp;S1258)=0,"","
")&amp;T1259,""))</f>
        <v xml:space="preserve"> 2. The supplier orders must be managed from creation to completion.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58" s="122" t="str">
        <v/>
      </c>
      <c r="V1258" s="42"/>
      <c r="W1258" s="42"/>
      <c r="X1258" s="42"/>
      <c r="Y1258" s="42"/>
      <c r="Z1258" s="42"/>
      <c r="AA1258" s="42"/>
      <c r="AB1258" s="42"/>
    </row>
    <row r="1259" spans="1:28" x14ac:dyDescent="0.25">
      <c r="A1259" s="42" t="str">
        <v>1.23.1.3</v>
      </c>
      <c r="B1259" s="121" t="str">
        <v>Include at least the following details for a supplier order:</v>
      </c>
      <c r="C1259" s="41">
        <v>4</v>
      </c>
      <c r="D1259" s="41" t="str">
        <v>RD</v>
      </c>
      <c r="E1259" s="117" t="str">
        <f t="shared" si="0"/>
        <v>RD</v>
      </c>
      <c r="F1259" s="41" t="str">
        <v/>
      </c>
      <c r="G1259" s="41" t="str">
        <v/>
      </c>
      <c r="H1259" s="117">
        <f t="shared" si="1"/>
        <v>0</v>
      </c>
      <c r="I1259" s="117">
        <f t="shared" si="2"/>
        <v>23</v>
      </c>
      <c r="J1259" s="117">
        <f t="shared" si="3"/>
        <v>23.01</v>
      </c>
      <c r="K1259" s="117" t="str">
        <f t="shared" si="4"/>
        <v>BR</v>
      </c>
      <c r="L1259" s="42" t="str">
        <v>BR2301</v>
      </c>
      <c r="M1259" s="121" t="str">
        <v/>
      </c>
      <c r="N1259" s="121" t="str">
        <v/>
      </c>
      <c r="O1259" s="121" t="str">
        <v/>
      </c>
      <c r="P1259" s="121" t="str">
        <v/>
      </c>
      <c r="Q1259" s="121" t="str">
        <v xml:space="preserve"> 3. </v>
      </c>
      <c r="R1259" s="121" t="str">
        <v>Include at least the following details for a supplier order:</v>
      </c>
      <c r="S1259" s="121" t="str">
        <v/>
      </c>
      <c r="T1259" s="119" t="str">
        <f>IF($C1259&lt;4,IF($C1259=3,T1260,IF($C1259=2,T$1,"")),Q1259&amp;R1259&amp;IF(LEN(S1259)=0,"",Preferences!$C$2&amp;S1259)&amp;IF(J1260=J1259,IF(LEN(R1259&amp;S1259)=0,"","
")&amp;T1260,""))</f>
        <v xml:space="preserve"> 3. Include at least the following details for a supplier order: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59" s="122" t="str">
        <v/>
      </c>
      <c r="V1259" s="42"/>
      <c r="W1259" s="42"/>
      <c r="X1259" s="42"/>
      <c r="Y1259" s="42"/>
      <c r="Z1259" s="42"/>
      <c r="AA1259" s="42"/>
      <c r="AB1259" s="42"/>
    </row>
    <row r="1260" spans="1:28" x14ac:dyDescent="0.25">
      <c r="A1260" s="42" t="str">
        <v>1.23.1.3.1</v>
      </c>
      <c r="B1260" s="121" t="str">
        <v>Customer Order Number</v>
      </c>
      <c r="C1260" s="41">
        <v>5</v>
      </c>
      <c r="D1260" s="41" t="str">
        <v>RL</v>
      </c>
      <c r="E1260" s="117" t="str">
        <f t="shared" si="0"/>
        <v>RL</v>
      </c>
      <c r="F1260" s="41" t="str">
        <v/>
      </c>
      <c r="G1260" s="41" t="str">
        <v/>
      </c>
      <c r="H1260" s="117">
        <f t="shared" si="1"/>
        <v>0</v>
      </c>
      <c r="I1260" s="117">
        <f t="shared" si="2"/>
        <v>23</v>
      </c>
      <c r="J1260" s="117">
        <f t="shared" si="3"/>
        <v>23.01</v>
      </c>
      <c r="K1260" s="117" t="str">
        <f t="shared" si="4"/>
        <v>BR</v>
      </c>
      <c r="L1260" s="42" t="str">
        <v>BR2301</v>
      </c>
      <c r="M1260" s="121" t="str">
        <v/>
      </c>
      <c r="N1260" s="121" t="str">
        <v/>
      </c>
      <c r="O1260" s="121" t="str">
        <v/>
      </c>
      <c r="P1260" s="121" t="str">
        <v/>
      </c>
      <c r="Q1260" s="121" t="str">
        <v/>
      </c>
      <c r="R1260" s="121" t="str">
        <v/>
      </c>
      <c r="S1260" s="121" t="str">
        <v>Customer Order Number</v>
      </c>
      <c r="T1260" s="119" t="str">
        <f>IF($C1260&lt;4,IF($C1260=3,T1261,IF($C1260=2,T$1,"")),Q1260&amp;R1260&amp;IF(LEN(S1260)=0,"",Preferences!$C$2&amp;S1260)&amp;IF(J1261=J1260,IF(LEN(R1260&amp;S1260)=0,"","
")&amp;T1261,""))</f>
        <v xml:space="preserve">	• Customer Order Number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0" s="122" t="str">
        <v/>
      </c>
      <c r="V1260" s="42"/>
      <c r="W1260" s="42"/>
      <c r="X1260" s="42"/>
      <c r="Y1260" s="42"/>
      <c r="Z1260" s="42"/>
      <c r="AA1260" s="42"/>
      <c r="AB1260" s="42"/>
    </row>
    <row r="1261" spans="1:28" x14ac:dyDescent="0.25">
      <c r="A1261" s="42" t="str">
        <v>1.23.1.3.2</v>
      </c>
      <c r="B1261" s="121" t="str">
        <v>Supplier Order Number</v>
      </c>
      <c r="C1261" s="41">
        <v>5</v>
      </c>
      <c r="D1261" s="41" t="str">
        <v>RL</v>
      </c>
      <c r="E1261" s="117" t="str">
        <f t="shared" si="0"/>
        <v>RL</v>
      </c>
      <c r="F1261" s="41" t="str">
        <v/>
      </c>
      <c r="G1261" s="41" t="str">
        <v/>
      </c>
      <c r="H1261" s="117">
        <f t="shared" si="1"/>
        <v>0</v>
      </c>
      <c r="I1261" s="117">
        <f t="shared" si="2"/>
        <v>23</v>
      </c>
      <c r="J1261" s="117">
        <f t="shared" si="3"/>
        <v>23.01</v>
      </c>
      <c r="K1261" s="117" t="str">
        <f t="shared" si="4"/>
        <v>BR</v>
      </c>
      <c r="L1261" s="42" t="str">
        <v>BR2301</v>
      </c>
      <c r="M1261" s="121" t="str">
        <v/>
      </c>
      <c r="N1261" s="121" t="str">
        <v/>
      </c>
      <c r="O1261" s="121" t="str">
        <v/>
      </c>
      <c r="P1261" s="121" t="str">
        <v/>
      </c>
      <c r="Q1261" s="121" t="str">
        <v/>
      </c>
      <c r="R1261" s="121" t="str">
        <v/>
      </c>
      <c r="S1261" s="121" t="str">
        <v>Supplier Order Number</v>
      </c>
      <c r="T1261" s="119" t="str">
        <f>IF($C1261&lt;4,IF($C1261=3,T1262,IF($C1261=2,T$1,"")),Q1261&amp;R1261&amp;IF(LEN(S1261)=0,"",Preferences!$C$2&amp;S1261)&amp;IF(J1262=J1261,IF(LEN(R1261&amp;S1261)=0,"","
")&amp;T1262,""))</f>
        <v xml:space="preserve">	• Supplier Order Number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1" s="122" t="str">
        <v/>
      </c>
      <c r="V1261" s="42"/>
      <c r="W1261" s="42"/>
      <c r="X1261" s="42"/>
      <c r="Y1261" s="42"/>
      <c r="Z1261" s="42"/>
      <c r="AA1261" s="42"/>
      <c r="AB1261" s="42"/>
    </row>
    <row r="1262" spans="1:28" x14ac:dyDescent="0.25">
      <c r="A1262" s="42" t="str">
        <v>1.23.1.3.3</v>
      </c>
      <c r="B1262" s="121" t="str">
        <v>Order Date (date-time the supplier order was originally created)</v>
      </c>
      <c r="C1262" s="41">
        <v>5</v>
      </c>
      <c r="D1262" s="41" t="str">
        <v>RL</v>
      </c>
      <c r="E1262" s="117" t="str">
        <f t="shared" si="0"/>
        <v>RL</v>
      </c>
      <c r="F1262" s="41" t="str">
        <v/>
      </c>
      <c r="G1262" s="41" t="str">
        <v/>
      </c>
      <c r="H1262" s="117">
        <f t="shared" si="1"/>
        <v>0</v>
      </c>
      <c r="I1262" s="117">
        <f t="shared" si="2"/>
        <v>23</v>
      </c>
      <c r="J1262" s="117">
        <f t="shared" si="3"/>
        <v>23.01</v>
      </c>
      <c r="K1262" s="117" t="str">
        <f t="shared" si="4"/>
        <v>BR</v>
      </c>
      <c r="L1262" s="42" t="str">
        <v>BR2301</v>
      </c>
      <c r="M1262" s="121" t="str">
        <v/>
      </c>
      <c r="N1262" s="121" t="str">
        <v/>
      </c>
      <c r="O1262" s="121" t="str">
        <v/>
      </c>
      <c r="P1262" s="121" t="str">
        <v/>
      </c>
      <c r="Q1262" s="121" t="str">
        <v/>
      </c>
      <c r="R1262" s="121" t="str">
        <v/>
      </c>
      <c r="S1262" s="121" t="str">
        <v>Order Date (date-time the supplier order was originally created)</v>
      </c>
      <c r="T1262" s="119" t="str">
        <f>IF($C1262&lt;4,IF($C1262=3,T1263,IF($C1262=2,T$1,"")),Q1262&amp;R1262&amp;IF(LEN(S1262)=0,"",Preferences!$C$2&amp;S1262)&amp;IF(J1263=J1262,IF(LEN(R1262&amp;S1262)=0,"","
")&amp;T1263,""))</f>
        <v xml:space="preserve">	• Order Date (date-time the supplier order was originally created)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2" s="122" t="str">
        <v/>
      </c>
      <c r="V1262" s="42"/>
      <c r="W1262" s="42"/>
      <c r="X1262" s="42"/>
      <c r="Y1262" s="42"/>
      <c r="Z1262" s="42"/>
      <c r="AA1262" s="42"/>
      <c r="AB1262" s="42"/>
    </row>
    <row r="1263" spans="1:28" x14ac:dyDescent="0.25">
      <c r="A1263" s="42" t="str">
        <v>1.23.1.3.4</v>
      </c>
      <c r="B1263" s="121" t="str">
        <v>Order Status (new,update,cancel)</v>
      </c>
      <c r="C1263" s="41">
        <v>5</v>
      </c>
      <c r="D1263" s="41" t="str">
        <v>RL</v>
      </c>
      <c r="E1263" s="117" t="str">
        <f t="shared" si="0"/>
        <v>RL</v>
      </c>
      <c r="F1263" s="41" t="str">
        <v/>
      </c>
      <c r="G1263" s="41" t="str">
        <v/>
      </c>
      <c r="H1263" s="117">
        <f t="shared" si="1"/>
        <v>0</v>
      </c>
      <c r="I1263" s="117">
        <f t="shared" si="2"/>
        <v>23</v>
      </c>
      <c r="J1263" s="117">
        <f t="shared" si="3"/>
        <v>23.01</v>
      </c>
      <c r="K1263" s="117" t="str">
        <f t="shared" si="4"/>
        <v>BR</v>
      </c>
      <c r="L1263" s="42" t="str">
        <v>BR2301</v>
      </c>
      <c r="M1263" s="121" t="str">
        <v/>
      </c>
      <c r="N1263" s="121" t="str">
        <v/>
      </c>
      <c r="O1263" s="121" t="str">
        <v/>
      </c>
      <c r="P1263" s="121" t="str">
        <v/>
      </c>
      <c r="Q1263" s="121" t="str">
        <v/>
      </c>
      <c r="R1263" s="121" t="str">
        <v/>
      </c>
      <c r="S1263" s="121" t="str">
        <v>Order Status (new,update,cancel)</v>
      </c>
      <c r="T1263" s="119" t="str">
        <f>IF($C1263&lt;4,IF($C1263=3,T1264,IF($C1263=2,T$1,"")),Q1263&amp;R1263&amp;IF(LEN(S1263)=0,"",Preferences!$C$2&amp;S1263)&amp;IF(J1264=J1263,IF(LEN(R1263&amp;S1263)=0,"","
")&amp;T1264,""))</f>
        <v xml:space="preserve">	• Order Status (new,update,cancel)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3" s="122" t="str">
        <v/>
      </c>
      <c r="V1263" s="42"/>
      <c r="W1263" s="42"/>
      <c r="X1263" s="42"/>
      <c r="Y1263" s="42"/>
      <c r="Z1263" s="42"/>
      <c r="AA1263" s="42"/>
      <c r="AB1263" s="42"/>
    </row>
    <row r="1264" spans="1:28" x14ac:dyDescent="0.25">
      <c r="A1264" s="42" t="str">
        <v>1.23.1.3.5</v>
      </c>
      <c r="B1264" s="121" t="str">
        <v>Last Update (date-time of the last status update for the order)</v>
      </c>
      <c r="C1264" s="41">
        <v>5</v>
      </c>
      <c r="D1264" s="41" t="str">
        <v>RL</v>
      </c>
      <c r="E1264" s="117" t="str">
        <f t="shared" si="0"/>
        <v>RL</v>
      </c>
      <c r="F1264" s="41" t="str">
        <v/>
      </c>
      <c r="G1264" s="41" t="str">
        <v/>
      </c>
      <c r="H1264" s="117">
        <f t="shared" si="1"/>
        <v>0</v>
      </c>
      <c r="I1264" s="117">
        <f t="shared" si="2"/>
        <v>23</v>
      </c>
      <c r="J1264" s="117">
        <f t="shared" si="3"/>
        <v>23.01</v>
      </c>
      <c r="K1264" s="117" t="str">
        <f t="shared" si="4"/>
        <v>BR</v>
      </c>
      <c r="L1264" s="42" t="str">
        <v>BR2301</v>
      </c>
      <c r="M1264" s="121" t="str">
        <v/>
      </c>
      <c r="N1264" s="121" t="str">
        <v/>
      </c>
      <c r="O1264" s="121" t="str">
        <v/>
      </c>
      <c r="P1264" s="121" t="str">
        <v/>
      </c>
      <c r="Q1264" s="121" t="str">
        <v/>
      </c>
      <c r="R1264" s="121" t="str">
        <v/>
      </c>
      <c r="S1264" s="121" t="str">
        <v>Last Update (date-time of the last status update for the order)</v>
      </c>
      <c r="T1264" s="119" t="str">
        <f>IF($C1264&lt;4,IF($C1264=3,T1265,IF($C1264=2,T$1,"")),Q1264&amp;R1264&amp;IF(LEN(S1264)=0,"",Preferences!$C$2&amp;S1264)&amp;IF(J1265=J1264,IF(LEN(R1264&amp;S1264)=0,"","
")&amp;T1265,""))</f>
        <v xml:space="preserve">	• Last Update (date-time of the last status update for the order)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4" s="122" t="str">
        <v/>
      </c>
      <c r="V1264" s="42"/>
      <c r="W1264" s="42"/>
      <c r="X1264" s="42"/>
      <c r="Y1264" s="42"/>
      <c r="Z1264" s="42"/>
      <c r="AA1264" s="42"/>
      <c r="AB1264" s="42"/>
    </row>
    <row r="1265" spans="1:28" x14ac:dyDescent="0.25">
      <c r="A1265" s="42" t="str">
        <v>1.23.1.3.6</v>
      </c>
      <c r="B1265" s="121" t="str">
        <v>Delivery address (name of chosen delivery address)</v>
      </c>
      <c r="C1265" s="41">
        <v>5</v>
      </c>
      <c r="D1265" s="41" t="str">
        <v>RL</v>
      </c>
      <c r="E1265" s="117" t="str">
        <f t="shared" si="0"/>
        <v>RL</v>
      </c>
      <c r="F1265" s="41" t="str">
        <v/>
      </c>
      <c r="G1265" s="41" t="str">
        <v/>
      </c>
      <c r="H1265" s="117">
        <f t="shared" si="1"/>
        <v>0</v>
      </c>
      <c r="I1265" s="117">
        <f t="shared" si="2"/>
        <v>23</v>
      </c>
      <c r="J1265" s="117">
        <f t="shared" si="3"/>
        <v>23.01</v>
      </c>
      <c r="K1265" s="117" t="str">
        <f t="shared" si="4"/>
        <v>BR</v>
      </c>
      <c r="L1265" s="42" t="str">
        <v>BR2301</v>
      </c>
      <c r="M1265" s="121" t="str">
        <v/>
      </c>
      <c r="N1265" s="121" t="str">
        <v/>
      </c>
      <c r="O1265" s="121" t="str">
        <v/>
      </c>
      <c r="P1265" s="121" t="str">
        <v/>
      </c>
      <c r="Q1265" s="121" t="str">
        <v/>
      </c>
      <c r="R1265" s="121" t="str">
        <v/>
      </c>
      <c r="S1265" s="121" t="str">
        <v>Delivery address (name of chosen delivery address)</v>
      </c>
      <c r="T1265" s="119" t="str">
        <f>IF($C1265&lt;4,IF($C1265=3,T1266,IF($C1265=2,T$1,"")),Q1265&amp;R1265&amp;IF(LEN(S1265)=0,"",Preferences!$C$2&amp;S1265)&amp;IF(J1266=J1265,IF(LEN(R1265&amp;S1265)=0,"","
")&amp;T1266,""))</f>
        <v xml:space="preserve">	• Delivery address (name of chosen delivery address)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5" s="122" t="str">
        <v/>
      </c>
      <c r="V1265" s="42"/>
      <c r="W1265" s="42"/>
      <c r="X1265" s="42"/>
      <c r="Y1265" s="42"/>
      <c r="Z1265" s="42"/>
      <c r="AA1265" s="42"/>
      <c r="AB1265" s="42"/>
    </row>
    <row r="1266" spans="1:28" x14ac:dyDescent="0.25">
      <c r="A1266" s="42" t="str">
        <v>1.23.1.3.7</v>
      </c>
      <c r="B1266" s="121" t="str">
        <v>Products list</v>
      </c>
      <c r="C1266" s="41">
        <v>5</v>
      </c>
      <c r="D1266" s="41" t="str">
        <v>RL</v>
      </c>
      <c r="E1266" s="117" t="str">
        <f t="shared" si="0"/>
        <v>RL</v>
      </c>
      <c r="F1266" s="41" t="str">
        <v/>
      </c>
      <c r="G1266" s="41" t="str">
        <v/>
      </c>
      <c r="H1266" s="117">
        <f t="shared" si="1"/>
        <v>0</v>
      </c>
      <c r="I1266" s="117">
        <f t="shared" si="2"/>
        <v>23</v>
      </c>
      <c r="J1266" s="117">
        <f t="shared" si="3"/>
        <v>23.01</v>
      </c>
      <c r="K1266" s="117" t="str">
        <f t="shared" si="4"/>
        <v>BR</v>
      </c>
      <c r="L1266" s="42" t="str">
        <v>BR2301</v>
      </c>
      <c r="M1266" s="121" t="str">
        <v/>
      </c>
      <c r="N1266" s="121" t="str">
        <v/>
      </c>
      <c r="O1266" s="121" t="str">
        <v/>
      </c>
      <c r="P1266" s="121" t="str">
        <v/>
      </c>
      <c r="Q1266" s="121" t="str">
        <v/>
      </c>
      <c r="R1266" s="121" t="str">
        <v/>
      </c>
      <c r="S1266" s="121" t="str">
        <v>Products list</v>
      </c>
      <c r="T1266" s="119" t="str">
        <f>IF($C1266&lt;4,IF($C1266=3,T1267,IF($C1266=2,T$1,"")),Q1266&amp;R1266&amp;IF(LEN(S1266)=0,"",Preferences!$C$2&amp;S1266)&amp;IF(J1267=J1266,IF(LEN(R1266&amp;S1266)=0,"","
")&amp;T1267,""))</f>
        <v xml:space="preserve">	• Products list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6" s="122" t="str">
        <v/>
      </c>
      <c r="V1266" s="42"/>
      <c r="W1266" s="42"/>
      <c r="X1266" s="42"/>
      <c r="Y1266" s="42"/>
      <c r="Z1266" s="42"/>
      <c r="AA1266" s="42"/>
      <c r="AB1266" s="42"/>
    </row>
    <row r="1267" spans="1:28" x14ac:dyDescent="0.25">
      <c r="A1267" s="42" t="str">
        <v>1.23.1.3.8</v>
      </c>
      <c r="B1267" s="121" t="str">
        <v>Order Total Sales Value (incl.)</v>
      </c>
      <c r="C1267" s="41">
        <v>5</v>
      </c>
      <c r="D1267" s="41" t="str">
        <v>RL</v>
      </c>
      <c r="E1267" s="117" t="str">
        <f t="shared" si="0"/>
        <v>RL</v>
      </c>
      <c r="F1267" s="41" t="str">
        <v/>
      </c>
      <c r="G1267" s="41" t="str">
        <v/>
      </c>
      <c r="H1267" s="117">
        <f t="shared" si="1"/>
        <v>0</v>
      </c>
      <c r="I1267" s="117">
        <f t="shared" si="2"/>
        <v>23</v>
      </c>
      <c r="J1267" s="117">
        <f t="shared" si="3"/>
        <v>23.01</v>
      </c>
      <c r="K1267" s="117" t="str">
        <f t="shared" si="4"/>
        <v>BR</v>
      </c>
      <c r="L1267" s="42" t="str">
        <v>BR2301</v>
      </c>
      <c r="M1267" s="121" t="str">
        <v/>
      </c>
      <c r="N1267" s="121" t="str">
        <v/>
      </c>
      <c r="O1267" s="121" t="str">
        <v/>
      </c>
      <c r="P1267" s="121" t="str">
        <v/>
      </c>
      <c r="Q1267" s="121" t="str">
        <v/>
      </c>
      <c r="R1267" s="121" t="str">
        <v/>
      </c>
      <c r="S1267" s="121" t="str">
        <v>Order Total Sales Value (incl.)</v>
      </c>
      <c r="T1267" s="119" t="str">
        <f>IF($C1267&lt;4,IF($C1267=3,T1268,IF($C1267=2,T$1,"")),Q1267&amp;R1267&amp;IF(LEN(S1267)=0,"",Preferences!$C$2&amp;S1267)&amp;IF(J1268=J1267,IF(LEN(R1267&amp;S1267)=0,"","
")&amp;T1268,""))</f>
        <v xml:space="preserve">	• Order Total Sales Value (incl.)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7" s="122" t="str">
        <v/>
      </c>
      <c r="V1267" s="42"/>
      <c r="W1267" s="42"/>
      <c r="X1267" s="42"/>
      <c r="Y1267" s="42"/>
      <c r="Z1267" s="42"/>
      <c r="AA1267" s="42"/>
      <c r="AB1267" s="42"/>
    </row>
    <row r="1268" spans="1:28" x14ac:dyDescent="0.25">
      <c r="A1268" s="42" t="str">
        <v>1.23.1.3.9</v>
      </c>
      <c r="B1268" s="121" t="str">
        <v>Order Total VAT</v>
      </c>
      <c r="C1268" s="41">
        <v>5</v>
      </c>
      <c r="D1268" s="41" t="str">
        <v>RL</v>
      </c>
      <c r="E1268" s="117" t="str">
        <f t="shared" si="0"/>
        <v>RL</v>
      </c>
      <c r="F1268" s="41" t="str">
        <v/>
      </c>
      <c r="G1268" s="41" t="str">
        <v/>
      </c>
      <c r="H1268" s="117">
        <f t="shared" si="1"/>
        <v>0</v>
      </c>
      <c r="I1268" s="117">
        <f t="shared" si="2"/>
        <v>23</v>
      </c>
      <c r="J1268" s="117">
        <f t="shared" si="3"/>
        <v>23.01</v>
      </c>
      <c r="K1268" s="117" t="str">
        <f t="shared" si="4"/>
        <v>BR</v>
      </c>
      <c r="L1268" s="42" t="str">
        <v>BR2301</v>
      </c>
      <c r="M1268" s="121" t="str">
        <v/>
      </c>
      <c r="N1268" s="121" t="str">
        <v/>
      </c>
      <c r="O1268" s="121" t="str">
        <v/>
      </c>
      <c r="P1268" s="121" t="str">
        <v/>
      </c>
      <c r="Q1268" s="121" t="str">
        <v/>
      </c>
      <c r="R1268" s="121" t="str">
        <v/>
      </c>
      <c r="S1268" s="121" t="str">
        <v>Order Total VAT</v>
      </c>
      <c r="T1268" s="119" t="str">
        <f>IF($C1268&lt;4,IF($C1268=3,T1269,IF($C1268=2,T$1,"")),Q1268&amp;R1268&amp;IF(LEN(S1268)=0,"",Preferences!$C$2&amp;S1268)&amp;IF(J1269=J1268,IF(LEN(R1268&amp;S1268)=0,"","
")&amp;T1269,""))</f>
        <v xml:space="preserve">	• Order Total VAT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8" s="122" t="str">
        <v/>
      </c>
      <c r="V1268" s="42"/>
      <c r="W1268" s="42"/>
      <c r="X1268" s="42"/>
      <c r="Y1268" s="42"/>
      <c r="Z1268" s="42"/>
      <c r="AA1268" s="42"/>
      <c r="AB1268" s="42"/>
    </row>
    <row r="1269" spans="1:28" x14ac:dyDescent="0.25">
      <c r="A1269" s="42" t="str">
        <v>1.23.1.4</v>
      </c>
      <c r="B1269" s="121" t="str">
        <v>Include at least the following for each product / product pack in the supplier order products list:</v>
      </c>
      <c r="C1269" s="41">
        <v>4</v>
      </c>
      <c r="D1269" s="41" t="str">
        <v>RD</v>
      </c>
      <c r="E1269" s="117" t="str">
        <f t="shared" si="0"/>
        <v>RD</v>
      </c>
      <c r="F1269" s="41" t="str">
        <v/>
      </c>
      <c r="G1269" s="41" t="str">
        <v/>
      </c>
      <c r="H1269" s="117">
        <f t="shared" si="1"/>
        <v>0</v>
      </c>
      <c r="I1269" s="117">
        <f t="shared" si="2"/>
        <v>23</v>
      </c>
      <c r="J1269" s="117">
        <f t="shared" si="3"/>
        <v>23.01</v>
      </c>
      <c r="K1269" s="117" t="str">
        <f t="shared" si="4"/>
        <v>BR</v>
      </c>
      <c r="L1269" s="42" t="str">
        <v>BR2301</v>
      </c>
      <c r="M1269" s="121" t="str">
        <v/>
      </c>
      <c r="N1269" s="121" t="str">
        <v/>
      </c>
      <c r="O1269" s="121" t="str">
        <v/>
      </c>
      <c r="P1269" s="121" t="str">
        <v/>
      </c>
      <c r="Q1269" s="121" t="str">
        <v xml:space="preserve"> 4. </v>
      </c>
      <c r="R1269" s="121" t="str">
        <v>Include at least the following for each product / product pack in the supplier order products list:</v>
      </c>
      <c r="S1269" s="121" t="str">
        <v/>
      </c>
      <c r="T1269" s="119" t="str">
        <f>IF($C1269&lt;4,IF($C1269=3,T1270,IF($C1269=2,T$1,"")),Q1269&amp;R1269&amp;IF(LEN(S1269)=0,"",Preferences!$C$2&amp;S1269)&amp;IF(J1270=J1269,IF(LEN(R1269&amp;S1269)=0,"","
")&amp;T1270,""))</f>
        <v xml:space="preserve"> 4. Include at least the following for each product / product pack in the supplier order products list: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69" s="122" t="str">
        <v/>
      </c>
      <c r="V1269" s="42"/>
      <c r="W1269" s="42"/>
      <c r="X1269" s="42"/>
      <c r="Y1269" s="42"/>
      <c r="Z1269" s="42"/>
      <c r="AA1269" s="42"/>
      <c r="AB1269" s="42"/>
    </row>
    <row r="1270" spans="1:28" x14ac:dyDescent="0.25">
      <c r="A1270" s="42" t="str">
        <v>1.23.1.4.1</v>
      </c>
      <c r="B1270" s="121" t="str">
        <v>Title</v>
      </c>
      <c r="C1270" s="41">
        <v>5</v>
      </c>
      <c r="D1270" s="41" t="str">
        <v>RL</v>
      </c>
      <c r="E1270" s="117" t="str">
        <f t="shared" si="0"/>
        <v>RL</v>
      </c>
      <c r="F1270" s="41" t="str">
        <v/>
      </c>
      <c r="G1270" s="41" t="str">
        <v/>
      </c>
      <c r="H1270" s="117">
        <f t="shared" si="1"/>
        <v>0</v>
      </c>
      <c r="I1270" s="117">
        <f t="shared" si="2"/>
        <v>23</v>
      </c>
      <c r="J1270" s="117">
        <f t="shared" si="3"/>
        <v>23.01</v>
      </c>
      <c r="K1270" s="117" t="str">
        <f t="shared" si="4"/>
        <v>BR</v>
      </c>
      <c r="L1270" s="42" t="str">
        <v>BR2301</v>
      </c>
      <c r="M1270" s="121" t="str">
        <v/>
      </c>
      <c r="N1270" s="121" t="str">
        <v/>
      </c>
      <c r="O1270" s="121" t="str">
        <v/>
      </c>
      <c r="P1270" s="121" t="str">
        <v/>
      </c>
      <c r="Q1270" s="121" t="str">
        <v/>
      </c>
      <c r="R1270" s="121" t="str">
        <v/>
      </c>
      <c r="S1270" s="121" t="str">
        <v>Title</v>
      </c>
      <c r="T1270" s="119" t="str">
        <f>IF($C1270&lt;4,IF($C1270=3,T1271,IF($C1270=2,T$1,"")),Q1270&amp;R1270&amp;IF(LEN(S1270)=0,"",Preferences!$C$2&amp;S1270)&amp;IF(J1271=J1270,IF(LEN(R1270&amp;S1270)=0,"","
")&amp;T1271,""))</f>
        <v xml:space="preserve">	• Title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0" s="122" t="str">
        <v/>
      </c>
      <c r="V1270" s="42"/>
      <c r="W1270" s="42"/>
      <c r="X1270" s="42"/>
      <c r="Y1270" s="42"/>
      <c r="Z1270" s="42"/>
      <c r="AA1270" s="42"/>
      <c r="AB1270" s="42"/>
    </row>
    <row r="1271" spans="1:28" x14ac:dyDescent="0.25">
      <c r="A1271" s="42" t="str">
        <v>1.23.1.4.2</v>
      </c>
      <c r="B1271" s="121" t="str">
        <v>Barcode</v>
      </c>
      <c r="C1271" s="41">
        <v>5</v>
      </c>
      <c r="D1271" s="41" t="str">
        <v>RL</v>
      </c>
      <c r="E1271" s="117" t="str">
        <f t="shared" si="0"/>
        <v>RL</v>
      </c>
      <c r="F1271" s="41" t="str">
        <v/>
      </c>
      <c r="G1271" s="41" t="str">
        <v/>
      </c>
      <c r="H1271" s="117">
        <f t="shared" si="1"/>
        <v>0</v>
      </c>
      <c r="I1271" s="117">
        <f t="shared" si="2"/>
        <v>23</v>
      </c>
      <c r="J1271" s="117">
        <f t="shared" si="3"/>
        <v>23.01</v>
      </c>
      <c r="K1271" s="117" t="str">
        <f t="shared" si="4"/>
        <v>BR</v>
      </c>
      <c r="L1271" s="42" t="str">
        <v>BR2301</v>
      </c>
      <c r="M1271" s="121" t="str">
        <v/>
      </c>
      <c r="N1271" s="121" t="str">
        <v/>
      </c>
      <c r="O1271" s="121" t="str">
        <v/>
      </c>
      <c r="P1271" s="121" t="str">
        <v/>
      </c>
      <c r="Q1271" s="121" t="str">
        <v/>
      </c>
      <c r="R1271" s="121" t="str">
        <v/>
      </c>
      <c r="S1271" s="121" t="str">
        <v>Barcode</v>
      </c>
      <c r="T1271" s="119" t="str">
        <f>IF($C1271&lt;4,IF($C1271=3,T1272,IF($C1271=2,T$1,"")),Q1271&amp;R1271&amp;IF(LEN(S1271)=0,"",Preferences!$C$2&amp;S1271)&amp;IF(J1272=J1271,IF(LEN(R1271&amp;S1271)=0,"","
")&amp;T1272,""))</f>
        <v xml:space="preserve">	• Barcode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1" s="122" t="str">
        <v/>
      </c>
      <c r="V1271" s="42"/>
      <c r="W1271" s="42"/>
      <c r="X1271" s="42"/>
      <c r="Y1271" s="42"/>
      <c r="Z1271" s="42"/>
      <c r="AA1271" s="42"/>
      <c r="AB1271" s="42"/>
    </row>
    <row r="1272" spans="1:28" x14ac:dyDescent="0.25">
      <c r="A1272" s="42" t="str">
        <v>1.23.1.4.3</v>
      </c>
      <c r="B1272" s="121" t="str">
        <v>Quantity ordered</v>
      </c>
      <c r="C1272" s="41">
        <v>5</v>
      </c>
      <c r="D1272" s="41" t="str">
        <v>RL</v>
      </c>
      <c r="E1272" s="117" t="str">
        <f t="shared" si="0"/>
        <v>RL</v>
      </c>
      <c r="F1272" s="41" t="str">
        <v/>
      </c>
      <c r="G1272" s="41" t="str">
        <v/>
      </c>
      <c r="H1272" s="117">
        <f t="shared" si="1"/>
        <v>0</v>
      </c>
      <c r="I1272" s="117">
        <f t="shared" si="2"/>
        <v>23</v>
      </c>
      <c r="J1272" s="117">
        <f t="shared" si="3"/>
        <v>23.01</v>
      </c>
      <c r="K1272" s="117" t="str">
        <f t="shared" si="4"/>
        <v>BR</v>
      </c>
      <c r="L1272" s="42" t="str">
        <v>BR2301</v>
      </c>
      <c r="M1272" s="121" t="str">
        <v/>
      </c>
      <c r="N1272" s="121" t="str">
        <v/>
      </c>
      <c r="O1272" s="121" t="str">
        <v/>
      </c>
      <c r="P1272" s="121" t="str">
        <v/>
      </c>
      <c r="Q1272" s="121" t="str">
        <v/>
      </c>
      <c r="R1272" s="121" t="str">
        <v/>
      </c>
      <c r="S1272" s="121" t="str">
        <v>Quantity ordered</v>
      </c>
      <c r="T1272" s="119" t="str">
        <f>IF($C1272&lt;4,IF($C1272=3,T1273,IF($C1272=2,T$1,"")),Q1272&amp;R1272&amp;IF(LEN(S1272)=0,"",Preferences!$C$2&amp;S1272)&amp;IF(J1273=J1272,IF(LEN(R1272&amp;S1272)=0,"","
")&amp;T1273,""))</f>
        <v xml:space="preserve">	• Quantity ordered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2" s="122" t="str">
        <v/>
      </c>
      <c r="V1272" s="42"/>
      <c r="W1272" s="42"/>
      <c r="X1272" s="42"/>
      <c r="Y1272" s="42"/>
      <c r="Z1272" s="42"/>
      <c r="AA1272" s="42"/>
      <c r="AB1272" s="42"/>
    </row>
    <row r="1273" spans="1:28" x14ac:dyDescent="0.25">
      <c r="A1273" s="42" t="str">
        <v>1.23.1.4.4</v>
      </c>
      <c r="B1273" s="121" t="str">
        <v>Product Unit Sales Price (excl.)</v>
      </c>
      <c r="C1273" s="41">
        <v>5</v>
      </c>
      <c r="D1273" s="41" t="str">
        <v>RL</v>
      </c>
      <c r="E1273" s="117" t="str">
        <f t="shared" si="0"/>
        <v>RL</v>
      </c>
      <c r="F1273" s="41" t="str">
        <v/>
      </c>
      <c r="G1273" s="41" t="str">
        <v/>
      </c>
      <c r="H1273" s="117">
        <f t="shared" si="1"/>
        <v>0</v>
      </c>
      <c r="I1273" s="117">
        <f t="shared" si="2"/>
        <v>23</v>
      </c>
      <c r="J1273" s="117">
        <f t="shared" si="3"/>
        <v>23.01</v>
      </c>
      <c r="K1273" s="117" t="str">
        <f t="shared" si="4"/>
        <v>BR</v>
      </c>
      <c r="L1273" s="42" t="str">
        <v>BR2301</v>
      </c>
      <c r="M1273" s="121" t="str">
        <v/>
      </c>
      <c r="N1273" s="121" t="str">
        <v/>
      </c>
      <c r="O1273" s="121" t="str">
        <v/>
      </c>
      <c r="P1273" s="121" t="str">
        <v/>
      </c>
      <c r="Q1273" s="121" t="str">
        <v/>
      </c>
      <c r="R1273" s="121" t="str">
        <v/>
      </c>
      <c r="S1273" s="121" t="str">
        <v>Product Unit Sales Price (excl.)</v>
      </c>
      <c r="T1273" s="119" t="str">
        <f>IF($C1273&lt;4,IF($C1273=3,T1274,IF($C1273=2,T$1,"")),Q1273&amp;R1273&amp;IF(LEN(S1273)=0,"",Preferences!$C$2&amp;S1273)&amp;IF(J1274=J1273,IF(LEN(R1273&amp;S1273)=0,"","
")&amp;T1274,""))</f>
        <v xml:space="preserve">	• Product Unit Sales Price (excl.)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3" s="122" t="str">
        <v/>
      </c>
      <c r="V1273" s="42"/>
      <c r="W1273" s="42"/>
      <c r="X1273" s="42"/>
      <c r="Y1273" s="42"/>
      <c r="Z1273" s="42"/>
      <c r="AA1273" s="42"/>
      <c r="AB1273" s="42"/>
    </row>
    <row r="1274" spans="1:28" x14ac:dyDescent="0.25">
      <c r="A1274" s="42" t="str">
        <v>1.23.1.4.5</v>
      </c>
      <c r="B1274" s="121" t="str">
        <v>Product Total Sales Price (incl.)</v>
      </c>
      <c r="C1274" s="41">
        <v>5</v>
      </c>
      <c r="D1274" s="41" t="str">
        <v>RL</v>
      </c>
      <c r="E1274" s="117" t="str">
        <f t="shared" si="0"/>
        <v>RL</v>
      </c>
      <c r="F1274" s="41" t="str">
        <v/>
      </c>
      <c r="G1274" s="41" t="str">
        <v/>
      </c>
      <c r="H1274" s="117">
        <f t="shared" si="1"/>
        <v>0</v>
      </c>
      <c r="I1274" s="117">
        <f t="shared" si="2"/>
        <v>23</v>
      </c>
      <c r="J1274" s="117">
        <f t="shared" si="3"/>
        <v>23.01</v>
      </c>
      <c r="K1274" s="117" t="str">
        <f t="shared" si="4"/>
        <v>BR</v>
      </c>
      <c r="L1274" s="42" t="str">
        <v>BR2301</v>
      </c>
      <c r="M1274" s="121" t="str">
        <v/>
      </c>
      <c r="N1274" s="121" t="str">
        <v/>
      </c>
      <c r="O1274" s="121" t="str">
        <v/>
      </c>
      <c r="P1274" s="121" t="str">
        <v/>
      </c>
      <c r="Q1274" s="121" t="str">
        <v/>
      </c>
      <c r="R1274" s="121" t="str">
        <v/>
      </c>
      <c r="S1274" s="121" t="str">
        <v>Product Total Sales Price (incl.)</v>
      </c>
      <c r="T1274" s="119" t="str">
        <f>IF($C1274&lt;4,IF($C1274=3,T1275,IF($C1274=2,T$1,"")),Q1274&amp;R1274&amp;IF(LEN(S1274)=0,"",Preferences!$C$2&amp;S1274)&amp;IF(J1275=J1274,IF(LEN(R1274&amp;S1274)=0,"","
")&amp;T1275,""))</f>
        <v xml:space="preserve">	• Product Total Sales Price (incl.)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4" s="122" t="str">
        <v/>
      </c>
      <c r="V1274" s="42"/>
      <c r="W1274" s="42"/>
      <c r="X1274" s="42"/>
      <c r="Y1274" s="42"/>
      <c r="Z1274" s="42"/>
      <c r="AA1274" s="42"/>
      <c r="AB1274" s="42"/>
    </row>
    <row r="1275" spans="1:28" x14ac:dyDescent="0.25">
      <c r="A1275" s="42" t="str">
        <v>1.23.1.5</v>
      </c>
      <c r="B1275" s="121" t="str">
        <v>Automatically submit the supplier order to the supplier for fulfilment.</v>
      </c>
      <c r="C1275" s="41">
        <v>4</v>
      </c>
      <c r="D1275" s="41" t="str">
        <v>RD</v>
      </c>
      <c r="E1275" s="117" t="str">
        <f t="shared" si="0"/>
        <v>RD</v>
      </c>
      <c r="F1275" s="41" t="str">
        <v/>
      </c>
      <c r="G1275" s="41" t="str">
        <v/>
      </c>
      <c r="H1275" s="117">
        <f t="shared" si="1"/>
        <v>0</v>
      </c>
      <c r="I1275" s="117">
        <f t="shared" si="2"/>
        <v>23</v>
      </c>
      <c r="J1275" s="117">
        <f t="shared" si="3"/>
        <v>23.01</v>
      </c>
      <c r="K1275" s="117" t="str">
        <f t="shared" si="4"/>
        <v>BR</v>
      </c>
      <c r="L1275" s="42" t="str">
        <v>BR2301</v>
      </c>
      <c r="M1275" s="121" t="str">
        <v/>
      </c>
      <c r="N1275" s="121" t="str">
        <v/>
      </c>
      <c r="O1275" s="121" t="str">
        <v/>
      </c>
      <c r="P1275" s="121" t="str">
        <v/>
      </c>
      <c r="Q1275" s="121" t="str">
        <v xml:space="preserve"> 5. </v>
      </c>
      <c r="R1275" s="121" t="str">
        <v>Automatically submit the supplier order to the supplier for fulfilment.</v>
      </c>
      <c r="S1275" s="121" t="str">
        <v/>
      </c>
      <c r="T1275" s="119" t="str">
        <f>IF($C1275&lt;4,IF($C1275=3,T1276,IF($C1275=2,T$1,"")),Q1275&amp;R1275&amp;IF(LEN(S1275)=0,"",Preferences!$C$2&amp;S1275)&amp;IF(J1276=J1275,IF(LEN(R1275&amp;S1275)=0,"","
")&amp;T1276,""))</f>
        <v xml:space="preserve"> 5. Automatically submit the supplier order to the supplier for fulfilment.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5" s="122" t="str">
        <v/>
      </c>
      <c r="V1275" s="42"/>
      <c r="W1275" s="42"/>
      <c r="X1275" s="42"/>
      <c r="Y1275" s="42"/>
      <c r="Z1275" s="42"/>
      <c r="AA1275" s="42"/>
      <c r="AB1275" s="42"/>
    </row>
    <row r="1276" spans="1:28" x14ac:dyDescent="0.25">
      <c r="A1276" s="42" t="str">
        <v>1.23.1.5.1</v>
      </c>
      <c r="B1276" s="121" t="str">
        <v>The order must be submitted electronically to the relevant supplier system.</v>
      </c>
      <c r="C1276" s="41">
        <v>5</v>
      </c>
      <c r="D1276" s="41" t="str">
        <v>RL</v>
      </c>
      <c r="E1276" s="117" t="str">
        <f t="shared" si="0"/>
        <v>RL</v>
      </c>
      <c r="F1276" s="41" t="str">
        <v/>
      </c>
      <c r="G1276" s="41" t="str">
        <v/>
      </c>
      <c r="H1276" s="117">
        <f t="shared" si="1"/>
        <v>0</v>
      </c>
      <c r="I1276" s="117">
        <f t="shared" si="2"/>
        <v>23</v>
      </c>
      <c r="J1276" s="117">
        <f t="shared" si="3"/>
        <v>23.01</v>
      </c>
      <c r="K1276" s="117" t="str">
        <f t="shared" si="4"/>
        <v>BR</v>
      </c>
      <c r="L1276" s="42" t="str">
        <v>BR2301</v>
      </c>
      <c r="M1276" s="121" t="str">
        <v/>
      </c>
      <c r="N1276" s="121" t="str">
        <v/>
      </c>
      <c r="O1276" s="121" t="str">
        <v/>
      </c>
      <c r="P1276" s="121" t="str">
        <v/>
      </c>
      <c r="Q1276" s="121" t="str">
        <v/>
      </c>
      <c r="R1276" s="121" t="str">
        <v/>
      </c>
      <c r="S1276" s="121" t="str">
        <v>The order must be submitted electronically to the relevant supplier system.</v>
      </c>
      <c r="T1276" s="119" t="str">
        <f>IF($C1276&lt;4,IF($C1276=3,T1277,IF($C1276=2,T$1,"")),Q1276&amp;R1276&amp;IF(LEN(S1276)=0,"",Preferences!$C$2&amp;S1276)&amp;IF(J1277=J1276,IF(LEN(R1276&amp;S1276)=0,"","
")&amp;T1277,""))</f>
        <v xml:space="preserve">	• The order must be submitted electronically to the relevant supplier system.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6" s="122" t="str">
        <v/>
      </c>
      <c r="V1276" s="42"/>
      <c r="W1276" s="42"/>
      <c r="X1276" s="42"/>
      <c r="Y1276" s="42"/>
      <c r="Z1276" s="42"/>
      <c r="AA1276" s="42"/>
      <c r="AB1276" s="42"/>
    </row>
    <row r="1277" spans="1:28" x14ac:dyDescent="0.25">
      <c r="A1277" s="42" t="str">
        <v>1.23.1.6</v>
      </c>
      <c r="B1277" s="121" t="str">
        <v>The receipt acknowledgement of the supplier must include at least the following information:</v>
      </c>
      <c r="C1277" s="41">
        <v>4</v>
      </c>
      <c r="D1277" s="41" t="str">
        <v>RD</v>
      </c>
      <c r="E1277" s="117" t="str">
        <f t="shared" si="0"/>
        <v>RD</v>
      </c>
      <c r="F1277" s="41" t="str">
        <v/>
      </c>
      <c r="G1277" s="41" t="str">
        <v/>
      </c>
      <c r="H1277" s="117">
        <f t="shared" si="1"/>
        <v>0</v>
      </c>
      <c r="I1277" s="117">
        <f t="shared" si="2"/>
        <v>23</v>
      </c>
      <c r="J1277" s="117">
        <f t="shared" si="3"/>
        <v>23.01</v>
      </c>
      <c r="K1277" s="117" t="str">
        <f t="shared" si="4"/>
        <v>BR</v>
      </c>
      <c r="L1277" s="42" t="str">
        <v>BR2301</v>
      </c>
      <c r="M1277" s="121" t="str">
        <v/>
      </c>
      <c r="N1277" s="121" t="str">
        <v/>
      </c>
      <c r="O1277" s="121" t="str">
        <v/>
      </c>
      <c r="P1277" s="121" t="str">
        <v/>
      </c>
      <c r="Q1277" s="121" t="str">
        <v xml:space="preserve"> 6. </v>
      </c>
      <c r="R1277" s="121" t="str">
        <v>The receipt acknowledgement of the supplier must include at least the following information:</v>
      </c>
      <c r="S1277" s="121" t="str">
        <v/>
      </c>
      <c r="T1277" s="119" t="str">
        <f>IF($C1277&lt;4,IF($C1277=3,T1278,IF($C1277=2,T$1,"")),Q1277&amp;R1277&amp;IF(LEN(S1277)=0,"",Preferences!$C$2&amp;S1277)&amp;IF(J1278=J1277,IF(LEN(R1277&amp;S1277)=0,"","
")&amp;T1278,""))</f>
        <v xml:space="preserve"> 6. The receipt acknowledgement of the supplier must include at least the following information: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7" s="122" t="str">
        <v/>
      </c>
      <c r="V1277" s="42"/>
      <c r="W1277" s="42"/>
      <c r="X1277" s="42"/>
      <c r="Y1277" s="42"/>
      <c r="Z1277" s="42"/>
      <c r="AA1277" s="42"/>
      <c r="AB1277" s="42"/>
    </row>
    <row r="1278" spans="1:28" x14ac:dyDescent="0.25">
      <c r="A1278" s="42" t="str">
        <v>1.23.1.6.1</v>
      </c>
      <c r="B1278" s="121" t="str">
        <v>Supplier Order Number</v>
      </c>
      <c r="C1278" s="41">
        <v>5</v>
      </c>
      <c r="D1278" s="41" t="str">
        <v>RL</v>
      </c>
      <c r="E1278" s="117" t="str">
        <f t="shared" si="0"/>
        <v>RL</v>
      </c>
      <c r="F1278" s="41" t="str">
        <v/>
      </c>
      <c r="G1278" s="41" t="str">
        <v/>
      </c>
      <c r="H1278" s="117">
        <f t="shared" si="1"/>
        <v>0</v>
      </c>
      <c r="I1278" s="117">
        <f t="shared" si="2"/>
        <v>23</v>
      </c>
      <c r="J1278" s="117">
        <f t="shared" si="3"/>
        <v>23.01</v>
      </c>
      <c r="K1278" s="117" t="str">
        <f t="shared" si="4"/>
        <v>BR</v>
      </c>
      <c r="L1278" s="42" t="str">
        <v>BR2301</v>
      </c>
      <c r="M1278" s="121" t="str">
        <v/>
      </c>
      <c r="N1278" s="121" t="str">
        <v/>
      </c>
      <c r="O1278" s="121" t="str">
        <v/>
      </c>
      <c r="P1278" s="121" t="str">
        <v/>
      </c>
      <c r="Q1278" s="121" t="str">
        <v/>
      </c>
      <c r="R1278" s="121" t="str">
        <v/>
      </c>
      <c r="S1278" s="121" t="str">
        <v>Supplier Order Number</v>
      </c>
      <c r="T1278" s="119" t="str">
        <f>IF($C1278&lt;4,IF($C1278=3,T1279,IF($C1278=2,T$1,"")),Q1278&amp;R1278&amp;IF(LEN(S1278)=0,"",Preferences!$C$2&amp;S1278)&amp;IF(J1279=J1278,IF(LEN(R1278&amp;S1278)=0,"","
")&amp;T1279,""))</f>
        <v xml:space="preserve">	• Supplier Order Number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8" s="122" t="str">
        <v/>
      </c>
      <c r="V1278" s="42"/>
      <c r="W1278" s="42"/>
      <c r="X1278" s="42"/>
      <c r="Y1278" s="42"/>
      <c r="Z1278" s="42"/>
      <c r="AA1278" s="42"/>
      <c r="AB1278" s="42"/>
    </row>
    <row r="1279" spans="1:28" x14ac:dyDescent="0.25">
      <c r="A1279" s="42" t="str">
        <v>1.23.1.6.2</v>
      </c>
      <c r="B1279" s="121" t="str">
        <v>Supplier's Internal Order Number</v>
      </c>
      <c r="C1279" s="41">
        <v>5</v>
      </c>
      <c r="D1279" s="41" t="str">
        <v>RL</v>
      </c>
      <c r="E1279" s="117" t="str">
        <f t="shared" si="0"/>
        <v>RL</v>
      </c>
      <c r="F1279" s="41" t="str">
        <v/>
      </c>
      <c r="G1279" s="41" t="str">
        <v/>
      </c>
      <c r="H1279" s="117">
        <f t="shared" si="1"/>
        <v>0</v>
      </c>
      <c r="I1279" s="117">
        <f t="shared" si="2"/>
        <v>23</v>
      </c>
      <c r="J1279" s="117">
        <f t="shared" si="3"/>
        <v>23.01</v>
      </c>
      <c r="K1279" s="117" t="str">
        <f t="shared" si="4"/>
        <v>BR</v>
      </c>
      <c r="L1279" s="42" t="str">
        <v>BR2301</v>
      </c>
      <c r="M1279" s="121" t="str">
        <v/>
      </c>
      <c r="N1279" s="121" t="str">
        <v/>
      </c>
      <c r="O1279" s="121" t="str">
        <v/>
      </c>
      <c r="P1279" s="121" t="str">
        <v/>
      </c>
      <c r="Q1279" s="121" t="str">
        <v/>
      </c>
      <c r="R1279" s="121" t="str">
        <v/>
      </c>
      <c r="S1279" s="121" t="str">
        <v>Supplier's Internal Order Number</v>
      </c>
      <c r="T1279" s="119" t="str">
        <f>IF($C1279&lt;4,IF($C1279=3,T1280,IF($C1279=2,T$1,"")),Q1279&amp;R1279&amp;IF(LEN(S1279)=0,"",Preferences!$C$2&amp;S1279)&amp;IF(J1280=J1279,IF(LEN(R1279&amp;S1279)=0,"","
")&amp;T1280,""))</f>
        <v xml:space="preserve">	• Supplier's Internal Order Number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79" s="122" t="str">
        <v/>
      </c>
      <c r="V1279" s="42"/>
      <c r="W1279" s="42"/>
      <c r="X1279" s="42"/>
      <c r="Y1279" s="42"/>
      <c r="Z1279" s="42"/>
      <c r="AA1279" s="42"/>
      <c r="AB1279" s="42"/>
    </row>
    <row r="1280" spans="1:28" x14ac:dyDescent="0.25">
      <c r="A1280" s="42" t="str">
        <v>1.23.1.6.3</v>
      </c>
      <c r="B1280" s="121" t="str">
        <v>Any errors or issues related to a product listed in the order.</v>
      </c>
      <c r="C1280" s="41">
        <v>5</v>
      </c>
      <c r="D1280" s="41" t="str">
        <v>RL</v>
      </c>
      <c r="E1280" s="117" t="str">
        <f t="shared" si="0"/>
        <v>RL</v>
      </c>
      <c r="F1280" s="41" t="str">
        <v/>
      </c>
      <c r="G1280" s="41" t="str">
        <v/>
      </c>
      <c r="H1280" s="117">
        <f t="shared" si="1"/>
        <v>0</v>
      </c>
      <c r="I1280" s="117">
        <f t="shared" si="2"/>
        <v>23</v>
      </c>
      <c r="J1280" s="117">
        <f t="shared" si="3"/>
        <v>23.01</v>
      </c>
      <c r="K1280" s="117" t="str">
        <f t="shared" si="4"/>
        <v>BR</v>
      </c>
      <c r="L1280" s="42" t="str">
        <v>BR2301</v>
      </c>
      <c r="M1280" s="121" t="str">
        <v/>
      </c>
      <c r="N1280" s="121" t="str">
        <v/>
      </c>
      <c r="O1280" s="121" t="str">
        <v/>
      </c>
      <c r="P1280" s="121" t="str">
        <v/>
      </c>
      <c r="Q1280" s="121" t="str">
        <v/>
      </c>
      <c r="R1280" s="121" t="str">
        <v/>
      </c>
      <c r="S1280" s="121" t="str">
        <v>Any errors or issues related to a product listed in the order.</v>
      </c>
      <c r="T1280" s="119" t="str">
        <f>IF($C1280&lt;4,IF($C1280=3,T1281,IF($C1280=2,T$1,"")),Q1280&amp;R1280&amp;IF(LEN(S1280)=0,"",Preferences!$C$2&amp;S1280)&amp;IF(J1281=J1280,IF(LEN(R1280&amp;S1280)=0,"","
")&amp;T1281,""))</f>
        <v xml:space="preserve">	• Any errors or issues related to a product listed in the order.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80" s="122" t="str">
        <v/>
      </c>
      <c r="V1280" s="42"/>
      <c r="W1280" s="42"/>
      <c r="X1280" s="42"/>
      <c r="Y1280" s="42"/>
      <c r="Z1280" s="42"/>
      <c r="AA1280" s="42"/>
      <c r="AB1280" s="42"/>
    </row>
    <row r="1281" spans="1:28" x14ac:dyDescent="0.25">
      <c r="A1281" s="42" t="str">
        <v>1.23.1.6.4</v>
      </c>
      <c r="B1281" s="121" t="str">
        <v>The name and address of the distribution centre/depot where the supplier order is to be fulfilled.</v>
      </c>
      <c r="C1281" s="41">
        <v>5</v>
      </c>
      <c r="D1281" s="41" t="str">
        <v>RL</v>
      </c>
      <c r="E1281" s="117" t="str">
        <f t="shared" si="0"/>
        <v>RL</v>
      </c>
      <c r="F1281" s="41" t="str">
        <v/>
      </c>
      <c r="G1281" s="41" t="str">
        <v/>
      </c>
      <c r="H1281" s="117">
        <f t="shared" si="1"/>
        <v>0</v>
      </c>
      <c r="I1281" s="117">
        <f t="shared" si="2"/>
        <v>23</v>
      </c>
      <c r="J1281" s="117">
        <f t="shared" si="3"/>
        <v>23.01</v>
      </c>
      <c r="K1281" s="117" t="str">
        <f t="shared" si="4"/>
        <v>BR</v>
      </c>
      <c r="L1281" s="42" t="str">
        <v>BR2301</v>
      </c>
      <c r="M1281" s="121" t="str">
        <v/>
      </c>
      <c r="N1281" s="121" t="str">
        <v/>
      </c>
      <c r="O1281" s="121" t="str">
        <v/>
      </c>
      <c r="P1281" s="121" t="str">
        <v/>
      </c>
      <c r="Q1281" s="121" t="str">
        <v/>
      </c>
      <c r="R1281" s="121" t="str">
        <v/>
      </c>
      <c r="S1281" s="121" t="str">
        <v>The name and address of the distribution centre/depot where the supplier order is to be fulfilled.</v>
      </c>
      <c r="T1281" s="119" t="str">
        <f>IF($C1281&lt;4,IF($C1281=3,T1282,IF($C1281=2,T$1,"")),Q1281&amp;R1281&amp;IF(LEN(S1281)=0,"",Preferences!$C$2&amp;S1281)&amp;IF(J1282=J1281,IF(LEN(R1281&amp;S1281)=0,"","
")&amp;T1282,""))</f>
        <v xml:space="preserve">	• The name and address of the distribution centre/depot where the supplier order is to be fulfilled.
 7. If any issues are included for products, the supplier order must be assigned for immediate intervention by fulfilment management to address.
	• See the Refund customer order requirements for the corrective action applied if a product cannot be supplied.</v>
      </c>
      <c r="U1281" s="122" t="str">
        <v/>
      </c>
      <c r="V1281" s="42"/>
      <c r="W1281" s="42"/>
      <c r="X1281" s="42"/>
      <c r="Y1281" s="42"/>
      <c r="Z1281" s="42"/>
      <c r="AA1281" s="42"/>
      <c r="AB1281" s="42"/>
    </row>
    <row r="1282" spans="1:28" x14ac:dyDescent="0.25">
      <c r="A1282" s="42" t="str">
        <v>1.23.1.7</v>
      </c>
      <c r="B1282" s="121" t="str">
        <v>If any issues are included for products, the supplier order must be assigned for immediate intervention by fulfilment management to address.</v>
      </c>
      <c r="C1282" s="41">
        <v>4</v>
      </c>
      <c r="D1282" s="41" t="str">
        <v>RD</v>
      </c>
      <c r="E1282" s="117" t="str">
        <f t="shared" si="0"/>
        <v>RD</v>
      </c>
      <c r="F1282" s="41" t="str">
        <v/>
      </c>
      <c r="G1282" s="41" t="str">
        <v/>
      </c>
      <c r="H1282" s="117">
        <f t="shared" si="1"/>
        <v>0</v>
      </c>
      <c r="I1282" s="117">
        <f t="shared" si="2"/>
        <v>23</v>
      </c>
      <c r="J1282" s="117">
        <f t="shared" si="3"/>
        <v>23.01</v>
      </c>
      <c r="K1282" s="117" t="str">
        <f t="shared" si="4"/>
        <v>BR</v>
      </c>
      <c r="L1282" s="42" t="str">
        <v>BR2301</v>
      </c>
      <c r="M1282" s="121" t="str">
        <v/>
      </c>
      <c r="N1282" s="121" t="str">
        <v/>
      </c>
      <c r="O1282" s="121" t="str">
        <v/>
      </c>
      <c r="P1282" s="121" t="str">
        <v/>
      </c>
      <c r="Q1282" s="121" t="str">
        <v xml:space="preserve"> 7. </v>
      </c>
      <c r="R1282" s="121" t="str">
        <v>If any issues are included for products, the supplier order must be assigned for immediate intervention by fulfilment management to address.</v>
      </c>
      <c r="S1282" s="121" t="str">
        <v/>
      </c>
      <c r="T1282" s="119" t="str">
        <f>IF($C1282&lt;4,IF($C1282=3,T1283,IF($C1282=2,T$1,"")),Q1282&amp;R1282&amp;IF(LEN(S1282)=0,"",Preferences!$C$2&amp;S1282)&amp;IF(J1283=J1282,IF(LEN(R1282&amp;S1282)=0,"","
")&amp;T1283,""))</f>
        <v xml:space="preserve"> 7. If any issues are included for products, the supplier order must be assigned for immediate intervention by fulfilment management to address.
	• See the Refund customer order requirements for the corrective action applied if a product cannot be supplied.</v>
      </c>
      <c r="U1282" s="122" t="str">
        <v/>
      </c>
      <c r="V1282" s="42"/>
      <c r="W1282" s="42"/>
      <c r="X1282" s="42"/>
      <c r="Y1282" s="42"/>
      <c r="Z1282" s="42"/>
      <c r="AA1282" s="42"/>
      <c r="AB1282" s="42"/>
    </row>
    <row r="1283" spans="1:28" x14ac:dyDescent="0.25">
      <c r="A1283" s="42" t="str">
        <v>1.23.1.7.1</v>
      </c>
      <c r="B1283" s="121" t="str">
        <v>See the Refund customer order requirements for the corrective action applied if a product cannot be supplied.</v>
      </c>
      <c r="C1283" s="41">
        <v>5</v>
      </c>
      <c r="D1283" s="41" t="str">
        <v>RL</v>
      </c>
      <c r="E1283" s="117" t="str">
        <f t="shared" si="0"/>
        <v>RL</v>
      </c>
      <c r="F1283" s="41" t="str">
        <v/>
      </c>
      <c r="G1283" s="41" t="str">
        <v/>
      </c>
      <c r="H1283" s="117">
        <f t="shared" si="1"/>
        <v>0</v>
      </c>
      <c r="I1283" s="117">
        <f t="shared" si="2"/>
        <v>23</v>
      </c>
      <c r="J1283" s="117">
        <f t="shared" si="3"/>
        <v>23.01</v>
      </c>
      <c r="K1283" s="117" t="str">
        <f t="shared" si="4"/>
        <v>BR</v>
      </c>
      <c r="L1283" s="42" t="str">
        <v>BR2301</v>
      </c>
      <c r="M1283" s="121" t="str">
        <v/>
      </c>
      <c r="N1283" s="121" t="str">
        <v/>
      </c>
      <c r="O1283" s="121" t="str">
        <v/>
      </c>
      <c r="P1283" s="121" t="str">
        <v/>
      </c>
      <c r="Q1283" s="121" t="str">
        <v/>
      </c>
      <c r="R1283" s="121" t="str">
        <v/>
      </c>
      <c r="S1283" s="121" t="str">
        <v>See the Refund customer order requirements for the corrective action applied if a product cannot be supplied.</v>
      </c>
      <c r="T1283" s="119" t="str">
        <f>IF($C1283&lt;4,IF($C1283=3,T1284,IF($C1283=2,T$1,"")),Q1283&amp;R1283&amp;IF(LEN(S1283)=0,"",Preferences!$C$2&amp;S1283)&amp;IF(J1284=J1283,IF(LEN(R1283&amp;S1283)=0,"","
")&amp;T1284,""))</f>
        <v xml:space="preserve">	• See the Refund customer order requirements for the corrective action applied if a product cannot be supplied.</v>
      </c>
      <c r="U1283" s="122" t="str">
        <v/>
      </c>
      <c r="V1283" s="42"/>
      <c r="W1283" s="42"/>
      <c r="X1283" s="42"/>
      <c r="Y1283" s="42"/>
      <c r="Z1283" s="42"/>
      <c r="AA1283" s="42"/>
      <c r="AB1283" s="42"/>
    </row>
    <row r="1284" spans="1:28" x14ac:dyDescent="0.25">
      <c r="A1284" s="42" t="str">
        <v>1.23.2</v>
      </c>
      <c r="B1284" s="121" t="str">
        <v>23.2 Process each received supplier status update on an allocated supplier order</v>
      </c>
      <c r="C1284" s="41">
        <v>3</v>
      </c>
      <c r="D1284" s="41" t="str">
        <v>R</v>
      </c>
      <c r="E1284" s="117" t="str">
        <f t="shared" si="0"/>
        <v>R</v>
      </c>
      <c r="F1284" s="41" t="str">
        <v/>
      </c>
      <c r="G1284" s="41" t="str">
        <v/>
      </c>
      <c r="H1284" s="117">
        <f t="shared" si="1"/>
        <v>0</v>
      </c>
      <c r="I1284" s="117">
        <f t="shared" si="2"/>
        <v>23</v>
      </c>
      <c r="J1284" s="117">
        <f t="shared" si="3"/>
        <v>23.020000000000003</v>
      </c>
      <c r="K1284" s="117" t="str">
        <f t="shared" si="4"/>
        <v>BR</v>
      </c>
      <c r="L1284" s="42" t="str">
        <v>BR2302</v>
      </c>
      <c r="M1284" s="121" t="str">
        <v/>
      </c>
      <c r="N1284" s="121" t="str">
        <v/>
      </c>
      <c r="O1284" s="121" t="str">
        <v>BR2302</v>
      </c>
      <c r="P1284" s="121" t="str">
        <v>Process each received supplier status update on an allocated supplier order</v>
      </c>
      <c r="Q1284" s="121" t="str">
        <v/>
      </c>
      <c r="R1284" s="121" t="str">
        <v/>
      </c>
      <c r="S1284" s="121" t="str">
        <v/>
      </c>
      <c r="T1284" s="119" t="str">
        <f>IF($C1284&lt;4,IF($C1284=3,T1285,IF($C1284=2,T$1,"")),Q1284&amp;R1284&amp;IF(LEN(S1284)=0,"",Preferences!$C$2&amp;S1284)&amp;IF(J1285=J1284,IF(LEN(R1284&amp;S1284)=0,"","
")&amp;T1285,""))</f>
        <v xml:space="preserve"> 1. Once the order has been processed, the supplier must automatically acknowledge the order, to include the following:
	• For each product listed, confirmation of the quantity to be fulfilled.
 2. Any status update for a supplier order from a supplier must include at least the following:
	• Business reference number
	• Supplier reference number
	• Order status
	• Order status message
 3. Also see the following sections:
	• Product and Service Suppliers - the B2C Co suppliers provide up-to-date product and service details requirements
	• B2C Co Parcel Packing and Dispatch</v>
      </c>
      <c r="U1284" s="122" t="str">
        <v/>
      </c>
      <c r="V1284" s="42"/>
      <c r="W1284" s="42"/>
      <c r="X1284" s="42"/>
      <c r="Y1284" s="42"/>
      <c r="Z1284" s="42"/>
      <c r="AA1284" s="42"/>
      <c r="AB1284" s="42"/>
    </row>
    <row r="1285" spans="1:28" x14ac:dyDescent="0.25">
      <c r="A1285" s="42" t="str">
        <v>1.23.2.1</v>
      </c>
      <c r="B1285" s="121" t="str">
        <v>Once the order has been processed, the supplier must automatically acknowledge the order, to include the following:</v>
      </c>
      <c r="C1285" s="41">
        <v>4</v>
      </c>
      <c r="D1285" s="41" t="str">
        <v>RD</v>
      </c>
      <c r="E1285" s="117" t="str">
        <f t="shared" si="0"/>
        <v>RD</v>
      </c>
      <c r="F1285" s="41" t="str">
        <v/>
      </c>
      <c r="G1285" s="41" t="str">
        <v/>
      </c>
      <c r="H1285" s="117">
        <f t="shared" si="1"/>
        <v>0</v>
      </c>
      <c r="I1285" s="117">
        <f t="shared" si="2"/>
        <v>23</v>
      </c>
      <c r="J1285" s="117">
        <f t="shared" si="3"/>
        <v>23.020000000000003</v>
      </c>
      <c r="K1285" s="117" t="str">
        <f t="shared" si="4"/>
        <v>BR</v>
      </c>
      <c r="L1285" s="42" t="str">
        <v>BR2302</v>
      </c>
      <c r="M1285" s="121" t="str">
        <v/>
      </c>
      <c r="N1285" s="121" t="str">
        <v/>
      </c>
      <c r="O1285" s="121" t="str">
        <v/>
      </c>
      <c r="P1285" s="121" t="str">
        <v/>
      </c>
      <c r="Q1285" s="121" t="str">
        <v xml:space="preserve"> 1. </v>
      </c>
      <c r="R1285" s="121" t="str">
        <v>Once the order has been processed, the supplier must automatically acknowledge the order, to include the following:</v>
      </c>
      <c r="S1285" s="121" t="str">
        <v/>
      </c>
      <c r="T1285" s="119" t="str">
        <f>IF($C1285&lt;4,IF($C1285=3,T1286,IF($C1285=2,T$1,"")),Q1285&amp;R1285&amp;IF(LEN(S1285)=0,"",Preferences!$C$2&amp;S1285)&amp;IF(J1286=J1285,IF(LEN(R1285&amp;S1285)=0,"","
")&amp;T1286,""))</f>
        <v xml:space="preserve"> 1. Once the order has been processed, the supplier must automatically acknowledge the order, to include the following:
	• For each product listed, confirmation of the quantity to be fulfilled.
 2. Any status update for a supplier order from a supplier must include at least the following:
	• Business reference number
	• Supplier reference number
	• Order status
	• Order status message
 3. Also see the following sections:
	• Product and Service Suppliers - the B2C Co suppliers provide up-to-date product and service details requirements
	• B2C Co Parcel Packing and Dispatch</v>
      </c>
      <c r="U1285" s="122" t="str">
        <v/>
      </c>
      <c r="V1285" s="42"/>
      <c r="W1285" s="42"/>
      <c r="X1285" s="42"/>
      <c r="Y1285" s="42"/>
      <c r="Z1285" s="42"/>
      <c r="AA1285" s="42"/>
      <c r="AB1285" s="42"/>
    </row>
    <row r="1286" spans="1:28" x14ac:dyDescent="0.25">
      <c r="A1286" s="42" t="str">
        <v>1.23.2.1.1</v>
      </c>
      <c r="B1286" s="121" t="str">
        <v>For each product listed, confirmation of the quantity to be fulfilled.</v>
      </c>
      <c r="C1286" s="41">
        <v>5</v>
      </c>
      <c r="D1286" s="41" t="str">
        <v>RL</v>
      </c>
      <c r="E1286" s="117" t="str">
        <f t="shared" si="0"/>
        <v>RL</v>
      </c>
      <c r="F1286" s="41" t="str">
        <v/>
      </c>
      <c r="G1286" s="41" t="str">
        <v/>
      </c>
      <c r="H1286" s="117">
        <f t="shared" si="1"/>
        <v>0</v>
      </c>
      <c r="I1286" s="117">
        <f t="shared" si="2"/>
        <v>23</v>
      </c>
      <c r="J1286" s="117">
        <f t="shared" si="3"/>
        <v>23.020000000000003</v>
      </c>
      <c r="K1286" s="117" t="str">
        <f t="shared" si="4"/>
        <v>BR</v>
      </c>
      <c r="L1286" s="42" t="str">
        <v>BR2302</v>
      </c>
      <c r="M1286" s="121" t="str">
        <v/>
      </c>
      <c r="N1286" s="121" t="str">
        <v/>
      </c>
      <c r="O1286" s="121" t="str">
        <v/>
      </c>
      <c r="P1286" s="121" t="str">
        <v/>
      </c>
      <c r="Q1286" s="121" t="str">
        <v/>
      </c>
      <c r="R1286" s="121" t="str">
        <v/>
      </c>
      <c r="S1286" s="121" t="str">
        <v>For each product listed, confirmation of the quantity to be fulfilled.</v>
      </c>
      <c r="T1286" s="119" t="str">
        <f>IF($C1286&lt;4,IF($C1286=3,T1287,IF($C1286=2,T$1,"")),Q1286&amp;R1286&amp;IF(LEN(S1286)=0,"",Preferences!$C$2&amp;S1286)&amp;IF(J1287=J1286,IF(LEN(R1286&amp;S1286)=0,"","
")&amp;T1287,""))</f>
        <v xml:space="preserve">	• For each product listed, confirmation of the quantity to be fulfilled.
 2. Any status update for a supplier order from a supplier must include at least the following:
	• Business reference number
	• Supplier reference number
	• Order status
	• Order status message
 3. Also see the following sections:
	• Product and Service Suppliers - the B2C Co suppliers provide up-to-date product and service details requirements
	• B2C Co Parcel Packing and Dispatch</v>
      </c>
      <c r="U1286" s="122" t="str">
        <v/>
      </c>
      <c r="V1286" s="42"/>
      <c r="W1286" s="42"/>
      <c r="X1286" s="42"/>
      <c r="Y1286" s="42"/>
      <c r="Z1286" s="42"/>
      <c r="AA1286" s="42"/>
      <c r="AB1286" s="42"/>
    </row>
    <row r="1287" spans="1:28" x14ac:dyDescent="0.25">
      <c r="A1287" s="42" t="str">
        <v>1.23.2.2</v>
      </c>
      <c r="B1287" s="121" t="str">
        <v>Any status update for a supplier order from a supplier must include at least the following:</v>
      </c>
      <c r="C1287" s="41">
        <v>4</v>
      </c>
      <c r="D1287" s="41" t="str">
        <v>RD</v>
      </c>
      <c r="E1287" s="117" t="str">
        <f t="shared" si="0"/>
        <v>RD</v>
      </c>
      <c r="F1287" s="41" t="str">
        <v/>
      </c>
      <c r="G1287" s="41" t="str">
        <v/>
      </c>
      <c r="H1287" s="117">
        <f t="shared" si="1"/>
        <v>0</v>
      </c>
      <c r="I1287" s="117">
        <f t="shared" si="2"/>
        <v>23</v>
      </c>
      <c r="J1287" s="117">
        <f t="shared" si="3"/>
        <v>23.020000000000003</v>
      </c>
      <c r="K1287" s="117" t="str">
        <f t="shared" si="4"/>
        <v>BR</v>
      </c>
      <c r="L1287" s="42" t="str">
        <v>BR2302</v>
      </c>
      <c r="M1287" s="121" t="str">
        <v/>
      </c>
      <c r="N1287" s="121" t="str">
        <v/>
      </c>
      <c r="O1287" s="121" t="str">
        <v/>
      </c>
      <c r="P1287" s="121" t="str">
        <v/>
      </c>
      <c r="Q1287" s="121" t="str">
        <v xml:space="preserve"> 2. </v>
      </c>
      <c r="R1287" s="121" t="str">
        <v>Any status update for a supplier order from a supplier must include at least the following:</v>
      </c>
      <c r="S1287" s="121" t="str">
        <v/>
      </c>
      <c r="T1287" s="119" t="str">
        <f>IF($C1287&lt;4,IF($C1287=3,T1288,IF($C1287=2,T$1,"")),Q1287&amp;R1287&amp;IF(LEN(S1287)=0,"",Preferences!$C$2&amp;S1287)&amp;IF(J1288=J1287,IF(LEN(R1287&amp;S1287)=0,"","
")&amp;T1288,""))</f>
        <v xml:space="preserve"> 2. Any status update for a supplier order from a supplier must include at least the following:
	• Business reference number
	• Supplier reference number
	• Order status
	• Order status message
 3. Also see the following sections:
	• Product and Service Suppliers - the B2C Co suppliers provide up-to-date product and service details requirements
	• B2C Co Parcel Packing and Dispatch</v>
      </c>
      <c r="U1287" s="122" t="str">
        <v/>
      </c>
      <c r="V1287" s="42"/>
      <c r="W1287" s="42"/>
      <c r="X1287" s="42"/>
      <c r="Y1287" s="42"/>
      <c r="Z1287" s="42"/>
      <c r="AA1287" s="42"/>
      <c r="AB1287" s="42"/>
    </row>
    <row r="1288" spans="1:28" x14ac:dyDescent="0.25">
      <c r="A1288" s="42" t="str">
        <v>1.23.2.2.1</v>
      </c>
      <c r="B1288" s="121" t="str">
        <v>Business reference number</v>
      </c>
      <c r="C1288" s="41">
        <v>5</v>
      </c>
      <c r="D1288" s="41" t="str">
        <v>RL</v>
      </c>
      <c r="E1288" s="117" t="str">
        <f t="shared" si="0"/>
        <v>RL</v>
      </c>
      <c r="F1288" s="41" t="str">
        <v/>
      </c>
      <c r="G1288" s="41" t="str">
        <v/>
      </c>
      <c r="H1288" s="117">
        <f t="shared" si="1"/>
        <v>0</v>
      </c>
      <c r="I1288" s="117">
        <f t="shared" si="2"/>
        <v>23</v>
      </c>
      <c r="J1288" s="117">
        <f t="shared" si="3"/>
        <v>23.020000000000003</v>
      </c>
      <c r="K1288" s="117" t="str">
        <f t="shared" si="4"/>
        <v>BR</v>
      </c>
      <c r="L1288" s="42" t="str">
        <v>BR2302</v>
      </c>
      <c r="M1288" s="121" t="str">
        <v/>
      </c>
      <c r="N1288" s="121" t="str">
        <v/>
      </c>
      <c r="O1288" s="121" t="str">
        <v/>
      </c>
      <c r="P1288" s="121" t="str">
        <v/>
      </c>
      <c r="Q1288" s="121" t="str">
        <v/>
      </c>
      <c r="R1288" s="121" t="str">
        <v/>
      </c>
      <c r="S1288" s="121" t="str">
        <v>Business reference number</v>
      </c>
      <c r="T1288" s="119" t="str">
        <f>IF($C1288&lt;4,IF($C1288=3,T1289,IF($C1288=2,T$1,"")),Q1288&amp;R1288&amp;IF(LEN(S1288)=0,"",Preferences!$C$2&amp;S1288)&amp;IF(J1289=J1288,IF(LEN(R1288&amp;S1288)=0,"","
")&amp;T1289,""))</f>
        <v xml:space="preserve">	• Business reference number
	• Supplier reference number
	• Order status
	• Order status message
 3. Also see the following sections:
	• Product and Service Suppliers - the B2C Co suppliers provide up-to-date product and service details requirements
	• B2C Co Parcel Packing and Dispatch</v>
      </c>
      <c r="U1288" s="122" t="str">
        <v/>
      </c>
      <c r="V1288" s="42"/>
      <c r="W1288" s="42"/>
      <c r="X1288" s="42"/>
      <c r="Y1288" s="42"/>
      <c r="Z1288" s="42"/>
      <c r="AA1288" s="42"/>
      <c r="AB1288" s="42"/>
    </row>
    <row r="1289" spans="1:28" x14ac:dyDescent="0.25">
      <c r="A1289" s="42" t="str">
        <v>1.23.2.2.2</v>
      </c>
      <c r="B1289" s="121" t="str">
        <v>Supplier reference number</v>
      </c>
      <c r="C1289" s="41">
        <v>5</v>
      </c>
      <c r="D1289" s="41" t="str">
        <v>RL</v>
      </c>
      <c r="E1289" s="117" t="str">
        <f t="shared" si="0"/>
        <v>RL</v>
      </c>
      <c r="F1289" s="41" t="str">
        <v/>
      </c>
      <c r="G1289" s="41" t="str">
        <v/>
      </c>
      <c r="H1289" s="117">
        <f t="shared" si="1"/>
        <v>0</v>
      </c>
      <c r="I1289" s="117">
        <f t="shared" si="2"/>
        <v>23</v>
      </c>
      <c r="J1289" s="117">
        <f t="shared" si="3"/>
        <v>23.020000000000003</v>
      </c>
      <c r="K1289" s="117" t="str">
        <f t="shared" si="4"/>
        <v>BR</v>
      </c>
      <c r="L1289" s="42" t="str">
        <v>BR2302</v>
      </c>
      <c r="M1289" s="121" t="str">
        <v/>
      </c>
      <c r="N1289" s="121" t="str">
        <v/>
      </c>
      <c r="O1289" s="121" t="str">
        <v/>
      </c>
      <c r="P1289" s="121" t="str">
        <v/>
      </c>
      <c r="Q1289" s="121" t="str">
        <v/>
      </c>
      <c r="R1289" s="121" t="str">
        <v/>
      </c>
      <c r="S1289" s="121" t="str">
        <v>Supplier reference number</v>
      </c>
      <c r="T1289" s="119" t="str">
        <f>IF($C1289&lt;4,IF($C1289=3,T1290,IF($C1289=2,T$1,"")),Q1289&amp;R1289&amp;IF(LEN(S1289)=0,"",Preferences!$C$2&amp;S1289)&amp;IF(J1290=J1289,IF(LEN(R1289&amp;S1289)=0,"","
")&amp;T1290,""))</f>
        <v xml:space="preserve">	• Supplier reference number
	• Order status
	• Order status message
 3. Also see the following sections:
	• Product and Service Suppliers - the B2C Co suppliers provide up-to-date product and service details requirements
	• B2C Co Parcel Packing and Dispatch</v>
      </c>
      <c r="U1289" s="122" t="str">
        <v/>
      </c>
      <c r="V1289" s="42"/>
      <c r="W1289" s="42"/>
      <c r="X1289" s="42"/>
      <c r="Y1289" s="42"/>
      <c r="Z1289" s="42"/>
      <c r="AA1289" s="42"/>
      <c r="AB1289" s="42"/>
    </row>
    <row r="1290" spans="1:28" x14ac:dyDescent="0.25">
      <c r="A1290" s="42" t="str">
        <v>1.23.2.2.3</v>
      </c>
      <c r="B1290" s="121" t="str">
        <v>Order status</v>
      </c>
      <c r="C1290" s="41">
        <v>5</v>
      </c>
      <c r="D1290" s="41" t="str">
        <v>RL</v>
      </c>
      <c r="E1290" s="117" t="str">
        <f t="shared" si="0"/>
        <v>RL</v>
      </c>
      <c r="F1290" s="41" t="str">
        <v/>
      </c>
      <c r="G1290" s="41" t="str">
        <v/>
      </c>
      <c r="H1290" s="117">
        <f t="shared" si="1"/>
        <v>0</v>
      </c>
      <c r="I1290" s="117">
        <f t="shared" si="2"/>
        <v>23</v>
      </c>
      <c r="J1290" s="117">
        <f t="shared" si="3"/>
        <v>23.020000000000003</v>
      </c>
      <c r="K1290" s="117" t="str">
        <f t="shared" si="4"/>
        <v>BR</v>
      </c>
      <c r="L1290" s="42" t="str">
        <v>BR2302</v>
      </c>
      <c r="M1290" s="121" t="str">
        <v/>
      </c>
      <c r="N1290" s="121" t="str">
        <v/>
      </c>
      <c r="O1290" s="121" t="str">
        <v/>
      </c>
      <c r="P1290" s="121" t="str">
        <v/>
      </c>
      <c r="Q1290" s="121" t="str">
        <v/>
      </c>
      <c r="R1290" s="121" t="str">
        <v/>
      </c>
      <c r="S1290" s="121" t="str">
        <v>Order status</v>
      </c>
      <c r="T1290" s="119" t="str">
        <f>IF($C1290&lt;4,IF($C1290=3,T1291,IF($C1290=2,T$1,"")),Q1290&amp;R1290&amp;IF(LEN(S1290)=0,"",Preferences!$C$2&amp;S1290)&amp;IF(J1291=J1290,IF(LEN(R1290&amp;S1290)=0,"","
")&amp;T1291,""))</f>
        <v xml:space="preserve">	• Order status
	• Order status message
 3. Also see the following sections:
	• Product and Service Suppliers - the B2C Co suppliers provide up-to-date product and service details requirements
	• B2C Co Parcel Packing and Dispatch</v>
      </c>
      <c r="U1290" s="122" t="str">
        <v/>
      </c>
      <c r="V1290" s="42"/>
      <c r="W1290" s="42"/>
      <c r="X1290" s="42"/>
      <c r="Y1290" s="42"/>
      <c r="Z1290" s="42"/>
      <c r="AA1290" s="42"/>
      <c r="AB1290" s="42"/>
    </row>
    <row r="1291" spans="1:28" x14ac:dyDescent="0.25">
      <c r="A1291" s="42" t="str">
        <v>1.23.2.2.4</v>
      </c>
      <c r="B1291" s="121" t="str">
        <v>Order status message</v>
      </c>
      <c r="C1291" s="41">
        <v>5</v>
      </c>
      <c r="D1291" s="41" t="str">
        <v>RL</v>
      </c>
      <c r="E1291" s="117" t="str">
        <f t="shared" si="0"/>
        <v>RL</v>
      </c>
      <c r="F1291" s="41" t="str">
        <v/>
      </c>
      <c r="G1291" s="41" t="str">
        <v/>
      </c>
      <c r="H1291" s="117">
        <f t="shared" si="1"/>
        <v>0</v>
      </c>
      <c r="I1291" s="117">
        <f t="shared" si="2"/>
        <v>23</v>
      </c>
      <c r="J1291" s="117">
        <f t="shared" si="3"/>
        <v>23.020000000000003</v>
      </c>
      <c r="K1291" s="117" t="str">
        <f t="shared" si="4"/>
        <v>BR</v>
      </c>
      <c r="L1291" s="42" t="str">
        <v>BR2302</v>
      </c>
      <c r="M1291" s="121" t="str">
        <v/>
      </c>
      <c r="N1291" s="121" t="str">
        <v/>
      </c>
      <c r="O1291" s="121" t="str">
        <v/>
      </c>
      <c r="P1291" s="121" t="str">
        <v/>
      </c>
      <c r="Q1291" s="121" t="str">
        <v/>
      </c>
      <c r="R1291" s="121" t="str">
        <v/>
      </c>
      <c r="S1291" s="121" t="str">
        <v>Order status message</v>
      </c>
      <c r="T1291" s="119" t="str">
        <f>IF($C1291&lt;4,IF($C1291=3,T1292,IF($C1291=2,T$1,"")),Q1291&amp;R1291&amp;IF(LEN(S1291)=0,"",Preferences!$C$2&amp;S1291)&amp;IF(J1292=J1291,IF(LEN(R1291&amp;S1291)=0,"","
")&amp;T1292,""))</f>
        <v xml:space="preserve">	• Order status message
 3. Also see the following sections:
	• Product and Service Suppliers - the B2C Co suppliers provide up-to-date product and service details requirements
	• B2C Co Parcel Packing and Dispatch</v>
      </c>
      <c r="U1291" s="122" t="str">
        <v/>
      </c>
      <c r="V1291" s="42"/>
      <c r="W1291" s="42"/>
      <c r="X1291" s="42"/>
      <c r="Y1291" s="42"/>
      <c r="Z1291" s="42"/>
      <c r="AA1291" s="42"/>
      <c r="AB1291" s="42"/>
    </row>
    <row r="1292" spans="1:28" x14ac:dyDescent="0.25">
      <c r="A1292" s="42" t="str">
        <v>1.23.2.3</v>
      </c>
      <c r="B1292" s="121" t="str">
        <v>Also see the following sections:</v>
      </c>
      <c r="C1292" s="41">
        <v>4</v>
      </c>
      <c r="D1292" s="41" t="str">
        <v>RD</v>
      </c>
      <c r="E1292" s="117" t="str">
        <f t="shared" si="0"/>
        <v>RD</v>
      </c>
      <c r="F1292" s="41" t="str">
        <v/>
      </c>
      <c r="G1292" s="41" t="str">
        <v/>
      </c>
      <c r="H1292" s="117">
        <f t="shared" si="1"/>
        <v>0</v>
      </c>
      <c r="I1292" s="117">
        <f t="shared" si="2"/>
        <v>23</v>
      </c>
      <c r="J1292" s="117">
        <f t="shared" si="3"/>
        <v>23.020000000000003</v>
      </c>
      <c r="K1292" s="117" t="str">
        <f t="shared" si="4"/>
        <v>BR</v>
      </c>
      <c r="L1292" s="42" t="str">
        <v>BR2302</v>
      </c>
      <c r="M1292" s="121" t="str">
        <v/>
      </c>
      <c r="N1292" s="121" t="str">
        <v/>
      </c>
      <c r="O1292" s="121" t="str">
        <v/>
      </c>
      <c r="P1292" s="121" t="str">
        <v/>
      </c>
      <c r="Q1292" s="121" t="str">
        <v xml:space="preserve"> 3. </v>
      </c>
      <c r="R1292" s="121" t="str">
        <v>Also see the following sections:</v>
      </c>
      <c r="S1292" s="121" t="str">
        <v/>
      </c>
      <c r="T1292" s="119" t="str">
        <f>IF($C1292&lt;4,IF($C1292=3,T1293,IF($C1292=2,T$1,"")),Q1292&amp;R1292&amp;IF(LEN(S1292)=0,"",Preferences!$C$2&amp;S1292)&amp;IF(J1293=J1292,IF(LEN(R1292&amp;S1292)=0,"","
")&amp;T1293,""))</f>
        <v xml:space="preserve"> 3. Also see the following sections:
	• Product and Service Suppliers - the B2C Co suppliers provide up-to-date product and service details requirements
	• B2C Co Parcel Packing and Dispatch</v>
      </c>
      <c r="U1292" s="122" t="str">
        <v/>
      </c>
      <c r="V1292" s="42"/>
      <c r="W1292" s="42"/>
      <c r="X1292" s="42"/>
      <c r="Y1292" s="42"/>
      <c r="Z1292" s="42"/>
      <c r="AA1292" s="42"/>
      <c r="AB1292" s="42"/>
    </row>
    <row r="1293" spans="1:28" x14ac:dyDescent="0.25">
      <c r="A1293" s="42" t="str">
        <v>1.23.2.3.1</v>
      </c>
      <c r="B1293" s="121" t="str">
        <v>Product and Service Suppliers - the B2C Co suppliers provide up-to-date product and service details requirements</v>
      </c>
      <c r="C1293" s="41">
        <v>5</v>
      </c>
      <c r="D1293" s="41" t="str">
        <v>RL</v>
      </c>
      <c r="E1293" s="117" t="str">
        <f t="shared" si="0"/>
        <v>RL</v>
      </c>
      <c r="F1293" s="41" t="str">
        <v/>
      </c>
      <c r="G1293" s="41" t="str">
        <v/>
      </c>
      <c r="H1293" s="117">
        <f t="shared" si="1"/>
        <v>0</v>
      </c>
      <c r="I1293" s="117">
        <f t="shared" si="2"/>
        <v>23</v>
      </c>
      <c r="J1293" s="117">
        <f t="shared" si="3"/>
        <v>23.020000000000003</v>
      </c>
      <c r="K1293" s="117" t="str">
        <f t="shared" si="4"/>
        <v>BR</v>
      </c>
      <c r="L1293" s="42" t="str">
        <v>BR2302</v>
      </c>
      <c r="M1293" s="121" t="str">
        <v/>
      </c>
      <c r="N1293" s="121" t="str">
        <v/>
      </c>
      <c r="O1293" s="121" t="str">
        <v/>
      </c>
      <c r="P1293" s="121" t="str">
        <v/>
      </c>
      <c r="Q1293" s="121" t="str">
        <v/>
      </c>
      <c r="R1293" s="121" t="str">
        <v/>
      </c>
      <c r="S1293" s="121" t="str">
        <v>Product and Service Suppliers - the B2C Co suppliers provide up-to-date product and service details requirements</v>
      </c>
      <c r="T1293" s="119" t="str">
        <f>IF($C1293&lt;4,IF($C1293=3,T1294,IF($C1293=2,T$1,"")),Q1293&amp;R1293&amp;IF(LEN(S1293)=0,"",Preferences!$C$2&amp;S1293)&amp;IF(J1294=J1293,IF(LEN(R1293&amp;S1293)=0,"","
")&amp;T1294,""))</f>
        <v xml:space="preserve">	• Product and Service Suppliers - the B2C Co suppliers provide up-to-date product and service details requirements
	• B2C Co Parcel Packing and Dispatch</v>
      </c>
      <c r="U1293" s="122" t="str">
        <v/>
      </c>
      <c r="V1293" s="42"/>
      <c r="W1293" s="42"/>
      <c r="X1293" s="42"/>
      <c r="Y1293" s="42"/>
      <c r="Z1293" s="42"/>
      <c r="AA1293" s="42"/>
      <c r="AB1293" s="42"/>
    </row>
    <row r="1294" spans="1:28" x14ac:dyDescent="0.25">
      <c r="A1294" s="42" t="str">
        <v>1.23.2.3.2</v>
      </c>
      <c r="B1294" s="121" t="str">
        <v>B2C Co Parcel Packing and Dispatch</v>
      </c>
      <c r="C1294" s="41">
        <v>5</v>
      </c>
      <c r="D1294" s="41" t="str">
        <v>RL</v>
      </c>
      <c r="E1294" s="117" t="str">
        <f t="shared" si="0"/>
        <v>RL</v>
      </c>
      <c r="F1294" s="41" t="str">
        <v/>
      </c>
      <c r="G1294" s="41" t="str">
        <v/>
      </c>
      <c r="H1294" s="117">
        <f t="shared" si="1"/>
        <v>0</v>
      </c>
      <c r="I1294" s="117">
        <f t="shared" si="2"/>
        <v>23</v>
      </c>
      <c r="J1294" s="117">
        <f t="shared" si="3"/>
        <v>23.020000000000003</v>
      </c>
      <c r="K1294" s="117" t="str">
        <f t="shared" si="4"/>
        <v>BR</v>
      </c>
      <c r="L1294" s="42" t="str">
        <v>BR2302</v>
      </c>
      <c r="M1294" s="121" t="str">
        <v/>
      </c>
      <c r="N1294" s="121" t="str">
        <v/>
      </c>
      <c r="O1294" s="121" t="str">
        <v/>
      </c>
      <c r="P1294" s="121" t="str">
        <v/>
      </c>
      <c r="Q1294" s="121" t="str">
        <v/>
      </c>
      <c r="R1294" s="121" t="str">
        <v/>
      </c>
      <c r="S1294" s="121" t="str">
        <v>B2C Co Parcel Packing and Dispatch</v>
      </c>
      <c r="T1294" s="119" t="str">
        <f>IF($C1294&lt;4,IF($C1294=3,T1295,IF($C1294=2,T$1,"")),Q1294&amp;R1294&amp;IF(LEN(S1294)=0,"",Preferences!$C$2&amp;S1294)&amp;IF(J1295=J1294,IF(LEN(R1294&amp;S1294)=0,"","
")&amp;T1295,""))</f>
        <v xml:space="preserve">	• B2C Co Parcel Packing and Dispatch</v>
      </c>
      <c r="U1294" s="122" t="str">
        <v/>
      </c>
      <c r="V1294" s="42"/>
      <c r="W1294" s="42"/>
      <c r="X1294" s="42"/>
      <c r="Y1294" s="42"/>
      <c r="Z1294" s="42"/>
      <c r="AA1294" s="42"/>
      <c r="AB1294" s="42"/>
    </row>
    <row r="1295" spans="1:28" x14ac:dyDescent="0.25">
      <c r="A1295" s="42" t="str">
        <v>1.23.3</v>
      </c>
      <c r="B1295" s="121" t="str">
        <v>23.3 Allocate each packed order to the courier</v>
      </c>
      <c r="C1295" s="41">
        <v>3</v>
      </c>
      <c r="D1295" s="41" t="str">
        <v>R</v>
      </c>
      <c r="E1295" s="117" t="str">
        <f t="shared" si="0"/>
        <v>R</v>
      </c>
      <c r="F1295" s="41" t="str">
        <v/>
      </c>
      <c r="G1295" s="41" t="str">
        <v/>
      </c>
      <c r="H1295" s="117">
        <f t="shared" si="1"/>
        <v>0</v>
      </c>
      <c r="I1295" s="117">
        <f t="shared" si="2"/>
        <v>23</v>
      </c>
      <c r="J1295" s="117">
        <f t="shared" si="3"/>
        <v>23.030000000000005</v>
      </c>
      <c r="K1295" s="117" t="str">
        <f t="shared" si="4"/>
        <v>BR</v>
      </c>
      <c r="L1295" s="42" t="str">
        <v>BR2303</v>
      </c>
      <c r="M1295" s="121" t="str">
        <v/>
      </c>
      <c r="N1295" s="121" t="str">
        <v/>
      </c>
      <c r="O1295" s="121" t="str">
        <v>BR2303</v>
      </c>
      <c r="P1295" s="121" t="str">
        <v>Allocate each packed order to the courier</v>
      </c>
      <c r="Q1295" s="121" t="str">
        <v/>
      </c>
      <c r="R1295" s="121" t="str">
        <v/>
      </c>
      <c r="S1295" s="121" t="str">
        <v/>
      </c>
      <c r="T1295" s="119" t="str">
        <f>IF($C1295&lt;4,IF($C1295=3,T1296,IF($C1295=2,T$1,"")),Q1295&amp;R1295&amp;IF(LEN(S1295)=0,"",Preferences!$C$2&amp;S1295)&amp;IF(J1296=J1295,IF(LEN(R1295&amp;S1295)=0,"","
")&amp;T1296,""))</f>
        <v xml:space="preserve"> 1. On receiving confirmation from a supplier that an order is packed, the courier will be informed to collect it from the supplier.
 2. The waybill number received back from the courier is then submitted with the customer's delivery details to the supplier, in order for them to print and apply the waybill to the packed order.</v>
      </c>
      <c r="U1295" s="122" t="str">
        <v/>
      </c>
      <c r="V1295" s="42"/>
      <c r="W1295" s="42"/>
      <c r="X1295" s="42"/>
      <c r="Y1295" s="42"/>
      <c r="Z1295" s="42"/>
      <c r="AA1295" s="42"/>
      <c r="AB1295" s="42"/>
    </row>
    <row r="1296" spans="1:28" x14ac:dyDescent="0.25">
      <c r="A1296" s="42" t="str">
        <v>1.23.3.1</v>
      </c>
      <c r="B1296" s="121" t="str">
        <v>On receiving confirmation from a supplier that an order is packed, the courier will be informed to collect it from the supplier.</v>
      </c>
      <c r="C1296" s="41">
        <v>4</v>
      </c>
      <c r="D1296" s="41" t="str">
        <v>RD</v>
      </c>
      <c r="E1296" s="117" t="str">
        <f t="shared" si="0"/>
        <v>RD</v>
      </c>
      <c r="F1296" s="41" t="str">
        <v/>
      </c>
      <c r="G1296" s="41" t="str">
        <v/>
      </c>
      <c r="H1296" s="117">
        <f t="shared" si="1"/>
        <v>0</v>
      </c>
      <c r="I1296" s="117">
        <f t="shared" si="2"/>
        <v>23</v>
      </c>
      <c r="J1296" s="117">
        <f t="shared" si="3"/>
        <v>23.030000000000005</v>
      </c>
      <c r="K1296" s="117" t="str">
        <f t="shared" si="4"/>
        <v>BR</v>
      </c>
      <c r="L1296" s="42" t="str">
        <v>BR2303</v>
      </c>
      <c r="M1296" s="121" t="str">
        <v/>
      </c>
      <c r="N1296" s="121" t="str">
        <v/>
      </c>
      <c r="O1296" s="121" t="str">
        <v/>
      </c>
      <c r="P1296" s="121" t="str">
        <v/>
      </c>
      <c r="Q1296" s="121" t="str">
        <v xml:space="preserve"> 1. </v>
      </c>
      <c r="R1296" s="121" t="str">
        <v>On receiving confirmation from a supplier that an order is packed, the courier will be informed to collect it from the supplier.</v>
      </c>
      <c r="S1296" s="121" t="str">
        <v/>
      </c>
      <c r="T1296" s="119" t="str">
        <f>IF($C1296&lt;4,IF($C1296=3,T1297,IF($C1296=2,T$1,"")),Q1296&amp;R1296&amp;IF(LEN(S1296)=0,"",Preferences!$C$2&amp;S1296)&amp;IF(J1297=J1296,IF(LEN(R1296&amp;S1296)=0,"","
")&amp;T1297,""))</f>
        <v xml:space="preserve"> 1. On receiving confirmation from a supplier that an order is packed, the courier will be informed to collect it from the supplier.
 2. The waybill number received back from the courier is then submitted with the customer's delivery details to the supplier, in order for them to print and apply the waybill to the packed order.</v>
      </c>
      <c r="U1296" s="122" t="str">
        <v/>
      </c>
      <c r="V1296" s="42"/>
      <c r="W1296" s="42"/>
      <c r="X1296" s="42"/>
      <c r="Y1296" s="42"/>
      <c r="Z1296" s="42"/>
      <c r="AA1296" s="42"/>
      <c r="AB1296" s="42"/>
    </row>
    <row r="1297" spans="1:28" x14ac:dyDescent="0.25">
      <c r="A1297" s="42" t="str">
        <v>1.23.3.2</v>
      </c>
      <c r="B1297" s="121" t="str">
        <v>The waybill number received back from the courier is then submitted with the customer's delivery details to the supplier, in order for them to print and apply the waybill to the packed order.</v>
      </c>
      <c r="C1297" s="41">
        <v>4</v>
      </c>
      <c r="D1297" s="41" t="str">
        <v>RD</v>
      </c>
      <c r="E1297" s="117" t="str">
        <f t="shared" si="0"/>
        <v>RD</v>
      </c>
      <c r="F1297" s="41" t="str">
        <v/>
      </c>
      <c r="G1297" s="41" t="str">
        <v/>
      </c>
      <c r="H1297" s="117">
        <f t="shared" si="1"/>
        <v>0</v>
      </c>
      <c r="I1297" s="117">
        <f t="shared" si="2"/>
        <v>23</v>
      </c>
      <c r="J1297" s="117">
        <f t="shared" si="3"/>
        <v>23.030000000000005</v>
      </c>
      <c r="K1297" s="117" t="str">
        <f t="shared" si="4"/>
        <v>BR</v>
      </c>
      <c r="L1297" s="42" t="str">
        <v>BR2303</v>
      </c>
      <c r="M1297" s="121" t="str">
        <v/>
      </c>
      <c r="N1297" s="121" t="str">
        <v/>
      </c>
      <c r="O1297" s="121" t="str">
        <v/>
      </c>
      <c r="P1297" s="121" t="str">
        <v/>
      </c>
      <c r="Q1297" s="121" t="str">
        <v xml:space="preserve"> 2. </v>
      </c>
      <c r="R1297" s="121" t="str">
        <v>The waybill number received back from the courier is then submitted with the customer's delivery details to the supplier, in order for them to print and apply the waybill to the packed order.</v>
      </c>
      <c r="S1297" s="121" t="str">
        <v/>
      </c>
      <c r="T1297" s="119" t="str">
        <f>IF($C1297&lt;4,IF($C1297=3,T1298,IF($C1297=2,T$1,"")),Q1297&amp;R1297&amp;IF(LEN(S1297)=0,"",Preferences!$C$2&amp;S1297)&amp;IF(J1298=J1297,IF(LEN(R1297&amp;S1297)=0,"","
")&amp;T1298,""))</f>
        <v xml:space="preserve"> 2. The waybill number received back from the courier is then submitted with the customer's delivery details to the supplier, in order for them to print and apply the waybill to the packed order.</v>
      </c>
      <c r="U1297" s="122" t="str">
        <v/>
      </c>
      <c r="V1297" s="42"/>
      <c r="W1297" s="42"/>
      <c r="X1297" s="42"/>
      <c r="Y1297" s="42"/>
      <c r="Z1297" s="42"/>
      <c r="AA1297" s="42"/>
      <c r="AB1297" s="42"/>
    </row>
    <row r="1298" spans="1:28" x14ac:dyDescent="0.25">
      <c r="A1298" s="42" t="str">
        <v>1.23.4</v>
      </c>
      <c r="B1298" s="121" t="str">
        <v>23.4 Process each courier status update on a supplier order</v>
      </c>
      <c r="C1298" s="41">
        <v>3</v>
      </c>
      <c r="D1298" s="41" t="str">
        <v>R</v>
      </c>
      <c r="E1298" s="117" t="str">
        <f t="shared" si="0"/>
        <v>R</v>
      </c>
      <c r="F1298" s="41" t="str">
        <v/>
      </c>
      <c r="G1298" s="41" t="str">
        <v/>
      </c>
      <c r="H1298" s="117">
        <f t="shared" si="1"/>
        <v>0</v>
      </c>
      <c r="I1298" s="117">
        <f t="shared" si="2"/>
        <v>23</v>
      </c>
      <c r="J1298" s="117">
        <f t="shared" si="3"/>
        <v>23.040000000000006</v>
      </c>
      <c r="K1298" s="117" t="str">
        <f t="shared" si="4"/>
        <v>BR</v>
      </c>
      <c r="L1298" s="42" t="str">
        <v>BR2304</v>
      </c>
      <c r="M1298" s="121" t="str">
        <v/>
      </c>
      <c r="N1298" s="121" t="str">
        <v/>
      </c>
      <c r="O1298" s="121" t="str">
        <v>BR2304</v>
      </c>
      <c r="P1298" s="121" t="str">
        <v>Process each courier status update on a supplier order</v>
      </c>
      <c r="Q1298" s="121" t="str">
        <v/>
      </c>
      <c r="R1298" s="121" t="str">
        <v/>
      </c>
      <c r="S1298" s="121" t="str">
        <v/>
      </c>
      <c r="T1298" s="119" t="str">
        <f>IF($C1298&lt;4,IF($C1298=3,T1299,IF($C1298=2,T$1,"")),Q1298&amp;R1298&amp;IF(LEN(S1298)=0,"",Preferences!$C$2&amp;S1298)&amp;IF(J1299=J1298,IF(LEN(R1298&amp;S1298)=0,"","
")&amp;T1299,""))</f>
        <v xml:space="preserve"> 1. Once the order has been processed for collection, the courier must automatically acknowledge the collection, to include the following:
	• Supplier Order Number
	• Waybill reference number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298" s="122" t="str">
        <v/>
      </c>
      <c r="V1298" s="42"/>
      <c r="W1298" s="42"/>
      <c r="X1298" s="42"/>
      <c r="Y1298" s="42"/>
      <c r="Z1298" s="42"/>
      <c r="AA1298" s="42"/>
      <c r="AB1298" s="42"/>
    </row>
    <row r="1299" spans="1:28" x14ac:dyDescent="0.25">
      <c r="A1299" s="42" t="str">
        <v>1.23.4.1</v>
      </c>
      <c r="B1299" s="121" t="str">
        <v>Once the order has been processed for collection, the courier must automatically acknowledge the collection, to include the following:</v>
      </c>
      <c r="C1299" s="41">
        <v>4</v>
      </c>
      <c r="D1299" s="41" t="str">
        <v>RD</v>
      </c>
      <c r="E1299" s="117" t="str">
        <f t="shared" si="0"/>
        <v>RD</v>
      </c>
      <c r="F1299" s="41" t="str">
        <v/>
      </c>
      <c r="G1299" s="41" t="str">
        <v/>
      </c>
      <c r="H1299" s="117">
        <f t="shared" si="1"/>
        <v>0</v>
      </c>
      <c r="I1299" s="117">
        <f t="shared" si="2"/>
        <v>23</v>
      </c>
      <c r="J1299" s="117">
        <f t="shared" si="3"/>
        <v>23.040000000000006</v>
      </c>
      <c r="K1299" s="117" t="str">
        <f t="shared" si="4"/>
        <v>BR</v>
      </c>
      <c r="L1299" s="42" t="str">
        <v>BR2304</v>
      </c>
      <c r="M1299" s="121" t="str">
        <v/>
      </c>
      <c r="N1299" s="121" t="str">
        <v/>
      </c>
      <c r="O1299" s="121" t="str">
        <v/>
      </c>
      <c r="P1299" s="121" t="str">
        <v/>
      </c>
      <c r="Q1299" s="121" t="str">
        <v xml:space="preserve"> 1. </v>
      </c>
      <c r="R1299" s="121" t="str">
        <v>Once the order has been processed for collection, the courier must automatically acknowledge the collection, to include the following:</v>
      </c>
      <c r="S1299" s="121" t="str">
        <v/>
      </c>
      <c r="T1299" s="119" t="str">
        <f>IF($C1299&lt;4,IF($C1299=3,T1300,IF($C1299=2,T$1,"")),Q1299&amp;R1299&amp;IF(LEN(S1299)=0,"",Preferences!$C$2&amp;S1299)&amp;IF(J1300=J1299,IF(LEN(R1299&amp;S1299)=0,"","
")&amp;T1300,""))</f>
        <v xml:space="preserve"> 1. Once the order has been processed for collection, the courier must automatically acknowledge the collection, to include the following:
	• Supplier Order Number
	• Waybill reference number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299" s="122" t="str">
        <v/>
      </c>
      <c r="V1299" s="42"/>
      <c r="W1299" s="42"/>
      <c r="X1299" s="42"/>
      <c r="Y1299" s="42"/>
      <c r="Z1299" s="42"/>
      <c r="AA1299" s="42"/>
      <c r="AB1299" s="42"/>
    </row>
    <row r="1300" spans="1:28" x14ac:dyDescent="0.25">
      <c r="A1300" s="42" t="str">
        <v>1.23.4.1.1</v>
      </c>
      <c r="B1300" s="121" t="str">
        <v>Supplier Order Number</v>
      </c>
      <c r="C1300" s="41">
        <v>5</v>
      </c>
      <c r="D1300" s="41" t="str">
        <v>RL</v>
      </c>
      <c r="E1300" s="117" t="str">
        <f t="shared" si="0"/>
        <v>RL</v>
      </c>
      <c r="F1300" s="41" t="str">
        <v/>
      </c>
      <c r="G1300" s="41" t="str">
        <v/>
      </c>
      <c r="H1300" s="117">
        <f t="shared" si="1"/>
        <v>0</v>
      </c>
      <c r="I1300" s="117">
        <f t="shared" si="2"/>
        <v>23</v>
      </c>
      <c r="J1300" s="117">
        <f t="shared" si="3"/>
        <v>23.040000000000006</v>
      </c>
      <c r="K1300" s="117" t="str">
        <f t="shared" si="4"/>
        <v>BR</v>
      </c>
      <c r="L1300" s="42" t="str">
        <v>BR2304</v>
      </c>
      <c r="M1300" s="121" t="str">
        <v/>
      </c>
      <c r="N1300" s="121" t="str">
        <v/>
      </c>
      <c r="O1300" s="121" t="str">
        <v/>
      </c>
      <c r="P1300" s="121" t="str">
        <v/>
      </c>
      <c r="Q1300" s="121" t="str">
        <v/>
      </c>
      <c r="R1300" s="121" t="str">
        <v/>
      </c>
      <c r="S1300" s="121" t="str">
        <v>Supplier Order Number</v>
      </c>
      <c r="T1300" s="119" t="str">
        <f>IF($C1300&lt;4,IF($C1300=3,T1301,IF($C1300=2,T$1,"")),Q1300&amp;R1300&amp;IF(LEN(S1300)=0,"",Preferences!$C$2&amp;S1300)&amp;IF(J1301=J1300,IF(LEN(R1300&amp;S1300)=0,"","
")&amp;T1301,""))</f>
        <v xml:space="preserve">	• Supplier Order Number
	• Waybill reference number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0" s="122" t="str">
        <v/>
      </c>
      <c r="V1300" s="42"/>
      <c r="W1300" s="42"/>
      <c r="X1300" s="42"/>
      <c r="Y1300" s="42"/>
      <c r="Z1300" s="42"/>
      <c r="AA1300" s="42"/>
      <c r="AB1300" s="42"/>
    </row>
    <row r="1301" spans="1:28" x14ac:dyDescent="0.25">
      <c r="A1301" s="42" t="str">
        <v>1.23.4.1.2</v>
      </c>
      <c r="B1301" s="121" t="str">
        <v>Waybill reference number</v>
      </c>
      <c r="C1301" s="41">
        <v>5</v>
      </c>
      <c r="D1301" s="41" t="str">
        <v>RL</v>
      </c>
      <c r="E1301" s="117" t="str">
        <f t="shared" si="0"/>
        <v>RL</v>
      </c>
      <c r="F1301" s="41" t="str">
        <v/>
      </c>
      <c r="G1301" s="41" t="str">
        <v/>
      </c>
      <c r="H1301" s="117">
        <f t="shared" si="1"/>
        <v>0</v>
      </c>
      <c r="I1301" s="117">
        <f t="shared" si="2"/>
        <v>23</v>
      </c>
      <c r="J1301" s="117">
        <f t="shared" si="3"/>
        <v>23.040000000000006</v>
      </c>
      <c r="K1301" s="117" t="str">
        <f t="shared" si="4"/>
        <v>BR</v>
      </c>
      <c r="L1301" s="42" t="str">
        <v>BR2304</v>
      </c>
      <c r="M1301" s="121" t="str">
        <v/>
      </c>
      <c r="N1301" s="121" t="str">
        <v/>
      </c>
      <c r="O1301" s="121" t="str">
        <v/>
      </c>
      <c r="P1301" s="121" t="str">
        <v/>
      </c>
      <c r="Q1301" s="121" t="str">
        <v/>
      </c>
      <c r="R1301" s="121" t="str">
        <v/>
      </c>
      <c r="S1301" s="121" t="str">
        <v>Waybill reference number</v>
      </c>
      <c r="T1301" s="119" t="str">
        <f>IF($C1301&lt;4,IF($C1301=3,T1302,IF($C1301=2,T$1,"")),Q1301&amp;R1301&amp;IF(LEN(S1301)=0,"",Preferences!$C$2&amp;S1301)&amp;IF(J1302=J1301,IF(LEN(R1301&amp;S1301)=0,"","
")&amp;T1302,""))</f>
        <v xml:space="preserve">	• Waybill reference number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1" s="122" t="str">
        <v/>
      </c>
      <c r="V1301" s="42"/>
      <c r="W1301" s="42"/>
      <c r="X1301" s="42"/>
      <c r="Y1301" s="42"/>
      <c r="Z1301" s="42"/>
      <c r="AA1301" s="42"/>
      <c r="AB1301" s="42"/>
    </row>
    <row r="1302" spans="1:28" x14ac:dyDescent="0.25">
      <c r="A1302" s="42" t="str">
        <v>1.23.4.2</v>
      </c>
      <c r="B1302" s="121" t="str">
        <v>Any status update for a supplier order from a courier must include at least the following:</v>
      </c>
      <c r="C1302" s="41">
        <v>4</v>
      </c>
      <c r="D1302" s="41" t="str">
        <v>RD</v>
      </c>
      <c r="E1302" s="117" t="str">
        <f t="shared" si="0"/>
        <v>RD</v>
      </c>
      <c r="F1302" s="41" t="str">
        <v/>
      </c>
      <c r="G1302" s="41" t="str">
        <v/>
      </c>
      <c r="H1302" s="117">
        <f t="shared" si="1"/>
        <v>0</v>
      </c>
      <c r="I1302" s="117">
        <f t="shared" si="2"/>
        <v>23</v>
      </c>
      <c r="J1302" s="117">
        <f t="shared" si="3"/>
        <v>23.040000000000006</v>
      </c>
      <c r="K1302" s="117" t="str">
        <f t="shared" si="4"/>
        <v>BR</v>
      </c>
      <c r="L1302" s="42" t="str">
        <v>BR2304</v>
      </c>
      <c r="M1302" s="121" t="str">
        <v/>
      </c>
      <c r="N1302" s="121" t="str">
        <v/>
      </c>
      <c r="O1302" s="121" t="str">
        <v/>
      </c>
      <c r="P1302" s="121" t="str">
        <v/>
      </c>
      <c r="Q1302" s="121" t="str">
        <v xml:space="preserve"> 2. </v>
      </c>
      <c r="R1302" s="121" t="str">
        <v>Any status update for a supplier order from a courier must include at least the following:</v>
      </c>
      <c r="S1302" s="121" t="str">
        <v/>
      </c>
      <c r="T1302" s="119" t="str">
        <f>IF($C1302&lt;4,IF($C1302=3,T1303,IF($C1302=2,T$1,"")),Q1302&amp;R1302&amp;IF(LEN(S1302)=0,"",Preferences!$C$2&amp;S1302)&amp;IF(J1303=J1302,IF(LEN(R1302&amp;S1302)=0,"","
")&amp;T1303,""))</f>
        <v xml:space="preserve"> 2. Any status update for a supplier order from a courier must include at least the following: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2" s="122" t="str">
        <v/>
      </c>
      <c r="V1302" s="42"/>
      <c r="W1302" s="42"/>
      <c r="X1302" s="42"/>
      <c r="Y1302" s="42"/>
      <c r="Z1302" s="42"/>
      <c r="AA1302" s="42"/>
      <c r="AB1302" s="42"/>
    </row>
    <row r="1303" spans="1:28" x14ac:dyDescent="0.25">
      <c r="A1303" s="42" t="str">
        <v>1.23.4.2.1</v>
      </c>
      <c r="B1303" s="121" t="str">
        <v>Supplier Order Number</v>
      </c>
      <c r="C1303" s="41">
        <v>5</v>
      </c>
      <c r="D1303" s="41" t="str">
        <v>RL</v>
      </c>
      <c r="E1303" s="117" t="str">
        <f t="shared" si="0"/>
        <v>RL</v>
      </c>
      <c r="F1303" s="41" t="str">
        <v/>
      </c>
      <c r="G1303" s="41" t="str">
        <v/>
      </c>
      <c r="H1303" s="117">
        <f t="shared" si="1"/>
        <v>0</v>
      </c>
      <c r="I1303" s="117">
        <f t="shared" si="2"/>
        <v>23</v>
      </c>
      <c r="J1303" s="117">
        <f t="shared" si="3"/>
        <v>23.040000000000006</v>
      </c>
      <c r="K1303" s="117" t="str">
        <f t="shared" si="4"/>
        <v>BR</v>
      </c>
      <c r="L1303" s="42" t="str">
        <v>BR2304</v>
      </c>
      <c r="M1303" s="121" t="str">
        <v/>
      </c>
      <c r="N1303" s="121" t="str">
        <v/>
      </c>
      <c r="O1303" s="121" t="str">
        <v/>
      </c>
      <c r="P1303" s="121" t="str">
        <v/>
      </c>
      <c r="Q1303" s="121" t="str">
        <v/>
      </c>
      <c r="R1303" s="121" t="str">
        <v/>
      </c>
      <c r="S1303" s="121" t="str">
        <v>Supplier Order Number</v>
      </c>
      <c r="T1303" s="119" t="str">
        <f>IF($C1303&lt;4,IF($C1303=3,T1304,IF($C1303=2,T$1,"")),Q1303&amp;R1303&amp;IF(LEN(S1303)=0,"",Preferences!$C$2&amp;S1303)&amp;IF(J1304=J1303,IF(LEN(R1303&amp;S1303)=0,"","
")&amp;T1304,""))</f>
        <v xml:space="preserve">	• Supplier Order Number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3" s="122" t="str">
        <v/>
      </c>
      <c r="V1303" s="42"/>
      <c r="W1303" s="42"/>
      <c r="X1303" s="42"/>
      <c r="Y1303" s="42"/>
      <c r="Z1303" s="42"/>
      <c r="AA1303" s="42"/>
      <c r="AB1303" s="42"/>
    </row>
    <row r="1304" spans="1:28" x14ac:dyDescent="0.25">
      <c r="A1304" s="42" t="str">
        <v>1.23.4.2.2</v>
      </c>
      <c r="B1304" s="121" t="str">
        <v>Waybill reference number</v>
      </c>
      <c r="C1304" s="41">
        <v>5</v>
      </c>
      <c r="D1304" s="41" t="str">
        <v>RL</v>
      </c>
      <c r="E1304" s="117" t="str">
        <f t="shared" si="0"/>
        <v>RL</v>
      </c>
      <c r="F1304" s="41" t="str">
        <v/>
      </c>
      <c r="G1304" s="41" t="str">
        <v/>
      </c>
      <c r="H1304" s="117">
        <f t="shared" si="1"/>
        <v>0</v>
      </c>
      <c r="I1304" s="117">
        <f t="shared" si="2"/>
        <v>23</v>
      </c>
      <c r="J1304" s="117">
        <f t="shared" si="3"/>
        <v>23.040000000000006</v>
      </c>
      <c r="K1304" s="117" t="str">
        <f t="shared" si="4"/>
        <v>BR</v>
      </c>
      <c r="L1304" s="42" t="str">
        <v>BR2304</v>
      </c>
      <c r="M1304" s="121" t="str">
        <v/>
      </c>
      <c r="N1304" s="121" t="str">
        <v/>
      </c>
      <c r="O1304" s="121" t="str">
        <v/>
      </c>
      <c r="P1304" s="121" t="str">
        <v/>
      </c>
      <c r="Q1304" s="121" t="str">
        <v/>
      </c>
      <c r="R1304" s="121" t="str">
        <v/>
      </c>
      <c r="S1304" s="121" t="str">
        <v>Waybill reference number</v>
      </c>
      <c r="T1304" s="119" t="str">
        <f>IF($C1304&lt;4,IF($C1304=3,T1305,IF($C1304=2,T$1,"")),Q1304&amp;R1304&amp;IF(LEN(S1304)=0,"",Preferences!$C$2&amp;S1304)&amp;IF(J1305=J1304,IF(LEN(R1304&amp;S1304)=0,"","
")&amp;T1305,""))</f>
        <v xml:space="preserve">	• Waybill reference number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4" s="122" t="str">
        <v/>
      </c>
      <c r="V1304" s="42"/>
      <c r="W1304" s="42"/>
      <c r="X1304" s="42"/>
      <c r="Y1304" s="42"/>
      <c r="Z1304" s="42"/>
      <c r="AA1304" s="42"/>
      <c r="AB1304" s="42"/>
    </row>
    <row r="1305" spans="1:28" x14ac:dyDescent="0.25">
      <c r="A1305" s="42" t="str">
        <v>1.23.4.2.3</v>
      </c>
      <c r="B1305" s="121" t="str">
        <v>Delivery status</v>
      </c>
      <c r="C1305" s="41">
        <v>5</v>
      </c>
      <c r="D1305" s="41" t="str">
        <v>RL</v>
      </c>
      <c r="E1305" s="117" t="str">
        <f t="shared" si="0"/>
        <v>RL</v>
      </c>
      <c r="F1305" s="41" t="str">
        <v/>
      </c>
      <c r="G1305" s="41" t="str">
        <v/>
      </c>
      <c r="H1305" s="117">
        <f t="shared" si="1"/>
        <v>0</v>
      </c>
      <c r="I1305" s="117">
        <f t="shared" si="2"/>
        <v>23</v>
      </c>
      <c r="J1305" s="117">
        <f t="shared" si="3"/>
        <v>23.040000000000006</v>
      </c>
      <c r="K1305" s="117" t="str">
        <f t="shared" si="4"/>
        <v>BR</v>
      </c>
      <c r="L1305" s="42" t="str">
        <v>BR2304</v>
      </c>
      <c r="M1305" s="121" t="str">
        <v/>
      </c>
      <c r="N1305" s="121" t="str">
        <v/>
      </c>
      <c r="O1305" s="121" t="str">
        <v/>
      </c>
      <c r="P1305" s="121" t="str">
        <v/>
      </c>
      <c r="Q1305" s="121" t="str">
        <v/>
      </c>
      <c r="R1305" s="121" t="str">
        <v/>
      </c>
      <c r="S1305" s="121" t="str">
        <v>Delivery status</v>
      </c>
      <c r="T1305" s="119" t="str">
        <f>IF($C1305&lt;4,IF($C1305=3,T1306,IF($C1305=2,T$1,"")),Q1305&amp;R1305&amp;IF(LEN(S1305)=0,"",Preferences!$C$2&amp;S1305)&amp;IF(J1306=J1305,IF(LEN(R1305&amp;S1305)=0,"","
")&amp;T1306,""))</f>
        <v xml:space="preserve">	• Delivery status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5" s="122" t="str">
        <v/>
      </c>
      <c r="V1305" s="42"/>
      <c r="W1305" s="42"/>
      <c r="X1305" s="42"/>
      <c r="Y1305" s="42"/>
      <c r="Z1305" s="42"/>
      <c r="AA1305" s="42"/>
      <c r="AB1305" s="42"/>
    </row>
    <row r="1306" spans="1:28" x14ac:dyDescent="0.25">
      <c r="A1306" s="42" t="str">
        <v>1.23.4.2.4</v>
      </c>
      <c r="B1306" s="121" t="str">
        <v>Delivery status message (as applicable)</v>
      </c>
      <c r="C1306" s="41">
        <v>5</v>
      </c>
      <c r="D1306" s="41" t="str">
        <v>RL</v>
      </c>
      <c r="E1306" s="117" t="str">
        <f t="shared" si="0"/>
        <v>RL</v>
      </c>
      <c r="F1306" s="41" t="str">
        <v/>
      </c>
      <c r="G1306" s="41" t="str">
        <v/>
      </c>
      <c r="H1306" s="117">
        <f t="shared" si="1"/>
        <v>0</v>
      </c>
      <c r="I1306" s="117">
        <f t="shared" si="2"/>
        <v>23</v>
      </c>
      <c r="J1306" s="117">
        <f t="shared" si="3"/>
        <v>23.040000000000006</v>
      </c>
      <c r="K1306" s="117" t="str">
        <f t="shared" si="4"/>
        <v>BR</v>
      </c>
      <c r="L1306" s="42" t="str">
        <v>BR2304</v>
      </c>
      <c r="M1306" s="121" t="str">
        <v/>
      </c>
      <c r="N1306" s="121" t="str">
        <v/>
      </c>
      <c r="O1306" s="121" t="str">
        <v/>
      </c>
      <c r="P1306" s="121" t="str">
        <v/>
      </c>
      <c r="Q1306" s="121" t="str">
        <v/>
      </c>
      <c r="R1306" s="121" t="str">
        <v/>
      </c>
      <c r="S1306" s="121" t="str">
        <v>Delivery status message (as applicable)</v>
      </c>
      <c r="T1306" s="119" t="str">
        <f>IF($C1306&lt;4,IF($C1306=3,T1307,IF($C1306=2,T$1,"")),Q1306&amp;R1306&amp;IF(LEN(S1306)=0,"",Preferences!$C$2&amp;S1306)&amp;IF(J1307=J1306,IF(LEN(R1306&amp;S1306)=0,"","
")&amp;T1307,""))</f>
        <v xml:space="preserve">	• Delivery status message (as applicable)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6" s="122" t="str">
        <v/>
      </c>
      <c r="V1306" s="42"/>
      <c r="W1306" s="42"/>
      <c r="X1306" s="42"/>
      <c r="Y1306" s="42"/>
      <c r="Z1306" s="42"/>
      <c r="AA1306" s="42"/>
      <c r="AB1306" s="42"/>
    </row>
    <row r="1307" spans="1:28" x14ac:dyDescent="0.25">
      <c r="A1307" s="42" t="str">
        <v>1.23.4.3</v>
      </c>
      <c r="B1307" s="121" t="str">
        <v>A status message must automatically be sent to the customer for at least the following status events:</v>
      </c>
      <c r="C1307" s="41">
        <v>4</v>
      </c>
      <c r="D1307" s="41" t="str">
        <v>RD</v>
      </c>
      <c r="E1307" s="117" t="str">
        <f t="shared" si="0"/>
        <v>RD</v>
      </c>
      <c r="F1307" s="41" t="str">
        <v/>
      </c>
      <c r="G1307" s="41" t="str">
        <v/>
      </c>
      <c r="H1307" s="117">
        <f t="shared" si="1"/>
        <v>0</v>
      </c>
      <c r="I1307" s="117">
        <f t="shared" si="2"/>
        <v>23</v>
      </c>
      <c r="J1307" s="117">
        <f t="shared" si="3"/>
        <v>23.040000000000006</v>
      </c>
      <c r="K1307" s="117" t="str">
        <f t="shared" si="4"/>
        <v>BR</v>
      </c>
      <c r="L1307" s="42" t="str">
        <v>BR2304</v>
      </c>
      <c r="M1307" s="121" t="str">
        <v/>
      </c>
      <c r="N1307" s="121" t="str">
        <v/>
      </c>
      <c r="O1307" s="121" t="str">
        <v/>
      </c>
      <c r="P1307" s="121" t="str">
        <v/>
      </c>
      <c r="Q1307" s="121" t="str">
        <v xml:space="preserve"> 3. </v>
      </c>
      <c r="R1307" s="121" t="str">
        <v>A status message must automatically be sent to the customer for at least the following status events:</v>
      </c>
      <c r="S1307" s="121" t="str">
        <v/>
      </c>
      <c r="T1307" s="119" t="str">
        <f>IF($C1307&lt;4,IF($C1307=3,T1308,IF($C1307=2,T$1,"")),Q1307&amp;R1307&amp;IF(LEN(S1307)=0,"",Preferences!$C$2&amp;S1307)&amp;IF(J1308=J1307,IF(LEN(R1307&amp;S1307)=0,"","
")&amp;T1308,""))</f>
        <v xml:space="preserve"> 3. A status message must automatically be sent to the customer for at least the following status events:
	• Order despatched
	• Order delivered
 4. Also see the B2C Co suppliers provide up-to-date product and service details requirements in the Product and Service Suppliers section</v>
      </c>
      <c r="U1307" s="122" t="str">
        <v/>
      </c>
      <c r="V1307" s="42"/>
      <c r="W1307" s="42"/>
      <c r="X1307" s="42"/>
      <c r="Y1307" s="42"/>
      <c r="Z1307" s="42"/>
      <c r="AA1307" s="42"/>
      <c r="AB1307" s="42"/>
    </row>
    <row r="1308" spans="1:28" x14ac:dyDescent="0.25">
      <c r="A1308" s="42" t="str">
        <v>1.23.4.3.1</v>
      </c>
      <c r="B1308" s="121" t="str">
        <v>Order despatched</v>
      </c>
      <c r="C1308" s="41">
        <v>5</v>
      </c>
      <c r="D1308" s="41" t="str">
        <v>RL</v>
      </c>
      <c r="E1308" s="117" t="str">
        <f t="shared" si="0"/>
        <v>RL</v>
      </c>
      <c r="F1308" s="41" t="str">
        <v/>
      </c>
      <c r="G1308" s="41" t="str">
        <v/>
      </c>
      <c r="H1308" s="117">
        <f t="shared" si="1"/>
        <v>0</v>
      </c>
      <c r="I1308" s="117">
        <f t="shared" si="2"/>
        <v>23</v>
      </c>
      <c r="J1308" s="117">
        <f t="shared" si="3"/>
        <v>23.040000000000006</v>
      </c>
      <c r="K1308" s="117" t="str">
        <f t="shared" si="4"/>
        <v>BR</v>
      </c>
      <c r="L1308" s="42" t="str">
        <v>BR2304</v>
      </c>
      <c r="M1308" s="121" t="str">
        <v/>
      </c>
      <c r="N1308" s="121" t="str">
        <v/>
      </c>
      <c r="O1308" s="121" t="str">
        <v/>
      </c>
      <c r="P1308" s="121" t="str">
        <v/>
      </c>
      <c r="Q1308" s="121" t="str">
        <v/>
      </c>
      <c r="R1308" s="121" t="str">
        <v/>
      </c>
      <c r="S1308" s="121" t="str">
        <v>Order despatched</v>
      </c>
      <c r="T1308" s="119" t="str">
        <f>IF($C1308&lt;4,IF($C1308=3,T1309,IF($C1308=2,T$1,"")),Q1308&amp;R1308&amp;IF(LEN(S1308)=0,"",Preferences!$C$2&amp;S1308)&amp;IF(J1309=J1308,IF(LEN(R1308&amp;S1308)=0,"","
")&amp;T1309,""))</f>
        <v xml:space="preserve">	• Order despatched
	• Order delivered
 4. Also see the B2C Co suppliers provide up-to-date product and service details requirements in the Product and Service Suppliers section</v>
      </c>
      <c r="U1308" s="122" t="str">
        <v/>
      </c>
      <c r="V1308" s="42"/>
      <c r="W1308" s="42"/>
      <c r="X1308" s="42"/>
      <c r="Y1308" s="42"/>
      <c r="Z1308" s="42"/>
      <c r="AA1308" s="42"/>
      <c r="AB1308" s="42"/>
    </row>
    <row r="1309" spans="1:28" x14ac:dyDescent="0.25">
      <c r="A1309" s="42" t="str">
        <v>1.23.4.3.2</v>
      </c>
      <c r="B1309" s="121" t="str">
        <v>Order delivered</v>
      </c>
      <c r="C1309" s="41">
        <v>5</v>
      </c>
      <c r="D1309" s="41" t="str">
        <v>RL</v>
      </c>
      <c r="E1309" s="117" t="str">
        <f t="shared" si="0"/>
        <v>RL</v>
      </c>
      <c r="F1309" s="41" t="str">
        <v/>
      </c>
      <c r="G1309" s="41" t="str">
        <v/>
      </c>
      <c r="H1309" s="117">
        <f t="shared" si="1"/>
        <v>0</v>
      </c>
      <c r="I1309" s="117">
        <f t="shared" si="2"/>
        <v>23</v>
      </c>
      <c r="J1309" s="117">
        <f t="shared" si="3"/>
        <v>23.040000000000006</v>
      </c>
      <c r="K1309" s="117" t="str">
        <f t="shared" si="4"/>
        <v>BR</v>
      </c>
      <c r="L1309" s="42" t="str">
        <v>BR2304</v>
      </c>
      <c r="M1309" s="121" t="str">
        <v/>
      </c>
      <c r="N1309" s="121" t="str">
        <v/>
      </c>
      <c r="O1309" s="121" t="str">
        <v/>
      </c>
      <c r="P1309" s="121" t="str">
        <v/>
      </c>
      <c r="Q1309" s="121" t="str">
        <v/>
      </c>
      <c r="R1309" s="121" t="str">
        <v/>
      </c>
      <c r="S1309" s="121" t="str">
        <v>Order delivered</v>
      </c>
      <c r="T1309" s="119" t="str">
        <f>IF($C1309&lt;4,IF($C1309=3,T1310,IF($C1309=2,T$1,"")),Q1309&amp;R1309&amp;IF(LEN(S1309)=0,"",Preferences!$C$2&amp;S1309)&amp;IF(J1310=J1309,IF(LEN(R1309&amp;S1309)=0,"","
")&amp;T1310,""))</f>
        <v xml:space="preserve">	• Order delivered
 4. Also see the B2C Co suppliers provide up-to-date product and service details requirements in the Product and Service Suppliers section</v>
      </c>
      <c r="U1309" s="122" t="str">
        <v/>
      </c>
      <c r="V1309" s="42"/>
      <c r="W1309" s="42"/>
      <c r="X1309" s="42"/>
      <c r="Y1309" s="42"/>
      <c r="Z1309" s="42"/>
      <c r="AA1309" s="42"/>
      <c r="AB1309" s="42"/>
    </row>
    <row r="1310" spans="1:28" x14ac:dyDescent="0.25">
      <c r="A1310" s="42" t="str">
        <v>1.23.4.4</v>
      </c>
      <c r="B1310" s="121" t="str">
        <v>Also see the B2C Co suppliers provide up-to-date product and service details requirements in the Product and Service Suppliers section</v>
      </c>
      <c r="C1310" s="41">
        <v>4</v>
      </c>
      <c r="D1310" s="41" t="str">
        <v>RD</v>
      </c>
      <c r="E1310" s="117" t="str">
        <f t="shared" si="0"/>
        <v>RD</v>
      </c>
      <c r="F1310" s="41" t="str">
        <v/>
      </c>
      <c r="G1310" s="41" t="str">
        <v/>
      </c>
      <c r="H1310" s="117">
        <f t="shared" si="1"/>
        <v>0</v>
      </c>
      <c r="I1310" s="117">
        <f t="shared" si="2"/>
        <v>23</v>
      </c>
      <c r="J1310" s="117">
        <f t="shared" si="3"/>
        <v>23.040000000000006</v>
      </c>
      <c r="K1310" s="117" t="str">
        <f t="shared" si="4"/>
        <v>BR</v>
      </c>
      <c r="L1310" s="42" t="str">
        <v>BR2304</v>
      </c>
      <c r="M1310" s="121" t="str">
        <v/>
      </c>
      <c r="N1310" s="121" t="str">
        <v/>
      </c>
      <c r="O1310" s="121" t="str">
        <v/>
      </c>
      <c r="P1310" s="121" t="str">
        <v/>
      </c>
      <c r="Q1310" s="121" t="str">
        <v xml:space="preserve"> 4. </v>
      </c>
      <c r="R1310" s="121" t="str">
        <v>Also see the B2C Co suppliers provide up-to-date product and service details requirements in the Product and Service Suppliers section</v>
      </c>
      <c r="S1310" s="121" t="str">
        <v/>
      </c>
      <c r="T1310" s="119" t="str">
        <f>IF($C1310&lt;4,IF($C1310=3,T1311,IF($C1310=2,T$1,"")),Q1310&amp;R1310&amp;IF(LEN(S1310)=0,"",Preferences!$C$2&amp;S1310)&amp;IF(J1311=J1310,IF(LEN(R1310&amp;S1310)=0,"","
")&amp;T1311,""))</f>
        <v xml:space="preserve"> 4. Also see the B2C Co suppliers provide up-to-date product and service details requirements in the Product and Service Suppliers section</v>
      </c>
      <c r="U1310" s="122" t="str">
        <v/>
      </c>
      <c r="V1310" s="42"/>
      <c r="W1310" s="42"/>
      <c r="X1310" s="42"/>
      <c r="Y1310" s="42"/>
      <c r="Z1310" s="42"/>
      <c r="AA1310" s="42"/>
      <c r="AB1310" s="42"/>
    </row>
    <row r="1311" spans="1:28" x14ac:dyDescent="0.25">
      <c r="A1311" s="42" t="str">
        <v>1.23.5</v>
      </c>
      <c r="B1311" s="121" t="str">
        <v>23.5 Follow-up on the incomplete fulfilment of a customer order</v>
      </c>
      <c r="C1311" s="41">
        <v>3</v>
      </c>
      <c r="D1311" s="41" t="str">
        <v>R</v>
      </c>
      <c r="E1311" s="117" t="str">
        <f t="shared" si="0"/>
        <v>R</v>
      </c>
      <c r="F1311" s="41" t="str">
        <v/>
      </c>
      <c r="G1311" s="41" t="str">
        <v/>
      </c>
      <c r="H1311" s="117">
        <f t="shared" si="1"/>
        <v>0</v>
      </c>
      <c r="I1311" s="117">
        <f t="shared" si="2"/>
        <v>23</v>
      </c>
      <c r="J1311" s="117">
        <f t="shared" si="3"/>
        <v>23.050000000000008</v>
      </c>
      <c r="K1311" s="117" t="str">
        <f t="shared" si="4"/>
        <v>BR</v>
      </c>
      <c r="L1311" s="42" t="str">
        <v>BR2305</v>
      </c>
      <c r="M1311" s="121" t="str">
        <v/>
      </c>
      <c r="N1311" s="121" t="str">
        <v/>
      </c>
      <c r="O1311" s="121" t="str">
        <v>BR2305</v>
      </c>
      <c r="P1311" s="121" t="str">
        <v>Follow-up on the incomplete fulfilment of a customer order</v>
      </c>
      <c r="Q1311" s="121" t="str">
        <v/>
      </c>
      <c r="R1311" s="121" t="str">
        <v/>
      </c>
      <c r="S1311" s="121" t="str">
        <v/>
      </c>
      <c r="T1311" s="119" t="str">
        <f>IF($C1311&lt;4,IF($C1311=3,T1312,IF($C1311=2,T$1,"")),Q1311&amp;R1311&amp;IF(LEN(S1311)=0,"",Preferences!$C$2&amp;S1311)&amp;IF(J1312=J1311,IF(LEN(R1311&amp;S1311)=0,"","
")&amp;T1312,""))</f>
        <v xml:space="preserve"> 1. The fulfilment department will manually follow up with:
	• The supplier, on a fulfilment issue
	• The courier, on a delivery that is outstanding
	• The customer, on a delivery the courier could not complete</v>
      </c>
      <c r="U1311" s="122" t="str">
        <v/>
      </c>
      <c r="V1311" s="42"/>
      <c r="W1311" s="42"/>
      <c r="X1311" s="42"/>
      <c r="Y1311" s="42"/>
      <c r="Z1311" s="42"/>
      <c r="AA1311" s="42"/>
      <c r="AB1311" s="42"/>
    </row>
    <row r="1312" spans="1:28" x14ac:dyDescent="0.25">
      <c r="A1312" s="42" t="str">
        <v>1.23.5.1</v>
      </c>
      <c r="B1312" s="121" t="str">
        <v>The fulfilment department will manually follow up with:</v>
      </c>
      <c r="C1312" s="41">
        <v>4</v>
      </c>
      <c r="D1312" s="41" t="str">
        <v>RD</v>
      </c>
      <c r="E1312" s="117" t="str">
        <f t="shared" si="0"/>
        <v>RD</v>
      </c>
      <c r="F1312" s="41" t="str">
        <v/>
      </c>
      <c r="G1312" s="41" t="str">
        <v/>
      </c>
      <c r="H1312" s="117">
        <f t="shared" si="1"/>
        <v>0</v>
      </c>
      <c r="I1312" s="117">
        <f t="shared" si="2"/>
        <v>23</v>
      </c>
      <c r="J1312" s="117">
        <f t="shared" si="3"/>
        <v>23.050000000000008</v>
      </c>
      <c r="K1312" s="117" t="str">
        <f t="shared" si="4"/>
        <v>BR</v>
      </c>
      <c r="L1312" s="42" t="str">
        <v>BR2305</v>
      </c>
      <c r="M1312" s="121" t="str">
        <v/>
      </c>
      <c r="N1312" s="121" t="str">
        <v/>
      </c>
      <c r="O1312" s="121" t="str">
        <v/>
      </c>
      <c r="P1312" s="121" t="str">
        <v/>
      </c>
      <c r="Q1312" s="121" t="str">
        <v xml:space="preserve"> 1. </v>
      </c>
      <c r="R1312" s="121" t="str">
        <v>The fulfilment department will manually follow up with:</v>
      </c>
      <c r="S1312" s="121" t="str">
        <v/>
      </c>
      <c r="T1312" s="119" t="str">
        <f>IF($C1312&lt;4,IF($C1312=3,T1313,IF($C1312=2,T$1,"")),Q1312&amp;R1312&amp;IF(LEN(S1312)=0,"",Preferences!$C$2&amp;S1312)&amp;IF(J1313=J1312,IF(LEN(R1312&amp;S1312)=0,"","
")&amp;T1313,""))</f>
        <v xml:space="preserve"> 1. The fulfilment department will manually follow up with:
	• The supplier, on a fulfilment issue
	• The courier, on a delivery that is outstanding
	• The customer, on a delivery the courier could not complete</v>
      </c>
      <c r="U1312" s="122" t="str">
        <v/>
      </c>
      <c r="V1312" s="42"/>
      <c r="W1312" s="42"/>
      <c r="X1312" s="42"/>
      <c r="Y1312" s="42"/>
      <c r="Z1312" s="42"/>
      <c r="AA1312" s="42"/>
      <c r="AB1312" s="42"/>
    </row>
    <row r="1313" spans="1:28" x14ac:dyDescent="0.25">
      <c r="A1313" s="42" t="str">
        <v>1.23.5.1.1</v>
      </c>
      <c r="B1313" s="121" t="str">
        <v>The supplier, on a fulfilment issue</v>
      </c>
      <c r="C1313" s="41">
        <v>5</v>
      </c>
      <c r="D1313" s="41" t="str">
        <v>RL</v>
      </c>
      <c r="E1313" s="117" t="str">
        <f t="shared" si="0"/>
        <v>RL</v>
      </c>
      <c r="F1313" s="41" t="str">
        <v/>
      </c>
      <c r="G1313" s="41" t="str">
        <v/>
      </c>
      <c r="H1313" s="117">
        <f t="shared" si="1"/>
        <v>0</v>
      </c>
      <c r="I1313" s="117">
        <f t="shared" si="2"/>
        <v>23</v>
      </c>
      <c r="J1313" s="117">
        <f t="shared" si="3"/>
        <v>23.050000000000008</v>
      </c>
      <c r="K1313" s="117" t="str">
        <f t="shared" si="4"/>
        <v>BR</v>
      </c>
      <c r="L1313" s="42" t="str">
        <v>BR2305</v>
      </c>
      <c r="M1313" s="121" t="str">
        <v/>
      </c>
      <c r="N1313" s="121" t="str">
        <v/>
      </c>
      <c r="O1313" s="121" t="str">
        <v/>
      </c>
      <c r="P1313" s="121" t="str">
        <v/>
      </c>
      <c r="Q1313" s="121" t="str">
        <v/>
      </c>
      <c r="R1313" s="121" t="str">
        <v/>
      </c>
      <c r="S1313" s="121" t="str">
        <v>The supplier, on a fulfilment issue</v>
      </c>
      <c r="T1313" s="119" t="str">
        <f>IF($C1313&lt;4,IF($C1313=3,T1314,IF($C1313=2,T$1,"")),Q1313&amp;R1313&amp;IF(LEN(S1313)=0,"",Preferences!$C$2&amp;S1313)&amp;IF(J1314=J1313,IF(LEN(R1313&amp;S1313)=0,"","
")&amp;T1314,""))</f>
        <v xml:space="preserve">	• The supplier, on a fulfilment issue
	• The courier, on a delivery that is outstanding
	• The customer, on a delivery the courier could not complete</v>
      </c>
      <c r="U1313" s="122" t="str">
        <v/>
      </c>
      <c r="V1313" s="42"/>
      <c r="W1313" s="42"/>
      <c r="X1313" s="42"/>
      <c r="Y1313" s="42"/>
      <c r="Z1313" s="42"/>
      <c r="AA1313" s="42"/>
      <c r="AB1313" s="42"/>
    </row>
    <row r="1314" spans="1:28" x14ac:dyDescent="0.25">
      <c r="A1314" s="42" t="str">
        <v>1.23.5.1.2</v>
      </c>
      <c r="B1314" s="121" t="str">
        <v>The courier, on a delivery that is outstanding</v>
      </c>
      <c r="C1314" s="41">
        <v>5</v>
      </c>
      <c r="D1314" s="41" t="str">
        <v>RL</v>
      </c>
      <c r="E1314" s="117" t="str">
        <f t="shared" si="0"/>
        <v>RL</v>
      </c>
      <c r="F1314" s="41" t="str">
        <v/>
      </c>
      <c r="G1314" s="41" t="str">
        <v/>
      </c>
      <c r="H1314" s="117">
        <f t="shared" si="1"/>
        <v>0</v>
      </c>
      <c r="I1314" s="117">
        <f t="shared" si="2"/>
        <v>23</v>
      </c>
      <c r="J1314" s="117">
        <f t="shared" si="3"/>
        <v>23.050000000000008</v>
      </c>
      <c r="K1314" s="117" t="str">
        <f t="shared" si="4"/>
        <v>BR</v>
      </c>
      <c r="L1314" s="42" t="str">
        <v>BR2305</v>
      </c>
      <c r="M1314" s="121" t="str">
        <v/>
      </c>
      <c r="N1314" s="121" t="str">
        <v/>
      </c>
      <c r="O1314" s="121" t="str">
        <v/>
      </c>
      <c r="P1314" s="121" t="str">
        <v/>
      </c>
      <c r="Q1314" s="121" t="str">
        <v/>
      </c>
      <c r="R1314" s="121" t="str">
        <v/>
      </c>
      <c r="S1314" s="121" t="str">
        <v>The courier, on a delivery that is outstanding</v>
      </c>
      <c r="T1314" s="119" t="str">
        <f>IF($C1314&lt;4,IF($C1314=3,T1315,IF($C1314=2,T$1,"")),Q1314&amp;R1314&amp;IF(LEN(S1314)=0,"",Preferences!$C$2&amp;S1314)&amp;IF(J1315=J1314,IF(LEN(R1314&amp;S1314)=0,"","
")&amp;T1315,""))</f>
        <v xml:space="preserve">	• The courier, on a delivery that is outstanding
	• The customer, on a delivery the courier could not complete</v>
      </c>
      <c r="U1314" s="122" t="str">
        <v/>
      </c>
      <c r="V1314" s="42"/>
      <c r="W1314" s="42"/>
      <c r="X1314" s="42"/>
      <c r="Y1314" s="42"/>
      <c r="Z1314" s="42"/>
      <c r="AA1314" s="42"/>
      <c r="AB1314" s="42"/>
    </row>
    <row r="1315" spans="1:28" x14ac:dyDescent="0.25">
      <c r="A1315" s="42" t="str">
        <v>1.23.5.1.3</v>
      </c>
      <c r="B1315" s="121" t="str">
        <v>The customer, on a delivery the courier could not complete</v>
      </c>
      <c r="C1315" s="41">
        <v>5</v>
      </c>
      <c r="D1315" s="41" t="str">
        <v>RL</v>
      </c>
      <c r="E1315" s="117" t="str">
        <f t="shared" si="0"/>
        <v>RL</v>
      </c>
      <c r="F1315" s="41" t="str">
        <v/>
      </c>
      <c r="G1315" s="41" t="str">
        <v/>
      </c>
      <c r="H1315" s="117">
        <f t="shared" si="1"/>
        <v>0</v>
      </c>
      <c r="I1315" s="117">
        <f t="shared" si="2"/>
        <v>23</v>
      </c>
      <c r="J1315" s="117">
        <f t="shared" si="3"/>
        <v>23.050000000000008</v>
      </c>
      <c r="K1315" s="117" t="str">
        <f t="shared" si="4"/>
        <v>BR</v>
      </c>
      <c r="L1315" s="42" t="str">
        <v>BR2305</v>
      </c>
      <c r="M1315" s="121" t="str">
        <v/>
      </c>
      <c r="N1315" s="121" t="str">
        <v/>
      </c>
      <c r="O1315" s="121" t="str">
        <v/>
      </c>
      <c r="P1315" s="121" t="str">
        <v/>
      </c>
      <c r="Q1315" s="121" t="str">
        <v/>
      </c>
      <c r="R1315" s="121" t="str">
        <v/>
      </c>
      <c r="S1315" s="121" t="str">
        <v>The customer, on a delivery the courier could not complete</v>
      </c>
      <c r="T1315" s="119" t="str">
        <f>IF($C1315&lt;4,IF($C1315=3,T1316,IF($C1315=2,T$1,"")),Q1315&amp;R1315&amp;IF(LEN(S1315)=0,"",Preferences!$C$2&amp;S1315)&amp;IF(J1316=J1315,IF(LEN(R1315&amp;S1315)=0,"","
")&amp;T1316,""))</f>
        <v xml:space="preserve">	• The customer, on a delivery the courier could not complete</v>
      </c>
      <c r="U1315" s="122" t="str">
        <v/>
      </c>
      <c r="V1315" s="42"/>
      <c r="W1315" s="42"/>
      <c r="X1315" s="42"/>
      <c r="Y1315" s="42"/>
      <c r="Z1315" s="42"/>
      <c r="AA1315" s="42"/>
      <c r="AB1315" s="42"/>
    </row>
    <row r="1316" spans="1:28" x14ac:dyDescent="0.25">
      <c r="A1316" s="42" t="str">
        <v>1.23.6</v>
      </c>
      <c r="B1316" s="121" t="str">
        <v>23.6 Cancel a supplier order</v>
      </c>
      <c r="C1316" s="41">
        <v>3</v>
      </c>
      <c r="D1316" s="41" t="str">
        <v>R</v>
      </c>
      <c r="E1316" s="117" t="str">
        <f t="shared" si="0"/>
        <v>R</v>
      </c>
      <c r="F1316" s="41" t="str">
        <v/>
      </c>
      <c r="G1316" s="41" t="str">
        <v/>
      </c>
      <c r="H1316" s="117">
        <f t="shared" si="1"/>
        <v>0</v>
      </c>
      <c r="I1316" s="117">
        <f t="shared" si="2"/>
        <v>23</v>
      </c>
      <c r="J1316" s="117">
        <f t="shared" si="3"/>
        <v>23.060000000000009</v>
      </c>
      <c r="K1316" s="117" t="str">
        <f t="shared" si="4"/>
        <v>BR</v>
      </c>
      <c r="L1316" s="42" t="str">
        <v>BR2306</v>
      </c>
      <c r="M1316" s="121" t="str">
        <v/>
      </c>
      <c r="N1316" s="121" t="str">
        <v/>
      </c>
      <c r="O1316" s="121" t="str">
        <v>BR2306</v>
      </c>
      <c r="P1316" s="121" t="str">
        <v>Cancel a supplier order</v>
      </c>
      <c r="Q1316" s="121" t="str">
        <v/>
      </c>
      <c r="R1316" s="121" t="str">
        <v/>
      </c>
      <c r="S1316" s="121" t="str">
        <v/>
      </c>
      <c r="T1316" s="119" t="str">
        <f>IF($C1316&lt;4,IF($C1316=3,T1317,IF($C1316=2,T$1,"")),Q1316&amp;R1316&amp;IF(LEN(S1316)=0,"",Preferences!$C$2&amp;S1316)&amp;IF(J1317=J1316,IF(LEN(R1316&amp;S1316)=0,"","
")&amp;T1317,""))</f>
        <v xml:space="preserve"> 1. Order management must review each order cancellation request received from a customer, to determine the status of the related supplier orders.
 2. Order management may cancel a supplier order on request from a customer, as long as it has not been packed/dispatched.
 3. Order management may cancel a supplier order on request from a supplier that cannot fulfill that order (no stock, product recall, etc.).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16" s="122" t="str">
        <v/>
      </c>
      <c r="V1316" s="42"/>
      <c r="W1316" s="42"/>
      <c r="X1316" s="42"/>
      <c r="Y1316" s="42"/>
      <c r="Z1316" s="42"/>
      <c r="AA1316" s="42"/>
      <c r="AB1316" s="42"/>
    </row>
    <row r="1317" spans="1:28" x14ac:dyDescent="0.25">
      <c r="A1317" s="42" t="str">
        <v>1.23.6.1</v>
      </c>
      <c r="B1317" s="121" t="str">
        <v>Order management must review each order cancellation request received from a customer, to determine the status of the related supplier orders.</v>
      </c>
      <c r="C1317" s="41">
        <v>4</v>
      </c>
      <c r="D1317" s="41" t="str">
        <v>RD</v>
      </c>
      <c r="E1317" s="117" t="str">
        <f t="shared" si="0"/>
        <v>RD</v>
      </c>
      <c r="F1317" s="41" t="str">
        <v/>
      </c>
      <c r="G1317" s="41" t="str">
        <v/>
      </c>
      <c r="H1317" s="117">
        <f t="shared" si="1"/>
        <v>0</v>
      </c>
      <c r="I1317" s="117">
        <f t="shared" si="2"/>
        <v>23</v>
      </c>
      <c r="J1317" s="117">
        <f t="shared" si="3"/>
        <v>23.060000000000009</v>
      </c>
      <c r="K1317" s="117" t="str">
        <f t="shared" si="4"/>
        <v>BR</v>
      </c>
      <c r="L1317" s="42" t="str">
        <v>BR2306</v>
      </c>
      <c r="M1317" s="121" t="str">
        <v/>
      </c>
      <c r="N1317" s="121" t="str">
        <v/>
      </c>
      <c r="O1317" s="121" t="str">
        <v/>
      </c>
      <c r="P1317" s="121" t="str">
        <v/>
      </c>
      <c r="Q1317" s="121" t="str">
        <v xml:space="preserve"> 1. </v>
      </c>
      <c r="R1317" s="121" t="str">
        <v>Order management must review each order cancellation request received from a customer, to determine the status of the related supplier orders.</v>
      </c>
      <c r="S1317" s="121" t="str">
        <v/>
      </c>
      <c r="T1317" s="119" t="str">
        <f>IF($C1317&lt;4,IF($C1317=3,T1318,IF($C1317=2,T$1,"")),Q1317&amp;R1317&amp;IF(LEN(S1317)=0,"",Preferences!$C$2&amp;S1317)&amp;IF(J1318=J1317,IF(LEN(R1317&amp;S1317)=0,"","
")&amp;T1318,""))</f>
        <v xml:space="preserve"> 1. Order management must review each order cancellation request received from a customer, to determine the status of the related supplier orders.
 2. Order management may cancel a supplier order on request from a customer, as long as it has not been packed/dispatched.
 3. Order management may cancel a supplier order on request from a supplier that cannot fulfill that order (no stock, product recall, etc.).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17" s="122" t="str">
        <v/>
      </c>
      <c r="V1317" s="42"/>
      <c r="W1317" s="42"/>
      <c r="X1317" s="42"/>
      <c r="Y1317" s="42"/>
      <c r="Z1317" s="42"/>
      <c r="AA1317" s="42"/>
      <c r="AB1317" s="42"/>
    </row>
    <row r="1318" spans="1:28" x14ac:dyDescent="0.25">
      <c r="A1318" s="42" t="str">
        <v>1.23.6.2</v>
      </c>
      <c r="B1318" s="121" t="str">
        <v>Order management may cancel a supplier order on request from a customer, as long as it has not been packed/dispatched.</v>
      </c>
      <c r="C1318" s="41">
        <v>4</v>
      </c>
      <c r="D1318" s="41" t="str">
        <v>RD</v>
      </c>
      <c r="E1318" s="117" t="str">
        <f t="shared" si="0"/>
        <v>RD</v>
      </c>
      <c r="F1318" s="41" t="str">
        <v/>
      </c>
      <c r="G1318" s="41" t="str">
        <v/>
      </c>
      <c r="H1318" s="117">
        <f t="shared" si="1"/>
        <v>0</v>
      </c>
      <c r="I1318" s="117">
        <f t="shared" si="2"/>
        <v>23</v>
      </c>
      <c r="J1318" s="117">
        <f t="shared" si="3"/>
        <v>23.060000000000009</v>
      </c>
      <c r="K1318" s="117" t="str">
        <f t="shared" si="4"/>
        <v>BR</v>
      </c>
      <c r="L1318" s="42" t="str">
        <v>BR2306</v>
      </c>
      <c r="M1318" s="121" t="str">
        <v/>
      </c>
      <c r="N1318" s="121" t="str">
        <v/>
      </c>
      <c r="O1318" s="121" t="str">
        <v/>
      </c>
      <c r="P1318" s="121" t="str">
        <v/>
      </c>
      <c r="Q1318" s="121" t="str">
        <v xml:space="preserve"> 2. </v>
      </c>
      <c r="R1318" s="121" t="str">
        <v>Order management may cancel a supplier order on request from a customer, as long as it has not been packed/dispatched.</v>
      </c>
      <c r="S1318" s="121" t="str">
        <v/>
      </c>
      <c r="T1318" s="119" t="str">
        <f>IF($C1318&lt;4,IF($C1318=3,T1319,IF($C1318=2,T$1,"")),Q1318&amp;R1318&amp;IF(LEN(S1318)=0,"",Preferences!$C$2&amp;S1318)&amp;IF(J1319=J1318,IF(LEN(R1318&amp;S1318)=0,"","
")&amp;T1319,""))</f>
        <v xml:space="preserve"> 2. Order management may cancel a supplier order on request from a customer, as long as it has not been packed/dispatched.
 3. Order management may cancel a supplier order on request from a supplier that cannot fulfill that order (no stock, product recall, etc.).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18" s="122" t="str">
        <v/>
      </c>
      <c r="V1318" s="42"/>
      <c r="W1318" s="42"/>
      <c r="X1318" s="42"/>
      <c r="Y1318" s="42"/>
      <c r="Z1318" s="42"/>
      <c r="AA1318" s="42"/>
      <c r="AB1318" s="42"/>
    </row>
    <row r="1319" spans="1:28" x14ac:dyDescent="0.25">
      <c r="A1319" s="42" t="str">
        <v>1.23.6.3</v>
      </c>
      <c r="B1319" s="121" t="str">
        <v>Order management may cancel a supplier order on request from a supplier that cannot fulfill that order (no stock, product recall, etc.).</v>
      </c>
      <c r="C1319" s="41">
        <v>4</v>
      </c>
      <c r="D1319" s="41" t="str">
        <v>RD</v>
      </c>
      <c r="E1319" s="117" t="str">
        <f t="shared" si="0"/>
        <v>RD</v>
      </c>
      <c r="F1319" s="41" t="str">
        <v/>
      </c>
      <c r="G1319" s="41" t="str">
        <v/>
      </c>
      <c r="H1319" s="117">
        <f t="shared" si="1"/>
        <v>0</v>
      </c>
      <c r="I1319" s="117">
        <f t="shared" si="2"/>
        <v>23</v>
      </c>
      <c r="J1319" s="117">
        <f t="shared" si="3"/>
        <v>23.060000000000009</v>
      </c>
      <c r="K1319" s="117" t="str">
        <f t="shared" si="4"/>
        <v>BR</v>
      </c>
      <c r="L1319" s="42" t="str">
        <v>BR2306</v>
      </c>
      <c r="M1319" s="121" t="str">
        <v/>
      </c>
      <c r="N1319" s="121" t="str">
        <v/>
      </c>
      <c r="O1319" s="121" t="str">
        <v/>
      </c>
      <c r="P1319" s="121" t="str">
        <v/>
      </c>
      <c r="Q1319" s="121" t="str">
        <v xml:space="preserve"> 3. </v>
      </c>
      <c r="R1319" s="121" t="str">
        <v>Order management may cancel a supplier order on request from a supplier that cannot fulfill that order (no stock, product recall, etc.).</v>
      </c>
      <c r="S1319" s="121" t="str">
        <v/>
      </c>
      <c r="T1319" s="119" t="str">
        <f>IF($C1319&lt;4,IF($C1319=3,T1320,IF($C1319=2,T$1,"")),Q1319&amp;R1319&amp;IF(LEN(S1319)=0,"",Preferences!$C$2&amp;S1319)&amp;IF(J1320=J1319,IF(LEN(R1319&amp;S1319)=0,"","
")&amp;T1320,""))</f>
        <v xml:space="preserve"> 3. Order management may cancel a supplier order on request from a supplier that cannot fulfill that order (no stock, product recall, etc.).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19" s="122" t="str">
        <v/>
      </c>
      <c r="V1319" s="42"/>
      <c r="W1319" s="42"/>
      <c r="X1319" s="42"/>
      <c r="Y1319" s="42"/>
      <c r="Z1319" s="42"/>
      <c r="AA1319" s="42"/>
      <c r="AB1319" s="42"/>
    </row>
    <row r="1320" spans="1:28" x14ac:dyDescent="0.25">
      <c r="A1320" s="42" t="str">
        <v>1.23.6.4</v>
      </c>
      <c r="B1320" s="121" t="str">
        <v>Any approved cancellation is applied to the relevant supplier order(s) by orders management.</v>
      </c>
      <c r="C1320" s="41">
        <v>4</v>
      </c>
      <c r="D1320" s="41" t="str">
        <v>RD</v>
      </c>
      <c r="E1320" s="117" t="str">
        <f t="shared" si="0"/>
        <v>RD</v>
      </c>
      <c r="F1320" s="41" t="str">
        <v/>
      </c>
      <c r="G1320" s="41" t="str">
        <v/>
      </c>
      <c r="H1320" s="117">
        <f t="shared" si="1"/>
        <v>0</v>
      </c>
      <c r="I1320" s="117">
        <f t="shared" si="2"/>
        <v>23</v>
      </c>
      <c r="J1320" s="117">
        <f t="shared" si="3"/>
        <v>23.060000000000009</v>
      </c>
      <c r="K1320" s="117" t="str">
        <f t="shared" si="4"/>
        <v>BR</v>
      </c>
      <c r="L1320" s="42" t="str">
        <v>BR2306</v>
      </c>
      <c r="M1320" s="121" t="str">
        <v/>
      </c>
      <c r="N1320" s="121" t="str">
        <v/>
      </c>
      <c r="O1320" s="121" t="str">
        <v/>
      </c>
      <c r="P1320" s="121" t="str">
        <v/>
      </c>
      <c r="Q1320" s="121" t="str">
        <v xml:space="preserve"> 4. </v>
      </c>
      <c r="R1320" s="121" t="str">
        <v>Any approved cancellation is applied to the relevant supplier order(s) by orders management.</v>
      </c>
      <c r="S1320" s="121" t="str">
        <v/>
      </c>
      <c r="T1320" s="119" t="str">
        <f>IF($C1320&lt;4,IF($C1320=3,T1321,IF($C1320=2,T$1,"")),Q1320&amp;R1320&amp;IF(LEN(S1320)=0,"",Preferences!$C$2&amp;S1320)&amp;IF(J1321=J1320,IF(LEN(R1320&amp;S1320)=0,"","
")&amp;T1321,""))</f>
        <v xml:space="preserve"> 4. Any approved cancellation is applied to the relevant supplier order(s) by orders management.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20" s="122" t="str">
        <v/>
      </c>
      <c r="V1320" s="42"/>
      <c r="W1320" s="42"/>
      <c r="X1320" s="42"/>
      <c r="Y1320" s="42"/>
      <c r="Z1320" s="42"/>
      <c r="AA1320" s="42"/>
      <c r="AB1320" s="42"/>
    </row>
    <row r="1321" spans="1:28" x14ac:dyDescent="0.25">
      <c r="A1321" s="42" t="str">
        <v>1.23.6.4.1</v>
      </c>
      <c r="B1321" s="121" t="str">
        <v>The updated (now cancelled) supplier order must automatically be submitted to the supplier.</v>
      </c>
      <c r="C1321" s="41">
        <v>5</v>
      </c>
      <c r="D1321" s="41" t="str">
        <v>RL</v>
      </c>
      <c r="E1321" s="117" t="str">
        <f t="shared" si="0"/>
        <v>RL</v>
      </c>
      <c r="F1321" s="41" t="str">
        <v/>
      </c>
      <c r="G1321" s="41" t="str">
        <v/>
      </c>
      <c r="H1321" s="117">
        <f t="shared" si="1"/>
        <v>0</v>
      </c>
      <c r="I1321" s="117">
        <f t="shared" si="2"/>
        <v>23</v>
      </c>
      <c r="J1321" s="117">
        <f t="shared" si="3"/>
        <v>23.060000000000009</v>
      </c>
      <c r="K1321" s="117" t="str">
        <f t="shared" si="4"/>
        <v>BR</v>
      </c>
      <c r="L1321" s="42" t="str">
        <v>BR2306</v>
      </c>
      <c r="M1321" s="121" t="str">
        <v/>
      </c>
      <c r="N1321" s="121" t="str">
        <v/>
      </c>
      <c r="O1321" s="121" t="str">
        <v/>
      </c>
      <c r="P1321" s="121" t="str">
        <v/>
      </c>
      <c r="Q1321" s="121" t="str">
        <v/>
      </c>
      <c r="R1321" s="121" t="str">
        <v/>
      </c>
      <c r="S1321" s="121" t="str">
        <v>The updated (now cancelled) supplier order must automatically be submitted to the supplier.</v>
      </c>
      <c r="T1321" s="119" t="str">
        <f>IF($C1321&lt;4,IF($C1321=3,T1322,IF($C1321=2,T$1,"")),Q1321&amp;R1321&amp;IF(LEN(S1321)=0,"",Preferences!$C$2&amp;S1321)&amp;IF(J1322=J1321,IF(LEN(R1321&amp;S1321)=0,"","
")&amp;T1322,""))</f>
        <v xml:space="preserve">	• The updated (now cancelled) supplier order must automatically be submitted to the supplier.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21" s="122" t="str">
        <v/>
      </c>
      <c r="V1321" s="42"/>
      <c r="W1321" s="42"/>
      <c r="X1321" s="42"/>
      <c r="Y1321" s="42"/>
      <c r="Z1321" s="42"/>
      <c r="AA1321" s="42"/>
      <c r="AB1321" s="42"/>
    </row>
    <row r="1322" spans="1:28" x14ac:dyDescent="0.25">
      <c r="A1322" s="42" t="str">
        <v>1.23.6.4.2</v>
      </c>
      <c r="B1322" s="121" t="str">
        <v>The supplier must acknowledge the cancellation.</v>
      </c>
      <c r="C1322" s="41">
        <v>5</v>
      </c>
      <c r="D1322" s="41" t="str">
        <v>RL</v>
      </c>
      <c r="E1322" s="117" t="str">
        <f t="shared" si="0"/>
        <v>RL</v>
      </c>
      <c r="F1322" s="41" t="str">
        <v/>
      </c>
      <c r="G1322" s="41" t="str">
        <v/>
      </c>
      <c r="H1322" s="117">
        <f t="shared" si="1"/>
        <v>0</v>
      </c>
      <c r="I1322" s="117">
        <f t="shared" si="2"/>
        <v>23</v>
      </c>
      <c r="J1322" s="117">
        <f t="shared" si="3"/>
        <v>23.060000000000009</v>
      </c>
      <c r="K1322" s="117" t="str">
        <f t="shared" si="4"/>
        <v>BR</v>
      </c>
      <c r="L1322" s="42" t="str">
        <v>BR2306</v>
      </c>
      <c r="M1322" s="121" t="str">
        <v/>
      </c>
      <c r="N1322" s="121" t="str">
        <v/>
      </c>
      <c r="O1322" s="121" t="str">
        <v/>
      </c>
      <c r="P1322" s="121" t="str">
        <v/>
      </c>
      <c r="Q1322" s="121" t="str">
        <v/>
      </c>
      <c r="R1322" s="121" t="str">
        <v/>
      </c>
      <c r="S1322" s="121" t="str">
        <v>The supplier must acknowledge the cancellation.</v>
      </c>
      <c r="T1322" s="119" t="str">
        <f>IF($C1322&lt;4,IF($C1322=3,T1323,IF($C1322=2,T$1,"")),Q1322&amp;R1322&amp;IF(LEN(S1322)=0,"",Preferences!$C$2&amp;S1322)&amp;IF(J1323=J1322,IF(LEN(R1322&amp;S1322)=0,"","
")&amp;T1323,""))</f>
        <v xml:space="preserve">	• The supplier must acknowledge the cancellation.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22" s="122" t="str">
        <v/>
      </c>
      <c r="V1322" s="42"/>
      <c r="W1322" s="42"/>
      <c r="X1322" s="42"/>
      <c r="Y1322" s="42"/>
      <c r="Z1322" s="42"/>
      <c r="AA1322" s="42"/>
      <c r="AB1322" s="42"/>
    </row>
    <row r="1323" spans="1:28" x14ac:dyDescent="0.25">
      <c r="A1323" s="42" t="str">
        <v>1.23.6.5</v>
      </c>
      <c r="B1323" s="121" t="str">
        <v>Orders management submits a message to the customer to inform them of the decision and any special conditions related to the cancellation of their order (e.g. part of the order already collected/despatched for delivery and cannot be cancelled).</v>
      </c>
      <c r="C1323" s="41">
        <v>4</v>
      </c>
      <c r="D1323" s="41" t="str">
        <v>RD</v>
      </c>
      <c r="E1323" s="117" t="str">
        <f t="shared" si="0"/>
        <v>RD</v>
      </c>
      <c r="F1323" s="41" t="str">
        <v/>
      </c>
      <c r="G1323" s="41" t="str">
        <v/>
      </c>
      <c r="H1323" s="117">
        <f t="shared" si="1"/>
        <v>0</v>
      </c>
      <c r="I1323" s="117">
        <f t="shared" si="2"/>
        <v>23</v>
      </c>
      <c r="J1323" s="117">
        <f t="shared" si="3"/>
        <v>23.060000000000009</v>
      </c>
      <c r="K1323" s="117" t="str">
        <f t="shared" si="4"/>
        <v>BR</v>
      </c>
      <c r="L1323" s="42" t="str">
        <v>BR2306</v>
      </c>
      <c r="M1323" s="121" t="str">
        <v/>
      </c>
      <c r="N1323" s="121" t="str">
        <v/>
      </c>
      <c r="O1323" s="121" t="str">
        <v/>
      </c>
      <c r="P1323" s="121" t="str">
        <v/>
      </c>
      <c r="Q1323" s="121" t="str">
        <v xml:space="preserve"> 5. </v>
      </c>
      <c r="R1323" s="121" t="str">
        <v>Orders management submits a message to the customer to inform them of the decision and any special conditions related to the cancellation of their order (e.g. part of the order already collected/despatched for delivery and cannot be cancelled).</v>
      </c>
      <c r="S1323" s="121" t="str">
        <v/>
      </c>
      <c r="T1323" s="119" t="str">
        <f>IF($C1323&lt;4,IF($C1323=3,T1324,IF($C1323=2,T$1,"")),Q1323&amp;R1323&amp;IF(LEN(S1323)=0,"",Preferences!$C$2&amp;S1323)&amp;IF(J1324=J1323,IF(LEN(R1323&amp;S1323)=0,"","
")&amp;T1324,""))</f>
        <v xml:space="preserve"> 5. Orders management submits a message to the customer to inform them of the decision and any special conditions related to the cancellation of their order (e.g. part of the order already collected/despatched for delivery and cannot be cancelled).
 6. The customer must be refunded partially/in full for any cancelled (but already paid for) customer order,as detailed in the Refunc customer order requirement.</v>
      </c>
      <c r="U1323" s="122" t="str">
        <v/>
      </c>
      <c r="V1323" s="42"/>
      <c r="W1323" s="42"/>
      <c r="X1323" s="42"/>
      <c r="Y1323" s="42"/>
      <c r="Z1323" s="42"/>
      <c r="AA1323" s="42"/>
      <c r="AB1323" s="42"/>
    </row>
    <row r="1324" spans="1:28" x14ac:dyDescent="0.25">
      <c r="A1324" s="42" t="str">
        <v>1.23.6.6</v>
      </c>
      <c r="B1324" s="121" t="str">
        <v>The customer must be refunded partially/in full for any cancelled (but already paid for) customer order,as detailed in the Refunc customer order requirement.</v>
      </c>
      <c r="C1324" s="41">
        <v>4</v>
      </c>
      <c r="D1324" s="41" t="str">
        <v>RD</v>
      </c>
      <c r="E1324" s="117" t="str">
        <f t="shared" si="0"/>
        <v>RD</v>
      </c>
      <c r="F1324" s="41" t="str">
        <v/>
      </c>
      <c r="G1324" s="41" t="str">
        <v/>
      </c>
      <c r="H1324" s="117">
        <f t="shared" si="1"/>
        <v>0</v>
      </c>
      <c r="I1324" s="117">
        <f t="shared" si="2"/>
        <v>23</v>
      </c>
      <c r="J1324" s="117">
        <f t="shared" si="3"/>
        <v>23.060000000000009</v>
      </c>
      <c r="K1324" s="117" t="str">
        <f t="shared" si="4"/>
        <v>BR</v>
      </c>
      <c r="L1324" s="42" t="str">
        <v>BR2306</v>
      </c>
      <c r="M1324" s="121" t="str">
        <v/>
      </c>
      <c r="N1324" s="121" t="str">
        <v/>
      </c>
      <c r="O1324" s="121" t="str">
        <v/>
      </c>
      <c r="P1324" s="121" t="str">
        <v/>
      </c>
      <c r="Q1324" s="121" t="str">
        <v xml:space="preserve"> 6. </v>
      </c>
      <c r="R1324" s="121" t="str">
        <v>The customer must be refunded partially/in full for any cancelled (but already paid for) customer order,as detailed in the Refunc customer order requirement.</v>
      </c>
      <c r="S1324" s="121" t="str">
        <v/>
      </c>
      <c r="T1324" s="119" t="str">
        <f>IF($C1324&lt;4,IF($C1324=3,T1325,IF($C1324=2,T$1,"")),Q1324&amp;R1324&amp;IF(LEN(S1324)=0,"",Preferences!$C$2&amp;S1324)&amp;IF(J1325=J1324,IF(LEN(R1324&amp;S1324)=0,"","
")&amp;T1325,""))</f>
        <v xml:space="preserve"> 6. The customer must be refunded partially/in full for any cancelled (but already paid for) customer order,as detailed in the Refunc customer order requirement.</v>
      </c>
      <c r="U1324" s="122" t="str">
        <v/>
      </c>
      <c r="V1324" s="42"/>
      <c r="W1324" s="42"/>
      <c r="X1324" s="42"/>
      <c r="Y1324" s="42"/>
      <c r="Z1324" s="42"/>
      <c r="AA1324" s="42"/>
      <c r="AB1324" s="42"/>
    </row>
    <row r="1325" spans="1:28" x14ac:dyDescent="0.25">
      <c r="A1325" s="42" t="str">
        <v>1.23.7</v>
      </c>
      <c r="B1325" s="121" t="str">
        <v>23.7 Refund customer order</v>
      </c>
      <c r="C1325" s="41">
        <v>3</v>
      </c>
      <c r="D1325" s="41" t="str">
        <v>R</v>
      </c>
      <c r="E1325" s="117" t="str">
        <f t="shared" si="0"/>
        <v>R</v>
      </c>
      <c r="F1325" s="41" t="str">
        <v/>
      </c>
      <c r="G1325" s="41" t="str">
        <v/>
      </c>
      <c r="H1325" s="117">
        <f t="shared" si="1"/>
        <v>0</v>
      </c>
      <c r="I1325" s="117">
        <f t="shared" si="2"/>
        <v>23</v>
      </c>
      <c r="J1325" s="117">
        <f t="shared" si="3"/>
        <v>23.070000000000011</v>
      </c>
      <c r="K1325" s="117" t="str">
        <f t="shared" si="4"/>
        <v>BR</v>
      </c>
      <c r="L1325" s="42" t="str">
        <v>BR2307</v>
      </c>
      <c r="M1325" s="121" t="str">
        <v/>
      </c>
      <c r="N1325" s="121" t="str">
        <v/>
      </c>
      <c r="O1325" s="121" t="str">
        <v>BR2307</v>
      </c>
      <c r="P1325" s="121" t="str">
        <v>Refund customer order</v>
      </c>
      <c r="Q1325" s="121" t="str">
        <v/>
      </c>
      <c r="R1325" s="121" t="str">
        <v/>
      </c>
      <c r="S1325" s="121" t="str">
        <v/>
      </c>
      <c r="T1325" s="119" t="str">
        <f>IF($C1325&lt;4,IF($C1325=3,T1326,IF($C1325=2,T$1,"")),Q1325&amp;R1325&amp;IF(LEN(S1325)=0,"",Preferences!$C$2&amp;S1325)&amp;IF(J1326=J1325,IF(LEN(R1325&amp;S1325)=0,"","
")&amp;T1326,""))</f>
        <v xml:space="preserve"> 1. Where a product was returned, the customer is refunded for that product.
 2. Where a purchased product cannot be supplied by a product supplier, the customer is refunded for that product.
 3. Where a delivery could not be made, the entire order is refunded, less a delivery fee.
 4. The status of the applicable products on the customer order is set to cancelled.
 5. Irrespective of whether the action was initiated as requested by the customer or not, a message is sent to the customer by the relevant department, to inform them of the action.</v>
      </c>
      <c r="U1325" s="122" t="str">
        <v/>
      </c>
      <c r="V1325" s="42"/>
      <c r="W1325" s="42"/>
      <c r="X1325" s="42"/>
      <c r="Y1325" s="42"/>
      <c r="Z1325" s="42"/>
      <c r="AA1325" s="42"/>
      <c r="AB1325" s="42"/>
    </row>
    <row r="1326" spans="1:28" x14ac:dyDescent="0.25">
      <c r="A1326" s="42" t="str">
        <v>1.23.7.1</v>
      </c>
      <c r="B1326" s="121" t="str">
        <v>Where a product was returned, the customer is refunded for that product.</v>
      </c>
      <c r="C1326" s="41">
        <v>4</v>
      </c>
      <c r="D1326" s="41" t="str">
        <v>RD</v>
      </c>
      <c r="E1326" s="117" t="str">
        <f t="shared" si="0"/>
        <v>RD</v>
      </c>
      <c r="F1326" s="41" t="str">
        <v/>
      </c>
      <c r="G1326" s="41" t="str">
        <v/>
      </c>
      <c r="H1326" s="117">
        <f t="shared" si="1"/>
        <v>0</v>
      </c>
      <c r="I1326" s="117">
        <f t="shared" si="2"/>
        <v>23</v>
      </c>
      <c r="J1326" s="117">
        <f t="shared" si="3"/>
        <v>23.070000000000011</v>
      </c>
      <c r="K1326" s="117" t="str">
        <f t="shared" si="4"/>
        <v>BR</v>
      </c>
      <c r="L1326" s="42" t="str">
        <v>BR2307</v>
      </c>
      <c r="M1326" s="121" t="str">
        <v/>
      </c>
      <c r="N1326" s="121" t="str">
        <v/>
      </c>
      <c r="O1326" s="121" t="str">
        <v/>
      </c>
      <c r="P1326" s="121" t="str">
        <v/>
      </c>
      <c r="Q1326" s="121" t="str">
        <v xml:space="preserve"> 1. </v>
      </c>
      <c r="R1326" s="121" t="str">
        <v>Where a product was returned, the customer is refunded for that product.</v>
      </c>
      <c r="S1326" s="121" t="str">
        <v/>
      </c>
      <c r="T1326" s="119" t="str">
        <f>IF($C1326&lt;4,IF($C1326=3,T1327,IF($C1326=2,T$1,"")),Q1326&amp;R1326&amp;IF(LEN(S1326)=0,"",Preferences!$C$2&amp;S1326)&amp;IF(J1327=J1326,IF(LEN(R1326&amp;S1326)=0,"","
")&amp;T1327,""))</f>
        <v xml:space="preserve"> 1. Where a product was returned, the customer is refunded for that product.
 2. Where a purchased product cannot be supplied by a product supplier, the customer is refunded for that product.
 3. Where a delivery could not be made, the entire order is refunded, less a delivery fee.
 4. The status of the applicable products on the customer order is set to cancelled.
 5. Irrespective of whether the action was initiated as requested by the customer or not, a message is sent to the customer by the relevant department, to inform them of the action.</v>
      </c>
      <c r="U1326" s="122" t="str">
        <v/>
      </c>
      <c r="V1326" s="42"/>
      <c r="W1326" s="42"/>
      <c r="X1326" s="42"/>
      <c r="Y1326" s="42"/>
      <c r="Z1326" s="42"/>
      <c r="AA1326" s="42"/>
      <c r="AB1326" s="42"/>
    </row>
    <row r="1327" spans="1:28" x14ac:dyDescent="0.25">
      <c r="A1327" s="42" t="str">
        <v>1.23.7.2</v>
      </c>
      <c r="B1327" s="121" t="str">
        <v>Where a purchased product cannot be supplied by a product supplier, the customer is refunded for that product.</v>
      </c>
      <c r="C1327" s="41">
        <v>4</v>
      </c>
      <c r="D1327" s="41" t="str">
        <v>RD</v>
      </c>
      <c r="E1327" s="117" t="str">
        <f t="shared" si="0"/>
        <v>RD</v>
      </c>
      <c r="F1327" s="41" t="str">
        <v/>
      </c>
      <c r="G1327" s="41" t="str">
        <v/>
      </c>
      <c r="H1327" s="117">
        <f t="shared" si="1"/>
        <v>0</v>
      </c>
      <c r="I1327" s="117">
        <f t="shared" si="2"/>
        <v>23</v>
      </c>
      <c r="J1327" s="117">
        <f t="shared" si="3"/>
        <v>23.070000000000011</v>
      </c>
      <c r="K1327" s="117" t="str">
        <f t="shared" si="4"/>
        <v>BR</v>
      </c>
      <c r="L1327" s="42" t="str">
        <v>BR2307</v>
      </c>
      <c r="M1327" s="121" t="str">
        <v/>
      </c>
      <c r="N1327" s="121" t="str">
        <v/>
      </c>
      <c r="O1327" s="121" t="str">
        <v/>
      </c>
      <c r="P1327" s="121" t="str">
        <v/>
      </c>
      <c r="Q1327" s="121" t="str">
        <v xml:space="preserve"> 2. </v>
      </c>
      <c r="R1327" s="121" t="str">
        <v>Where a purchased product cannot be supplied by a product supplier, the customer is refunded for that product.</v>
      </c>
      <c r="S1327" s="121" t="str">
        <v/>
      </c>
      <c r="T1327" s="119" t="str">
        <f>IF($C1327&lt;4,IF($C1327=3,T1328,IF($C1327=2,T$1,"")),Q1327&amp;R1327&amp;IF(LEN(S1327)=0,"",Preferences!$C$2&amp;S1327)&amp;IF(J1328=J1327,IF(LEN(R1327&amp;S1327)=0,"","
")&amp;T1328,""))</f>
        <v xml:space="preserve"> 2. Where a purchased product cannot be supplied by a product supplier, the customer is refunded for that product.
 3. Where a delivery could not be made, the entire order is refunded, less a delivery fee.
 4. The status of the applicable products on the customer order is set to cancelled.
 5. Irrespective of whether the action was initiated as requested by the customer or not, a message is sent to the customer by the relevant department, to inform them of the action.</v>
      </c>
      <c r="U1327" s="122" t="str">
        <v/>
      </c>
      <c r="V1327" s="42"/>
      <c r="W1327" s="42"/>
      <c r="X1327" s="42"/>
      <c r="Y1327" s="42"/>
      <c r="Z1327" s="42"/>
      <c r="AA1327" s="42"/>
      <c r="AB1327" s="42"/>
    </row>
    <row r="1328" spans="1:28" x14ac:dyDescent="0.25">
      <c r="A1328" s="42" t="str">
        <v>1.23.7.3</v>
      </c>
      <c r="B1328" s="121" t="str">
        <v>Where a delivery could not be made, the entire order is refunded, less a delivery fee.</v>
      </c>
      <c r="C1328" s="41">
        <v>4</v>
      </c>
      <c r="D1328" s="41" t="str">
        <v>RD</v>
      </c>
      <c r="E1328" s="117" t="str">
        <f t="shared" si="0"/>
        <v>RD</v>
      </c>
      <c r="F1328" s="41" t="str">
        <v/>
      </c>
      <c r="G1328" s="41" t="str">
        <v/>
      </c>
      <c r="H1328" s="117">
        <f t="shared" si="1"/>
        <v>0</v>
      </c>
      <c r="I1328" s="117">
        <f t="shared" si="2"/>
        <v>23</v>
      </c>
      <c r="J1328" s="117">
        <f t="shared" si="3"/>
        <v>23.070000000000011</v>
      </c>
      <c r="K1328" s="117" t="str">
        <f t="shared" si="4"/>
        <v>BR</v>
      </c>
      <c r="L1328" s="42" t="str">
        <v>BR2307</v>
      </c>
      <c r="M1328" s="121" t="str">
        <v/>
      </c>
      <c r="N1328" s="121" t="str">
        <v/>
      </c>
      <c r="O1328" s="121" t="str">
        <v/>
      </c>
      <c r="P1328" s="121" t="str">
        <v/>
      </c>
      <c r="Q1328" s="121" t="str">
        <v xml:space="preserve"> 3. </v>
      </c>
      <c r="R1328" s="121" t="str">
        <v>Where a delivery could not be made, the entire order is refunded, less a delivery fee.</v>
      </c>
      <c r="S1328" s="121" t="str">
        <v/>
      </c>
      <c r="T1328" s="119" t="str">
        <f>IF($C1328&lt;4,IF($C1328=3,T1329,IF($C1328=2,T$1,"")),Q1328&amp;R1328&amp;IF(LEN(S1328)=0,"",Preferences!$C$2&amp;S1328)&amp;IF(J1329=J1328,IF(LEN(R1328&amp;S1328)=0,"","
")&amp;T1329,""))</f>
        <v xml:space="preserve"> 3. Where a delivery could not be made, the entire order is refunded, less a delivery fee.
 4. The status of the applicable products on the customer order is set to cancelled.
 5. Irrespective of whether the action was initiated as requested by the customer or not, a message is sent to the customer by the relevant department, to inform them of the action.</v>
      </c>
      <c r="U1328" s="122" t="str">
        <v/>
      </c>
      <c r="V1328" s="42"/>
      <c r="W1328" s="42"/>
      <c r="X1328" s="42"/>
      <c r="Y1328" s="42"/>
      <c r="Z1328" s="42"/>
      <c r="AA1328" s="42"/>
      <c r="AB1328" s="42"/>
    </row>
    <row r="1329" spans="1:28" x14ac:dyDescent="0.25">
      <c r="A1329" s="42" t="str">
        <v>1.23.7.4</v>
      </c>
      <c r="B1329" s="121" t="str">
        <v>The status of the applicable products on the customer order is set to cancelled.</v>
      </c>
      <c r="C1329" s="41">
        <v>4</v>
      </c>
      <c r="D1329" s="41" t="str">
        <v>RD</v>
      </c>
      <c r="E1329" s="117" t="str">
        <f t="shared" si="0"/>
        <v>RD</v>
      </c>
      <c r="F1329" s="41" t="str">
        <v/>
      </c>
      <c r="G1329" s="41" t="str">
        <v/>
      </c>
      <c r="H1329" s="117">
        <f t="shared" si="1"/>
        <v>0</v>
      </c>
      <c r="I1329" s="117">
        <f t="shared" si="2"/>
        <v>23</v>
      </c>
      <c r="J1329" s="117">
        <f t="shared" si="3"/>
        <v>23.070000000000011</v>
      </c>
      <c r="K1329" s="117" t="str">
        <f t="shared" si="4"/>
        <v>BR</v>
      </c>
      <c r="L1329" s="42" t="str">
        <v>BR2307</v>
      </c>
      <c r="M1329" s="121" t="str">
        <v/>
      </c>
      <c r="N1329" s="121" t="str">
        <v/>
      </c>
      <c r="O1329" s="121" t="str">
        <v/>
      </c>
      <c r="P1329" s="121" t="str">
        <v/>
      </c>
      <c r="Q1329" s="121" t="str">
        <v xml:space="preserve"> 4. </v>
      </c>
      <c r="R1329" s="121" t="str">
        <v>The status of the applicable products on the customer order is set to cancelled.</v>
      </c>
      <c r="S1329" s="121" t="str">
        <v/>
      </c>
      <c r="T1329" s="119" t="str">
        <f>IF($C1329&lt;4,IF($C1329=3,T1330,IF($C1329=2,T$1,"")),Q1329&amp;R1329&amp;IF(LEN(S1329)=0,"",Preferences!$C$2&amp;S1329)&amp;IF(J1330=J1329,IF(LEN(R1329&amp;S1329)=0,"","
")&amp;T1330,""))</f>
        <v xml:space="preserve"> 4. The status of the applicable products on the customer order is set to cancelled.
 5. Irrespective of whether the action was initiated as requested by the customer or not, a message is sent to the customer by the relevant department, to inform them of the action.</v>
      </c>
      <c r="U1329" s="122" t="str">
        <v/>
      </c>
      <c r="V1329" s="42"/>
      <c r="W1329" s="42"/>
      <c r="X1329" s="42"/>
      <c r="Y1329" s="42"/>
      <c r="Z1329" s="42"/>
      <c r="AA1329" s="42"/>
      <c r="AB1329" s="42"/>
    </row>
    <row r="1330" spans="1:28" x14ac:dyDescent="0.25">
      <c r="A1330" s="42" t="str">
        <v>1.23.7.5</v>
      </c>
      <c r="B1330" s="121" t="str">
        <v>Irrespective of whether the action was initiated as requested by the customer or not, a message is sent to the customer by the relevant department, to inform them of the action.</v>
      </c>
      <c r="C1330" s="41">
        <v>4</v>
      </c>
      <c r="D1330" s="41" t="str">
        <v>RD</v>
      </c>
      <c r="E1330" s="117" t="str">
        <f t="shared" si="0"/>
        <v>RD</v>
      </c>
      <c r="F1330" s="41" t="str">
        <v/>
      </c>
      <c r="G1330" s="41" t="str">
        <v/>
      </c>
      <c r="H1330" s="117">
        <f t="shared" si="1"/>
        <v>0</v>
      </c>
      <c r="I1330" s="117">
        <f t="shared" si="2"/>
        <v>23</v>
      </c>
      <c r="J1330" s="117">
        <f t="shared" si="3"/>
        <v>23.070000000000011</v>
      </c>
      <c r="K1330" s="117" t="str">
        <f t="shared" si="4"/>
        <v>BR</v>
      </c>
      <c r="L1330" s="42" t="str">
        <v>BR2307</v>
      </c>
      <c r="M1330" s="121" t="str">
        <v/>
      </c>
      <c r="N1330" s="121" t="str">
        <v/>
      </c>
      <c r="O1330" s="121" t="str">
        <v/>
      </c>
      <c r="P1330" s="121" t="str">
        <v/>
      </c>
      <c r="Q1330" s="121" t="str">
        <v xml:space="preserve"> 5. </v>
      </c>
      <c r="R1330" s="121" t="str">
        <v>Irrespective of whether the action was initiated as requested by the customer or not, a message is sent to the customer by the relevant department, to inform them of the action.</v>
      </c>
      <c r="S1330" s="121" t="str">
        <v/>
      </c>
      <c r="T1330" s="119" t="str">
        <f>IF($C1330&lt;4,IF($C1330=3,T1331,IF($C1330=2,T$1,"")),Q1330&amp;R1330&amp;IF(LEN(S1330)=0,"",Preferences!$C$2&amp;S1330)&amp;IF(J1331=J1330,IF(LEN(R1330&amp;S1330)=0,"","
")&amp;T1331,""))</f>
        <v xml:space="preserve"> 5. Irrespective of whether the action was initiated as requested by the customer or not, a message is sent to the customer by the relevant department, to inform them of the action.</v>
      </c>
      <c r="U1330" s="122" t="str">
        <v/>
      </c>
      <c r="V1330" s="42"/>
      <c r="W1330" s="42"/>
      <c r="X1330" s="42"/>
      <c r="Y1330" s="42"/>
      <c r="Z1330" s="42"/>
      <c r="AA1330" s="42"/>
      <c r="AB1330" s="42"/>
    </row>
    <row r="1331" spans="1:28" x14ac:dyDescent="0.25">
      <c r="A1331" s="42" t="str">
        <v>1.24</v>
      </c>
      <c r="B1331" s="121" t="str">
        <v>24 Customer Returns Management</v>
      </c>
      <c r="C1331" s="41">
        <v>2</v>
      </c>
      <c r="D1331" s="41" t="str">
        <v>RS</v>
      </c>
      <c r="E1331" s="117" t="str">
        <f t="shared" si="0"/>
        <v>RS</v>
      </c>
      <c r="F1331" s="41" t="str">
        <v/>
      </c>
      <c r="G1331" s="41" t="str">
        <v/>
      </c>
      <c r="H1331" s="117">
        <f t="shared" si="1"/>
        <v>0</v>
      </c>
      <c r="I1331" s="117">
        <f t="shared" si="2"/>
        <v>24</v>
      </c>
      <c r="J1331" s="117">
        <f t="shared" si="3"/>
        <v>24</v>
      </c>
      <c r="K1331" s="117" t="str">
        <f t="shared" si="4"/>
        <v>BR</v>
      </c>
      <c r="L1331" s="42">
        <v>24</v>
      </c>
      <c r="M1331" s="121" t="str">
        <v/>
      </c>
      <c r="N1331" s="121" t="str">
        <v>24 Customer Returns Management</v>
      </c>
      <c r="O1331" s="121" t="str">
        <v>ReqID</v>
      </c>
      <c r="P1331" s="121" t="e">
        <v>#N/A</v>
      </c>
      <c r="Q1331" s="121" t="str">
        <v/>
      </c>
      <c r="R1331" s="121" t="str">
        <v/>
      </c>
      <c r="S1331" s="121" t="str">
        <v/>
      </c>
      <c r="T1331" s="119" t="str">
        <f>IF($C1331&lt;4,IF($C1331=3,T1332,IF($C1331=2,T$1,"")),Q1331&amp;R1331&amp;IF(LEN(S1331)=0,"",Preferences!$C$2&amp;S1331)&amp;IF(J1332=J1331,IF(LEN(R1331&amp;S1331)=0,"","
")&amp;T1332,""))</f>
        <v>Description</v>
      </c>
      <c r="U1331" s="122" t="str">
        <v/>
      </c>
      <c r="V1331" s="42"/>
      <c r="W1331" s="42"/>
      <c r="X1331" s="42"/>
      <c r="Y1331" s="42"/>
      <c r="Z1331" s="42"/>
      <c r="AA1331" s="42"/>
      <c r="AB1331" s="42"/>
    </row>
    <row r="1332" spans="1:28" x14ac:dyDescent="0.25">
      <c r="A1332" s="42" t="str">
        <v>1.24.1</v>
      </c>
      <c r="B1332" s="121" t="str">
        <v>24.1 Review customer return request</v>
      </c>
      <c r="C1332" s="41">
        <v>3</v>
      </c>
      <c r="D1332" s="41" t="str">
        <v>R</v>
      </c>
      <c r="E1332" s="117" t="str">
        <f t="shared" si="0"/>
        <v>R</v>
      </c>
      <c r="F1332" s="41" t="str">
        <v/>
      </c>
      <c r="G1332" s="41" t="str">
        <v/>
      </c>
      <c r="H1332" s="117">
        <f t="shared" si="1"/>
        <v>0</v>
      </c>
      <c r="I1332" s="117">
        <f t="shared" si="2"/>
        <v>24</v>
      </c>
      <c r="J1332" s="117">
        <f t="shared" si="3"/>
        <v>24.01</v>
      </c>
      <c r="K1332" s="117" t="str">
        <f t="shared" si="4"/>
        <v>BR</v>
      </c>
      <c r="L1332" s="42" t="str">
        <v>BR2401</v>
      </c>
      <c r="M1332" s="121" t="str">
        <v/>
      </c>
      <c r="N1332" s="121" t="str">
        <v/>
      </c>
      <c r="O1332" s="121" t="str">
        <v>BR2401</v>
      </c>
      <c r="P1332" s="121" t="str">
        <v>Review customer return request</v>
      </c>
      <c r="Q1332" s="121" t="str">
        <v/>
      </c>
      <c r="R1332" s="121" t="str">
        <v/>
      </c>
      <c r="S1332" s="121" t="str">
        <v/>
      </c>
      <c r="T1332" s="119" t="str">
        <f>IF($C1332&lt;4,IF($C1332=3,T1333,IF($C1332=2,T$1,"")),Q1332&amp;R1332&amp;IF(LEN(S1332)=0,"",Preferences!$C$2&amp;S1332)&amp;IF(J1333=J1332,IF(LEN(R1332&amp;S1332)=0,"","
")&amp;T1333,""))</f>
        <v xml:space="preserve"> 1. Order management must review each return request received from a customer, to determine the status of the order and the related products.
 2. On approval, update the status of the return request.
 3. For a denial, update the status to denied and submit an explanatory message to the customer.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2" s="122" t="str">
        <v/>
      </c>
      <c r="V1332" s="42"/>
      <c r="W1332" s="42"/>
      <c r="X1332" s="42"/>
      <c r="Y1332" s="42"/>
      <c r="Z1332" s="42"/>
      <c r="AA1332" s="42"/>
      <c r="AB1332" s="42"/>
    </row>
    <row r="1333" spans="1:28" x14ac:dyDescent="0.25">
      <c r="A1333" s="42" t="str">
        <v>1.24.1.1</v>
      </c>
      <c r="B1333" s="121" t="str">
        <v>Order management must review each return request received from a customer, to determine the status of the order and the related products.</v>
      </c>
      <c r="C1333" s="41">
        <v>4</v>
      </c>
      <c r="D1333" s="41" t="str">
        <v>RD</v>
      </c>
      <c r="E1333" s="117" t="str">
        <f t="shared" si="0"/>
        <v>RD</v>
      </c>
      <c r="F1333" s="41" t="str">
        <v/>
      </c>
      <c r="G1333" s="41" t="str">
        <v/>
      </c>
      <c r="H1333" s="117">
        <f t="shared" si="1"/>
        <v>0</v>
      </c>
      <c r="I1333" s="117">
        <f t="shared" si="2"/>
        <v>24</v>
      </c>
      <c r="J1333" s="117">
        <f t="shared" si="3"/>
        <v>24.01</v>
      </c>
      <c r="K1333" s="117" t="str">
        <f t="shared" si="4"/>
        <v>BR</v>
      </c>
      <c r="L1333" s="42" t="str">
        <v>BR2401</v>
      </c>
      <c r="M1333" s="121" t="str">
        <v/>
      </c>
      <c r="N1333" s="121" t="str">
        <v/>
      </c>
      <c r="O1333" s="121" t="str">
        <v/>
      </c>
      <c r="P1333" s="121" t="str">
        <v/>
      </c>
      <c r="Q1333" s="121" t="str">
        <v xml:space="preserve"> 1. </v>
      </c>
      <c r="R1333" s="121" t="str">
        <v>Order management must review each return request received from a customer, to determine the status of the order and the related products.</v>
      </c>
      <c r="S1333" s="121" t="str">
        <v/>
      </c>
      <c r="T1333" s="119" t="str">
        <f>IF($C1333&lt;4,IF($C1333=3,T1334,IF($C1333=2,T$1,"")),Q1333&amp;R1333&amp;IF(LEN(S1333)=0,"",Preferences!$C$2&amp;S1333)&amp;IF(J1334=J1333,IF(LEN(R1333&amp;S1333)=0,"","
")&amp;T1334,""))</f>
        <v xml:space="preserve"> 1. Order management must review each return request received from a customer, to determine the status of the order and the related products.
 2. On approval, update the status of the return request.
 3. For a denial, update the status to denied and submit an explanatory message to the customer.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3" s="122" t="str">
        <v/>
      </c>
      <c r="V1333" s="42"/>
      <c r="W1333" s="42"/>
      <c r="X1333" s="42"/>
      <c r="Y1333" s="42"/>
      <c r="Z1333" s="42"/>
      <c r="AA1333" s="42"/>
      <c r="AB1333" s="42"/>
    </row>
    <row r="1334" spans="1:28" x14ac:dyDescent="0.25">
      <c r="A1334" s="42" t="str">
        <v>1.24.1.2</v>
      </c>
      <c r="B1334" s="121" t="str">
        <v>On approval, update the status of the return request.</v>
      </c>
      <c r="C1334" s="41">
        <v>4</v>
      </c>
      <c r="D1334" s="41" t="str">
        <v>RD</v>
      </c>
      <c r="E1334" s="117" t="str">
        <f t="shared" si="0"/>
        <v>RD</v>
      </c>
      <c r="F1334" s="41" t="str">
        <v/>
      </c>
      <c r="G1334" s="41" t="str">
        <v/>
      </c>
      <c r="H1334" s="117">
        <f t="shared" si="1"/>
        <v>0</v>
      </c>
      <c r="I1334" s="117">
        <f t="shared" si="2"/>
        <v>24</v>
      </c>
      <c r="J1334" s="117">
        <f t="shared" si="3"/>
        <v>24.01</v>
      </c>
      <c r="K1334" s="117" t="str">
        <f t="shared" si="4"/>
        <v>BR</v>
      </c>
      <c r="L1334" s="42" t="str">
        <v>BR2401</v>
      </c>
      <c r="M1334" s="121" t="str">
        <v/>
      </c>
      <c r="N1334" s="121" t="str">
        <v/>
      </c>
      <c r="O1334" s="121" t="str">
        <v/>
      </c>
      <c r="P1334" s="121" t="str">
        <v/>
      </c>
      <c r="Q1334" s="121" t="str">
        <v xml:space="preserve"> 2. </v>
      </c>
      <c r="R1334" s="121" t="str">
        <v>On approval, update the status of the return request.</v>
      </c>
      <c r="S1334" s="121" t="str">
        <v/>
      </c>
      <c r="T1334" s="119" t="str">
        <f>IF($C1334&lt;4,IF($C1334=3,T1335,IF($C1334=2,T$1,"")),Q1334&amp;R1334&amp;IF(LEN(S1334)=0,"",Preferences!$C$2&amp;S1334)&amp;IF(J1335=J1334,IF(LEN(R1334&amp;S1334)=0,"","
")&amp;T1335,""))</f>
        <v xml:space="preserve"> 2. On approval, update the status of the return request.
 3. For a denial, update the status to denied and submit an explanatory message to the customer.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4" s="122" t="str">
        <v/>
      </c>
      <c r="V1334" s="42"/>
      <c r="W1334" s="42"/>
      <c r="X1334" s="42"/>
      <c r="Y1334" s="42"/>
      <c r="Z1334" s="42"/>
      <c r="AA1334" s="42"/>
      <c r="AB1334" s="42"/>
    </row>
    <row r="1335" spans="1:28" x14ac:dyDescent="0.25">
      <c r="A1335" s="42" t="str">
        <v>1.24.1.3</v>
      </c>
      <c r="B1335" s="121" t="str">
        <v>For a denial, update the status to denied and submit an explanatory message to the customer.</v>
      </c>
      <c r="C1335" s="41">
        <v>4</v>
      </c>
      <c r="D1335" s="41" t="str">
        <v>RD</v>
      </c>
      <c r="E1335" s="117" t="str">
        <f t="shared" si="0"/>
        <v>RD</v>
      </c>
      <c r="F1335" s="41" t="str">
        <v/>
      </c>
      <c r="G1335" s="41" t="str">
        <v/>
      </c>
      <c r="H1335" s="117">
        <f t="shared" si="1"/>
        <v>0</v>
      </c>
      <c r="I1335" s="117">
        <f t="shared" si="2"/>
        <v>24</v>
      </c>
      <c r="J1335" s="117">
        <f t="shared" si="3"/>
        <v>24.01</v>
      </c>
      <c r="K1335" s="117" t="str">
        <f t="shared" si="4"/>
        <v>BR</v>
      </c>
      <c r="L1335" s="42" t="str">
        <v>BR2401</v>
      </c>
      <c r="M1335" s="121" t="str">
        <v/>
      </c>
      <c r="N1335" s="121" t="str">
        <v/>
      </c>
      <c r="O1335" s="121" t="str">
        <v/>
      </c>
      <c r="P1335" s="121" t="str">
        <v/>
      </c>
      <c r="Q1335" s="121" t="str">
        <v xml:space="preserve"> 3. </v>
      </c>
      <c r="R1335" s="121" t="str">
        <v>For a denial, update the status to denied and submit an explanatory message to the customer.</v>
      </c>
      <c r="S1335" s="121" t="str">
        <v/>
      </c>
      <c r="T1335" s="119" t="str">
        <f>IF($C1335&lt;4,IF($C1335=3,T1336,IF($C1335=2,T$1,"")),Q1335&amp;R1335&amp;IF(LEN(S1335)=0,"",Preferences!$C$2&amp;S1335)&amp;IF(J1336=J1335,IF(LEN(R1335&amp;S1335)=0,"","
")&amp;T1336,""))</f>
        <v xml:space="preserve"> 3. For a denial, update the status to denied and submit an explanatory message to the customer.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5" s="122" t="str">
        <v/>
      </c>
      <c r="V1335" s="42"/>
      <c r="W1335" s="42"/>
      <c r="X1335" s="42"/>
      <c r="Y1335" s="42"/>
      <c r="Z1335" s="42"/>
      <c r="AA1335" s="42"/>
      <c r="AB1335" s="42"/>
    </row>
    <row r="1336" spans="1:28" x14ac:dyDescent="0.25">
      <c r="A1336" s="42" t="str">
        <v>1.24.1.3.1</v>
      </c>
      <c r="B1336" s="121" t="str">
        <v>If needed, contact the customer to clarify the request, or to ask them to log the return on the correct customer order.</v>
      </c>
      <c r="C1336" s="41">
        <v>5</v>
      </c>
      <c r="D1336" s="41" t="str">
        <v>RL</v>
      </c>
      <c r="E1336" s="117" t="str">
        <f t="shared" si="0"/>
        <v>RL</v>
      </c>
      <c r="F1336" s="41" t="str">
        <v/>
      </c>
      <c r="G1336" s="41" t="str">
        <v/>
      </c>
      <c r="H1336" s="117">
        <f t="shared" si="1"/>
        <v>0</v>
      </c>
      <c r="I1336" s="117">
        <f t="shared" si="2"/>
        <v>24</v>
      </c>
      <c r="J1336" s="117">
        <f t="shared" si="3"/>
        <v>24.01</v>
      </c>
      <c r="K1336" s="117" t="str">
        <f t="shared" si="4"/>
        <v>BR</v>
      </c>
      <c r="L1336" s="42" t="str">
        <v>BR2401</v>
      </c>
      <c r="M1336" s="121" t="str">
        <v/>
      </c>
      <c r="N1336" s="121" t="str">
        <v/>
      </c>
      <c r="O1336" s="121" t="str">
        <v/>
      </c>
      <c r="P1336" s="121" t="str">
        <v/>
      </c>
      <c r="Q1336" s="121" t="str">
        <v/>
      </c>
      <c r="R1336" s="121" t="str">
        <v/>
      </c>
      <c r="S1336" s="121" t="str">
        <v>If needed, contact the customer to clarify the request, or to ask them to log the return on the correct customer order.</v>
      </c>
      <c r="T1336" s="119" t="str">
        <f>IF($C1336&lt;4,IF($C1336=3,T1337,IF($C1336=2,T$1,"")),Q1336&amp;R1336&amp;IF(LEN(S1336)=0,"",Preferences!$C$2&amp;S1336)&amp;IF(J1337=J1336,IF(LEN(R1336&amp;S1336)=0,"","
")&amp;T1337,""))</f>
        <v xml:space="preserve">	• If needed, contact the customer to clarify the request, or to ask them to log the return on the correct customer order.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6" s="122" t="str">
        <v/>
      </c>
      <c r="V1336" s="42"/>
      <c r="W1336" s="42"/>
      <c r="X1336" s="42"/>
      <c r="Y1336" s="42"/>
      <c r="Z1336" s="42"/>
      <c r="AA1336" s="42"/>
      <c r="AB1336" s="42"/>
    </row>
    <row r="1337" spans="1:28" x14ac:dyDescent="0.25">
      <c r="A1337" s="42" t="str">
        <v>1.24.1.4</v>
      </c>
      <c r="B1337" s="121" t="str">
        <v>The approved return request is then allocated to the relevant suppliers and courier, as detailed in the following requirements:</v>
      </c>
      <c r="C1337" s="41">
        <v>4</v>
      </c>
      <c r="D1337" s="41" t="str">
        <v>RD</v>
      </c>
      <c r="E1337" s="117" t="str">
        <f t="shared" si="0"/>
        <v>RD</v>
      </c>
      <c r="F1337" s="41" t="str">
        <v/>
      </c>
      <c r="G1337" s="41" t="str">
        <v/>
      </c>
      <c r="H1337" s="117">
        <f t="shared" si="1"/>
        <v>0</v>
      </c>
      <c r="I1337" s="117">
        <f t="shared" si="2"/>
        <v>24</v>
      </c>
      <c r="J1337" s="117">
        <f t="shared" si="3"/>
        <v>24.01</v>
      </c>
      <c r="K1337" s="117" t="str">
        <f t="shared" si="4"/>
        <v>BR</v>
      </c>
      <c r="L1337" s="42" t="str">
        <v>BR2401</v>
      </c>
      <c r="M1337" s="121" t="str">
        <v/>
      </c>
      <c r="N1337" s="121" t="str">
        <v/>
      </c>
      <c r="O1337" s="121" t="str">
        <v/>
      </c>
      <c r="P1337" s="121" t="str">
        <v/>
      </c>
      <c r="Q1337" s="121" t="str">
        <v xml:space="preserve"> 4. </v>
      </c>
      <c r="R1337" s="121" t="str">
        <v>The approved return request is then allocated to the relevant suppliers and courier, as detailed in the following requirements:</v>
      </c>
      <c r="S1337" s="121" t="str">
        <v/>
      </c>
      <c r="T1337" s="119" t="str">
        <f>IF($C1337&lt;4,IF($C1337=3,T1338,IF($C1337=2,T$1,"")),Q1337&amp;R1337&amp;IF(LEN(S1337)=0,"",Preferences!$C$2&amp;S1337)&amp;IF(J1338=J1337,IF(LEN(R1337&amp;S1337)=0,"","
")&amp;T1338,""))</f>
        <v xml:space="preserve"> 4. The approved return request is then allocated to the relevant suppliers and courier, as detailed in the following requirements:
	• Submit a supplier return for an approved return request to the relevant supplier
	• Submit each supplier return request to the courier for collection</v>
      </c>
      <c r="U1337" s="122" t="str">
        <v/>
      </c>
      <c r="V1337" s="42"/>
      <c r="W1337" s="42"/>
      <c r="X1337" s="42"/>
      <c r="Y1337" s="42"/>
      <c r="Z1337" s="42"/>
      <c r="AA1337" s="42"/>
      <c r="AB1337" s="42"/>
    </row>
    <row r="1338" spans="1:28" x14ac:dyDescent="0.25">
      <c r="A1338" s="42" t="str">
        <v>1.24.1.4.1</v>
      </c>
      <c r="B1338" s="121" t="str">
        <v>Submit a supplier return for an approved return request to the relevant supplier</v>
      </c>
      <c r="C1338" s="41">
        <v>5</v>
      </c>
      <c r="D1338" s="41" t="str">
        <v>RL</v>
      </c>
      <c r="E1338" s="117" t="str">
        <f t="shared" si="0"/>
        <v>RL</v>
      </c>
      <c r="F1338" s="41" t="str">
        <v/>
      </c>
      <c r="G1338" s="41" t="str">
        <v/>
      </c>
      <c r="H1338" s="117">
        <f t="shared" si="1"/>
        <v>0</v>
      </c>
      <c r="I1338" s="117">
        <f t="shared" si="2"/>
        <v>24</v>
      </c>
      <c r="J1338" s="117">
        <f t="shared" si="3"/>
        <v>24.01</v>
      </c>
      <c r="K1338" s="117" t="str">
        <f t="shared" si="4"/>
        <v>BR</v>
      </c>
      <c r="L1338" s="42" t="str">
        <v>BR2401</v>
      </c>
      <c r="M1338" s="121" t="str">
        <v/>
      </c>
      <c r="N1338" s="121" t="str">
        <v/>
      </c>
      <c r="O1338" s="121" t="str">
        <v/>
      </c>
      <c r="P1338" s="121" t="str">
        <v/>
      </c>
      <c r="Q1338" s="121" t="str">
        <v/>
      </c>
      <c r="R1338" s="121" t="str">
        <v/>
      </c>
      <c r="S1338" s="121" t="str">
        <v>Submit a supplier return for an approved return request to the relevant supplier</v>
      </c>
      <c r="T1338" s="119" t="str">
        <f>IF($C1338&lt;4,IF($C1338=3,T1339,IF($C1338=2,T$1,"")),Q1338&amp;R1338&amp;IF(LEN(S1338)=0,"",Preferences!$C$2&amp;S1338)&amp;IF(J1339=J1338,IF(LEN(R1338&amp;S1338)=0,"","
")&amp;T1339,""))</f>
        <v xml:space="preserve">	• Submit a supplier return for an approved return request to the relevant supplier
	• Submit each supplier return request to the courier for collection</v>
      </c>
      <c r="U1338" s="122" t="str">
        <v/>
      </c>
      <c r="V1338" s="42"/>
      <c r="W1338" s="42"/>
      <c r="X1338" s="42"/>
      <c r="Y1338" s="42"/>
      <c r="Z1338" s="42"/>
      <c r="AA1338" s="42"/>
      <c r="AB1338" s="42"/>
    </row>
    <row r="1339" spans="1:28" x14ac:dyDescent="0.25">
      <c r="A1339" s="42" t="str">
        <v>1.24.1.4.2</v>
      </c>
      <c r="B1339" s="121" t="str">
        <v>Submit each supplier return request to the courier for collection</v>
      </c>
      <c r="C1339" s="41">
        <v>5</v>
      </c>
      <c r="D1339" s="41" t="str">
        <v>RL</v>
      </c>
      <c r="E1339" s="117" t="str">
        <f t="shared" si="0"/>
        <v>RL</v>
      </c>
      <c r="F1339" s="41" t="str">
        <v/>
      </c>
      <c r="G1339" s="41" t="str">
        <v/>
      </c>
      <c r="H1339" s="117">
        <f t="shared" si="1"/>
        <v>0</v>
      </c>
      <c r="I1339" s="117">
        <f t="shared" si="2"/>
        <v>24</v>
      </c>
      <c r="J1339" s="117">
        <f t="shared" si="3"/>
        <v>24.01</v>
      </c>
      <c r="K1339" s="117" t="str">
        <f t="shared" si="4"/>
        <v>BR</v>
      </c>
      <c r="L1339" s="42" t="str">
        <v>BR2401</v>
      </c>
      <c r="M1339" s="121" t="str">
        <v/>
      </c>
      <c r="N1339" s="121" t="str">
        <v/>
      </c>
      <c r="O1339" s="121" t="str">
        <v/>
      </c>
      <c r="P1339" s="121" t="str">
        <v/>
      </c>
      <c r="Q1339" s="121" t="str">
        <v/>
      </c>
      <c r="R1339" s="121" t="str">
        <v/>
      </c>
      <c r="S1339" s="121" t="str">
        <v>Submit each supplier return request to the courier for collection</v>
      </c>
      <c r="T1339" s="119" t="str">
        <f>IF($C1339&lt;4,IF($C1339=3,T1340,IF($C1339=2,T$1,"")),Q1339&amp;R1339&amp;IF(LEN(S1339)=0,"",Preferences!$C$2&amp;S1339)&amp;IF(J1340=J1339,IF(LEN(R1339&amp;S1339)=0,"","
")&amp;T1340,""))</f>
        <v xml:space="preserve">	• Submit each supplier return request to the courier for collection</v>
      </c>
      <c r="U1339" s="122" t="str">
        <v/>
      </c>
      <c r="V1339" s="42"/>
      <c r="W1339" s="42"/>
      <c r="X1339" s="42"/>
      <c r="Y1339" s="42"/>
      <c r="Z1339" s="42"/>
      <c r="AA1339" s="42"/>
      <c r="AB1339" s="42"/>
    </row>
    <row r="1340" spans="1:28" x14ac:dyDescent="0.25">
      <c r="A1340" s="42" t="str">
        <v>1.24.2</v>
      </c>
      <c r="B1340" s="121" t="str">
        <v>24.2 Submit a supplier return for an approved return request to the relevant supplier</v>
      </c>
      <c r="C1340" s="41">
        <v>3</v>
      </c>
      <c r="D1340" s="41" t="str">
        <v>R</v>
      </c>
      <c r="E1340" s="117" t="str">
        <f t="shared" si="0"/>
        <v>R</v>
      </c>
      <c r="F1340" s="41" t="str">
        <v/>
      </c>
      <c r="G1340" s="41" t="str">
        <v/>
      </c>
      <c r="H1340" s="117">
        <f t="shared" si="1"/>
        <v>0</v>
      </c>
      <c r="I1340" s="117">
        <f t="shared" si="2"/>
        <v>24</v>
      </c>
      <c r="J1340" s="117">
        <f t="shared" si="3"/>
        <v>24.020000000000003</v>
      </c>
      <c r="K1340" s="117" t="str">
        <f t="shared" si="4"/>
        <v>BR</v>
      </c>
      <c r="L1340" s="42" t="str">
        <v>BR2402</v>
      </c>
      <c r="M1340" s="121" t="str">
        <v/>
      </c>
      <c r="N1340" s="121" t="str">
        <v/>
      </c>
      <c r="O1340" s="121" t="str">
        <v>BR2402</v>
      </c>
      <c r="P1340" s="121" t="str">
        <v>Submit a supplier return for an approved return request to the relevant supplier</v>
      </c>
      <c r="Q1340" s="121" t="str">
        <v/>
      </c>
      <c r="R1340" s="121" t="str">
        <v/>
      </c>
      <c r="S1340" s="121" t="str">
        <v/>
      </c>
      <c r="T1340" s="119" t="str">
        <f>IF($C1340&lt;4,IF($C1340=3,T1341,IF($C1340=2,T$1,"")),Q1340&amp;R1340&amp;IF(LEN(S1340)=0,"",Preferences!$C$2&amp;S1340)&amp;IF(J1341=J1340,IF(LEN(R1340&amp;S1340)=0,"","
")&amp;T1341,""))</f>
        <v xml:space="preserve"> 1. The approved return is submitted to the supplier, to include at least the following:
	• Customer return reference number
	• List of products to be returned (barcode, name, quantity)
 2. Once the return request has been registered, the supplier must automatically acknowledge the return, to include at least the following:
	• For each product listed, confirmation of the quantity to be accepted.
	• Supplier return reference number</v>
      </c>
      <c r="U1340" s="122" t="str">
        <v/>
      </c>
      <c r="V1340" s="42"/>
      <c r="W1340" s="42"/>
      <c r="X1340" s="42"/>
      <c r="Y1340" s="42"/>
      <c r="Z1340" s="42"/>
      <c r="AA1340" s="42"/>
      <c r="AB1340" s="42"/>
    </row>
    <row r="1341" spans="1:28" x14ac:dyDescent="0.25">
      <c r="A1341" s="42" t="str">
        <v>1.24.2.1</v>
      </c>
      <c r="B1341" s="121" t="str">
        <v>The approved return is submitted to the supplier, to include at least the following:</v>
      </c>
      <c r="C1341" s="41">
        <v>4</v>
      </c>
      <c r="D1341" s="41" t="str">
        <v>RD</v>
      </c>
      <c r="E1341" s="117" t="str">
        <f t="shared" si="0"/>
        <v>RD</v>
      </c>
      <c r="F1341" s="41" t="str">
        <v/>
      </c>
      <c r="G1341" s="41" t="str">
        <v/>
      </c>
      <c r="H1341" s="117">
        <f t="shared" si="1"/>
        <v>0</v>
      </c>
      <c r="I1341" s="117">
        <f t="shared" si="2"/>
        <v>24</v>
      </c>
      <c r="J1341" s="117">
        <f t="shared" si="3"/>
        <v>24.020000000000003</v>
      </c>
      <c r="K1341" s="117" t="str">
        <f t="shared" si="4"/>
        <v>BR</v>
      </c>
      <c r="L1341" s="42" t="str">
        <v>BR2402</v>
      </c>
      <c r="M1341" s="121" t="str">
        <v/>
      </c>
      <c r="N1341" s="121" t="str">
        <v/>
      </c>
      <c r="O1341" s="121" t="str">
        <v/>
      </c>
      <c r="P1341" s="121" t="str">
        <v/>
      </c>
      <c r="Q1341" s="121" t="str">
        <v xml:space="preserve"> 1. </v>
      </c>
      <c r="R1341" s="121" t="str">
        <v>The approved return is submitted to the supplier, to include at least the following:</v>
      </c>
      <c r="S1341" s="121" t="str">
        <v/>
      </c>
      <c r="T1341" s="119" t="str">
        <f>IF($C1341&lt;4,IF($C1341=3,T1342,IF($C1341=2,T$1,"")),Q1341&amp;R1341&amp;IF(LEN(S1341)=0,"",Preferences!$C$2&amp;S1341)&amp;IF(J1342=J1341,IF(LEN(R1341&amp;S1341)=0,"","
")&amp;T1342,""))</f>
        <v xml:space="preserve"> 1. The approved return is submitted to the supplier, to include at least the following:
	• Customer return reference number
	• List of products to be returned (barcode, name, quantity)
 2. Once the return request has been registered, the supplier must automatically acknowledge the return, to include at least the following:
	• For each product listed, confirmation of the quantity to be accepted.
	• Supplier return reference number</v>
      </c>
      <c r="U1341" s="122" t="str">
        <v/>
      </c>
      <c r="V1341" s="42"/>
      <c r="W1341" s="42"/>
      <c r="X1341" s="42"/>
      <c r="Y1341" s="42"/>
      <c r="Z1341" s="42"/>
      <c r="AA1341" s="42"/>
      <c r="AB1341" s="42"/>
    </row>
    <row r="1342" spans="1:28" x14ac:dyDescent="0.25">
      <c r="A1342" s="42" t="str">
        <v>1.24.2.1.1</v>
      </c>
      <c r="B1342" s="121" t="str">
        <v>Customer return reference number</v>
      </c>
      <c r="C1342" s="41">
        <v>5</v>
      </c>
      <c r="D1342" s="41" t="str">
        <v>RL</v>
      </c>
      <c r="E1342" s="117" t="str">
        <f t="shared" si="0"/>
        <v>RL</v>
      </c>
      <c r="F1342" s="41" t="str">
        <v/>
      </c>
      <c r="G1342" s="41" t="str">
        <v/>
      </c>
      <c r="H1342" s="117">
        <f t="shared" si="1"/>
        <v>0</v>
      </c>
      <c r="I1342" s="117">
        <f t="shared" si="2"/>
        <v>24</v>
      </c>
      <c r="J1342" s="117">
        <f t="shared" si="3"/>
        <v>24.020000000000003</v>
      </c>
      <c r="K1342" s="117" t="str">
        <f t="shared" si="4"/>
        <v>BR</v>
      </c>
      <c r="L1342" s="42" t="str">
        <v>BR2402</v>
      </c>
      <c r="M1342" s="121" t="str">
        <v/>
      </c>
      <c r="N1342" s="121" t="str">
        <v/>
      </c>
      <c r="O1342" s="121" t="str">
        <v/>
      </c>
      <c r="P1342" s="121" t="str">
        <v/>
      </c>
      <c r="Q1342" s="121" t="str">
        <v/>
      </c>
      <c r="R1342" s="121" t="str">
        <v/>
      </c>
      <c r="S1342" s="121" t="str">
        <v>Customer return reference number</v>
      </c>
      <c r="T1342" s="119" t="str">
        <f>IF($C1342&lt;4,IF($C1342=3,T1343,IF($C1342=2,T$1,"")),Q1342&amp;R1342&amp;IF(LEN(S1342)=0,"",Preferences!$C$2&amp;S1342)&amp;IF(J1343=J1342,IF(LEN(R1342&amp;S1342)=0,"","
")&amp;T1343,""))</f>
        <v xml:space="preserve">	• Customer return reference number
	• List of products to be returned (barcode, name, quantity)
 2. Once the return request has been registered, the supplier must automatically acknowledge the return, to include at least the following:
	• For each product listed, confirmation of the quantity to be accepted.
	• Supplier return reference number</v>
      </c>
      <c r="U1342" s="122" t="str">
        <v/>
      </c>
      <c r="V1342" s="42"/>
      <c r="W1342" s="42"/>
      <c r="X1342" s="42"/>
      <c r="Y1342" s="42"/>
      <c r="Z1342" s="42"/>
      <c r="AA1342" s="42"/>
      <c r="AB1342" s="42"/>
    </row>
    <row r="1343" spans="1:28" x14ac:dyDescent="0.25">
      <c r="A1343" s="42" t="str">
        <v>1.24.2.1.2</v>
      </c>
      <c r="B1343" s="121" t="str">
        <v>List of products to be returned (barcode, name, quantity)</v>
      </c>
      <c r="C1343" s="41">
        <v>5</v>
      </c>
      <c r="D1343" s="41" t="str">
        <v>RL</v>
      </c>
      <c r="E1343" s="117" t="str">
        <f t="shared" si="0"/>
        <v>RL</v>
      </c>
      <c r="F1343" s="41" t="str">
        <v/>
      </c>
      <c r="G1343" s="41" t="str">
        <v/>
      </c>
      <c r="H1343" s="117">
        <f t="shared" si="1"/>
        <v>0</v>
      </c>
      <c r="I1343" s="117">
        <f t="shared" si="2"/>
        <v>24</v>
      </c>
      <c r="J1343" s="117">
        <f t="shared" si="3"/>
        <v>24.020000000000003</v>
      </c>
      <c r="K1343" s="117" t="str">
        <f t="shared" si="4"/>
        <v>BR</v>
      </c>
      <c r="L1343" s="42" t="str">
        <v>BR2402</v>
      </c>
      <c r="M1343" s="121" t="str">
        <v/>
      </c>
      <c r="N1343" s="121" t="str">
        <v/>
      </c>
      <c r="O1343" s="121" t="str">
        <v/>
      </c>
      <c r="P1343" s="121" t="str">
        <v/>
      </c>
      <c r="Q1343" s="121" t="str">
        <v/>
      </c>
      <c r="R1343" s="121" t="str">
        <v/>
      </c>
      <c r="S1343" s="121" t="str">
        <v>List of products to be returned (barcode, name, quantity)</v>
      </c>
      <c r="T1343" s="119" t="str">
        <f>IF($C1343&lt;4,IF($C1343=3,T1344,IF($C1343=2,T$1,"")),Q1343&amp;R1343&amp;IF(LEN(S1343)=0,"",Preferences!$C$2&amp;S1343)&amp;IF(J1344=J1343,IF(LEN(R1343&amp;S1343)=0,"","
")&amp;T1344,""))</f>
        <v xml:space="preserve">	• List of products to be returned (barcode, name, quantity)
 2. Once the return request has been registered, the supplier must automatically acknowledge the return, to include at least the following:
	• For each product listed, confirmation of the quantity to be accepted.
	• Supplier return reference number</v>
      </c>
      <c r="U1343" s="122" t="str">
        <v/>
      </c>
      <c r="V1343" s="42"/>
      <c r="W1343" s="42"/>
      <c r="X1343" s="42"/>
      <c r="Y1343" s="42"/>
      <c r="Z1343" s="42"/>
      <c r="AA1343" s="42"/>
      <c r="AB1343" s="42"/>
    </row>
    <row r="1344" spans="1:28" x14ac:dyDescent="0.25">
      <c r="A1344" s="42" t="str">
        <v>1.24.2.2</v>
      </c>
      <c r="B1344" s="121" t="str">
        <v>Once the return request has been registered, the supplier must automatically acknowledge the return, to include at least the following:</v>
      </c>
      <c r="C1344" s="41">
        <v>4</v>
      </c>
      <c r="D1344" s="41" t="str">
        <v>RD</v>
      </c>
      <c r="E1344" s="117" t="str">
        <f t="shared" si="0"/>
        <v>RD</v>
      </c>
      <c r="F1344" s="41" t="str">
        <v/>
      </c>
      <c r="G1344" s="41" t="str">
        <v/>
      </c>
      <c r="H1344" s="117">
        <f t="shared" si="1"/>
        <v>0</v>
      </c>
      <c r="I1344" s="117">
        <f t="shared" si="2"/>
        <v>24</v>
      </c>
      <c r="J1344" s="117">
        <f t="shared" si="3"/>
        <v>24.020000000000003</v>
      </c>
      <c r="K1344" s="117" t="str">
        <f t="shared" si="4"/>
        <v>BR</v>
      </c>
      <c r="L1344" s="42" t="str">
        <v>BR2402</v>
      </c>
      <c r="M1344" s="121" t="str">
        <v/>
      </c>
      <c r="N1344" s="121" t="str">
        <v/>
      </c>
      <c r="O1344" s="121" t="str">
        <v/>
      </c>
      <c r="P1344" s="121" t="str">
        <v/>
      </c>
      <c r="Q1344" s="121" t="str">
        <v xml:space="preserve"> 2. </v>
      </c>
      <c r="R1344" s="121" t="str">
        <v>Once the return request has been registered, the supplier must automatically acknowledge the return, to include at least the following:</v>
      </c>
      <c r="S1344" s="121" t="str">
        <v/>
      </c>
      <c r="T1344" s="119" t="str">
        <f>IF($C1344&lt;4,IF($C1344=3,T1345,IF($C1344=2,T$1,"")),Q1344&amp;R1344&amp;IF(LEN(S1344)=0,"",Preferences!$C$2&amp;S1344)&amp;IF(J1345=J1344,IF(LEN(R1344&amp;S1344)=0,"","
")&amp;T1345,""))</f>
        <v xml:space="preserve"> 2. Once the return request has been registered, the supplier must automatically acknowledge the return, to include at least the following:
	• For each product listed, confirmation of the quantity to be accepted.
	• Supplier return reference number</v>
      </c>
      <c r="U1344" s="122" t="str">
        <v/>
      </c>
      <c r="V1344" s="42"/>
      <c r="W1344" s="42"/>
      <c r="X1344" s="42"/>
      <c r="Y1344" s="42"/>
      <c r="Z1344" s="42"/>
      <c r="AA1344" s="42"/>
      <c r="AB1344" s="42"/>
    </row>
    <row r="1345" spans="1:28" x14ac:dyDescent="0.25">
      <c r="A1345" s="42" t="str">
        <v>1.24.2.2.1</v>
      </c>
      <c r="B1345" s="121" t="str">
        <v>For each product listed, confirmation of the quantity to be accepted.</v>
      </c>
      <c r="C1345" s="41">
        <v>5</v>
      </c>
      <c r="D1345" s="41" t="str">
        <v>RL</v>
      </c>
      <c r="E1345" s="117" t="str">
        <f t="shared" si="0"/>
        <v>RL</v>
      </c>
      <c r="F1345" s="41" t="str">
        <v/>
      </c>
      <c r="G1345" s="41" t="str">
        <v/>
      </c>
      <c r="H1345" s="117">
        <f t="shared" si="1"/>
        <v>0</v>
      </c>
      <c r="I1345" s="117">
        <f t="shared" si="2"/>
        <v>24</v>
      </c>
      <c r="J1345" s="117">
        <f t="shared" si="3"/>
        <v>24.020000000000003</v>
      </c>
      <c r="K1345" s="117" t="str">
        <f t="shared" si="4"/>
        <v>BR</v>
      </c>
      <c r="L1345" s="42" t="str">
        <v>BR2402</v>
      </c>
      <c r="M1345" s="121" t="str">
        <v/>
      </c>
      <c r="N1345" s="121" t="str">
        <v/>
      </c>
      <c r="O1345" s="121" t="str">
        <v/>
      </c>
      <c r="P1345" s="121" t="str">
        <v/>
      </c>
      <c r="Q1345" s="121" t="str">
        <v/>
      </c>
      <c r="R1345" s="121" t="str">
        <v/>
      </c>
      <c r="S1345" s="121" t="str">
        <v>For each product listed, confirmation of the quantity to be accepted.</v>
      </c>
      <c r="T1345" s="119" t="str">
        <f>IF($C1345&lt;4,IF($C1345=3,T1346,IF($C1345=2,T$1,"")),Q1345&amp;R1345&amp;IF(LEN(S1345)=0,"",Preferences!$C$2&amp;S1345)&amp;IF(J1346=J1345,IF(LEN(R1345&amp;S1345)=0,"","
")&amp;T1346,""))</f>
        <v xml:space="preserve">	• For each product listed, confirmation of the quantity to be accepted.
	• Supplier return reference number</v>
      </c>
      <c r="U1345" s="122" t="str">
        <v/>
      </c>
      <c r="V1345" s="42"/>
      <c r="W1345" s="42"/>
      <c r="X1345" s="42"/>
      <c r="Y1345" s="42"/>
      <c r="Z1345" s="42"/>
      <c r="AA1345" s="42"/>
      <c r="AB1345" s="42"/>
    </row>
    <row r="1346" spans="1:28" x14ac:dyDescent="0.25">
      <c r="A1346" s="42" t="str">
        <v>1.24.2.2.2</v>
      </c>
      <c r="B1346" s="121" t="str">
        <v>Supplier return reference number</v>
      </c>
      <c r="C1346" s="41">
        <v>5</v>
      </c>
      <c r="D1346" s="41" t="str">
        <v>RL</v>
      </c>
      <c r="E1346" s="117" t="str">
        <f t="shared" si="0"/>
        <v>RL</v>
      </c>
      <c r="F1346" s="41" t="str">
        <v/>
      </c>
      <c r="G1346" s="41" t="str">
        <v/>
      </c>
      <c r="H1346" s="117">
        <f t="shared" si="1"/>
        <v>0</v>
      </c>
      <c r="I1346" s="117">
        <f t="shared" si="2"/>
        <v>24</v>
      </c>
      <c r="J1346" s="117">
        <f t="shared" si="3"/>
        <v>24.020000000000003</v>
      </c>
      <c r="K1346" s="117" t="str">
        <f t="shared" si="4"/>
        <v>BR</v>
      </c>
      <c r="L1346" s="42" t="str">
        <v>BR2402</v>
      </c>
      <c r="M1346" s="121" t="str">
        <v/>
      </c>
      <c r="N1346" s="121" t="str">
        <v/>
      </c>
      <c r="O1346" s="121" t="str">
        <v/>
      </c>
      <c r="P1346" s="121" t="str">
        <v/>
      </c>
      <c r="Q1346" s="121" t="str">
        <v/>
      </c>
      <c r="R1346" s="121" t="str">
        <v/>
      </c>
      <c r="S1346" s="121" t="str">
        <v>Supplier return reference number</v>
      </c>
      <c r="T1346" s="119" t="str">
        <f>IF($C1346&lt;4,IF($C1346=3,T1347,IF($C1346=2,T$1,"")),Q1346&amp;R1346&amp;IF(LEN(S1346)=0,"",Preferences!$C$2&amp;S1346)&amp;IF(J1347=J1346,IF(LEN(R1346&amp;S1346)=0,"","
")&amp;T1347,""))</f>
        <v xml:space="preserve">	• Supplier return reference number</v>
      </c>
      <c r="U1346" s="122" t="str">
        <v/>
      </c>
      <c r="V1346" s="42"/>
      <c r="W1346" s="42"/>
      <c r="X1346" s="42"/>
      <c r="Y1346" s="42"/>
      <c r="Z1346" s="42"/>
      <c r="AA1346" s="42"/>
      <c r="AB1346" s="42"/>
    </row>
    <row r="1347" spans="1:28" x14ac:dyDescent="0.25">
      <c r="A1347" s="42" t="str">
        <v>1.24.3</v>
      </c>
      <c r="B1347" s="121" t="str">
        <v>24.3 Process each supplier status update on return request</v>
      </c>
      <c r="C1347" s="41">
        <v>3</v>
      </c>
      <c r="D1347" s="41" t="str">
        <v>R</v>
      </c>
      <c r="E1347" s="117" t="str">
        <f t="shared" si="0"/>
        <v>R</v>
      </c>
      <c r="F1347" s="41" t="str">
        <v/>
      </c>
      <c r="G1347" s="41" t="str">
        <v/>
      </c>
      <c r="H1347" s="117">
        <f t="shared" si="1"/>
        <v>0</v>
      </c>
      <c r="I1347" s="117">
        <f t="shared" si="2"/>
        <v>24</v>
      </c>
      <c r="J1347" s="117">
        <f t="shared" si="3"/>
        <v>24.030000000000005</v>
      </c>
      <c r="K1347" s="117" t="str">
        <f t="shared" si="4"/>
        <v>BR</v>
      </c>
      <c r="L1347" s="42" t="str">
        <v>BR2403</v>
      </c>
      <c r="M1347" s="121" t="str">
        <v/>
      </c>
      <c r="N1347" s="121" t="str">
        <v/>
      </c>
      <c r="O1347" s="121" t="str">
        <v>BR2403</v>
      </c>
      <c r="P1347" s="121" t="str">
        <v>Process each supplier status update on return request</v>
      </c>
      <c r="Q1347" s="121" t="str">
        <v/>
      </c>
      <c r="R1347" s="121" t="str">
        <v/>
      </c>
      <c r="S1347" s="121" t="str">
        <v/>
      </c>
      <c r="T1347" s="119" t="str">
        <f>IF($C1347&lt;4,IF($C1347=3,T1348,IF($C1347=2,T$1,"")),Q1347&amp;R1347&amp;IF(LEN(S1347)=0,"",Preferences!$C$2&amp;S1347)&amp;IF(J1348=J1347,IF(LEN(R1347&amp;S1347)=0,"","
")&amp;T1348,""))</f>
        <v xml:space="preserve"> 1. Any received status update for a return request from a supplier must include at least the following:
	• Customer return reference number
	• Supplier return reference number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47" s="122" t="str">
        <v/>
      </c>
      <c r="V1347" s="42"/>
      <c r="W1347" s="42"/>
      <c r="X1347" s="42"/>
      <c r="Y1347" s="42"/>
      <c r="Z1347" s="42"/>
      <c r="AA1347" s="42"/>
      <c r="AB1347" s="42"/>
    </row>
    <row r="1348" spans="1:28" x14ac:dyDescent="0.25">
      <c r="A1348" s="42" t="str">
        <v>1.24.3.1</v>
      </c>
      <c r="B1348" s="121" t="str">
        <v>Any received status update for a return request from a supplier must include at least the following:</v>
      </c>
      <c r="C1348" s="41">
        <v>4</v>
      </c>
      <c r="D1348" s="41" t="str">
        <v>RD</v>
      </c>
      <c r="E1348" s="117" t="str">
        <f t="shared" si="0"/>
        <v>RD</v>
      </c>
      <c r="F1348" s="41" t="str">
        <v/>
      </c>
      <c r="G1348" s="41" t="str">
        <v/>
      </c>
      <c r="H1348" s="117">
        <f t="shared" si="1"/>
        <v>0</v>
      </c>
      <c r="I1348" s="117">
        <f t="shared" si="2"/>
        <v>24</v>
      </c>
      <c r="J1348" s="117">
        <f t="shared" si="3"/>
        <v>24.030000000000005</v>
      </c>
      <c r="K1348" s="117" t="str">
        <f t="shared" si="4"/>
        <v>BR</v>
      </c>
      <c r="L1348" s="42" t="str">
        <v>BR2403</v>
      </c>
      <c r="M1348" s="121" t="str">
        <v/>
      </c>
      <c r="N1348" s="121" t="str">
        <v/>
      </c>
      <c r="O1348" s="121" t="str">
        <v/>
      </c>
      <c r="P1348" s="121" t="str">
        <v/>
      </c>
      <c r="Q1348" s="121" t="str">
        <v xml:space="preserve"> 1. </v>
      </c>
      <c r="R1348" s="121" t="str">
        <v>Any received status update for a return request from a supplier must include at least the following:</v>
      </c>
      <c r="S1348" s="121" t="str">
        <v/>
      </c>
      <c r="T1348" s="119" t="str">
        <f>IF($C1348&lt;4,IF($C1348=3,T1349,IF($C1348=2,T$1,"")),Q1348&amp;R1348&amp;IF(LEN(S1348)=0,"",Preferences!$C$2&amp;S1348)&amp;IF(J1349=J1348,IF(LEN(R1348&amp;S1348)=0,"","
")&amp;T1349,""))</f>
        <v xml:space="preserve"> 1. Any received status update for a return request from a supplier must include at least the following:
	• Customer return reference number
	• Supplier return reference number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48" s="122" t="str">
        <v/>
      </c>
      <c r="V1348" s="42"/>
      <c r="W1348" s="42"/>
      <c r="X1348" s="42"/>
      <c r="Y1348" s="42"/>
      <c r="Z1348" s="42"/>
      <c r="AA1348" s="42"/>
      <c r="AB1348" s="42"/>
    </row>
    <row r="1349" spans="1:28" x14ac:dyDescent="0.25">
      <c r="A1349" s="42" t="str">
        <v>1.24.3.1.1</v>
      </c>
      <c r="B1349" s="121" t="str">
        <v>Customer return reference number</v>
      </c>
      <c r="C1349" s="41">
        <v>5</v>
      </c>
      <c r="D1349" s="41" t="str">
        <v>RL</v>
      </c>
      <c r="E1349" s="117" t="str">
        <f t="shared" si="0"/>
        <v>RL</v>
      </c>
      <c r="F1349" s="41" t="str">
        <v/>
      </c>
      <c r="G1349" s="41" t="str">
        <v/>
      </c>
      <c r="H1349" s="117">
        <f t="shared" si="1"/>
        <v>0</v>
      </c>
      <c r="I1349" s="117">
        <f t="shared" si="2"/>
        <v>24</v>
      </c>
      <c r="J1349" s="117">
        <f t="shared" si="3"/>
        <v>24.030000000000005</v>
      </c>
      <c r="K1349" s="117" t="str">
        <f t="shared" si="4"/>
        <v>BR</v>
      </c>
      <c r="L1349" s="42" t="str">
        <v>BR2403</v>
      </c>
      <c r="M1349" s="121" t="str">
        <v/>
      </c>
      <c r="N1349" s="121" t="str">
        <v/>
      </c>
      <c r="O1349" s="121" t="str">
        <v/>
      </c>
      <c r="P1349" s="121" t="str">
        <v/>
      </c>
      <c r="Q1349" s="121" t="str">
        <v/>
      </c>
      <c r="R1349" s="121" t="str">
        <v/>
      </c>
      <c r="S1349" s="121" t="str">
        <v>Customer return reference number</v>
      </c>
      <c r="T1349" s="119" t="str">
        <f>IF($C1349&lt;4,IF($C1349=3,T1350,IF($C1349=2,T$1,"")),Q1349&amp;R1349&amp;IF(LEN(S1349)=0,"",Preferences!$C$2&amp;S1349)&amp;IF(J1350=J1349,IF(LEN(R1349&amp;S1349)=0,"","
")&amp;T1350,""))</f>
        <v xml:space="preserve">	• Customer return reference number
	• Supplier return reference number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49" s="122" t="str">
        <v/>
      </c>
      <c r="V1349" s="42"/>
      <c r="W1349" s="42"/>
      <c r="X1349" s="42"/>
      <c r="Y1349" s="42"/>
      <c r="Z1349" s="42"/>
      <c r="AA1349" s="42"/>
      <c r="AB1349" s="42"/>
    </row>
    <row r="1350" spans="1:28" x14ac:dyDescent="0.25">
      <c r="A1350" s="42" t="str">
        <v>1.24.3.1.2</v>
      </c>
      <c r="B1350" s="121" t="str">
        <v>Supplier return reference number</v>
      </c>
      <c r="C1350" s="41">
        <v>5</v>
      </c>
      <c r="D1350" s="41" t="str">
        <v>RL</v>
      </c>
      <c r="E1350" s="117" t="str">
        <f t="shared" si="0"/>
        <v>RL</v>
      </c>
      <c r="F1350" s="41" t="str">
        <v/>
      </c>
      <c r="G1350" s="41" t="str">
        <v/>
      </c>
      <c r="H1350" s="117">
        <f t="shared" si="1"/>
        <v>0</v>
      </c>
      <c r="I1350" s="117">
        <f t="shared" si="2"/>
        <v>24</v>
      </c>
      <c r="J1350" s="117">
        <f t="shared" si="3"/>
        <v>24.030000000000005</v>
      </c>
      <c r="K1350" s="117" t="str">
        <f t="shared" si="4"/>
        <v>BR</v>
      </c>
      <c r="L1350" s="42" t="str">
        <v>BR2403</v>
      </c>
      <c r="M1350" s="121" t="str">
        <v/>
      </c>
      <c r="N1350" s="121" t="str">
        <v/>
      </c>
      <c r="O1350" s="121" t="str">
        <v/>
      </c>
      <c r="P1350" s="121" t="str">
        <v/>
      </c>
      <c r="Q1350" s="121" t="str">
        <v/>
      </c>
      <c r="R1350" s="121" t="str">
        <v/>
      </c>
      <c r="S1350" s="121" t="str">
        <v>Supplier return reference number</v>
      </c>
      <c r="T1350" s="119" t="str">
        <f>IF($C1350&lt;4,IF($C1350=3,T1351,IF($C1350=2,T$1,"")),Q1350&amp;R1350&amp;IF(LEN(S1350)=0,"",Preferences!$C$2&amp;S1350)&amp;IF(J1351=J1350,IF(LEN(R1350&amp;S1350)=0,"","
")&amp;T1351,""))</f>
        <v xml:space="preserve">	• Supplier return reference number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50" s="122" t="str">
        <v/>
      </c>
      <c r="V1350" s="42"/>
      <c r="W1350" s="42"/>
      <c r="X1350" s="42"/>
      <c r="Y1350" s="42"/>
      <c r="Z1350" s="42"/>
      <c r="AA1350" s="42"/>
      <c r="AB1350" s="42"/>
    </row>
    <row r="1351" spans="1:28" x14ac:dyDescent="0.25">
      <c r="A1351" s="42" t="str">
        <v>1.24.3.1.3</v>
      </c>
      <c r="B1351" s="121" t="str">
        <v>Return status</v>
      </c>
      <c r="C1351" s="41">
        <v>5</v>
      </c>
      <c r="D1351" s="41" t="str">
        <v>RL</v>
      </c>
      <c r="E1351" s="117" t="str">
        <f t="shared" si="0"/>
        <v>RL</v>
      </c>
      <c r="F1351" s="41" t="str">
        <v/>
      </c>
      <c r="G1351" s="41" t="str">
        <v/>
      </c>
      <c r="H1351" s="117">
        <f t="shared" si="1"/>
        <v>0</v>
      </c>
      <c r="I1351" s="117">
        <f t="shared" si="2"/>
        <v>24</v>
      </c>
      <c r="J1351" s="117">
        <f t="shared" si="3"/>
        <v>24.030000000000005</v>
      </c>
      <c r="K1351" s="117" t="str">
        <f t="shared" si="4"/>
        <v>BR</v>
      </c>
      <c r="L1351" s="42" t="str">
        <v>BR2403</v>
      </c>
      <c r="M1351" s="121" t="str">
        <v/>
      </c>
      <c r="N1351" s="121" t="str">
        <v/>
      </c>
      <c r="O1351" s="121" t="str">
        <v/>
      </c>
      <c r="P1351" s="121" t="str">
        <v/>
      </c>
      <c r="Q1351" s="121" t="str">
        <v/>
      </c>
      <c r="R1351" s="121" t="str">
        <v/>
      </c>
      <c r="S1351" s="121" t="str">
        <v>Return status</v>
      </c>
      <c r="T1351" s="119" t="str">
        <f>IF($C1351&lt;4,IF($C1351=3,T1352,IF($C1351=2,T$1,"")),Q1351&amp;R1351&amp;IF(LEN(S1351)=0,"",Preferences!$C$2&amp;S1351)&amp;IF(J1352=J1351,IF(LEN(R1351&amp;S1351)=0,"","
")&amp;T1352,""))</f>
        <v xml:space="preserve">	• Return status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51" s="122" t="str">
        <v/>
      </c>
      <c r="V1351" s="42"/>
      <c r="W1351" s="42"/>
      <c r="X1351" s="42"/>
      <c r="Y1351" s="42"/>
      <c r="Z1351" s="42"/>
      <c r="AA1351" s="42"/>
      <c r="AB1351" s="42"/>
    </row>
    <row r="1352" spans="1:28" x14ac:dyDescent="0.25">
      <c r="A1352" s="42" t="str">
        <v>1.24.3.1.4</v>
      </c>
      <c r="B1352" s="121" t="str">
        <v>Return status message</v>
      </c>
      <c r="C1352" s="41">
        <v>5</v>
      </c>
      <c r="D1352" s="41" t="str">
        <v>RL</v>
      </c>
      <c r="E1352" s="117" t="str">
        <f t="shared" si="0"/>
        <v>RL</v>
      </c>
      <c r="F1352" s="41" t="str">
        <v/>
      </c>
      <c r="G1352" s="41" t="str">
        <v/>
      </c>
      <c r="H1352" s="117">
        <f t="shared" si="1"/>
        <v>0</v>
      </c>
      <c r="I1352" s="117">
        <f t="shared" si="2"/>
        <v>24</v>
      </c>
      <c r="J1352" s="117">
        <f t="shared" si="3"/>
        <v>24.030000000000005</v>
      </c>
      <c r="K1352" s="117" t="str">
        <f t="shared" si="4"/>
        <v>BR</v>
      </c>
      <c r="L1352" s="42" t="str">
        <v>BR2403</v>
      </c>
      <c r="M1352" s="121" t="str">
        <v/>
      </c>
      <c r="N1352" s="121" t="str">
        <v/>
      </c>
      <c r="O1352" s="121" t="str">
        <v/>
      </c>
      <c r="P1352" s="121" t="str">
        <v/>
      </c>
      <c r="Q1352" s="121" t="str">
        <v/>
      </c>
      <c r="R1352" s="121" t="str">
        <v/>
      </c>
      <c r="S1352" s="121" t="str">
        <v>Return status message</v>
      </c>
      <c r="T1352" s="119" t="str">
        <f>IF($C1352&lt;4,IF($C1352=3,T1353,IF($C1352=2,T$1,"")),Q1352&amp;R1352&amp;IF(LEN(S1352)=0,"",Preferences!$C$2&amp;S1352)&amp;IF(J1353=J1352,IF(LEN(R1352&amp;S1352)=0,"","
")&amp;T1353,""))</f>
        <v xml:space="preserve">	• Return status message
 2. A status message must automatically be sent to the customer for at least the following status events:
	• Return received
 3. Also see the B2C Co suppliers provide up-to-date product and service details requirements in the Product and Service Suppliers section</v>
      </c>
      <c r="U1352" s="122" t="str">
        <v/>
      </c>
      <c r="V1352" s="42"/>
      <c r="W1352" s="42"/>
      <c r="X1352" s="42"/>
      <c r="Y1352" s="42"/>
      <c r="Z1352" s="42"/>
      <c r="AA1352" s="42"/>
      <c r="AB1352" s="42"/>
    </row>
    <row r="1353" spans="1:28" x14ac:dyDescent="0.25">
      <c r="A1353" s="42" t="str">
        <v>1.24.3.2</v>
      </c>
      <c r="B1353" s="121" t="str">
        <v>A status message must automatically be sent to the customer for at least the following status events:</v>
      </c>
      <c r="C1353" s="41">
        <v>4</v>
      </c>
      <c r="D1353" s="41" t="str">
        <v>RD</v>
      </c>
      <c r="E1353" s="117" t="str">
        <f t="shared" si="0"/>
        <v>RD</v>
      </c>
      <c r="F1353" s="41" t="str">
        <v/>
      </c>
      <c r="G1353" s="41" t="str">
        <v/>
      </c>
      <c r="H1353" s="117">
        <f t="shared" si="1"/>
        <v>0</v>
      </c>
      <c r="I1353" s="117">
        <f t="shared" si="2"/>
        <v>24</v>
      </c>
      <c r="J1353" s="117">
        <f t="shared" si="3"/>
        <v>24.030000000000005</v>
      </c>
      <c r="K1353" s="117" t="str">
        <f t="shared" si="4"/>
        <v>BR</v>
      </c>
      <c r="L1353" s="42" t="str">
        <v>BR2403</v>
      </c>
      <c r="M1353" s="121" t="str">
        <v/>
      </c>
      <c r="N1353" s="121" t="str">
        <v/>
      </c>
      <c r="O1353" s="121" t="str">
        <v/>
      </c>
      <c r="P1353" s="121" t="str">
        <v/>
      </c>
      <c r="Q1353" s="121" t="str">
        <v xml:space="preserve"> 2. </v>
      </c>
      <c r="R1353" s="121" t="str">
        <v>A status message must automatically be sent to the customer for at least the following status events:</v>
      </c>
      <c r="S1353" s="121" t="str">
        <v/>
      </c>
      <c r="T1353" s="119" t="str">
        <f>IF($C1353&lt;4,IF($C1353=3,T1354,IF($C1353=2,T$1,"")),Q1353&amp;R1353&amp;IF(LEN(S1353)=0,"",Preferences!$C$2&amp;S1353)&amp;IF(J1354=J1353,IF(LEN(R1353&amp;S1353)=0,"","
")&amp;T1354,""))</f>
        <v xml:space="preserve"> 2. A status message must automatically be sent to the customer for at least the following status events:
	• Return received
 3. Also see the B2C Co suppliers provide up-to-date product and service details requirements in the Product and Service Suppliers section</v>
      </c>
      <c r="U1353" s="122" t="str">
        <v/>
      </c>
      <c r="V1353" s="42"/>
      <c r="W1353" s="42"/>
      <c r="X1353" s="42"/>
      <c r="Y1353" s="42"/>
      <c r="Z1353" s="42"/>
      <c r="AA1353" s="42"/>
      <c r="AB1353" s="42"/>
    </row>
    <row r="1354" spans="1:28" x14ac:dyDescent="0.25">
      <c r="A1354" s="42" t="str">
        <v>1.24.3.2.1</v>
      </c>
      <c r="B1354" s="121" t="str">
        <v>Return received</v>
      </c>
      <c r="C1354" s="41">
        <v>5</v>
      </c>
      <c r="D1354" s="41" t="str">
        <v>RL</v>
      </c>
      <c r="E1354" s="117" t="str">
        <f t="shared" si="0"/>
        <v>RL</v>
      </c>
      <c r="F1354" s="41" t="str">
        <v/>
      </c>
      <c r="G1354" s="41" t="str">
        <v/>
      </c>
      <c r="H1354" s="117">
        <f t="shared" si="1"/>
        <v>0</v>
      </c>
      <c r="I1354" s="117">
        <f t="shared" si="2"/>
        <v>24</v>
      </c>
      <c r="J1354" s="117">
        <f t="shared" si="3"/>
        <v>24.030000000000005</v>
      </c>
      <c r="K1354" s="117" t="str">
        <f t="shared" si="4"/>
        <v>BR</v>
      </c>
      <c r="L1354" s="42" t="str">
        <v>BR2403</v>
      </c>
      <c r="M1354" s="121" t="str">
        <v/>
      </c>
      <c r="N1354" s="121" t="str">
        <v/>
      </c>
      <c r="O1354" s="121" t="str">
        <v/>
      </c>
      <c r="P1354" s="121" t="str">
        <v/>
      </c>
      <c r="Q1354" s="121" t="str">
        <v/>
      </c>
      <c r="R1354" s="121" t="str">
        <v/>
      </c>
      <c r="S1354" s="121" t="str">
        <v>Return received</v>
      </c>
      <c r="T1354" s="119" t="str">
        <f>IF($C1354&lt;4,IF($C1354=3,T1355,IF($C1354=2,T$1,"")),Q1354&amp;R1354&amp;IF(LEN(S1354)=0,"",Preferences!$C$2&amp;S1354)&amp;IF(J1355=J1354,IF(LEN(R1354&amp;S1354)=0,"","
")&amp;T1355,""))</f>
        <v xml:space="preserve">	• Return received
 3. Also see the B2C Co suppliers provide up-to-date product and service details requirements in the Product and Service Suppliers section</v>
      </c>
      <c r="U1354" s="122" t="str">
        <v/>
      </c>
      <c r="V1354" s="42"/>
      <c r="W1354" s="42"/>
      <c r="X1354" s="42"/>
      <c r="Y1354" s="42"/>
      <c r="Z1354" s="42"/>
      <c r="AA1354" s="42"/>
      <c r="AB1354" s="42"/>
    </row>
    <row r="1355" spans="1:28" x14ac:dyDescent="0.25">
      <c r="A1355" s="42" t="str">
        <v>1.24.3.3</v>
      </c>
      <c r="B1355" s="121" t="str">
        <v>Also see the B2C Co suppliers provide up-to-date product and service details requirements in the Product and Service Suppliers section</v>
      </c>
      <c r="C1355" s="41">
        <v>4</v>
      </c>
      <c r="D1355" s="41" t="str">
        <v>RD</v>
      </c>
      <c r="E1355" s="117" t="str">
        <f t="shared" si="0"/>
        <v>RD</v>
      </c>
      <c r="F1355" s="41" t="str">
        <v/>
      </c>
      <c r="G1355" s="41" t="str">
        <v/>
      </c>
      <c r="H1355" s="117">
        <f t="shared" si="1"/>
        <v>0</v>
      </c>
      <c r="I1355" s="117">
        <f t="shared" si="2"/>
        <v>24</v>
      </c>
      <c r="J1355" s="117">
        <f t="shared" si="3"/>
        <v>24.030000000000005</v>
      </c>
      <c r="K1355" s="117" t="str">
        <f t="shared" si="4"/>
        <v>BR</v>
      </c>
      <c r="L1355" s="42" t="str">
        <v>BR2403</v>
      </c>
      <c r="M1355" s="121" t="str">
        <v/>
      </c>
      <c r="N1355" s="121" t="str">
        <v/>
      </c>
      <c r="O1355" s="121" t="str">
        <v/>
      </c>
      <c r="P1355" s="121" t="str">
        <v/>
      </c>
      <c r="Q1355" s="121" t="str">
        <v xml:space="preserve"> 3. </v>
      </c>
      <c r="R1355" s="121" t="str">
        <v>Also see the B2C Co suppliers provide up-to-date product and service details requirements in the Product and Service Suppliers section</v>
      </c>
      <c r="S1355" s="121" t="str">
        <v/>
      </c>
      <c r="T1355" s="119" t="str">
        <f>IF($C1355&lt;4,IF($C1355=3,T1356,IF($C1355=2,T$1,"")),Q1355&amp;R1355&amp;IF(LEN(S1355)=0,"",Preferences!$C$2&amp;S1355)&amp;IF(J1356=J1355,IF(LEN(R1355&amp;S1355)=0,"","
")&amp;T1356,""))</f>
        <v xml:space="preserve"> 3. Also see the B2C Co suppliers provide up-to-date product and service details requirements in the Product and Service Suppliers section</v>
      </c>
      <c r="U1355" s="122" t="str">
        <v/>
      </c>
      <c r="V1355" s="42"/>
      <c r="W1355" s="42"/>
      <c r="X1355" s="42"/>
      <c r="Y1355" s="42"/>
      <c r="Z1355" s="42"/>
      <c r="AA1355" s="42"/>
      <c r="AB1355" s="42"/>
    </row>
    <row r="1356" spans="1:28" x14ac:dyDescent="0.25">
      <c r="A1356" s="42" t="str">
        <v>1.24.4</v>
      </c>
      <c r="B1356" s="121" t="str">
        <v>24.4 Submit each supplier return request to the courier for collection</v>
      </c>
      <c r="C1356" s="41">
        <v>3</v>
      </c>
      <c r="D1356" s="41" t="str">
        <v>R</v>
      </c>
      <c r="E1356" s="117" t="str">
        <f t="shared" si="0"/>
        <v>R</v>
      </c>
      <c r="F1356" s="41" t="str">
        <v/>
      </c>
      <c r="G1356" s="41" t="str">
        <v/>
      </c>
      <c r="H1356" s="117">
        <f t="shared" si="1"/>
        <v>0</v>
      </c>
      <c r="I1356" s="117">
        <f t="shared" si="2"/>
        <v>24</v>
      </c>
      <c r="J1356" s="117">
        <f t="shared" si="3"/>
        <v>24.040000000000006</v>
      </c>
      <c r="K1356" s="117" t="str">
        <f t="shared" si="4"/>
        <v>BR</v>
      </c>
      <c r="L1356" s="42" t="str">
        <v>BR2404</v>
      </c>
      <c r="M1356" s="121" t="str">
        <v/>
      </c>
      <c r="N1356" s="121" t="str">
        <v/>
      </c>
      <c r="O1356" s="121" t="str">
        <v>BR2404</v>
      </c>
      <c r="P1356" s="121" t="str">
        <v>Submit each supplier return request to the courier for collection</v>
      </c>
      <c r="Q1356" s="121" t="str">
        <v/>
      </c>
      <c r="R1356" s="121" t="str">
        <v/>
      </c>
      <c r="S1356" s="121" t="str">
        <v/>
      </c>
      <c r="T1356" s="119" t="str">
        <f>IF($C1356&lt;4,IF($C1356=3,T1357,IF($C1356=2,T$1,"")),Q1356&amp;R1356&amp;IF(LEN(S1356)=0,"",Preferences!$C$2&amp;S1356)&amp;IF(J1357=J1356,IF(LEN(R1356&amp;S1356)=0,"","
")&amp;T1357,""))</f>
        <v xml:space="preserve"> 1. On receiving confirmation from a supplier that the return request has been registered, the courier will be informed to collect it from the supplier.
 2. The courier must acknowledge the collection, with their courier collection reference number.</v>
      </c>
      <c r="U1356" s="122" t="str">
        <v/>
      </c>
      <c r="V1356" s="42"/>
      <c r="W1356" s="42"/>
      <c r="X1356" s="42"/>
      <c r="Y1356" s="42"/>
      <c r="Z1356" s="42"/>
      <c r="AA1356" s="42"/>
      <c r="AB1356" s="42"/>
    </row>
    <row r="1357" spans="1:28" x14ac:dyDescent="0.25">
      <c r="A1357" s="42" t="str">
        <v>1.24.4.1</v>
      </c>
      <c r="B1357" s="121" t="str">
        <v>On receiving confirmation from a supplier that the return request has been registered, the courier will be informed to collect it from the supplier.</v>
      </c>
      <c r="C1357" s="41">
        <v>4</v>
      </c>
      <c r="D1357" s="41" t="str">
        <v>RD</v>
      </c>
      <c r="E1357" s="117" t="str">
        <f t="shared" si="0"/>
        <v>RD</v>
      </c>
      <c r="F1357" s="41" t="str">
        <v/>
      </c>
      <c r="G1357" s="41" t="str">
        <v/>
      </c>
      <c r="H1357" s="117">
        <f t="shared" si="1"/>
        <v>0</v>
      </c>
      <c r="I1357" s="117">
        <f t="shared" si="2"/>
        <v>24</v>
      </c>
      <c r="J1357" s="117">
        <f t="shared" si="3"/>
        <v>24.040000000000006</v>
      </c>
      <c r="K1357" s="117" t="str">
        <f t="shared" si="4"/>
        <v>BR</v>
      </c>
      <c r="L1357" s="42" t="str">
        <v>BR2404</v>
      </c>
      <c r="M1357" s="121" t="str">
        <v/>
      </c>
      <c r="N1357" s="121" t="str">
        <v/>
      </c>
      <c r="O1357" s="121" t="str">
        <v/>
      </c>
      <c r="P1357" s="121" t="str">
        <v/>
      </c>
      <c r="Q1357" s="121" t="str">
        <v xml:space="preserve"> 1. </v>
      </c>
      <c r="R1357" s="121" t="str">
        <v>On receiving confirmation from a supplier that the return request has been registered, the courier will be informed to collect it from the supplier.</v>
      </c>
      <c r="S1357" s="121" t="str">
        <v/>
      </c>
      <c r="T1357" s="119" t="str">
        <f>IF($C1357&lt;4,IF($C1357=3,T1358,IF($C1357=2,T$1,"")),Q1357&amp;R1357&amp;IF(LEN(S1357)=0,"",Preferences!$C$2&amp;S1357)&amp;IF(J1358=J1357,IF(LEN(R1357&amp;S1357)=0,"","
")&amp;T1358,""))</f>
        <v xml:space="preserve"> 1. On receiving confirmation from a supplier that the return request has been registered, the courier will be informed to collect it from the supplier.
 2. The courier must acknowledge the collection, with their courier collection reference number.</v>
      </c>
      <c r="U1357" s="122" t="str">
        <v/>
      </c>
      <c r="V1357" s="42"/>
      <c r="W1357" s="42"/>
      <c r="X1357" s="42"/>
      <c r="Y1357" s="42"/>
      <c r="Z1357" s="42"/>
      <c r="AA1357" s="42"/>
      <c r="AB1357" s="42"/>
    </row>
    <row r="1358" spans="1:28" x14ac:dyDescent="0.25">
      <c r="A1358" s="42" t="str">
        <v>1.24.4.2</v>
      </c>
      <c r="B1358" s="121" t="str">
        <v>The courier must acknowledge the collection, with their courier collection reference number.</v>
      </c>
      <c r="C1358" s="41">
        <v>4</v>
      </c>
      <c r="D1358" s="41" t="str">
        <v>RD</v>
      </c>
      <c r="E1358" s="117" t="str">
        <f t="shared" si="0"/>
        <v>RD</v>
      </c>
      <c r="F1358" s="41" t="str">
        <v/>
      </c>
      <c r="G1358" s="41" t="str">
        <v/>
      </c>
      <c r="H1358" s="117">
        <f t="shared" si="1"/>
        <v>0</v>
      </c>
      <c r="I1358" s="117">
        <f t="shared" si="2"/>
        <v>24</v>
      </c>
      <c r="J1358" s="117">
        <f t="shared" si="3"/>
        <v>24.040000000000006</v>
      </c>
      <c r="K1358" s="117" t="str">
        <f t="shared" si="4"/>
        <v>BR</v>
      </c>
      <c r="L1358" s="42" t="str">
        <v>BR2404</v>
      </c>
      <c r="M1358" s="121" t="str">
        <v/>
      </c>
      <c r="N1358" s="121" t="str">
        <v/>
      </c>
      <c r="O1358" s="121" t="str">
        <v/>
      </c>
      <c r="P1358" s="121" t="str">
        <v/>
      </c>
      <c r="Q1358" s="121" t="str">
        <v xml:space="preserve"> 2. </v>
      </c>
      <c r="R1358" s="121" t="str">
        <v>The courier must acknowledge the collection, with their courier collection reference number.</v>
      </c>
      <c r="S1358" s="121" t="str">
        <v/>
      </c>
      <c r="T1358" s="119" t="str">
        <f>IF($C1358&lt;4,IF($C1358=3,T1359,IF($C1358=2,T$1,"")),Q1358&amp;R1358&amp;IF(LEN(S1358)=0,"",Preferences!$C$2&amp;S1358)&amp;IF(J1359=J1358,IF(LEN(R1358&amp;S1358)=0,"","
")&amp;T1359,""))</f>
        <v xml:space="preserve"> 2. The courier must acknowledge the collection, with their courier collection reference number.</v>
      </c>
      <c r="U1358" s="122" t="str">
        <v/>
      </c>
      <c r="V1358" s="42"/>
      <c r="W1358" s="42"/>
      <c r="X1358" s="42"/>
      <c r="Y1358" s="42"/>
      <c r="Z1358" s="42"/>
      <c r="AA1358" s="42"/>
      <c r="AB1358" s="42"/>
    </row>
    <row r="1359" spans="1:28" x14ac:dyDescent="0.25">
      <c r="A1359" s="42" t="str">
        <v>1.24.5</v>
      </c>
      <c r="B1359" s="121" t="str">
        <v>24.5 Process each courier status update on a return request</v>
      </c>
      <c r="C1359" s="41">
        <v>3</v>
      </c>
      <c r="D1359" s="41" t="str">
        <v>R</v>
      </c>
      <c r="E1359" s="117" t="str">
        <f t="shared" si="0"/>
        <v>R</v>
      </c>
      <c r="F1359" s="41" t="str">
        <v/>
      </c>
      <c r="G1359" s="41" t="str">
        <v/>
      </c>
      <c r="H1359" s="117">
        <f t="shared" si="1"/>
        <v>0</v>
      </c>
      <c r="I1359" s="117">
        <f t="shared" si="2"/>
        <v>24</v>
      </c>
      <c r="J1359" s="117">
        <f t="shared" si="3"/>
        <v>24.050000000000008</v>
      </c>
      <c r="K1359" s="117" t="str">
        <f t="shared" si="4"/>
        <v>BR</v>
      </c>
      <c r="L1359" s="42" t="str">
        <v>BR2405</v>
      </c>
      <c r="M1359" s="121" t="str">
        <v/>
      </c>
      <c r="N1359" s="121" t="str">
        <v/>
      </c>
      <c r="O1359" s="121" t="str">
        <v>BR2405</v>
      </c>
      <c r="P1359" s="121" t="str">
        <v>Process each courier status update on a return request</v>
      </c>
      <c r="Q1359" s="121" t="str">
        <v/>
      </c>
      <c r="R1359" s="121" t="str">
        <v/>
      </c>
      <c r="S1359" s="121" t="str">
        <v/>
      </c>
      <c r="T1359" s="119" t="str">
        <f>IF($C1359&lt;4,IF($C1359=3,T1360,IF($C1359=2,T$1,"")),Q1359&amp;R1359&amp;IF(LEN(S1359)=0,"",Preferences!$C$2&amp;S1359)&amp;IF(J1360=J1359,IF(LEN(R1359&amp;S1359)=0,"","
")&amp;T1360,""))</f>
        <v xml:space="preserve"> 1. Any status update for a return request from a courier must include at least the following:
	• Customer return reference number
	• Courier return reference number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59" s="122" t="str">
        <v/>
      </c>
      <c r="V1359" s="42"/>
      <c r="W1359" s="42"/>
      <c r="X1359" s="42"/>
      <c r="Y1359" s="42"/>
      <c r="Z1359" s="42"/>
      <c r="AA1359" s="42"/>
      <c r="AB1359" s="42"/>
    </row>
    <row r="1360" spans="1:28" x14ac:dyDescent="0.25">
      <c r="A1360" s="42" t="str">
        <v>1.24.5.1</v>
      </c>
      <c r="B1360" s="121" t="str">
        <v>Any status update for a return request from a courier must include at least the following:</v>
      </c>
      <c r="C1360" s="41">
        <v>4</v>
      </c>
      <c r="D1360" s="41" t="str">
        <v>RD</v>
      </c>
      <c r="E1360" s="117" t="str">
        <f t="shared" si="0"/>
        <v>RD</v>
      </c>
      <c r="F1360" s="41" t="str">
        <v/>
      </c>
      <c r="G1360" s="41" t="str">
        <v/>
      </c>
      <c r="H1360" s="117">
        <f t="shared" si="1"/>
        <v>0</v>
      </c>
      <c r="I1360" s="117">
        <f t="shared" si="2"/>
        <v>24</v>
      </c>
      <c r="J1360" s="117">
        <f t="shared" si="3"/>
        <v>24.050000000000008</v>
      </c>
      <c r="K1360" s="117" t="str">
        <f t="shared" si="4"/>
        <v>BR</v>
      </c>
      <c r="L1360" s="42" t="str">
        <v>BR2405</v>
      </c>
      <c r="M1360" s="121" t="str">
        <v/>
      </c>
      <c r="N1360" s="121" t="str">
        <v/>
      </c>
      <c r="O1360" s="121" t="str">
        <v/>
      </c>
      <c r="P1360" s="121" t="str">
        <v/>
      </c>
      <c r="Q1360" s="121" t="str">
        <v xml:space="preserve"> 1. </v>
      </c>
      <c r="R1360" s="121" t="str">
        <v>Any status update for a return request from a courier must include at least the following:</v>
      </c>
      <c r="S1360" s="121" t="str">
        <v/>
      </c>
      <c r="T1360" s="119" t="str">
        <f>IF($C1360&lt;4,IF($C1360=3,T1361,IF($C1360=2,T$1,"")),Q1360&amp;R1360&amp;IF(LEN(S1360)=0,"",Preferences!$C$2&amp;S1360)&amp;IF(J1361=J1360,IF(LEN(R1360&amp;S1360)=0,"","
")&amp;T1361,""))</f>
        <v xml:space="preserve"> 1. Any status update for a return request from a courier must include at least the following:
	• Customer return reference number
	• Courier return reference number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0" s="122" t="str">
        <v/>
      </c>
      <c r="V1360" s="42"/>
      <c r="W1360" s="42"/>
      <c r="X1360" s="42"/>
      <c r="Y1360" s="42"/>
      <c r="Z1360" s="42"/>
      <c r="AA1360" s="42"/>
      <c r="AB1360" s="42"/>
    </row>
    <row r="1361" spans="1:28" x14ac:dyDescent="0.25">
      <c r="A1361" s="42" t="str">
        <v>1.24.5.1.1</v>
      </c>
      <c r="B1361" s="121" t="str">
        <v>Customer return reference number</v>
      </c>
      <c r="C1361" s="41">
        <v>5</v>
      </c>
      <c r="D1361" s="41" t="str">
        <v>RL</v>
      </c>
      <c r="E1361" s="117" t="str">
        <f t="shared" si="0"/>
        <v>RL</v>
      </c>
      <c r="F1361" s="41" t="str">
        <v/>
      </c>
      <c r="G1361" s="41" t="str">
        <v/>
      </c>
      <c r="H1361" s="117">
        <f t="shared" si="1"/>
        <v>0</v>
      </c>
      <c r="I1361" s="117">
        <f t="shared" si="2"/>
        <v>24</v>
      </c>
      <c r="J1361" s="117">
        <f t="shared" si="3"/>
        <v>24.050000000000008</v>
      </c>
      <c r="K1361" s="117" t="str">
        <f t="shared" si="4"/>
        <v>BR</v>
      </c>
      <c r="L1361" s="42" t="str">
        <v>BR2405</v>
      </c>
      <c r="M1361" s="121" t="str">
        <v/>
      </c>
      <c r="N1361" s="121" t="str">
        <v/>
      </c>
      <c r="O1361" s="121" t="str">
        <v/>
      </c>
      <c r="P1361" s="121" t="str">
        <v/>
      </c>
      <c r="Q1361" s="121" t="str">
        <v/>
      </c>
      <c r="R1361" s="121" t="str">
        <v/>
      </c>
      <c r="S1361" s="121" t="str">
        <v>Customer return reference number</v>
      </c>
      <c r="T1361" s="119" t="str">
        <f>IF($C1361&lt;4,IF($C1361=3,T1362,IF($C1361=2,T$1,"")),Q1361&amp;R1361&amp;IF(LEN(S1361)=0,"",Preferences!$C$2&amp;S1361)&amp;IF(J1362=J1361,IF(LEN(R1361&amp;S1361)=0,"","
")&amp;T1362,""))</f>
        <v xml:space="preserve">	• Customer return reference number
	• Courier return reference number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1" s="122" t="str">
        <v/>
      </c>
      <c r="V1361" s="42"/>
      <c r="W1361" s="42"/>
      <c r="X1361" s="42"/>
      <c r="Y1361" s="42"/>
      <c r="Z1361" s="42"/>
      <c r="AA1361" s="42"/>
      <c r="AB1361" s="42"/>
    </row>
    <row r="1362" spans="1:28" x14ac:dyDescent="0.25">
      <c r="A1362" s="42" t="str">
        <v>1.24.5.1.2</v>
      </c>
      <c r="B1362" s="121" t="str">
        <v>Courier return reference number</v>
      </c>
      <c r="C1362" s="41">
        <v>5</v>
      </c>
      <c r="D1362" s="41" t="str">
        <v>RL</v>
      </c>
      <c r="E1362" s="117" t="str">
        <f t="shared" si="0"/>
        <v>RL</v>
      </c>
      <c r="F1362" s="41" t="str">
        <v/>
      </c>
      <c r="G1362" s="41" t="str">
        <v/>
      </c>
      <c r="H1362" s="117">
        <f t="shared" si="1"/>
        <v>0</v>
      </c>
      <c r="I1362" s="117">
        <f t="shared" si="2"/>
        <v>24</v>
      </c>
      <c r="J1362" s="117">
        <f t="shared" si="3"/>
        <v>24.050000000000008</v>
      </c>
      <c r="K1362" s="117" t="str">
        <f t="shared" si="4"/>
        <v>BR</v>
      </c>
      <c r="L1362" s="42" t="str">
        <v>BR2405</v>
      </c>
      <c r="M1362" s="121" t="str">
        <v/>
      </c>
      <c r="N1362" s="121" t="str">
        <v/>
      </c>
      <c r="O1362" s="121" t="str">
        <v/>
      </c>
      <c r="P1362" s="121" t="str">
        <v/>
      </c>
      <c r="Q1362" s="121" t="str">
        <v/>
      </c>
      <c r="R1362" s="121" t="str">
        <v/>
      </c>
      <c r="S1362" s="121" t="str">
        <v>Courier return reference number</v>
      </c>
      <c r="T1362" s="119" t="str">
        <f>IF($C1362&lt;4,IF($C1362=3,T1363,IF($C1362=2,T$1,"")),Q1362&amp;R1362&amp;IF(LEN(S1362)=0,"",Preferences!$C$2&amp;S1362)&amp;IF(J1363=J1362,IF(LEN(R1362&amp;S1362)=0,"","
")&amp;T1363,""))</f>
        <v xml:space="preserve">	• Courier return reference number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2" s="122" t="str">
        <v/>
      </c>
      <c r="V1362" s="42"/>
      <c r="W1362" s="42"/>
      <c r="X1362" s="42"/>
      <c r="Y1362" s="42"/>
      <c r="Z1362" s="42"/>
      <c r="AA1362" s="42"/>
      <c r="AB1362" s="42"/>
    </row>
    <row r="1363" spans="1:28" x14ac:dyDescent="0.25">
      <c r="A1363" s="42" t="str">
        <v>1.24.5.1.3</v>
      </c>
      <c r="B1363" s="121" t="str">
        <v>Return status</v>
      </c>
      <c r="C1363" s="41">
        <v>5</v>
      </c>
      <c r="D1363" s="41" t="str">
        <v>RL</v>
      </c>
      <c r="E1363" s="117" t="str">
        <f t="shared" si="0"/>
        <v>RL</v>
      </c>
      <c r="F1363" s="41" t="str">
        <v/>
      </c>
      <c r="G1363" s="41" t="str">
        <v/>
      </c>
      <c r="H1363" s="117">
        <f t="shared" si="1"/>
        <v>0</v>
      </c>
      <c r="I1363" s="117">
        <f t="shared" si="2"/>
        <v>24</v>
      </c>
      <c r="J1363" s="117">
        <f t="shared" si="3"/>
        <v>24.050000000000008</v>
      </c>
      <c r="K1363" s="117" t="str">
        <f t="shared" si="4"/>
        <v>BR</v>
      </c>
      <c r="L1363" s="42" t="str">
        <v>BR2405</v>
      </c>
      <c r="M1363" s="121" t="str">
        <v/>
      </c>
      <c r="N1363" s="121" t="str">
        <v/>
      </c>
      <c r="O1363" s="121" t="str">
        <v/>
      </c>
      <c r="P1363" s="121" t="str">
        <v/>
      </c>
      <c r="Q1363" s="121" t="str">
        <v/>
      </c>
      <c r="R1363" s="121" t="str">
        <v/>
      </c>
      <c r="S1363" s="121" t="str">
        <v>Return status</v>
      </c>
      <c r="T1363" s="119" t="str">
        <f>IF($C1363&lt;4,IF($C1363=3,T1364,IF($C1363=2,T$1,"")),Q1363&amp;R1363&amp;IF(LEN(S1363)=0,"",Preferences!$C$2&amp;S1363)&amp;IF(J1364=J1363,IF(LEN(R1363&amp;S1363)=0,"","
")&amp;T1364,""))</f>
        <v xml:space="preserve">	• Return status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3" s="122" t="str">
        <v/>
      </c>
      <c r="V1363" s="42"/>
      <c r="W1363" s="42"/>
      <c r="X1363" s="42"/>
      <c r="Y1363" s="42"/>
      <c r="Z1363" s="42"/>
      <c r="AA1363" s="42"/>
      <c r="AB1363" s="42"/>
    </row>
    <row r="1364" spans="1:28" x14ac:dyDescent="0.25">
      <c r="A1364" s="42" t="str">
        <v>1.24.5.1.4</v>
      </c>
      <c r="B1364" s="121" t="str">
        <v>Return status message (as applicable)</v>
      </c>
      <c r="C1364" s="41">
        <v>5</v>
      </c>
      <c r="D1364" s="41" t="str">
        <v>RL</v>
      </c>
      <c r="E1364" s="117" t="str">
        <f t="shared" si="0"/>
        <v>RL</v>
      </c>
      <c r="F1364" s="41" t="str">
        <v/>
      </c>
      <c r="G1364" s="41" t="str">
        <v/>
      </c>
      <c r="H1364" s="117">
        <f t="shared" si="1"/>
        <v>0</v>
      </c>
      <c r="I1364" s="117">
        <f t="shared" si="2"/>
        <v>24</v>
      </c>
      <c r="J1364" s="117">
        <f t="shared" si="3"/>
        <v>24.050000000000008</v>
      </c>
      <c r="K1364" s="117" t="str">
        <f t="shared" si="4"/>
        <v>BR</v>
      </c>
      <c r="L1364" s="42" t="str">
        <v>BR2405</v>
      </c>
      <c r="M1364" s="121" t="str">
        <v/>
      </c>
      <c r="N1364" s="121" t="str">
        <v/>
      </c>
      <c r="O1364" s="121" t="str">
        <v/>
      </c>
      <c r="P1364" s="121" t="str">
        <v/>
      </c>
      <c r="Q1364" s="121" t="str">
        <v/>
      </c>
      <c r="R1364" s="121" t="str">
        <v/>
      </c>
      <c r="S1364" s="121" t="str">
        <v>Return status message (as applicable)</v>
      </c>
      <c r="T1364" s="119" t="str">
        <f>IF($C1364&lt;4,IF($C1364=3,T1365,IF($C1364=2,T$1,"")),Q1364&amp;R1364&amp;IF(LEN(S1364)=0,"",Preferences!$C$2&amp;S1364)&amp;IF(J1365=J1364,IF(LEN(R1364&amp;S1364)=0,"","
")&amp;T1365,""))</f>
        <v xml:space="preserve">	• Return status message (as applicable)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4" s="122" t="str">
        <v/>
      </c>
      <c r="V1364" s="42"/>
      <c r="W1364" s="42"/>
      <c r="X1364" s="42"/>
      <c r="Y1364" s="42"/>
      <c r="Z1364" s="42"/>
      <c r="AA1364" s="42"/>
      <c r="AB1364" s="42"/>
    </row>
    <row r="1365" spans="1:28" x14ac:dyDescent="0.25">
      <c r="A1365" s="42" t="str">
        <v>1.24.5.2</v>
      </c>
      <c r="B1365" s="121" t="str">
        <v>A status message must automatically be sent to the customer for at least the following status events:</v>
      </c>
      <c r="C1365" s="41">
        <v>4</v>
      </c>
      <c r="D1365" s="41" t="str">
        <v>RD</v>
      </c>
      <c r="E1365" s="117" t="str">
        <f t="shared" si="0"/>
        <v>RD</v>
      </c>
      <c r="F1365" s="41" t="str">
        <v/>
      </c>
      <c r="G1365" s="41" t="str">
        <v/>
      </c>
      <c r="H1365" s="117">
        <f t="shared" si="1"/>
        <v>0</v>
      </c>
      <c r="I1365" s="117">
        <f t="shared" si="2"/>
        <v>24</v>
      </c>
      <c r="J1365" s="117">
        <f t="shared" si="3"/>
        <v>24.050000000000008</v>
      </c>
      <c r="K1365" s="117" t="str">
        <f t="shared" si="4"/>
        <v>BR</v>
      </c>
      <c r="L1365" s="42" t="str">
        <v>BR2405</v>
      </c>
      <c r="M1365" s="121" t="str">
        <v/>
      </c>
      <c r="N1365" s="121" t="str">
        <v/>
      </c>
      <c r="O1365" s="121" t="str">
        <v/>
      </c>
      <c r="P1365" s="121" t="str">
        <v/>
      </c>
      <c r="Q1365" s="121" t="str">
        <v xml:space="preserve"> 2. </v>
      </c>
      <c r="R1365" s="121" t="str">
        <v>A status message must automatically be sent to the customer for at least the following status events:</v>
      </c>
      <c r="S1365" s="121" t="str">
        <v/>
      </c>
      <c r="T1365" s="119" t="str">
        <f>IF($C1365&lt;4,IF($C1365=3,T1366,IF($C1365=2,T$1,"")),Q1365&amp;R1365&amp;IF(LEN(S1365)=0,"",Preferences!$C$2&amp;S1365)&amp;IF(J1366=J1365,IF(LEN(R1365&amp;S1365)=0,"","
")&amp;T1366,""))</f>
        <v xml:space="preserve"> 2. A status message must automatically be sent to the customer for at least the following status events:
	• Collection pending
	• Collection complete
 3. Also see the B2C Co suppliers provide up-to-date product and service details requirements in the Product and Service Suppliers section</v>
      </c>
      <c r="U1365" s="122" t="str">
        <v/>
      </c>
      <c r="V1365" s="42"/>
      <c r="W1365" s="42"/>
      <c r="X1365" s="42"/>
      <c r="Y1365" s="42"/>
      <c r="Z1365" s="42"/>
      <c r="AA1365" s="42"/>
      <c r="AB1365" s="42"/>
    </row>
    <row r="1366" spans="1:28" x14ac:dyDescent="0.25">
      <c r="A1366" s="42" t="str">
        <v>1.24.5.2.1</v>
      </c>
      <c r="B1366" s="121" t="str">
        <v>Collection pending</v>
      </c>
      <c r="C1366" s="41">
        <v>5</v>
      </c>
      <c r="D1366" s="41" t="str">
        <v>RL</v>
      </c>
      <c r="E1366" s="117" t="str">
        <f t="shared" si="0"/>
        <v>RL</v>
      </c>
      <c r="F1366" s="41" t="str">
        <v/>
      </c>
      <c r="G1366" s="41" t="str">
        <v/>
      </c>
      <c r="H1366" s="117">
        <f t="shared" si="1"/>
        <v>0</v>
      </c>
      <c r="I1366" s="117">
        <f t="shared" si="2"/>
        <v>24</v>
      </c>
      <c r="J1366" s="117">
        <f t="shared" si="3"/>
        <v>24.050000000000008</v>
      </c>
      <c r="K1366" s="117" t="str">
        <f t="shared" si="4"/>
        <v>BR</v>
      </c>
      <c r="L1366" s="42" t="str">
        <v>BR2405</v>
      </c>
      <c r="M1366" s="121" t="str">
        <v/>
      </c>
      <c r="N1366" s="121" t="str">
        <v/>
      </c>
      <c r="O1366" s="121" t="str">
        <v/>
      </c>
      <c r="P1366" s="121" t="str">
        <v/>
      </c>
      <c r="Q1366" s="121" t="str">
        <v/>
      </c>
      <c r="R1366" s="121" t="str">
        <v/>
      </c>
      <c r="S1366" s="121" t="str">
        <v>Collection pending</v>
      </c>
      <c r="T1366" s="119" t="str">
        <f>IF($C1366&lt;4,IF($C1366=3,T1367,IF($C1366=2,T$1,"")),Q1366&amp;R1366&amp;IF(LEN(S1366)=0,"",Preferences!$C$2&amp;S1366)&amp;IF(J1367=J1366,IF(LEN(R1366&amp;S1366)=0,"","
")&amp;T1367,""))</f>
        <v xml:space="preserve">	• Collection pending
	• Collection complete
 3. Also see the B2C Co suppliers provide up-to-date product and service details requirements in the Product and Service Suppliers section</v>
      </c>
      <c r="U1366" s="122" t="str">
        <v/>
      </c>
      <c r="V1366" s="42"/>
      <c r="W1366" s="42"/>
      <c r="X1366" s="42"/>
      <c r="Y1366" s="42"/>
      <c r="Z1366" s="42"/>
      <c r="AA1366" s="42"/>
      <c r="AB1366" s="42"/>
    </row>
    <row r="1367" spans="1:28" x14ac:dyDescent="0.25">
      <c r="A1367" s="42" t="str">
        <v>1.24.5.2.2</v>
      </c>
      <c r="B1367" s="121" t="str">
        <v>Collection complete</v>
      </c>
      <c r="C1367" s="41">
        <v>5</v>
      </c>
      <c r="D1367" s="41" t="str">
        <v>RL</v>
      </c>
      <c r="E1367" s="117" t="str">
        <f t="shared" si="0"/>
        <v>RL</v>
      </c>
      <c r="F1367" s="41" t="str">
        <v/>
      </c>
      <c r="G1367" s="41" t="str">
        <v/>
      </c>
      <c r="H1367" s="117">
        <f t="shared" si="1"/>
        <v>0</v>
      </c>
      <c r="I1367" s="117">
        <f t="shared" si="2"/>
        <v>24</v>
      </c>
      <c r="J1367" s="117">
        <f t="shared" si="3"/>
        <v>24.050000000000008</v>
      </c>
      <c r="K1367" s="117" t="str">
        <f t="shared" si="4"/>
        <v>BR</v>
      </c>
      <c r="L1367" s="42" t="str">
        <v>BR2405</v>
      </c>
      <c r="M1367" s="121" t="str">
        <v/>
      </c>
      <c r="N1367" s="121" t="str">
        <v/>
      </c>
      <c r="O1367" s="121" t="str">
        <v/>
      </c>
      <c r="P1367" s="121" t="str">
        <v/>
      </c>
      <c r="Q1367" s="121" t="str">
        <v/>
      </c>
      <c r="R1367" s="121" t="str">
        <v/>
      </c>
      <c r="S1367" s="121" t="str">
        <v>Collection complete</v>
      </c>
      <c r="T1367" s="119" t="str">
        <f>IF($C1367&lt;4,IF($C1367=3,T1368,IF($C1367=2,T$1,"")),Q1367&amp;R1367&amp;IF(LEN(S1367)=0,"",Preferences!$C$2&amp;S1367)&amp;IF(J1368=J1367,IF(LEN(R1367&amp;S1367)=0,"","
")&amp;T1368,""))</f>
        <v xml:space="preserve">	• Collection complete
 3. Also see the B2C Co suppliers provide up-to-date product and service details requirements in the Product and Service Suppliers section</v>
      </c>
      <c r="U1367" s="122" t="str">
        <v/>
      </c>
      <c r="V1367" s="42"/>
      <c r="W1367" s="42"/>
      <c r="X1367" s="42"/>
      <c r="Y1367" s="42"/>
      <c r="Z1367" s="42"/>
      <c r="AA1367" s="42"/>
      <c r="AB1367" s="42"/>
    </row>
    <row r="1368" spans="1:28" x14ac:dyDescent="0.25">
      <c r="A1368" s="42" t="str">
        <v>1.24.5.3</v>
      </c>
      <c r="B1368" s="121" t="str">
        <v>Also see the B2C Co suppliers provide up-to-date product and service details requirements in the Product and Service Suppliers section</v>
      </c>
      <c r="C1368" s="41">
        <v>4</v>
      </c>
      <c r="D1368" s="41" t="str">
        <v>RD</v>
      </c>
      <c r="E1368" s="117" t="str">
        <f t="shared" si="0"/>
        <v>RD</v>
      </c>
      <c r="F1368" s="41" t="str">
        <v/>
      </c>
      <c r="G1368" s="41" t="str">
        <v/>
      </c>
      <c r="H1368" s="117">
        <f t="shared" si="1"/>
        <v>0</v>
      </c>
      <c r="I1368" s="117">
        <f t="shared" si="2"/>
        <v>24</v>
      </c>
      <c r="J1368" s="117">
        <f t="shared" si="3"/>
        <v>24.050000000000008</v>
      </c>
      <c r="K1368" s="117" t="str">
        <f t="shared" si="4"/>
        <v>BR</v>
      </c>
      <c r="L1368" s="42" t="str">
        <v>BR2405</v>
      </c>
      <c r="M1368" s="121" t="str">
        <v/>
      </c>
      <c r="N1368" s="121" t="str">
        <v/>
      </c>
      <c r="O1368" s="121" t="str">
        <v/>
      </c>
      <c r="P1368" s="121" t="str">
        <v/>
      </c>
      <c r="Q1368" s="121" t="str">
        <v xml:space="preserve"> 3. </v>
      </c>
      <c r="R1368" s="121" t="str">
        <v>Also see the B2C Co suppliers provide up-to-date product and service details requirements in the Product and Service Suppliers section</v>
      </c>
      <c r="S1368" s="121" t="str">
        <v/>
      </c>
      <c r="T1368" s="119" t="str">
        <f>IF($C1368&lt;4,IF($C1368=3,T1369,IF($C1368=2,T$1,"")),Q1368&amp;R1368&amp;IF(LEN(S1368)=0,"",Preferences!$C$2&amp;S1368)&amp;IF(J1369=J1368,IF(LEN(R1368&amp;S1368)=0,"","
")&amp;T1369,""))</f>
        <v xml:space="preserve"> 3. Also see the B2C Co suppliers provide up-to-date product and service details requirements in the Product and Service Suppliers section</v>
      </c>
      <c r="U1368" s="122" t="str">
        <v/>
      </c>
      <c r="V1368" s="42"/>
      <c r="W1368" s="42"/>
      <c r="X1368" s="42"/>
      <c r="Y1368" s="42"/>
      <c r="Z1368" s="42"/>
      <c r="AA1368" s="42"/>
      <c r="AB1368" s="42"/>
    </row>
    <row r="1369" spans="1:28" x14ac:dyDescent="0.25">
      <c r="A1369" s="42" t="str">
        <v>1.24.6</v>
      </c>
      <c r="B1369" s="121" t="str">
        <v>24.6 Follow-up on the incomplete fulfilment of a customer return request</v>
      </c>
      <c r="C1369" s="41">
        <v>3</v>
      </c>
      <c r="D1369" s="41" t="str">
        <v>R</v>
      </c>
      <c r="E1369" s="117" t="str">
        <f t="shared" si="0"/>
        <v>R</v>
      </c>
      <c r="F1369" s="41" t="str">
        <v/>
      </c>
      <c r="G1369" s="41" t="str">
        <v/>
      </c>
      <c r="H1369" s="117">
        <f t="shared" si="1"/>
        <v>0</v>
      </c>
      <c r="I1369" s="117">
        <f t="shared" si="2"/>
        <v>24</v>
      </c>
      <c r="J1369" s="117">
        <f t="shared" si="3"/>
        <v>24.060000000000009</v>
      </c>
      <c r="K1369" s="117" t="str">
        <f t="shared" si="4"/>
        <v>BR</v>
      </c>
      <c r="L1369" s="42" t="str">
        <v>BR2406</v>
      </c>
      <c r="M1369" s="121" t="str">
        <v/>
      </c>
      <c r="N1369" s="121" t="str">
        <v/>
      </c>
      <c r="O1369" s="121" t="str">
        <v>BR2406</v>
      </c>
      <c r="P1369" s="121" t="str">
        <v>Follow-up on the incomplete fulfilment of a customer return request</v>
      </c>
      <c r="Q1369" s="121" t="str">
        <v/>
      </c>
      <c r="R1369" s="121" t="str">
        <v/>
      </c>
      <c r="S1369" s="121" t="str">
        <v/>
      </c>
      <c r="T1369" s="119" t="str">
        <f>IF($C1369&lt;4,IF($C1369=3,T1370,IF($C1369=2,T$1,"")),Q1369&amp;R1369&amp;IF(LEN(S1369)=0,"",Preferences!$C$2&amp;S1369)&amp;IF(J1370=J1369,IF(LEN(R1369&amp;S1369)=0,"","
")&amp;T1370,""))</f>
        <v xml:space="preserve"> 1. The fulfilment department will manually follow up with:
	• The courier, on a return collection that is outstanding
	• The customer, on a collected the courier could not complete
	• The courier and supplier, on a product return processing issue</v>
      </c>
      <c r="U1369" s="122" t="str">
        <v/>
      </c>
      <c r="V1369" s="42"/>
      <c r="W1369" s="42"/>
      <c r="X1369" s="42"/>
      <c r="Y1369" s="42"/>
      <c r="Z1369" s="42"/>
      <c r="AA1369" s="42"/>
      <c r="AB1369" s="42"/>
    </row>
    <row r="1370" spans="1:28" x14ac:dyDescent="0.25">
      <c r="A1370" s="42" t="str">
        <v>1.24.6.1</v>
      </c>
      <c r="B1370" s="121" t="str">
        <v>The fulfilment department will manually follow up with:</v>
      </c>
      <c r="C1370" s="41">
        <v>4</v>
      </c>
      <c r="D1370" s="41" t="str">
        <v>RD</v>
      </c>
      <c r="E1370" s="117" t="str">
        <f t="shared" si="0"/>
        <v>RD</v>
      </c>
      <c r="F1370" s="41" t="str">
        <v/>
      </c>
      <c r="G1370" s="41" t="str">
        <v/>
      </c>
      <c r="H1370" s="117">
        <f t="shared" si="1"/>
        <v>0</v>
      </c>
      <c r="I1370" s="117">
        <f t="shared" si="2"/>
        <v>24</v>
      </c>
      <c r="J1370" s="117">
        <f t="shared" si="3"/>
        <v>24.060000000000009</v>
      </c>
      <c r="K1370" s="117" t="str">
        <f t="shared" si="4"/>
        <v>BR</v>
      </c>
      <c r="L1370" s="42" t="str">
        <v>BR2406</v>
      </c>
      <c r="M1370" s="121" t="str">
        <v/>
      </c>
      <c r="N1370" s="121" t="str">
        <v/>
      </c>
      <c r="O1370" s="121" t="str">
        <v/>
      </c>
      <c r="P1370" s="121" t="str">
        <v/>
      </c>
      <c r="Q1370" s="121" t="str">
        <v xml:space="preserve"> 1. </v>
      </c>
      <c r="R1370" s="121" t="str">
        <v>The fulfilment department will manually follow up with:</v>
      </c>
      <c r="S1370" s="121" t="str">
        <v/>
      </c>
      <c r="T1370" s="119" t="str">
        <f>IF($C1370&lt;4,IF($C1370=3,T1371,IF($C1370=2,T$1,"")),Q1370&amp;R1370&amp;IF(LEN(S1370)=0,"",Preferences!$C$2&amp;S1370)&amp;IF(J1371=J1370,IF(LEN(R1370&amp;S1370)=0,"","
")&amp;T1371,""))</f>
        <v xml:space="preserve"> 1. The fulfilment department will manually follow up with:
	• The courier, on a return collection that is outstanding
	• The customer, on a collected the courier could not complete
	• The courier and supplier, on a product return processing issue</v>
      </c>
      <c r="U1370" s="122" t="str">
        <v/>
      </c>
      <c r="V1370" s="42"/>
      <c r="W1370" s="42"/>
      <c r="X1370" s="42"/>
      <c r="Y1370" s="42"/>
      <c r="Z1370" s="42"/>
      <c r="AA1370" s="42"/>
      <c r="AB1370" s="42"/>
    </row>
    <row r="1371" spans="1:28" x14ac:dyDescent="0.25">
      <c r="A1371" s="42" t="str">
        <v>1.24.6.1.1</v>
      </c>
      <c r="B1371" s="121" t="str">
        <v>The courier, on a return collection that is outstanding</v>
      </c>
      <c r="C1371" s="41">
        <v>5</v>
      </c>
      <c r="D1371" s="41" t="str">
        <v>RL</v>
      </c>
      <c r="E1371" s="117" t="str">
        <f t="shared" si="0"/>
        <v>RL</v>
      </c>
      <c r="F1371" s="41" t="str">
        <v/>
      </c>
      <c r="G1371" s="41" t="str">
        <v/>
      </c>
      <c r="H1371" s="117">
        <f t="shared" si="1"/>
        <v>0</v>
      </c>
      <c r="I1371" s="117">
        <f t="shared" si="2"/>
        <v>24</v>
      </c>
      <c r="J1371" s="117">
        <f t="shared" si="3"/>
        <v>24.060000000000009</v>
      </c>
      <c r="K1371" s="117" t="str">
        <f t="shared" si="4"/>
        <v>BR</v>
      </c>
      <c r="L1371" s="42" t="str">
        <v>BR2406</v>
      </c>
      <c r="M1371" s="121" t="str">
        <v/>
      </c>
      <c r="N1371" s="121" t="str">
        <v/>
      </c>
      <c r="O1371" s="121" t="str">
        <v/>
      </c>
      <c r="P1371" s="121" t="str">
        <v/>
      </c>
      <c r="Q1371" s="121" t="str">
        <v/>
      </c>
      <c r="R1371" s="121" t="str">
        <v/>
      </c>
      <c r="S1371" s="121" t="str">
        <v>The courier, on a return collection that is outstanding</v>
      </c>
      <c r="T1371" s="119" t="str">
        <f>IF($C1371&lt;4,IF($C1371=3,T1372,IF($C1371=2,T$1,"")),Q1371&amp;R1371&amp;IF(LEN(S1371)=0,"",Preferences!$C$2&amp;S1371)&amp;IF(J1372=J1371,IF(LEN(R1371&amp;S1371)=0,"","
")&amp;T1372,""))</f>
        <v xml:space="preserve">	• The courier, on a return collection that is outstanding
	• The customer, on a collected the courier could not complete
	• The courier and supplier, on a product return processing issue</v>
      </c>
      <c r="U1371" s="122" t="str">
        <v/>
      </c>
      <c r="V1371" s="42"/>
      <c r="W1371" s="42"/>
      <c r="X1371" s="42"/>
      <c r="Y1371" s="42"/>
      <c r="Z1371" s="42"/>
      <c r="AA1371" s="42"/>
      <c r="AB1371" s="42"/>
    </row>
    <row r="1372" spans="1:28" x14ac:dyDescent="0.25">
      <c r="A1372" s="42" t="str">
        <v>1.24.6.1.2</v>
      </c>
      <c r="B1372" s="121" t="str">
        <v>The customer, on a collected the courier could not complete</v>
      </c>
      <c r="C1372" s="41">
        <v>5</v>
      </c>
      <c r="D1372" s="41" t="str">
        <v>RL</v>
      </c>
      <c r="E1372" s="117" t="str">
        <f t="shared" si="0"/>
        <v>RL</v>
      </c>
      <c r="F1372" s="41" t="str">
        <v/>
      </c>
      <c r="G1372" s="41" t="str">
        <v/>
      </c>
      <c r="H1372" s="117">
        <f t="shared" si="1"/>
        <v>0</v>
      </c>
      <c r="I1372" s="117">
        <f t="shared" si="2"/>
        <v>24</v>
      </c>
      <c r="J1372" s="117">
        <f t="shared" si="3"/>
        <v>24.060000000000009</v>
      </c>
      <c r="K1372" s="117" t="str">
        <f t="shared" si="4"/>
        <v>BR</v>
      </c>
      <c r="L1372" s="42" t="str">
        <v>BR2406</v>
      </c>
      <c r="M1372" s="121" t="str">
        <v/>
      </c>
      <c r="N1372" s="121" t="str">
        <v/>
      </c>
      <c r="O1372" s="121" t="str">
        <v/>
      </c>
      <c r="P1372" s="121" t="str">
        <v/>
      </c>
      <c r="Q1372" s="121" t="str">
        <v/>
      </c>
      <c r="R1372" s="121" t="str">
        <v/>
      </c>
      <c r="S1372" s="121" t="str">
        <v>The customer, on a collected the courier could not complete</v>
      </c>
      <c r="T1372" s="119" t="str">
        <f>IF($C1372&lt;4,IF($C1372=3,T1373,IF($C1372=2,T$1,"")),Q1372&amp;R1372&amp;IF(LEN(S1372)=0,"",Preferences!$C$2&amp;S1372)&amp;IF(J1373=J1372,IF(LEN(R1372&amp;S1372)=0,"","
")&amp;T1373,""))</f>
        <v xml:space="preserve">	• The customer, on a collected the courier could not complete
	• The courier and supplier, on a product return processing issue</v>
      </c>
      <c r="U1372" s="122" t="str">
        <v/>
      </c>
      <c r="V1372" s="42"/>
      <c r="W1372" s="42"/>
      <c r="X1372" s="42"/>
      <c r="Y1372" s="42"/>
      <c r="Z1372" s="42"/>
      <c r="AA1372" s="42"/>
      <c r="AB1372" s="42"/>
    </row>
    <row r="1373" spans="1:28" x14ac:dyDescent="0.25">
      <c r="A1373" s="42" t="str">
        <v>1.24.6.1.3</v>
      </c>
      <c r="B1373" s="121" t="str">
        <v>The courier and supplier, on a product return processing issue</v>
      </c>
      <c r="C1373" s="41">
        <v>5</v>
      </c>
      <c r="D1373" s="41" t="str">
        <v>RL</v>
      </c>
      <c r="E1373" s="117" t="str">
        <f t="shared" si="0"/>
        <v>RL</v>
      </c>
      <c r="F1373" s="41" t="str">
        <v/>
      </c>
      <c r="G1373" s="41" t="str">
        <v/>
      </c>
      <c r="H1373" s="117">
        <f t="shared" si="1"/>
        <v>0</v>
      </c>
      <c r="I1373" s="117">
        <f t="shared" si="2"/>
        <v>24</v>
      </c>
      <c r="J1373" s="117">
        <f t="shared" si="3"/>
        <v>24.060000000000009</v>
      </c>
      <c r="K1373" s="117" t="str">
        <f t="shared" si="4"/>
        <v>BR</v>
      </c>
      <c r="L1373" s="42" t="str">
        <v>BR2406</v>
      </c>
      <c r="M1373" s="121" t="str">
        <v/>
      </c>
      <c r="N1373" s="121" t="str">
        <v/>
      </c>
      <c r="O1373" s="121" t="str">
        <v/>
      </c>
      <c r="P1373" s="121" t="str">
        <v/>
      </c>
      <c r="Q1373" s="121" t="str">
        <v/>
      </c>
      <c r="R1373" s="121" t="str">
        <v/>
      </c>
      <c r="S1373" s="121" t="str">
        <v>The courier and supplier, on a product return processing issue</v>
      </c>
      <c r="T1373" s="119" t="str">
        <f>IF($C1373&lt;4,IF($C1373=3,T1374,IF($C1373=2,T$1,"")),Q1373&amp;R1373&amp;IF(LEN(S1373)=0,"",Preferences!$C$2&amp;S1373)&amp;IF(J1374=J1373,IF(LEN(R1373&amp;S1373)=0,"","
")&amp;T1374,""))</f>
        <v xml:space="preserve">	• The courier and supplier, on a product return processing issue</v>
      </c>
      <c r="U1373" s="122" t="str">
        <v/>
      </c>
      <c r="V1373" s="42"/>
      <c r="W1373" s="42"/>
      <c r="X1373" s="42"/>
      <c r="Y1373" s="42"/>
      <c r="Z1373" s="42"/>
      <c r="AA1373" s="42"/>
      <c r="AB1373" s="42"/>
    </row>
    <row r="1374" spans="1:28" x14ac:dyDescent="0.25">
      <c r="A1374" s="42" t="str">
        <v>1.25</v>
      </c>
      <c r="B1374" s="121" t="str">
        <v>25 Customer Contact Management</v>
      </c>
      <c r="C1374" s="41">
        <v>2</v>
      </c>
      <c r="D1374" s="41" t="str">
        <v>RS</v>
      </c>
      <c r="E1374" s="117" t="str">
        <f t="shared" si="0"/>
        <v>RS</v>
      </c>
      <c r="F1374" s="41" t="str">
        <v/>
      </c>
      <c r="G1374" s="41" t="str">
        <v/>
      </c>
      <c r="H1374" s="117">
        <f t="shared" si="1"/>
        <v>0</v>
      </c>
      <c r="I1374" s="117">
        <f t="shared" si="2"/>
        <v>25</v>
      </c>
      <c r="J1374" s="117">
        <f t="shared" si="3"/>
        <v>25</v>
      </c>
      <c r="K1374" s="117" t="str">
        <f t="shared" si="4"/>
        <v>BR</v>
      </c>
      <c r="L1374" s="42">
        <v>25</v>
      </c>
      <c r="M1374" s="121" t="str">
        <v/>
      </c>
      <c r="N1374" s="121" t="str">
        <v>25 Customer Contact Management</v>
      </c>
      <c r="O1374" s="121" t="str">
        <v>ReqID</v>
      </c>
      <c r="P1374" s="121" t="e">
        <v>#N/A</v>
      </c>
      <c r="Q1374" s="121" t="str">
        <v/>
      </c>
      <c r="R1374" s="121" t="str">
        <v/>
      </c>
      <c r="S1374" s="121" t="str">
        <v/>
      </c>
      <c r="T1374" s="119" t="str">
        <f>IF($C1374&lt;4,IF($C1374=3,T1375,IF($C1374=2,T$1,"")),Q1374&amp;R1374&amp;IF(LEN(S1374)=0,"",Preferences!$C$2&amp;S1374)&amp;IF(J1375=J1374,IF(LEN(R1374&amp;S1374)=0,"","
")&amp;T1375,""))</f>
        <v>Description</v>
      </c>
      <c r="U1374" s="122" t="str">
        <v/>
      </c>
      <c r="V1374" s="42"/>
      <c r="W1374" s="42"/>
      <c r="X1374" s="42"/>
      <c r="Y1374" s="42"/>
      <c r="Z1374" s="42"/>
      <c r="AA1374" s="42"/>
      <c r="AB1374" s="42"/>
    </row>
    <row r="1375" spans="1:28" x14ac:dyDescent="0.25">
      <c r="A1375" s="42" t="str">
        <v>1.25.1</v>
      </c>
      <c r="B1375" s="121" t="str">
        <v>25.1 Provide a central customer contact management capability</v>
      </c>
      <c r="C1375" s="41">
        <v>3</v>
      </c>
      <c r="D1375" s="41" t="str">
        <v>R</v>
      </c>
      <c r="E1375" s="117" t="str">
        <f t="shared" si="0"/>
        <v>R</v>
      </c>
      <c r="F1375" s="41" t="str">
        <v/>
      </c>
      <c r="G1375" s="41" t="str">
        <v/>
      </c>
      <c r="H1375" s="117">
        <f t="shared" si="1"/>
        <v>0</v>
      </c>
      <c r="I1375" s="117">
        <f t="shared" si="2"/>
        <v>25</v>
      </c>
      <c r="J1375" s="117">
        <f t="shared" si="3"/>
        <v>25.01</v>
      </c>
      <c r="K1375" s="117" t="str">
        <f t="shared" si="4"/>
        <v>BR</v>
      </c>
      <c r="L1375" s="42" t="str">
        <v>BR2501</v>
      </c>
      <c r="M1375" s="121" t="str">
        <v/>
      </c>
      <c r="N1375" s="121" t="str">
        <v/>
      </c>
      <c r="O1375" s="121" t="str">
        <v>BR2501</v>
      </c>
      <c r="P1375" s="121" t="str">
        <v>Provide a central customer contact management capability</v>
      </c>
      <c r="Q1375" s="121" t="str">
        <v/>
      </c>
      <c r="R1375" s="121" t="str">
        <v/>
      </c>
      <c r="S1375" s="121" t="str">
        <v/>
      </c>
      <c r="T1375" s="119" t="str">
        <f>IF($C1375&lt;4,IF($C1375=3,T1376,IF($C1375=2,T$1,"")),Q1375&amp;R1375&amp;IF(LEN(S1375)=0,"",Preferences!$C$2&amp;S1375)&amp;IF(J1376=J1375,IF(LEN(R1375&amp;S1375)=0,"","
")&amp;T1376,""))</f>
        <v xml:space="preserve"> 1. Provide the ability for the business to centrally manage online contact with registered customers and anonymous visitors who submit enquiries to the business.
 2. The customer online contact management capability must be available to the following:
	• Call centre
	• Orders Management
	• Fulfilment Management
	• Payments Management</v>
      </c>
      <c r="U1375" s="122" t="str">
        <v/>
      </c>
      <c r="V1375" s="42"/>
      <c r="W1375" s="42"/>
      <c r="X1375" s="42"/>
      <c r="Y1375" s="42"/>
      <c r="Z1375" s="42"/>
      <c r="AA1375" s="42"/>
      <c r="AB1375" s="42"/>
    </row>
    <row r="1376" spans="1:28" x14ac:dyDescent="0.25">
      <c r="A1376" s="42" t="str">
        <v>1.25.1.1</v>
      </c>
      <c r="B1376" s="121" t="str">
        <v>Provide the ability for the business to centrally manage online contact with registered customers and anonymous visitors who submit enquiries to the business.</v>
      </c>
      <c r="C1376" s="41">
        <v>4</v>
      </c>
      <c r="D1376" s="41" t="str">
        <v>RD</v>
      </c>
      <c r="E1376" s="117" t="str">
        <f t="shared" si="0"/>
        <v>RD</v>
      </c>
      <c r="F1376" s="41" t="str">
        <v/>
      </c>
      <c r="G1376" s="41" t="str">
        <v/>
      </c>
      <c r="H1376" s="117">
        <f t="shared" si="1"/>
        <v>0</v>
      </c>
      <c r="I1376" s="117">
        <f t="shared" si="2"/>
        <v>25</v>
      </c>
      <c r="J1376" s="117">
        <f t="shared" si="3"/>
        <v>25.01</v>
      </c>
      <c r="K1376" s="117" t="str">
        <f t="shared" si="4"/>
        <v>BR</v>
      </c>
      <c r="L1376" s="42" t="str">
        <v>BR2501</v>
      </c>
      <c r="M1376" s="121" t="str">
        <v/>
      </c>
      <c r="N1376" s="121" t="str">
        <v/>
      </c>
      <c r="O1376" s="121" t="str">
        <v/>
      </c>
      <c r="P1376" s="121" t="str">
        <v/>
      </c>
      <c r="Q1376" s="121" t="str">
        <v xml:space="preserve"> 1. </v>
      </c>
      <c r="R1376" s="121" t="str">
        <v>Provide the ability for the business to centrally manage online contact with registered customers and anonymous visitors who submit enquiries to the business.</v>
      </c>
      <c r="S1376" s="121" t="str">
        <v/>
      </c>
      <c r="T1376" s="119" t="str">
        <f>IF($C1376&lt;4,IF($C1376=3,T1377,IF($C1376=2,T$1,"")),Q1376&amp;R1376&amp;IF(LEN(S1376)=0,"",Preferences!$C$2&amp;S1376)&amp;IF(J1377=J1376,IF(LEN(R1376&amp;S1376)=0,"","
")&amp;T1377,""))</f>
        <v xml:space="preserve"> 1. Provide the ability for the business to centrally manage online contact with registered customers and anonymous visitors who submit enquiries to the business.
 2. The customer online contact management capability must be available to the following:
	• Call centre
	• Orders Management
	• Fulfilment Management
	• Payments Management</v>
      </c>
      <c r="U1376" s="122" t="str">
        <v/>
      </c>
      <c r="V1376" s="42"/>
      <c r="W1376" s="42"/>
      <c r="X1376" s="42"/>
      <c r="Y1376" s="42"/>
      <c r="Z1376" s="42"/>
      <c r="AA1376" s="42"/>
      <c r="AB1376" s="42"/>
    </row>
    <row r="1377" spans="1:28" x14ac:dyDescent="0.25">
      <c r="A1377" s="42" t="str">
        <v>1.25.1.2</v>
      </c>
      <c r="B1377" s="121" t="str">
        <v>The customer online contact management capability must be available to the following:</v>
      </c>
      <c r="C1377" s="41">
        <v>4</v>
      </c>
      <c r="D1377" s="41" t="str">
        <v>RD</v>
      </c>
      <c r="E1377" s="117" t="str">
        <f t="shared" si="0"/>
        <v>RD</v>
      </c>
      <c r="F1377" s="41" t="str">
        <v/>
      </c>
      <c r="G1377" s="41" t="str">
        <v/>
      </c>
      <c r="H1377" s="117">
        <f t="shared" si="1"/>
        <v>0</v>
      </c>
      <c r="I1377" s="117">
        <f t="shared" si="2"/>
        <v>25</v>
      </c>
      <c r="J1377" s="117">
        <f t="shared" si="3"/>
        <v>25.01</v>
      </c>
      <c r="K1377" s="117" t="str">
        <f t="shared" si="4"/>
        <v>BR</v>
      </c>
      <c r="L1377" s="42" t="str">
        <v>BR2501</v>
      </c>
      <c r="M1377" s="121" t="str">
        <v/>
      </c>
      <c r="N1377" s="121" t="str">
        <v/>
      </c>
      <c r="O1377" s="121" t="str">
        <v/>
      </c>
      <c r="P1377" s="121" t="str">
        <v/>
      </c>
      <c r="Q1377" s="121" t="str">
        <v xml:space="preserve"> 2. </v>
      </c>
      <c r="R1377" s="121" t="str">
        <v>The customer online contact management capability must be available to the following:</v>
      </c>
      <c r="S1377" s="121" t="str">
        <v/>
      </c>
      <c r="T1377" s="119" t="str">
        <f>IF($C1377&lt;4,IF($C1377=3,T1378,IF($C1377=2,T$1,"")),Q1377&amp;R1377&amp;IF(LEN(S1377)=0,"",Preferences!$C$2&amp;S1377)&amp;IF(J1378=J1377,IF(LEN(R1377&amp;S1377)=0,"","
")&amp;T1378,""))</f>
        <v xml:space="preserve"> 2. The customer online contact management capability must be available to the following:
	• Call centre
	• Orders Management
	• Fulfilment Management
	• Payments Management</v>
      </c>
      <c r="U1377" s="122" t="str">
        <v/>
      </c>
      <c r="V1377" s="42"/>
      <c r="W1377" s="42"/>
      <c r="X1377" s="42"/>
      <c r="Y1377" s="42"/>
      <c r="Z1377" s="42"/>
      <c r="AA1377" s="42"/>
      <c r="AB1377" s="42"/>
    </row>
    <row r="1378" spans="1:28" x14ac:dyDescent="0.25">
      <c r="A1378" s="42" t="str">
        <v>1.25.1.2.1</v>
      </c>
      <c r="B1378" s="121" t="str">
        <v>Call centre</v>
      </c>
      <c r="C1378" s="41">
        <v>5</v>
      </c>
      <c r="D1378" s="41" t="str">
        <v>RL</v>
      </c>
      <c r="E1378" s="117" t="str">
        <f t="shared" si="0"/>
        <v>RL</v>
      </c>
      <c r="F1378" s="41" t="str">
        <v/>
      </c>
      <c r="G1378" s="41" t="str">
        <v/>
      </c>
      <c r="H1378" s="117">
        <f t="shared" si="1"/>
        <v>0</v>
      </c>
      <c r="I1378" s="117">
        <f t="shared" si="2"/>
        <v>25</v>
      </c>
      <c r="J1378" s="117">
        <f t="shared" si="3"/>
        <v>25.01</v>
      </c>
      <c r="K1378" s="117" t="str">
        <f t="shared" si="4"/>
        <v>BR</v>
      </c>
      <c r="L1378" s="42" t="str">
        <v>BR2501</v>
      </c>
      <c r="M1378" s="121" t="str">
        <v/>
      </c>
      <c r="N1378" s="121" t="str">
        <v/>
      </c>
      <c r="O1378" s="121" t="str">
        <v/>
      </c>
      <c r="P1378" s="121" t="str">
        <v/>
      </c>
      <c r="Q1378" s="121" t="str">
        <v/>
      </c>
      <c r="R1378" s="121" t="str">
        <v/>
      </c>
      <c r="S1378" s="121" t="str">
        <v>Call centre</v>
      </c>
      <c r="T1378" s="119" t="str">
        <f>IF($C1378&lt;4,IF($C1378=3,T1379,IF($C1378=2,T$1,"")),Q1378&amp;R1378&amp;IF(LEN(S1378)=0,"",Preferences!$C$2&amp;S1378)&amp;IF(J1379=J1378,IF(LEN(R1378&amp;S1378)=0,"","
")&amp;T1379,""))</f>
        <v xml:space="preserve">	• Call centre
	• Orders Management
	• Fulfilment Management
	• Payments Management</v>
      </c>
      <c r="U1378" s="122" t="str">
        <v/>
      </c>
      <c r="V1378" s="42"/>
      <c r="W1378" s="42"/>
      <c r="X1378" s="42"/>
      <c r="Y1378" s="42"/>
      <c r="Z1378" s="42"/>
      <c r="AA1378" s="42"/>
      <c r="AB1378" s="42"/>
    </row>
    <row r="1379" spans="1:28" x14ac:dyDescent="0.25">
      <c r="A1379" s="42" t="str">
        <v>1.25.1.2.2</v>
      </c>
      <c r="B1379" s="121" t="str">
        <v>Orders Management</v>
      </c>
      <c r="C1379" s="41">
        <v>5</v>
      </c>
      <c r="D1379" s="41" t="str">
        <v>RL</v>
      </c>
      <c r="E1379" s="117" t="str">
        <f t="shared" si="0"/>
        <v>RL</v>
      </c>
      <c r="F1379" s="41" t="str">
        <v/>
      </c>
      <c r="G1379" s="41" t="str">
        <v/>
      </c>
      <c r="H1379" s="117">
        <f t="shared" si="1"/>
        <v>0</v>
      </c>
      <c r="I1379" s="117">
        <f t="shared" si="2"/>
        <v>25</v>
      </c>
      <c r="J1379" s="117">
        <f t="shared" si="3"/>
        <v>25.01</v>
      </c>
      <c r="K1379" s="117" t="str">
        <f t="shared" si="4"/>
        <v>BR</v>
      </c>
      <c r="L1379" s="42" t="str">
        <v>BR2501</v>
      </c>
      <c r="M1379" s="121" t="str">
        <v/>
      </c>
      <c r="N1379" s="121" t="str">
        <v/>
      </c>
      <c r="O1379" s="121" t="str">
        <v/>
      </c>
      <c r="P1379" s="121" t="str">
        <v/>
      </c>
      <c r="Q1379" s="121" t="str">
        <v/>
      </c>
      <c r="R1379" s="121" t="str">
        <v/>
      </c>
      <c r="S1379" s="121" t="str">
        <v>Orders Management</v>
      </c>
      <c r="T1379" s="119" t="str">
        <f>IF($C1379&lt;4,IF($C1379=3,T1380,IF($C1379=2,T$1,"")),Q1379&amp;R1379&amp;IF(LEN(S1379)=0,"",Preferences!$C$2&amp;S1379)&amp;IF(J1380=J1379,IF(LEN(R1379&amp;S1379)=0,"","
")&amp;T1380,""))</f>
        <v xml:space="preserve">	• Orders Management
	• Fulfilment Management
	• Payments Management</v>
      </c>
      <c r="U1379" s="122" t="str">
        <v/>
      </c>
      <c r="V1379" s="42"/>
      <c r="W1379" s="42"/>
      <c r="X1379" s="42"/>
      <c r="Y1379" s="42"/>
      <c r="Z1379" s="42"/>
      <c r="AA1379" s="42"/>
      <c r="AB1379" s="42"/>
    </row>
    <row r="1380" spans="1:28" x14ac:dyDescent="0.25">
      <c r="A1380" s="42" t="str">
        <v>1.25.1.2.3</v>
      </c>
      <c r="B1380" s="121" t="str">
        <v>Fulfilment Management</v>
      </c>
      <c r="C1380" s="41">
        <v>5</v>
      </c>
      <c r="D1380" s="41" t="str">
        <v>RL</v>
      </c>
      <c r="E1380" s="117" t="str">
        <f t="shared" si="0"/>
        <v>RL</v>
      </c>
      <c r="F1380" s="41" t="str">
        <v/>
      </c>
      <c r="G1380" s="41" t="str">
        <v/>
      </c>
      <c r="H1380" s="117">
        <f t="shared" si="1"/>
        <v>0</v>
      </c>
      <c r="I1380" s="117">
        <f t="shared" si="2"/>
        <v>25</v>
      </c>
      <c r="J1380" s="117">
        <f t="shared" si="3"/>
        <v>25.01</v>
      </c>
      <c r="K1380" s="117" t="str">
        <f t="shared" si="4"/>
        <v>BR</v>
      </c>
      <c r="L1380" s="42" t="str">
        <v>BR2501</v>
      </c>
      <c r="M1380" s="121" t="str">
        <v/>
      </c>
      <c r="N1380" s="121" t="str">
        <v/>
      </c>
      <c r="O1380" s="121" t="str">
        <v/>
      </c>
      <c r="P1380" s="121" t="str">
        <v/>
      </c>
      <c r="Q1380" s="121" t="str">
        <v/>
      </c>
      <c r="R1380" s="121" t="str">
        <v/>
      </c>
      <c r="S1380" s="121" t="str">
        <v>Fulfilment Management</v>
      </c>
      <c r="T1380" s="119" t="str">
        <f>IF($C1380&lt;4,IF($C1380=3,T1381,IF($C1380=2,T$1,"")),Q1380&amp;R1380&amp;IF(LEN(S1380)=0,"",Preferences!$C$2&amp;S1380)&amp;IF(J1381=J1380,IF(LEN(R1380&amp;S1380)=0,"","
")&amp;T1381,""))</f>
        <v xml:space="preserve">	• Fulfilment Management
	• Payments Management</v>
      </c>
      <c r="U1380" s="122" t="str">
        <v/>
      </c>
      <c r="V1380" s="42"/>
      <c r="W1380" s="42"/>
      <c r="X1380" s="42"/>
      <c r="Y1380" s="42"/>
      <c r="Z1380" s="42"/>
      <c r="AA1380" s="42"/>
      <c r="AB1380" s="42"/>
    </row>
    <row r="1381" spans="1:28" x14ac:dyDescent="0.25">
      <c r="A1381" s="42" t="str">
        <v>1.25.1.2.4</v>
      </c>
      <c r="B1381" s="121" t="str">
        <v>Payments Management</v>
      </c>
      <c r="C1381" s="41">
        <v>5</v>
      </c>
      <c r="D1381" s="41" t="str">
        <v>RL</v>
      </c>
      <c r="E1381" s="117" t="str">
        <f t="shared" si="0"/>
        <v>RL</v>
      </c>
      <c r="F1381" s="41" t="str">
        <v/>
      </c>
      <c r="G1381" s="41" t="str">
        <v/>
      </c>
      <c r="H1381" s="117">
        <f t="shared" si="1"/>
        <v>0</v>
      </c>
      <c r="I1381" s="117">
        <f t="shared" si="2"/>
        <v>25</v>
      </c>
      <c r="J1381" s="117">
        <f t="shared" si="3"/>
        <v>25.01</v>
      </c>
      <c r="K1381" s="117" t="str">
        <f t="shared" si="4"/>
        <v>BR</v>
      </c>
      <c r="L1381" s="42" t="str">
        <v>BR2501</v>
      </c>
      <c r="M1381" s="121" t="str">
        <v/>
      </c>
      <c r="N1381" s="121" t="str">
        <v/>
      </c>
      <c r="O1381" s="121" t="str">
        <v/>
      </c>
      <c r="P1381" s="121" t="str">
        <v/>
      </c>
      <c r="Q1381" s="121" t="str">
        <v/>
      </c>
      <c r="R1381" s="121" t="str">
        <v/>
      </c>
      <c r="S1381" s="121" t="str">
        <v>Payments Management</v>
      </c>
      <c r="T1381" s="119" t="str">
        <f>IF($C1381&lt;4,IF($C1381=3,T1382,IF($C1381=2,T$1,"")),Q1381&amp;R1381&amp;IF(LEN(S1381)=0,"",Preferences!$C$2&amp;S1381)&amp;IF(J1382=J1381,IF(LEN(R1381&amp;S1381)=0,"","
")&amp;T1382,""))</f>
        <v xml:space="preserve">	• Payments Management</v>
      </c>
      <c r="U1381" s="122" t="str">
        <v/>
      </c>
      <c r="V1381" s="42"/>
      <c r="W1381" s="42"/>
      <c r="X1381" s="42"/>
      <c r="Y1381" s="42"/>
      <c r="Z1381" s="42"/>
      <c r="AA1381" s="42"/>
      <c r="AB1381" s="42"/>
    </row>
    <row r="1382" spans="1:28" x14ac:dyDescent="0.25">
      <c r="A1382" s="42" t="str">
        <v>1.25.2</v>
      </c>
      <c r="B1382" s="121" t="str">
        <v>25.2 Provide a central contact centre capability</v>
      </c>
      <c r="C1382" s="41">
        <v>3</v>
      </c>
      <c r="D1382" s="41" t="str">
        <v>R</v>
      </c>
      <c r="E1382" s="117" t="str">
        <f t="shared" si="0"/>
        <v>R</v>
      </c>
      <c r="F1382" s="41" t="str">
        <v/>
      </c>
      <c r="G1382" s="41" t="str">
        <v/>
      </c>
      <c r="H1382" s="117">
        <f t="shared" si="1"/>
        <v>0</v>
      </c>
      <c r="I1382" s="117">
        <f t="shared" si="2"/>
        <v>25</v>
      </c>
      <c r="J1382" s="117">
        <f t="shared" si="3"/>
        <v>25.020000000000003</v>
      </c>
      <c r="K1382" s="117" t="str">
        <f t="shared" si="4"/>
        <v>BR</v>
      </c>
      <c r="L1382" s="42" t="str">
        <v>BR2502</v>
      </c>
      <c r="M1382" s="121" t="str">
        <v/>
      </c>
      <c r="N1382" s="121" t="str">
        <v/>
      </c>
      <c r="O1382" s="121" t="str">
        <v>BR2502</v>
      </c>
      <c r="P1382" s="121" t="str">
        <v>Provide a central contact centre capability</v>
      </c>
      <c r="Q1382" s="121" t="str">
        <v/>
      </c>
      <c r="R1382" s="121" t="str">
        <v/>
      </c>
      <c r="S1382" s="121" t="str">
        <v/>
      </c>
      <c r="T1382" s="119" t="str">
        <f>IF($C1382&lt;4,IF($C1382=3,T1383,IF($C1382=2,T$1,"")),Q1382&amp;R1382&amp;IF(LEN(S1382)=0,"",Preferences!$C$2&amp;S1382)&amp;IF(J1383=J1382,IF(LEN(R1382&amp;S1382)=0,"","
")&amp;T1383,""))</f>
        <v xml:space="preserve"> 1. The purpose of the contact centre is primarily to support customers who contact the business.
 2. The business requires a contact centre via which to serve customers who contact the business via the following channels:
	• National business toll-free phone number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2" s="122" t="str">
        <v/>
      </c>
      <c r="V1382" s="42"/>
      <c r="W1382" s="42"/>
      <c r="X1382" s="42"/>
      <c r="Y1382" s="42"/>
      <c r="Z1382" s="42"/>
      <c r="AA1382" s="42"/>
      <c r="AB1382" s="42"/>
    </row>
    <row r="1383" spans="1:28" x14ac:dyDescent="0.25">
      <c r="A1383" s="42" t="str">
        <v>1.25.2.1</v>
      </c>
      <c r="B1383" s="121" t="str">
        <v>The purpose of the contact centre is primarily to support customers who contact the business.</v>
      </c>
      <c r="C1383" s="41">
        <v>4</v>
      </c>
      <c r="D1383" s="41" t="str">
        <v>RD</v>
      </c>
      <c r="E1383" s="117" t="str">
        <f t="shared" si="0"/>
        <v>RD</v>
      </c>
      <c r="F1383" s="41" t="str">
        <v/>
      </c>
      <c r="G1383" s="41" t="str">
        <v/>
      </c>
      <c r="H1383" s="117">
        <f t="shared" si="1"/>
        <v>0</v>
      </c>
      <c r="I1383" s="117">
        <f t="shared" si="2"/>
        <v>25</v>
      </c>
      <c r="J1383" s="117">
        <f t="shared" si="3"/>
        <v>25.020000000000003</v>
      </c>
      <c r="K1383" s="117" t="str">
        <f t="shared" si="4"/>
        <v>BR</v>
      </c>
      <c r="L1383" s="42" t="str">
        <v>BR2502</v>
      </c>
      <c r="M1383" s="121" t="str">
        <v/>
      </c>
      <c r="N1383" s="121" t="str">
        <v/>
      </c>
      <c r="O1383" s="121" t="str">
        <v/>
      </c>
      <c r="P1383" s="121" t="str">
        <v/>
      </c>
      <c r="Q1383" s="121" t="str">
        <v xml:space="preserve"> 1. </v>
      </c>
      <c r="R1383" s="121" t="str">
        <v>The purpose of the contact centre is primarily to support customers who contact the business.</v>
      </c>
      <c r="S1383" s="121" t="str">
        <v/>
      </c>
      <c r="T1383" s="119" t="str">
        <f>IF($C1383&lt;4,IF($C1383=3,T1384,IF($C1383=2,T$1,"")),Q1383&amp;R1383&amp;IF(LEN(S1383)=0,"",Preferences!$C$2&amp;S1383)&amp;IF(J1384=J1383,IF(LEN(R1383&amp;S1383)=0,"","
")&amp;T1384,""))</f>
        <v xml:space="preserve"> 1. The purpose of the contact centre is primarily to support customers who contact the business.
 2. The business requires a contact centre via which to serve customers who contact the business via the following channels:
	• National business toll-free phone number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3" s="122" t="str">
        <v/>
      </c>
      <c r="V1383" s="42"/>
      <c r="W1383" s="42"/>
      <c r="X1383" s="42"/>
      <c r="Y1383" s="42"/>
      <c r="Z1383" s="42"/>
      <c r="AA1383" s="42"/>
      <c r="AB1383" s="42"/>
    </row>
    <row r="1384" spans="1:28" x14ac:dyDescent="0.25">
      <c r="A1384" s="42" t="str">
        <v>1.25.2.2</v>
      </c>
      <c r="B1384" s="121" t="str">
        <v>The business requires a contact centre via which to serve customers who contact the business via the following channels:</v>
      </c>
      <c r="C1384" s="41">
        <v>4</v>
      </c>
      <c r="D1384" s="41" t="str">
        <v>RD</v>
      </c>
      <c r="E1384" s="117" t="str">
        <f t="shared" si="0"/>
        <v>RD</v>
      </c>
      <c r="F1384" s="41" t="str">
        <v/>
      </c>
      <c r="G1384" s="41" t="str">
        <v/>
      </c>
      <c r="H1384" s="117">
        <f t="shared" si="1"/>
        <v>0</v>
      </c>
      <c r="I1384" s="117">
        <f t="shared" si="2"/>
        <v>25</v>
      </c>
      <c r="J1384" s="117">
        <f t="shared" si="3"/>
        <v>25.020000000000003</v>
      </c>
      <c r="K1384" s="117" t="str">
        <f t="shared" si="4"/>
        <v>BR</v>
      </c>
      <c r="L1384" s="42" t="str">
        <v>BR2502</v>
      </c>
      <c r="M1384" s="121" t="str">
        <v/>
      </c>
      <c r="N1384" s="121" t="str">
        <v/>
      </c>
      <c r="O1384" s="121" t="str">
        <v/>
      </c>
      <c r="P1384" s="121" t="str">
        <v/>
      </c>
      <c r="Q1384" s="121" t="str">
        <v xml:space="preserve"> 2. </v>
      </c>
      <c r="R1384" s="121" t="str">
        <v>The business requires a contact centre via which to serve customers who contact the business via the following channels:</v>
      </c>
      <c r="S1384" s="121" t="str">
        <v/>
      </c>
      <c r="T1384" s="119" t="str">
        <f>IF($C1384&lt;4,IF($C1384=3,T1385,IF($C1384=2,T$1,"")),Q1384&amp;R1384&amp;IF(LEN(S1384)=0,"",Preferences!$C$2&amp;S1384)&amp;IF(J1385=J1384,IF(LEN(R1384&amp;S1384)=0,"","
")&amp;T1385,""))</f>
        <v xml:space="preserve"> 2. The business requires a contact centre via which to serve customers who contact the business via the following channels:
	• National business toll-free phone number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4" s="122" t="str">
        <v/>
      </c>
      <c r="V1384" s="42"/>
      <c r="W1384" s="42"/>
      <c r="X1384" s="42"/>
      <c r="Y1384" s="42"/>
      <c r="Z1384" s="42"/>
      <c r="AA1384" s="42"/>
      <c r="AB1384" s="42"/>
    </row>
    <row r="1385" spans="1:28" x14ac:dyDescent="0.25">
      <c r="A1385" s="42" t="str">
        <v>1.25.2.2.1</v>
      </c>
      <c r="B1385" s="121" t="str">
        <v>National business toll-free phone number</v>
      </c>
      <c r="C1385" s="41">
        <v>5</v>
      </c>
      <c r="D1385" s="41" t="str">
        <v>RL</v>
      </c>
      <c r="E1385" s="117" t="str">
        <f t="shared" si="0"/>
        <v>RL</v>
      </c>
      <c r="F1385" s="41" t="str">
        <v/>
      </c>
      <c r="G1385" s="41" t="str">
        <v/>
      </c>
      <c r="H1385" s="117">
        <f t="shared" si="1"/>
        <v>0</v>
      </c>
      <c r="I1385" s="117">
        <f t="shared" si="2"/>
        <v>25</v>
      </c>
      <c r="J1385" s="117">
        <f t="shared" si="3"/>
        <v>25.020000000000003</v>
      </c>
      <c r="K1385" s="117" t="str">
        <f t="shared" si="4"/>
        <v>BR</v>
      </c>
      <c r="L1385" s="42" t="str">
        <v>BR2502</v>
      </c>
      <c r="M1385" s="121" t="str">
        <v/>
      </c>
      <c r="N1385" s="121" t="str">
        <v/>
      </c>
      <c r="O1385" s="121" t="str">
        <v/>
      </c>
      <c r="P1385" s="121" t="str">
        <v/>
      </c>
      <c r="Q1385" s="121" t="str">
        <v/>
      </c>
      <c r="R1385" s="121" t="str">
        <v/>
      </c>
      <c r="S1385" s="121" t="str">
        <v>National business toll-free phone number</v>
      </c>
      <c r="T1385" s="119" t="str">
        <f>IF($C1385&lt;4,IF($C1385=3,T1386,IF($C1385=2,T$1,"")),Q1385&amp;R1385&amp;IF(LEN(S1385)=0,"",Preferences!$C$2&amp;S1385)&amp;IF(J1386=J1385,IF(LEN(R1385&amp;S1385)=0,"","
")&amp;T1386,""))</f>
        <v xml:space="preserve">	• National business toll-free phone number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5" s="122" t="str">
        <v/>
      </c>
      <c r="V1385" s="42"/>
      <c r="W1385" s="42"/>
      <c r="X1385" s="42"/>
      <c r="Y1385" s="42"/>
      <c r="Z1385" s="42"/>
      <c r="AA1385" s="42"/>
      <c r="AB1385" s="42"/>
    </row>
    <row r="1386" spans="1:28" x14ac:dyDescent="0.25">
      <c r="A1386" s="42" t="str">
        <v>1.25.2.2.2</v>
      </c>
      <c r="B1386" s="121" t="str">
        <v>Central business email address (reply to outbound emails)</v>
      </c>
      <c r="C1386" s="41">
        <v>5</v>
      </c>
      <c r="D1386" s="41" t="str">
        <v>RL</v>
      </c>
      <c r="E1386" s="117" t="str">
        <f t="shared" si="0"/>
        <v>RL</v>
      </c>
      <c r="F1386" s="41" t="str">
        <v/>
      </c>
      <c r="G1386" s="41" t="str">
        <v/>
      </c>
      <c r="H1386" s="117">
        <f t="shared" si="1"/>
        <v>0</v>
      </c>
      <c r="I1386" s="117">
        <f t="shared" si="2"/>
        <v>25</v>
      </c>
      <c r="J1386" s="117">
        <f t="shared" si="3"/>
        <v>25.020000000000003</v>
      </c>
      <c r="K1386" s="117" t="str">
        <f t="shared" si="4"/>
        <v>BR</v>
      </c>
      <c r="L1386" s="42" t="str">
        <v>BR2502</v>
      </c>
      <c r="M1386" s="121" t="str">
        <v/>
      </c>
      <c r="N1386" s="121" t="str">
        <v/>
      </c>
      <c r="O1386" s="121" t="str">
        <v/>
      </c>
      <c r="P1386" s="121" t="str">
        <v/>
      </c>
      <c r="Q1386" s="121" t="str">
        <v/>
      </c>
      <c r="R1386" s="121" t="str">
        <v/>
      </c>
      <c r="S1386" s="121" t="str">
        <v>Central business email address (reply to outbound emails)</v>
      </c>
      <c r="T1386" s="119" t="str">
        <f>IF($C1386&lt;4,IF($C1386=3,T1387,IF($C1386=2,T$1,"")),Q1386&amp;R1386&amp;IF(LEN(S1386)=0,"",Preferences!$C$2&amp;S1386)&amp;IF(J1387=J1386,IF(LEN(R1386&amp;S1386)=0,"","
")&amp;T1387,""))</f>
        <v xml:space="preserve">	• Central business email address (reply to outbound emails)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6" s="122" t="str">
        <v/>
      </c>
      <c r="V1386" s="42"/>
      <c r="W1386" s="42"/>
      <c r="X1386" s="42"/>
      <c r="Y1386" s="42"/>
      <c r="Z1386" s="42"/>
      <c r="AA1386" s="42"/>
      <c r="AB1386" s="42"/>
    </row>
    <row r="1387" spans="1:28" x14ac:dyDescent="0.25">
      <c r="A1387" s="42" t="str">
        <v>1.25.2.2.3</v>
      </c>
      <c r="B1387" s="121" t="str">
        <v>Submissions via the online shop that are supported by the call centre</v>
      </c>
      <c r="C1387" s="41">
        <v>5</v>
      </c>
      <c r="D1387" s="41" t="str">
        <v>RL</v>
      </c>
      <c r="E1387" s="117" t="str">
        <f t="shared" si="0"/>
        <v>RL</v>
      </c>
      <c r="F1387" s="41" t="str">
        <v/>
      </c>
      <c r="G1387" s="41" t="str">
        <v/>
      </c>
      <c r="H1387" s="117">
        <f t="shared" si="1"/>
        <v>0</v>
      </c>
      <c r="I1387" s="117">
        <f t="shared" si="2"/>
        <v>25</v>
      </c>
      <c r="J1387" s="117">
        <f t="shared" si="3"/>
        <v>25.020000000000003</v>
      </c>
      <c r="K1387" s="117" t="str">
        <f t="shared" si="4"/>
        <v>BR</v>
      </c>
      <c r="L1387" s="42" t="str">
        <v>BR2502</v>
      </c>
      <c r="M1387" s="121" t="str">
        <v/>
      </c>
      <c r="N1387" s="121" t="str">
        <v/>
      </c>
      <c r="O1387" s="121" t="str">
        <v/>
      </c>
      <c r="P1387" s="121" t="str">
        <v/>
      </c>
      <c r="Q1387" s="121" t="str">
        <v/>
      </c>
      <c r="R1387" s="121" t="str">
        <v/>
      </c>
      <c r="S1387" s="121" t="str">
        <v>Submissions via the online shop that are supported by the call centre</v>
      </c>
      <c r="T1387" s="119" t="str">
        <f>IF($C1387&lt;4,IF($C1387=3,T1388,IF($C1387=2,T$1,"")),Q1387&amp;R1387&amp;IF(LEN(S1387)=0,"",Preferences!$C$2&amp;S1387)&amp;IF(J1388=J1387,IF(LEN(R1387&amp;S1387)=0,"","
")&amp;T1388,""))</f>
        <v xml:space="preserve">	• Submissions via the online shop that are supported by the call centre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7" s="122" t="str">
        <v/>
      </c>
      <c r="V1387" s="42"/>
      <c r="W1387" s="42"/>
      <c r="X1387" s="42"/>
      <c r="Y1387" s="42"/>
      <c r="Z1387" s="42"/>
      <c r="AA1387" s="42"/>
      <c r="AB1387" s="42"/>
    </row>
    <row r="1388" spans="1:28" x14ac:dyDescent="0.25">
      <c r="A1388" s="42" t="str">
        <v>1.25.2.2.4</v>
      </c>
      <c r="B1388" s="121" t="str">
        <v>Whatsapp (when implemented)</v>
      </c>
      <c r="C1388" s="41">
        <v>5</v>
      </c>
      <c r="D1388" s="41" t="str">
        <v>RL</v>
      </c>
      <c r="E1388" s="117" t="str">
        <f t="shared" si="0"/>
        <v>RL</v>
      </c>
      <c r="F1388" s="41" t="str">
        <v/>
      </c>
      <c r="G1388" s="41" t="str">
        <v/>
      </c>
      <c r="H1388" s="117">
        <f t="shared" si="1"/>
        <v>0</v>
      </c>
      <c r="I1388" s="117">
        <f t="shared" si="2"/>
        <v>25</v>
      </c>
      <c r="J1388" s="117">
        <f t="shared" si="3"/>
        <v>25.020000000000003</v>
      </c>
      <c r="K1388" s="117" t="str">
        <f t="shared" si="4"/>
        <v>BR</v>
      </c>
      <c r="L1388" s="42" t="str">
        <v>BR2502</v>
      </c>
      <c r="M1388" s="121" t="str">
        <v/>
      </c>
      <c r="N1388" s="121" t="str">
        <v/>
      </c>
      <c r="O1388" s="121" t="str">
        <v/>
      </c>
      <c r="P1388" s="121" t="str">
        <v/>
      </c>
      <c r="Q1388" s="121" t="str">
        <v/>
      </c>
      <c r="R1388" s="121" t="str">
        <v/>
      </c>
      <c r="S1388" s="121" t="str">
        <v>Whatsapp (when implemented)</v>
      </c>
      <c r="T1388" s="119" t="str">
        <f>IF($C1388&lt;4,IF($C1388=3,T1389,IF($C1388=2,T$1,"")),Q1388&amp;R1388&amp;IF(LEN(S1388)=0,"",Preferences!$C$2&amp;S1388)&amp;IF(J1389=J1388,IF(LEN(R1388&amp;S1388)=0,"","
")&amp;T1389,""))</f>
        <v xml:space="preserve">	• Whatsapp (when implemented)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8" s="122" t="str">
        <v/>
      </c>
      <c r="V1388" s="42"/>
      <c r="W1388" s="42"/>
      <c r="X1388" s="42"/>
      <c r="Y1388" s="42"/>
      <c r="Z1388" s="42"/>
      <c r="AA1388" s="42"/>
      <c r="AB1388" s="42"/>
    </row>
    <row r="1389" spans="1:28" x14ac:dyDescent="0.25">
      <c r="A1389" s="42" t="str">
        <v>1.25.2.3</v>
      </c>
      <c r="B1389" s="121" t="str">
        <v>A skills-based approach must be implemented in the contact centre, in order to maximise the use of agents (not dedicated per topic).</v>
      </c>
      <c r="C1389" s="41">
        <v>4</v>
      </c>
      <c r="D1389" s="41" t="str">
        <v>RD</v>
      </c>
      <c r="E1389" s="117" t="str">
        <f t="shared" si="0"/>
        <v>RD</v>
      </c>
      <c r="F1389" s="41" t="str">
        <v/>
      </c>
      <c r="G1389" s="41" t="str">
        <v/>
      </c>
      <c r="H1389" s="117">
        <f t="shared" si="1"/>
        <v>0</v>
      </c>
      <c r="I1389" s="117">
        <f t="shared" si="2"/>
        <v>25</v>
      </c>
      <c r="J1389" s="117">
        <f t="shared" si="3"/>
        <v>25.020000000000003</v>
      </c>
      <c r="K1389" s="117" t="str">
        <f t="shared" si="4"/>
        <v>BR</v>
      </c>
      <c r="L1389" s="42" t="str">
        <v>BR2502</v>
      </c>
      <c r="M1389" s="121" t="str">
        <v/>
      </c>
      <c r="N1389" s="121" t="str">
        <v/>
      </c>
      <c r="O1389" s="121" t="str">
        <v/>
      </c>
      <c r="P1389" s="121" t="str">
        <v/>
      </c>
      <c r="Q1389" s="121" t="str">
        <v xml:space="preserve"> 3. </v>
      </c>
      <c r="R1389" s="121" t="str">
        <v>A skills-based approach must be implemented in the contact centre, in order to maximise the use of agents (not dedicated per topic).</v>
      </c>
      <c r="S1389" s="121" t="str">
        <v/>
      </c>
      <c r="T1389" s="119" t="str">
        <f>IF($C1389&lt;4,IF($C1389=3,T1390,IF($C1389=2,T$1,"")),Q1389&amp;R1389&amp;IF(LEN(S1389)=0,"",Preferences!$C$2&amp;S1389)&amp;IF(J1390=J1389,IF(LEN(R1389&amp;S1389)=0,"","
")&amp;T1390,""))</f>
        <v xml:space="preserve"> 3. A skills-based approach must be implemented in the contact centre, in order to maximise the use of agents (not dedicated per topic).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89" s="122" t="str">
        <v/>
      </c>
      <c r="V1389" s="42"/>
      <c r="W1389" s="42"/>
      <c r="X1389" s="42"/>
      <c r="Y1389" s="42"/>
      <c r="Z1389" s="42"/>
      <c r="AA1389" s="42"/>
      <c r="AB1389" s="42"/>
    </row>
    <row r="1390" spans="1:28" x14ac:dyDescent="0.25">
      <c r="A1390" s="42" t="str">
        <v>1.25.2.4</v>
      </c>
      <c r="B1390" s="121" t="str">
        <v>The capability to present an agent with the relevant detail of a customer via the telephone channel is not required.</v>
      </c>
      <c r="C1390" s="41">
        <v>4</v>
      </c>
      <c r="D1390" s="41" t="str">
        <v>RD</v>
      </c>
      <c r="E1390" s="117" t="str">
        <f t="shared" si="0"/>
        <v>RD</v>
      </c>
      <c r="F1390" s="41" t="str">
        <v/>
      </c>
      <c r="G1390" s="41" t="str">
        <v/>
      </c>
      <c r="H1390" s="117">
        <f t="shared" si="1"/>
        <v>0</v>
      </c>
      <c r="I1390" s="117">
        <f t="shared" si="2"/>
        <v>25</v>
      </c>
      <c r="J1390" s="117">
        <f t="shared" si="3"/>
        <v>25.020000000000003</v>
      </c>
      <c r="K1390" s="117" t="str">
        <f t="shared" si="4"/>
        <v>BR</v>
      </c>
      <c r="L1390" s="42" t="str">
        <v>BR2502</v>
      </c>
      <c r="M1390" s="121" t="str">
        <v/>
      </c>
      <c r="N1390" s="121" t="str">
        <v/>
      </c>
      <c r="O1390" s="121" t="str">
        <v/>
      </c>
      <c r="P1390" s="121" t="str">
        <v/>
      </c>
      <c r="Q1390" s="121" t="str">
        <v xml:space="preserve"> 4. </v>
      </c>
      <c r="R1390" s="121" t="str">
        <v>The capability to present an agent with the relevant detail of a customer via the telephone channel is not required.</v>
      </c>
      <c r="S1390" s="121" t="str">
        <v/>
      </c>
      <c r="T1390" s="119" t="str">
        <f>IF($C1390&lt;4,IF($C1390=3,T1391,IF($C1390=2,T$1,"")),Q1390&amp;R1390&amp;IF(LEN(S1390)=0,"",Preferences!$C$2&amp;S1390)&amp;IF(J1391=J1390,IF(LEN(R1390&amp;S1390)=0,"","
")&amp;T1391,""))</f>
        <v xml:space="preserve"> 4. The capability to present an agent with the relevant detail of a customer via the telephone channel is not required.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0" s="122" t="str">
        <v/>
      </c>
      <c r="V1390" s="42"/>
      <c r="W1390" s="42"/>
      <c r="X1390" s="42"/>
      <c r="Y1390" s="42"/>
      <c r="Z1390" s="42"/>
      <c r="AA1390" s="42"/>
      <c r="AB1390" s="42"/>
    </row>
    <row r="1391" spans="1:28" x14ac:dyDescent="0.25">
      <c r="A1391" s="42" t="str">
        <v>1.25.2.5</v>
      </c>
      <c r="B1391" s="121" t="str">
        <v>The call centre telephony infrastructure must provide at least the following capabilities for each channel:</v>
      </c>
      <c r="C1391" s="41">
        <v>4</v>
      </c>
      <c r="D1391" s="41" t="str">
        <v>RD</v>
      </c>
      <c r="E1391" s="117" t="str">
        <f t="shared" si="0"/>
        <v>RD</v>
      </c>
      <c r="F1391" s="41" t="str">
        <v/>
      </c>
      <c r="G1391" s="41" t="str">
        <v/>
      </c>
      <c r="H1391" s="117">
        <f t="shared" si="1"/>
        <v>0</v>
      </c>
      <c r="I1391" s="117">
        <f t="shared" si="2"/>
        <v>25</v>
      </c>
      <c r="J1391" s="117">
        <f t="shared" si="3"/>
        <v>25.020000000000003</v>
      </c>
      <c r="K1391" s="117" t="str">
        <f t="shared" si="4"/>
        <v>BR</v>
      </c>
      <c r="L1391" s="42" t="str">
        <v>BR2502</v>
      </c>
      <c r="M1391" s="121" t="str">
        <v/>
      </c>
      <c r="N1391" s="121" t="str">
        <v/>
      </c>
      <c r="O1391" s="121" t="str">
        <v/>
      </c>
      <c r="P1391" s="121" t="str">
        <v/>
      </c>
      <c r="Q1391" s="121" t="str">
        <v xml:space="preserve"> 5. </v>
      </c>
      <c r="R1391" s="121" t="str">
        <v>The call centre telephony infrastructure must provide at least the following capabilities for each channel:</v>
      </c>
      <c r="S1391" s="121" t="str">
        <v/>
      </c>
      <c r="T1391" s="119" t="str">
        <f>IF($C1391&lt;4,IF($C1391=3,T1392,IF($C1391=2,T$1,"")),Q1391&amp;R1391&amp;IF(LEN(S1391)=0,"",Preferences!$C$2&amp;S1391)&amp;IF(J1392=J1391,IF(LEN(R1391&amp;S1391)=0,"","
")&amp;T1392,""))</f>
        <v xml:space="preserve"> 5. The call centre telephony infrastructure must provide at least the following capabilities for each channel: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1" s="122" t="str">
        <v/>
      </c>
      <c r="V1391" s="42"/>
      <c r="W1391" s="42"/>
      <c r="X1391" s="42"/>
      <c r="Y1391" s="42"/>
      <c r="Z1391" s="42"/>
      <c r="AA1391" s="42"/>
      <c r="AB1391" s="42"/>
    </row>
    <row r="1392" spans="1:28" x14ac:dyDescent="0.25">
      <c r="A1392" s="42" t="str">
        <v>1.25.2.5.1</v>
      </c>
      <c r="B1392" s="121" t="str">
        <v>Queues for different channels and topics</v>
      </c>
      <c r="C1392" s="41">
        <v>5</v>
      </c>
      <c r="D1392" s="41" t="str">
        <v>RL</v>
      </c>
      <c r="E1392" s="117" t="str">
        <f t="shared" si="0"/>
        <v>RL</v>
      </c>
      <c r="F1392" s="41" t="str">
        <v/>
      </c>
      <c r="G1392" s="41" t="str">
        <v/>
      </c>
      <c r="H1392" s="117">
        <f t="shared" si="1"/>
        <v>0</v>
      </c>
      <c r="I1392" s="117">
        <f t="shared" si="2"/>
        <v>25</v>
      </c>
      <c r="J1392" s="117">
        <f t="shared" si="3"/>
        <v>25.020000000000003</v>
      </c>
      <c r="K1392" s="117" t="str">
        <f t="shared" si="4"/>
        <v>BR</v>
      </c>
      <c r="L1392" s="42" t="str">
        <v>BR2502</v>
      </c>
      <c r="M1392" s="121" t="str">
        <v/>
      </c>
      <c r="N1392" s="121" t="str">
        <v/>
      </c>
      <c r="O1392" s="121" t="str">
        <v/>
      </c>
      <c r="P1392" s="121" t="str">
        <v/>
      </c>
      <c r="Q1392" s="121" t="str">
        <v/>
      </c>
      <c r="R1392" s="121" t="str">
        <v/>
      </c>
      <c r="S1392" s="121" t="str">
        <v>Queues for different channels and topics</v>
      </c>
      <c r="T1392" s="119" t="str">
        <f>IF($C1392&lt;4,IF($C1392=3,T1393,IF($C1392=2,T$1,"")),Q1392&amp;R1392&amp;IF(LEN(S1392)=0,"",Preferences!$C$2&amp;S1392)&amp;IF(J1393=J1392,IF(LEN(R1392&amp;S1392)=0,"","
")&amp;T1393,""))</f>
        <v xml:space="preserve">	• Queues for different channels and topics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2" s="122" t="str">
        <v/>
      </c>
      <c r="V1392" s="42"/>
      <c r="W1392" s="42"/>
      <c r="X1392" s="42"/>
      <c r="Y1392" s="42"/>
      <c r="Z1392" s="42"/>
      <c r="AA1392" s="42"/>
      <c r="AB1392" s="42"/>
    </row>
    <row r="1393" spans="1:28" x14ac:dyDescent="0.25">
      <c r="A1393" s="42" t="str">
        <v>1.25.2.5.2</v>
      </c>
      <c r="B1393" s="121" t="str">
        <v>Welcome message</v>
      </c>
      <c r="C1393" s="41">
        <v>5</v>
      </c>
      <c r="D1393" s="41" t="str">
        <v>RL</v>
      </c>
      <c r="E1393" s="117" t="str">
        <f t="shared" si="0"/>
        <v>RL</v>
      </c>
      <c r="F1393" s="41" t="str">
        <v/>
      </c>
      <c r="G1393" s="41" t="str">
        <v/>
      </c>
      <c r="H1393" s="117">
        <f t="shared" si="1"/>
        <v>0</v>
      </c>
      <c r="I1393" s="117">
        <f t="shared" si="2"/>
        <v>25</v>
      </c>
      <c r="J1393" s="117">
        <f t="shared" si="3"/>
        <v>25.020000000000003</v>
      </c>
      <c r="K1393" s="117" t="str">
        <f t="shared" si="4"/>
        <v>BR</v>
      </c>
      <c r="L1393" s="42" t="str">
        <v>BR2502</v>
      </c>
      <c r="M1393" s="121" t="str">
        <v/>
      </c>
      <c r="N1393" s="121" t="str">
        <v/>
      </c>
      <c r="O1393" s="121" t="str">
        <v/>
      </c>
      <c r="P1393" s="121" t="str">
        <v/>
      </c>
      <c r="Q1393" s="121" t="str">
        <v/>
      </c>
      <c r="R1393" s="121" t="str">
        <v/>
      </c>
      <c r="S1393" s="121" t="str">
        <v>Welcome message</v>
      </c>
      <c r="T1393" s="119" t="str">
        <f>IF($C1393&lt;4,IF($C1393=3,T1394,IF($C1393=2,T$1,"")),Q1393&amp;R1393&amp;IF(LEN(S1393)=0,"",Preferences!$C$2&amp;S1393)&amp;IF(J1394=J1393,IF(LEN(R1393&amp;S1393)=0,"","
")&amp;T1394,""))</f>
        <v xml:space="preserve">	• Welcome message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3" s="122" t="str">
        <v/>
      </c>
      <c r="V1393" s="42"/>
      <c r="W1393" s="42"/>
      <c r="X1393" s="42"/>
      <c r="Y1393" s="42"/>
      <c r="Z1393" s="42"/>
      <c r="AA1393" s="42"/>
      <c r="AB1393" s="42"/>
    </row>
    <row r="1394" spans="1:28" x14ac:dyDescent="0.25">
      <c r="A1394" s="42" t="str">
        <v>1.25.2.5.3</v>
      </c>
      <c r="B1394" s="121" t="str">
        <v>After-hours message</v>
      </c>
      <c r="C1394" s="41">
        <v>5</v>
      </c>
      <c r="D1394" s="41" t="str">
        <v>RL</v>
      </c>
      <c r="E1394" s="117" t="str">
        <f t="shared" si="0"/>
        <v>RL</v>
      </c>
      <c r="F1394" s="41" t="str">
        <v/>
      </c>
      <c r="G1394" s="41" t="str">
        <v/>
      </c>
      <c r="H1394" s="117">
        <f t="shared" si="1"/>
        <v>0</v>
      </c>
      <c r="I1394" s="117">
        <f t="shared" si="2"/>
        <v>25</v>
      </c>
      <c r="J1394" s="117">
        <f t="shared" si="3"/>
        <v>25.020000000000003</v>
      </c>
      <c r="K1394" s="117" t="str">
        <f t="shared" si="4"/>
        <v>BR</v>
      </c>
      <c r="L1394" s="42" t="str">
        <v>BR2502</v>
      </c>
      <c r="M1394" s="121" t="str">
        <v/>
      </c>
      <c r="N1394" s="121" t="str">
        <v/>
      </c>
      <c r="O1394" s="121" t="str">
        <v/>
      </c>
      <c r="P1394" s="121" t="str">
        <v/>
      </c>
      <c r="Q1394" s="121" t="str">
        <v/>
      </c>
      <c r="R1394" s="121" t="str">
        <v/>
      </c>
      <c r="S1394" s="121" t="str">
        <v>After-hours message</v>
      </c>
      <c r="T1394" s="119" t="str">
        <f>IF($C1394&lt;4,IF($C1394=3,T1395,IF($C1394=2,T$1,"")),Q1394&amp;R1394&amp;IF(LEN(S1394)=0,"",Preferences!$C$2&amp;S1394)&amp;IF(J1395=J1394,IF(LEN(R1394&amp;S1394)=0,"","
")&amp;T1395,""))</f>
        <v xml:space="preserve">	• After-hours message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4" s="122" t="str">
        <v/>
      </c>
      <c r="V1394" s="42"/>
      <c r="W1394" s="42"/>
      <c r="X1394" s="42"/>
      <c r="Y1394" s="42"/>
      <c r="Z1394" s="42"/>
      <c r="AA1394" s="42"/>
      <c r="AB1394" s="42"/>
    </row>
    <row r="1395" spans="1:28" x14ac:dyDescent="0.25">
      <c r="A1395" s="42" t="str">
        <v>1.25.2.5.4</v>
      </c>
      <c r="B1395" s="121" t="str">
        <v>Temporarily out-of-service message</v>
      </c>
      <c r="C1395" s="41">
        <v>5</v>
      </c>
      <c r="D1395" s="41" t="str">
        <v>RL</v>
      </c>
      <c r="E1395" s="117" t="str">
        <f t="shared" si="0"/>
        <v>RL</v>
      </c>
      <c r="F1395" s="41" t="str">
        <v/>
      </c>
      <c r="G1395" s="41" t="str">
        <v/>
      </c>
      <c r="H1395" s="117">
        <f t="shared" si="1"/>
        <v>0</v>
      </c>
      <c r="I1395" s="117">
        <f t="shared" si="2"/>
        <v>25</v>
      </c>
      <c r="J1395" s="117">
        <f t="shared" si="3"/>
        <v>25.020000000000003</v>
      </c>
      <c r="K1395" s="117" t="str">
        <f t="shared" si="4"/>
        <v>BR</v>
      </c>
      <c r="L1395" s="42" t="str">
        <v>BR2502</v>
      </c>
      <c r="M1395" s="121" t="str">
        <v/>
      </c>
      <c r="N1395" s="121" t="str">
        <v/>
      </c>
      <c r="O1395" s="121" t="str">
        <v/>
      </c>
      <c r="P1395" s="121" t="str">
        <v/>
      </c>
      <c r="Q1395" s="121" t="str">
        <v/>
      </c>
      <c r="R1395" s="121" t="str">
        <v/>
      </c>
      <c r="S1395" s="121" t="str">
        <v>Temporarily out-of-service message</v>
      </c>
      <c r="T1395" s="119" t="str">
        <f>IF($C1395&lt;4,IF($C1395=3,T1396,IF($C1395=2,T$1,"")),Q1395&amp;R1395&amp;IF(LEN(S1395)=0,"",Preferences!$C$2&amp;S1395)&amp;IF(J1396=J1395,IF(LEN(R1395&amp;S1395)=0,"","
")&amp;T1396,""))</f>
        <v xml:space="preserve">	• Temporarily out-of-service message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5" s="122" t="str">
        <v/>
      </c>
      <c r="V1395" s="42"/>
      <c r="W1395" s="42"/>
      <c r="X1395" s="42"/>
      <c r="Y1395" s="42"/>
      <c r="Z1395" s="42"/>
      <c r="AA1395" s="42"/>
      <c r="AB1395" s="42"/>
    </row>
    <row r="1396" spans="1:28" x14ac:dyDescent="0.25">
      <c r="A1396" s="42" t="str">
        <v>1.25.2.5.5</v>
      </c>
      <c r="B1396" s="121" t="str">
        <v>Call waiting message</v>
      </c>
      <c r="C1396" s="41">
        <v>5</v>
      </c>
      <c r="D1396" s="41" t="str">
        <v>RL</v>
      </c>
      <c r="E1396" s="117" t="str">
        <f t="shared" si="0"/>
        <v>RL</v>
      </c>
      <c r="F1396" s="41" t="str">
        <v/>
      </c>
      <c r="G1396" s="41" t="str">
        <v/>
      </c>
      <c r="H1396" s="117">
        <f t="shared" si="1"/>
        <v>0</v>
      </c>
      <c r="I1396" s="117">
        <f t="shared" si="2"/>
        <v>25</v>
      </c>
      <c r="J1396" s="117">
        <f t="shared" si="3"/>
        <v>25.020000000000003</v>
      </c>
      <c r="K1396" s="117" t="str">
        <f t="shared" si="4"/>
        <v>BR</v>
      </c>
      <c r="L1396" s="42" t="str">
        <v>BR2502</v>
      </c>
      <c r="M1396" s="121" t="str">
        <v/>
      </c>
      <c r="N1396" s="121" t="str">
        <v/>
      </c>
      <c r="O1396" s="121" t="str">
        <v/>
      </c>
      <c r="P1396" s="121" t="str">
        <v/>
      </c>
      <c r="Q1396" s="121" t="str">
        <v/>
      </c>
      <c r="R1396" s="121" t="str">
        <v/>
      </c>
      <c r="S1396" s="121" t="str">
        <v>Call waiting message</v>
      </c>
      <c r="T1396" s="119" t="str">
        <f>IF($C1396&lt;4,IF($C1396=3,T1397,IF($C1396=2,T$1,"")),Q1396&amp;R1396&amp;IF(LEN(S1396)=0,"",Preferences!$C$2&amp;S1396)&amp;IF(J1397=J1396,IF(LEN(R1396&amp;S1396)=0,"","
")&amp;T1397,""))</f>
        <v xml:space="preserve">	• Call waiting message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6" s="122" t="str">
        <v/>
      </c>
      <c r="V1396" s="42"/>
      <c r="W1396" s="42"/>
      <c r="X1396" s="42"/>
      <c r="Y1396" s="42"/>
      <c r="Z1396" s="42"/>
      <c r="AA1396" s="42"/>
      <c r="AB1396" s="42"/>
    </row>
    <row r="1397" spans="1:28" x14ac:dyDescent="0.25">
      <c r="A1397" s="42" t="str">
        <v>1.25.2.5.6</v>
      </c>
      <c r="B1397" s="121" t="str">
        <v>High-volume message</v>
      </c>
      <c r="C1397" s="41">
        <v>5</v>
      </c>
      <c r="D1397" s="41" t="str">
        <v>RL</v>
      </c>
      <c r="E1397" s="117" t="str">
        <f t="shared" si="0"/>
        <v>RL</v>
      </c>
      <c r="F1397" s="41" t="str">
        <v/>
      </c>
      <c r="G1397" s="41" t="str">
        <v/>
      </c>
      <c r="H1397" s="117">
        <f t="shared" si="1"/>
        <v>0</v>
      </c>
      <c r="I1397" s="117">
        <f t="shared" si="2"/>
        <v>25</v>
      </c>
      <c r="J1397" s="117">
        <f t="shared" si="3"/>
        <v>25.020000000000003</v>
      </c>
      <c r="K1397" s="117" t="str">
        <f t="shared" si="4"/>
        <v>BR</v>
      </c>
      <c r="L1397" s="42" t="str">
        <v>BR2502</v>
      </c>
      <c r="M1397" s="121" t="str">
        <v/>
      </c>
      <c r="N1397" s="121" t="str">
        <v/>
      </c>
      <c r="O1397" s="121" t="str">
        <v/>
      </c>
      <c r="P1397" s="121" t="str">
        <v/>
      </c>
      <c r="Q1397" s="121" t="str">
        <v/>
      </c>
      <c r="R1397" s="121" t="str">
        <v/>
      </c>
      <c r="S1397" s="121" t="str">
        <v>High-volume message</v>
      </c>
      <c r="T1397" s="119" t="str">
        <f>IF($C1397&lt;4,IF($C1397=3,T1398,IF($C1397=2,T$1,"")),Q1397&amp;R1397&amp;IF(LEN(S1397)=0,"",Preferences!$C$2&amp;S1397)&amp;IF(J1398=J1397,IF(LEN(R1397&amp;S1397)=0,"","
")&amp;T1398,""))</f>
        <v xml:space="preserve">	• High-volume message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7" s="122" t="str">
        <v/>
      </c>
      <c r="V1397" s="42"/>
      <c r="W1397" s="42"/>
      <c r="X1397" s="42"/>
      <c r="Y1397" s="42"/>
      <c r="Z1397" s="42"/>
      <c r="AA1397" s="42"/>
      <c r="AB1397" s="42"/>
    </row>
    <row r="1398" spans="1:28" x14ac:dyDescent="0.25">
      <c r="A1398" s="42" t="str">
        <v>1.25.2.5.7</v>
      </c>
      <c r="B1398" s="121" t="str">
        <v>Auto-assignment to the next available agent (balance call vs email and messaging)</v>
      </c>
      <c r="C1398" s="41">
        <v>5</v>
      </c>
      <c r="D1398" s="41" t="str">
        <v>RL</v>
      </c>
      <c r="E1398" s="117" t="str">
        <f t="shared" si="0"/>
        <v>RL</v>
      </c>
      <c r="F1398" s="41" t="str">
        <v/>
      </c>
      <c r="G1398" s="41" t="str">
        <v/>
      </c>
      <c r="H1398" s="117">
        <f t="shared" si="1"/>
        <v>0</v>
      </c>
      <c r="I1398" s="117">
        <f t="shared" si="2"/>
        <v>25</v>
      </c>
      <c r="J1398" s="117">
        <f t="shared" si="3"/>
        <v>25.020000000000003</v>
      </c>
      <c r="K1398" s="117" t="str">
        <f t="shared" si="4"/>
        <v>BR</v>
      </c>
      <c r="L1398" s="42" t="str">
        <v>BR2502</v>
      </c>
      <c r="M1398" s="121" t="str">
        <v/>
      </c>
      <c r="N1398" s="121" t="str">
        <v/>
      </c>
      <c r="O1398" s="121" t="str">
        <v/>
      </c>
      <c r="P1398" s="121" t="str">
        <v/>
      </c>
      <c r="Q1398" s="121" t="str">
        <v/>
      </c>
      <c r="R1398" s="121" t="str">
        <v/>
      </c>
      <c r="S1398" s="121" t="str">
        <v>Auto-assignment to the next available agent (balance call vs email and messaging)</v>
      </c>
      <c r="T1398" s="119" t="str">
        <f>IF($C1398&lt;4,IF($C1398=3,T1399,IF($C1398=2,T$1,"")),Q1398&amp;R1398&amp;IF(LEN(S1398)=0,"",Preferences!$C$2&amp;S1398)&amp;IF(J1399=J1398,IF(LEN(R1398&amp;S1398)=0,"","
")&amp;T1399,""))</f>
        <v xml:space="preserve">	• Auto-assignment to the next available agent (balance call vs email and messaging)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8" s="122" t="str">
        <v/>
      </c>
      <c r="V1398" s="42"/>
      <c r="W1398" s="42"/>
      <c r="X1398" s="42"/>
      <c r="Y1398" s="42"/>
      <c r="Z1398" s="42"/>
      <c r="AA1398" s="42"/>
      <c r="AB1398" s="42"/>
    </row>
    <row r="1399" spans="1:28" x14ac:dyDescent="0.25">
      <c r="A1399" s="42" t="str">
        <v>1.25.2.5.8</v>
      </c>
      <c r="B1399" s="121" t="str">
        <v>Customer contact metrics and statistics</v>
      </c>
      <c r="C1399" s="41">
        <v>5</v>
      </c>
      <c r="D1399" s="41" t="str">
        <v>RL</v>
      </c>
      <c r="E1399" s="117" t="str">
        <f t="shared" si="0"/>
        <v>RL</v>
      </c>
      <c r="F1399" s="41" t="str">
        <v/>
      </c>
      <c r="G1399" s="41" t="str">
        <v/>
      </c>
      <c r="H1399" s="117">
        <f t="shared" si="1"/>
        <v>0</v>
      </c>
      <c r="I1399" s="117">
        <f t="shared" si="2"/>
        <v>25</v>
      </c>
      <c r="J1399" s="117">
        <f t="shared" si="3"/>
        <v>25.020000000000003</v>
      </c>
      <c r="K1399" s="117" t="str">
        <f t="shared" si="4"/>
        <v>BR</v>
      </c>
      <c r="L1399" s="42" t="str">
        <v>BR2502</v>
      </c>
      <c r="M1399" s="121" t="str">
        <v/>
      </c>
      <c r="N1399" s="121" t="str">
        <v/>
      </c>
      <c r="O1399" s="121" t="str">
        <v/>
      </c>
      <c r="P1399" s="121" t="str">
        <v/>
      </c>
      <c r="Q1399" s="121" t="str">
        <v/>
      </c>
      <c r="R1399" s="121" t="str">
        <v/>
      </c>
      <c r="S1399" s="121" t="str">
        <v>Customer contact metrics and statistics</v>
      </c>
      <c r="T1399" s="119" t="str">
        <f>IF($C1399&lt;4,IF($C1399=3,T1400,IF($C1399=2,T$1,"")),Q1399&amp;R1399&amp;IF(LEN(S1399)=0,"",Preferences!$C$2&amp;S1399)&amp;IF(J1400=J1399,IF(LEN(R1399&amp;S1399)=0,"","
")&amp;T1400,""))</f>
        <v xml:space="preserve">	• Customer contact metrics and statistics
	• Agent contact metrics and statistics
	• Agent skills management
	• Supervisor and agent hand-over
	• Contact Recording
	• Dashboard with real-time statistics updates
	• The caller must be presented the option to select a topic, prior to being assigned to a relevant queue</v>
      </c>
      <c r="U1399" s="122" t="str">
        <v/>
      </c>
      <c r="V1399" s="42"/>
      <c r="W1399" s="42"/>
      <c r="X1399" s="42"/>
      <c r="Y1399" s="42"/>
      <c r="Z1399" s="42"/>
      <c r="AA1399" s="42"/>
      <c r="AB1399" s="42"/>
    </row>
    <row r="1400" spans="1:28" x14ac:dyDescent="0.25">
      <c r="A1400" s="42" t="str">
        <v>1.25.2.5.9</v>
      </c>
      <c r="B1400" s="121" t="str">
        <v>Agent contact metrics and statistics</v>
      </c>
      <c r="C1400" s="41">
        <v>5</v>
      </c>
      <c r="D1400" s="41" t="str">
        <v>RL</v>
      </c>
      <c r="E1400" s="117" t="str">
        <f t="shared" si="0"/>
        <v>RL</v>
      </c>
      <c r="F1400" s="41" t="str">
        <v/>
      </c>
      <c r="G1400" s="41" t="str">
        <v/>
      </c>
      <c r="H1400" s="117">
        <f t="shared" si="1"/>
        <v>0</v>
      </c>
      <c r="I1400" s="117">
        <f t="shared" si="2"/>
        <v>25</v>
      </c>
      <c r="J1400" s="117">
        <f t="shared" si="3"/>
        <v>25.020000000000003</v>
      </c>
      <c r="K1400" s="117" t="str">
        <f t="shared" si="4"/>
        <v>BR</v>
      </c>
      <c r="L1400" s="42" t="str">
        <v>BR2502</v>
      </c>
      <c r="M1400" s="121" t="str">
        <v/>
      </c>
      <c r="N1400" s="121" t="str">
        <v/>
      </c>
      <c r="O1400" s="121" t="str">
        <v/>
      </c>
      <c r="P1400" s="121" t="str">
        <v/>
      </c>
      <c r="Q1400" s="121" t="str">
        <v/>
      </c>
      <c r="R1400" s="121" t="str">
        <v/>
      </c>
      <c r="S1400" s="121" t="str">
        <v>Agent contact metrics and statistics</v>
      </c>
      <c r="T1400" s="119" t="str">
        <f>IF($C1400&lt;4,IF($C1400=3,T1401,IF($C1400=2,T$1,"")),Q1400&amp;R1400&amp;IF(LEN(S1400)=0,"",Preferences!$C$2&amp;S1400)&amp;IF(J1401=J1400,IF(LEN(R1400&amp;S1400)=0,"","
")&amp;T1401,""))</f>
        <v xml:space="preserve">	• Agent contact metrics and statistics
	• Agent skills management
	• Supervisor and agent hand-over
	• Contact Recording
	• Dashboard with real-time statistics updates
	• The caller must be presented the option to select a topic, prior to being assigned to a relevant queue</v>
      </c>
      <c r="U1400" s="122" t="str">
        <v/>
      </c>
      <c r="V1400" s="42"/>
      <c r="W1400" s="42"/>
      <c r="X1400" s="42"/>
      <c r="Y1400" s="42"/>
      <c r="Z1400" s="42"/>
      <c r="AA1400" s="42"/>
      <c r="AB1400" s="42"/>
    </row>
    <row r="1401" spans="1:28" x14ac:dyDescent="0.25">
      <c r="A1401" s="42" t="str">
        <v>1.25.2.5.10</v>
      </c>
      <c r="B1401" s="121" t="str">
        <v>Agent skills management</v>
      </c>
      <c r="C1401" s="41">
        <v>5</v>
      </c>
      <c r="D1401" s="41" t="str">
        <v>RL</v>
      </c>
      <c r="E1401" s="117" t="str">
        <f t="shared" si="0"/>
        <v>RL</v>
      </c>
      <c r="F1401" s="41" t="str">
        <v/>
      </c>
      <c r="G1401" s="41" t="str">
        <v/>
      </c>
      <c r="H1401" s="117">
        <f t="shared" si="1"/>
        <v>0</v>
      </c>
      <c r="I1401" s="117">
        <f t="shared" si="2"/>
        <v>25</v>
      </c>
      <c r="J1401" s="117">
        <f t="shared" si="3"/>
        <v>25.020000000000003</v>
      </c>
      <c r="K1401" s="117" t="str">
        <f t="shared" si="4"/>
        <v>BR</v>
      </c>
      <c r="L1401" s="42" t="str">
        <v>BR2502</v>
      </c>
      <c r="M1401" s="121" t="str">
        <v/>
      </c>
      <c r="N1401" s="121" t="str">
        <v/>
      </c>
      <c r="O1401" s="121" t="str">
        <v/>
      </c>
      <c r="P1401" s="121" t="str">
        <v/>
      </c>
      <c r="Q1401" s="121" t="str">
        <v/>
      </c>
      <c r="R1401" s="121" t="str">
        <v/>
      </c>
      <c r="S1401" s="121" t="str">
        <v>Agent skills management</v>
      </c>
      <c r="T1401" s="119" t="str">
        <f>IF($C1401&lt;4,IF($C1401=3,T1402,IF($C1401=2,T$1,"")),Q1401&amp;R1401&amp;IF(LEN(S1401)=0,"",Preferences!$C$2&amp;S1401)&amp;IF(J1402=J1401,IF(LEN(R1401&amp;S1401)=0,"","
")&amp;T1402,""))</f>
        <v xml:space="preserve">	• Agent skills management
	• Supervisor and agent hand-over
	• Contact Recording
	• Dashboard with real-time statistics updates
	• The caller must be presented the option to select a topic, prior to being assigned to a relevant queue</v>
      </c>
      <c r="U1401" s="122" t="str">
        <v/>
      </c>
      <c r="V1401" s="42"/>
      <c r="W1401" s="42"/>
      <c r="X1401" s="42"/>
      <c r="Y1401" s="42"/>
      <c r="Z1401" s="42"/>
      <c r="AA1401" s="42"/>
      <c r="AB1401" s="42"/>
    </row>
    <row r="1402" spans="1:28" x14ac:dyDescent="0.25">
      <c r="A1402" s="42" t="str">
        <v>1.25.2.5.11</v>
      </c>
      <c r="B1402" s="121" t="str">
        <v>Supervisor and agent hand-over</v>
      </c>
      <c r="C1402" s="41">
        <v>5</v>
      </c>
      <c r="D1402" s="41" t="str">
        <v>RL</v>
      </c>
      <c r="E1402" s="117" t="str">
        <f t="shared" si="0"/>
        <v>RL</v>
      </c>
      <c r="F1402" s="41" t="str">
        <v/>
      </c>
      <c r="G1402" s="41" t="str">
        <v/>
      </c>
      <c r="H1402" s="117">
        <f t="shared" si="1"/>
        <v>0</v>
      </c>
      <c r="I1402" s="117">
        <f t="shared" si="2"/>
        <v>25</v>
      </c>
      <c r="J1402" s="117">
        <f t="shared" si="3"/>
        <v>25.020000000000003</v>
      </c>
      <c r="K1402" s="117" t="str">
        <f t="shared" si="4"/>
        <v>BR</v>
      </c>
      <c r="L1402" s="42" t="str">
        <v>BR2502</v>
      </c>
      <c r="M1402" s="121" t="str">
        <v/>
      </c>
      <c r="N1402" s="121" t="str">
        <v/>
      </c>
      <c r="O1402" s="121" t="str">
        <v/>
      </c>
      <c r="P1402" s="121" t="str">
        <v/>
      </c>
      <c r="Q1402" s="121" t="str">
        <v/>
      </c>
      <c r="R1402" s="121" t="str">
        <v/>
      </c>
      <c r="S1402" s="121" t="str">
        <v>Supervisor and agent hand-over</v>
      </c>
      <c r="T1402" s="119" t="str">
        <f>IF($C1402&lt;4,IF($C1402=3,T1403,IF($C1402=2,T$1,"")),Q1402&amp;R1402&amp;IF(LEN(S1402)=0,"",Preferences!$C$2&amp;S1402)&amp;IF(J1403=J1402,IF(LEN(R1402&amp;S1402)=0,"","
")&amp;T1403,""))</f>
        <v xml:space="preserve">	• Supervisor and agent hand-over
	• Contact Recording
	• Dashboard with real-time statistics updates
	• The caller must be presented the option to select a topic, prior to being assigned to a relevant queue</v>
      </c>
      <c r="U1402" s="122" t="str">
        <v/>
      </c>
      <c r="V1402" s="42"/>
      <c r="W1402" s="42"/>
      <c r="X1402" s="42"/>
      <c r="Y1402" s="42"/>
      <c r="Z1402" s="42"/>
      <c r="AA1402" s="42"/>
      <c r="AB1402" s="42"/>
    </row>
    <row r="1403" spans="1:28" x14ac:dyDescent="0.25">
      <c r="A1403" s="42" t="str">
        <v>1.25.2.5.12</v>
      </c>
      <c r="B1403" s="121" t="str">
        <v>Contact Recording</v>
      </c>
      <c r="C1403" s="41">
        <v>5</v>
      </c>
      <c r="D1403" s="41" t="str">
        <v>RL</v>
      </c>
      <c r="E1403" s="117" t="str">
        <f t="shared" si="0"/>
        <v>RL</v>
      </c>
      <c r="F1403" s="41" t="str">
        <v/>
      </c>
      <c r="G1403" s="41" t="str">
        <v/>
      </c>
      <c r="H1403" s="117">
        <f t="shared" si="1"/>
        <v>0</v>
      </c>
      <c r="I1403" s="117">
        <f t="shared" si="2"/>
        <v>25</v>
      </c>
      <c r="J1403" s="117">
        <f t="shared" si="3"/>
        <v>25.020000000000003</v>
      </c>
      <c r="K1403" s="117" t="str">
        <f t="shared" si="4"/>
        <v>BR</v>
      </c>
      <c r="L1403" s="42" t="str">
        <v>BR2502</v>
      </c>
      <c r="M1403" s="121" t="str">
        <v/>
      </c>
      <c r="N1403" s="121" t="str">
        <v/>
      </c>
      <c r="O1403" s="121" t="str">
        <v/>
      </c>
      <c r="P1403" s="121" t="str">
        <v/>
      </c>
      <c r="Q1403" s="121" t="str">
        <v/>
      </c>
      <c r="R1403" s="121" t="str">
        <v/>
      </c>
      <c r="S1403" s="121" t="str">
        <v>Contact Recording</v>
      </c>
      <c r="T1403" s="119" t="str">
        <f>IF($C1403&lt;4,IF($C1403=3,T1404,IF($C1403=2,T$1,"")),Q1403&amp;R1403&amp;IF(LEN(S1403)=0,"",Preferences!$C$2&amp;S1403)&amp;IF(J1404=J1403,IF(LEN(R1403&amp;S1403)=0,"","
")&amp;T1404,""))</f>
        <v xml:space="preserve">	• Contact Recording
	• Dashboard with real-time statistics updates
	• The caller must be presented the option to select a topic, prior to being assigned to a relevant queue</v>
      </c>
      <c r="U1403" s="122" t="str">
        <v/>
      </c>
      <c r="V1403" s="42"/>
      <c r="W1403" s="42"/>
      <c r="X1403" s="42"/>
      <c r="Y1403" s="42"/>
      <c r="Z1403" s="42"/>
      <c r="AA1403" s="42"/>
      <c r="AB1403" s="42"/>
    </row>
    <row r="1404" spans="1:28" x14ac:dyDescent="0.25">
      <c r="A1404" s="42" t="str">
        <v>1.25.2.5.13</v>
      </c>
      <c r="B1404" s="121" t="str">
        <v>Dashboard with real-time statistics updates</v>
      </c>
      <c r="C1404" s="41">
        <v>5</v>
      </c>
      <c r="D1404" s="41" t="str">
        <v>RL</v>
      </c>
      <c r="E1404" s="117" t="str">
        <f t="shared" si="0"/>
        <v>RL</v>
      </c>
      <c r="F1404" s="41" t="str">
        <v/>
      </c>
      <c r="G1404" s="41" t="str">
        <v/>
      </c>
      <c r="H1404" s="117">
        <f t="shared" si="1"/>
        <v>0</v>
      </c>
      <c r="I1404" s="117">
        <f t="shared" si="2"/>
        <v>25</v>
      </c>
      <c r="J1404" s="117">
        <f t="shared" si="3"/>
        <v>25.020000000000003</v>
      </c>
      <c r="K1404" s="117" t="str">
        <f t="shared" si="4"/>
        <v>BR</v>
      </c>
      <c r="L1404" s="42" t="str">
        <v>BR2502</v>
      </c>
      <c r="M1404" s="121" t="str">
        <v/>
      </c>
      <c r="N1404" s="121" t="str">
        <v/>
      </c>
      <c r="O1404" s="121" t="str">
        <v/>
      </c>
      <c r="P1404" s="121" t="str">
        <v/>
      </c>
      <c r="Q1404" s="121" t="str">
        <v/>
      </c>
      <c r="R1404" s="121" t="str">
        <v/>
      </c>
      <c r="S1404" s="121" t="str">
        <v>Dashboard with real-time statistics updates</v>
      </c>
      <c r="T1404" s="119" t="str">
        <f>IF($C1404&lt;4,IF($C1404=3,T1405,IF($C1404=2,T$1,"")),Q1404&amp;R1404&amp;IF(LEN(S1404)=0,"",Preferences!$C$2&amp;S1404)&amp;IF(J1405=J1404,IF(LEN(R1404&amp;S1404)=0,"","
")&amp;T1405,""))</f>
        <v xml:space="preserve">	• Dashboard with real-time statistics updates
	• The caller must be presented the option to select a topic, prior to being assigned to a relevant queue</v>
      </c>
      <c r="U1404" s="122" t="str">
        <v/>
      </c>
      <c r="V1404" s="42"/>
      <c r="W1404" s="42"/>
      <c r="X1404" s="42"/>
      <c r="Y1404" s="42"/>
      <c r="Z1404" s="42"/>
      <c r="AA1404" s="42"/>
      <c r="AB1404" s="42"/>
    </row>
    <row r="1405" spans="1:28" x14ac:dyDescent="0.25">
      <c r="A1405" s="42" t="str">
        <v>1.25.2.5.14</v>
      </c>
      <c r="B1405" s="121" t="str">
        <v>The caller must be presented the option to select a topic, prior to being assigned to a relevant queue</v>
      </c>
      <c r="C1405" s="41">
        <v>5</v>
      </c>
      <c r="D1405" s="41" t="str">
        <v>RL</v>
      </c>
      <c r="E1405" s="117" t="str">
        <f t="shared" si="0"/>
        <v>RL</v>
      </c>
      <c r="F1405" s="41" t="str">
        <v/>
      </c>
      <c r="G1405" s="41" t="str">
        <v/>
      </c>
      <c r="H1405" s="117">
        <f t="shared" si="1"/>
        <v>0</v>
      </c>
      <c r="I1405" s="117">
        <f t="shared" si="2"/>
        <v>25</v>
      </c>
      <c r="J1405" s="117">
        <f t="shared" si="3"/>
        <v>25.020000000000003</v>
      </c>
      <c r="K1405" s="117" t="str">
        <f t="shared" si="4"/>
        <v>BR</v>
      </c>
      <c r="L1405" s="42" t="str">
        <v>BR2502</v>
      </c>
      <c r="M1405" s="121" t="str">
        <v/>
      </c>
      <c r="N1405" s="121" t="str">
        <v/>
      </c>
      <c r="O1405" s="121" t="str">
        <v/>
      </c>
      <c r="P1405" s="121" t="str">
        <v/>
      </c>
      <c r="Q1405" s="121" t="str">
        <v/>
      </c>
      <c r="R1405" s="121" t="str">
        <v/>
      </c>
      <c r="S1405" s="121" t="str">
        <v>The caller must be presented the option to select a topic, prior to being assigned to a relevant queue</v>
      </c>
      <c r="T1405" s="119" t="str">
        <f>IF($C1405&lt;4,IF($C1405=3,T1406,IF($C1405=2,T$1,"")),Q1405&amp;R1405&amp;IF(LEN(S1405)=0,"",Preferences!$C$2&amp;S1405)&amp;IF(J1406=J1405,IF(LEN(R1405&amp;S1405)=0,"","
")&amp;T1406,""))</f>
        <v xml:space="preserve">	• The caller must be presented the option to select a topic, prior to being assigned to a relevant queue</v>
      </c>
      <c r="U1405" s="122" t="str">
        <v/>
      </c>
      <c r="V1405" s="42"/>
      <c r="W1405" s="42"/>
      <c r="X1405" s="42"/>
      <c r="Y1405" s="42"/>
      <c r="Z1405" s="42"/>
      <c r="AA1405" s="42"/>
      <c r="AB1405" s="42"/>
    </row>
    <row r="1406" spans="1:28" x14ac:dyDescent="0.25">
      <c r="A1406" s="42" t="str">
        <v>1.26</v>
      </c>
      <c r="B1406" s="121" t="str">
        <v>26 End-to-end Statistics</v>
      </c>
      <c r="C1406" s="41">
        <v>2</v>
      </c>
      <c r="D1406" s="41" t="str">
        <v>RS</v>
      </c>
      <c r="E1406" s="117" t="str">
        <f t="shared" si="0"/>
        <v>RS</v>
      </c>
      <c r="F1406" s="41" t="str">
        <v/>
      </c>
      <c r="G1406" s="41" t="str">
        <v/>
      </c>
      <c r="H1406" s="117">
        <f t="shared" si="1"/>
        <v>0</v>
      </c>
      <c r="I1406" s="117">
        <f t="shared" si="2"/>
        <v>26</v>
      </c>
      <c r="J1406" s="117">
        <f t="shared" si="3"/>
        <v>26</v>
      </c>
      <c r="K1406" s="117" t="str">
        <f t="shared" si="4"/>
        <v>BR</v>
      </c>
      <c r="L1406" s="42">
        <v>26</v>
      </c>
      <c r="M1406" s="121" t="str">
        <v/>
      </c>
      <c r="N1406" s="121" t="str">
        <v>26 End-to-end Statistics</v>
      </c>
      <c r="O1406" s="121" t="str">
        <v>ReqID</v>
      </c>
      <c r="P1406" s="121" t="e">
        <v>#N/A</v>
      </c>
      <c r="Q1406" s="121" t="str">
        <v/>
      </c>
      <c r="R1406" s="121" t="str">
        <v/>
      </c>
      <c r="S1406" s="121" t="str">
        <v/>
      </c>
      <c r="T1406" s="119" t="str">
        <f>IF($C1406&lt;4,IF($C1406=3,T1407,IF($C1406=2,T$1,"")),Q1406&amp;R1406&amp;IF(LEN(S1406)=0,"",Preferences!$C$2&amp;S1406)&amp;IF(J1407=J1406,IF(LEN(R1406&amp;S1406)=0,"","
")&amp;T1407,""))</f>
        <v>Description</v>
      </c>
      <c r="U1406" s="122" t="str">
        <v/>
      </c>
      <c r="V1406" s="42"/>
      <c r="W1406" s="42"/>
      <c r="X1406" s="42"/>
      <c r="Y1406" s="42"/>
      <c r="Z1406" s="42"/>
      <c r="AA1406" s="42"/>
      <c r="AB1406" s="42"/>
    </row>
    <row r="1407" spans="1:28" x14ac:dyDescent="0.25">
      <c r="A1407" s="42" t="str">
        <v>1.26.1</v>
      </c>
      <c r="B1407" s="121" t="str">
        <v>26.1 Record advertisement related activity</v>
      </c>
      <c r="C1407" s="41">
        <v>3</v>
      </c>
      <c r="D1407" s="41" t="str">
        <v>R</v>
      </c>
      <c r="E1407" s="117" t="str">
        <f t="shared" si="0"/>
        <v>R</v>
      </c>
      <c r="F1407" s="41" t="str">
        <v/>
      </c>
      <c r="G1407" s="41" t="str">
        <v/>
      </c>
      <c r="H1407" s="117">
        <f t="shared" si="1"/>
        <v>0</v>
      </c>
      <c r="I1407" s="117">
        <f t="shared" si="2"/>
        <v>26</v>
      </c>
      <c r="J1407" s="117">
        <f t="shared" si="3"/>
        <v>26.01</v>
      </c>
      <c r="K1407" s="117" t="str">
        <f t="shared" si="4"/>
        <v>BR</v>
      </c>
      <c r="L1407" s="42" t="str">
        <v>BR2601</v>
      </c>
      <c r="M1407" s="121" t="str">
        <v/>
      </c>
      <c r="N1407" s="121" t="str">
        <v/>
      </c>
      <c r="O1407" s="121" t="str">
        <v>BR2601</v>
      </c>
      <c r="P1407" s="121" t="str">
        <v>Record advertisement related activity</v>
      </c>
      <c r="Q1407" s="121" t="str">
        <v/>
      </c>
      <c r="R1407" s="121" t="str">
        <v/>
      </c>
      <c r="S1407" s="121" t="str">
        <v/>
      </c>
      <c r="T1407" s="119" t="str">
        <f>IF($C1407&lt;4,IF($C1407=3,T1408,IF($C1407=2,T$1,"")),Q1407&amp;R1407&amp;IF(LEN(S1407)=0,"",Preferences!$C$2&amp;S1407)&amp;IF(J1408=J1407,IF(LEN(R1407&amp;S1407)=0,"","
")&amp;T1408,""))</f>
        <v xml:space="preserve"> 1. Collect online (other than online shop) advertising responses, per version, presentation format and channel.
 2. Collect advertisements promoted in the online shop, per presentation format and version.
 3. Collect advertisements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07" s="122" t="str">
        <v/>
      </c>
      <c r="V1407" s="42"/>
      <c r="W1407" s="42"/>
      <c r="X1407" s="42"/>
      <c r="Y1407" s="42"/>
      <c r="Z1407" s="42"/>
      <c r="AA1407" s="42"/>
      <c r="AB1407" s="42"/>
    </row>
    <row r="1408" spans="1:28" x14ac:dyDescent="0.25">
      <c r="A1408" s="42" t="str">
        <v>1.26.1.1</v>
      </c>
      <c r="B1408" s="121" t="str">
        <v>Collect online (other than online shop) advertising responses, per version, presentation format and channel.</v>
      </c>
      <c r="C1408" s="41">
        <v>4</v>
      </c>
      <c r="D1408" s="41" t="str">
        <v>RD</v>
      </c>
      <c r="E1408" s="117" t="str">
        <f t="shared" si="0"/>
        <v>RD</v>
      </c>
      <c r="F1408" s="41" t="str">
        <v/>
      </c>
      <c r="G1408" s="41" t="str">
        <v/>
      </c>
      <c r="H1408" s="117">
        <f t="shared" si="1"/>
        <v>0</v>
      </c>
      <c r="I1408" s="117">
        <f t="shared" si="2"/>
        <v>26</v>
      </c>
      <c r="J1408" s="117">
        <f t="shared" si="3"/>
        <v>26.01</v>
      </c>
      <c r="K1408" s="117" t="str">
        <f t="shared" si="4"/>
        <v>BR</v>
      </c>
      <c r="L1408" s="42" t="str">
        <v>BR2601</v>
      </c>
      <c r="M1408" s="121" t="str">
        <v/>
      </c>
      <c r="N1408" s="121" t="str">
        <v/>
      </c>
      <c r="O1408" s="121" t="str">
        <v/>
      </c>
      <c r="P1408" s="121" t="str">
        <v/>
      </c>
      <c r="Q1408" s="121" t="str">
        <v xml:space="preserve"> 1. </v>
      </c>
      <c r="R1408" s="121" t="str">
        <v>Collect online (other than online shop) advertising responses, per version, presentation format and channel.</v>
      </c>
      <c r="S1408" s="121" t="str">
        <v/>
      </c>
      <c r="T1408" s="119" t="str">
        <f>IF($C1408&lt;4,IF($C1408=3,T1409,IF($C1408=2,T$1,"")),Q1408&amp;R1408&amp;IF(LEN(S1408)=0,"",Preferences!$C$2&amp;S1408)&amp;IF(J1409=J1408,IF(LEN(R1408&amp;S1408)=0,"","
")&amp;T1409,""))</f>
        <v xml:space="preserve"> 1. Collect online (other than online shop) advertising responses, per version, presentation format and channel.
 2. Collect advertisements promoted in the online shop, per presentation format and version.
 3. Collect advertisements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08" s="122" t="str">
        <v/>
      </c>
      <c r="V1408" s="42"/>
      <c r="W1408" s="42"/>
      <c r="X1408" s="42"/>
      <c r="Y1408" s="42"/>
      <c r="Z1408" s="42"/>
      <c r="AA1408" s="42"/>
      <c r="AB1408" s="42"/>
    </row>
    <row r="1409" spans="1:28" x14ac:dyDescent="0.25">
      <c r="A1409" s="42" t="str">
        <v>1.26.1.2</v>
      </c>
      <c r="B1409" s="121" t="str">
        <v>Collect advertisements promoted in the online shop, per presentation format and version.</v>
      </c>
      <c r="C1409" s="41">
        <v>4</v>
      </c>
      <c r="D1409" s="41" t="str">
        <v>RD</v>
      </c>
      <c r="E1409" s="117" t="str">
        <f t="shared" si="0"/>
        <v>RD</v>
      </c>
      <c r="F1409" s="41" t="str">
        <v/>
      </c>
      <c r="G1409" s="41" t="str">
        <v/>
      </c>
      <c r="H1409" s="117">
        <f t="shared" si="1"/>
        <v>0</v>
      </c>
      <c r="I1409" s="117">
        <f t="shared" si="2"/>
        <v>26</v>
      </c>
      <c r="J1409" s="117">
        <f t="shared" si="3"/>
        <v>26.01</v>
      </c>
      <c r="K1409" s="117" t="str">
        <f t="shared" si="4"/>
        <v>BR</v>
      </c>
      <c r="L1409" s="42" t="str">
        <v>BR2601</v>
      </c>
      <c r="M1409" s="121" t="str">
        <v/>
      </c>
      <c r="N1409" s="121" t="str">
        <v/>
      </c>
      <c r="O1409" s="121" t="str">
        <v/>
      </c>
      <c r="P1409" s="121" t="str">
        <v/>
      </c>
      <c r="Q1409" s="121" t="str">
        <v xml:space="preserve"> 2. </v>
      </c>
      <c r="R1409" s="121" t="str">
        <v>Collect advertisements promoted in the online shop, per presentation format and version.</v>
      </c>
      <c r="S1409" s="121" t="str">
        <v/>
      </c>
      <c r="T1409" s="119" t="str">
        <f>IF($C1409&lt;4,IF($C1409=3,T1410,IF($C1409=2,T$1,"")),Q1409&amp;R1409&amp;IF(LEN(S1409)=0,"",Preferences!$C$2&amp;S1409)&amp;IF(J1410=J1409,IF(LEN(R1409&amp;S1409)=0,"","
")&amp;T1410,""))</f>
        <v xml:space="preserve"> 2. Collect advertisements promoted in the online shop, per presentation format and version.
 3. Collect advertisements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09" s="122" t="str">
        <v/>
      </c>
      <c r="V1409" s="42"/>
      <c r="W1409" s="42"/>
      <c r="X1409" s="42"/>
      <c r="Y1409" s="42"/>
      <c r="Z1409" s="42"/>
      <c r="AA1409" s="42"/>
      <c r="AB1409" s="42"/>
    </row>
    <row r="1410" spans="1:28" x14ac:dyDescent="0.25">
      <c r="A1410" s="42" t="str">
        <v>1.26.1.3</v>
      </c>
      <c r="B1410" s="121" t="str">
        <v>Collect advertisements listed in the online shop product search results.</v>
      </c>
      <c r="C1410" s="41">
        <v>4</v>
      </c>
      <c r="D1410" s="41" t="str">
        <v>RD</v>
      </c>
      <c r="E1410" s="117" t="str">
        <f t="shared" si="0"/>
        <v>RD</v>
      </c>
      <c r="F1410" s="41" t="str">
        <v/>
      </c>
      <c r="G1410" s="41" t="str">
        <v/>
      </c>
      <c r="H1410" s="117">
        <f t="shared" si="1"/>
        <v>0</v>
      </c>
      <c r="I1410" s="117">
        <f t="shared" si="2"/>
        <v>26</v>
      </c>
      <c r="J1410" s="117">
        <f t="shared" si="3"/>
        <v>26.01</v>
      </c>
      <c r="K1410" s="117" t="str">
        <f t="shared" si="4"/>
        <v>BR</v>
      </c>
      <c r="L1410" s="42" t="str">
        <v>BR2601</v>
      </c>
      <c r="M1410" s="121" t="str">
        <v/>
      </c>
      <c r="N1410" s="121" t="str">
        <v/>
      </c>
      <c r="O1410" s="121" t="str">
        <v/>
      </c>
      <c r="P1410" s="121" t="str">
        <v/>
      </c>
      <c r="Q1410" s="121" t="str">
        <v xml:space="preserve"> 3. </v>
      </c>
      <c r="R1410" s="121" t="str">
        <v>Collect advertisements listed in the online shop product search results.</v>
      </c>
      <c r="S1410" s="121" t="str">
        <v/>
      </c>
      <c r="T1410" s="119" t="str">
        <f>IF($C1410&lt;4,IF($C1410=3,T1411,IF($C1410=2,T$1,"")),Q1410&amp;R1410&amp;IF(LEN(S1410)=0,"",Preferences!$C$2&amp;S1410)&amp;IF(J1411=J1410,IF(LEN(R1410&amp;S1410)=0,"","
")&amp;T1411,""))</f>
        <v xml:space="preserve"> 3. Collect advertisements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0" s="122" t="str">
        <v/>
      </c>
      <c r="V1410" s="42"/>
      <c r="W1410" s="42"/>
      <c r="X1410" s="42"/>
      <c r="Y1410" s="42"/>
      <c r="Z1410" s="42"/>
      <c r="AA1410" s="42"/>
      <c r="AB1410" s="42"/>
    </row>
    <row r="1411" spans="1:28" x14ac:dyDescent="0.25">
      <c r="A1411" s="42" t="str">
        <v>1.26.1.4</v>
      </c>
      <c r="B1411" s="121" t="str">
        <v>At least the following events are logged per channel for statistical and customer profiling purposes:</v>
      </c>
      <c r="C1411" s="41">
        <v>4</v>
      </c>
      <c r="D1411" s="41" t="str">
        <v>RD</v>
      </c>
      <c r="E1411" s="117" t="str">
        <f t="shared" si="0"/>
        <v>RD</v>
      </c>
      <c r="F1411" s="41" t="str">
        <v/>
      </c>
      <c r="G1411" s="41" t="str">
        <v/>
      </c>
      <c r="H1411" s="117">
        <f t="shared" si="1"/>
        <v>0</v>
      </c>
      <c r="I1411" s="117">
        <f t="shared" si="2"/>
        <v>26</v>
      </c>
      <c r="J1411" s="117">
        <f t="shared" si="3"/>
        <v>26.01</v>
      </c>
      <c r="K1411" s="117" t="str">
        <f t="shared" si="4"/>
        <v>BR</v>
      </c>
      <c r="L1411" s="42" t="str">
        <v>BR2601</v>
      </c>
      <c r="M1411" s="121" t="str">
        <v/>
      </c>
      <c r="N1411" s="121" t="str">
        <v/>
      </c>
      <c r="O1411" s="121" t="str">
        <v/>
      </c>
      <c r="P1411" s="121" t="str">
        <v/>
      </c>
      <c r="Q1411" s="121" t="str">
        <v xml:space="preserve"> 4. </v>
      </c>
      <c r="R1411" s="121" t="str">
        <v>At least the following events are logged per channel for statistical and customer profiling purposes:</v>
      </c>
      <c r="S1411" s="121" t="str">
        <v/>
      </c>
      <c r="T1411" s="119" t="str">
        <f>IF($C1411&lt;4,IF($C1411=3,T1412,IF($C1411=2,T$1,"")),Q1411&amp;R1411&amp;IF(LEN(S1411)=0,"",Preferences!$C$2&amp;S1411)&amp;IF(J1412=J1411,IF(LEN(R1411&amp;S1411)=0,"","
")&amp;T1412,""))</f>
        <v xml:space="preserve">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1" s="122" t="str">
        <v/>
      </c>
      <c r="V1411" s="42"/>
      <c r="W1411" s="42"/>
      <c r="X1411" s="42"/>
      <c r="Y1411" s="42"/>
      <c r="Z1411" s="42"/>
      <c r="AA1411" s="42"/>
      <c r="AB1411" s="42"/>
    </row>
    <row r="1412" spans="1:28" x14ac:dyDescent="0.25">
      <c r="A1412" s="42" t="str">
        <v>1.26.1.4.1</v>
      </c>
      <c r="B1412" s="121" t="str">
        <v>Method used to find the content (promoted, search, etc.).</v>
      </c>
      <c r="C1412" s="41">
        <v>5</v>
      </c>
      <c r="D1412" s="41" t="str">
        <v>RL</v>
      </c>
      <c r="E1412" s="117" t="str">
        <f t="shared" si="0"/>
        <v>RL</v>
      </c>
      <c r="F1412" s="41" t="str">
        <v/>
      </c>
      <c r="G1412" s="41" t="str">
        <v/>
      </c>
      <c r="H1412" s="117">
        <f t="shared" si="1"/>
        <v>0</v>
      </c>
      <c r="I1412" s="117">
        <f t="shared" si="2"/>
        <v>26</v>
      </c>
      <c r="J1412" s="117">
        <f t="shared" si="3"/>
        <v>26.01</v>
      </c>
      <c r="K1412" s="117" t="str">
        <f t="shared" si="4"/>
        <v>BR</v>
      </c>
      <c r="L1412" s="42" t="str">
        <v>BR2601</v>
      </c>
      <c r="M1412" s="121" t="str">
        <v/>
      </c>
      <c r="N1412" s="121" t="str">
        <v/>
      </c>
      <c r="O1412" s="121" t="str">
        <v/>
      </c>
      <c r="P1412" s="121" t="str">
        <v/>
      </c>
      <c r="Q1412" s="121" t="str">
        <v/>
      </c>
      <c r="R1412" s="121" t="str">
        <v/>
      </c>
      <c r="S1412" s="121" t="str">
        <v>Method used to find the content (promoted, search, etc.).</v>
      </c>
      <c r="T1412" s="119" t="str">
        <f>IF($C1412&lt;4,IF($C1412=3,T1413,IF($C1412=2,T$1,"")),Q1412&amp;R1412&amp;IF(LEN(S1412)=0,"",Preferences!$C$2&amp;S1412)&amp;IF(J1413=J1412,IF(LEN(R1412&amp;S1412)=0,"","
")&amp;T1413,""))</f>
        <v xml:space="preserve">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2" s="122" t="str">
        <v/>
      </c>
      <c r="V1412" s="42"/>
      <c r="W1412" s="42"/>
      <c r="X1412" s="42"/>
      <c r="Y1412" s="42"/>
      <c r="Z1412" s="42"/>
      <c r="AA1412" s="42"/>
      <c r="AB1412" s="42"/>
    </row>
    <row r="1413" spans="1:28" x14ac:dyDescent="0.25">
      <c r="A1413" s="42" t="str">
        <v>1.26.1.4.2</v>
      </c>
      <c r="B1413" s="121" t="str">
        <v>Advert click-through to online shop</v>
      </c>
      <c r="C1413" s="41">
        <v>5</v>
      </c>
      <c r="D1413" s="41" t="str">
        <v>RL</v>
      </c>
      <c r="E1413" s="117" t="str">
        <f t="shared" si="0"/>
        <v>RL</v>
      </c>
      <c r="F1413" s="41" t="str">
        <v/>
      </c>
      <c r="G1413" s="41" t="str">
        <v/>
      </c>
      <c r="H1413" s="117">
        <f t="shared" si="1"/>
        <v>0</v>
      </c>
      <c r="I1413" s="117">
        <f t="shared" si="2"/>
        <v>26</v>
      </c>
      <c r="J1413" s="117">
        <f t="shared" si="3"/>
        <v>26.01</v>
      </c>
      <c r="K1413" s="117" t="str">
        <f t="shared" si="4"/>
        <v>BR</v>
      </c>
      <c r="L1413" s="42" t="str">
        <v>BR2601</v>
      </c>
      <c r="M1413" s="121" t="str">
        <v/>
      </c>
      <c r="N1413" s="121" t="str">
        <v/>
      </c>
      <c r="O1413" s="121" t="str">
        <v/>
      </c>
      <c r="P1413" s="121" t="str">
        <v/>
      </c>
      <c r="Q1413" s="121" t="str">
        <v/>
      </c>
      <c r="R1413" s="121" t="str">
        <v/>
      </c>
      <c r="S1413" s="121" t="str">
        <v>Advert click-through to online shop</v>
      </c>
      <c r="T1413" s="119" t="str">
        <f>IF($C1413&lt;4,IF($C1413=3,T1414,IF($C1413=2,T$1,"")),Q1413&amp;R1413&amp;IF(LEN(S1413)=0,"",Preferences!$C$2&amp;S1413)&amp;IF(J1414=J1413,IF(LEN(R1413&amp;S1413)=0,"","
")&amp;T1414,""))</f>
        <v xml:space="preserve">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3" s="122" t="str">
        <v/>
      </c>
      <c r="V1413" s="42"/>
      <c r="W1413" s="42"/>
      <c r="X1413" s="42"/>
      <c r="Y1413" s="42"/>
      <c r="Z1413" s="42"/>
      <c r="AA1413" s="42"/>
      <c r="AB1413" s="42"/>
    </row>
    <row r="1414" spans="1:28" x14ac:dyDescent="0.25">
      <c r="A1414" s="42" t="str">
        <v>1.26.1.4.3</v>
      </c>
      <c r="B1414" s="121" t="str">
        <v>Display teaser (banner, teaser, online shop search results/internet search, etc.)</v>
      </c>
      <c r="C1414" s="41">
        <v>5</v>
      </c>
      <c r="D1414" s="41" t="str">
        <v>RL</v>
      </c>
      <c r="E1414" s="117" t="str">
        <f t="shared" si="0"/>
        <v>RL</v>
      </c>
      <c r="F1414" s="41" t="str">
        <v/>
      </c>
      <c r="G1414" s="41" t="str">
        <v/>
      </c>
      <c r="H1414" s="117">
        <f t="shared" si="1"/>
        <v>0</v>
      </c>
      <c r="I1414" s="117">
        <f t="shared" si="2"/>
        <v>26</v>
      </c>
      <c r="J1414" s="117">
        <f t="shared" si="3"/>
        <v>26.01</v>
      </c>
      <c r="K1414" s="117" t="str">
        <f t="shared" si="4"/>
        <v>BR</v>
      </c>
      <c r="L1414" s="42" t="str">
        <v>BR2601</v>
      </c>
      <c r="M1414" s="121" t="str">
        <v/>
      </c>
      <c r="N1414" s="121" t="str">
        <v/>
      </c>
      <c r="O1414" s="121" t="str">
        <v/>
      </c>
      <c r="P1414" s="121" t="str">
        <v/>
      </c>
      <c r="Q1414" s="121" t="str">
        <v/>
      </c>
      <c r="R1414" s="121" t="str">
        <v/>
      </c>
      <c r="S1414" s="121" t="str">
        <v>Display teaser (banner, teaser, online shop search results/internet search, etc.)</v>
      </c>
      <c r="T1414" s="119" t="str">
        <f>IF($C1414&lt;4,IF($C1414=3,T1415,IF($C1414=2,T$1,"")),Q1414&amp;R1414&amp;IF(LEN(S1414)=0,"",Preferences!$C$2&amp;S1414)&amp;IF(J1415=J1414,IF(LEN(R1414&amp;S1414)=0,"","
")&amp;T1415,""))</f>
        <v xml:space="preserve">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4" s="122" t="str">
        <v/>
      </c>
      <c r="V1414" s="42"/>
      <c r="W1414" s="42"/>
      <c r="X1414" s="42"/>
      <c r="Y1414" s="42"/>
      <c r="Z1414" s="42"/>
      <c r="AA1414" s="42"/>
      <c r="AB1414" s="42"/>
    </row>
    <row r="1415" spans="1:28" x14ac:dyDescent="0.25">
      <c r="A1415" s="42" t="str">
        <v>1.26.1.4.4</v>
      </c>
      <c r="B1415" s="121" t="str">
        <v>Display full content</v>
      </c>
      <c r="C1415" s="41">
        <v>5</v>
      </c>
      <c r="D1415" s="41" t="str">
        <v>RL</v>
      </c>
      <c r="E1415" s="117" t="str">
        <f t="shared" si="0"/>
        <v>RL</v>
      </c>
      <c r="F1415" s="41" t="str">
        <v/>
      </c>
      <c r="G1415" s="41" t="str">
        <v/>
      </c>
      <c r="H1415" s="117">
        <f t="shared" si="1"/>
        <v>0</v>
      </c>
      <c r="I1415" s="117">
        <f t="shared" si="2"/>
        <v>26</v>
      </c>
      <c r="J1415" s="117">
        <f t="shared" si="3"/>
        <v>26.01</v>
      </c>
      <c r="K1415" s="117" t="str">
        <f t="shared" si="4"/>
        <v>BR</v>
      </c>
      <c r="L1415" s="42" t="str">
        <v>BR2601</v>
      </c>
      <c r="M1415" s="121" t="str">
        <v/>
      </c>
      <c r="N1415" s="121" t="str">
        <v/>
      </c>
      <c r="O1415" s="121" t="str">
        <v/>
      </c>
      <c r="P1415" s="121" t="str">
        <v/>
      </c>
      <c r="Q1415" s="121" t="str">
        <v/>
      </c>
      <c r="R1415" s="121" t="str">
        <v/>
      </c>
      <c r="S1415" s="121" t="str">
        <v>Display full content</v>
      </c>
      <c r="T1415" s="119" t="str">
        <f>IF($C1415&lt;4,IF($C1415=3,T1416,IF($C1415=2,T$1,"")),Q1415&amp;R1415&amp;IF(LEN(S1415)=0,"",Preferences!$C$2&amp;S1415)&amp;IF(J1416=J1415,IF(LEN(R1415&amp;S1415)=0,"","
")&amp;T1416,""))</f>
        <v xml:space="preserve">	• Display full content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5" s="122" t="str">
        <v/>
      </c>
      <c r="V1415" s="42"/>
      <c r="W1415" s="42"/>
      <c r="X1415" s="42"/>
      <c r="Y1415" s="42"/>
      <c r="Z1415" s="42"/>
      <c r="AA1415" s="42"/>
      <c r="AB1415" s="42"/>
    </row>
    <row r="1416" spans="1:28" x14ac:dyDescent="0.25">
      <c r="A1416" s="42" t="str">
        <v>1.26.1.4.5</v>
      </c>
      <c r="B1416" s="121" t="str">
        <v>Add/remove advertised product from the user favourites, or wish lists</v>
      </c>
      <c r="C1416" s="41">
        <v>5</v>
      </c>
      <c r="D1416" s="41" t="str">
        <v>RL</v>
      </c>
      <c r="E1416" s="117" t="str">
        <f t="shared" si="0"/>
        <v>RL</v>
      </c>
      <c r="F1416" s="41" t="str">
        <v/>
      </c>
      <c r="G1416" s="41" t="str">
        <v/>
      </c>
      <c r="H1416" s="117">
        <f t="shared" si="1"/>
        <v>0</v>
      </c>
      <c r="I1416" s="117">
        <f t="shared" si="2"/>
        <v>26</v>
      </c>
      <c r="J1416" s="117">
        <f t="shared" si="3"/>
        <v>26.01</v>
      </c>
      <c r="K1416" s="117" t="str">
        <f t="shared" si="4"/>
        <v>BR</v>
      </c>
      <c r="L1416" s="42" t="str">
        <v>BR2601</v>
      </c>
      <c r="M1416" s="121" t="str">
        <v/>
      </c>
      <c r="N1416" s="121" t="str">
        <v/>
      </c>
      <c r="O1416" s="121" t="str">
        <v/>
      </c>
      <c r="P1416" s="121" t="str">
        <v/>
      </c>
      <c r="Q1416" s="121" t="str">
        <v/>
      </c>
      <c r="R1416" s="121" t="str">
        <v/>
      </c>
      <c r="S1416" s="121" t="str">
        <v>Add/remove advertised product from the user favourites, or wish lists</v>
      </c>
      <c r="T1416" s="119" t="str">
        <f>IF($C1416&lt;4,IF($C1416=3,T1417,IF($C1416=2,T$1,"")),Q1416&amp;R1416&amp;IF(LEN(S1416)=0,"",Preferences!$C$2&amp;S1416)&amp;IF(J1417=J1416,IF(LEN(R1416&amp;S1416)=0,"","
")&amp;T1417,""))</f>
        <v xml:space="preserve">	• Add/remove advertised product from the user favourites, or wish lists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6" s="122" t="str">
        <v/>
      </c>
      <c r="V1416" s="42"/>
      <c r="W1416" s="42"/>
      <c r="X1416" s="42"/>
      <c r="Y1416" s="42"/>
      <c r="Z1416" s="42"/>
      <c r="AA1416" s="42"/>
      <c r="AB1416" s="42"/>
    </row>
    <row r="1417" spans="1:28" x14ac:dyDescent="0.25">
      <c r="A1417" s="42" t="str">
        <v>1.26.1.4.6</v>
      </c>
      <c r="B1417" s="121" t="str">
        <v>Add/remove advertised product from the shopping cart</v>
      </c>
      <c r="C1417" s="41">
        <v>5</v>
      </c>
      <c r="D1417" s="41" t="str">
        <v>RL</v>
      </c>
      <c r="E1417" s="117" t="str">
        <f t="shared" si="0"/>
        <v>RL</v>
      </c>
      <c r="F1417" s="41" t="str">
        <v/>
      </c>
      <c r="G1417" s="41" t="str">
        <v/>
      </c>
      <c r="H1417" s="117">
        <f t="shared" si="1"/>
        <v>0</v>
      </c>
      <c r="I1417" s="117">
        <f t="shared" si="2"/>
        <v>26</v>
      </c>
      <c r="J1417" s="117">
        <f t="shared" si="3"/>
        <v>26.01</v>
      </c>
      <c r="K1417" s="117" t="str">
        <f t="shared" si="4"/>
        <v>BR</v>
      </c>
      <c r="L1417" s="42" t="str">
        <v>BR2601</v>
      </c>
      <c r="M1417" s="121" t="str">
        <v/>
      </c>
      <c r="N1417" s="121" t="str">
        <v/>
      </c>
      <c r="O1417" s="121" t="str">
        <v/>
      </c>
      <c r="P1417" s="121" t="str">
        <v/>
      </c>
      <c r="Q1417" s="121" t="str">
        <v/>
      </c>
      <c r="R1417" s="121" t="str">
        <v/>
      </c>
      <c r="S1417" s="121" t="str">
        <v>Add/remove advertised product from the shopping cart</v>
      </c>
      <c r="T1417" s="119" t="str">
        <f>IF($C1417&lt;4,IF($C1417=3,T1418,IF($C1417=2,T$1,"")),Q1417&amp;R1417&amp;IF(LEN(S1417)=0,"",Preferences!$C$2&amp;S1417)&amp;IF(J1418=J1417,IF(LEN(R1417&amp;S1417)=0,"","
")&amp;T1418,""))</f>
        <v xml:space="preserve">	• Add/remove advertised product from the shopping cart
	• Purchase advertised product (online payment processed)
 5. Reconcile all collected data for each advertisement.
 6. Maintain advertisement statistics per campaign, advertisement and channel.
 7. Maintain advertisement statistics per product category, meta-tag and search term.</v>
      </c>
      <c r="U1417" s="122" t="str">
        <v/>
      </c>
      <c r="V1417" s="42"/>
      <c r="W1417" s="42"/>
      <c r="X1417" s="42"/>
      <c r="Y1417" s="42"/>
      <c r="Z1417" s="42"/>
      <c r="AA1417" s="42"/>
      <c r="AB1417" s="42"/>
    </row>
    <row r="1418" spans="1:28" x14ac:dyDescent="0.25">
      <c r="A1418" s="42" t="str">
        <v>1.26.1.4.7</v>
      </c>
      <c r="B1418" s="121" t="str">
        <v>Purchase advertised product (online payment processed)</v>
      </c>
      <c r="C1418" s="41">
        <v>5</v>
      </c>
      <c r="D1418" s="41" t="str">
        <v>RL</v>
      </c>
      <c r="E1418" s="117" t="str">
        <f t="shared" si="0"/>
        <v>RL</v>
      </c>
      <c r="F1418" s="41" t="str">
        <v/>
      </c>
      <c r="G1418" s="41" t="str">
        <v/>
      </c>
      <c r="H1418" s="117">
        <f t="shared" si="1"/>
        <v>0</v>
      </c>
      <c r="I1418" s="117">
        <f t="shared" si="2"/>
        <v>26</v>
      </c>
      <c r="J1418" s="117">
        <f t="shared" si="3"/>
        <v>26.01</v>
      </c>
      <c r="K1418" s="117" t="str">
        <f t="shared" si="4"/>
        <v>BR</v>
      </c>
      <c r="L1418" s="42" t="str">
        <v>BR2601</v>
      </c>
      <c r="M1418" s="121" t="str">
        <v/>
      </c>
      <c r="N1418" s="121" t="str">
        <v/>
      </c>
      <c r="O1418" s="121" t="str">
        <v/>
      </c>
      <c r="P1418" s="121" t="str">
        <v/>
      </c>
      <c r="Q1418" s="121" t="str">
        <v/>
      </c>
      <c r="R1418" s="121" t="str">
        <v/>
      </c>
      <c r="S1418" s="121" t="str">
        <v>Purchase advertised product (online payment processed)</v>
      </c>
      <c r="T1418" s="119" t="str">
        <f>IF($C1418&lt;4,IF($C1418=3,T1419,IF($C1418=2,T$1,"")),Q1418&amp;R1418&amp;IF(LEN(S1418)=0,"",Preferences!$C$2&amp;S1418)&amp;IF(J1419=J1418,IF(LEN(R1418&amp;S1418)=0,"","
")&amp;T1419,""))</f>
        <v xml:space="preserve">	• Purchase advertised product (online payment processed)
 5. Reconcile all collected data for each advertisement.
 6. Maintain advertisement statistics per campaign, advertisement and channel.
 7. Maintain advertisement statistics per product category, meta-tag and search term.</v>
      </c>
      <c r="U1418" s="122" t="str">
        <v/>
      </c>
      <c r="V1418" s="42"/>
      <c r="W1418" s="42"/>
      <c r="X1418" s="42"/>
      <c r="Y1418" s="42"/>
      <c r="Z1418" s="42"/>
      <c r="AA1418" s="42"/>
      <c r="AB1418" s="42"/>
    </row>
    <row r="1419" spans="1:28" x14ac:dyDescent="0.25">
      <c r="A1419" s="42" t="str">
        <v>1.26.1.5</v>
      </c>
      <c r="B1419" s="121" t="str">
        <v>Reconcile all collected data for each advertisement.</v>
      </c>
      <c r="C1419" s="41">
        <v>4</v>
      </c>
      <c r="D1419" s="41" t="str">
        <v>RD</v>
      </c>
      <c r="E1419" s="117" t="str">
        <f t="shared" si="0"/>
        <v>RD</v>
      </c>
      <c r="F1419" s="41" t="str">
        <v/>
      </c>
      <c r="G1419" s="41" t="str">
        <v/>
      </c>
      <c r="H1419" s="117">
        <f t="shared" si="1"/>
        <v>0</v>
      </c>
      <c r="I1419" s="117">
        <f t="shared" si="2"/>
        <v>26</v>
      </c>
      <c r="J1419" s="117">
        <f t="shared" si="3"/>
        <v>26.01</v>
      </c>
      <c r="K1419" s="117" t="str">
        <f t="shared" si="4"/>
        <v>BR</v>
      </c>
      <c r="L1419" s="42" t="str">
        <v>BR2601</v>
      </c>
      <c r="M1419" s="121" t="str">
        <v/>
      </c>
      <c r="N1419" s="121" t="str">
        <v/>
      </c>
      <c r="O1419" s="121" t="str">
        <v/>
      </c>
      <c r="P1419" s="121" t="str">
        <v/>
      </c>
      <c r="Q1419" s="121" t="str">
        <v xml:space="preserve"> 5. </v>
      </c>
      <c r="R1419" s="121" t="str">
        <v>Reconcile all collected data for each advertisement.</v>
      </c>
      <c r="S1419" s="121" t="str">
        <v/>
      </c>
      <c r="T1419" s="119" t="str">
        <f>IF($C1419&lt;4,IF($C1419=3,T1420,IF($C1419=2,T$1,"")),Q1419&amp;R1419&amp;IF(LEN(S1419)=0,"",Preferences!$C$2&amp;S1419)&amp;IF(J1420=J1419,IF(LEN(R1419&amp;S1419)=0,"","
")&amp;T1420,""))</f>
        <v xml:space="preserve"> 5. Reconcile all collected data for each advertisement.
 6. Maintain advertisement statistics per campaign, advertisement and channel.
 7. Maintain advertisement statistics per product category, meta-tag and search term.</v>
      </c>
      <c r="U1419" s="122" t="str">
        <v/>
      </c>
      <c r="V1419" s="42"/>
      <c r="W1419" s="42"/>
      <c r="X1419" s="42"/>
      <c r="Y1419" s="42"/>
      <c r="Z1419" s="42"/>
      <c r="AA1419" s="42"/>
      <c r="AB1419" s="42"/>
    </row>
    <row r="1420" spans="1:28" x14ac:dyDescent="0.25">
      <c r="A1420" s="42" t="str">
        <v>1.26.1.6</v>
      </c>
      <c r="B1420" s="121" t="str">
        <v>Maintain advertisement statistics per campaign, advertisement and channel.</v>
      </c>
      <c r="C1420" s="41">
        <v>4</v>
      </c>
      <c r="D1420" s="41" t="str">
        <v>RD</v>
      </c>
      <c r="E1420" s="117" t="str">
        <f t="shared" si="0"/>
        <v>RD</v>
      </c>
      <c r="F1420" s="41" t="str">
        <v/>
      </c>
      <c r="G1420" s="41" t="str">
        <v/>
      </c>
      <c r="H1420" s="117">
        <f t="shared" si="1"/>
        <v>0</v>
      </c>
      <c r="I1420" s="117">
        <f t="shared" si="2"/>
        <v>26</v>
      </c>
      <c r="J1420" s="117">
        <f t="shared" si="3"/>
        <v>26.01</v>
      </c>
      <c r="K1420" s="117" t="str">
        <f t="shared" si="4"/>
        <v>BR</v>
      </c>
      <c r="L1420" s="42" t="str">
        <v>BR2601</v>
      </c>
      <c r="M1420" s="121" t="str">
        <v/>
      </c>
      <c r="N1420" s="121" t="str">
        <v/>
      </c>
      <c r="O1420" s="121" t="str">
        <v/>
      </c>
      <c r="P1420" s="121" t="str">
        <v/>
      </c>
      <c r="Q1420" s="121" t="str">
        <v xml:space="preserve"> 6. </v>
      </c>
      <c r="R1420" s="121" t="str">
        <v>Maintain advertisement statistics per campaign, advertisement and channel.</v>
      </c>
      <c r="S1420" s="121" t="str">
        <v/>
      </c>
      <c r="T1420" s="119" t="str">
        <f>IF($C1420&lt;4,IF($C1420=3,T1421,IF($C1420=2,T$1,"")),Q1420&amp;R1420&amp;IF(LEN(S1420)=0,"",Preferences!$C$2&amp;S1420)&amp;IF(J1421=J1420,IF(LEN(R1420&amp;S1420)=0,"","
")&amp;T1421,""))</f>
        <v xml:space="preserve"> 6. Maintain advertisement statistics per campaign, advertisement and channel.
 7. Maintain advertisement statistics per product category, meta-tag and search term.</v>
      </c>
      <c r="U1420" s="122" t="str">
        <v/>
      </c>
      <c r="V1420" s="42"/>
      <c r="W1420" s="42"/>
      <c r="X1420" s="42"/>
      <c r="Y1420" s="42"/>
      <c r="Z1420" s="42"/>
      <c r="AA1420" s="42"/>
      <c r="AB1420" s="42"/>
    </row>
    <row r="1421" spans="1:28" x14ac:dyDescent="0.25">
      <c r="A1421" s="42" t="str">
        <v>1.26.1.7</v>
      </c>
      <c r="B1421" s="121" t="str">
        <v>Maintain advertisement statistics per product category, meta-tag and search term.</v>
      </c>
      <c r="C1421" s="41">
        <v>4</v>
      </c>
      <c r="D1421" s="41" t="str">
        <v>RD</v>
      </c>
      <c r="E1421" s="117" t="str">
        <f t="shared" si="0"/>
        <v>RD</v>
      </c>
      <c r="F1421" s="41" t="str">
        <v/>
      </c>
      <c r="G1421" s="41" t="str">
        <v/>
      </c>
      <c r="H1421" s="117">
        <f t="shared" si="1"/>
        <v>0</v>
      </c>
      <c r="I1421" s="117">
        <f t="shared" si="2"/>
        <v>26</v>
      </c>
      <c r="J1421" s="117">
        <f t="shared" si="3"/>
        <v>26.01</v>
      </c>
      <c r="K1421" s="117" t="str">
        <f t="shared" si="4"/>
        <v>BR</v>
      </c>
      <c r="L1421" s="42" t="str">
        <v>BR2601</v>
      </c>
      <c r="M1421" s="121" t="str">
        <v/>
      </c>
      <c r="N1421" s="121" t="str">
        <v/>
      </c>
      <c r="O1421" s="121" t="str">
        <v/>
      </c>
      <c r="P1421" s="121" t="str">
        <v/>
      </c>
      <c r="Q1421" s="121" t="str">
        <v xml:space="preserve"> 7. </v>
      </c>
      <c r="R1421" s="121" t="str">
        <v>Maintain advertisement statistics per product category, meta-tag and search term.</v>
      </c>
      <c r="S1421" s="121" t="str">
        <v/>
      </c>
      <c r="T1421" s="119" t="str">
        <f>IF($C1421&lt;4,IF($C1421=3,T1422,IF($C1421=2,T$1,"")),Q1421&amp;R1421&amp;IF(LEN(S1421)=0,"",Preferences!$C$2&amp;S1421)&amp;IF(J1422=J1421,IF(LEN(R1421&amp;S1421)=0,"","
")&amp;T1422,""))</f>
        <v xml:space="preserve"> 7. Maintain advertisement statistics per product category, meta-tag and search term.</v>
      </c>
      <c r="U1421" s="122" t="str">
        <v/>
      </c>
      <c r="V1421" s="42"/>
      <c r="W1421" s="42"/>
      <c r="X1421" s="42"/>
      <c r="Y1421" s="42"/>
      <c r="Z1421" s="42"/>
      <c r="AA1421" s="42"/>
      <c r="AB1421" s="42"/>
    </row>
    <row r="1422" spans="1:28" x14ac:dyDescent="0.25">
      <c r="A1422" s="42" t="str">
        <v>1.26.2</v>
      </c>
      <c r="B1422" s="121" t="str">
        <v>26.2 Record product related activity</v>
      </c>
      <c r="C1422" s="41">
        <v>3</v>
      </c>
      <c r="D1422" s="41" t="str">
        <v>R</v>
      </c>
      <c r="E1422" s="117" t="str">
        <f t="shared" si="0"/>
        <v>R</v>
      </c>
      <c r="F1422" s="41" t="str">
        <v/>
      </c>
      <c r="G1422" s="41" t="str">
        <v/>
      </c>
      <c r="H1422" s="117">
        <f t="shared" si="1"/>
        <v>0</v>
      </c>
      <c r="I1422" s="117">
        <f t="shared" si="2"/>
        <v>26</v>
      </c>
      <c r="J1422" s="117">
        <f t="shared" si="3"/>
        <v>26.020000000000003</v>
      </c>
      <c r="K1422" s="117" t="str">
        <f t="shared" si="4"/>
        <v>BR</v>
      </c>
      <c r="L1422" s="42" t="str">
        <v>BR2602</v>
      </c>
      <c r="M1422" s="121" t="str">
        <v/>
      </c>
      <c r="N1422" s="121" t="str">
        <v/>
      </c>
      <c r="O1422" s="121" t="str">
        <v>BR2602</v>
      </c>
      <c r="P1422" s="121" t="str">
        <v>Record product related activity</v>
      </c>
      <c r="Q1422" s="121" t="str">
        <v/>
      </c>
      <c r="R1422" s="121" t="str">
        <v/>
      </c>
      <c r="S1422" s="121" t="str">
        <v/>
      </c>
      <c r="T1422" s="119" t="str">
        <f>IF($C1422&lt;4,IF($C1422=3,T1423,IF($C1422=2,T$1,"")),Q1422&amp;R1422&amp;IF(LEN(S1422)=0,"",Preferences!$C$2&amp;S1422)&amp;IF(J1423=J1422,IF(LEN(R1422&amp;S1422)=0,"","
")&amp;T1423,""))</f>
        <v xml:space="preserve"> 1. Collect online product click-through responses, per channel.
 2. Collect products listed in the online shop product search results.
 3. Collect online shop product search responses.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2" s="122" t="str">
        <v/>
      </c>
      <c r="V1422" s="42"/>
      <c r="W1422" s="42"/>
      <c r="X1422" s="42"/>
      <c r="Y1422" s="42"/>
      <c r="Z1422" s="42"/>
      <c r="AA1422" s="42"/>
      <c r="AB1422" s="42"/>
    </row>
    <row r="1423" spans="1:28" x14ac:dyDescent="0.25">
      <c r="A1423" s="42" t="str">
        <v>1.26.2.1</v>
      </c>
      <c r="B1423" s="121" t="str">
        <v>Collect online product click-through responses, per channel.</v>
      </c>
      <c r="C1423" s="41">
        <v>4</v>
      </c>
      <c r="D1423" s="41" t="str">
        <v>RD</v>
      </c>
      <c r="E1423" s="117" t="str">
        <f t="shared" si="0"/>
        <v>RD</v>
      </c>
      <c r="F1423" s="41" t="str">
        <v/>
      </c>
      <c r="G1423" s="41" t="str">
        <v/>
      </c>
      <c r="H1423" s="117">
        <f t="shared" si="1"/>
        <v>0</v>
      </c>
      <c r="I1423" s="117">
        <f t="shared" si="2"/>
        <v>26</v>
      </c>
      <c r="J1423" s="117">
        <f t="shared" si="3"/>
        <v>26.020000000000003</v>
      </c>
      <c r="K1423" s="117" t="str">
        <f t="shared" si="4"/>
        <v>BR</v>
      </c>
      <c r="L1423" s="42" t="str">
        <v>BR2602</v>
      </c>
      <c r="M1423" s="121" t="str">
        <v/>
      </c>
      <c r="N1423" s="121" t="str">
        <v/>
      </c>
      <c r="O1423" s="121" t="str">
        <v/>
      </c>
      <c r="P1423" s="121" t="str">
        <v/>
      </c>
      <c r="Q1423" s="121" t="str">
        <v xml:space="preserve"> 1. </v>
      </c>
      <c r="R1423" s="121" t="str">
        <v>Collect online product click-through responses, per channel.</v>
      </c>
      <c r="S1423" s="121" t="str">
        <v/>
      </c>
      <c r="T1423" s="119" t="str">
        <f>IF($C1423&lt;4,IF($C1423=3,T1424,IF($C1423=2,T$1,"")),Q1423&amp;R1423&amp;IF(LEN(S1423)=0,"",Preferences!$C$2&amp;S1423)&amp;IF(J1424=J1423,IF(LEN(R1423&amp;S1423)=0,"","
")&amp;T1424,""))</f>
        <v xml:space="preserve"> 1. Collect online product click-through responses, per channel.
 2. Collect products listed in the online shop product search results.
 3. Collect online shop product search responses.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3" s="122" t="str">
        <v/>
      </c>
      <c r="V1423" s="42"/>
      <c r="W1423" s="42"/>
      <c r="X1423" s="42"/>
      <c r="Y1423" s="42"/>
      <c r="Z1423" s="42"/>
      <c r="AA1423" s="42"/>
      <c r="AB1423" s="42"/>
    </row>
    <row r="1424" spans="1:28" x14ac:dyDescent="0.25">
      <c r="A1424" s="42" t="str">
        <v>1.26.2.2</v>
      </c>
      <c r="B1424" s="121" t="str">
        <v>Collect products listed in the online shop product search results.</v>
      </c>
      <c r="C1424" s="41">
        <v>4</v>
      </c>
      <c r="D1424" s="41" t="str">
        <v>RD</v>
      </c>
      <c r="E1424" s="117" t="str">
        <f t="shared" si="0"/>
        <v>RD</v>
      </c>
      <c r="F1424" s="41" t="str">
        <v/>
      </c>
      <c r="G1424" s="41" t="str">
        <v/>
      </c>
      <c r="H1424" s="117">
        <f t="shared" si="1"/>
        <v>0</v>
      </c>
      <c r="I1424" s="117">
        <f t="shared" si="2"/>
        <v>26</v>
      </c>
      <c r="J1424" s="117">
        <f t="shared" si="3"/>
        <v>26.020000000000003</v>
      </c>
      <c r="K1424" s="117" t="str">
        <f t="shared" si="4"/>
        <v>BR</v>
      </c>
      <c r="L1424" s="42" t="str">
        <v>BR2602</v>
      </c>
      <c r="M1424" s="121" t="str">
        <v/>
      </c>
      <c r="N1424" s="121" t="str">
        <v/>
      </c>
      <c r="O1424" s="121" t="str">
        <v/>
      </c>
      <c r="P1424" s="121" t="str">
        <v/>
      </c>
      <c r="Q1424" s="121" t="str">
        <v xml:space="preserve"> 2. </v>
      </c>
      <c r="R1424" s="121" t="str">
        <v>Collect products listed in the online shop product search results.</v>
      </c>
      <c r="S1424" s="121" t="str">
        <v/>
      </c>
      <c r="T1424" s="119" t="str">
        <f>IF($C1424&lt;4,IF($C1424=3,T1425,IF($C1424=2,T$1,"")),Q1424&amp;R1424&amp;IF(LEN(S1424)=0,"",Preferences!$C$2&amp;S1424)&amp;IF(J1425=J1424,IF(LEN(R1424&amp;S1424)=0,"","
")&amp;T1425,""))</f>
        <v xml:space="preserve"> 2. Collect products listed in the online shop product search results.
 3. Collect online shop product search responses.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4" s="122" t="str">
        <v/>
      </c>
      <c r="V1424" s="42"/>
      <c r="W1424" s="42"/>
      <c r="X1424" s="42"/>
      <c r="Y1424" s="42"/>
      <c r="Z1424" s="42"/>
      <c r="AA1424" s="42"/>
      <c r="AB1424" s="42"/>
    </row>
    <row r="1425" spans="1:28" x14ac:dyDescent="0.25">
      <c r="A1425" s="42" t="str">
        <v>1.26.2.3</v>
      </c>
      <c r="B1425" s="121" t="str">
        <v>Collect online shop product search responses.</v>
      </c>
      <c r="C1425" s="41">
        <v>4</v>
      </c>
      <c r="D1425" s="41" t="str">
        <v>RD</v>
      </c>
      <c r="E1425" s="117" t="str">
        <f t="shared" si="0"/>
        <v>RD</v>
      </c>
      <c r="F1425" s="41" t="str">
        <v/>
      </c>
      <c r="G1425" s="41" t="str">
        <v/>
      </c>
      <c r="H1425" s="117">
        <f t="shared" si="1"/>
        <v>0</v>
      </c>
      <c r="I1425" s="117">
        <f t="shared" si="2"/>
        <v>26</v>
      </c>
      <c r="J1425" s="117">
        <f t="shared" si="3"/>
        <v>26.020000000000003</v>
      </c>
      <c r="K1425" s="117" t="str">
        <f t="shared" si="4"/>
        <v>BR</v>
      </c>
      <c r="L1425" s="42" t="str">
        <v>BR2602</v>
      </c>
      <c r="M1425" s="121" t="str">
        <v/>
      </c>
      <c r="N1425" s="121" t="str">
        <v/>
      </c>
      <c r="O1425" s="121" t="str">
        <v/>
      </c>
      <c r="P1425" s="121" t="str">
        <v/>
      </c>
      <c r="Q1425" s="121" t="str">
        <v xml:space="preserve"> 3. </v>
      </c>
      <c r="R1425" s="121" t="str">
        <v>Collect online shop product search responses.</v>
      </c>
      <c r="S1425" s="121" t="str">
        <v/>
      </c>
      <c r="T1425" s="119" t="str">
        <f>IF($C1425&lt;4,IF($C1425=3,T1426,IF($C1425=2,T$1,"")),Q1425&amp;R1425&amp;IF(LEN(S1425)=0,"",Preferences!$C$2&amp;S1425)&amp;IF(J1426=J1425,IF(LEN(R1425&amp;S1425)=0,"","
")&amp;T1426,""))</f>
        <v xml:space="preserve"> 3. Collect online shop product search responses.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5" s="122" t="str">
        <v/>
      </c>
      <c r="V1425" s="42"/>
      <c r="W1425" s="42"/>
      <c r="X1425" s="42"/>
      <c r="Y1425" s="42"/>
      <c r="Z1425" s="42"/>
      <c r="AA1425" s="42"/>
      <c r="AB1425" s="42"/>
    </row>
    <row r="1426" spans="1:28" x14ac:dyDescent="0.25">
      <c r="A1426" s="42" t="str">
        <v>1.26.2.4</v>
      </c>
      <c r="B1426" s="121" t="str">
        <v>At least the following events are logged per channel for statistical and customer profiling purposes:</v>
      </c>
      <c r="C1426" s="41">
        <v>4</v>
      </c>
      <c r="D1426" s="41" t="str">
        <v>RD</v>
      </c>
      <c r="E1426" s="117" t="str">
        <f t="shared" si="0"/>
        <v>RD</v>
      </c>
      <c r="F1426" s="41" t="str">
        <v/>
      </c>
      <c r="G1426" s="41" t="str">
        <v/>
      </c>
      <c r="H1426" s="117">
        <f t="shared" si="1"/>
        <v>0</v>
      </c>
      <c r="I1426" s="117">
        <f t="shared" si="2"/>
        <v>26</v>
      </c>
      <c r="J1426" s="117">
        <f t="shared" si="3"/>
        <v>26.020000000000003</v>
      </c>
      <c r="K1426" s="117" t="str">
        <f t="shared" si="4"/>
        <v>BR</v>
      </c>
      <c r="L1426" s="42" t="str">
        <v>BR2602</v>
      </c>
      <c r="M1426" s="121" t="str">
        <v/>
      </c>
      <c r="N1426" s="121" t="str">
        <v/>
      </c>
      <c r="O1426" s="121" t="str">
        <v/>
      </c>
      <c r="P1426" s="121" t="str">
        <v/>
      </c>
      <c r="Q1426" s="121" t="str">
        <v xml:space="preserve"> 4. </v>
      </c>
      <c r="R1426" s="121" t="str">
        <v>At least the following events are logged per channel for statistical and customer profiling purposes:</v>
      </c>
      <c r="S1426" s="121" t="str">
        <v/>
      </c>
      <c r="T1426" s="119" t="str">
        <f>IF($C1426&lt;4,IF($C1426=3,T1427,IF($C1426=2,T$1,"")),Q1426&amp;R1426&amp;IF(LEN(S1426)=0,"",Preferences!$C$2&amp;S1426)&amp;IF(J1427=J1426,IF(LEN(R1426&amp;S1426)=0,"","
")&amp;T1427,""))</f>
        <v xml:space="preserve">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6" s="122" t="str">
        <v/>
      </c>
      <c r="V1426" s="42"/>
      <c r="W1426" s="42"/>
      <c r="X1426" s="42"/>
      <c r="Y1426" s="42"/>
      <c r="Z1426" s="42"/>
      <c r="AA1426" s="42"/>
      <c r="AB1426" s="42"/>
    </row>
    <row r="1427" spans="1:28" x14ac:dyDescent="0.25">
      <c r="A1427" s="42" t="str">
        <v>1.26.2.4.1</v>
      </c>
      <c r="B1427" s="121" t="str">
        <v>Method used to find the content (promoted, search, etc.).</v>
      </c>
      <c r="C1427" s="41">
        <v>5</v>
      </c>
      <c r="D1427" s="41" t="str">
        <v>RL</v>
      </c>
      <c r="E1427" s="117" t="str">
        <f t="shared" si="0"/>
        <v>RL</v>
      </c>
      <c r="F1427" s="41" t="str">
        <v/>
      </c>
      <c r="G1427" s="41" t="str">
        <v/>
      </c>
      <c r="H1427" s="117">
        <f t="shared" si="1"/>
        <v>0</v>
      </c>
      <c r="I1427" s="117">
        <f t="shared" si="2"/>
        <v>26</v>
      </c>
      <c r="J1427" s="117">
        <f t="shared" si="3"/>
        <v>26.020000000000003</v>
      </c>
      <c r="K1427" s="117" t="str">
        <f t="shared" si="4"/>
        <v>BR</v>
      </c>
      <c r="L1427" s="42" t="str">
        <v>BR2602</v>
      </c>
      <c r="M1427" s="121" t="str">
        <v/>
      </c>
      <c r="N1427" s="121" t="str">
        <v/>
      </c>
      <c r="O1427" s="121" t="str">
        <v/>
      </c>
      <c r="P1427" s="121" t="str">
        <v/>
      </c>
      <c r="Q1427" s="121" t="str">
        <v/>
      </c>
      <c r="R1427" s="121" t="str">
        <v/>
      </c>
      <c r="S1427" s="121" t="str">
        <v>Method used to find the content (promoted, search, etc.).</v>
      </c>
      <c r="T1427" s="119" t="str">
        <f>IF($C1427&lt;4,IF($C1427=3,T1428,IF($C1427=2,T$1,"")),Q1427&amp;R1427&amp;IF(LEN(S1427)=0,"",Preferences!$C$2&amp;S1427)&amp;IF(J1428=J1427,IF(LEN(R1427&amp;S1427)=0,"","
")&amp;T1428,""))</f>
        <v xml:space="preserve">	• Method used to find the content (promoted, search, etc.).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7" s="122" t="str">
        <v/>
      </c>
      <c r="V1427" s="42"/>
      <c r="W1427" s="42"/>
      <c r="X1427" s="42"/>
      <c r="Y1427" s="42"/>
      <c r="Z1427" s="42"/>
      <c r="AA1427" s="42"/>
      <c r="AB1427" s="42"/>
    </row>
    <row r="1428" spans="1:28" x14ac:dyDescent="0.25">
      <c r="A1428" s="42" t="str">
        <v>1.26.2.4.2</v>
      </c>
      <c r="B1428" s="121" t="str">
        <v>Advert click-through to online shop</v>
      </c>
      <c r="C1428" s="41">
        <v>5</v>
      </c>
      <c r="D1428" s="41" t="str">
        <v>RL</v>
      </c>
      <c r="E1428" s="117" t="str">
        <f t="shared" si="0"/>
        <v>RL</v>
      </c>
      <c r="F1428" s="41" t="str">
        <v/>
      </c>
      <c r="G1428" s="41" t="str">
        <v/>
      </c>
      <c r="H1428" s="117">
        <f t="shared" si="1"/>
        <v>0</v>
      </c>
      <c r="I1428" s="117">
        <f t="shared" si="2"/>
        <v>26</v>
      </c>
      <c r="J1428" s="117">
        <f t="shared" si="3"/>
        <v>26.020000000000003</v>
      </c>
      <c r="K1428" s="117" t="str">
        <f t="shared" si="4"/>
        <v>BR</v>
      </c>
      <c r="L1428" s="42" t="str">
        <v>BR2602</v>
      </c>
      <c r="M1428" s="121" t="str">
        <v/>
      </c>
      <c r="N1428" s="121" t="str">
        <v/>
      </c>
      <c r="O1428" s="121" t="str">
        <v/>
      </c>
      <c r="P1428" s="121" t="str">
        <v/>
      </c>
      <c r="Q1428" s="121" t="str">
        <v/>
      </c>
      <c r="R1428" s="121" t="str">
        <v/>
      </c>
      <c r="S1428" s="121" t="str">
        <v>Advert click-through to online shop</v>
      </c>
      <c r="T1428" s="119" t="str">
        <f>IF($C1428&lt;4,IF($C1428=3,T1429,IF($C1428=2,T$1,"")),Q1428&amp;R1428&amp;IF(LEN(S1428)=0,"",Preferences!$C$2&amp;S1428)&amp;IF(J1429=J1428,IF(LEN(R1428&amp;S1428)=0,"","
")&amp;T1429,""))</f>
        <v xml:space="preserve">	• Advert click-through to online shop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8" s="122" t="str">
        <v/>
      </c>
      <c r="V1428" s="42"/>
      <c r="W1428" s="42"/>
      <c r="X1428" s="42"/>
      <c r="Y1428" s="42"/>
      <c r="Z1428" s="42"/>
      <c r="AA1428" s="42"/>
      <c r="AB1428" s="42"/>
    </row>
    <row r="1429" spans="1:28" x14ac:dyDescent="0.25">
      <c r="A1429" s="42" t="str">
        <v>1.26.2.4.3</v>
      </c>
      <c r="B1429" s="121" t="str">
        <v>Display teaser (banner, teaser, online shop search results/internet search, etc.)</v>
      </c>
      <c r="C1429" s="41">
        <v>5</v>
      </c>
      <c r="D1429" s="41" t="str">
        <v>RL</v>
      </c>
      <c r="E1429" s="117" t="str">
        <f t="shared" si="0"/>
        <v>RL</v>
      </c>
      <c r="F1429" s="41" t="str">
        <v/>
      </c>
      <c r="G1429" s="41" t="str">
        <v/>
      </c>
      <c r="H1429" s="117">
        <f t="shared" si="1"/>
        <v>0</v>
      </c>
      <c r="I1429" s="117">
        <f t="shared" si="2"/>
        <v>26</v>
      </c>
      <c r="J1429" s="117">
        <f t="shared" si="3"/>
        <v>26.020000000000003</v>
      </c>
      <c r="K1429" s="117" t="str">
        <f t="shared" si="4"/>
        <v>BR</v>
      </c>
      <c r="L1429" s="42" t="str">
        <v>BR2602</v>
      </c>
      <c r="M1429" s="121" t="str">
        <v/>
      </c>
      <c r="N1429" s="121" t="str">
        <v/>
      </c>
      <c r="O1429" s="121" t="str">
        <v/>
      </c>
      <c r="P1429" s="121" t="str">
        <v/>
      </c>
      <c r="Q1429" s="121" t="str">
        <v/>
      </c>
      <c r="R1429" s="121" t="str">
        <v/>
      </c>
      <c r="S1429" s="121" t="str">
        <v>Display teaser (banner, teaser, online shop search results/internet search, etc.)</v>
      </c>
      <c r="T1429" s="119" t="str">
        <f>IF($C1429&lt;4,IF($C1429=3,T1430,IF($C1429=2,T$1,"")),Q1429&amp;R1429&amp;IF(LEN(S1429)=0,"",Preferences!$C$2&amp;S1429)&amp;IF(J1430=J1429,IF(LEN(R1429&amp;S1429)=0,"","
")&amp;T1430,""))</f>
        <v xml:space="preserve">	• Display teaser (banner, teaser, online shop search results/internet search, etc.)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29" s="122" t="str">
        <v/>
      </c>
      <c r="V1429" s="42"/>
      <c r="W1429" s="42"/>
      <c r="X1429" s="42"/>
      <c r="Y1429" s="42"/>
      <c r="Z1429" s="42"/>
      <c r="AA1429" s="42"/>
      <c r="AB1429" s="42"/>
    </row>
    <row r="1430" spans="1:28" x14ac:dyDescent="0.25">
      <c r="A1430" s="42" t="str">
        <v>1.26.2.4.4</v>
      </c>
      <c r="B1430" s="121" t="str">
        <v>Display full content</v>
      </c>
      <c r="C1430" s="41">
        <v>5</v>
      </c>
      <c r="D1430" s="41" t="str">
        <v>RL</v>
      </c>
      <c r="E1430" s="117" t="str">
        <f t="shared" si="0"/>
        <v>RL</v>
      </c>
      <c r="F1430" s="41" t="str">
        <v/>
      </c>
      <c r="G1430" s="41" t="str">
        <v/>
      </c>
      <c r="H1430" s="117">
        <f t="shared" si="1"/>
        <v>0</v>
      </c>
      <c r="I1430" s="117">
        <f t="shared" si="2"/>
        <v>26</v>
      </c>
      <c r="J1430" s="117">
        <f t="shared" si="3"/>
        <v>26.020000000000003</v>
      </c>
      <c r="K1430" s="117" t="str">
        <f t="shared" si="4"/>
        <v>BR</v>
      </c>
      <c r="L1430" s="42" t="str">
        <v>BR2602</v>
      </c>
      <c r="M1430" s="121" t="str">
        <v/>
      </c>
      <c r="N1430" s="121" t="str">
        <v/>
      </c>
      <c r="O1430" s="121" t="str">
        <v/>
      </c>
      <c r="P1430" s="121" t="str">
        <v/>
      </c>
      <c r="Q1430" s="121" t="str">
        <v/>
      </c>
      <c r="R1430" s="121" t="str">
        <v/>
      </c>
      <c r="S1430" s="121" t="str">
        <v>Display full content</v>
      </c>
      <c r="T1430" s="119" t="str">
        <f>IF($C1430&lt;4,IF($C1430=3,T1431,IF($C1430=2,T$1,"")),Q1430&amp;R1430&amp;IF(LEN(S1430)=0,"",Preferences!$C$2&amp;S1430)&amp;IF(J1431=J1430,IF(LEN(R1430&amp;S1430)=0,"","
")&amp;T1431,""))</f>
        <v xml:space="preserve">	• Display full content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30" s="122" t="str">
        <v/>
      </c>
      <c r="V1430" s="42"/>
      <c r="W1430" s="42"/>
      <c r="X1430" s="42"/>
      <c r="Y1430" s="42"/>
      <c r="Z1430" s="42"/>
      <c r="AA1430" s="42"/>
      <c r="AB1430" s="42"/>
    </row>
    <row r="1431" spans="1:28" x14ac:dyDescent="0.25">
      <c r="A1431" s="42" t="str">
        <v>1.26.2.4.5</v>
      </c>
      <c r="B1431" s="121" t="str">
        <v>Add/remove advertised product from the user favourites, or wish lists</v>
      </c>
      <c r="C1431" s="41">
        <v>5</v>
      </c>
      <c r="D1431" s="41" t="str">
        <v>RL</v>
      </c>
      <c r="E1431" s="117" t="str">
        <f t="shared" si="0"/>
        <v>RL</v>
      </c>
      <c r="F1431" s="41" t="str">
        <v/>
      </c>
      <c r="G1431" s="41" t="str">
        <v/>
      </c>
      <c r="H1431" s="117">
        <f t="shared" si="1"/>
        <v>0</v>
      </c>
      <c r="I1431" s="117">
        <f t="shared" si="2"/>
        <v>26</v>
      </c>
      <c r="J1431" s="117">
        <f t="shared" si="3"/>
        <v>26.020000000000003</v>
      </c>
      <c r="K1431" s="117" t="str">
        <f t="shared" si="4"/>
        <v>BR</v>
      </c>
      <c r="L1431" s="42" t="str">
        <v>BR2602</v>
      </c>
      <c r="M1431" s="121" t="str">
        <v/>
      </c>
      <c r="N1431" s="121" t="str">
        <v/>
      </c>
      <c r="O1431" s="121" t="str">
        <v/>
      </c>
      <c r="P1431" s="121" t="str">
        <v/>
      </c>
      <c r="Q1431" s="121" t="str">
        <v/>
      </c>
      <c r="R1431" s="121" t="str">
        <v/>
      </c>
      <c r="S1431" s="121" t="str">
        <v>Add/remove advertised product from the user favourites, or wish lists</v>
      </c>
      <c r="T1431" s="119" t="str">
        <f>IF($C1431&lt;4,IF($C1431=3,T1432,IF($C1431=2,T$1,"")),Q1431&amp;R1431&amp;IF(LEN(S1431)=0,"",Preferences!$C$2&amp;S1431)&amp;IF(J1432=J1431,IF(LEN(R1431&amp;S1431)=0,"","
")&amp;T1432,""))</f>
        <v xml:space="preserve">	• Add/remove advertised product from the user favourites, or wish lists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31" s="122" t="str">
        <v/>
      </c>
      <c r="V1431" s="42"/>
      <c r="W1431" s="42"/>
      <c r="X1431" s="42"/>
      <c r="Y1431" s="42"/>
      <c r="Z1431" s="42"/>
      <c r="AA1431" s="42"/>
      <c r="AB1431" s="42"/>
    </row>
    <row r="1432" spans="1:28" x14ac:dyDescent="0.25">
      <c r="A1432" s="42" t="str">
        <v>1.26.2.4.6</v>
      </c>
      <c r="B1432" s="121" t="str">
        <v>Add/remove advertised product from the shopping cart</v>
      </c>
      <c r="C1432" s="41">
        <v>5</v>
      </c>
      <c r="D1432" s="41" t="str">
        <v>RL</v>
      </c>
      <c r="E1432" s="117" t="str">
        <f t="shared" si="0"/>
        <v>RL</v>
      </c>
      <c r="F1432" s="41" t="str">
        <v/>
      </c>
      <c r="G1432" s="41" t="str">
        <v/>
      </c>
      <c r="H1432" s="117">
        <f t="shared" si="1"/>
        <v>0</v>
      </c>
      <c r="I1432" s="117">
        <f t="shared" si="2"/>
        <v>26</v>
      </c>
      <c r="J1432" s="117">
        <f t="shared" si="3"/>
        <v>26.020000000000003</v>
      </c>
      <c r="K1432" s="117" t="str">
        <f t="shared" si="4"/>
        <v>BR</v>
      </c>
      <c r="L1432" s="42" t="str">
        <v>BR2602</v>
      </c>
      <c r="M1432" s="121" t="str">
        <v/>
      </c>
      <c r="N1432" s="121" t="str">
        <v/>
      </c>
      <c r="O1432" s="121" t="str">
        <v/>
      </c>
      <c r="P1432" s="121" t="str">
        <v/>
      </c>
      <c r="Q1432" s="121" t="str">
        <v/>
      </c>
      <c r="R1432" s="121" t="str">
        <v/>
      </c>
      <c r="S1432" s="121" t="str">
        <v>Add/remove advertised product from the shopping cart</v>
      </c>
      <c r="T1432" s="119" t="str">
        <f>IF($C1432&lt;4,IF($C1432=3,T1433,IF($C1432=2,T$1,"")),Q1432&amp;R1432&amp;IF(LEN(S1432)=0,"",Preferences!$C$2&amp;S1432)&amp;IF(J1433=J1432,IF(LEN(R1432&amp;S1432)=0,"","
")&amp;T1433,""))</f>
        <v xml:space="preserve">	• Add/remove advertised product from the shopping cart
	• Purchase advertised product (online payment processed)
 5. Reconcile all collected data for each product and promotion.
 6. Maintain product statistics per campaign, advertisement and channel.
 7. Maintain product statistics per product category, meta-tag and search term.</v>
      </c>
      <c r="U1432" s="122" t="str">
        <v/>
      </c>
      <c r="V1432" s="42"/>
      <c r="W1432" s="42"/>
      <c r="X1432" s="42"/>
      <c r="Y1432" s="42"/>
      <c r="Z1432" s="42"/>
      <c r="AA1432" s="42"/>
      <c r="AB1432" s="42"/>
    </row>
    <row r="1433" spans="1:28" x14ac:dyDescent="0.25">
      <c r="A1433" s="42" t="str">
        <v>1.26.2.4.7</v>
      </c>
      <c r="B1433" s="121" t="str">
        <v>Purchase advertised product (online payment processed)</v>
      </c>
      <c r="C1433" s="41">
        <v>5</v>
      </c>
      <c r="D1433" s="41" t="str">
        <v>RL</v>
      </c>
      <c r="E1433" s="117" t="str">
        <f t="shared" si="0"/>
        <v>RL</v>
      </c>
      <c r="F1433" s="41" t="str">
        <v/>
      </c>
      <c r="G1433" s="41" t="str">
        <v/>
      </c>
      <c r="H1433" s="117">
        <f t="shared" si="1"/>
        <v>0</v>
      </c>
      <c r="I1433" s="117">
        <f t="shared" si="2"/>
        <v>26</v>
      </c>
      <c r="J1433" s="117">
        <f t="shared" si="3"/>
        <v>26.020000000000003</v>
      </c>
      <c r="K1433" s="117" t="str">
        <f t="shared" si="4"/>
        <v>BR</v>
      </c>
      <c r="L1433" s="42" t="str">
        <v>BR2602</v>
      </c>
      <c r="M1433" s="121" t="str">
        <v/>
      </c>
      <c r="N1433" s="121" t="str">
        <v/>
      </c>
      <c r="O1433" s="121" t="str">
        <v/>
      </c>
      <c r="P1433" s="121" t="str">
        <v/>
      </c>
      <c r="Q1433" s="121" t="str">
        <v/>
      </c>
      <c r="R1433" s="121" t="str">
        <v/>
      </c>
      <c r="S1433" s="121" t="str">
        <v>Purchase advertised product (online payment processed)</v>
      </c>
      <c r="T1433" s="119" t="str">
        <f>IF($C1433&lt;4,IF($C1433=3,T1434,IF($C1433=2,T$1,"")),Q1433&amp;R1433&amp;IF(LEN(S1433)=0,"",Preferences!$C$2&amp;S1433)&amp;IF(J1434=J1433,IF(LEN(R1433&amp;S1433)=0,"","
")&amp;T1434,""))</f>
        <v xml:space="preserve">	• Purchase advertised product (online payment processed)
 5. Reconcile all collected data for each product and promotion.
 6. Maintain product statistics per campaign, advertisement and channel.
 7. Maintain product statistics per product category, meta-tag and search term.</v>
      </c>
      <c r="U1433" s="122" t="str">
        <v/>
      </c>
      <c r="V1433" s="42"/>
      <c r="W1433" s="42"/>
      <c r="X1433" s="42"/>
      <c r="Y1433" s="42"/>
      <c r="Z1433" s="42"/>
      <c r="AA1433" s="42"/>
      <c r="AB1433" s="42"/>
    </row>
    <row r="1434" spans="1:28" x14ac:dyDescent="0.25">
      <c r="A1434" s="42" t="str">
        <v>1.26.2.5</v>
      </c>
      <c r="B1434" s="121" t="str">
        <v>Reconcile all collected data for each product and promotion.</v>
      </c>
      <c r="C1434" s="41">
        <v>4</v>
      </c>
      <c r="D1434" s="41" t="str">
        <v>RD</v>
      </c>
      <c r="E1434" s="117" t="str">
        <f t="shared" si="0"/>
        <v>RD</v>
      </c>
      <c r="F1434" s="41" t="str">
        <v/>
      </c>
      <c r="G1434" s="41" t="str">
        <v/>
      </c>
      <c r="H1434" s="117">
        <f t="shared" si="1"/>
        <v>0</v>
      </c>
      <c r="I1434" s="117">
        <f t="shared" si="2"/>
        <v>26</v>
      </c>
      <c r="J1434" s="117">
        <f t="shared" si="3"/>
        <v>26.020000000000003</v>
      </c>
      <c r="K1434" s="117" t="str">
        <f t="shared" si="4"/>
        <v>BR</v>
      </c>
      <c r="L1434" s="42" t="str">
        <v>BR2602</v>
      </c>
      <c r="M1434" s="121" t="str">
        <v/>
      </c>
      <c r="N1434" s="121" t="str">
        <v/>
      </c>
      <c r="O1434" s="121" t="str">
        <v/>
      </c>
      <c r="P1434" s="121" t="str">
        <v/>
      </c>
      <c r="Q1434" s="121" t="str">
        <v xml:space="preserve"> 5. </v>
      </c>
      <c r="R1434" s="121" t="str">
        <v>Reconcile all collected data for each product and promotion.</v>
      </c>
      <c r="S1434" s="121" t="str">
        <v/>
      </c>
      <c r="T1434" s="119" t="str">
        <f>IF($C1434&lt;4,IF($C1434=3,T1435,IF($C1434=2,T$1,"")),Q1434&amp;R1434&amp;IF(LEN(S1434)=0,"",Preferences!$C$2&amp;S1434)&amp;IF(J1435=J1434,IF(LEN(R1434&amp;S1434)=0,"","
")&amp;T1435,""))</f>
        <v xml:space="preserve"> 5. Reconcile all collected data for each product and promotion.
 6. Maintain product statistics per campaign, advertisement and channel.
 7. Maintain product statistics per product category, meta-tag and search term.</v>
      </c>
      <c r="U1434" s="122" t="str">
        <v/>
      </c>
      <c r="V1434" s="42"/>
      <c r="W1434" s="42"/>
      <c r="X1434" s="42"/>
      <c r="Y1434" s="42"/>
      <c r="Z1434" s="42"/>
      <c r="AA1434" s="42"/>
      <c r="AB1434" s="42"/>
    </row>
    <row r="1435" spans="1:28" x14ac:dyDescent="0.25">
      <c r="A1435" s="42" t="str">
        <v>1.26.2.6</v>
      </c>
      <c r="B1435" s="121" t="str">
        <v>Maintain product statistics per campaign, advertisement and channel.</v>
      </c>
      <c r="C1435" s="41">
        <v>4</v>
      </c>
      <c r="D1435" s="41" t="str">
        <v>RD</v>
      </c>
      <c r="E1435" s="117" t="str">
        <f t="shared" si="0"/>
        <v>RD</v>
      </c>
      <c r="F1435" s="41" t="str">
        <v/>
      </c>
      <c r="G1435" s="41" t="str">
        <v/>
      </c>
      <c r="H1435" s="117">
        <f t="shared" si="1"/>
        <v>0</v>
      </c>
      <c r="I1435" s="117">
        <f t="shared" si="2"/>
        <v>26</v>
      </c>
      <c r="J1435" s="117">
        <f t="shared" si="3"/>
        <v>26.020000000000003</v>
      </c>
      <c r="K1435" s="117" t="str">
        <f t="shared" si="4"/>
        <v>BR</v>
      </c>
      <c r="L1435" s="42" t="str">
        <v>BR2602</v>
      </c>
      <c r="M1435" s="121" t="str">
        <v/>
      </c>
      <c r="N1435" s="121" t="str">
        <v/>
      </c>
      <c r="O1435" s="121" t="str">
        <v/>
      </c>
      <c r="P1435" s="121" t="str">
        <v/>
      </c>
      <c r="Q1435" s="121" t="str">
        <v xml:space="preserve"> 6. </v>
      </c>
      <c r="R1435" s="121" t="str">
        <v>Maintain product statistics per campaign, advertisement and channel.</v>
      </c>
      <c r="S1435" s="121" t="str">
        <v/>
      </c>
      <c r="T1435" s="119" t="str">
        <f>IF($C1435&lt;4,IF($C1435=3,T1436,IF($C1435=2,T$1,"")),Q1435&amp;R1435&amp;IF(LEN(S1435)=0,"",Preferences!$C$2&amp;S1435)&amp;IF(J1436=J1435,IF(LEN(R1435&amp;S1435)=0,"","
")&amp;T1436,""))</f>
        <v xml:space="preserve"> 6. Maintain product statistics per campaign, advertisement and channel.
 7. Maintain product statistics per product category, meta-tag and search term.</v>
      </c>
      <c r="U1435" s="122" t="str">
        <v/>
      </c>
      <c r="V1435" s="42"/>
      <c r="W1435" s="42"/>
      <c r="X1435" s="42"/>
      <c r="Y1435" s="42"/>
      <c r="Z1435" s="42"/>
      <c r="AA1435" s="42"/>
      <c r="AB1435" s="42"/>
    </row>
    <row r="1436" spans="1:28" x14ac:dyDescent="0.25">
      <c r="A1436" s="42" t="str">
        <v>1.26.2.7</v>
      </c>
      <c r="B1436" s="121" t="str">
        <v>Maintain product statistics per product category, meta-tag and search term.</v>
      </c>
      <c r="C1436" s="41">
        <v>4</v>
      </c>
      <c r="D1436" s="41" t="str">
        <v>RD</v>
      </c>
      <c r="E1436" s="117" t="str">
        <f t="shared" si="0"/>
        <v>RD</v>
      </c>
      <c r="F1436" s="41" t="str">
        <v/>
      </c>
      <c r="G1436" s="41" t="str">
        <v/>
      </c>
      <c r="H1436" s="117">
        <f t="shared" si="1"/>
        <v>0</v>
      </c>
      <c r="I1436" s="117">
        <f t="shared" si="2"/>
        <v>26</v>
      </c>
      <c r="J1436" s="117">
        <f t="shared" si="3"/>
        <v>26.020000000000003</v>
      </c>
      <c r="K1436" s="117" t="str">
        <f t="shared" si="4"/>
        <v>BR</v>
      </c>
      <c r="L1436" s="42" t="str">
        <v>BR2602</v>
      </c>
      <c r="M1436" s="121" t="str">
        <v/>
      </c>
      <c r="N1436" s="121" t="str">
        <v/>
      </c>
      <c r="O1436" s="121" t="str">
        <v/>
      </c>
      <c r="P1436" s="121" t="str">
        <v/>
      </c>
      <c r="Q1436" s="121" t="str">
        <v xml:space="preserve"> 7. </v>
      </c>
      <c r="R1436" s="121" t="str">
        <v>Maintain product statistics per product category, meta-tag and search term.</v>
      </c>
      <c r="S1436" s="121" t="str">
        <v/>
      </c>
      <c r="T1436" s="119" t="str">
        <f>IF($C1436&lt;4,IF($C1436=3,T1437,IF($C1436=2,T$1,"")),Q1436&amp;R1436&amp;IF(LEN(S1436)=0,"",Preferences!$C$2&amp;S1436)&amp;IF(J1437=J1436,IF(LEN(R1436&amp;S1436)=0,"","
")&amp;T1437,""))</f>
        <v xml:space="preserve"> 7. Maintain product statistics per product category, meta-tag and search term.</v>
      </c>
      <c r="U1436" s="122" t="str">
        <v/>
      </c>
      <c r="V1436" s="42"/>
      <c r="W1436" s="42"/>
      <c r="X1436" s="42"/>
      <c r="Y1436" s="42"/>
      <c r="Z1436" s="42"/>
      <c r="AA1436" s="42"/>
      <c r="AB1436" s="42"/>
    </row>
    <row r="1437" spans="1:28" x14ac:dyDescent="0.25">
      <c r="A1437" s="42" t="str">
        <v>1.26.3</v>
      </c>
      <c r="B1437" s="121" t="str">
        <v>26.3 Record special content related activity</v>
      </c>
      <c r="C1437" s="41">
        <v>3</v>
      </c>
      <c r="D1437" s="41" t="str">
        <v>R</v>
      </c>
      <c r="E1437" s="117" t="str">
        <f t="shared" si="0"/>
        <v>R</v>
      </c>
      <c r="F1437" s="41" t="str">
        <v/>
      </c>
      <c r="G1437" s="41" t="str">
        <v/>
      </c>
      <c r="H1437" s="117">
        <f t="shared" si="1"/>
        <v>0</v>
      </c>
      <c r="I1437" s="117">
        <f t="shared" si="2"/>
        <v>26</v>
      </c>
      <c r="J1437" s="117">
        <f t="shared" si="3"/>
        <v>26.030000000000005</v>
      </c>
      <c r="K1437" s="117" t="str">
        <f t="shared" si="4"/>
        <v>BR</v>
      </c>
      <c r="L1437" s="42" t="str">
        <v>BR2603</v>
      </c>
      <c r="M1437" s="121" t="str">
        <v/>
      </c>
      <c r="N1437" s="121" t="str">
        <v/>
      </c>
      <c r="O1437" s="121" t="str">
        <v>BR2603</v>
      </c>
      <c r="P1437" s="121" t="str">
        <v>Record special content related activity</v>
      </c>
      <c r="Q1437" s="121" t="str">
        <v/>
      </c>
      <c r="R1437" s="121" t="str">
        <v/>
      </c>
      <c r="S1437" s="121" t="str">
        <v/>
      </c>
      <c r="T1437" s="119" t="str">
        <f>IF($C1437&lt;4,IF($C1437=3,T1438,IF($C1437=2,T$1,"")),Q1437&amp;R1437&amp;IF(LEN(S1437)=0,"",Preferences!$C$2&amp;S1437)&amp;IF(J1438=J1437,IF(LEN(R1437&amp;S1437)=0,"","
")&amp;T1438,""))</f>
        <v xml:space="preserve"> 1. Collect online (other than online shop) special content presentations, per format and channel.
 2. Collect advertisements promoted in the online shop, per presentation format.
 3. Collect articles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37" s="122" t="str">
        <v/>
      </c>
      <c r="V1437" s="42"/>
      <c r="W1437" s="42"/>
      <c r="X1437" s="42"/>
      <c r="Y1437" s="42"/>
      <c r="Z1437" s="42"/>
      <c r="AA1437" s="42"/>
      <c r="AB1437" s="42"/>
    </row>
    <row r="1438" spans="1:28" x14ac:dyDescent="0.25">
      <c r="A1438" s="42" t="str">
        <v>1.26.3.1</v>
      </c>
      <c r="B1438" s="121" t="str">
        <v>Collect online (other than online shop) special content presentations, per format and channel.</v>
      </c>
      <c r="C1438" s="41">
        <v>4</v>
      </c>
      <c r="D1438" s="41" t="str">
        <v>RD</v>
      </c>
      <c r="E1438" s="117" t="str">
        <f t="shared" si="0"/>
        <v>RD</v>
      </c>
      <c r="F1438" s="41" t="str">
        <v/>
      </c>
      <c r="G1438" s="41" t="str">
        <v/>
      </c>
      <c r="H1438" s="117">
        <f t="shared" si="1"/>
        <v>0</v>
      </c>
      <c r="I1438" s="117">
        <f t="shared" si="2"/>
        <v>26</v>
      </c>
      <c r="J1438" s="117">
        <f t="shared" si="3"/>
        <v>26.030000000000005</v>
      </c>
      <c r="K1438" s="117" t="str">
        <f t="shared" si="4"/>
        <v>BR</v>
      </c>
      <c r="L1438" s="42" t="str">
        <v>BR2603</v>
      </c>
      <c r="M1438" s="121" t="str">
        <v/>
      </c>
      <c r="N1438" s="121" t="str">
        <v/>
      </c>
      <c r="O1438" s="121" t="str">
        <v/>
      </c>
      <c r="P1438" s="121" t="str">
        <v/>
      </c>
      <c r="Q1438" s="121" t="str">
        <v xml:space="preserve"> 1. </v>
      </c>
      <c r="R1438" s="121" t="str">
        <v>Collect online (other than online shop) special content presentations, per format and channel.</v>
      </c>
      <c r="S1438" s="121" t="str">
        <v/>
      </c>
      <c r="T1438" s="119" t="str">
        <f>IF($C1438&lt;4,IF($C1438=3,T1439,IF($C1438=2,T$1,"")),Q1438&amp;R1438&amp;IF(LEN(S1438)=0,"",Preferences!$C$2&amp;S1438)&amp;IF(J1439=J1438,IF(LEN(R1438&amp;S1438)=0,"","
")&amp;T1439,""))</f>
        <v xml:space="preserve"> 1. Collect online (other than online shop) special content presentations, per format and channel.
 2. Collect advertisements promoted in the online shop, per presentation format.
 3. Collect articles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38" s="122" t="str">
        <v/>
      </c>
      <c r="V1438" s="42"/>
      <c r="W1438" s="42"/>
      <c r="X1438" s="42"/>
      <c r="Y1438" s="42"/>
      <c r="Z1438" s="42"/>
      <c r="AA1438" s="42"/>
      <c r="AB1438" s="42"/>
    </row>
    <row r="1439" spans="1:28" x14ac:dyDescent="0.25">
      <c r="A1439" s="42" t="str">
        <v>1.26.3.2</v>
      </c>
      <c r="B1439" s="121" t="str">
        <v>Collect advertisements promoted in the online shop, per presentation format.</v>
      </c>
      <c r="C1439" s="41">
        <v>4</v>
      </c>
      <c r="D1439" s="41" t="str">
        <v>RD</v>
      </c>
      <c r="E1439" s="117" t="str">
        <f t="shared" si="0"/>
        <v>RD</v>
      </c>
      <c r="F1439" s="41" t="str">
        <v/>
      </c>
      <c r="G1439" s="41" t="str">
        <v/>
      </c>
      <c r="H1439" s="117">
        <f t="shared" si="1"/>
        <v>0</v>
      </c>
      <c r="I1439" s="117">
        <f t="shared" si="2"/>
        <v>26</v>
      </c>
      <c r="J1439" s="117">
        <f t="shared" si="3"/>
        <v>26.030000000000005</v>
      </c>
      <c r="K1439" s="117" t="str">
        <f t="shared" si="4"/>
        <v>BR</v>
      </c>
      <c r="L1439" s="42" t="str">
        <v>BR2603</v>
      </c>
      <c r="M1439" s="121" t="str">
        <v/>
      </c>
      <c r="N1439" s="121" t="str">
        <v/>
      </c>
      <c r="O1439" s="121" t="str">
        <v/>
      </c>
      <c r="P1439" s="121" t="str">
        <v/>
      </c>
      <c r="Q1439" s="121" t="str">
        <v xml:space="preserve"> 2. </v>
      </c>
      <c r="R1439" s="121" t="str">
        <v>Collect advertisements promoted in the online shop, per presentation format.</v>
      </c>
      <c r="S1439" s="121" t="str">
        <v/>
      </c>
      <c r="T1439" s="119" t="str">
        <f>IF($C1439&lt;4,IF($C1439=3,T1440,IF($C1439=2,T$1,"")),Q1439&amp;R1439&amp;IF(LEN(S1439)=0,"",Preferences!$C$2&amp;S1439)&amp;IF(J1440=J1439,IF(LEN(R1439&amp;S1439)=0,"","
")&amp;T1440,""))</f>
        <v xml:space="preserve"> 2. Collect advertisements promoted in the online shop, per presentation format.
 3. Collect articles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39" s="122" t="str">
        <v/>
      </c>
      <c r="V1439" s="42"/>
      <c r="W1439" s="42"/>
      <c r="X1439" s="42"/>
      <c r="Y1439" s="42"/>
      <c r="Z1439" s="42"/>
      <c r="AA1439" s="42"/>
      <c r="AB1439" s="42"/>
    </row>
    <row r="1440" spans="1:28" x14ac:dyDescent="0.25">
      <c r="A1440" s="42" t="str">
        <v>1.26.3.3</v>
      </c>
      <c r="B1440" s="121" t="str">
        <v>Collect articles listed in the online shop product search results.</v>
      </c>
      <c r="C1440" s="41">
        <v>4</v>
      </c>
      <c r="D1440" s="41" t="str">
        <v>RD</v>
      </c>
      <c r="E1440" s="117" t="str">
        <f t="shared" si="0"/>
        <v>RD</v>
      </c>
      <c r="F1440" s="41" t="str">
        <v/>
      </c>
      <c r="G1440" s="41" t="str">
        <v/>
      </c>
      <c r="H1440" s="117">
        <f t="shared" si="1"/>
        <v>0</v>
      </c>
      <c r="I1440" s="117">
        <f t="shared" si="2"/>
        <v>26</v>
      </c>
      <c r="J1440" s="117">
        <f t="shared" si="3"/>
        <v>26.030000000000005</v>
      </c>
      <c r="K1440" s="117" t="str">
        <f t="shared" si="4"/>
        <v>BR</v>
      </c>
      <c r="L1440" s="42" t="str">
        <v>BR2603</v>
      </c>
      <c r="M1440" s="121" t="str">
        <v/>
      </c>
      <c r="N1440" s="121" t="str">
        <v/>
      </c>
      <c r="O1440" s="121" t="str">
        <v/>
      </c>
      <c r="P1440" s="121" t="str">
        <v/>
      </c>
      <c r="Q1440" s="121" t="str">
        <v xml:space="preserve"> 3. </v>
      </c>
      <c r="R1440" s="121" t="str">
        <v>Collect articles listed in the online shop product search results.</v>
      </c>
      <c r="S1440" s="121" t="str">
        <v/>
      </c>
      <c r="T1440" s="119" t="str">
        <f>IF($C1440&lt;4,IF($C1440=3,T1441,IF($C1440=2,T$1,"")),Q1440&amp;R1440&amp;IF(LEN(S1440)=0,"",Preferences!$C$2&amp;S1440)&amp;IF(J1441=J1440,IF(LEN(R1440&amp;S1440)=0,"","
")&amp;T1441,""))</f>
        <v xml:space="preserve"> 3. Collect articles listed in the online shop product search results.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0" s="122" t="str">
        <v/>
      </c>
      <c r="V1440" s="42"/>
      <c r="W1440" s="42"/>
      <c r="X1440" s="42"/>
      <c r="Y1440" s="42"/>
      <c r="Z1440" s="42"/>
      <c r="AA1440" s="42"/>
      <c r="AB1440" s="42"/>
    </row>
    <row r="1441" spans="1:28" x14ac:dyDescent="0.25">
      <c r="A1441" s="42" t="str">
        <v>1.26.3.4</v>
      </c>
      <c r="B1441" s="121" t="str">
        <v>At least the following events are logged per channel for statistical and customer profiling purposes:</v>
      </c>
      <c r="C1441" s="41">
        <v>4</v>
      </c>
      <c r="D1441" s="41" t="str">
        <v>RD</v>
      </c>
      <c r="E1441" s="117" t="str">
        <f t="shared" si="0"/>
        <v>RD</v>
      </c>
      <c r="F1441" s="41" t="str">
        <v/>
      </c>
      <c r="G1441" s="41" t="str">
        <v/>
      </c>
      <c r="H1441" s="117">
        <f t="shared" si="1"/>
        <v>0</v>
      </c>
      <c r="I1441" s="117">
        <f t="shared" si="2"/>
        <v>26</v>
      </c>
      <c r="J1441" s="117">
        <f t="shared" si="3"/>
        <v>26.030000000000005</v>
      </c>
      <c r="K1441" s="117" t="str">
        <f t="shared" si="4"/>
        <v>BR</v>
      </c>
      <c r="L1441" s="42" t="str">
        <v>BR2603</v>
      </c>
      <c r="M1441" s="121" t="str">
        <v/>
      </c>
      <c r="N1441" s="121" t="str">
        <v/>
      </c>
      <c r="O1441" s="121" t="str">
        <v/>
      </c>
      <c r="P1441" s="121" t="str">
        <v/>
      </c>
      <c r="Q1441" s="121" t="str">
        <v xml:space="preserve"> 4. </v>
      </c>
      <c r="R1441" s="121" t="str">
        <v>At least the following events are logged per channel for statistical and customer profiling purposes:</v>
      </c>
      <c r="S1441" s="121" t="str">
        <v/>
      </c>
      <c r="T1441" s="119" t="str">
        <f>IF($C1441&lt;4,IF($C1441=3,T1442,IF($C1441=2,T$1,"")),Q1441&amp;R1441&amp;IF(LEN(S1441)=0,"",Preferences!$C$2&amp;S1441)&amp;IF(J1442=J1441,IF(LEN(R1441&amp;S1441)=0,"","
")&amp;T1442,""))</f>
        <v xml:space="preserve"> 4. At least the following events are logged per channel for statistical and customer profiling purposes: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1" s="122" t="str">
        <v/>
      </c>
      <c r="V1441" s="42"/>
      <c r="W1441" s="42"/>
      <c r="X1441" s="42"/>
      <c r="Y1441" s="42"/>
      <c r="Z1441" s="42"/>
      <c r="AA1441" s="42"/>
      <c r="AB1441" s="42"/>
    </row>
    <row r="1442" spans="1:28" x14ac:dyDescent="0.25">
      <c r="A1442" s="42" t="str">
        <v>1.26.3.4.1</v>
      </c>
      <c r="B1442" s="121" t="str">
        <v>Method used to find the content (promoted, search, etc.).</v>
      </c>
      <c r="C1442" s="41">
        <v>5</v>
      </c>
      <c r="D1442" s="41" t="str">
        <v>RL</v>
      </c>
      <c r="E1442" s="117" t="str">
        <f t="shared" si="0"/>
        <v>RL</v>
      </c>
      <c r="F1442" s="41" t="str">
        <v/>
      </c>
      <c r="G1442" s="41" t="str">
        <v/>
      </c>
      <c r="H1442" s="117">
        <f t="shared" si="1"/>
        <v>0</v>
      </c>
      <c r="I1442" s="117">
        <f t="shared" si="2"/>
        <v>26</v>
      </c>
      <c r="J1442" s="117">
        <f t="shared" si="3"/>
        <v>26.030000000000005</v>
      </c>
      <c r="K1442" s="117" t="str">
        <f t="shared" si="4"/>
        <v>BR</v>
      </c>
      <c r="L1442" s="42" t="str">
        <v>BR2603</v>
      </c>
      <c r="M1442" s="121" t="str">
        <v/>
      </c>
      <c r="N1442" s="121" t="str">
        <v/>
      </c>
      <c r="O1442" s="121" t="str">
        <v/>
      </c>
      <c r="P1442" s="121" t="str">
        <v/>
      </c>
      <c r="Q1442" s="121" t="str">
        <v/>
      </c>
      <c r="R1442" s="121" t="str">
        <v/>
      </c>
      <c r="S1442" s="121" t="str">
        <v>Method used to find the content (promoted, search, etc.).</v>
      </c>
      <c r="T1442" s="119" t="str">
        <f>IF($C1442&lt;4,IF($C1442=3,T1443,IF($C1442=2,T$1,"")),Q1442&amp;R1442&amp;IF(LEN(S1442)=0,"",Preferences!$C$2&amp;S1442)&amp;IF(J1443=J1442,IF(LEN(R1442&amp;S1442)=0,"","
")&amp;T1443,""))</f>
        <v xml:space="preserve">	• Method used to find the content (promoted, search, etc.).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2" s="122" t="str">
        <v/>
      </c>
      <c r="V1442" s="42"/>
      <c r="W1442" s="42"/>
      <c r="X1442" s="42"/>
      <c r="Y1442" s="42"/>
      <c r="Z1442" s="42"/>
      <c r="AA1442" s="42"/>
      <c r="AB1442" s="42"/>
    </row>
    <row r="1443" spans="1:28" x14ac:dyDescent="0.25">
      <c r="A1443" s="42" t="str">
        <v>1.26.3.4.2</v>
      </c>
      <c r="B1443" s="121" t="str">
        <v>Advert click-through to online shop</v>
      </c>
      <c r="C1443" s="41">
        <v>5</v>
      </c>
      <c r="D1443" s="41" t="str">
        <v>RL</v>
      </c>
      <c r="E1443" s="117" t="str">
        <f t="shared" si="0"/>
        <v>RL</v>
      </c>
      <c r="F1443" s="41" t="str">
        <v/>
      </c>
      <c r="G1443" s="41" t="str">
        <v/>
      </c>
      <c r="H1443" s="117">
        <f t="shared" si="1"/>
        <v>0</v>
      </c>
      <c r="I1443" s="117">
        <f t="shared" si="2"/>
        <v>26</v>
      </c>
      <c r="J1443" s="117">
        <f t="shared" si="3"/>
        <v>26.030000000000005</v>
      </c>
      <c r="K1443" s="117" t="str">
        <f t="shared" si="4"/>
        <v>BR</v>
      </c>
      <c r="L1443" s="42" t="str">
        <v>BR2603</v>
      </c>
      <c r="M1443" s="121" t="str">
        <v/>
      </c>
      <c r="N1443" s="121" t="str">
        <v/>
      </c>
      <c r="O1443" s="121" t="str">
        <v/>
      </c>
      <c r="P1443" s="121" t="str">
        <v/>
      </c>
      <c r="Q1443" s="121" t="str">
        <v/>
      </c>
      <c r="R1443" s="121" t="str">
        <v/>
      </c>
      <c r="S1443" s="121" t="str">
        <v>Advert click-through to online shop</v>
      </c>
      <c r="T1443" s="119" t="str">
        <f>IF($C1443&lt;4,IF($C1443=3,T1444,IF($C1443=2,T$1,"")),Q1443&amp;R1443&amp;IF(LEN(S1443)=0,"",Preferences!$C$2&amp;S1443)&amp;IF(J1444=J1443,IF(LEN(R1443&amp;S1443)=0,"","
")&amp;T1444,""))</f>
        <v xml:space="preserve">	• Advert click-through to online shop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3" s="122" t="str">
        <v/>
      </c>
      <c r="V1443" s="42"/>
      <c r="W1443" s="42"/>
      <c r="X1443" s="42"/>
      <c r="Y1443" s="42"/>
      <c r="Z1443" s="42"/>
      <c r="AA1443" s="42"/>
      <c r="AB1443" s="42"/>
    </row>
    <row r="1444" spans="1:28" x14ac:dyDescent="0.25">
      <c r="A1444" s="42" t="str">
        <v>1.26.3.4.3</v>
      </c>
      <c r="B1444" s="121" t="str">
        <v>Display teaser (banner, teaser, online shop search results/internet search, etc.)</v>
      </c>
      <c r="C1444" s="41">
        <v>5</v>
      </c>
      <c r="D1444" s="41" t="str">
        <v>RL</v>
      </c>
      <c r="E1444" s="117" t="str">
        <f t="shared" si="0"/>
        <v>RL</v>
      </c>
      <c r="F1444" s="41" t="str">
        <v/>
      </c>
      <c r="G1444" s="41" t="str">
        <v/>
      </c>
      <c r="H1444" s="117">
        <f t="shared" si="1"/>
        <v>0</v>
      </c>
      <c r="I1444" s="117">
        <f t="shared" si="2"/>
        <v>26</v>
      </c>
      <c r="J1444" s="117">
        <f t="shared" si="3"/>
        <v>26.030000000000005</v>
      </c>
      <c r="K1444" s="117" t="str">
        <f t="shared" si="4"/>
        <v>BR</v>
      </c>
      <c r="L1444" s="42" t="str">
        <v>BR2603</v>
      </c>
      <c r="M1444" s="121" t="str">
        <v/>
      </c>
      <c r="N1444" s="121" t="str">
        <v/>
      </c>
      <c r="O1444" s="121" t="str">
        <v/>
      </c>
      <c r="P1444" s="121" t="str">
        <v/>
      </c>
      <c r="Q1444" s="121" t="str">
        <v/>
      </c>
      <c r="R1444" s="121" t="str">
        <v/>
      </c>
      <c r="S1444" s="121" t="str">
        <v>Display teaser (banner, teaser, online shop search results/internet search, etc.)</v>
      </c>
      <c r="T1444" s="119" t="str">
        <f>IF($C1444&lt;4,IF($C1444=3,T1445,IF($C1444=2,T$1,"")),Q1444&amp;R1444&amp;IF(LEN(S1444)=0,"",Preferences!$C$2&amp;S1444)&amp;IF(J1445=J1444,IF(LEN(R1444&amp;S1444)=0,"","
")&amp;T1445,""))</f>
        <v xml:space="preserve">	• Display teaser (banner, teaser, online shop search results/internet search, etc.)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4" s="122" t="str">
        <v/>
      </c>
      <c r="V1444" s="42"/>
      <c r="W1444" s="42"/>
      <c r="X1444" s="42"/>
      <c r="Y1444" s="42"/>
      <c r="Z1444" s="42"/>
      <c r="AA1444" s="42"/>
      <c r="AB1444" s="42"/>
    </row>
    <row r="1445" spans="1:28" x14ac:dyDescent="0.25">
      <c r="A1445" s="42" t="str">
        <v>1.26.3.4.4</v>
      </c>
      <c r="B1445" s="121" t="str">
        <v>Display full content</v>
      </c>
      <c r="C1445" s="41">
        <v>5</v>
      </c>
      <c r="D1445" s="41" t="str">
        <v>RL</v>
      </c>
      <c r="E1445" s="117" t="str">
        <f t="shared" si="0"/>
        <v>RL</v>
      </c>
      <c r="F1445" s="41" t="str">
        <v/>
      </c>
      <c r="G1445" s="41" t="str">
        <v/>
      </c>
      <c r="H1445" s="117">
        <f t="shared" si="1"/>
        <v>0</v>
      </c>
      <c r="I1445" s="117">
        <f t="shared" si="2"/>
        <v>26</v>
      </c>
      <c r="J1445" s="117">
        <f t="shared" si="3"/>
        <v>26.030000000000005</v>
      </c>
      <c r="K1445" s="117" t="str">
        <f t="shared" si="4"/>
        <v>BR</v>
      </c>
      <c r="L1445" s="42" t="str">
        <v>BR2603</v>
      </c>
      <c r="M1445" s="121" t="str">
        <v/>
      </c>
      <c r="N1445" s="121" t="str">
        <v/>
      </c>
      <c r="O1445" s="121" t="str">
        <v/>
      </c>
      <c r="P1445" s="121" t="str">
        <v/>
      </c>
      <c r="Q1445" s="121" t="str">
        <v/>
      </c>
      <c r="R1445" s="121" t="str">
        <v/>
      </c>
      <c r="S1445" s="121" t="str">
        <v>Display full content</v>
      </c>
      <c r="T1445" s="119" t="str">
        <f>IF($C1445&lt;4,IF($C1445=3,T1446,IF($C1445=2,T$1,"")),Q1445&amp;R1445&amp;IF(LEN(S1445)=0,"",Preferences!$C$2&amp;S1445)&amp;IF(J1446=J1445,IF(LEN(R1445&amp;S1445)=0,"","
")&amp;T1446,""))</f>
        <v xml:space="preserve">	• Display full content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5" s="122" t="str">
        <v/>
      </c>
      <c r="V1445" s="42"/>
      <c r="W1445" s="42"/>
      <c r="X1445" s="42"/>
      <c r="Y1445" s="42"/>
      <c r="Z1445" s="42"/>
      <c r="AA1445" s="42"/>
      <c r="AB1445" s="42"/>
    </row>
    <row r="1446" spans="1:28" x14ac:dyDescent="0.25">
      <c r="A1446" s="42" t="str">
        <v>1.26.3.4.5</v>
      </c>
      <c r="B1446" s="121" t="str">
        <v>Follow link in article to products search</v>
      </c>
      <c r="C1446" s="41">
        <v>5</v>
      </c>
      <c r="D1446" s="41" t="str">
        <v>RL</v>
      </c>
      <c r="E1446" s="117" t="str">
        <f t="shared" si="0"/>
        <v>RL</v>
      </c>
      <c r="F1446" s="41" t="str">
        <v/>
      </c>
      <c r="G1446" s="41" t="str">
        <v/>
      </c>
      <c r="H1446" s="117">
        <f t="shared" si="1"/>
        <v>0</v>
      </c>
      <c r="I1446" s="117">
        <f t="shared" si="2"/>
        <v>26</v>
      </c>
      <c r="J1446" s="117">
        <f t="shared" si="3"/>
        <v>26.030000000000005</v>
      </c>
      <c r="K1446" s="117" t="str">
        <f t="shared" si="4"/>
        <v>BR</v>
      </c>
      <c r="L1446" s="42" t="str">
        <v>BR2603</v>
      </c>
      <c r="M1446" s="121" t="str">
        <v/>
      </c>
      <c r="N1446" s="121" t="str">
        <v/>
      </c>
      <c r="O1446" s="121" t="str">
        <v/>
      </c>
      <c r="P1446" s="121" t="str">
        <v/>
      </c>
      <c r="Q1446" s="121" t="str">
        <v/>
      </c>
      <c r="R1446" s="121" t="str">
        <v/>
      </c>
      <c r="S1446" s="121" t="str">
        <v>Follow link in article to products search</v>
      </c>
      <c r="T1446" s="119" t="str">
        <f>IF($C1446&lt;4,IF($C1446=3,T1447,IF($C1446=2,T$1,"")),Q1446&amp;R1446&amp;IF(LEN(S1446)=0,"",Preferences!$C$2&amp;S1446)&amp;IF(J1447=J1446,IF(LEN(R1446&amp;S1446)=0,"","
")&amp;T1447,""))</f>
        <v xml:space="preserve">	• Follow link in article to products search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6" s="122" t="str">
        <v/>
      </c>
      <c r="V1446" s="42"/>
      <c r="W1446" s="42"/>
      <c r="X1446" s="42"/>
      <c r="Y1446" s="42"/>
      <c r="Z1446" s="42"/>
      <c r="AA1446" s="42"/>
      <c r="AB1446" s="42"/>
    </row>
    <row r="1447" spans="1:28" x14ac:dyDescent="0.25">
      <c r="A1447" s="42" t="str">
        <v>1.26.3.4.6</v>
      </c>
      <c r="B1447" s="121" t="str">
        <v>Add/remove article linked product from the user favourites, or wish lists</v>
      </c>
      <c r="C1447" s="41">
        <v>5</v>
      </c>
      <c r="D1447" s="41" t="str">
        <v>RL</v>
      </c>
      <c r="E1447" s="117" t="str">
        <f t="shared" si="0"/>
        <v>RL</v>
      </c>
      <c r="F1447" s="41" t="str">
        <v/>
      </c>
      <c r="G1447" s="41" t="str">
        <v/>
      </c>
      <c r="H1447" s="117">
        <f t="shared" si="1"/>
        <v>0</v>
      </c>
      <c r="I1447" s="117">
        <f t="shared" si="2"/>
        <v>26</v>
      </c>
      <c r="J1447" s="117">
        <f t="shared" si="3"/>
        <v>26.030000000000005</v>
      </c>
      <c r="K1447" s="117" t="str">
        <f t="shared" si="4"/>
        <v>BR</v>
      </c>
      <c r="L1447" s="42" t="str">
        <v>BR2603</v>
      </c>
      <c r="M1447" s="121" t="str">
        <v/>
      </c>
      <c r="N1447" s="121" t="str">
        <v/>
      </c>
      <c r="O1447" s="121" t="str">
        <v/>
      </c>
      <c r="P1447" s="121" t="str">
        <v/>
      </c>
      <c r="Q1447" s="121" t="str">
        <v/>
      </c>
      <c r="R1447" s="121" t="str">
        <v/>
      </c>
      <c r="S1447" s="121" t="str">
        <v>Add/remove article linked product from the user favourites, or wish lists</v>
      </c>
      <c r="T1447" s="119" t="str">
        <f>IF($C1447&lt;4,IF($C1447=3,T1448,IF($C1447=2,T$1,"")),Q1447&amp;R1447&amp;IF(LEN(S1447)=0,"",Preferences!$C$2&amp;S1447)&amp;IF(J1448=J1447,IF(LEN(R1447&amp;S1447)=0,"","
")&amp;T1448,""))</f>
        <v xml:space="preserve">	• Add/remove article linked product from the user favourites, or wish lists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7" s="122" t="str">
        <v/>
      </c>
      <c r="V1447" s="42"/>
      <c r="W1447" s="42"/>
      <c r="X1447" s="42"/>
      <c r="Y1447" s="42"/>
      <c r="Z1447" s="42"/>
      <c r="AA1447" s="42"/>
      <c r="AB1447" s="42"/>
    </row>
    <row r="1448" spans="1:28" x14ac:dyDescent="0.25">
      <c r="A1448" s="42" t="str">
        <v>1.26.3.4.7</v>
      </c>
      <c r="B1448" s="121" t="str">
        <v>Add/remove article linked product from the shopping cart</v>
      </c>
      <c r="C1448" s="41">
        <v>5</v>
      </c>
      <c r="D1448" s="41" t="str">
        <v>RL</v>
      </c>
      <c r="E1448" s="117" t="str">
        <f t="shared" si="0"/>
        <v>RL</v>
      </c>
      <c r="F1448" s="41" t="str">
        <v/>
      </c>
      <c r="G1448" s="41" t="str">
        <v/>
      </c>
      <c r="H1448" s="117">
        <f t="shared" si="1"/>
        <v>0</v>
      </c>
      <c r="I1448" s="117">
        <f t="shared" si="2"/>
        <v>26</v>
      </c>
      <c r="J1448" s="117">
        <f t="shared" si="3"/>
        <v>26.030000000000005</v>
      </c>
      <c r="K1448" s="117" t="str">
        <f t="shared" si="4"/>
        <v>BR</v>
      </c>
      <c r="L1448" s="42" t="str">
        <v>BR2603</v>
      </c>
      <c r="M1448" s="121" t="str">
        <v/>
      </c>
      <c r="N1448" s="121" t="str">
        <v/>
      </c>
      <c r="O1448" s="121" t="str">
        <v/>
      </c>
      <c r="P1448" s="121" t="str">
        <v/>
      </c>
      <c r="Q1448" s="121" t="str">
        <v/>
      </c>
      <c r="R1448" s="121" t="str">
        <v/>
      </c>
      <c r="S1448" s="121" t="str">
        <v>Add/remove article linked product from the shopping cart</v>
      </c>
      <c r="T1448" s="119" t="str">
        <f>IF($C1448&lt;4,IF($C1448=3,T1449,IF($C1448=2,T$1,"")),Q1448&amp;R1448&amp;IF(LEN(S1448)=0,"",Preferences!$C$2&amp;S1448)&amp;IF(J1449=J1448,IF(LEN(R1448&amp;S1448)=0,"","
")&amp;T1449,""))</f>
        <v xml:space="preserve">	• Add/remove article linked product from the shopping cart
	• Purchase article linked product (online payment processed)
	• Add/remove article from the user library
 5. Reconcile all collected data for each article.
 6. Maintain article statistics per channel.
 7. Maintain product statistics per article category, meta-tag and search term.</v>
      </c>
      <c r="U1448" s="122" t="str">
        <v/>
      </c>
      <c r="V1448" s="42"/>
      <c r="W1448" s="42"/>
      <c r="X1448" s="42"/>
      <c r="Y1448" s="42"/>
      <c r="Z1448" s="42"/>
      <c r="AA1448" s="42"/>
      <c r="AB1448" s="42"/>
    </row>
    <row r="1449" spans="1:28" x14ac:dyDescent="0.25">
      <c r="A1449" s="42" t="str">
        <v>1.26.3.4.8</v>
      </c>
      <c r="B1449" s="121" t="str">
        <v>Purchase article linked product (online payment processed)</v>
      </c>
      <c r="C1449" s="41">
        <v>5</v>
      </c>
      <c r="D1449" s="41" t="str">
        <v>RL</v>
      </c>
      <c r="E1449" s="117" t="str">
        <f t="shared" si="0"/>
        <v>RL</v>
      </c>
      <c r="F1449" s="41" t="str">
        <v/>
      </c>
      <c r="G1449" s="41" t="str">
        <v/>
      </c>
      <c r="H1449" s="117">
        <f t="shared" si="1"/>
        <v>0</v>
      </c>
      <c r="I1449" s="117">
        <f t="shared" si="2"/>
        <v>26</v>
      </c>
      <c r="J1449" s="117">
        <f t="shared" si="3"/>
        <v>26.030000000000005</v>
      </c>
      <c r="K1449" s="117" t="str">
        <f t="shared" si="4"/>
        <v>BR</v>
      </c>
      <c r="L1449" s="42" t="str">
        <v>BR2603</v>
      </c>
      <c r="M1449" s="121" t="str">
        <v/>
      </c>
      <c r="N1449" s="121" t="str">
        <v/>
      </c>
      <c r="O1449" s="121" t="str">
        <v/>
      </c>
      <c r="P1449" s="121" t="str">
        <v/>
      </c>
      <c r="Q1449" s="121" t="str">
        <v/>
      </c>
      <c r="R1449" s="121" t="str">
        <v/>
      </c>
      <c r="S1449" s="121" t="str">
        <v>Purchase article linked product (online payment processed)</v>
      </c>
      <c r="T1449" s="119" t="str">
        <f>IF($C1449&lt;4,IF($C1449=3,T1450,IF($C1449=2,T$1,"")),Q1449&amp;R1449&amp;IF(LEN(S1449)=0,"",Preferences!$C$2&amp;S1449)&amp;IF(J1450=J1449,IF(LEN(R1449&amp;S1449)=0,"","
")&amp;T1450,""))</f>
        <v xml:space="preserve">	• Purchase article linked product (online payment processed)
	• Add/remove article from the user library
 5. Reconcile all collected data for each article.
 6. Maintain article statistics per channel.
 7. Maintain product statistics per article category, meta-tag and search term.</v>
      </c>
      <c r="U1449" s="122" t="str">
        <v/>
      </c>
      <c r="V1449" s="42"/>
      <c r="W1449" s="42"/>
      <c r="X1449" s="42"/>
      <c r="Y1449" s="42"/>
      <c r="Z1449" s="42"/>
      <c r="AA1449" s="42"/>
      <c r="AB1449" s="42"/>
    </row>
    <row r="1450" spans="1:28" x14ac:dyDescent="0.25">
      <c r="A1450" s="42" t="str">
        <v>1.26.3.4.9</v>
      </c>
      <c r="B1450" s="121" t="str">
        <v>Add/remove article from the user library</v>
      </c>
      <c r="C1450" s="41">
        <v>5</v>
      </c>
      <c r="D1450" s="41" t="str">
        <v>RL</v>
      </c>
      <c r="E1450" s="117" t="str">
        <f t="shared" si="0"/>
        <v>RL</v>
      </c>
      <c r="F1450" s="41" t="str">
        <v/>
      </c>
      <c r="G1450" s="41" t="str">
        <v/>
      </c>
      <c r="H1450" s="117">
        <f t="shared" si="1"/>
        <v>0</v>
      </c>
      <c r="I1450" s="117">
        <f t="shared" si="2"/>
        <v>26</v>
      </c>
      <c r="J1450" s="117">
        <f t="shared" si="3"/>
        <v>26.030000000000005</v>
      </c>
      <c r="K1450" s="117" t="str">
        <f t="shared" si="4"/>
        <v>BR</v>
      </c>
      <c r="L1450" s="42" t="str">
        <v>BR2603</v>
      </c>
      <c r="M1450" s="121" t="str">
        <v/>
      </c>
      <c r="N1450" s="121" t="str">
        <v/>
      </c>
      <c r="O1450" s="121" t="str">
        <v/>
      </c>
      <c r="P1450" s="121" t="str">
        <v/>
      </c>
      <c r="Q1450" s="121" t="str">
        <v/>
      </c>
      <c r="R1450" s="121" t="str">
        <v/>
      </c>
      <c r="S1450" s="121" t="str">
        <v>Add/remove article from the user library</v>
      </c>
      <c r="T1450" s="119" t="str">
        <f>IF($C1450&lt;4,IF($C1450=3,T1451,IF($C1450=2,T$1,"")),Q1450&amp;R1450&amp;IF(LEN(S1450)=0,"",Preferences!$C$2&amp;S1450)&amp;IF(J1451=J1450,IF(LEN(R1450&amp;S1450)=0,"","
")&amp;T1451,""))</f>
        <v xml:space="preserve">	• Add/remove article from the user library
 5. Reconcile all collected data for each article.
 6. Maintain article statistics per channel.
 7. Maintain product statistics per article category, meta-tag and search term.</v>
      </c>
      <c r="U1450" s="122" t="str">
        <v/>
      </c>
      <c r="V1450" s="42"/>
      <c r="W1450" s="42"/>
      <c r="X1450" s="42"/>
      <c r="Y1450" s="42"/>
      <c r="Z1450" s="42"/>
      <c r="AA1450" s="42"/>
      <c r="AB1450" s="42"/>
    </row>
    <row r="1451" spans="1:28" x14ac:dyDescent="0.25">
      <c r="A1451" s="42" t="str">
        <v>1.26.3.5</v>
      </c>
      <c r="B1451" s="121" t="str">
        <v>Reconcile all collected data for each article.</v>
      </c>
      <c r="C1451" s="41">
        <v>4</v>
      </c>
      <c r="D1451" s="41" t="str">
        <v>RD</v>
      </c>
      <c r="E1451" s="117" t="str">
        <f t="shared" si="0"/>
        <v>RD</v>
      </c>
      <c r="F1451" s="41" t="str">
        <v/>
      </c>
      <c r="G1451" s="41" t="str">
        <v/>
      </c>
      <c r="H1451" s="117">
        <f t="shared" si="1"/>
        <v>0</v>
      </c>
      <c r="I1451" s="117">
        <f t="shared" si="2"/>
        <v>26</v>
      </c>
      <c r="J1451" s="117">
        <f t="shared" si="3"/>
        <v>26.030000000000005</v>
      </c>
      <c r="K1451" s="117" t="str">
        <f t="shared" si="4"/>
        <v>BR</v>
      </c>
      <c r="L1451" s="42" t="str">
        <v>BR2603</v>
      </c>
      <c r="M1451" s="121" t="str">
        <v/>
      </c>
      <c r="N1451" s="121" t="str">
        <v/>
      </c>
      <c r="O1451" s="121" t="str">
        <v/>
      </c>
      <c r="P1451" s="121" t="str">
        <v/>
      </c>
      <c r="Q1451" s="121" t="str">
        <v xml:space="preserve"> 5. </v>
      </c>
      <c r="R1451" s="121" t="str">
        <v>Reconcile all collected data for each article.</v>
      </c>
      <c r="S1451" s="121" t="str">
        <v/>
      </c>
      <c r="T1451" s="119" t="str">
        <f>IF($C1451&lt;4,IF($C1451=3,T1452,IF($C1451=2,T$1,"")),Q1451&amp;R1451&amp;IF(LEN(S1451)=0,"",Preferences!$C$2&amp;S1451)&amp;IF(J1452=J1451,IF(LEN(R1451&amp;S1451)=0,"","
")&amp;T1452,""))</f>
        <v xml:space="preserve"> 5. Reconcile all collected data for each article.
 6. Maintain article statistics per channel.
 7. Maintain product statistics per article category, meta-tag and search term.</v>
      </c>
      <c r="U1451" s="122" t="str">
        <v/>
      </c>
      <c r="V1451" s="42"/>
      <c r="W1451" s="42"/>
      <c r="X1451" s="42"/>
      <c r="Y1451" s="42"/>
      <c r="Z1451" s="42"/>
      <c r="AA1451" s="42"/>
      <c r="AB1451" s="42"/>
    </row>
    <row r="1452" spans="1:28" x14ac:dyDescent="0.25">
      <c r="A1452" s="42" t="str">
        <v>1.26.3.6</v>
      </c>
      <c r="B1452" s="121" t="str">
        <v>Maintain article statistics per channel.</v>
      </c>
      <c r="C1452" s="41">
        <v>4</v>
      </c>
      <c r="D1452" s="41" t="str">
        <v>RD</v>
      </c>
      <c r="E1452" s="117" t="str">
        <f t="shared" si="0"/>
        <v>RD</v>
      </c>
      <c r="F1452" s="41" t="str">
        <v/>
      </c>
      <c r="G1452" s="41" t="str">
        <v/>
      </c>
      <c r="H1452" s="117">
        <f t="shared" si="1"/>
        <v>0</v>
      </c>
      <c r="I1452" s="117">
        <f t="shared" si="2"/>
        <v>26</v>
      </c>
      <c r="J1452" s="117">
        <f t="shared" si="3"/>
        <v>26.030000000000005</v>
      </c>
      <c r="K1452" s="117" t="str">
        <f t="shared" si="4"/>
        <v>BR</v>
      </c>
      <c r="L1452" s="42" t="str">
        <v>BR2603</v>
      </c>
      <c r="M1452" s="121" t="str">
        <v/>
      </c>
      <c r="N1452" s="121" t="str">
        <v/>
      </c>
      <c r="O1452" s="121" t="str">
        <v/>
      </c>
      <c r="P1452" s="121" t="str">
        <v/>
      </c>
      <c r="Q1452" s="121" t="str">
        <v xml:space="preserve"> 6. </v>
      </c>
      <c r="R1452" s="121" t="str">
        <v>Maintain article statistics per channel.</v>
      </c>
      <c r="S1452" s="121" t="str">
        <v/>
      </c>
      <c r="T1452" s="119" t="str">
        <f>IF($C1452&lt;4,IF($C1452=3,T1453,IF($C1452=2,T$1,"")),Q1452&amp;R1452&amp;IF(LEN(S1452)=0,"",Preferences!$C$2&amp;S1452)&amp;IF(J1453=J1452,IF(LEN(R1452&amp;S1452)=0,"","
")&amp;T1453,""))</f>
        <v xml:space="preserve"> 6. Maintain article statistics per channel.
 7. Maintain product statistics per article category, meta-tag and search term.</v>
      </c>
      <c r="U1452" s="122" t="str">
        <v/>
      </c>
      <c r="V1452" s="42"/>
      <c r="W1452" s="42"/>
      <c r="X1452" s="42"/>
      <c r="Y1452" s="42"/>
      <c r="Z1452" s="42"/>
      <c r="AA1452" s="42"/>
      <c r="AB1452" s="42"/>
    </row>
    <row r="1453" spans="1:28" x14ac:dyDescent="0.25">
      <c r="A1453" s="42" t="str">
        <v>1.26.3.7</v>
      </c>
      <c r="B1453" s="121" t="str">
        <v>Maintain product statistics per article category, meta-tag and search term.</v>
      </c>
      <c r="C1453" s="41">
        <v>4</v>
      </c>
      <c r="D1453" s="41" t="str">
        <v>RD</v>
      </c>
      <c r="E1453" s="117" t="str">
        <f t="shared" si="0"/>
        <v>RD</v>
      </c>
      <c r="F1453" s="41" t="str">
        <v/>
      </c>
      <c r="G1453" s="41" t="str">
        <v/>
      </c>
      <c r="H1453" s="117">
        <f t="shared" si="1"/>
        <v>0</v>
      </c>
      <c r="I1453" s="117">
        <f t="shared" si="2"/>
        <v>26</v>
      </c>
      <c r="J1453" s="117">
        <f t="shared" si="3"/>
        <v>26.030000000000005</v>
      </c>
      <c r="K1453" s="117" t="str">
        <f t="shared" si="4"/>
        <v>BR</v>
      </c>
      <c r="L1453" s="42" t="str">
        <v>BR2603</v>
      </c>
      <c r="M1453" s="121" t="str">
        <v/>
      </c>
      <c r="N1453" s="121" t="str">
        <v/>
      </c>
      <c r="O1453" s="121" t="str">
        <v/>
      </c>
      <c r="P1453" s="121" t="str">
        <v/>
      </c>
      <c r="Q1453" s="121" t="str">
        <v xml:space="preserve"> 7. </v>
      </c>
      <c r="R1453" s="121" t="str">
        <v>Maintain product statistics per article category, meta-tag and search term.</v>
      </c>
      <c r="S1453" s="121" t="str">
        <v/>
      </c>
      <c r="T1453" s="119" t="str">
        <f>IF($C1453&lt;4,IF($C1453=3,T1454,IF($C1453=2,T$1,"")),Q1453&amp;R1453&amp;IF(LEN(S1453)=0,"",Preferences!$C$2&amp;S1453)&amp;IF(J1454=J1453,IF(LEN(R1453&amp;S1453)=0,"","
")&amp;T1454,""))</f>
        <v xml:space="preserve"> 7. Maintain product statistics per article category, meta-tag and search term.</v>
      </c>
      <c r="U1453" s="122" t="str">
        <v/>
      </c>
      <c r="V1453" s="42"/>
      <c r="W1453" s="42"/>
      <c r="X1453" s="42"/>
      <c r="Y1453" s="42"/>
      <c r="Z1453" s="42"/>
      <c r="AA1453" s="42"/>
      <c r="AB1453" s="42"/>
    </row>
    <row r="1454" spans="1:28" x14ac:dyDescent="0.25">
      <c r="A1454" s="42" t="str">
        <v>1.26.4</v>
      </c>
      <c r="B1454" s="121" t="str">
        <v>26.4 Identify online shop visitors</v>
      </c>
      <c r="C1454" s="41">
        <v>3</v>
      </c>
      <c r="D1454" s="41" t="str">
        <v>R</v>
      </c>
      <c r="E1454" s="117" t="str">
        <f t="shared" si="0"/>
        <v>R</v>
      </c>
      <c r="F1454" s="41" t="str">
        <v/>
      </c>
      <c r="G1454" s="41" t="str">
        <v/>
      </c>
      <c r="H1454" s="117">
        <f t="shared" si="1"/>
        <v>0</v>
      </c>
      <c r="I1454" s="117">
        <f t="shared" si="2"/>
        <v>26</v>
      </c>
      <c r="J1454" s="117">
        <f t="shared" si="3"/>
        <v>26.040000000000006</v>
      </c>
      <c r="K1454" s="117" t="str">
        <f t="shared" si="4"/>
        <v>BR</v>
      </c>
      <c r="L1454" s="42" t="str">
        <v>BR2604</v>
      </c>
      <c r="M1454" s="121" t="str">
        <v/>
      </c>
      <c r="N1454" s="121" t="str">
        <v/>
      </c>
      <c r="O1454" s="121" t="str">
        <v>BR2604</v>
      </c>
      <c r="P1454" s="121" t="str">
        <v>Identify online shop visitors</v>
      </c>
      <c r="Q1454" s="121" t="str">
        <v/>
      </c>
      <c r="R1454" s="121" t="str">
        <v/>
      </c>
      <c r="S1454" s="121" t="str">
        <v/>
      </c>
      <c r="T1454" s="119" t="str">
        <f>IF($C1454&lt;4,IF($C1454=3,T1455,IF($C1454=2,T$1,"")),Q1454&amp;R1454&amp;IF(LEN(S1454)=0,"",Preferences!$C$2&amp;S1454)&amp;IF(J1455=J1454,IF(LEN(R1454&amp;S1454)=0,"","
")&amp;T1455,""))</f>
        <v xml:space="preserve"> 1. Apply acceptable cookie and other methods to uniquely identify and track the activity and preferences of unique anonymous users over time, across sessions.
 2. Use logged in user details to track the activity and preferences of each user (customer and business) over time, across sessions.
 3. Where a user is a logged in customer, attribute the activity to that customer.</v>
      </c>
      <c r="U1454" s="122" t="str">
        <v/>
      </c>
      <c r="V1454" s="42"/>
      <c r="W1454" s="42"/>
      <c r="X1454" s="42"/>
      <c r="Y1454" s="42"/>
      <c r="Z1454" s="42"/>
      <c r="AA1454" s="42"/>
      <c r="AB1454" s="42"/>
    </row>
    <row r="1455" spans="1:28" x14ac:dyDescent="0.25">
      <c r="A1455" s="42" t="str">
        <v>1.26.4.1</v>
      </c>
      <c r="B1455" s="121" t="str">
        <v>Apply acceptable cookie and other methods to uniquely identify and track the activity and preferences of unique anonymous users over time, across sessions.</v>
      </c>
      <c r="C1455" s="41">
        <v>4</v>
      </c>
      <c r="D1455" s="41" t="str">
        <v>RD</v>
      </c>
      <c r="E1455" s="117" t="str">
        <f t="shared" si="0"/>
        <v>RD</v>
      </c>
      <c r="F1455" s="41" t="str">
        <v/>
      </c>
      <c r="G1455" s="41" t="str">
        <v/>
      </c>
      <c r="H1455" s="117">
        <f t="shared" si="1"/>
        <v>0</v>
      </c>
      <c r="I1455" s="117">
        <f t="shared" si="2"/>
        <v>26</v>
      </c>
      <c r="J1455" s="117">
        <f t="shared" si="3"/>
        <v>26.040000000000006</v>
      </c>
      <c r="K1455" s="117" t="str">
        <f t="shared" si="4"/>
        <v>BR</v>
      </c>
      <c r="L1455" s="42" t="str">
        <v>BR2604</v>
      </c>
      <c r="M1455" s="121" t="str">
        <v/>
      </c>
      <c r="N1455" s="121" t="str">
        <v/>
      </c>
      <c r="O1455" s="121" t="str">
        <v/>
      </c>
      <c r="P1455" s="121" t="str">
        <v/>
      </c>
      <c r="Q1455" s="121" t="str">
        <v xml:space="preserve"> 1. </v>
      </c>
      <c r="R1455" s="121" t="str">
        <v>Apply acceptable cookie and other methods to uniquely identify and track the activity and preferences of unique anonymous users over time, across sessions.</v>
      </c>
      <c r="S1455" s="121" t="str">
        <v/>
      </c>
      <c r="T1455" s="119" t="str">
        <f>IF($C1455&lt;4,IF($C1455=3,T1456,IF($C1455=2,T$1,"")),Q1455&amp;R1455&amp;IF(LEN(S1455)=0,"",Preferences!$C$2&amp;S1455)&amp;IF(J1456=J1455,IF(LEN(R1455&amp;S1455)=0,"","
")&amp;T1456,""))</f>
        <v xml:space="preserve"> 1. Apply acceptable cookie and other methods to uniquely identify and track the activity and preferences of unique anonymous users over time, across sessions.
 2. Use logged in user details to track the activity and preferences of each user (customer and business) over time, across sessions.
 3. Where a user is a logged in customer, attribute the activity to that customer.</v>
      </c>
      <c r="U1455" s="122" t="str">
        <v/>
      </c>
      <c r="V1455" s="42"/>
      <c r="W1455" s="42"/>
      <c r="X1455" s="42"/>
      <c r="Y1455" s="42"/>
      <c r="Z1455" s="42"/>
      <c r="AA1455" s="42"/>
      <c r="AB1455" s="42"/>
    </row>
    <row r="1456" spans="1:28" x14ac:dyDescent="0.25">
      <c r="A1456" s="42" t="str">
        <v>1.26.4.2</v>
      </c>
      <c r="B1456" s="121" t="str">
        <v>Use logged in user details to track the activity and preferences of each user (customer and business) over time, across sessions.</v>
      </c>
      <c r="C1456" s="41">
        <v>4</v>
      </c>
      <c r="D1456" s="41" t="str">
        <v>RD</v>
      </c>
      <c r="E1456" s="117" t="str">
        <f t="shared" si="0"/>
        <v>RD</v>
      </c>
      <c r="F1456" s="41" t="str">
        <v/>
      </c>
      <c r="G1456" s="41" t="str">
        <v/>
      </c>
      <c r="H1456" s="117">
        <f t="shared" si="1"/>
        <v>0</v>
      </c>
      <c r="I1456" s="117">
        <f t="shared" si="2"/>
        <v>26</v>
      </c>
      <c r="J1456" s="117">
        <f t="shared" si="3"/>
        <v>26.040000000000006</v>
      </c>
      <c r="K1456" s="117" t="str">
        <f t="shared" si="4"/>
        <v>BR</v>
      </c>
      <c r="L1456" s="42" t="str">
        <v>BR2604</v>
      </c>
      <c r="M1456" s="121" t="str">
        <v/>
      </c>
      <c r="N1456" s="121" t="str">
        <v/>
      </c>
      <c r="O1456" s="121" t="str">
        <v/>
      </c>
      <c r="P1456" s="121" t="str">
        <v/>
      </c>
      <c r="Q1456" s="121" t="str">
        <v xml:space="preserve"> 2. </v>
      </c>
      <c r="R1456" s="121" t="str">
        <v>Use logged in user details to track the activity and preferences of each user (customer and business) over time, across sessions.</v>
      </c>
      <c r="S1456" s="121" t="str">
        <v/>
      </c>
      <c r="T1456" s="119" t="str">
        <f>IF($C1456&lt;4,IF($C1456=3,T1457,IF($C1456=2,T$1,"")),Q1456&amp;R1456&amp;IF(LEN(S1456)=0,"",Preferences!$C$2&amp;S1456)&amp;IF(J1457=J1456,IF(LEN(R1456&amp;S1456)=0,"","
")&amp;T1457,""))</f>
        <v xml:space="preserve"> 2. Use logged in user details to track the activity and preferences of each user (customer and business) over time, across sessions.
 3. Where a user is a logged in customer, attribute the activity to that customer.</v>
      </c>
      <c r="U1456" s="122" t="str">
        <v/>
      </c>
      <c r="V1456" s="42"/>
      <c r="W1456" s="42"/>
      <c r="X1456" s="42"/>
      <c r="Y1456" s="42"/>
      <c r="Z1456" s="42"/>
      <c r="AA1456" s="42"/>
      <c r="AB1456" s="42"/>
    </row>
    <row r="1457" spans="1:28" x14ac:dyDescent="0.25">
      <c r="A1457" s="42" t="str">
        <v>1.26.4.3</v>
      </c>
      <c r="B1457" s="121" t="str">
        <v>Where a user is a logged in customer, attribute the activity to that customer.</v>
      </c>
      <c r="C1457" s="41">
        <v>4</v>
      </c>
      <c r="D1457" s="41" t="str">
        <v>RD</v>
      </c>
      <c r="E1457" s="117" t="str">
        <f t="shared" si="0"/>
        <v>RD</v>
      </c>
      <c r="F1457" s="41" t="str">
        <v/>
      </c>
      <c r="G1457" s="41" t="str">
        <v/>
      </c>
      <c r="H1457" s="117">
        <f t="shared" si="1"/>
        <v>0</v>
      </c>
      <c r="I1457" s="117">
        <f t="shared" si="2"/>
        <v>26</v>
      </c>
      <c r="J1457" s="117">
        <f t="shared" si="3"/>
        <v>26.040000000000006</v>
      </c>
      <c r="K1457" s="117" t="str">
        <f t="shared" si="4"/>
        <v>BR</v>
      </c>
      <c r="L1457" s="42" t="str">
        <v>BR2604</v>
      </c>
      <c r="M1457" s="121" t="str">
        <v/>
      </c>
      <c r="N1457" s="121" t="str">
        <v/>
      </c>
      <c r="O1457" s="121" t="str">
        <v/>
      </c>
      <c r="P1457" s="121" t="str">
        <v/>
      </c>
      <c r="Q1457" s="121" t="str">
        <v xml:space="preserve"> 3. </v>
      </c>
      <c r="R1457" s="121" t="str">
        <v>Where a user is a logged in customer, attribute the activity to that customer.</v>
      </c>
      <c r="S1457" s="121" t="str">
        <v/>
      </c>
      <c r="T1457" s="119" t="str">
        <f>IF($C1457&lt;4,IF($C1457=3,T1458,IF($C1457=2,T$1,"")),Q1457&amp;R1457&amp;IF(LEN(S1457)=0,"",Preferences!$C$2&amp;S1457)&amp;IF(J1458=J1457,IF(LEN(R1457&amp;S1457)=0,"","
")&amp;T1458,""))</f>
        <v xml:space="preserve"> 3. Where a user is a logged in customer, attribute the activity to that customer.</v>
      </c>
      <c r="U1457" s="122" t="str">
        <v/>
      </c>
      <c r="V1457" s="42"/>
      <c r="W1457" s="42"/>
      <c r="X1457" s="42"/>
      <c r="Y1457" s="42"/>
      <c r="Z1457" s="42"/>
      <c r="AA1457" s="42"/>
      <c r="AB1457" s="42"/>
    </row>
    <row r="1458" spans="1:28" x14ac:dyDescent="0.25">
      <c r="A1458" s="42" t="str">
        <v>1.26.5</v>
      </c>
      <c r="B1458" s="121" t="str">
        <v>26.5 Compile and track website activity per user</v>
      </c>
      <c r="C1458" s="41">
        <v>3</v>
      </c>
      <c r="D1458" s="41" t="str">
        <v>R</v>
      </c>
      <c r="E1458" s="117" t="str">
        <f t="shared" si="0"/>
        <v>R</v>
      </c>
      <c r="F1458" s="41" t="str">
        <v/>
      </c>
      <c r="G1458" s="41" t="str">
        <v/>
      </c>
      <c r="H1458" s="117">
        <f t="shared" si="1"/>
        <v>0</v>
      </c>
      <c r="I1458" s="117">
        <f t="shared" si="2"/>
        <v>26</v>
      </c>
      <c r="J1458" s="117">
        <f t="shared" si="3"/>
        <v>26.050000000000008</v>
      </c>
      <c r="K1458" s="117" t="str">
        <f t="shared" si="4"/>
        <v>BR</v>
      </c>
      <c r="L1458" s="42" t="str">
        <v>BR2605</v>
      </c>
      <c r="M1458" s="121" t="str">
        <v/>
      </c>
      <c r="N1458" s="121" t="str">
        <v/>
      </c>
      <c r="O1458" s="121" t="str">
        <v>BR2605</v>
      </c>
      <c r="P1458" s="121" t="str">
        <v>Compile and track website activity per user</v>
      </c>
      <c r="Q1458" s="121" t="str">
        <v/>
      </c>
      <c r="R1458" s="121" t="str">
        <v/>
      </c>
      <c r="S1458" s="121" t="str">
        <v/>
      </c>
      <c r="T1458" s="119" t="str">
        <f>IF($C1458&lt;4,IF($C1458=3,T1459,IF($C1458=2,T$1,"")),Q1458&amp;R1458&amp;IF(LEN(S1458)=0,"",Preferences!$C$2&amp;S1458)&amp;IF(J1459=J1458,IF(LEN(R1458&amp;S1458)=0,"","
")&amp;T1459,""))</f>
        <v xml:space="preserve"> 1. Track clicks per link, button and page for both anonymous and logged-in users.
 2. Track time spent on pages
 3. Compile hourly/daily statistics per link, button, menu item, promoted item and page.
 4. Record and automatically alert online shop administrators of broken links and other online shop errors.</v>
      </c>
      <c r="U1458" s="122" t="str">
        <v/>
      </c>
      <c r="V1458" s="42"/>
      <c r="W1458" s="42"/>
      <c r="X1458" s="42"/>
      <c r="Y1458" s="42"/>
      <c r="Z1458" s="42"/>
      <c r="AA1458" s="42"/>
      <c r="AB1458" s="42"/>
    </row>
    <row r="1459" spans="1:28" x14ac:dyDescent="0.25">
      <c r="A1459" s="42" t="str">
        <v>1.26.5.1</v>
      </c>
      <c r="B1459" s="121" t="str">
        <v>Track clicks per link, button and page for both anonymous and logged-in users.</v>
      </c>
      <c r="C1459" s="41">
        <v>4</v>
      </c>
      <c r="D1459" s="41" t="str">
        <v>RD</v>
      </c>
      <c r="E1459" s="117" t="str">
        <f t="shared" si="0"/>
        <v>RD</v>
      </c>
      <c r="F1459" s="41" t="str">
        <v/>
      </c>
      <c r="G1459" s="41" t="str">
        <v/>
      </c>
      <c r="H1459" s="117">
        <f t="shared" si="1"/>
        <v>0</v>
      </c>
      <c r="I1459" s="117">
        <f t="shared" si="2"/>
        <v>26</v>
      </c>
      <c r="J1459" s="117">
        <f t="shared" si="3"/>
        <v>26.050000000000008</v>
      </c>
      <c r="K1459" s="117" t="str">
        <f t="shared" si="4"/>
        <v>BR</v>
      </c>
      <c r="L1459" s="42" t="str">
        <v>BR2605</v>
      </c>
      <c r="M1459" s="121" t="str">
        <v/>
      </c>
      <c r="N1459" s="121" t="str">
        <v/>
      </c>
      <c r="O1459" s="121" t="str">
        <v/>
      </c>
      <c r="P1459" s="121" t="str">
        <v/>
      </c>
      <c r="Q1459" s="121" t="str">
        <v xml:space="preserve"> 1. </v>
      </c>
      <c r="R1459" s="121" t="str">
        <v>Track clicks per link, button and page for both anonymous and logged-in users.</v>
      </c>
      <c r="S1459" s="121" t="str">
        <v/>
      </c>
      <c r="T1459" s="119" t="str">
        <f>IF($C1459&lt;4,IF($C1459=3,T1460,IF($C1459=2,T$1,"")),Q1459&amp;R1459&amp;IF(LEN(S1459)=0,"",Preferences!$C$2&amp;S1459)&amp;IF(J1460=J1459,IF(LEN(R1459&amp;S1459)=0,"","
")&amp;T1460,""))</f>
        <v xml:space="preserve"> 1. Track clicks per link, button and page for both anonymous and logged-in users.
 2. Track time spent on pages
 3. Compile hourly/daily statistics per link, button, menu item, promoted item and page.
 4. Record and automatically alert online shop administrators of broken links and other online shop errors.</v>
      </c>
      <c r="U1459" s="122" t="str">
        <v/>
      </c>
      <c r="V1459" s="42"/>
      <c r="W1459" s="42"/>
      <c r="X1459" s="42"/>
      <c r="Y1459" s="42"/>
      <c r="Z1459" s="42"/>
      <c r="AA1459" s="42"/>
      <c r="AB1459" s="42"/>
    </row>
    <row r="1460" spans="1:28" x14ac:dyDescent="0.25">
      <c r="A1460" s="42" t="str">
        <v>1.26.5.2</v>
      </c>
      <c r="B1460" s="121" t="str">
        <v>Track time spent on pages</v>
      </c>
      <c r="C1460" s="41">
        <v>4</v>
      </c>
      <c r="D1460" s="41" t="str">
        <v>RD</v>
      </c>
      <c r="E1460" s="117" t="str">
        <f t="shared" si="0"/>
        <v>RD</v>
      </c>
      <c r="F1460" s="41" t="str">
        <v/>
      </c>
      <c r="G1460" s="41" t="str">
        <v/>
      </c>
      <c r="H1460" s="117">
        <f t="shared" si="1"/>
        <v>0</v>
      </c>
      <c r="I1460" s="117">
        <f t="shared" si="2"/>
        <v>26</v>
      </c>
      <c r="J1460" s="117">
        <f t="shared" si="3"/>
        <v>26.050000000000008</v>
      </c>
      <c r="K1460" s="117" t="str">
        <f t="shared" si="4"/>
        <v>BR</v>
      </c>
      <c r="L1460" s="42" t="str">
        <v>BR2605</v>
      </c>
      <c r="M1460" s="121" t="str">
        <v/>
      </c>
      <c r="N1460" s="121" t="str">
        <v/>
      </c>
      <c r="O1460" s="121" t="str">
        <v/>
      </c>
      <c r="P1460" s="121" t="str">
        <v/>
      </c>
      <c r="Q1460" s="121" t="str">
        <v xml:space="preserve"> 2. </v>
      </c>
      <c r="R1460" s="121" t="str">
        <v>Track time spent on pages</v>
      </c>
      <c r="S1460" s="121" t="str">
        <v/>
      </c>
      <c r="T1460" s="119" t="str">
        <f>IF($C1460&lt;4,IF($C1460=3,T1461,IF($C1460=2,T$1,"")),Q1460&amp;R1460&amp;IF(LEN(S1460)=0,"",Preferences!$C$2&amp;S1460)&amp;IF(J1461=J1460,IF(LEN(R1460&amp;S1460)=0,"","
")&amp;T1461,""))</f>
        <v xml:space="preserve"> 2. Track time spent on pages
 3. Compile hourly/daily statistics per link, button, menu item, promoted item and page.
 4. Record and automatically alert online shop administrators of broken links and other online shop errors.</v>
      </c>
      <c r="U1460" s="122" t="str">
        <v/>
      </c>
      <c r="V1460" s="42"/>
      <c r="W1460" s="42"/>
      <c r="X1460" s="42"/>
      <c r="Y1460" s="42"/>
      <c r="Z1460" s="42"/>
      <c r="AA1460" s="42"/>
      <c r="AB1460" s="42"/>
    </row>
    <row r="1461" spans="1:28" x14ac:dyDescent="0.25">
      <c r="A1461" s="42" t="str">
        <v>1.26.5.3</v>
      </c>
      <c r="B1461" s="121" t="str">
        <v>Compile hourly/daily statistics per link, button, menu item, promoted item and page.</v>
      </c>
      <c r="C1461" s="41">
        <v>4</v>
      </c>
      <c r="D1461" s="41" t="str">
        <v>RD</v>
      </c>
      <c r="E1461" s="117" t="str">
        <f t="shared" si="0"/>
        <v>RD</v>
      </c>
      <c r="F1461" s="41" t="str">
        <v/>
      </c>
      <c r="G1461" s="41" t="str">
        <v/>
      </c>
      <c r="H1461" s="117">
        <f t="shared" si="1"/>
        <v>0</v>
      </c>
      <c r="I1461" s="117">
        <f t="shared" si="2"/>
        <v>26</v>
      </c>
      <c r="J1461" s="117">
        <f t="shared" si="3"/>
        <v>26.050000000000008</v>
      </c>
      <c r="K1461" s="117" t="str">
        <f t="shared" si="4"/>
        <v>BR</v>
      </c>
      <c r="L1461" s="42" t="str">
        <v>BR2605</v>
      </c>
      <c r="M1461" s="121" t="str">
        <v/>
      </c>
      <c r="N1461" s="121" t="str">
        <v/>
      </c>
      <c r="O1461" s="121" t="str">
        <v/>
      </c>
      <c r="P1461" s="121" t="str">
        <v/>
      </c>
      <c r="Q1461" s="121" t="str">
        <v xml:space="preserve"> 3. </v>
      </c>
      <c r="R1461" s="121" t="str">
        <v>Compile hourly/daily statistics per link, button, menu item, promoted item and page.</v>
      </c>
      <c r="S1461" s="121" t="str">
        <v/>
      </c>
      <c r="T1461" s="119" t="str">
        <f>IF($C1461&lt;4,IF($C1461=3,T1462,IF($C1461=2,T$1,"")),Q1461&amp;R1461&amp;IF(LEN(S1461)=0,"",Preferences!$C$2&amp;S1461)&amp;IF(J1462=J1461,IF(LEN(R1461&amp;S1461)=0,"","
")&amp;T1462,""))</f>
        <v xml:space="preserve"> 3. Compile hourly/daily statistics per link, button, menu item, promoted item and page.
 4. Record and automatically alert online shop administrators of broken links and other online shop errors.</v>
      </c>
      <c r="U1461" s="122" t="str">
        <v/>
      </c>
      <c r="V1461" s="42"/>
      <c r="W1461" s="42"/>
      <c r="X1461" s="42"/>
      <c r="Y1461" s="42"/>
      <c r="Z1461" s="42"/>
      <c r="AA1461" s="42"/>
      <c r="AB1461" s="42"/>
    </row>
    <row r="1462" spans="1:28" x14ac:dyDescent="0.25">
      <c r="A1462" s="42" t="str">
        <v>1.26.5.4</v>
      </c>
      <c r="B1462" s="121" t="str">
        <v>Record and automatically alert online shop administrators of broken links and other online shop errors.</v>
      </c>
      <c r="C1462" s="41">
        <v>4</v>
      </c>
      <c r="D1462" s="41" t="str">
        <v>RD</v>
      </c>
      <c r="E1462" s="117" t="str">
        <f t="shared" si="0"/>
        <v>RD</v>
      </c>
      <c r="F1462" s="41" t="str">
        <v/>
      </c>
      <c r="G1462" s="41" t="str">
        <v/>
      </c>
      <c r="H1462" s="117">
        <f t="shared" si="1"/>
        <v>0</v>
      </c>
      <c r="I1462" s="117">
        <f t="shared" si="2"/>
        <v>26</v>
      </c>
      <c r="J1462" s="117">
        <f t="shared" si="3"/>
        <v>26.050000000000008</v>
      </c>
      <c r="K1462" s="117" t="str">
        <f t="shared" si="4"/>
        <v>BR</v>
      </c>
      <c r="L1462" s="42" t="str">
        <v>BR2605</v>
      </c>
      <c r="M1462" s="121" t="str">
        <v/>
      </c>
      <c r="N1462" s="121" t="str">
        <v/>
      </c>
      <c r="O1462" s="121" t="str">
        <v/>
      </c>
      <c r="P1462" s="121" t="str">
        <v/>
      </c>
      <c r="Q1462" s="121" t="str">
        <v xml:space="preserve"> 4. </v>
      </c>
      <c r="R1462" s="121" t="str">
        <v>Record and automatically alert online shop administrators of broken links and other online shop errors.</v>
      </c>
      <c r="S1462" s="121" t="str">
        <v/>
      </c>
      <c r="T1462" s="119" t="str">
        <f>IF($C1462&lt;4,IF($C1462=3,T1463,IF($C1462=2,T$1,"")),Q1462&amp;R1462&amp;IF(LEN(S1462)=0,"",Preferences!$C$2&amp;S1462)&amp;IF(J1463=J1462,IF(LEN(R1462&amp;S1462)=0,"","
")&amp;T1463,""))</f>
        <v xml:space="preserve"> 4. Record and automatically alert online shop administrators of broken links and other online shop errors.</v>
      </c>
      <c r="U1462" s="122" t="str">
        <v/>
      </c>
      <c r="V1462" s="42"/>
      <c r="W1462" s="42"/>
      <c r="X1462" s="42"/>
      <c r="Y1462" s="42"/>
      <c r="Z1462" s="42"/>
      <c r="AA1462" s="42"/>
      <c r="AB1462" s="42"/>
    </row>
    <row r="1463" spans="1:28" x14ac:dyDescent="0.25">
      <c r="A1463" s="42" t="str">
        <v>1.26.6</v>
      </c>
      <c r="B1463" s="121" t="str">
        <v>26.6 Track meta-tag activity</v>
      </c>
      <c r="C1463" s="41">
        <v>3</v>
      </c>
      <c r="D1463" s="41" t="str">
        <v>R</v>
      </c>
      <c r="E1463" s="117" t="str">
        <f t="shared" si="0"/>
        <v>R</v>
      </c>
      <c r="F1463" s="41" t="str">
        <v/>
      </c>
      <c r="G1463" s="41" t="str">
        <v/>
      </c>
      <c r="H1463" s="117">
        <f t="shared" si="1"/>
        <v>0</v>
      </c>
      <c r="I1463" s="117">
        <f t="shared" si="2"/>
        <v>26</v>
      </c>
      <c r="J1463" s="117">
        <f t="shared" si="3"/>
        <v>26.060000000000009</v>
      </c>
      <c r="K1463" s="117" t="str">
        <f t="shared" si="4"/>
        <v>BR</v>
      </c>
      <c r="L1463" s="42" t="str">
        <v>BR2606</v>
      </c>
      <c r="M1463" s="121" t="str">
        <v/>
      </c>
      <c r="N1463" s="121" t="str">
        <v/>
      </c>
      <c r="O1463" s="121" t="str">
        <v>BR2606</v>
      </c>
      <c r="P1463" s="121" t="str">
        <v>Track meta-tag activity</v>
      </c>
      <c r="Q1463" s="121" t="str">
        <v/>
      </c>
      <c r="R1463" s="121" t="str">
        <v/>
      </c>
      <c r="S1463" s="121" t="str">
        <v/>
      </c>
      <c r="T1463" s="119" t="str">
        <f>IF($C1463&lt;4,IF($C1463=3,T1464,IF($C1463=2,T$1,"")),Q1463&amp;R1463&amp;IF(LEN(S1463)=0,"",Preferences!$C$2&amp;S1463)&amp;IF(J1464=J1463,IF(LEN(R1463&amp;S1463)=0,"","
")&amp;T1464,""))</f>
        <v xml:space="preserve"> 1. Using advertising, product and article statistics, identify the following:
	• Frequency of meta-tag and synonym use over time
	• Frequency of meta-tag and synonym use per campaign and special event
	• Frequency of meta-tag hierarchy and dimension use over time
	• Frequency of meta-tag hierarchy and dimension use per campaign and special event
	• Match of meta-tags to search terms</v>
      </c>
      <c r="U1463" s="122" t="str">
        <v/>
      </c>
      <c r="V1463" s="42"/>
      <c r="W1463" s="42"/>
      <c r="X1463" s="42"/>
      <c r="Y1463" s="42"/>
      <c r="Z1463" s="42"/>
      <c r="AA1463" s="42"/>
      <c r="AB1463" s="42"/>
    </row>
    <row r="1464" spans="1:28" x14ac:dyDescent="0.25">
      <c r="A1464" s="42" t="str">
        <v>1.26.6.1</v>
      </c>
      <c r="B1464" s="121" t="str">
        <v>Using advertising, product and article statistics, identify the following:</v>
      </c>
      <c r="C1464" s="41">
        <v>4</v>
      </c>
      <c r="D1464" s="41" t="str">
        <v>RD</v>
      </c>
      <c r="E1464" s="117" t="str">
        <f t="shared" si="0"/>
        <v>RD</v>
      </c>
      <c r="F1464" s="41" t="str">
        <v/>
      </c>
      <c r="G1464" s="41" t="str">
        <v/>
      </c>
      <c r="H1464" s="117">
        <f t="shared" si="1"/>
        <v>0</v>
      </c>
      <c r="I1464" s="117">
        <f t="shared" si="2"/>
        <v>26</v>
      </c>
      <c r="J1464" s="117">
        <f t="shared" si="3"/>
        <v>26.060000000000009</v>
      </c>
      <c r="K1464" s="117" t="str">
        <f t="shared" si="4"/>
        <v>BR</v>
      </c>
      <c r="L1464" s="42" t="str">
        <v>BR2606</v>
      </c>
      <c r="M1464" s="121" t="str">
        <v/>
      </c>
      <c r="N1464" s="121" t="str">
        <v/>
      </c>
      <c r="O1464" s="121" t="str">
        <v/>
      </c>
      <c r="P1464" s="121" t="str">
        <v/>
      </c>
      <c r="Q1464" s="121" t="str">
        <v xml:space="preserve"> 1. </v>
      </c>
      <c r="R1464" s="121" t="str">
        <v>Using advertising, product and article statistics, identify the following:</v>
      </c>
      <c r="S1464" s="121" t="str">
        <v/>
      </c>
      <c r="T1464" s="119" t="str">
        <f>IF($C1464&lt;4,IF($C1464=3,T1465,IF($C1464=2,T$1,"")),Q1464&amp;R1464&amp;IF(LEN(S1464)=0,"",Preferences!$C$2&amp;S1464)&amp;IF(J1465=J1464,IF(LEN(R1464&amp;S1464)=0,"","
")&amp;T1465,""))</f>
        <v xml:space="preserve"> 1. Using advertising, product and article statistics, identify the following:
	• Frequency of meta-tag and synonym use over time
	• Frequency of meta-tag and synonym use per campaign and special event
	• Frequency of meta-tag hierarchy and dimension use over time
	• Frequency of meta-tag hierarchy and dimension use per campaign and special event
	• Match of meta-tags to search terms</v>
      </c>
      <c r="U1464" s="122" t="str">
        <v/>
      </c>
      <c r="V1464" s="42"/>
      <c r="W1464" s="42"/>
      <c r="X1464" s="42"/>
      <c r="Y1464" s="42"/>
      <c r="Z1464" s="42"/>
      <c r="AA1464" s="42"/>
      <c r="AB1464" s="42"/>
    </row>
    <row r="1465" spans="1:28" x14ac:dyDescent="0.25">
      <c r="A1465" s="42" t="str">
        <v>1.26.6.1.1</v>
      </c>
      <c r="B1465" s="121" t="str">
        <v>Frequency of meta-tag and synonym use over time</v>
      </c>
      <c r="C1465" s="41">
        <v>5</v>
      </c>
      <c r="D1465" s="41" t="str">
        <v>RL</v>
      </c>
      <c r="E1465" s="117" t="str">
        <f t="shared" si="0"/>
        <v>RL</v>
      </c>
      <c r="F1465" s="41" t="str">
        <v/>
      </c>
      <c r="G1465" s="41" t="str">
        <v/>
      </c>
      <c r="H1465" s="117">
        <f t="shared" si="1"/>
        <v>0</v>
      </c>
      <c r="I1465" s="117">
        <f t="shared" si="2"/>
        <v>26</v>
      </c>
      <c r="J1465" s="117">
        <f t="shared" si="3"/>
        <v>26.060000000000009</v>
      </c>
      <c r="K1465" s="117" t="str">
        <f t="shared" si="4"/>
        <v>BR</v>
      </c>
      <c r="L1465" s="42" t="str">
        <v>BR2606</v>
      </c>
      <c r="M1465" s="121" t="str">
        <v/>
      </c>
      <c r="N1465" s="121" t="str">
        <v/>
      </c>
      <c r="O1465" s="121" t="str">
        <v/>
      </c>
      <c r="P1465" s="121" t="str">
        <v/>
      </c>
      <c r="Q1465" s="121" t="str">
        <v/>
      </c>
      <c r="R1465" s="121" t="str">
        <v/>
      </c>
      <c r="S1465" s="121" t="str">
        <v>Frequency of meta-tag and synonym use over time</v>
      </c>
      <c r="T1465" s="119" t="str">
        <f>IF($C1465&lt;4,IF($C1465=3,T1466,IF($C1465=2,T$1,"")),Q1465&amp;R1465&amp;IF(LEN(S1465)=0,"",Preferences!$C$2&amp;S1465)&amp;IF(J1466=J1465,IF(LEN(R1465&amp;S1465)=0,"","
")&amp;T1466,""))</f>
        <v xml:space="preserve">	• Frequency of meta-tag and synonym use over time
	• Frequency of meta-tag and synonym use per campaign and special event
	• Frequency of meta-tag hierarchy and dimension use over time
	• Frequency of meta-tag hierarchy and dimension use per campaign and special event
	• Match of meta-tags to search terms</v>
      </c>
      <c r="U1465" s="122" t="str">
        <v/>
      </c>
      <c r="V1465" s="42"/>
      <c r="W1465" s="42"/>
      <c r="X1465" s="42"/>
      <c r="Y1465" s="42"/>
      <c r="Z1465" s="42"/>
      <c r="AA1465" s="42"/>
      <c r="AB1465" s="42"/>
    </row>
    <row r="1466" spans="1:28" x14ac:dyDescent="0.25">
      <c r="A1466" s="42" t="str">
        <v>1.26.6.1.2</v>
      </c>
      <c r="B1466" s="121" t="str">
        <v>Frequency of meta-tag and synonym use per campaign and special event</v>
      </c>
      <c r="C1466" s="41">
        <v>5</v>
      </c>
      <c r="D1466" s="41" t="str">
        <v>RL</v>
      </c>
      <c r="E1466" s="117" t="str">
        <f t="shared" si="0"/>
        <v>RL</v>
      </c>
      <c r="F1466" s="41" t="str">
        <v/>
      </c>
      <c r="G1466" s="41" t="str">
        <v/>
      </c>
      <c r="H1466" s="117">
        <f t="shared" si="1"/>
        <v>0</v>
      </c>
      <c r="I1466" s="117">
        <f t="shared" si="2"/>
        <v>26</v>
      </c>
      <c r="J1466" s="117">
        <f t="shared" si="3"/>
        <v>26.060000000000009</v>
      </c>
      <c r="K1466" s="117" t="str">
        <f t="shared" si="4"/>
        <v>BR</v>
      </c>
      <c r="L1466" s="42" t="str">
        <v>BR2606</v>
      </c>
      <c r="M1466" s="121" t="str">
        <v/>
      </c>
      <c r="N1466" s="121" t="str">
        <v/>
      </c>
      <c r="O1466" s="121" t="str">
        <v/>
      </c>
      <c r="P1466" s="121" t="str">
        <v/>
      </c>
      <c r="Q1466" s="121" t="str">
        <v/>
      </c>
      <c r="R1466" s="121" t="str">
        <v/>
      </c>
      <c r="S1466" s="121" t="str">
        <v>Frequency of meta-tag and synonym use per campaign and special event</v>
      </c>
      <c r="T1466" s="119" t="str">
        <f>IF($C1466&lt;4,IF($C1466=3,T1467,IF($C1466=2,T$1,"")),Q1466&amp;R1466&amp;IF(LEN(S1466)=0,"",Preferences!$C$2&amp;S1466)&amp;IF(J1467=J1466,IF(LEN(R1466&amp;S1466)=0,"","
")&amp;T1467,""))</f>
        <v xml:space="preserve">	• Frequency of meta-tag and synonym use per campaign and special event
	• Frequency of meta-tag hierarchy and dimension use over time
	• Frequency of meta-tag hierarchy and dimension use per campaign and special event
	• Match of meta-tags to search terms</v>
      </c>
      <c r="U1466" s="122" t="str">
        <v/>
      </c>
      <c r="V1466" s="42"/>
      <c r="W1466" s="42"/>
      <c r="X1466" s="42"/>
      <c r="Y1466" s="42"/>
      <c r="Z1466" s="42"/>
      <c r="AA1466" s="42"/>
      <c r="AB1466" s="42"/>
    </row>
    <row r="1467" spans="1:28" x14ac:dyDescent="0.25">
      <c r="A1467" s="42" t="str">
        <v>1.26.6.1.3</v>
      </c>
      <c r="B1467" s="121" t="str">
        <v>Frequency of meta-tag hierarchy and dimension use over time</v>
      </c>
      <c r="C1467" s="41">
        <v>5</v>
      </c>
      <c r="D1467" s="41" t="str">
        <v>RL</v>
      </c>
      <c r="E1467" s="117" t="str">
        <f t="shared" si="0"/>
        <v>RL</v>
      </c>
      <c r="F1467" s="41" t="str">
        <v/>
      </c>
      <c r="G1467" s="41" t="str">
        <v/>
      </c>
      <c r="H1467" s="117">
        <f t="shared" si="1"/>
        <v>0</v>
      </c>
      <c r="I1467" s="117">
        <f t="shared" si="2"/>
        <v>26</v>
      </c>
      <c r="J1467" s="117">
        <f t="shared" si="3"/>
        <v>26.060000000000009</v>
      </c>
      <c r="K1467" s="117" t="str">
        <f t="shared" si="4"/>
        <v>BR</v>
      </c>
      <c r="L1467" s="42" t="str">
        <v>BR2606</v>
      </c>
      <c r="M1467" s="121" t="str">
        <v/>
      </c>
      <c r="N1467" s="121" t="str">
        <v/>
      </c>
      <c r="O1467" s="121" t="str">
        <v/>
      </c>
      <c r="P1467" s="121" t="str">
        <v/>
      </c>
      <c r="Q1467" s="121" t="str">
        <v/>
      </c>
      <c r="R1467" s="121" t="str">
        <v/>
      </c>
      <c r="S1467" s="121" t="str">
        <v>Frequency of meta-tag hierarchy and dimension use over time</v>
      </c>
      <c r="T1467" s="119" t="str">
        <f>IF($C1467&lt;4,IF($C1467=3,T1468,IF($C1467=2,T$1,"")),Q1467&amp;R1467&amp;IF(LEN(S1467)=0,"",Preferences!$C$2&amp;S1467)&amp;IF(J1468=J1467,IF(LEN(R1467&amp;S1467)=0,"","
")&amp;T1468,""))</f>
        <v xml:space="preserve">	• Frequency of meta-tag hierarchy and dimension use over time
	• Frequency of meta-tag hierarchy and dimension use per campaign and special event
	• Match of meta-tags to search terms</v>
      </c>
      <c r="U1467" s="122" t="str">
        <v/>
      </c>
      <c r="V1467" s="42"/>
      <c r="W1467" s="42"/>
      <c r="X1467" s="42"/>
      <c r="Y1467" s="42"/>
      <c r="Z1467" s="42"/>
      <c r="AA1467" s="42"/>
      <c r="AB1467" s="42"/>
    </row>
    <row r="1468" spans="1:28" x14ac:dyDescent="0.25">
      <c r="A1468" s="42" t="str">
        <v>1.26.6.1.4</v>
      </c>
      <c r="B1468" s="121" t="str">
        <v>Frequency of meta-tag hierarchy and dimension use per campaign and special event</v>
      </c>
      <c r="C1468" s="41">
        <v>5</v>
      </c>
      <c r="D1468" s="41" t="str">
        <v>RL</v>
      </c>
      <c r="E1468" s="117" t="str">
        <f t="shared" si="0"/>
        <v>RL</v>
      </c>
      <c r="F1468" s="41" t="str">
        <v/>
      </c>
      <c r="G1468" s="41" t="str">
        <v/>
      </c>
      <c r="H1468" s="117">
        <f t="shared" si="1"/>
        <v>0</v>
      </c>
      <c r="I1468" s="117">
        <f t="shared" si="2"/>
        <v>26</v>
      </c>
      <c r="J1468" s="117">
        <f t="shared" si="3"/>
        <v>26.060000000000009</v>
      </c>
      <c r="K1468" s="117" t="str">
        <f t="shared" si="4"/>
        <v>BR</v>
      </c>
      <c r="L1468" s="42" t="str">
        <v>BR2606</v>
      </c>
      <c r="M1468" s="121" t="str">
        <v/>
      </c>
      <c r="N1468" s="121" t="str">
        <v/>
      </c>
      <c r="O1468" s="121" t="str">
        <v/>
      </c>
      <c r="P1468" s="121" t="str">
        <v/>
      </c>
      <c r="Q1468" s="121" t="str">
        <v/>
      </c>
      <c r="R1468" s="121" t="str">
        <v/>
      </c>
      <c r="S1468" s="121" t="str">
        <v>Frequency of meta-tag hierarchy and dimension use per campaign and special event</v>
      </c>
      <c r="T1468" s="119" t="str">
        <f>IF($C1468&lt;4,IF($C1468=3,T1469,IF($C1468=2,T$1,"")),Q1468&amp;R1468&amp;IF(LEN(S1468)=0,"",Preferences!$C$2&amp;S1468)&amp;IF(J1469=J1468,IF(LEN(R1468&amp;S1468)=0,"","
")&amp;T1469,""))</f>
        <v xml:space="preserve">	• Frequency of meta-tag hierarchy and dimension use per campaign and special event
	• Match of meta-tags to search terms</v>
      </c>
      <c r="U1468" s="122" t="str">
        <v/>
      </c>
      <c r="V1468" s="42"/>
      <c r="W1468" s="42"/>
      <c r="X1468" s="42"/>
      <c r="Y1468" s="42"/>
      <c r="Z1468" s="42"/>
      <c r="AA1468" s="42"/>
      <c r="AB1468" s="42"/>
    </row>
    <row r="1469" spans="1:28" x14ac:dyDescent="0.25">
      <c r="A1469" s="42" t="str">
        <v>1.26.6.1.5</v>
      </c>
      <c r="B1469" s="121" t="str">
        <v>Match of meta-tags to search terms</v>
      </c>
      <c r="C1469" s="41">
        <v>5</v>
      </c>
      <c r="D1469" s="41" t="str">
        <v>RL</v>
      </c>
      <c r="E1469" s="117" t="str">
        <f t="shared" si="0"/>
        <v>RL</v>
      </c>
      <c r="F1469" s="41" t="str">
        <v/>
      </c>
      <c r="G1469" s="41" t="str">
        <v/>
      </c>
      <c r="H1469" s="117">
        <f t="shared" si="1"/>
        <v>0</v>
      </c>
      <c r="I1469" s="117">
        <f t="shared" si="2"/>
        <v>26</v>
      </c>
      <c r="J1469" s="117">
        <f t="shared" si="3"/>
        <v>26.060000000000009</v>
      </c>
      <c r="K1469" s="117" t="str">
        <f t="shared" si="4"/>
        <v>BR</v>
      </c>
      <c r="L1469" s="42" t="str">
        <v>BR2606</v>
      </c>
      <c r="M1469" s="121" t="str">
        <v/>
      </c>
      <c r="N1469" s="121" t="str">
        <v/>
      </c>
      <c r="O1469" s="121" t="str">
        <v/>
      </c>
      <c r="P1469" s="121" t="str">
        <v/>
      </c>
      <c r="Q1469" s="121" t="str">
        <v/>
      </c>
      <c r="R1469" s="121" t="str">
        <v/>
      </c>
      <c r="S1469" s="121" t="str">
        <v>Match of meta-tags to search terms</v>
      </c>
      <c r="T1469" s="119" t="str">
        <f>IF($C1469&lt;4,IF($C1469=3,T1470,IF($C1469=2,T$1,"")),Q1469&amp;R1469&amp;IF(LEN(S1469)=0,"",Preferences!$C$2&amp;S1469)&amp;IF(J1470=J1469,IF(LEN(R1469&amp;S1469)=0,"","
")&amp;T1470,""))</f>
        <v xml:space="preserve">	• Match of meta-tags to search terms</v>
      </c>
      <c r="U1469" s="122" t="str">
        <v/>
      </c>
      <c r="V1469" s="42"/>
      <c r="W1469" s="42"/>
      <c r="X1469" s="42"/>
      <c r="Y1469" s="42"/>
      <c r="Z1469" s="42"/>
      <c r="AA1469" s="42"/>
      <c r="AB1469" s="42"/>
    </row>
    <row r="1470" spans="1:28" x14ac:dyDescent="0.25">
      <c r="A1470" s="42" t="str">
        <v>1.26.7</v>
      </c>
      <c r="B1470" s="121" t="str">
        <v>26.7 Compile and track search term activity</v>
      </c>
      <c r="C1470" s="41">
        <v>3</v>
      </c>
      <c r="D1470" s="41" t="str">
        <v>R</v>
      </c>
      <c r="E1470" s="117" t="str">
        <f t="shared" si="0"/>
        <v>R</v>
      </c>
      <c r="F1470" s="41" t="str">
        <v/>
      </c>
      <c r="G1470" s="41" t="str">
        <v/>
      </c>
      <c r="H1470" s="117">
        <f t="shared" si="1"/>
        <v>0</v>
      </c>
      <c r="I1470" s="117">
        <f t="shared" si="2"/>
        <v>26</v>
      </c>
      <c r="J1470" s="117">
        <f t="shared" si="3"/>
        <v>26.070000000000011</v>
      </c>
      <c r="K1470" s="117" t="str">
        <f t="shared" si="4"/>
        <v>BR</v>
      </c>
      <c r="L1470" s="42" t="str">
        <v>BR2607</v>
      </c>
      <c r="M1470" s="121" t="str">
        <v/>
      </c>
      <c r="N1470" s="121" t="str">
        <v/>
      </c>
      <c r="O1470" s="121" t="str">
        <v>BR2607</v>
      </c>
      <c r="P1470" s="121" t="str">
        <v>Compile and track search term activity</v>
      </c>
      <c r="Q1470" s="121" t="str">
        <v/>
      </c>
      <c r="R1470" s="121" t="str">
        <v/>
      </c>
      <c r="S1470" s="121" t="str">
        <v/>
      </c>
      <c r="T1470" s="119" t="str">
        <f>IF($C1470&lt;4,IF($C1470=3,T1471,IF($C1470=2,T$1,"")),Q1470&amp;R1470&amp;IF(LEN(S1470)=0,"",Preferences!$C$2&amp;S1470)&amp;IF(J1471=J1470,IF(LEN(R1470&amp;S1470)=0,"","
")&amp;T1471,""))</f>
        <v xml:space="preserve"> 1. Using advertising, product and article statistics, identify the following:
	• Frequency of search-term and word use over time
	• Frequency of search-term and word use per campaign and special event
	• Search terms/words with no matching meta-tags
	• Search terms that returned no results
	• Search terms that did/not result in a product view
	• Search terms that did/not result in a product purchase</v>
      </c>
      <c r="U1470" s="122" t="str">
        <v/>
      </c>
      <c r="V1470" s="42"/>
      <c r="W1470" s="42"/>
      <c r="X1470" s="42"/>
      <c r="Y1470" s="42"/>
      <c r="Z1470" s="42"/>
      <c r="AA1470" s="42"/>
      <c r="AB1470" s="42"/>
    </row>
    <row r="1471" spans="1:28" x14ac:dyDescent="0.25">
      <c r="A1471" s="42" t="str">
        <v>1.26.7.1</v>
      </c>
      <c r="B1471" s="121" t="str">
        <v>Using advertising, product and article statistics, identify the following:</v>
      </c>
      <c r="C1471" s="41">
        <v>4</v>
      </c>
      <c r="D1471" s="41" t="str">
        <v>RD</v>
      </c>
      <c r="E1471" s="117" t="str">
        <f t="shared" si="0"/>
        <v>RD</v>
      </c>
      <c r="F1471" s="41" t="str">
        <v/>
      </c>
      <c r="G1471" s="41" t="str">
        <v/>
      </c>
      <c r="H1471" s="117">
        <f t="shared" si="1"/>
        <v>0</v>
      </c>
      <c r="I1471" s="117">
        <f t="shared" si="2"/>
        <v>26</v>
      </c>
      <c r="J1471" s="117">
        <f t="shared" si="3"/>
        <v>26.070000000000011</v>
      </c>
      <c r="K1471" s="117" t="str">
        <f t="shared" si="4"/>
        <v>BR</v>
      </c>
      <c r="L1471" s="42" t="str">
        <v>BR2607</v>
      </c>
      <c r="M1471" s="121" t="str">
        <v/>
      </c>
      <c r="N1471" s="121" t="str">
        <v/>
      </c>
      <c r="O1471" s="121" t="str">
        <v/>
      </c>
      <c r="P1471" s="121" t="str">
        <v/>
      </c>
      <c r="Q1471" s="121" t="str">
        <v xml:space="preserve"> 1. </v>
      </c>
      <c r="R1471" s="121" t="str">
        <v>Using advertising, product and article statistics, identify the following:</v>
      </c>
      <c r="S1471" s="121" t="str">
        <v/>
      </c>
      <c r="T1471" s="119" t="str">
        <f>IF($C1471&lt;4,IF($C1471=3,T1472,IF($C1471=2,T$1,"")),Q1471&amp;R1471&amp;IF(LEN(S1471)=0,"",Preferences!$C$2&amp;S1471)&amp;IF(J1472=J1471,IF(LEN(R1471&amp;S1471)=0,"","
")&amp;T1472,""))</f>
        <v xml:space="preserve"> 1. Using advertising, product and article statistics, identify the following:
	• Frequency of search-term and word use over time
	• Frequency of search-term and word use per campaign and special event
	• Search terms/words with no matching meta-tags
	• Search terms that returned no results
	• Search terms that did/not result in a product view
	• Search terms that did/not result in a product purchase</v>
      </c>
      <c r="U1471" s="122" t="str">
        <v/>
      </c>
      <c r="V1471" s="42"/>
      <c r="W1471" s="42"/>
      <c r="X1471" s="42"/>
      <c r="Y1471" s="42"/>
      <c r="Z1471" s="42"/>
      <c r="AA1471" s="42"/>
      <c r="AB1471" s="42"/>
    </row>
    <row r="1472" spans="1:28" x14ac:dyDescent="0.25">
      <c r="A1472" s="42" t="str">
        <v>1.26.7.1.1</v>
      </c>
      <c r="B1472" s="121" t="str">
        <v>Frequency of search-term and word use over time</v>
      </c>
      <c r="C1472" s="41">
        <v>5</v>
      </c>
      <c r="D1472" s="41" t="str">
        <v>RL</v>
      </c>
      <c r="E1472" s="117" t="str">
        <f t="shared" si="0"/>
        <v>RL</v>
      </c>
      <c r="F1472" s="41" t="str">
        <v/>
      </c>
      <c r="G1472" s="41" t="str">
        <v/>
      </c>
      <c r="H1472" s="117">
        <f t="shared" si="1"/>
        <v>0</v>
      </c>
      <c r="I1472" s="117">
        <f t="shared" si="2"/>
        <v>26</v>
      </c>
      <c r="J1472" s="117">
        <f t="shared" si="3"/>
        <v>26.070000000000011</v>
      </c>
      <c r="K1472" s="117" t="str">
        <f t="shared" si="4"/>
        <v>BR</v>
      </c>
      <c r="L1472" s="42" t="str">
        <v>BR2607</v>
      </c>
      <c r="M1472" s="121" t="str">
        <v/>
      </c>
      <c r="N1472" s="121" t="str">
        <v/>
      </c>
      <c r="O1472" s="121" t="str">
        <v/>
      </c>
      <c r="P1472" s="121" t="str">
        <v/>
      </c>
      <c r="Q1472" s="121" t="str">
        <v/>
      </c>
      <c r="R1472" s="121" t="str">
        <v/>
      </c>
      <c r="S1472" s="121" t="str">
        <v>Frequency of search-term and word use over time</v>
      </c>
      <c r="T1472" s="119" t="str">
        <f>IF($C1472&lt;4,IF($C1472=3,T1473,IF($C1472=2,T$1,"")),Q1472&amp;R1472&amp;IF(LEN(S1472)=0,"",Preferences!$C$2&amp;S1472)&amp;IF(J1473=J1472,IF(LEN(R1472&amp;S1472)=0,"","
")&amp;T1473,""))</f>
        <v xml:space="preserve">	• Frequency of search-term and word use over time
	• Frequency of search-term and word use per campaign and special event
	• Search terms/words with no matching meta-tags
	• Search terms that returned no results
	• Search terms that did/not result in a product view
	• Search terms that did/not result in a product purchase</v>
      </c>
      <c r="U1472" s="122" t="str">
        <v/>
      </c>
      <c r="V1472" s="42"/>
      <c r="W1472" s="42"/>
      <c r="X1472" s="42"/>
      <c r="Y1472" s="42"/>
      <c r="Z1472" s="42"/>
      <c r="AA1472" s="42"/>
      <c r="AB1472" s="42"/>
    </row>
    <row r="1473" spans="1:28" x14ac:dyDescent="0.25">
      <c r="A1473" s="42" t="str">
        <v>1.26.7.1.2</v>
      </c>
      <c r="B1473" s="121" t="str">
        <v>Frequency of search-term and word use per campaign and special event</v>
      </c>
      <c r="C1473" s="41">
        <v>5</v>
      </c>
      <c r="D1473" s="41" t="str">
        <v>RL</v>
      </c>
      <c r="E1473" s="117" t="str">
        <f t="shared" si="0"/>
        <v>RL</v>
      </c>
      <c r="F1473" s="41" t="str">
        <v/>
      </c>
      <c r="G1473" s="41" t="str">
        <v/>
      </c>
      <c r="H1473" s="117">
        <f t="shared" si="1"/>
        <v>0</v>
      </c>
      <c r="I1473" s="117">
        <f t="shared" si="2"/>
        <v>26</v>
      </c>
      <c r="J1473" s="117">
        <f t="shared" si="3"/>
        <v>26.070000000000011</v>
      </c>
      <c r="K1473" s="117" t="str">
        <f t="shared" si="4"/>
        <v>BR</v>
      </c>
      <c r="L1473" s="42" t="str">
        <v>BR2607</v>
      </c>
      <c r="M1473" s="121" t="str">
        <v/>
      </c>
      <c r="N1473" s="121" t="str">
        <v/>
      </c>
      <c r="O1473" s="121" t="str">
        <v/>
      </c>
      <c r="P1473" s="121" t="str">
        <v/>
      </c>
      <c r="Q1473" s="121" t="str">
        <v/>
      </c>
      <c r="R1473" s="121" t="str">
        <v/>
      </c>
      <c r="S1473" s="121" t="str">
        <v>Frequency of search-term and word use per campaign and special event</v>
      </c>
      <c r="T1473" s="119" t="str">
        <f>IF($C1473&lt;4,IF($C1473=3,T1474,IF($C1473=2,T$1,"")),Q1473&amp;R1473&amp;IF(LEN(S1473)=0,"",Preferences!$C$2&amp;S1473)&amp;IF(J1474=J1473,IF(LEN(R1473&amp;S1473)=0,"","
")&amp;T1474,""))</f>
        <v xml:space="preserve">	• Frequency of search-term and word use per campaign and special event
	• Search terms/words with no matching meta-tags
	• Search terms that returned no results
	• Search terms that did/not result in a product view
	• Search terms that did/not result in a product purchase</v>
      </c>
      <c r="U1473" s="122" t="str">
        <v/>
      </c>
      <c r="V1473" s="42"/>
      <c r="W1473" s="42"/>
      <c r="X1473" s="42"/>
      <c r="Y1473" s="42"/>
      <c r="Z1473" s="42"/>
      <c r="AA1473" s="42"/>
      <c r="AB1473" s="42"/>
    </row>
    <row r="1474" spans="1:28" x14ac:dyDescent="0.25">
      <c r="A1474" s="42" t="str">
        <v>1.26.7.1.3</v>
      </c>
      <c r="B1474" s="121" t="str">
        <v>Search terms/words with no matching meta-tags</v>
      </c>
      <c r="C1474" s="41">
        <v>5</v>
      </c>
      <c r="D1474" s="41" t="str">
        <v>RL</v>
      </c>
      <c r="E1474" s="117" t="str">
        <f t="shared" si="0"/>
        <v>RL</v>
      </c>
      <c r="F1474" s="41" t="str">
        <v/>
      </c>
      <c r="G1474" s="41" t="str">
        <v/>
      </c>
      <c r="H1474" s="117">
        <f t="shared" si="1"/>
        <v>0</v>
      </c>
      <c r="I1474" s="117">
        <f t="shared" si="2"/>
        <v>26</v>
      </c>
      <c r="J1474" s="117">
        <f t="shared" si="3"/>
        <v>26.070000000000011</v>
      </c>
      <c r="K1474" s="117" t="str">
        <f t="shared" si="4"/>
        <v>BR</v>
      </c>
      <c r="L1474" s="42" t="str">
        <v>BR2607</v>
      </c>
      <c r="M1474" s="121" t="str">
        <v/>
      </c>
      <c r="N1474" s="121" t="str">
        <v/>
      </c>
      <c r="O1474" s="121" t="str">
        <v/>
      </c>
      <c r="P1474" s="121" t="str">
        <v/>
      </c>
      <c r="Q1474" s="121" t="str">
        <v/>
      </c>
      <c r="R1474" s="121" t="str">
        <v/>
      </c>
      <c r="S1474" s="121" t="str">
        <v>Search terms/words with no matching meta-tags</v>
      </c>
      <c r="T1474" s="119" t="str">
        <f>IF($C1474&lt;4,IF($C1474=3,T1475,IF($C1474=2,T$1,"")),Q1474&amp;R1474&amp;IF(LEN(S1474)=0,"",Preferences!$C$2&amp;S1474)&amp;IF(J1475=J1474,IF(LEN(R1474&amp;S1474)=0,"","
")&amp;T1475,""))</f>
        <v xml:space="preserve">	• Search terms/words with no matching meta-tags
	• Search terms that returned no results
	• Search terms that did/not result in a product view
	• Search terms that did/not result in a product purchase</v>
      </c>
      <c r="U1474" s="122" t="str">
        <v/>
      </c>
      <c r="V1474" s="42"/>
      <c r="W1474" s="42"/>
      <c r="X1474" s="42"/>
      <c r="Y1474" s="42"/>
      <c r="Z1474" s="42"/>
      <c r="AA1474" s="42"/>
      <c r="AB1474" s="42"/>
    </row>
    <row r="1475" spans="1:28" x14ac:dyDescent="0.25">
      <c r="A1475" s="42" t="str">
        <v>1.26.7.1.4</v>
      </c>
      <c r="B1475" s="121" t="str">
        <v>Search terms that returned no results</v>
      </c>
      <c r="C1475" s="41">
        <v>5</v>
      </c>
      <c r="D1475" s="41" t="str">
        <v>RL</v>
      </c>
      <c r="E1475" s="117" t="str">
        <f t="shared" si="0"/>
        <v>RL</v>
      </c>
      <c r="F1475" s="41" t="str">
        <v/>
      </c>
      <c r="G1475" s="41" t="str">
        <v/>
      </c>
      <c r="H1475" s="117">
        <f t="shared" si="1"/>
        <v>0</v>
      </c>
      <c r="I1475" s="117">
        <f t="shared" si="2"/>
        <v>26</v>
      </c>
      <c r="J1475" s="117">
        <f t="shared" si="3"/>
        <v>26.070000000000011</v>
      </c>
      <c r="K1475" s="117" t="str">
        <f t="shared" si="4"/>
        <v>BR</v>
      </c>
      <c r="L1475" s="42" t="str">
        <v>BR2607</v>
      </c>
      <c r="M1475" s="121" t="str">
        <v/>
      </c>
      <c r="N1475" s="121" t="str">
        <v/>
      </c>
      <c r="O1475" s="121" t="str">
        <v/>
      </c>
      <c r="P1475" s="121" t="str">
        <v/>
      </c>
      <c r="Q1475" s="121" t="str">
        <v/>
      </c>
      <c r="R1475" s="121" t="str">
        <v/>
      </c>
      <c r="S1475" s="121" t="str">
        <v>Search terms that returned no results</v>
      </c>
      <c r="T1475" s="119" t="str">
        <f>IF($C1475&lt;4,IF($C1475=3,T1476,IF($C1475=2,T$1,"")),Q1475&amp;R1475&amp;IF(LEN(S1475)=0,"",Preferences!$C$2&amp;S1475)&amp;IF(J1476=J1475,IF(LEN(R1475&amp;S1475)=0,"","
")&amp;T1476,""))</f>
        <v xml:space="preserve">	• Search terms that returned no results
	• Search terms that did/not result in a product view
	• Search terms that did/not result in a product purchase</v>
      </c>
      <c r="U1475" s="122" t="str">
        <v/>
      </c>
      <c r="V1475" s="42"/>
      <c r="W1475" s="42"/>
      <c r="X1475" s="42"/>
      <c r="Y1475" s="42"/>
      <c r="Z1475" s="42"/>
      <c r="AA1475" s="42"/>
      <c r="AB1475" s="42"/>
    </row>
    <row r="1476" spans="1:28" x14ac:dyDescent="0.25">
      <c r="A1476" s="42" t="str">
        <v>1.26.7.1.5</v>
      </c>
      <c r="B1476" s="121" t="str">
        <v>Search terms that did/not result in a product view</v>
      </c>
      <c r="C1476" s="41">
        <v>5</v>
      </c>
      <c r="D1476" s="41" t="str">
        <v>RL</v>
      </c>
      <c r="E1476" s="117" t="str">
        <f t="shared" si="0"/>
        <v>RL</v>
      </c>
      <c r="F1476" s="41" t="str">
        <v/>
      </c>
      <c r="G1476" s="41" t="str">
        <v/>
      </c>
      <c r="H1476" s="117">
        <f t="shared" si="1"/>
        <v>0</v>
      </c>
      <c r="I1476" s="117">
        <f t="shared" si="2"/>
        <v>26</v>
      </c>
      <c r="J1476" s="117">
        <f t="shared" si="3"/>
        <v>26.070000000000011</v>
      </c>
      <c r="K1476" s="117" t="str">
        <f t="shared" si="4"/>
        <v>BR</v>
      </c>
      <c r="L1476" s="42" t="str">
        <v>BR2607</v>
      </c>
      <c r="M1476" s="121" t="str">
        <v/>
      </c>
      <c r="N1476" s="121" t="str">
        <v/>
      </c>
      <c r="O1476" s="121" t="str">
        <v/>
      </c>
      <c r="P1476" s="121" t="str">
        <v/>
      </c>
      <c r="Q1476" s="121" t="str">
        <v/>
      </c>
      <c r="R1476" s="121" t="str">
        <v/>
      </c>
      <c r="S1476" s="121" t="str">
        <v>Search terms that did/not result in a product view</v>
      </c>
      <c r="T1476" s="119" t="str">
        <f>IF($C1476&lt;4,IF($C1476=3,T1477,IF($C1476=2,T$1,"")),Q1476&amp;R1476&amp;IF(LEN(S1476)=0,"",Preferences!$C$2&amp;S1476)&amp;IF(J1477=J1476,IF(LEN(R1476&amp;S1476)=0,"","
")&amp;T1477,""))</f>
        <v xml:space="preserve">	• Search terms that did/not result in a product view
	• Search terms that did/not result in a product purchase</v>
      </c>
      <c r="U1476" s="122" t="str">
        <v/>
      </c>
      <c r="V1476" s="42"/>
      <c r="W1476" s="42"/>
      <c r="X1476" s="42"/>
      <c r="Y1476" s="42"/>
      <c r="Z1476" s="42"/>
      <c r="AA1476" s="42"/>
      <c r="AB1476" s="42"/>
    </row>
    <row r="1477" spans="1:28" x14ac:dyDescent="0.25">
      <c r="A1477" s="42" t="str">
        <v>1.26.7.1.6</v>
      </c>
      <c r="B1477" s="121" t="str">
        <v>Search terms that did/not result in a product purchase</v>
      </c>
      <c r="C1477" s="41">
        <v>5</v>
      </c>
      <c r="D1477" s="41" t="str">
        <v>RL</v>
      </c>
      <c r="E1477" s="117" t="str">
        <f t="shared" si="0"/>
        <v>RL</v>
      </c>
      <c r="F1477" s="41" t="str">
        <v/>
      </c>
      <c r="G1477" s="41" t="str">
        <v/>
      </c>
      <c r="H1477" s="117">
        <f t="shared" si="1"/>
        <v>0</v>
      </c>
      <c r="I1477" s="117">
        <f t="shared" si="2"/>
        <v>26</v>
      </c>
      <c r="J1477" s="117">
        <f t="shared" si="3"/>
        <v>26.070000000000011</v>
      </c>
      <c r="K1477" s="117" t="str">
        <f t="shared" si="4"/>
        <v>BR</v>
      </c>
      <c r="L1477" s="42" t="str">
        <v>BR2607</v>
      </c>
      <c r="M1477" s="121" t="str">
        <v/>
      </c>
      <c r="N1477" s="121" t="str">
        <v/>
      </c>
      <c r="O1477" s="121" t="str">
        <v/>
      </c>
      <c r="P1477" s="121" t="str">
        <v/>
      </c>
      <c r="Q1477" s="121" t="str">
        <v/>
      </c>
      <c r="R1477" s="121" t="str">
        <v/>
      </c>
      <c r="S1477" s="121" t="str">
        <v>Search terms that did/not result in a product purchase</v>
      </c>
      <c r="T1477" s="119" t="str">
        <f>IF($C1477&lt;4,IF($C1477=3,T1478,IF($C1477=2,T$1,"")),Q1477&amp;R1477&amp;IF(LEN(S1477)=0,"",Preferences!$C$2&amp;S1477)&amp;IF(J1478=J1477,IF(LEN(R1477&amp;S1477)=0,"","
")&amp;T1478,""))</f>
        <v xml:space="preserve">	• Search terms that did/not result in a product purchase</v>
      </c>
      <c r="U1477" s="122" t="str">
        <v/>
      </c>
      <c r="V1477" s="42"/>
      <c r="W1477" s="42"/>
      <c r="X1477" s="42"/>
      <c r="Y1477" s="42"/>
      <c r="Z1477" s="42"/>
      <c r="AA1477" s="42"/>
      <c r="AB1477" s="42"/>
    </row>
    <row r="1478" spans="1:28" x14ac:dyDescent="0.25">
      <c r="A1478" s="42" t="str">
        <v>1.26.8</v>
      </c>
      <c r="B1478" s="121" t="str">
        <v>26.8 Track customer preferences</v>
      </c>
      <c r="C1478" s="41">
        <v>3</v>
      </c>
      <c r="D1478" s="41" t="str">
        <v>R</v>
      </c>
      <c r="E1478" s="117" t="str">
        <f t="shared" si="0"/>
        <v>R</v>
      </c>
      <c r="F1478" s="41" t="str">
        <v/>
      </c>
      <c r="G1478" s="41" t="str">
        <v/>
      </c>
      <c r="H1478" s="117">
        <f t="shared" si="1"/>
        <v>0</v>
      </c>
      <c r="I1478" s="117">
        <f t="shared" si="2"/>
        <v>26</v>
      </c>
      <c r="J1478" s="117">
        <f t="shared" si="3"/>
        <v>26.080000000000013</v>
      </c>
      <c r="K1478" s="117" t="str">
        <f t="shared" si="4"/>
        <v>BR</v>
      </c>
      <c r="L1478" s="42" t="str">
        <v>BR2608</v>
      </c>
      <c r="M1478" s="121" t="str">
        <v/>
      </c>
      <c r="N1478" s="121" t="str">
        <v/>
      </c>
      <c r="O1478" s="121" t="str">
        <v>BR2608</v>
      </c>
      <c r="P1478" s="121" t="str">
        <v>Track customer preferences</v>
      </c>
      <c r="Q1478" s="121" t="str">
        <v/>
      </c>
      <c r="R1478" s="121" t="str">
        <v/>
      </c>
      <c r="S1478" s="121" t="str">
        <v/>
      </c>
      <c r="T1478" s="119" t="str">
        <f>IF($C1478&lt;4,IF($C1478=3,T1479,IF($C1478=2,T$1,"")),Q1478&amp;R1478&amp;IF(LEN(S1478)=0,"",Preferences!$C$2&amp;S1478)&amp;IF(J1479=J1478,IF(LEN(R1478&amp;S1478)=0,"","
")&amp;T1479,""))</f>
        <v xml:space="preserve"> 1. Track meta-tags and search terms used by each customer, in order to identify and prioritise the meta-tags currently relevant to each customer.
 2. Track products visited, bookmarked, purchased and returned by each customer, in order to identify and prioritise the meta-tags and products currently relevant to each customer.
 3. Track articles visited and bookmarked by each customer, in order to identify and prioritise the meta-tags currently relevant (most used) to each customer.
 4. Also see the Online Shop Recommended Content section</v>
      </c>
      <c r="U1478" s="122" t="str">
        <v/>
      </c>
      <c r="V1478" s="42"/>
      <c r="W1478" s="42"/>
      <c r="X1478" s="42"/>
      <c r="Y1478" s="42"/>
      <c r="Z1478" s="42"/>
      <c r="AA1478" s="42"/>
      <c r="AB1478" s="42"/>
    </row>
    <row r="1479" spans="1:28" x14ac:dyDescent="0.25">
      <c r="A1479" s="42" t="str">
        <v>1.26.8.1</v>
      </c>
      <c r="B1479" s="121" t="str">
        <v>Track meta-tags and search terms used by each customer, in order to identify and prioritise the meta-tags currently relevant to each customer.</v>
      </c>
      <c r="C1479" s="41">
        <v>4</v>
      </c>
      <c r="D1479" s="41" t="str">
        <v>RD</v>
      </c>
      <c r="E1479" s="117" t="str">
        <f t="shared" si="0"/>
        <v>RD</v>
      </c>
      <c r="F1479" s="41" t="str">
        <v/>
      </c>
      <c r="G1479" s="41" t="str">
        <v/>
      </c>
      <c r="H1479" s="117">
        <f t="shared" si="1"/>
        <v>0</v>
      </c>
      <c r="I1479" s="117">
        <f t="shared" si="2"/>
        <v>26</v>
      </c>
      <c r="J1479" s="117">
        <f t="shared" si="3"/>
        <v>26.080000000000013</v>
      </c>
      <c r="K1479" s="117" t="str">
        <f t="shared" si="4"/>
        <v>BR</v>
      </c>
      <c r="L1479" s="42" t="str">
        <v>BR2608</v>
      </c>
      <c r="M1479" s="121" t="str">
        <v/>
      </c>
      <c r="N1479" s="121" t="str">
        <v/>
      </c>
      <c r="O1479" s="121" t="str">
        <v/>
      </c>
      <c r="P1479" s="121" t="str">
        <v/>
      </c>
      <c r="Q1479" s="121" t="str">
        <v xml:space="preserve"> 1. </v>
      </c>
      <c r="R1479" s="121" t="str">
        <v>Track meta-tags and search terms used by each customer, in order to identify and prioritise the meta-tags currently relevant to each customer.</v>
      </c>
      <c r="S1479" s="121" t="str">
        <v/>
      </c>
      <c r="T1479" s="119" t="str">
        <f>IF($C1479&lt;4,IF($C1479=3,T1480,IF($C1479=2,T$1,"")),Q1479&amp;R1479&amp;IF(LEN(S1479)=0,"",Preferences!$C$2&amp;S1479)&amp;IF(J1480=J1479,IF(LEN(R1479&amp;S1479)=0,"","
")&amp;T1480,""))</f>
        <v xml:space="preserve"> 1. Track meta-tags and search terms used by each customer, in order to identify and prioritise the meta-tags currently relevant to each customer.
 2. Track products visited, bookmarked, purchased and returned by each customer, in order to identify and prioritise the meta-tags and products currently relevant to each customer.
 3. Track articles visited and bookmarked by each customer, in order to identify and prioritise the meta-tags currently relevant (most used) to each customer.
 4. Also see the Online Shop Recommended Content section</v>
      </c>
      <c r="U1479" s="122" t="str">
        <v/>
      </c>
      <c r="V1479" s="42"/>
      <c r="W1479" s="42"/>
      <c r="X1479" s="42"/>
      <c r="Y1479" s="42"/>
      <c r="Z1479" s="42"/>
      <c r="AA1479" s="42"/>
      <c r="AB1479" s="42"/>
    </row>
    <row r="1480" spans="1:28" x14ac:dyDescent="0.25">
      <c r="A1480" s="42" t="str">
        <v>1.26.8.2</v>
      </c>
      <c r="B1480" s="121" t="str">
        <v>Track products visited, bookmarked, purchased and returned by each customer, in order to identify and prioritise the meta-tags and products currently relevant to each customer.</v>
      </c>
      <c r="C1480" s="41">
        <v>4</v>
      </c>
      <c r="D1480" s="41" t="str">
        <v>RD</v>
      </c>
      <c r="E1480" s="117" t="str">
        <f t="shared" si="0"/>
        <v>RD</v>
      </c>
      <c r="F1480" s="41" t="str">
        <v/>
      </c>
      <c r="G1480" s="41" t="str">
        <v/>
      </c>
      <c r="H1480" s="117">
        <f t="shared" si="1"/>
        <v>0</v>
      </c>
      <c r="I1480" s="117">
        <f t="shared" si="2"/>
        <v>26</v>
      </c>
      <c r="J1480" s="117">
        <f t="shared" si="3"/>
        <v>26.080000000000013</v>
      </c>
      <c r="K1480" s="117" t="str">
        <f t="shared" si="4"/>
        <v>BR</v>
      </c>
      <c r="L1480" s="42" t="str">
        <v>BR2608</v>
      </c>
      <c r="M1480" s="121" t="str">
        <v/>
      </c>
      <c r="N1480" s="121" t="str">
        <v/>
      </c>
      <c r="O1480" s="121" t="str">
        <v/>
      </c>
      <c r="P1480" s="121" t="str">
        <v/>
      </c>
      <c r="Q1480" s="121" t="str">
        <v xml:space="preserve"> 2. </v>
      </c>
      <c r="R1480" s="121" t="str">
        <v>Track products visited, bookmarked, purchased and returned by each customer, in order to identify and prioritise the meta-tags and products currently relevant to each customer.</v>
      </c>
      <c r="S1480" s="121" t="str">
        <v/>
      </c>
      <c r="T1480" s="119" t="str">
        <f>IF($C1480&lt;4,IF($C1480=3,T1481,IF($C1480=2,T$1,"")),Q1480&amp;R1480&amp;IF(LEN(S1480)=0,"",Preferences!$C$2&amp;S1480)&amp;IF(J1481=J1480,IF(LEN(R1480&amp;S1480)=0,"","
")&amp;T1481,""))</f>
        <v xml:space="preserve"> 2. Track products visited, bookmarked, purchased and returned by each customer, in order to identify and prioritise the meta-tags and products currently relevant to each customer.
 3. Track articles visited and bookmarked by each customer, in order to identify and prioritise the meta-tags currently relevant (most used) to each customer.
 4. Also see the Online Shop Recommended Content section</v>
      </c>
      <c r="U1480" s="122" t="str">
        <v/>
      </c>
      <c r="V1480" s="42"/>
      <c r="W1480" s="42"/>
      <c r="X1480" s="42"/>
      <c r="Y1480" s="42"/>
      <c r="Z1480" s="42"/>
      <c r="AA1480" s="42"/>
      <c r="AB1480" s="42"/>
    </row>
    <row r="1481" spans="1:28" x14ac:dyDescent="0.25">
      <c r="A1481" s="42" t="str">
        <v>1.26.8.3</v>
      </c>
      <c r="B1481" s="121" t="str">
        <v>Track articles visited and bookmarked by each customer, in order to identify and prioritise the meta-tags currently relevant (most used) to each customer.</v>
      </c>
      <c r="C1481" s="41">
        <v>4</v>
      </c>
      <c r="D1481" s="41" t="str">
        <v>RD</v>
      </c>
      <c r="E1481" s="117" t="str">
        <f t="shared" si="0"/>
        <v>RD</v>
      </c>
      <c r="F1481" s="41" t="str">
        <v/>
      </c>
      <c r="G1481" s="41" t="str">
        <v/>
      </c>
      <c r="H1481" s="117">
        <f t="shared" si="1"/>
        <v>0</v>
      </c>
      <c r="I1481" s="117">
        <f t="shared" si="2"/>
        <v>26</v>
      </c>
      <c r="J1481" s="117">
        <f t="shared" si="3"/>
        <v>26.080000000000013</v>
      </c>
      <c r="K1481" s="117" t="str">
        <f t="shared" si="4"/>
        <v>BR</v>
      </c>
      <c r="L1481" s="42" t="str">
        <v>BR2608</v>
      </c>
      <c r="M1481" s="121" t="str">
        <v/>
      </c>
      <c r="N1481" s="121" t="str">
        <v/>
      </c>
      <c r="O1481" s="121" t="str">
        <v/>
      </c>
      <c r="P1481" s="121" t="str">
        <v/>
      </c>
      <c r="Q1481" s="121" t="str">
        <v xml:space="preserve"> 3. </v>
      </c>
      <c r="R1481" s="121" t="str">
        <v>Track articles visited and bookmarked by each customer, in order to identify and prioritise the meta-tags currently relevant (most used) to each customer.</v>
      </c>
      <c r="S1481" s="121" t="str">
        <v/>
      </c>
      <c r="T1481" s="119" t="str">
        <f>IF($C1481&lt;4,IF($C1481=3,T1482,IF($C1481=2,T$1,"")),Q1481&amp;R1481&amp;IF(LEN(S1481)=0,"",Preferences!$C$2&amp;S1481)&amp;IF(J1482=J1481,IF(LEN(R1481&amp;S1481)=0,"","
")&amp;T1482,""))</f>
        <v xml:space="preserve"> 3. Track articles visited and bookmarked by each customer, in order to identify and prioritise the meta-tags currently relevant (most used) to each customer.
 4. Also see the Online Shop Recommended Content section</v>
      </c>
      <c r="U1481" s="122" t="str">
        <v/>
      </c>
      <c r="V1481" s="42"/>
      <c r="W1481" s="42"/>
      <c r="X1481" s="42"/>
      <c r="Y1481" s="42"/>
      <c r="Z1481" s="42"/>
      <c r="AA1481" s="42"/>
      <c r="AB1481" s="42"/>
    </row>
    <row r="1482" spans="1:28" x14ac:dyDescent="0.25">
      <c r="A1482" s="42" t="str">
        <v>1.26.8.4</v>
      </c>
      <c r="B1482" s="121" t="str">
        <v>Also see the Online Shop Recommended Content section</v>
      </c>
      <c r="C1482" s="41">
        <v>4</v>
      </c>
      <c r="D1482" s="41" t="str">
        <v>RD</v>
      </c>
      <c r="E1482" s="117" t="str">
        <f t="shared" si="0"/>
        <v>RD</v>
      </c>
      <c r="F1482" s="41" t="str">
        <v/>
      </c>
      <c r="G1482" s="41" t="str">
        <v/>
      </c>
      <c r="H1482" s="117">
        <f t="shared" si="1"/>
        <v>0</v>
      </c>
      <c r="I1482" s="117">
        <f t="shared" si="2"/>
        <v>26</v>
      </c>
      <c r="J1482" s="117">
        <f t="shared" si="3"/>
        <v>26.080000000000013</v>
      </c>
      <c r="K1482" s="117" t="str">
        <f t="shared" si="4"/>
        <v>BR</v>
      </c>
      <c r="L1482" s="42" t="str">
        <v>BR2608</v>
      </c>
      <c r="M1482" s="121" t="str">
        <v/>
      </c>
      <c r="N1482" s="121" t="str">
        <v/>
      </c>
      <c r="O1482" s="121" t="str">
        <v/>
      </c>
      <c r="P1482" s="121" t="str">
        <v/>
      </c>
      <c r="Q1482" s="121" t="str">
        <v xml:space="preserve"> 4. </v>
      </c>
      <c r="R1482" s="121" t="str">
        <v>Also see the Online Shop Recommended Content section</v>
      </c>
      <c r="S1482" s="121" t="str">
        <v/>
      </c>
      <c r="T1482" s="119" t="str">
        <f>IF($C1482&lt;4,IF($C1482=3,T1483,IF($C1482=2,T$1,"")),Q1482&amp;R1482&amp;IF(LEN(S1482)=0,"",Preferences!$C$2&amp;S1482)&amp;IF(J1483=J1482,IF(LEN(R1482&amp;S1482)=0,"","
")&amp;T1483,""))</f>
        <v xml:space="preserve"> 4. Also see the Online Shop Recommended Content section</v>
      </c>
      <c r="U1482" s="122" t="str">
        <v/>
      </c>
      <c r="V1482" s="42"/>
      <c r="W1482" s="42"/>
      <c r="X1482" s="42"/>
      <c r="Y1482" s="42"/>
      <c r="Z1482" s="42"/>
      <c r="AA1482" s="42"/>
      <c r="AB1482" s="42"/>
    </row>
    <row r="1483" spans="1:28" x14ac:dyDescent="0.25">
      <c r="A1483" s="42" t="str">
        <v>1.26.9</v>
      </c>
      <c r="B1483" s="121" t="str">
        <v>26.9 Record customer order events</v>
      </c>
      <c r="C1483" s="41">
        <v>3</v>
      </c>
      <c r="D1483" s="41" t="str">
        <v>R</v>
      </c>
      <c r="E1483" s="117" t="str">
        <f t="shared" si="0"/>
        <v>R</v>
      </c>
      <c r="F1483" s="41" t="str">
        <v/>
      </c>
      <c r="G1483" s="41" t="str">
        <v/>
      </c>
      <c r="H1483" s="117">
        <f t="shared" si="1"/>
        <v>0</v>
      </c>
      <c r="I1483" s="117">
        <f t="shared" si="2"/>
        <v>26</v>
      </c>
      <c r="J1483" s="117">
        <f t="shared" si="3"/>
        <v>26.090000000000014</v>
      </c>
      <c r="K1483" s="117" t="str">
        <f t="shared" si="4"/>
        <v>BR</v>
      </c>
      <c r="L1483" s="42" t="str">
        <v>BR2609</v>
      </c>
      <c r="M1483" s="121" t="str">
        <v/>
      </c>
      <c r="N1483" s="121" t="str">
        <v/>
      </c>
      <c r="O1483" s="121" t="str">
        <v>BR2609</v>
      </c>
      <c r="P1483" s="121" t="str">
        <v>Record customer order events</v>
      </c>
      <c r="Q1483" s="121" t="str">
        <v/>
      </c>
      <c r="R1483" s="121" t="str">
        <v/>
      </c>
      <c r="S1483" s="121" t="str">
        <v/>
      </c>
      <c r="T1483" s="119" t="str">
        <f>IF($C1483&lt;4,IF($C1483=3,T1484,IF($C1483=2,T$1,"")),Q1483&amp;R1483&amp;IF(LEN(S1483)=0,"",Preferences!$C$2&amp;S1483)&amp;IF(J1484=J1483,IF(LEN(R1483&amp;S1483)=0,"","
")&amp;T1484,""))</f>
        <v xml:space="preserve"> 1. Record the significant customer order lifecycle events across time, to include:
	• Basket size and value
	• Product quantity, unit price and total price
 2. Record the significant customer order lifecycle events per advertisement, campaign and special event (include same metrics as above).
 3. Record the significant customer order lifecycle events per supplier (include same metrics as above).</v>
      </c>
      <c r="U1483" s="122" t="str">
        <v/>
      </c>
      <c r="V1483" s="42"/>
      <c r="W1483" s="42"/>
      <c r="X1483" s="42"/>
      <c r="Y1483" s="42"/>
      <c r="Z1483" s="42"/>
      <c r="AA1483" s="42"/>
      <c r="AB1483" s="42"/>
    </row>
    <row r="1484" spans="1:28" x14ac:dyDescent="0.25">
      <c r="A1484" s="42" t="str">
        <v>1.26.9.1</v>
      </c>
      <c r="B1484" s="121" t="str">
        <v>Record the significant customer order lifecycle events across time, to include:</v>
      </c>
      <c r="C1484" s="41">
        <v>4</v>
      </c>
      <c r="D1484" s="41" t="str">
        <v>RD</v>
      </c>
      <c r="E1484" s="117" t="str">
        <f t="shared" si="0"/>
        <v>RD</v>
      </c>
      <c r="F1484" s="41" t="str">
        <v/>
      </c>
      <c r="G1484" s="41" t="str">
        <v/>
      </c>
      <c r="H1484" s="117">
        <f t="shared" si="1"/>
        <v>0</v>
      </c>
      <c r="I1484" s="117">
        <f t="shared" si="2"/>
        <v>26</v>
      </c>
      <c r="J1484" s="117">
        <f t="shared" si="3"/>
        <v>26.090000000000014</v>
      </c>
      <c r="K1484" s="117" t="str">
        <f t="shared" si="4"/>
        <v>BR</v>
      </c>
      <c r="L1484" s="42" t="str">
        <v>BR2609</v>
      </c>
      <c r="M1484" s="121" t="str">
        <v/>
      </c>
      <c r="N1484" s="121" t="str">
        <v/>
      </c>
      <c r="O1484" s="121" t="str">
        <v/>
      </c>
      <c r="P1484" s="121" t="str">
        <v/>
      </c>
      <c r="Q1484" s="121" t="str">
        <v xml:space="preserve"> 1. </v>
      </c>
      <c r="R1484" s="121" t="str">
        <v>Record the significant customer order lifecycle events across time, to include:</v>
      </c>
      <c r="S1484" s="121" t="str">
        <v/>
      </c>
      <c r="T1484" s="119" t="str">
        <f>IF($C1484&lt;4,IF($C1484=3,T1485,IF($C1484=2,T$1,"")),Q1484&amp;R1484&amp;IF(LEN(S1484)=0,"",Preferences!$C$2&amp;S1484)&amp;IF(J1485=J1484,IF(LEN(R1484&amp;S1484)=0,"","
")&amp;T1485,""))</f>
        <v xml:space="preserve"> 1. Record the significant customer order lifecycle events across time, to include:
	• Basket size and value
	• Product quantity, unit price and total price
 2. Record the significant customer order lifecycle events per advertisement, campaign and special event (include same metrics as above).
 3. Record the significant customer order lifecycle events per supplier (include same metrics as above).</v>
      </c>
      <c r="U1484" s="122" t="str">
        <v/>
      </c>
      <c r="V1484" s="42"/>
      <c r="W1484" s="42"/>
      <c r="X1484" s="42"/>
      <c r="Y1484" s="42"/>
      <c r="Z1484" s="42"/>
      <c r="AA1484" s="42"/>
      <c r="AB1484" s="42"/>
    </row>
    <row r="1485" spans="1:28" x14ac:dyDescent="0.25">
      <c r="A1485" s="42" t="str">
        <v>1.26.9.1.1</v>
      </c>
      <c r="B1485" s="121" t="str">
        <v>Basket size and value</v>
      </c>
      <c r="C1485" s="41">
        <v>5</v>
      </c>
      <c r="D1485" s="41" t="str">
        <v>RL</v>
      </c>
      <c r="E1485" s="117" t="str">
        <f t="shared" si="0"/>
        <v>RL</v>
      </c>
      <c r="F1485" s="41" t="str">
        <v/>
      </c>
      <c r="G1485" s="41" t="str">
        <v/>
      </c>
      <c r="H1485" s="117">
        <f t="shared" si="1"/>
        <v>0</v>
      </c>
      <c r="I1485" s="117">
        <f t="shared" si="2"/>
        <v>26</v>
      </c>
      <c r="J1485" s="117">
        <f t="shared" si="3"/>
        <v>26.090000000000014</v>
      </c>
      <c r="K1485" s="117" t="str">
        <f t="shared" si="4"/>
        <v>BR</v>
      </c>
      <c r="L1485" s="42" t="str">
        <v>BR2609</v>
      </c>
      <c r="M1485" s="121" t="str">
        <v/>
      </c>
      <c r="N1485" s="121" t="str">
        <v/>
      </c>
      <c r="O1485" s="121" t="str">
        <v/>
      </c>
      <c r="P1485" s="121" t="str">
        <v/>
      </c>
      <c r="Q1485" s="121" t="str">
        <v/>
      </c>
      <c r="R1485" s="121" t="str">
        <v/>
      </c>
      <c r="S1485" s="121" t="str">
        <v>Basket size and value</v>
      </c>
      <c r="T1485" s="119" t="str">
        <f>IF($C1485&lt;4,IF($C1485=3,T1486,IF($C1485=2,T$1,"")),Q1485&amp;R1485&amp;IF(LEN(S1485)=0,"",Preferences!$C$2&amp;S1485)&amp;IF(J1486=J1485,IF(LEN(R1485&amp;S1485)=0,"","
")&amp;T1486,""))</f>
        <v xml:space="preserve">	• Basket size and value
	• Product quantity, unit price and total price
 2. Record the significant customer order lifecycle events per advertisement, campaign and special event (include same metrics as above).
 3. Record the significant customer order lifecycle events per supplier (include same metrics as above).</v>
      </c>
      <c r="U1485" s="122" t="str">
        <v/>
      </c>
      <c r="V1485" s="42"/>
      <c r="W1485" s="42"/>
      <c r="X1485" s="42"/>
      <c r="Y1485" s="42"/>
      <c r="Z1485" s="42"/>
      <c r="AA1485" s="42"/>
      <c r="AB1485" s="42"/>
    </row>
    <row r="1486" spans="1:28" x14ac:dyDescent="0.25">
      <c r="A1486" s="42" t="str">
        <v>1.26.9.1.2</v>
      </c>
      <c r="B1486" s="121" t="str">
        <v>Product quantity, unit price and total price</v>
      </c>
      <c r="C1486" s="41">
        <v>5</v>
      </c>
      <c r="D1486" s="41" t="str">
        <v>RL</v>
      </c>
      <c r="E1486" s="117" t="str">
        <f t="shared" si="0"/>
        <v>RL</v>
      </c>
      <c r="F1486" s="41" t="str">
        <v/>
      </c>
      <c r="G1486" s="41" t="str">
        <v/>
      </c>
      <c r="H1486" s="117">
        <f t="shared" si="1"/>
        <v>0</v>
      </c>
      <c r="I1486" s="117">
        <f t="shared" si="2"/>
        <v>26</v>
      </c>
      <c r="J1486" s="117">
        <f t="shared" si="3"/>
        <v>26.090000000000014</v>
      </c>
      <c r="K1486" s="117" t="str">
        <f t="shared" si="4"/>
        <v>BR</v>
      </c>
      <c r="L1486" s="42" t="str">
        <v>BR2609</v>
      </c>
      <c r="M1486" s="121" t="str">
        <v/>
      </c>
      <c r="N1486" s="121" t="str">
        <v/>
      </c>
      <c r="O1486" s="121" t="str">
        <v/>
      </c>
      <c r="P1486" s="121" t="str">
        <v/>
      </c>
      <c r="Q1486" s="121" t="str">
        <v/>
      </c>
      <c r="R1486" s="121" t="str">
        <v/>
      </c>
      <c r="S1486" s="121" t="str">
        <v>Product quantity, unit price and total price</v>
      </c>
      <c r="T1486" s="119" t="str">
        <f>IF($C1486&lt;4,IF($C1486=3,T1487,IF($C1486=2,T$1,"")),Q1486&amp;R1486&amp;IF(LEN(S1486)=0,"",Preferences!$C$2&amp;S1486)&amp;IF(J1487=J1486,IF(LEN(R1486&amp;S1486)=0,"","
")&amp;T1487,""))</f>
        <v xml:space="preserve">	• Product quantity, unit price and total price
 2. Record the significant customer order lifecycle events per advertisement, campaign and special event (include same metrics as above).
 3. Record the significant customer order lifecycle events per supplier (include same metrics as above).</v>
      </c>
      <c r="U1486" s="122" t="str">
        <v/>
      </c>
      <c r="V1486" s="42"/>
      <c r="W1486" s="42"/>
      <c r="X1486" s="42"/>
      <c r="Y1486" s="42"/>
      <c r="Z1486" s="42"/>
      <c r="AA1486" s="42"/>
      <c r="AB1486" s="42"/>
    </row>
    <row r="1487" spans="1:28" x14ac:dyDescent="0.25">
      <c r="A1487" s="42" t="str">
        <v>1.26.9.2</v>
      </c>
      <c r="B1487" s="121" t="str">
        <v>Record the significant customer order lifecycle events per advertisement, campaign and special event (include same metrics as above).</v>
      </c>
      <c r="C1487" s="41">
        <v>4</v>
      </c>
      <c r="D1487" s="41" t="str">
        <v>RD</v>
      </c>
      <c r="E1487" s="117" t="str">
        <f t="shared" si="0"/>
        <v>RD</v>
      </c>
      <c r="F1487" s="41" t="str">
        <v/>
      </c>
      <c r="G1487" s="41" t="str">
        <v/>
      </c>
      <c r="H1487" s="117">
        <f t="shared" si="1"/>
        <v>0</v>
      </c>
      <c r="I1487" s="117">
        <f t="shared" si="2"/>
        <v>26</v>
      </c>
      <c r="J1487" s="117">
        <f t="shared" si="3"/>
        <v>26.090000000000014</v>
      </c>
      <c r="K1487" s="117" t="str">
        <f t="shared" si="4"/>
        <v>BR</v>
      </c>
      <c r="L1487" s="42" t="str">
        <v>BR2609</v>
      </c>
      <c r="M1487" s="121" t="str">
        <v/>
      </c>
      <c r="N1487" s="121" t="str">
        <v/>
      </c>
      <c r="O1487" s="121" t="str">
        <v/>
      </c>
      <c r="P1487" s="121" t="str">
        <v/>
      </c>
      <c r="Q1487" s="121" t="str">
        <v xml:space="preserve"> 2. </v>
      </c>
      <c r="R1487" s="121" t="str">
        <v>Record the significant customer order lifecycle events per advertisement, campaign and special event (include same metrics as above).</v>
      </c>
      <c r="S1487" s="121" t="str">
        <v/>
      </c>
      <c r="T1487" s="119" t="str">
        <f>IF($C1487&lt;4,IF($C1487=3,T1488,IF($C1487=2,T$1,"")),Q1487&amp;R1487&amp;IF(LEN(S1487)=0,"",Preferences!$C$2&amp;S1487)&amp;IF(J1488=J1487,IF(LEN(R1487&amp;S1487)=0,"","
")&amp;T1488,""))</f>
        <v xml:space="preserve"> 2. Record the significant customer order lifecycle events per advertisement, campaign and special event (include same metrics as above).
 3. Record the significant customer order lifecycle events per supplier (include same metrics as above).</v>
      </c>
      <c r="U1487" s="122" t="str">
        <v/>
      </c>
      <c r="V1487" s="42"/>
      <c r="W1487" s="42"/>
      <c r="X1487" s="42"/>
      <c r="Y1487" s="42"/>
      <c r="Z1487" s="42"/>
      <c r="AA1487" s="42"/>
      <c r="AB1487" s="42"/>
    </row>
    <row r="1488" spans="1:28" x14ac:dyDescent="0.25">
      <c r="A1488" s="42" t="str">
        <v>1.26.9.3</v>
      </c>
      <c r="B1488" s="121" t="str">
        <v>Record the significant customer order lifecycle events per supplier (include same metrics as above).</v>
      </c>
      <c r="C1488" s="41">
        <v>4</v>
      </c>
      <c r="D1488" s="41" t="str">
        <v>RD</v>
      </c>
      <c r="E1488" s="117" t="str">
        <f t="shared" si="0"/>
        <v>RD</v>
      </c>
      <c r="F1488" s="41" t="str">
        <v/>
      </c>
      <c r="G1488" s="41" t="str">
        <v/>
      </c>
      <c r="H1488" s="117">
        <f t="shared" si="1"/>
        <v>0</v>
      </c>
      <c r="I1488" s="117">
        <f t="shared" si="2"/>
        <v>26</v>
      </c>
      <c r="J1488" s="117">
        <f t="shared" si="3"/>
        <v>26.090000000000014</v>
      </c>
      <c r="K1488" s="117" t="str">
        <f t="shared" si="4"/>
        <v>BR</v>
      </c>
      <c r="L1488" s="42" t="str">
        <v>BR2609</v>
      </c>
      <c r="M1488" s="121" t="str">
        <v/>
      </c>
      <c r="N1488" s="121" t="str">
        <v/>
      </c>
      <c r="O1488" s="121" t="str">
        <v/>
      </c>
      <c r="P1488" s="121" t="str">
        <v/>
      </c>
      <c r="Q1488" s="121" t="str">
        <v xml:space="preserve"> 3. </v>
      </c>
      <c r="R1488" s="121" t="str">
        <v>Record the significant customer order lifecycle events per supplier (include same metrics as above).</v>
      </c>
      <c r="S1488" s="121" t="str">
        <v/>
      </c>
      <c r="T1488" s="119" t="str">
        <f>IF($C1488&lt;4,IF($C1488=3,T1489,IF($C1488=2,T$1,"")),Q1488&amp;R1488&amp;IF(LEN(S1488)=0,"",Preferences!$C$2&amp;S1488)&amp;IF(J1489=J1488,IF(LEN(R1488&amp;S1488)=0,"","
")&amp;T1489,""))</f>
        <v xml:space="preserve"> 3. Record the significant customer order lifecycle events per supplier (include same metrics as above).</v>
      </c>
      <c r="U1488" s="122" t="str">
        <v/>
      </c>
      <c r="V1488" s="42"/>
      <c r="W1488" s="42"/>
      <c r="X1488" s="42"/>
      <c r="Y1488" s="42"/>
      <c r="Z1488" s="42"/>
      <c r="AA1488" s="42"/>
      <c r="AB1488" s="42"/>
    </row>
    <row r="1489" spans="1:28" x14ac:dyDescent="0.25">
      <c r="A1489" s="42" t="str">
        <v>1.26.10</v>
      </c>
      <c r="B1489" s="121" t="str">
        <v>26.10 Record customer return request events</v>
      </c>
      <c r="C1489" s="41">
        <v>3</v>
      </c>
      <c r="D1489" s="41" t="str">
        <v>R</v>
      </c>
      <c r="E1489" s="117" t="str">
        <f t="shared" si="0"/>
        <v>R</v>
      </c>
      <c r="F1489" s="41" t="str">
        <v/>
      </c>
      <c r="G1489" s="41" t="str">
        <v/>
      </c>
      <c r="H1489" s="117">
        <f t="shared" si="1"/>
        <v>0</v>
      </c>
      <c r="I1489" s="117">
        <f t="shared" si="2"/>
        <v>26</v>
      </c>
      <c r="J1489" s="117">
        <f t="shared" si="3"/>
        <v>26.100000000000016</v>
      </c>
      <c r="K1489" s="117" t="str">
        <f t="shared" si="4"/>
        <v>BR</v>
      </c>
      <c r="L1489" s="42" t="str">
        <v>BR2610</v>
      </c>
      <c r="M1489" s="121" t="str">
        <v/>
      </c>
      <c r="N1489" s="121" t="str">
        <v/>
      </c>
      <c r="O1489" s="121" t="str">
        <v>BR2610</v>
      </c>
      <c r="P1489" s="121" t="str">
        <v>Record customer return request events</v>
      </c>
      <c r="Q1489" s="121" t="str">
        <v/>
      </c>
      <c r="R1489" s="121" t="str">
        <v/>
      </c>
      <c r="S1489" s="121" t="str">
        <v/>
      </c>
      <c r="T1489" s="119" t="str">
        <f>IF($C1489&lt;4,IF($C1489=3,T1490,IF($C1489=2,T$1,"")),Q1489&amp;R1489&amp;IF(LEN(S1489)=0,"",Preferences!$C$2&amp;S1489)&amp;IF(J1490=J1489,IF(LEN(R1489&amp;S1489)=0,"","
")&amp;T1490,""))</f>
        <v xml:space="preserve"> 1. Record the significant customer return request lifecycle events across time, to include:
	• Order basket size and value
	• Return basket size and value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89" s="122" t="str">
        <v/>
      </c>
      <c r="V1489" s="42"/>
      <c r="W1489" s="42"/>
      <c r="X1489" s="42"/>
      <c r="Y1489" s="42"/>
      <c r="Z1489" s="42"/>
      <c r="AA1489" s="42"/>
      <c r="AB1489" s="42"/>
    </row>
    <row r="1490" spans="1:28" x14ac:dyDescent="0.25">
      <c r="A1490" s="42" t="str">
        <v>1.26.10.1</v>
      </c>
      <c r="B1490" s="121" t="str">
        <v>Record the significant customer return request lifecycle events across time, to include:</v>
      </c>
      <c r="C1490" s="41">
        <v>4</v>
      </c>
      <c r="D1490" s="41" t="str">
        <v>RD</v>
      </c>
      <c r="E1490" s="117" t="str">
        <f t="shared" si="0"/>
        <v>RD</v>
      </c>
      <c r="F1490" s="41" t="str">
        <v/>
      </c>
      <c r="G1490" s="41" t="str">
        <v/>
      </c>
      <c r="H1490" s="117">
        <f t="shared" si="1"/>
        <v>0</v>
      </c>
      <c r="I1490" s="117">
        <f t="shared" si="2"/>
        <v>26</v>
      </c>
      <c r="J1490" s="117">
        <f t="shared" si="3"/>
        <v>26.100000000000016</v>
      </c>
      <c r="K1490" s="117" t="str">
        <f t="shared" si="4"/>
        <v>BR</v>
      </c>
      <c r="L1490" s="42" t="str">
        <v>BR2610</v>
      </c>
      <c r="M1490" s="121" t="str">
        <v/>
      </c>
      <c r="N1490" s="121" t="str">
        <v/>
      </c>
      <c r="O1490" s="121" t="str">
        <v/>
      </c>
      <c r="P1490" s="121" t="str">
        <v/>
      </c>
      <c r="Q1490" s="121" t="str">
        <v xml:space="preserve"> 1. </v>
      </c>
      <c r="R1490" s="121" t="str">
        <v>Record the significant customer return request lifecycle events across time, to include:</v>
      </c>
      <c r="S1490" s="121" t="str">
        <v/>
      </c>
      <c r="T1490" s="119" t="str">
        <f>IF($C1490&lt;4,IF($C1490=3,T1491,IF($C1490=2,T$1,"")),Q1490&amp;R1490&amp;IF(LEN(S1490)=0,"",Preferences!$C$2&amp;S1490)&amp;IF(J1491=J1490,IF(LEN(R1490&amp;S1490)=0,"","
")&amp;T1491,""))</f>
        <v xml:space="preserve"> 1. Record the significant customer return request lifecycle events across time, to include:
	• Order basket size and value
	• Return basket size and value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90" s="122" t="str">
        <v/>
      </c>
      <c r="V1490" s="42"/>
      <c r="W1490" s="42"/>
      <c r="X1490" s="42"/>
      <c r="Y1490" s="42"/>
      <c r="Z1490" s="42"/>
      <c r="AA1490" s="42"/>
      <c r="AB1490" s="42"/>
    </row>
    <row r="1491" spans="1:28" x14ac:dyDescent="0.25">
      <c r="A1491" s="42" t="str">
        <v>1.26.10.1.1</v>
      </c>
      <c r="B1491" s="121" t="str">
        <v>Order basket size and value</v>
      </c>
      <c r="C1491" s="41">
        <v>5</v>
      </c>
      <c r="D1491" s="41" t="str">
        <v>RL</v>
      </c>
      <c r="E1491" s="117" t="str">
        <f t="shared" si="0"/>
        <v>RL</v>
      </c>
      <c r="F1491" s="41" t="str">
        <v/>
      </c>
      <c r="G1491" s="41" t="str">
        <v/>
      </c>
      <c r="H1491" s="117">
        <f t="shared" si="1"/>
        <v>0</v>
      </c>
      <c r="I1491" s="117">
        <f t="shared" si="2"/>
        <v>26</v>
      </c>
      <c r="J1491" s="117">
        <f t="shared" si="3"/>
        <v>26.100000000000016</v>
      </c>
      <c r="K1491" s="117" t="str">
        <f t="shared" si="4"/>
        <v>BR</v>
      </c>
      <c r="L1491" s="42" t="str">
        <v>BR2610</v>
      </c>
      <c r="M1491" s="121" t="str">
        <v/>
      </c>
      <c r="N1491" s="121" t="str">
        <v/>
      </c>
      <c r="O1491" s="121" t="str">
        <v/>
      </c>
      <c r="P1491" s="121" t="str">
        <v/>
      </c>
      <c r="Q1491" s="121" t="str">
        <v/>
      </c>
      <c r="R1491" s="121" t="str">
        <v/>
      </c>
      <c r="S1491" s="121" t="str">
        <v>Order basket size and value</v>
      </c>
      <c r="T1491" s="119" t="str">
        <f>IF($C1491&lt;4,IF($C1491=3,T1492,IF($C1491=2,T$1,"")),Q1491&amp;R1491&amp;IF(LEN(S1491)=0,"",Preferences!$C$2&amp;S1491)&amp;IF(J1492=J1491,IF(LEN(R1491&amp;S1491)=0,"","
")&amp;T1492,""))</f>
        <v xml:space="preserve">	• Order basket size and value
	• Return basket size and value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91" s="122" t="str">
        <v/>
      </c>
      <c r="V1491" s="42"/>
      <c r="W1491" s="42"/>
      <c r="X1491" s="42"/>
      <c r="Y1491" s="42"/>
      <c r="Z1491" s="42"/>
      <c r="AA1491" s="42"/>
      <c r="AB1491" s="42"/>
    </row>
    <row r="1492" spans="1:28" x14ac:dyDescent="0.25">
      <c r="A1492" s="42" t="str">
        <v>1.26.10.1.2</v>
      </c>
      <c r="B1492" s="121" t="str">
        <v>Return basket size and value</v>
      </c>
      <c r="C1492" s="41">
        <v>5</v>
      </c>
      <c r="D1492" s="41" t="str">
        <v>RL</v>
      </c>
      <c r="E1492" s="117" t="str">
        <f t="shared" si="0"/>
        <v>RL</v>
      </c>
      <c r="F1492" s="41" t="str">
        <v/>
      </c>
      <c r="G1492" s="41" t="str">
        <v/>
      </c>
      <c r="H1492" s="117">
        <f t="shared" si="1"/>
        <v>0</v>
      </c>
      <c r="I1492" s="117">
        <f t="shared" si="2"/>
        <v>26</v>
      </c>
      <c r="J1492" s="117">
        <f t="shared" si="3"/>
        <v>26.100000000000016</v>
      </c>
      <c r="K1492" s="117" t="str">
        <f t="shared" si="4"/>
        <v>BR</v>
      </c>
      <c r="L1492" s="42" t="str">
        <v>BR2610</v>
      </c>
      <c r="M1492" s="121" t="str">
        <v/>
      </c>
      <c r="N1492" s="121" t="str">
        <v/>
      </c>
      <c r="O1492" s="121" t="str">
        <v/>
      </c>
      <c r="P1492" s="121" t="str">
        <v/>
      </c>
      <c r="Q1492" s="121" t="str">
        <v/>
      </c>
      <c r="R1492" s="121" t="str">
        <v/>
      </c>
      <c r="S1492" s="121" t="str">
        <v>Return basket size and value</v>
      </c>
      <c r="T1492" s="119" t="str">
        <f>IF($C1492&lt;4,IF($C1492=3,T1493,IF($C1492=2,T$1,"")),Q1492&amp;R1492&amp;IF(LEN(S1492)=0,"",Preferences!$C$2&amp;S1492)&amp;IF(J1493=J1492,IF(LEN(R1492&amp;S1492)=0,"","
")&amp;T1493,""))</f>
        <v xml:space="preserve">	• Return basket size and value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92" s="122" t="str">
        <v/>
      </c>
      <c r="V1492" s="42"/>
      <c r="W1492" s="42"/>
      <c r="X1492" s="42"/>
      <c r="Y1492" s="42"/>
      <c r="Z1492" s="42"/>
      <c r="AA1492" s="42"/>
      <c r="AB1492" s="42"/>
    </row>
    <row r="1493" spans="1:28" x14ac:dyDescent="0.25">
      <c r="A1493" s="42" t="str">
        <v>1.26.10.1.3</v>
      </c>
      <c r="B1493" s="121" t="str">
        <v>Purchased product quantity, unit price and total price</v>
      </c>
      <c r="C1493" s="41">
        <v>5</v>
      </c>
      <c r="D1493" s="41" t="str">
        <v>RL</v>
      </c>
      <c r="E1493" s="117" t="str">
        <f t="shared" si="0"/>
        <v>RL</v>
      </c>
      <c r="F1493" s="41" t="str">
        <v/>
      </c>
      <c r="G1493" s="41" t="str">
        <v/>
      </c>
      <c r="H1493" s="117">
        <f t="shared" si="1"/>
        <v>0</v>
      </c>
      <c r="I1493" s="117">
        <f t="shared" si="2"/>
        <v>26</v>
      </c>
      <c r="J1493" s="117">
        <f t="shared" si="3"/>
        <v>26.100000000000016</v>
      </c>
      <c r="K1493" s="117" t="str">
        <f t="shared" si="4"/>
        <v>BR</v>
      </c>
      <c r="L1493" s="42" t="str">
        <v>BR2610</v>
      </c>
      <c r="M1493" s="121" t="str">
        <v/>
      </c>
      <c r="N1493" s="121" t="str">
        <v/>
      </c>
      <c r="O1493" s="121" t="str">
        <v/>
      </c>
      <c r="P1493" s="121" t="str">
        <v/>
      </c>
      <c r="Q1493" s="121" t="str">
        <v/>
      </c>
      <c r="R1493" s="121" t="str">
        <v/>
      </c>
      <c r="S1493" s="121" t="str">
        <v>Purchased product quantity, unit price and total price</v>
      </c>
      <c r="T1493" s="119" t="str">
        <f>IF($C1493&lt;4,IF($C1493=3,T1494,IF($C1493=2,T$1,"")),Q1493&amp;R1493&amp;IF(LEN(S1493)=0,"",Preferences!$C$2&amp;S1493)&amp;IF(J1494=J1493,IF(LEN(R1493&amp;S1493)=0,"","
")&amp;T1494,""))</f>
        <v xml:space="preserve">	• Purchased product quantity, unit price and total price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93" s="122" t="str">
        <v/>
      </c>
      <c r="V1493" s="42"/>
      <c r="W1493" s="42"/>
      <c r="X1493" s="42"/>
      <c r="Y1493" s="42"/>
      <c r="Z1493" s="42"/>
      <c r="AA1493" s="42"/>
      <c r="AB1493" s="42"/>
    </row>
    <row r="1494" spans="1:28" x14ac:dyDescent="0.25">
      <c r="A1494" s="42" t="str">
        <v>1.26.10.1.4</v>
      </c>
      <c r="B1494" s="121" t="str">
        <v>Returned product quantity, unit price and total price</v>
      </c>
      <c r="C1494" s="41">
        <v>5</v>
      </c>
      <c r="D1494" s="41" t="str">
        <v>RL</v>
      </c>
      <c r="E1494" s="117" t="str">
        <f t="shared" si="0"/>
        <v>RL</v>
      </c>
      <c r="F1494" s="41" t="str">
        <v/>
      </c>
      <c r="G1494" s="41" t="str">
        <v/>
      </c>
      <c r="H1494" s="117">
        <f t="shared" si="1"/>
        <v>0</v>
      </c>
      <c r="I1494" s="117">
        <f t="shared" si="2"/>
        <v>26</v>
      </c>
      <c r="J1494" s="117">
        <f t="shared" si="3"/>
        <v>26.100000000000016</v>
      </c>
      <c r="K1494" s="117" t="str">
        <f t="shared" si="4"/>
        <v>BR</v>
      </c>
      <c r="L1494" s="42" t="str">
        <v>BR2610</v>
      </c>
      <c r="M1494" s="121" t="str">
        <v/>
      </c>
      <c r="N1494" s="121" t="str">
        <v/>
      </c>
      <c r="O1494" s="121" t="str">
        <v/>
      </c>
      <c r="P1494" s="121" t="str">
        <v/>
      </c>
      <c r="Q1494" s="121" t="str">
        <v/>
      </c>
      <c r="R1494" s="121" t="str">
        <v/>
      </c>
      <c r="S1494" s="121" t="str">
        <v>Returned product quantity, unit price and total price</v>
      </c>
      <c r="T1494" s="119" t="str">
        <f>IF($C1494&lt;4,IF($C1494=3,T1495,IF($C1494=2,T$1,"")),Q1494&amp;R1494&amp;IF(LEN(S1494)=0,"",Preferences!$C$2&amp;S1494)&amp;IF(J1495=J1494,IF(LEN(R1494&amp;S1494)=0,"","
")&amp;T1495,""))</f>
        <v xml:space="preserve">	• Returned product quantity, unit price and total price
 2. Record the significant customer return request lifecycle events per advertisement, campaign and special event (include same metrics as above).
 3. Record the significant customer return request lifecycle events per supplier (include same metrics as above).</v>
      </c>
      <c r="U1494" s="122" t="str">
        <v/>
      </c>
      <c r="V1494" s="42"/>
      <c r="W1494" s="42"/>
      <c r="X1494" s="42"/>
      <c r="Y1494" s="42"/>
      <c r="Z1494" s="42"/>
      <c r="AA1494" s="42"/>
      <c r="AB1494" s="42"/>
    </row>
    <row r="1495" spans="1:28" x14ac:dyDescent="0.25">
      <c r="A1495" s="42" t="str">
        <v>1.26.10.2</v>
      </c>
      <c r="B1495" s="121" t="str">
        <v>Record the significant customer return request lifecycle events per advertisement, campaign and special event (include same metrics as above).</v>
      </c>
      <c r="C1495" s="41">
        <v>4</v>
      </c>
      <c r="D1495" s="41" t="str">
        <v>RD</v>
      </c>
      <c r="E1495" s="117" t="str">
        <f t="shared" si="0"/>
        <v>RD</v>
      </c>
      <c r="F1495" s="41" t="str">
        <v/>
      </c>
      <c r="G1495" s="41" t="str">
        <v/>
      </c>
      <c r="H1495" s="117">
        <f t="shared" si="1"/>
        <v>0</v>
      </c>
      <c r="I1495" s="117">
        <f t="shared" si="2"/>
        <v>26</v>
      </c>
      <c r="J1495" s="117">
        <f t="shared" si="3"/>
        <v>26.100000000000016</v>
      </c>
      <c r="K1495" s="117" t="str">
        <f t="shared" si="4"/>
        <v>BR</v>
      </c>
      <c r="L1495" s="42" t="str">
        <v>BR2610</v>
      </c>
      <c r="M1495" s="121" t="str">
        <v/>
      </c>
      <c r="N1495" s="121" t="str">
        <v/>
      </c>
      <c r="O1495" s="121" t="str">
        <v/>
      </c>
      <c r="P1495" s="121" t="str">
        <v/>
      </c>
      <c r="Q1495" s="121" t="str">
        <v xml:space="preserve"> 2. </v>
      </c>
      <c r="R1495" s="121" t="str">
        <v>Record the significant customer return request lifecycle events per advertisement, campaign and special event (include same metrics as above).</v>
      </c>
      <c r="S1495" s="121" t="str">
        <v/>
      </c>
      <c r="T1495" s="119" t="str">
        <f>IF($C1495&lt;4,IF($C1495=3,T1496,IF($C1495=2,T$1,"")),Q1495&amp;R1495&amp;IF(LEN(S1495)=0,"",Preferences!$C$2&amp;S1495)&amp;IF(J1496=J1495,IF(LEN(R1495&amp;S1495)=0,"","
")&amp;T1496,""))</f>
        <v xml:space="preserve"> 2. Record the significant customer return request lifecycle events per advertisement, campaign and special event (include same metrics as above).
 3. Record the significant customer return request lifecycle events per supplier (include same metrics as above).</v>
      </c>
      <c r="U1495" s="122" t="str">
        <v/>
      </c>
      <c r="V1495" s="42"/>
      <c r="W1495" s="42"/>
      <c r="X1495" s="42"/>
      <c r="Y1495" s="42"/>
      <c r="Z1495" s="42"/>
      <c r="AA1495" s="42"/>
      <c r="AB1495" s="42"/>
    </row>
    <row r="1496" spans="1:28" x14ac:dyDescent="0.25">
      <c r="A1496" s="42" t="str">
        <v>1.26.10.3</v>
      </c>
      <c r="B1496" s="121" t="str">
        <v>Record the significant customer return request lifecycle events per supplier (include same metrics as above).</v>
      </c>
      <c r="C1496" s="41">
        <v>4</v>
      </c>
      <c r="D1496" s="41" t="str">
        <v>RD</v>
      </c>
      <c r="E1496" s="117" t="str">
        <f t="shared" si="0"/>
        <v>RD</v>
      </c>
      <c r="F1496" s="41" t="str">
        <v/>
      </c>
      <c r="G1496" s="41" t="str">
        <v/>
      </c>
      <c r="H1496" s="117">
        <f t="shared" si="1"/>
        <v>0</v>
      </c>
      <c r="I1496" s="117">
        <f t="shared" si="2"/>
        <v>26</v>
      </c>
      <c r="J1496" s="117">
        <f t="shared" si="3"/>
        <v>26.100000000000016</v>
      </c>
      <c r="K1496" s="117" t="str">
        <f t="shared" si="4"/>
        <v>BR</v>
      </c>
      <c r="L1496" s="42" t="str">
        <v>BR2610</v>
      </c>
      <c r="M1496" s="121" t="str">
        <v/>
      </c>
      <c r="N1496" s="121" t="str">
        <v/>
      </c>
      <c r="O1496" s="121" t="str">
        <v/>
      </c>
      <c r="P1496" s="121" t="str">
        <v/>
      </c>
      <c r="Q1496" s="121" t="str">
        <v xml:space="preserve"> 3. </v>
      </c>
      <c r="R1496" s="121" t="str">
        <v>Record the significant customer return request lifecycle events per supplier (include same metrics as above).</v>
      </c>
      <c r="S1496" s="121" t="str">
        <v/>
      </c>
      <c r="T1496" s="119" t="str">
        <f>IF($C1496&lt;4,IF($C1496=3,T1497,IF($C1496=2,T$1,"")),Q1496&amp;R1496&amp;IF(LEN(S1496)=0,"",Preferences!$C$2&amp;S1496)&amp;IF(J1497=J1496,IF(LEN(R1496&amp;S1496)=0,"","
")&amp;T1497,""))</f>
        <v xml:space="preserve"> 3. Record the significant customer return request lifecycle events per supplier (include same metrics as above).</v>
      </c>
      <c r="U1496" s="122" t="str">
        <v/>
      </c>
      <c r="V1496" s="42"/>
      <c r="W1496" s="42"/>
      <c r="X1496" s="42"/>
      <c r="Y1496" s="42"/>
      <c r="Z1496" s="42"/>
      <c r="AA1496" s="42"/>
      <c r="AB1496" s="42"/>
    </row>
    <row r="1497" spans="1:28" x14ac:dyDescent="0.25">
      <c r="A1497" s="42" t="str">
        <v>1.26.11</v>
      </c>
      <c r="B1497" s="121" t="str">
        <v>26.11 Record supplier order fulfilment events</v>
      </c>
      <c r="C1497" s="41">
        <v>3</v>
      </c>
      <c r="D1497" s="41" t="str">
        <v>R</v>
      </c>
      <c r="E1497" s="117" t="str">
        <f t="shared" si="0"/>
        <v>R</v>
      </c>
      <c r="F1497" s="41" t="str">
        <v/>
      </c>
      <c r="G1497" s="41" t="str">
        <v/>
      </c>
      <c r="H1497" s="117">
        <f t="shared" si="1"/>
        <v>0</v>
      </c>
      <c r="I1497" s="117">
        <f t="shared" si="2"/>
        <v>26</v>
      </c>
      <c r="J1497" s="117">
        <f t="shared" si="3"/>
        <v>26.110000000000017</v>
      </c>
      <c r="K1497" s="117" t="str">
        <f t="shared" si="4"/>
        <v>BR</v>
      </c>
      <c r="L1497" s="42" t="str">
        <v>BR2611</v>
      </c>
      <c r="M1497" s="121" t="str">
        <v/>
      </c>
      <c r="N1497" s="121" t="str">
        <v/>
      </c>
      <c r="O1497" s="121" t="str">
        <v>BR2611</v>
      </c>
      <c r="P1497" s="121" t="str">
        <v>Record supplier order fulfilment events</v>
      </c>
      <c r="Q1497" s="121" t="str">
        <v/>
      </c>
      <c r="R1497" s="121" t="str">
        <v/>
      </c>
      <c r="S1497" s="121" t="str">
        <v/>
      </c>
      <c r="T1497" s="119" t="str">
        <f>IF($C1497&lt;4,IF($C1497=3,T1498,IF($C1497=2,T$1,"")),Q1497&amp;R1497&amp;IF(LEN(S1497)=0,"",Preferences!$C$2&amp;S1497)&amp;IF(J1498=J1497,IF(LEN(R1497&amp;S1497)=0,"","
")&amp;T1498,""))</f>
        <v xml:space="preserve"> 1. Record the significant supplier order lifecycle events across time, to include:
	• Basket size and value
	• Ordered product quantity, unit price and total price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497" s="122" t="str">
        <v/>
      </c>
      <c r="V1497" s="42"/>
      <c r="W1497" s="42"/>
      <c r="X1497" s="42"/>
      <c r="Y1497" s="42"/>
      <c r="Z1497" s="42"/>
      <c r="AA1497" s="42"/>
      <c r="AB1497" s="42"/>
    </row>
    <row r="1498" spans="1:28" x14ac:dyDescent="0.25">
      <c r="A1498" s="42" t="str">
        <v>1.26.11.1</v>
      </c>
      <c r="B1498" s="121" t="str">
        <v>Record the significant supplier order lifecycle events across time, to include:</v>
      </c>
      <c r="C1498" s="41">
        <v>4</v>
      </c>
      <c r="D1498" s="41" t="str">
        <v>RD</v>
      </c>
      <c r="E1498" s="117" t="str">
        <f t="shared" si="0"/>
        <v>RD</v>
      </c>
      <c r="F1498" s="41" t="str">
        <v/>
      </c>
      <c r="G1498" s="41" t="str">
        <v/>
      </c>
      <c r="H1498" s="117">
        <f t="shared" si="1"/>
        <v>0</v>
      </c>
      <c r="I1498" s="117">
        <f t="shared" si="2"/>
        <v>26</v>
      </c>
      <c r="J1498" s="117">
        <f t="shared" si="3"/>
        <v>26.110000000000017</v>
      </c>
      <c r="K1498" s="117" t="str">
        <f t="shared" si="4"/>
        <v>BR</v>
      </c>
      <c r="L1498" s="42" t="str">
        <v>BR2611</v>
      </c>
      <c r="M1498" s="121" t="str">
        <v/>
      </c>
      <c r="N1498" s="121" t="str">
        <v/>
      </c>
      <c r="O1498" s="121" t="str">
        <v/>
      </c>
      <c r="P1498" s="121" t="str">
        <v/>
      </c>
      <c r="Q1498" s="121" t="str">
        <v xml:space="preserve"> 1. </v>
      </c>
      <c r="R1498" s="121" t="str">
        <v>Record the significant supplier order lifecycle events across time, to include:</v>
      </c>
      <c r="S1498" s="121" t="str">
        <v/>
      </c>
      <c r="T1498" s="119" t="str">
        <f>IF($C1498&lt;4,IF($C1498=3,T1499,IF($C1498=2,T$1,"")),Q1498&amp;R1498&amp;IF(LEN(S1498)=0,"",Preferences!$C$2&amp;S1498)&amp;IF(J1499=J1498,IF(LEN(R1498&amp;S1498)=0,"","
")&amp;T1499,""))</f>
        <v xml:space="preserve"> 1. Record the significant supplier order lifecycle events across time, to include:
	• Basket size and value
	• Ordered product quantity, unit price and total price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498" s="122" t="str">
        <v/>
      </c>
      <c r="V1498" s="42"/>
      <c r="W1498" s="42"/>
      <c r="X1498" s="42"/>
      <c r="Y1498" s="42"/>
      <c r="Z1498" s="42"/>
      <c r="AA1498" s="42"/>
      <c r="AB1498" s="42"/>
    </row>
    <row r="1499" spans="1:28" x14ac:dyDescent="0.25">
      <c r="A1499" s="42" t="str">
        <v>1.26.11.1.1</v>
      </c>
      <c r="B1499" s="121" t="str">
        <v>Basket size and value</v>
      </c>
      <c r="C1499" s="41">
        <v>5</v>
      </c>
      <c r="D1499" s="41" t="str">
        <v>RL</v>
      </c>
      <c r="E1499" s="117" t="str">
        <f t="shared" si="0"/>
        <v>RL</v>
      </c>
      <c r="F1499" s="41" t="str">
        <v/>
      </c>
      <c r="G1499" s="41" t="str">
        <v/>
      </c>
      <c r="H1499" s="117">
        <f t="shared" si="1"/>
        <v>0</v>
      </c>
      <c r="I1499" s="117">
        <f t="shared" si="2"/>
        <v>26</v>
      </c>
      <c r="J1499" s="117">
        <f t="shared" si="3"/>
        <v>26.110000000000017</v>
      </c>
      <c r="K1499" s="117" t="str">
        <f t="shared" si="4"/>
        <v>BR</v>
      </c>
      <c r="L1499" s="42" t="str">
        <v>BR2611</v>
      </c>
      <c r="M1499" s="121" t="str">
        <v/>
      </c>
      <c r="N1499" s="121" t="str">
        <v/>
      </c>
      <c r="O1499" s="121" t="str">
        <v/>
      </c>
      <c r="P1499" s="121" t="str">
        <v/>
      </c>
      <c r="Q1499" s="121" t="str">
        <v/>
      </c>
      <c r="R1499" s="121" t="str">
        <v/>
      </c>
      <c r="S1499" s="121" t="str">
        <v>Basket size and value</v>
      </c>
      <c r="T1499" s="119" t="str">
        <f>IF($C1499&lt;4,IF($C1499=3,T1500,IF($C1499=2,T$1,"")),Q1499&amp;R1499&amp;IF(LEN(S1499)=0,"",Preferences!$C$2&amp;S1499)&amp;IF(J1500=J1499,IF(LEN(R1499&amp;S1499)=0,"","
")&amp;T1500,""))</f>
        <v xml:space="preserve">	• Basket size and value
	• Ordered product quantity, unit price and total price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499" s="122" t="str">
        <v/>
      </c>
      <c r="V1499" s="42"/>
      <c r="W1499" s="42"/>
      <c r="X1499" s="42"/>
      <c r="Y1499" s="42"/>
      <c r="Z1499" s="42"/>
      <c r="AA1499" s="42"/>
      <c r="AB1499" s="42"/>
    </row>
    <row r="1500" spans="1:28" x14ac:dyDescent="0.25">
      <c r="A1500" s="42" t="str">
        <v>1.26.11.1.2</v>
      </c>
      <c r="B1500" s="121" t="str">
        <v>Ordered product quantity, unit price and total price</v>
      </c>
      <c r="C1500" s="41">
        <v>5</v>
      </c>
      <c r="D1500" s="41" t="str">
        <v>RL</v>
      </c>
      <c r="E1500" s="117" t="str">
        <f t="shared" si="0"/>
        <v>RL</v>
      </c>
      <c r="F1500" s="41" t="str">
        <v/>
      </c>
      <c r="G1500" s="41" t="str">
        <v/>
      </c>
      <c r="H1500" s="117">
        <f t="shared" si="1"/>
        <v>0</v>
      </c>
      <c r="I1500" s="117">
        <f t="shared" si="2"/>
        <v>26</v>
      </c>
      <c r="J1500" s="117">
        <f t="shared" si="3"/>
        <v>26.110000000000017</v>
      </c>
      <c r="K1500" s="117" t="str">
        <f t="shared" si="4"/>
        <v>BR</v>
      </c>
      <c r="L1500" s="42" t="str">
        <v>BR2611</v>
      </c>
      <c r="M1500" s="121" t="str">
        <v/>
      </c>
      <c r="N1500" s="121" t="str">
        <v/>
      </c>
      <c r="O1500" s="121" t="str">
        <v/>
      </c>
      <c r="P1500" s="121" t="str">
        <v/>
      </c>
      <c r="Q1500" s="121" t="str">
        <v/>
      </c>
      <c r="R1500" s="121" t="str">
        <v/>
      </c>
      <c r="S1500" s="121" t="str">
        <v>Ordered product quantity, unit price and total price</v>
      </c>
      <c r="T1500" s="119" t="str">
        <f>IF($C1500&lt;4,IF($C1500=3,T1501,IF($C1500=2,T$1,"")),Q1500&amp;R1500&amp;IF(LEN(S1500)=0,"",Preferences!$C$2&amp;S1500)&amp;IF(J1501=J1500,IF(LEN(R1500&amp;S1500)=0,"","
")&amp;T1501,""))</f>
        <v xml:space="preserve">	• Ordered product quantity, unit price and total price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500" s="122" t="str">
        <v/>
      </c>
      <c r="V1500" s="42"/>
      <c r="W1500" s="42"/>
      <c r="X1500" s="42"/>
      <c r="Y1500" s="42"/>
      <c r="Z1500" s="42"/>
      <c r="AA1500" s="42"/>
      <c r="AB1500" s="42"/>
    </row>
    <row r="1501" spans="1:28" x14ac:dyDescent="0.25">
      <c r="A1501" s="42" t="str">
        <v>1.26.11.1.3</v>
      </c>
      <c r="B1501" s="121" t="str">
        <v>Confirmed product quantity, unit price and total price</v>
      </c>
      <c r="C1501" s="41">
        <v>5</v>
      </c>
      <c r="D1501" s="41" t="str">
        <v>RL</v>
      </c>
      <c r="E1501" s="117" t="str">
        <f t="shared" si="0"/>
        <v>RL</v>
      </c>
      <c r="F1501" s="41" t="str">
        <v/>
      </c>
      <c r="G1501" s="41" t="str">
        <v/>
      </c>
      <c r="H1501" s="117">
        <f t="shared" si="1"/>
        <v>0</v>
      </c>
      <c r="I1501" s="117">
        <f t="shared" si="2"/>
        <v>26</v>
      </c>
      <c r="J1501" s="117">
        <f t="shared" si="3"/>
        <v>26.110000000000017</v>
      </c>
      <c r="K1501" s="117" t="str">
        <f t="shared" si="4"/>
        <v>BR</v>
      </c>
      <c r="L1501" s="42" t="str">
        <v>BR2611</v>
      </c>
      <c r="M1501" s="121" t="str">
        <v/>
      </c>
      <c r="N1501" s="121" t="str">
        <v/>
      </c>
      <c r="O1501" s="121" t="str">
        <v/>
      </c>
      <c r="P1501" s="121" t="str">
        <v/>
      </c>
      <c r="Q1501" s="121" t="str">
        <v/>
      </c>
      <c r="R1501" s="121" t="str">
        <v/>
      </c>
      <c r="S1501" s="121" t="str">
        <v>Confirmed product quantity, unit price and total price</v>
      </c>
      <c r="T1501" s="119" t="str">
        <f>IF($C1501&lt;4,IF($C1501=3,T1502,IF($C1501=2,T$1,"")),Q1501&amp;R1501&amp;IF(LEN(S1501)=0,"",Preferences!$C$2&amp;S1501)&amp;IF(J1502=J1501,IF(LEN(R1501&amp;S1501)=0,"","
")&amp;T1502,""))</f>
        <v xml:space="preserve">	• Confirmed product quantity, unit price and total price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501" s="122" t="str">
        <v/>
      </c>
      <c r="V1501" s="42"/>
      <c r="W1501" s="42"/>
      <c r="X1501" s="42"/>
      <c r="Y1501" s="42"/>
      <c r="Z1501" s="42"/>
      <c r="AA1501" s="42"/>
      <c r="AB1501" s="42"/>
    </row>
    <row r="1502" spans="1:28" x14ac:dyDescent="0.25">
      <c r="A1502" s="42" t="str">
        <v>1.26.11.1.4</v>
      </c>
      <c r="B1502" s="121" t="str">
        <v>Fulfilled product quantity, unit price and total price</v>
      </c>
      <c r="C1502" s="41">
        <v>5</v>
      </c>
      <c r="D1502" s="41" t="str">
        <v>RL</v>
      </c>
      <c r="E1502" s="117" t="str">
        <f t="shared" si="0"/>
        <v>RL</v>
      </c>
      <c r="F1502" s="41" t="str">
        <v/>
      </c>
      <c r="G1502" s="41" t="str">
        <v/>
      </c>
      <c r="H1502" s="117">
        <f t="shared" si="1"/>
        <v>0</v>
      </c>
      <c r="I1502" s="117">
        <f t="shared" si="2"/>
        <v>26</v>
      </c>
      <c r="J1502" s="117">
        <f t="shared" si="3"/>
        <v>26.110000000000017</v>
      </c>
      <c r="K1502" s="117" t="str">
        <f t="shared" si="4"/>
        <v>BR</v>
      </c>
      <c r="L1502" s="42" t="str">
        <v>BR2611</v>
      </c>
      <c r="M1502" s="121" t="str">
        <v/>
      </c>
      <c r="N1502" s="121" t="str">
        <v/>
      </c>
      <c r="O1502" s="121" t="str">
        <v/>
      </c>
      <c r="P1502" s="121" t="str">
        <v/>
      </c>
      <c r="Q1502" s="121" t="str">
        <v/>
      </c>
      <c r="R1502" s="121" t="str">
        <v/>
      </c>
      <c r="S1502" s="121" t="str">
        <v>Fulfilled product quantity, unit price and total price</v>
      </c>
      <c r="T1502" s="119" t="str">
        <f>IF($C1502&lt;4,IF($C1502=3,T1503,IF($C1502=2,T$1,"")),Q1502&amp;R1502&amp;IF(LEN(S1502)=0,"",Preferences!$C$2&amp;S1502)&amp;IF(J1503=J1502,IF(LEN(R1502&amp;S1502)=0,"","
")&amp;T1503,""))</f>
        <v xml:space="preserve">	• Fulfilled product quantity, unit price and total price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502" s="122" t="str">
        <v/>
      </c>
      <c r="V1502" s="42"/>
      <c r="W1502" s="42"/>
      <c r="X1502" s="42"/>
      <c r="Y1502" s="42"/>
      <c r="Z1502" s="42"/>
      <c r="AA1502" s="42"/>
      <c r="AB1502" s="42"/>
    </row>
    <row r="1503" spans="1:28" x14ac:dyDescent="0.25">
      <c r="A1503" s="42" t="str">
        <v>1.26.11.2</v>
      </c>
      <c r="B1503" s="121" t="str">
        <v>Record the significant supplier order lifecycle events per advertisement, campaign and special event (include same metrics as above).</v>
      </c>
      <c r="C1503" s="41">
        <v>4</v>
      </c>
      <c r="D1503" s="41" t="str">
        <v>RD</v>
      </c>
      <c r="E1503" s="117" t="str">
        <f t="shared" si="0"/>
        <v>RD</v>
      </c>
      <c r="F1503" s="41" t="str">
        <v/>
      </c>
      <c r="G1503" s="41" t="str">
        <v/>
      </c>
      <c r="H1503" s="117">
        <f t="shared" si="1"/>
        <v>0</v>
      </c>
      <c r="I1503" s="117">
        <f t="shared" si="2"/>
        <v>26</v>
      </c>
      <c r="J1503" s="117">
        <f t="shared" si="3"/>
        <v>26.110000000000017</v>
      </c>
      <c r="K1503" s="117" t="str">
        <f t="shared" si="4"/>
        <v>BR</v>
      </c>
      <c r="L1503" s="42" t="str">
        <v>BR2611</v>
      </c>
      <c r="M1503" s="121" t="str">
        <v/>
      </c>
      <c r="N1503" s="121" t="str">
        <v/>
      </c>
      <c r="O1503" s="121" t="str">
        <v/>
      </c>
      <c r="P1503" s="121" t="str">
        <v/>
      </c>
      <c r="Q1503" s="121" t="str">
        <v xml:space="preserve"> 2. </v>
      </c>
      <c r="R1503" s="121" t="str">
        <v>Record the significant supplier order lifecycle events per advertisement, campaign and special event (include same metrics as above).</v>
      </c>
      <c r="S1503" s="121" t="str">
        <v/>
      </c>
      <c r="T1503" s="119" t="str">
        <f>IF($C1503&lt;4,IF($C1503=3,T1504,IF($C1503=2,T$1,"")),Q1503&amp;R1503&amp;IF(LEN(S1503)=0,"",Preferences!$C$2&amp;S1503)&amp;IF(J1504=J1503,IF(LEN(R1503&amp;S1503)=0,"","
")&amp;T1504,""))</f>
        <v xml:space="preserve"> 2. Record the significant supplier order lifecycle events per advertisement, campaign and special event (include same metrics as above).
 3. Record the significant customer order and return lifecycle events per supplier (include same metrics as above), as detailed in the following requirements:
	• Record customer order events
	• Record customer return request events</v>
      </c>
      <c r="U1503" s="122" t="str">
        <v/>
      </c>
      <c r="V1503" s="42"/>
      <c r="W1503" s="42"/>
      <c r="X1503" s="42"/>
      <c r="Y1503" s="42"/>
      <c r="Z1503" s="42"/>
      <c r="AA1503" s="42"/>
      <c r="AB1503" s="42"/>
    </row>
    <row r="1504" spans="1:28" x14ac:dyDescent="0.25">
      <c r="A1504" s="42" t="str">
        <v>1.26.11.3</v>
      </c>
      <c r="B1504" s="121" t="str">
        <v>Record the significant customer order and return lifecycle events per supplier (include same metrics as above), as detailed in the following requirements:</v>
      </c>
      <c r="C1504" s="41">
        <v>4</v>
      </c>
      <c r="D1504" s="41" t="str">
        <v>RD</v>
      </c>
      <c r="E1504" s="117" t="str">
        <f t="shared" si="0"/>
        <v>RD</v>
      </c>
      <c r="F1504" s="41" t="str">
        <v/>
      </c>
      <c r="G1504" s="41" t="str">
        <v/>
      </c>
      <c r="H1504" s="117">
        <f t="shared" si="1"/>
        <v>0</v>
      </c>
      <c r="I1504" s="117">
        <f t="shared" si="2"/>
        <v>26</v>
      </c>
      <c r="J1504" s="117">
        <f t="shared" si="3"/>
        <v>26.110000000000017</v>
      </c>
      <c r="K1504" s="117" t="str">
        <f t="shared" si="4"/>
        <v>BR</v>
      </c>
      <c r="L1504" s="42" t="str">
        <v>BR2611</v>
      </c>
      <c r="M1504" s="121" t="str">
        <v/>
      </c>
      <c r="N1504" s="121" t="str">
        <v/>
      </c>
      <c r="O1504" s="121" t="str">
        <v/>
      </c>
      <c r="P1504" s="121" t="str">
        <v/>
      </c>
      <c r="Q1504" s="121" t="str">
        <v xml:space="preserve"> 3. </v>
      </c>
      <c r="R1504" s="121" t="str">
        <v>Record the significant customer order and return lifecycle events per supplier (include same metrics as above), as detailed in the following requirements:</v>
      </c>
      <c r="S1504" s="121" t="str">
        <v/>
      </c>
      <c r="T1504" s="119" t="str">
        <f>IF($C1504&lt;4,IF($C1504=3,T1505,IF($C1504=2,T$1,"")),Q1504&amp;R1504&amp;IF(LEN(S1504)=0,"",Preferences!$C$2&amp;S1504)&amp;IF(J1505=J1504,IF(LEN(R1504&amp;S1504)=0,"","
")&amp;T1505,""))</f>
        <v xml:space="preserve"> 3. Record the significant customer order and return lifecycle events per supplier (include same metrics as above), as detailed in the following requirements:
	• Record customer order events
	• Record customer return request events</v>
      </c>
      <c r="U1504" s="122" t="str">
        <v/>
      </c>
      <c r="V1504" s="42"/>
      <c r="W1504" s="42"/>
      <c r="X1504" s="42"/>
      <c r="Y1504" s="42"/>
      <c r="Z1504" s="42"/>
      <c r="AA1504" s="42"/>
      <c r="AB1504" s="42"/>
    </row>
    <row r="1505" spans="1:28" x14ac:dyDescent="0.25">
      <c r="A1505" s="42" t="str">
        <v>1.26.11.3.1</v>
      </c>
      <c r="B1505" s="121" t="str">
        <v>Record customer order events</v>
      </c>
      <c r="C1505" s="41">
        <v>5</v>
      </c>
      <c r="D1505" s="41" t="str">
        <v>RL</v>
      </c>
      <c r="E1505" s="117" t="str">
        <f t="shared" si="0"/>
        <v>RL</v>
      </c>
      <c r="F1505" s="41" t="str">
        <v/>
      </c>
      <c r="G1505" s="41" t="str">
        <v/>
      </c>
      <c r="H1505" s="117">
        <f t="shared" si="1"/>
        <v>0</v>
      </c>
      <c r="I1505" s="117">
        <f t="shared" si="2"/>
        <v>26</v>
      </c>
      <c r="J1505" s="117">
        <f t="shared" si="3"/>
        <v>26.110000000000017</v>
      </c>
      <c r="K1505" s="117" t="str">
        <f t="shared" si="4"/>
        <v>BR</v>
      </c>
      <c r="L1505" s="42" t="str">
        <v>BR2611</v>
      </c>
      <c r="M1505" s="121" t="str">
        <v/>
      </c>
      <c r="N1505" s="121" t="str">
        <v/>
      </c>
      <c r="O1505" s="121" t="str">
        <v/>
      </c>
      <c r="P1505" s="121" t="str">
        <v/>
      </c>
      <c r="Q1505" s="121" t="str">
        <v/>
      </c>
      <c r="R1505" s="121" t="str">
        <v/>
      </c>
      <c r="S1505" s="121" t="str">
        <v>Record customer order events</v>
      </c>
      <c r="T1505" s="119" t="str">
        <f>IF($C1505&lt;4,IF($C1505=3,T1506,IF($C1505=2,T$1,"")),Q1505&amp;R1505&amp;IF(LEN(S1505)=0,"",Preferences!$C$2&amp;S1505)&amp;IF(J1506=J1505,IF(LEN(R1505&amp;S1505)=0,"","
")&amp;T1506,""))</f>
        <v xml:space="preserve">	• Record customer order events
	• Record customer return request events</v>
      </c>
      <c r="U1505" s="122" t="str">
        <v/>
      </c>
      <c r="V1505" s="42"/>
      <c r="W1505" s="42"/>
      <c r="X1505" s="42"/>
      <c r="Y1505" s="42"/>
      <c r="Z1505" s="42"/>
      <c r="AA1505" s="42"/>
      <c r="AB1505" s="42"/>
    </row>
    <row r="1506" spans="1:28" x14ac:dyDescent="0.25">
      <c r="A1506" s="42" t="str">
        <v>1.26.11.3.2</v>
      </c>
      <c r="B1506" s="121" t="str">
        <v>Record customer return request events</v>
      </c>
      <c r="C1506" s="41">
        <v>5</v>
      </c>
      <c r="D1506" s="41" t="str">
        <v>RL</v>
      </c>
      <c r="E1506" s="117" t="str">
        <f t="shared" si="0"/>
        <v>RL</v>
      </c>
      <c r="F1506" s="41" t="str">
        <v/>
      </c>
      <c r="G1506" s="41" t="str">
        <v/>
      </c>
      <c r="H1506" s="117">
        <f t="shared" si="1"/>
        <v>0</v>
      </c>
      <c r="I1506" s="117">
        <f t="shared" si="2"/>
        <v>26</v>
      </c>
      <c r="J1506" s="117">
        <f t="shared" si="3"/>
        <v>26.110000000000017</v>
      </c>
      <c r="K1506" s="117" t="str">
        <f t="shared" si="4"/>
        <v>BR</v>
      </c>
      <c r="L1506" s="42" t="str">
        <v>BR2611</v>
      </c>
      <c r="M1506" s="121" t="str">
        <v/>
      </c>
      <c r="N1506" s="121" t="str">
        <v/>
      </c>
      <c r="O1506" s="121" t="str">
        <v/>
      </c>
      <c r="P1506" s="121" t="str">
        <v/>
      </c>
      <c r="Q1506" s="121" t="str">
        <v/>
      </c>
      <c r="R1506" s="121" t="str">
        <v/>
      </c>
      <c r="S1506" s="121" t="str">
        <v>Record customer return request events</v>
      </c>
      <c r="T1506" s="119" t="str">
        <f>IF($C1506&lt;4,IF($C1506=3,T1507,IF($C1506=2,T$1,"")),Q1506&amp;R1506&amp;IF(LEN(S1506)=0,"",Preferences!$C$2&amp;S1506)&amp;IF(J1507=J1506,IF(LEN(R1506&amp;S1506)=0,"","
")&amp;T1507,""))</f>
        <v xml:space="preserve">	• Record customer return request events</v>
      </c>
      <c r="U1506" s="122" t="str">
        <v/>
      </c>
      <c r="V1506" s="42"/>
      <c r="W1506" s="42"/>
      <c r="X1506" s="42"/>
      <c r="Y1506" s="42"/>
      <c r="Z1506" s="42"/>
      <c r="AA1506" s="42"/>
      <c r="AB1506" s="42"/>
    </row>
    <row r="1507" spans="1:28" x14ac:dyDescent="0.25">
      <c r="A1507" s="42" t="str">
        <v>1.27</v>
      </c>
      <c r="B1507" s="121" t="str">
        <v>27 Supplier Orders Fulfilment</v>
      </c>
      <c r="C1507" s="41">
        <v>2</v>
      </c>
      <c r="D1507" s="41" t="str">
        <v>RS</v>
      </c>
      <c r="E1507" s="117" t="str">
        <f t="shared" si="0"/>
        <v>RS</v>
      </c>
      <c r="F1507" s="41" t="str">
        <v/>
      </c>
      <c r="G1507" s="41" t="str">
        <v/>
      </c>
      <c r="H1507" s="117">
        <f t="shared" si="1"/>
        <v>0</v>
      </c>
      <c r="I1507" s="117">
        <f t="shared" si="2"/>
        <v>27</v>
      </c>
      <c r="J1507" s="117">
        <f t="shared" si="3"/>
        <v>27</v>
      </c>
      <c r="K1507" s="117" t="str">
        <f t="shared" si="4"/>
        <v>BR</v>
      </c>
      <c r="L1507" s="42">
        <v>27</v>
      </c>
      <c r="M1507" s="121" t="str">
        <v/>
      </c>
      <c r="N1507" s="121" t="str">
        <v>27 Supplier Orders Fulfilment</v>
      </c>
      <c r="O1507" s="121" t="str">
        <v>ReqID</v>
      </c>
      <c r="P1507" s="121" t="e">
        <v>#N/A</v>
      </c>
      <c r="Q1507" s="121" t="str">
        <v/>
      </c>
      <c r="R1507" s="121" t="str">
        <v/>
      </c>
      <c r="S1507" s="121" t="str">
        <v/>
      </c>
      <c r="T1507" s="119" t="str">
        <f>IF($C1507&lt;4,IF($C1507=3,T1508,IF($C1507=2,T$1,"")),Q1507&amp;R1507&amp;IF(LEN(S1507)=0,"",Preferences!$C$2&amp;S1507)&amp;IF(J1508=J1507,IF(LEN(R1507&amp;S1507)=0,"","
")&amp;T1508,""))</f>
        <v>Description</v>
      </c>
      <c r="U1507" s="122" t="str">
        <v/>
      </c>
      <c r="V1507" s="42"/>
      <c r="W1507" s="42"/>
      <c r="X1507" s="42"/>
      <c r="Y1507" s="42"/>
      <c r="Z1507" s="42"/>
      <c r="AA1507" s="42"/>
      <c r="AB1507" s="42"/>
    </row>
    <row r="1508" spans="1:28" x14ac:dyDescent="0.25">
      <c r="A1508" s="42" t="str">
        <v>1.27.1</v>
      </c>
      <c r="B1508" s="121" t="str">
        <v>27.1 Integrate online shop with each supplier</v>
      </c>
      <c r="C1508" s="41">
        <v>3</v>
      </c>
      <c r="D1508" s="41" t="str">
        <v>R</v>
      </c>
      <c r="E1508" s="117" t="str">
        <f t="shared" si="0"/>
        <v>R</v>
      </c>
      <c r="F1508" s="41" t="str">
        <v/>
      </c>
      <c r="G1508" s="41" t="str">
        <v/>
      </c>
      <c r="H1508" s="117">
        <f t="shared" si="1"/>
        <v>0</v>
      </c>
      <c r="I1508" s="117">
        <f t="shared" si="2"/>
        <v>27</v>
      </c>
      <c r="J1508" s="117">
        <f t="shared" si="3"/>
        <v>27.01</v>
      </c>
      <c r="K1508" s="117" t="str">
        <f t="shared" si="4"/>
        <v>BR</v>
      </c>
      <c r="L1508" s="42" t="str">
        <v>BR2701</v>
      </c>
      <c r="M1508" s="121" t="str">
        <v/>
      </c>
      <c r="N1508" s="121" t="str">
        <v/>
      </c>
      <c r="O1508" s="121" t="str">
        <v>BR2701</v>
      </c>
      <c r="P1508" s="121" t="str">
        <v>Integrate online shop with each supplier</v>
      </c>
      <c r="Q1508" s="121" t="str">
        <v/>
      </c>
      <c r="R1508" s="121" t="str">
        <v/>
      </c>
      <c r="S1508" s="121" t="str">
        <v/>
      </c>
      <c r="T1508" s="119" t="str">
        <f>IF($C1508&lt;4,IF($C1508=3,T1509,IF($C1508=2,T$1,"")),Q1508&amp;R1508&amp;IF(LEN(S1508)=0,"",Preferences!$C$2&amp;S1508)&amp;IF(J1509=J1508,IF(LEN(R1508&amp;S1508)=0,"","
")&amp;T1509,""))</f>
        <v xml:space="preserve"> 1. As Shoprite adheres to the GS1 standard for EDI, it is recommended that the GS1 EDI standard be adopted for interfacing documents with suppliers.
 2. For Transpharm, any suitable existing interfaces for submitting orders may be used.
 3. Integrate the online shop with the supplier ordering system, in order to: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08" s="122" t="str">
        <v/>
      </c>
      <c r="V1508" s="42"/>
      <c r="W1508" s="42"/>
      <c r="X1508" s="42"/>
      <c r="Y1508" s="42"/>
      <c r="Z1508" s="42"/>
      <c r="AA1508" s="42"/>
      <c r="AB1508" s="42"/>
    </row>
    <row r="1509" spans="1:28" x14ac:dyDescent="0.25">
      <c r="A1509" s="42" t="str">
        <v>1.27.1.1</v>
      </c>
      <c r="B1509" s="121" t="str">
        <v>As Shoprite adheres to the GS1 standard for EDI, it is recommended that the GS1 EDI standard be adopted for interfacing documents with suppliers.</v>
      </c>
      <c r="C1509" s="41">
        <v>4</v>
      </c>
      <c r="D1509" s="41" t="str">
        <v>RD</v>
      </c>
      <c r="E1509" s="117" t="str">
        <f t="shared" si="0"/>
        <v>RD</v>
      </c>
      <c r="F1509" s="41" t="str">
        <v/>
      </c>
      <c r="G1509" s="41" t="str">
        <v/>
      </c>
      <c r="H1509" s="117">
        <f t="shared" si="1"/>
        <v>0</v>
      </c>
      <c r="I1509" s="117">
        <f t="shared" si="2"/>
        <v>27</v>
      </c>
      <c r="J1509" s="117">
        <f t="shared" si="3"/>
        <v>27.01</v>
      </c>
      <c r="K1509" s="117" t="str">
        <f t="shared" si="4"/>
        <v>BR</v>
      </c>
      <c r="L1509" s="42" t="str">
        <v>BR2701</v>
      </c>
      <c r="M1509" s="121" t="str">
        <v/>
      </c>
      <c r="N1509" s="121" t="str">
        <v/>
      </c>
      <c r="O1509" s="121" t="str">
        <v/>
      </c>
      <c r="P1509" s="121" t="str">
        <v/>
      </c>
      <c r="Q1509" s="121" t="str">
        <v xml:space="preserve"> 1. </v>
      </c>
      <c r="R1509" s="121" t="str">
        <v>As Shoprite adheres to the GS1 standard for EDI, it is recommended that the GS1 EDI standard be adopted for interfacing documents with suppliers.</v>
      </c>
      <c r="S1509" s="121" t="str">
        <v/>
      </c>
      <c r="T1509" s="119" t="str">
        <f>IF($C1509&lt;4,IF($C1509=3,T1510,IF($C1509=2,T$1,"")),Q1509&amp;R1509&amp;IF(LEN(S1509)=0,"",Preferences!$C$2&amp;S1509)&amp;IF(J1510=J1509,IF(LEN(R1509&amp;S1509)=0,"","
")&amp;T1510,""))</f>
        <v xml:space="preserve"> 1. As Shoprite adheres to the GS1 standard for EDI, it is recommended that the GS1 EDI standard be adopted for interfacing documents with suppliers.
 2. For Transpharm, any suitable existing interfaces for submitting orders may be used.
 3. Integrate the online shop with the supplier ordering system, in order to: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09" s="122" t="str">
        <v/>
      </c>
      <c r="V1509" s="42"/>
      <c r="W1509" s="42"/>
      <c r="X1509" s="42"/>
      <c r="Y1509" s="42"/>
      <c r="Z1509" s="42"/>
      <c r="AA1509" s="42"/>
      <c r="AB1509" s="42"/>
    </row>
    <row r="1510" spans="1:28" x14ac:dyDescent="0.25">
      <c r="A1510" s="42" t="str">
        <v>1.27.1.2</v>
      </c>
      <c r="B1510" s="121" t="str">
        <v>For Transpharm, any suitable existing interfaces for submitting orders may be used.</v>
      </c>
      <c r="C1510" s="41">
        <v>4</v>
      </c>
      <c r="D1510" s="41" t="str">
        <v>RD</v>
      </c>
      <c r="E1510" s="117" t="str">
        <f t="shared" si="0"/>
        <v>RD</v>
      </c>
      <c r="F1510" s="41" t="str">
        <v/>
      </c>
      <c r="G1510" s="41" t="str">
        <v/>
      </c>
      <c r="H1510" s="117">
        <f t="shared" si="1"/>
        <v>0</v>
      </c>
      <c r="I1510" s="117">
        <f t="shared" si="2"/>
        <v>27</v>
      </c>
      <c r="J1510" s="117">
        <f t="shared" si="3"/>
        <v>27.01</v>
      </c>
      <c r="K1510" s="117" t="str">
        <f t="shared" si="4"/>
        <v>BR</v>
      </c>
      <c r="L1510" s="42" t="str">
        <v>BR2701</v>
      </c>
      <c r="M1510" s="121" t="str">
        <v/>
      </c>
      <c r="N1510" s="121" t="str">
        <v/>
      </c>
      <c r="O1510" s="121" t="str">
        <v/>
      </c>
      <c r="P1510" s="121" t="str">
        <v/>
      </c>
      <c r="Q1510" s="121" t="str">
        <v xml:space="preserve"> 2. </v>
      </c>
      <c r="R1510" s="121" t="str">
        <v>For Transpharm, any suitable existing interfaces for submitting orders may be used.</v>
      </c>
      <c r="S1510" s="121" t="str">
        <v/>
      </c>
      <c r="T1510" s="119" t="str">
        <f>IF($C1510&lt;4,IF($C1510=3,T1511,IF($C1510=2,T$1,"")),Q1510&amp;R1510&amp;IF(LEN(S1510)=0,"",Preferences!$C$2&amp;S1510)&amp;IF(J1511=J1510,IF(LEN(R1510&amp;S1510)=0,"","
")&amp;T1511,""))</f>
        <v xml:space="preserve"> 2. For Transpharm, any suitable existing interfaces for submitting orders may be used.
 3. Integrate the online shop with the supplier ordering system, in order to: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0" s="122" t="str">
        <v/>
      </c>
      <c r="V1510" s="42"/>
      <c r="W1510" s="42"/>
      <c r="X1510" s="42"/>
      <c r="Y1510" s="42"/>
      <c r="Z1510" s="42"/>
      <c r="AA1510" s="42"/>
      <c r="AB1510" s="42"/>
    </row>
    <row r="1511" spans="1:28" x14ac:dyDescent="0.25">
      <c r="A1511" s="42" t="str">
        <v>1.27.1.3</v>
      </c>
      <c r="B1511" s="121" t="str">
        <v>Integrate the online shop with the supplier ordering system, in order to:</v>
      </c>
      <c r="C1511" s="41">
        <v>4</v>
      </c>
      <c r="D1511" s="41" t="str">
        <v>RD</v>
      </c>
      <c r="E1511" s="117" t="str">
        <f t="shared" si="0"/>
        <v>RD</v>
      </c>
      <c r="F1511" s="41" t="str">
        <v/>
      </c>
      <c r="G1511" s="41" t="str">
        <v/>
      </c>
      <c r="H1511" s="117">
        <f t="shared" si="1"/>
        <v>0</v>
      </c>
      <c r="I1511" s="117">
        <f t="shared" si="2"/>
        <v>27</v>
      </c>
      <c r="J1511" s="117">
        <f t="shared" si="3"/>
        <v>27.01</v>
      </c>
      <c r="K1511" s="117" t="str">
        <f t="shared" si="4"/>
        <v>BR</v>
      </c>
      <c r="L1511" s="42" t="str">
        <v>BR2701</v>
      </c>
      <c r="M1511" s="121" t="str">
        <v/>
      </c>
      <c r="N1511" s="121" t="str">
        <v/>
      </c>
      <c r="O1511" s="121" t="str">
        <v/>
      </c>
      <c r="P1511" s="121" t="str">
        <v/>
      </c>
      <c r="Q1511" s="121" t="str">
        <v xml:space="preserve"> 3. </v>
      </c>
      <c r="R1511" s="121" t="str">
        <v>Integrate the online shop with the supplier ordering system, in order to:</v>
      </c>
      <c r="S1511" s="121" t="str">
        <v/>
      </c>
      <c r="T1511" s="119" t="str">
        <f>IF($C1511&lt;4,IF($C1511=3,T1512,IF($C1511=2,T$1,"")),Q1511&amp;R1511&amp;IF(LEN(S1511)=0,"",Preferences!$C$2&amp;S1511)&amp;IF(J1512=J1511,IF(LEN(R1511&amp;S1511)=0,"","
")&amp;T1512,""))</f>
        <v xml:space="preserve"> 3. Integrate the online shop with the supplier ordering system, in order to: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1" s="122" t="str">
        <v/>
      </c>
      <c r="V1511" s="42"/>
      <c r="W1511" s="42"/>
      <c r="X1511" s="42"/>
      <c r="Y1511" s="42"/>
      <c r="Z1511" s="42"/>
      <c r="AA1511" s="42"/>
      <c r="AB1511" s="42"/>
    </row>
    <row r="1512" spans="1:28" x14ac:dyDescent="0.25">
      <c r="A1512" s="42" t="str">
        <v>1.27.1.3.1</v>
      </c>
      <c r="B1512" s="121" t="str">
        <v>Place a supplier order</v>
      </c>
      <c r="C1512" s="41">
        <v>5</v>
      </c>
      <c r="D1512" s="41" t="str">
        <v>RL</v>
      </c>
      <c r="E1512" s="117" t="str">
        <f t="shared" si="0"/>
        <v>RL</v>
      </c>
      <c r="F1512" s="41" t="str">
        <v/>
      </c>
      <c r="G1512" s="41" t="str">
        <v/>
      </c>
      <c r="H1512" s="117">
        <f t="shared" si="1"/>
        <v>0</v>
      </c>
      <c r="I1512" s="117">
        <f t="shared" si="2"/>
        <v>27</v>
      </c>
      <c r="J1512" s="117">
        <f t="shared" si="3"/>
        <v>27.01</v>
      </c>
      <c r="K1512" s="117" t="str">
        <f t="shared" si="4"/>
        <v>BR</v>
      </c>
      <c r="L1512" s="42" t="str">
        <v>BR2701</v>
      </c>
      <c r="M1512" s="121" t="str">
        <v/>
      </c>
      <c r="N1512" s="121" t="str">
        <v/>
      </c>
      <c r="O1512" s="121" t="str">
        <v/>
      </c>
      <c r="P1512" s="121" t="str">
        <v/>
      </c>
      <c r="Q1512" s="121" t="str">
        <v/>
      </c>
      <c r="R1512" s="121" t="str">
        <v/>
      </c>
      <c r="S1512" s="121" t="str">
        <v>Place a supplier order</v>
      </c>
      <c r="T1512" s="119" t="str">
        <f>IF($C1512&lt;4,IF($C1512=3,T1513,IF($C1512=2,T$1,"")),Q1512&amp;R1512&amp;IF(LEN(S1512)=0,"",Preferences!$C$2&amp;S1512)&amp;IF(J1513=J1512,IF(LEN(R1512&amp;S1512)=0,"","
")&amp;T1513,""))</f>
        <v xml:space="preserve">	• Place a supplier order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2" s="122" t="str">
        <v/>
      </c>
      <c r="V1512" s="42"/>
      <c r="W1512" s="42"/>
      <c r="X1512" s="42"/>
      <c r="Y1512" s="42"/>
      <c r="Z1512" s="42"/>
      <c r="AA1512" s="42"/>
      <c r="AB1512" s="42"/>
    </row>
    <row r="1513" spans="1:28" x14ac:dyDescent="0.25">
      <c r="A1513" s="42" t="str">
        <v>1.27.1.3.2</v>
      </c>
      <c r="B1513" s="121" t="str">
        <v>Receive the confirmation for a new/updated supplier order (with their internal order reference)</v>
      </c>
      <c r="C1513" s="41">
        <v>5</v>
      </c>
      <c r="D1513" s="41" t="str">
        <v>RL</v>
      </c>
      <c r="E1513" s="117" t="str">
        <f t="shared" si="0"/>
        <v>RL</v>
      </c>
      <c r="F1513" s="41" t="str">
        <v/>
      </c>
      <c r="G1513" s="41" t="str">
        <v/>
      </c>
      <c r="H1513" s="117">
        <f t="shared" si="1"/>
        <v>0</v>
      </c>
      <c r="I1513" s="117">
        <f t="shared" si="2"/>
        <v>27</v>
      </c>
      <c r="J1513" s="117">
        <f t="shared" si="3"/>
        <v>27.01</v>
      </c>
      <c r="K1513" s="117" t="str">
        <f t="shared" si="4"/>
        <v>BR</v>
      </c>
      <c r="L1513" s="42" t="str">
        <v>BR2701</v>
      </c>
      <c r="M1513" s="121" t="str">
        <v/>
      </c>
      <c r="N1513" s="121" t="str">
        <v/>
      </c>
      <c r="O1513" s="121" t="str">
        <v/>
      </c>
      <c r="P1513" s="121" t="str">
        <v/>
      </c>
      <c r="Q1513" s="121" t="str">
        <v/>
      </c>
      <c r="R1513" s="121" t="str">
        <v/>
      </c>
      <c r="S1513" s="121" t="str">
        <v>Receive the confirmation for a new/updated supplier order (with their internal order reference)</v>
      </c>
      <c r="T1513" s="119" t="str">
        <f>IF($C1513&lt;4,IF($C1513=3,T1514,IF($C1513=2,T$1,"")),Q1513&amp;R1513&amp;IF(LEN(S1513)=0,"",Preferences!$C$2&amp;S1513)&amp;IF(J1514=J1513,IF(LEN(R1513&amp;S1513)=0,"","
")&amp;T1514,""))</f>
        <v xml:space="preserve">	• Receive the confirmation for a new/updated supplier order (with their internal order reference)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3" s="122" t="str">
        <v/>
      </c>
      <c r="V1513" s="42"/>
      <c r="W1513" s="42"/>
      <c r="X1513" s="42"/>
      <c r="Y1513" s="42"/>
      <c r="Z1513" s="42"/>
      <c r="AA1513" s="42"/>
      <c r="AB1513" s="42"/>
    </row>
    <row r="1514" spans="1:28" x14ac:dyDescent="0.25">
      <c r="A1514" s="42" t="str">
        <v>1.27.1.3.3</v>
      </c>
      <c r="B1514" s="121" t="str">
        <v>Update or cancel a supplier order</v>
      </c>
      <c r="C1514" s="41">
        <v>5</v>
      </c>
      <c r="D1514" s="41" t="str">
        <v>RL</v>
      </c>
      <c r="E1514" s="117" t="str">
        <f t="shared" si="0"/>
        <v>RL</v>
      </c>
      <c r="F1514" s="41" t="str">
        <v/>
      </c>
      <c r="G1514" s="41" t="str">
        <v/>
      </c>
      <c r="H1514" s="117">
        <f t="shared" si="1"/>
        <v>0</v>
      </c>
      <c r="I1514" s="117">
        <f t="shared" si="2"/>
        <v>27</v>
      </c>
      <c r="J1514" s="117">
        <f t="shared" si="3"/>
        <v>27.01</v>
      </c>
      <c r="K1514" s="117" t="str">
        <f t="shared" si="4"/>
        <v>BR</v>
      </c>
      <c r="L1514" s="42" t="str">
        <v>BR2701</v>
      </c>
      <c r="M1514" s="121" t="str">
        <v/>
      </c>
      <c r="N1514" s="121" t="str">
        <v/>
      </c>
      <c r="O1514" s="121" t="str">
        <v/>
      </c>
      <c r="P1514" s="121" t="str">
        <v/>
      </c>
      <c r="Q1514" s="121" t="str">
        <v/>
      </c>
      <c r="R1514" s="121" t="str">
        <v/>
      </c>
      <c r="S1514" s="121" t="str">
        <v>Update or cancel a supplier order</v>
      </c>
      <c r="T1514" s="119" t="str">
        <f>IF($C1514&lt;4,IF($C1514=3,T1515,IF($C1514=2,T$1,"")),Q1514&amp;R1514&amp;IF(LEN(S1514)=0,"",Preferences!$C$2&amp;S1514)&amp;IF(J1515=J1514,IF(LEN(R1514&amp;S1514)=0,"","
")&amp;T1515,""))</f>
        <v xml:space="preserve">	• Update or cancel a supplier order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4" s="122" t="str">
        <v/>
      </c>
      <c r="V1514" s="42"/>
      <c r="W1514" s="42"/>
      <c r="X1514" s="42"/>
      <c r="Y1514" s="42"/>
      <c r="Z1514" s="42"/>
      <c r="AA1514" s="42"/>
      <c r="AB1514" s="42"/>
    </row>
    <row r="1515" spans="1:28" x14ac:dyDescent="0.25">
      <c r="A1515" s="42" t="str">
        <v>1.27.1.3.4</v>
      </c>
      <c r="B1515" s="121" t="str">
        <v>Receive the confirmation for an updated/cancelled supplier order</v>
      </c>
      <c r="C1515" s="41">
        <v>5</v>
      </c>
      <c r="D1515" s="41" t="str">
        <v>RL</v>
      </c>
      <c r="E1515" s="117" t="str">
        <f t="shared" si="0"/>
        <v>RL</v>
      </c>
      <c r="F1515" s="41" t="str">
        <v/>
      </c>
      <c r="G1515" s="41" t="str">
        <v/>
      </c>
      <c r="H1515" s="117">
        <f t="shared" si="1"/>
        <v>0</v>
      </c>
      <c r="I1515" s="117">
        <f t="shared" si="2"/>
        <v>27</v>
      </c>
      <c r="J1515" s="117">
        <f t="shared" si="3"/>
        <v>27.01</v>
      </c>
      <c r="K1515" s="117" t="str">
        <f t="shared" si="4"/>
        <v>BR</v>
      </c>
      <c r="L1515" s="42" t="str">
        <v>BR2701</v>
      </c>
      <c r="M1515" s="121" t="str">
        <v/>
      </c>
      <c r="N1515" s="121" t="str">
        <v/>
      </c>
      <c r="O1515" s="121" t="str">
        <v/>
      </c>
      <c r="P1515" s="121" t="str">
        <v/>
      </c>
      <c r="Q1515" s="121" t="str">
        <v/>
      </c>
      <c r="R1515" s="121" t="str">
        <v/>
      </c>
      <c r="S1515" s="121" t="str">
        <v>Receive the confirmation for an updated/cancelled supplier order</v>
      </c>
      <c r="T1515" s="119" t="str">
        <f>IF($C1515&lt;4,IF($C1515=3,T1516,IF($C1515=2,T$1,"")),Q1515&amp;R1515&amp;IF(LEN(S1515)=0,"",Preferences!$C$2&amp;S1515)&amp;IF(J1516=J1515,IF(LEN(R1515&amp;S1515)=0,"","
")&amp;T1516,""))</f>
        <v xml:space="preserve">	• Receive the confirmation for an updated/cancelled supplier order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5" s="122" t="str">
        <v/>
      </c>
      <c r="V1515" s="42"/>
      <c r="W1515" s="42"/>
      <c r="X1515" s="42"/>
      <c r="Y1515" s="42"/>
      <c r="Z1515" s="42"/>
      <c r="AA1515" s="42"/>
      <c r="AB1515" s="42"/>
    </row>
    <row r="1516" spans="1:28" x14ac:dyDescent="0.25">
      <c r="A1516" s="42" t="str">
        <v>1.27.1.3.5</v>
      </c>
      <c r="B1516" s="121" t="str">
        <v>Receive a fulfilment status updates for a supplier order</v>
      </c>
      <c r="C1516" s="41">
        <v>5</v>
      </c>
      <c r="D1516" s="41" t="str">
        <v>RL</v>
      </c>
      <c r="E1516" s="117" t="str">
        <f t="shared" si="0"/>
        <v>RL</v>
      </c>
      <c r="F1516" s="41" t="str">
        <v/>
      </c>
      <c r="G1516" s="41" t="str">
        <v/>
      </c>
      <c r="H1516" s="117">
        <f t="shared" si="1"/>
        <v>0</v>
      </c>
      <c r="I1516" s="117">
        <f t="shared" si="2"/>
        <v>27</v>
      </c>
      <c r="J1516" s="117">
        <f t="shared" si="3"/>
        <v>27.01</v>
      </c>
      <c r="K1516" s="117" t="str">
        <f t="shared" si="4"/>
        <v>BR</v>
      </c>
      <c r="L1516" s="42" t="str">
        <v>BR2701</v>
      </c>
      <c r="M1516" s="121" t="str">
        <v/>
      </c>
      <c r="N1516" s="121" t="str">
        <v/>
      </c>
      <c r="O1516" s="121" t="str">
        <v/>
      </c>
      <c r="P1516" s="121" t="str">
        <v/>
      </c>
      <c r="Q1516" s="121" t="str">
        <v/>
      </c>
      <c r="R1516" s="121" t="str">
        <v/>
      </c>
      <c r="S1516" s="121" t="str">
        <v>Receive a fulfilment status updates for a supplier order</v>
      </c>
      <c r="T1516" s="119" t="str">
        <f>IF($C1516&lt;4,IF($C1516=3,T1517,IF($C1516=2,T$1,"")),Q1516&amp;R1516&amp;IF(LEN(S1516)=0,"",Preferences!$C$2&amp;S1516)&amp;IF(J1517=J1516,IF(LEN(R1516&amp;S1516)=0,"","
")&amp;T1517,""))</f>
        <v xml:space="preserve">	• Receive a fulfilment status updates for a supplier order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6" s="122" t="str">
        <v/>
      </c>
      <c r="V1516" s="42"/>
      <c r="W1516" s="42"/>
      <c r="X1516" s="42"/>
      <c r="Y1516" s="42"/>
      <c r="Z1516" s="42"/>
      <c r="AA1516" s="42"/>
      <c r="AB1516" s="42"/>
    </row>
    <row r="1517" spans="1:28" x14ac:dyDescent="0.25">
      <c r="A1517" s="42" t="str">
        <v>1.27.1.3.6</v>
      </c>
      <c r="B1517" s="121" t="str">
        <v>Submit the courier waybill details to the supplier for a picked supplier order</v>
      </c>
      <c r="C1517" s="41">
        <v>5</v>
      </c>
      <c r="D1517" s="41" t="str">
        <v>RL</v>
      </c>
      <c r="E1517" s="117" t="str">
        <f t="shared" si="0"/>
        <v>RL</v>
      </c>
      <c r="F1517" s="41" t="str">
        <v/>
      </c>
      <c r="G1517" s="41" t="str">
        <v/>
      </c>
      <c r="H1517" s="117">
        <f t="shared" si="1"/>
        <v>0</v>
      </c>
      <c r="I1517" s="117">
        <f t="shared" si="2"/>
        <v>27</v>
      </c>
      <c r="J1517" s="117">
        <f t="shared" si="3"/>
        <v>27.01</v>
      </c>
      <c r="K1517" s="117" t="str">
        <f t="shared" si="4"/>
        <v>BR</v>
      </c>
      <c r="L1517" s="42" t="str">
        <v>BR2701</v>
      </c>
      <c r="M1517" s="121" t="str">
        <v/>
      </c>
      <c r="N1517" s="121" t="str">
        <v/>
      </c>
      <c r="O1517" s="121" t="str">
        <v/>
      </c>
      <c r="P1517" s="121" t="str">
        <v/>
      </c>
      <c r="Q1517" s="121" t="str">
        <v/>
      </c>
      <c r="R1517" s="121" t="str">
        <v/>
      </c>
      <c r="S1517" s="121" t="str">
        <v>Submit the courier waybill details to the supplier for a picked supplier order</v>
      </c>
      <c r="T1517" s="119" t="str">
        <f>IF($C1517&lt;4,IF($C1517=3,T1518,IF($C1517=2,T$1,"")),Q1517&amp;R1517&amp;IF(LEN(S1517)=0,"",Preferences!$C$2&amp;S1517)&amp;IF(J1518=J1517,IF(LEN(R1517&amp;S1517)=0,"","
")&amp;T1518,""))</f>
        <v xml:space="preserve">	• Submit the courier waybill details to the supplier for a picked supplier order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7" s="122" t="str">
        <v/>
      </c>
      <c r="V1517" s="42"/>
      <c r="W1517" s="42"/>
      <c r="X1517" s="42"/>
      <c r="Y1517" s="42"/>
      <c r="Z1517" s="42"/>
      <c r="AA1517" s="42"/>
      <c r="AB1517" s="42"/>
    </row>
    <row r="1518" spans="1:28" x14ac:dyDescent="0.25">
      <c r="A1518" s="42" t="str">
        <v>1.27.1.4</v>
      </c>
      <c r="B1518" s="121" t="str">
        <v>Integrate the online shop with the supplier stock management solution, in order to:</v>
      </c>
      <c r="C1518" s="41">
        <v>4</v>
      </c>
      <c r="D1518" s="41" t="str">
        <v>RD</v>
      </c>
      <c r="E1518" s="117" t="str">
        <f t="shared" si="0"/>
        <v>RD</v>
      </c>
      <c r="F1518" s="41" t="str">
        <v/>
      </c>
      <c r="G1518" s="41" t="str">
        <v/>
      </c>
      <c r="H1518" s="117">
        <f t="shared" si="1"/>
        <v>0</v>
      </c>
      <c r="I1518" s="117">
        <f t="shared" si="2"/>
        <v>27</v>
      </c>
      <c r="J1518" s="117">
        <f t="shared" si="3"/>
        <v>27.01</v>
      </c>
      <c r="K1518" s="117" t="str">
        <f t="shared" si="4"/>
        <v>BR</v>
      </c>
      <c r="L1518" s="42" t="str">
        <v>BR2701</v>
      </c>
      <c r="M1518" s="121" t="str">
        <v/>
      </c>
      <c r="N1518" s="121" t="str">
        <v/>
      </c>
      <c r="O1518" s="121" t="str">
        <v/>
      </c>
      <c r="P1518" s="121" t="str">
        <v/>
      </c>
      <c r="Q1518" s="121" t="str">
        <v xml:space="preserve"> 4. </v>
      </c>
      <c r="R1518" s="121" t="str">
        <v>Integrate the online shop with the supplier stock management solution, in order to:</v>
      </c>
      <c r="S1518" s="121" t="str">
        <v/>
      </c>
      <c r="T1518" s="119" t="str">
        <f>IF($C1518&lt;4,IF($C1518=3,T1519,IF($C1518=2,T$1,"")),Q1518&amp;R1518&amp;IF(LEN(S1518)=0,"",Preferences!$C$2&amp;S1518)&amp;IF(J1519=J1518,IF(LEN(R1518&amp;S1518)=0,"","
")&amp;T1519,""))</f>
        <v xml:space="preserve"> 4. Integrate the online shop with the supplier stock management solution, in order to:
	• Receive status updates on the availability of product / packs
 5. Also see the relevant requirements in the following sections:
	• Customer Orders Management
	• B2C Co Parcel Packing and Dispatch</v>
      </c>
      <c r="U1518" s="122" t="str">
        <v/>
      </c>
      <c r="V1518" s="42"/>
      <c r="W1518" s="42"/>
      <c r="X1518" s="42"/>
      <c r="Y1518" s="42"/>
      <c r="Z1518" s="42"/>
      <c r="AA1518" s="42"/>
      <c r="AB1518" s="42"/>
    </row>
    <row r="1519" spans="1:28" x14ac:dyDescent="0.25">
      <c r="A1519" s="42" t="str">
        <v>1.27.1.4.1</v>
      </c>
      <c r="B1519" s="121" t="str">
        <v>Receive status updates on the availability of product / packs</v>
      </c>
      <c r="C1519" s="41">
        <v>5</v>
      </c>
      <c r="D1519" s="41" t="str">
        <v>RL</v>
      </c>
      <c r="E1519" s="117" t="str">
        <f t="shared" si="0"/>
        <v>RL</v>
      </c>
      <c r="F1519" s="41" t="str">
        <v/>
      </c>
      <c r="G1519" s="41" t="str">
        <v/>
      </c>
      <c r="H1519" s="117">
        <f t="shared" si="1"/>
        <v>0</v>
      </c>
      <c r="I1519" s="117">
        <f t="shared" si="2"/>
        <v>27</v>
      </c>
      <c r="J1519" s="117">
        <f t="shared" si="3"/>
        <v>27.01</v>
      </c>
      <c r="K1519" s="117" t="str">
        <f t="shared" si="4"/>
        <v>BR</v>
      </c>
      <c r="L1519" s="42" t="str">
        <v>BR2701</v>
      </c>
      <c r="M1519" s="121" t="str">
        <v/>
      </c>
      <c r="N1519" s="121" t="str">
        <v/>
      </c>
      <c r="O1519" s="121" t="str">
        <v/>
      </c>
      <c r="P1519" s="121" t="str">
        <v/>
      </c>
      <c r="Q1519" s="121" t="str">
        <v/>
      </c>
      <c r="R1519" s="121" t="str">
        <v/>
      </c>
      <c r="S1519" s="121" t="str">
        <v>Receive status updates on the availability of product / packs</v>
      </c>
      <c r="T1519" s="119" t="str">
        <f>IF($C1519&lt;4,IF($C1519=3,T1520,IF($C1519=2,T$1,"")),Q1519&amp;R1519&amp;IF(LEN(S1519)=0,"",Preferences!$C$2&amp;S1519)&amp;IF(J1520=J1519,IF(LEN(R1519&amp;S1519)=0,"","
")&amp;T1520,""))</f>
        <v xml:space="preserve">	• Receive status updates on the availability of product / packs
 5. Also see the relevant requirements in the following sections:
	• Customer Orders Management
	• B2C Co Parcel Packing and Dispatch</v>
      </c>
      <c r="U1519" s="122" t="str">
        <v/>
      </c>
      <c r="V1519" s="42"/>
      <c r="W1519" s="42"/>
      <c r="X1519" s="42"/>
      <c r="Y1519" s="42"/>
      <c r="Z1519" s="42"/>
      <c r="AA1519" s="42"/>
      <c r="AB1519" s="42"/>
    </row>
    <row r="1520" spans="1:28" x14ac:dyDescent="0.25">
      <c r="A1520" s="42" t="str">
        <v>1.27.1.5</v>
      </c>
      <c r="B1520" s="121" t="str">
        <v>Also see the relevant requirements in the following sections:</v>
      </c>
      <c r="C1520" s="41">
        <v>4</v>
      </c>
      <c r="D1520" s="41" t="str">
        <v>RD</v>
      </c>
      <c r="E1520" s="117" t="str">
        <f t="shared" si="0"/>
        <v>RD</v>
      </c>
      <c r="F1520" s="41" t="str">
        <v/>
      </c>
      <c r="G1520" s="41" t="str">
        <v/>
      </c>
      <c r="H1520" s="117">
        <f t="shared" si="1"/>
        <v>0</v>
      </c>
      <c r="I1520" s="117">
        <f t="shared" si="2"/>
        <v>27</v>
      </c>
      <c r="J1520" s="117">
        <f t="shared" si="3"/>
        <v>27.01</v>
      </c>
      <c r="K1520" s="117" t="str">
        <f t="shared" si="4"/>
        <v>BR</v>
      </c>
      <c r="L1520" s="42" t="str">
        <v>BR2701</v>
      </c>
      <c r="M1520" s="121" t="str">
        <v/>
      </c>
      <c r="N1520" s="121" t="str">
        <v/>
      </c>
      <c r="O1520" s="121" t="str">
        <v/>
      </c>
      <c r="P1520" s="121" t="str">
        <v/>
      </c>
      <c r="Q1520" s="121" t="str">
        <v xml:space="preserve"> 5. </v>
      </c>
      <c r="R1520" s="121" t="str">
        <v>Also see the relevant requirements in the following sections:</v>
      </c>
      <c r="S1520" s="121" t="str">
        <v/>
      </c>
      <c r="T1520" s="119" t="str">
        <f>IF($C1520&lt;4,IF($C1520=3,T1521,IF($C1520=2,T$1,"")),Q1520&amp;R1520&amp;IF(LEN(S1520)=0,"",Preferences!$C$2&amp;S1520)&amp;IF(J1521=J1520,IF(LEN(R1520&amp;S1520)=0,"","
")&amp;T1521,""))</f>
        <v xml:space="preserve"> 5. Also see the relevant requirements in the following sections:
	• Customer Orders Management
	• B2C Co Parcel Packing and Dispatch</v>
      </c>
      <c r="U1520" s="122" t="str">
        <v/>
      </c>
      <c r="V1520" s="42"/>
      <c r="W1520" s="42"/>
      <c r="X1520" s="42"/>
      <c r="Y1520" s="42"/>
      <c r="Z1520" s="42"/>
      <c r="AA1520" s="42"/>
      <c r="AB1520" s="42"/>
    </row>
    <row r="1521" spans="1:28" x14ac:dyDescent="0.25">
      <c r="A1521" s="42" t="str">
        <v>1.27.1.5.1</v>
      </c>
      <c r="B1521" s="121" t="str">
        <v>Customer Orders Management</v>
      </c>
      <c r="C1521" s="41">
        <v>5</v>
      </c>
      <c r="D1521" s="41" t="str">
        <v>RL</v>
      </c>
      <c r="E1521" s="117" t="str">
        <f t="shared" si="0"/>
        <v>RL</v>
      </c>
      <c r="F1521" s="41" t="str">
        <v/>
      </c>
      <c r="G1521" s="41" t="str">
        <v/>
      </c>
      <c r="H1521" s="117">
        <f t="shared" si="1"/>
        <v>0</v>
      </c>
      <c r="I1521" s="117">
        <f t="shared" si="2"/>
        <v>27</v>
      </c>
      <c r="J1521" s="117">
        <f t="shared" si="3"/>
        <v>27.01</v>
      </c>
      <c r="K1521" s="117" t="str">
        <f t="shared" si="4"/>
        <v>BR</v>
      </c>
      <c r="L1521" s="42" t="str">
        <v>BR2701</v>
      </c>
      <c r="M1521" s="121" t="str">
        <v/>
      </c>
      <c r="N1521" s="121" t="str">
        <v/>
      </c>
      <c r="O1521" s="121" t="str">
        <v/>
      </c>
      <c r="P1521" s="121" t="str">
        <v/>
      </c>
      <c r="Q1521" s="121" t="str">
        <v/>
      </c>
      <c r="R1521" s="121" t="str">
        <v/>
      </c>
      <c r="S1521" s="121" t="str">
        <v>Customer Orders Management</v>
      </c>
      <c r="T1521" s="119" t="str">
        <f>IF($C1521&lt;4,IF($C1521=3,T1522,IF($C1521=2,T$1,"")),Q1521&amp;R1521&amp;IF(LEN(S1521)=0,"",Preferences!$C$2&amp;S1521)&amp;IF(J1522=J1521,IF(LEN(R1521&amp;S1521)=0,"","
")&amp;T1522,""))</f>
        <v xml:space="preserve">	• Customer Orders Management
	• B2C Co Parcel Packing and Dispatch</v>
      </c>
      <c r="U1521" s="122" t="str">
        <v/>
      </c>
      <c r="V1521" s="42"/>
      <c r="W1521" s="42"/>
      <c r="X1521" s="42"/>
      <c r="Y1521" s="42"/>
      <c r="Z1521" s="42"/>
      <c r="AA1521" s="42"/>
      <c r="AB1521" s="42"/>
    </row>
    <row r="1522" spans="1:28" x14ac:dyDescent="0.25">
      <c r="A1522" s="42" t="str">
        <v>1.27.1.5.2</v>
      </c>
      <c r="B1522" s="121" t="str">
        <v>B2C Co Parcel Packing and Dispatch</v>
      </c>
      <c r="C1522" s="41">
        <v>5</v>
      </c>
      <c r="D1522" s="41" t="str">
        <v>RL</v>
      </c>
      <c r="E1522" s="117" t="str">
        <f t="shared" si="0"/>
        <v>RL</v>
      </c>
      <c r="F1522" s="41" t="str">
        <v/>
      </c>
      <c r="G1522" s="41" t="str">
        <v/>
      </c>
      <c r="H1522" s="117">
        <f t="shared" si="1"/>
        <v>0</v>
      </c>
      <c r="I1522" s="117">
        <f t="shared" si="2"/>
        <v>27</v>
      </c>
      <c r="J1522" s="117">
        <f t="shared" si="3"/>
        <v>27.01</v>
      </c>
      <c r="K1522" s="117" t="str">
        <f t="shared" si="4"/>
        <v>BR</v>
      </c>
      <c r="L1522" s="42" t="str">
        <v>BR2701</v>
      </c>
      <c r="M1522" s="121" t="str">
        <v/>
      </c>
      <c r="N1522" s="121" t="str">
        <v/>
      </c>
      <c r="O1522" s="121" t="str">
        <v/>
      </c>
      <c r="P1522" s="121" t="str">
        <v/>
      </c>
      <c r="Q1522" s="121" t="str">
        <v/>
      </c>
      <c r="R1522" s="121" t="str">
        <v/>
      </c>
      <c r="S1522" s="121" t="str">
        <v>B2C Co Parcel Packing and Dispatch</v>
      </c>
      <c r="T1522" s="119" t="str">
        <f>IF($C1522&lt;4,IF($C1522=3,T1523,IF($C1522=2,T$1,"")),Q1522&amp;R1522&amp;IF(LEN(S1522)=0,"",Preferences!$C$2&amp;S1522)&amp;IF(J1523=J1522,IF(LEN(R1522&amp;S1522)=0,"","
")&amp;T1523,""))</f>
        <v xml:space="preserve">	• B2C Co Parcel Packing and Dispatch</v>
      </c>
      <c r="U1522" s="122" t="str">
        <v/>
      </c>
      <c r="V1522" s="42"/>
      <c r="W1522" s="42"/>
      <c r="X1522" s="42"/>
      <c r="Y1522" s="42"/>
      <c r="Z1522" s="42"/>
      <c r="AA1522" s="42"/>
      <c r="AB1522" s="42"/>
    </row>
    <row r="1523" spans="1:28" x14ac:dyDescent="0.25">
      <c r="A1523" s="42" t="str">
        <v>1.27.2</v>
      </c>
      <c r="B1523" s="121" t="str">
        <v>27.2 A supplier manages the fulfilment of a supplier order across their distribution centres and depots</v>
      </c>
      <c r="C1523" s="41">
        <v>3</v>
      </c>
      <c r="D1523" s="41" t="str">
        <v>R</v>
      </c>
      <c r="E1523" s="117" t="str">
        <f t="shared" si="0"/>
        <v>R</v>
      </c>
      <c r="F1523" s="41" t="str">
        <v/>
      </c>
      <c r="G1523" s="41" t="str">
        <v/>
      </c>
      <c r="H1523" s="117">
        <f t="shared" si="1"/>
        <v>0</v>
      </c>
      <c r="I1523" s="117">
        <f t="shared" si="2"/>
        <v>27</v>
      </c>
      <c r="J1523" s="117">
        <f t="shared" si="3"/>
        <v>27.020000000000003</v>
      </c>
      <c r="K1523" s="117" t="str">
        <f t="shared" si="4"/>
        <v>BR</v>
      </c>
      <c r="L1523" s="42" t="str">
        <v>BR2702</v>
      </c>
      <c r="M1523" s="121" t="str">
        <v/>
      </c>
      <c r="N1523" s="121" t="str">
        <v/>
      </c>
      <c r="O1523" s="121" t="str">
        <v>BR2702</v>
      </c>
      <c r="P1523" s="121" t="str">
        <v>A supplier manages the fulfilment of a supplier order across their distribution centres and depots</v>
      </c>
      <c r="Q1523" s="121" t="str">
        <v/>
      </c>
      <c r="R1523" s="121" t="str">
        <v/>
      </c>
      <c r="S1523" s="121" t="str">
        <v/>
      </c>
      <c r="T1523" s="119" t="str">
        <f>IF($C1523&lt;4,IF($C1523=3,T1524,IF($C1523=2,T$1,"")),Q1523&amp;R1523&amp;IF(LEN(S1523)=0,"",Preferences!$C$2&amp;S1523)&amp;IF(J1524=J1523,IF(LEN(R1523&amp;S1523)=0,"","
")&amp;T1524,""))</f>
        <v xml:space="preserve"> 1. The supplier centrally receives and manages all supplier orders to be fulfilled.
 2. A supplier internal order must automatically be created for each received new supplier order.
	• Use the received product barcode to identify a product pack to allocate to the supplier's internal order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3" s="122" t="str">
        <v/>
      </c>
      <c r="V1523" s="42"/>
      <c r="W1523" s="42"/>
      <c r="X1523" s="42"/>
      <c r="Y1523" s="42"/>
      <c r="Z1523" s="42"/>
      <c r="AA1523" s="42"/>
      <c r="AB1523" s="42"/>
    </row>
    <row r="1524" spans="1:28" x14ac:dyDescent="0.25">
      <c r="A1524" s="42" t="str">
        <v>1.27.2.1</v>
      </c>
      <c r="B1524" s="121" t="str">
        <v>The supplier centrally receives and manages all supplier orders to be fulfilled.</v>
      </c>
      <c r="C1524" s="41">
        <v>4</v>
      </c>
      <c r="D1524" s="41" t="str">
        <v>RD</v>
      </c>
      <c r="E1524" s="117" t="str">
        <f t="shared" si="0"/>
        <v>RD</v>
      </c>
      <c r="F1524" s="41" t="str">
        <v/>
      </c>
      <c r="G1524" s="41" t="str">
        <v/>
      </c>
      <c r="H1524" s="117">
        <f t="shared" si="1"/>
        <v>0</v>
      </c>
      <c r="I1524" s="117">
        <f t="shared" si="2"/>
        <v>27</v>
      </c>
      <c r="J1524" s="117">
        <f t="shared" si="3"/>
        <v>27.020000000000003</v>
      </c>
      <c r="K1524" s="117" t="str">
        <f t="shared" si="4"/>
        <v>BR</v>
      </c>
      <c r="L1524" s="42" t="str">
        <v>BR2702</v>
      </c>
      <c r="M1524" s="121" t="str">
        <v/>
      </c>
      <c r="N1524" s="121" t="str">
        <v/>
      </c>
      <c r="O1524" s="121" t="str">
        <v/>
      </c>
      <c r="P1524" s="121" t="str">
        <v/>
      </c>
      <c r="Q1524" s="121" t="str">
        <v xml:space="preserve"> 1. </v>
      </c>
      <c r="R1524" s="121" t="str">
        <v>The supplier centrally receives and manages all supplier orders to be fulfilled.</v>
      </c>
      <c r="S1524" s="121" t="str">
        <v/>
      </c>
      <c r="T1524" s="119" t="str">
        <f>IF($C1524&lt;4,IF($C1524=3,T1525,IF($C1524=2,T$1,"")),Q1524&amp;R1524&amp;IF(LEN(S1524)=0,"",Preferences!$C$2&amp;S1524)&amp;IF(J1525=J1524,IF(LEN(R1524&amp;S1524)=0,"","
")&amp;T1525,""))</f>
        <v xml:space="preserve"> 1. The supplier centrally receives and manages all supplier orders to be fulfilled.
 2. A supplier internal order must automatically be created for each received new supplier order.
	• Use the received product barcode to identify a product pack to allocate to the supplier's internal order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4" s="122" t="str">
        <v/>
      </c>
      <c r="V1524" s="42"/>
      <c r="W1524" s="42"/>
      <c r="X1524" s="42"/>
      <c r="Y1524" s="42"/>
      <c r="Z1524" s="42"/>
      <c r="AA1524" s="42"/>
      <c r="AB1524" s="42"/>
    </row>
    <row r="1525" spans="1:28" x14ac:dyDescent="0.25">
      <c r="A1525" s="42" t="str">
        <v>1.27.2.2</v>
      </c>
      <c r="B1525" s="121" t="str">
        <v>A supplier internal order must automatically be created for each received new supplier order.</v>
      </c>
      <c r="C1525" s="41">
        <v>4</v>
      </c>
      <c r="D1525" s="41" t="str">
        <v>RD</v>
      </c>
      <c r="E1525" s="117" t="str">
        <f t="shared" si="0"/>
        <v>RD</v>
      </c>
      <c r="F1525" s="41" t="str">
        <v/>
      </c>
      <c r="G1525" s="41" t="str">
        <v/>
      </c>
      <c r="H1525" s="117">
        <f t="shared" si="1"/>
        <v>0</v>
      </c>
      <c r="I1525" s="117">
        <f t="shared" si="2"/>
        <v>27</v>
      </c>
      <c r="J1525" s="117">
        <f t="shared" si="3"/>
        <v>27.020000000000003</v>
      </c>
      <c r="K1525" s="117" t="str">
        <f t="shared" si="4"/>
        <v>BR</v>
      </c>
      <c r="L1525" s="42" t="str">
        <v>BR2702</v>
      </c>
      <c r="M1525" s="121" t="str">
        <v/>
      </c>
      <c r="N1525" s="121" t="str">
        <v/>
      </c>
      <c r="O1525" s="121" t="str">
        <v/>
      </c>
      <c r="P1525" s="121" t="str">
        <v/>
      </c>
      <c r="Q1525" s="121" t="str">
        <v xml:space="preserve"> 2. </v>
      </c>
      <c r="R1525" s="121" t="str">
        <v>A supplier internal order must automatically be created for each received new supplier order.</v>
      </c>
      <c r="S1525" s="121" t="str">
        <v/>
      </c>
      <c r="T1525" s="119" t="str">
        <f>IF($C1525&lt;4,IF($C1525=3,T1526,IF($C1525=2,T$1,"")),Q1525&amp;R1525&amp;IF(LEN(S1525)=0,"",Preferences!$C$2&amp;S1525)&amp;IF(J1526=J1525,IF(LEN(R1525&amp;S1525)=0,"","
")&amp;T1526,""))</f>
        <v xml:space="preserve"> 2. A supplier internal order must automatically be created for each received new supplier order.
	• Use the received product barcode to identify a product pack to allocate to the supplier's internal order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5" s="122" t="str">
        <v/>
      </c>
      <c r="V1525" s="42"/>
      <c r="W1525" s="42"/>
      <c r="X1525" s="42"/>
      <c r="Y1525" s="42"/>
      <c r="Z1525" s="42"/>
      <c r="AA1525" s="42"/>
      <c r="AB1525" s="42"/>
    </row>
    <row r="1526" spans="1:28" x14ac:dyDescent="0.25">
      <c r="A1526" s="42" t="str">
        <v>1.27.2.2.1</v>
      </c>
      <c r="B1526" s="121" t="str">
        <v>Use the received product barcode to identify a product pack to allocate to the supplier's internal order</v>
      </c>
      <c r="C1526" s="41">
        <v>5</v>
      </c>
      <c r="D1526" s="41" t="str">
        <v>RL</v>
      </c>
      <c r="E1526" s="117" t="str">
        <f t="shared" si="0"/>
        <v>RL</v>
      </c>
      <c r="F1526" s="41" t="str">
        <v/>
      </c>
      <c r="G1526" s="41" t="str">
        <v/>
      </c>
      <c r="H1526" s="117">
        <f t="shared" si="1"/>
        <v>0</v>
      </c>
      <c r="I1526" s="117">
        <f t="shared" si="2"/>
        <v>27</v>
      </c>
      <c r="J1526" s="117">
        <f t="shared" si="3"/>
        <v>27.020000000000003</v>
      </c>
      <c r="K1526" s="117" t="str">
        <f t="shared" si="4"/>
        <v>BR</v>
      </c>
      <c r="L1526" s="42" t="str">
        <v>BR2702</v>
      </c>
      <c r="M1526" s="121" t="str">
        <v/>
      </c>
      <c r="N1526" s="121" t="str">
        <v/>
      </c>
      <c r="O1526" s="121" t="str">
        <v/>
      </c>
      <c r="P1526" s="121" t="str">
        <v/>
      </c>
      <c r="Q1526" s="121" t="str">
        <v/>
      </c>
      <c r="R1526" s="121" t="str">
        <v/>
      </c>
      <c r="S1526" s="121" t="str">
        <v>Use the received product barcode to identify a product pack to allocate to the supplier's internal order</v>
      </c>
      <c r="T1526" s="119" t="str">
        <f>IF($C1526&lt;4,IF($C1526=3,T1527,IF($C1526=2,T$1,"")),Q1526&amp;R1526&amp;IF(LEN(S1526)=0,"",Preferences!$C$2&amp;S1526)&amp;IF(J1527=J1526,IF(LEN(R1526&amp;S1526)=0,"","
")&amp;T1527,""))</f>
        <v xml:space="preserve">	• Use the received product barcode to identify a product pack to allocate to the supplier's internal order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6" s="122" t="str">
        <v/>
      </c>
      <c r="V1526" s="42"/>
      <c r="W1526" s="42"/>
      <c r="X1526" s="42"/>
      <c r="Y1526" s="42"/>
      <c r="Z1526" s="42"/>
      <c r="AA1526" s="42"/>
      <c r="AB1526" s="42"/>
    </row>
    <row r="1527" spans="1:28" x14ac:dyDescent="0.25">
      <c r="A1527" s="42" t="str">
        <v>1.27.2.2.2</v>
      </c>
      <c r="B1527" s="121" t="str">
        <v>Record the supplier order number as external reference on the internal order</v>
      </c>
      <c r="C1527" s="41">
        <v>5</v>
      </c>
      <c r="D1527" s="41" t="str">
        <v>RL</v>
      </c>
      <c r="E1527" s="117" t="str">
        <f t="shared" si="0"/>
        <v>RL</v>
      </c>
      <c r="F1527" s="41" t="str">
        <v/>
      </c>
      <c r="G1527" s="41" t="str">
        <v/>
      </c>
      <c r="H1527" s="117">
        <f t="shared" si="1"/>
        <v>0</v>
      </c>
      <c r="I1527" s="117">
        <f t="shared" si="2"/>
        <v>27</v>
      </c>
      <c r="J1527" s="117">
        <f t="shared" si="3"/>
        <v>27.020000000000003</v>
      </c>
      <c r="K1527" s="117" t="str">
        <f t="shared" si="4"/>
        <v>BR</v>
      </c>
      <c r="L1527" s="42" t="str">
        <v>BR2702</v>
      </c>
      <c r="M1527" s="121" t="str">
        <v/>
      </c>
      <c r="N1527" s="121" t="str">
        <v/>
      </c>
      <c r="O1527" s="121" t="str">
        <v/>
      </c>
      <c r="P1527" s="121" t="str">
        <v/>
      </c>
      <c r="Q1527" s="121" t="str">
        <v/>
      </c>
      <c r="R1527" s="121" t="str">
        <v/>
      </c>
      <c r="S1527" s="121" t="str">
        <v>Record the supplier order number as external reference on the internal order</v>
      </c>
      <c r="T1527" s="119" t="str">
        <f>IF($C1527&lt;4,IF($C1527=3,T1528,IF($C1527=2,T$1,"")),Q1527&amp;R1527&amp;IF(LEN(S1527)=0,"",Preferences!$C$2&amp;S1527)&amp;IF(J1528=J1527,IF(LEN(R1527&amp;S1527)=0,"","
")&amp;T1528,""))</f>
        <v xml:space="preserve">	• Record the supplier order number as external reference on the internal order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7" s="122" t="str">
        <v/>
      </c>
      <c r="V1527" s="42"/>
      <c r="W1527" s="42"/>
      <c r="X1527" s="42"/>
      <c r="Y1527" s="42"/>
      <c r="Z1527" s="42"/>
      <c r="AA1527" s="42"/>
      <c r="AB1527" s="42"/>
    </row>
    <row r="1528" spans="1:28" x14ac:dyDescent="0.25">
      <c r="A1528" s="42" t="str">
        <v>1.27.2.2.3</v>
      </c>
      <c r="B1528" s="121" t="str">
        <v>Automatically assess stock availability and confirm the stock availability, along with the internal order number</v>
      </c>
      <c r="C1528" s="41">
        <v>5</v>
      </c>
      <c r="D1528" s="41" t="str">
        <v>RL</v>
      </c>
      <c r="E1528" s="117" t="str">
        <f t="shared" si="0"/>
        <v>RL</v>
      </c>
      <c r="F1528" s="41" t="str">
        <v/>
      </c>
      <c r="G1528" s="41" t="str">
        <v/>
      </c>
      <c r="H1528" s="117">
        <f t="shared" si="1"/>
        <v>0</v>
      </c>
      <c r="I1528" s="117">
        <f t="shared" si="2"/>
        <v>27</v>
      </c>
      <c r="J1528" s="117">
        <f t="shared" si="3"/>
        <v>27.020000000000003</v>
      </c>
      <c r="K1528" s="117" t="str">
        <f t="shared" si="4"/>
        <v>BR</v>
      </c>
      <c r="L1528" s="42" t="str">
        <v>BR2702</v>
      </c>
      <c r="M1528" s="121" t="str">
        <v/>
      </c>
      <c r="N1528" s="121" t="str">
        <v/>
      </c>
      <c r="O1528" s="121" t="str">
        <v/>
      </c>
      <c r="P1528" s="121" t="str">
        <v/>
      </c>
      <c r="Q1528" s="121" t="str">
        <v/>
      </c>
      <c r="R1528" s="121" t="str">
        <v/>
      </c>
      <c r="S1528" s="121" t="str">
        <v>Automatically assess stock availability and confirm the stock availability, along with the internal order number</v>
      </c>
      <c r="T1528" s="119" t="str">
        <f>IF($C1528&lt;4,IF($C1528=3,T1529,IF($C1528=2,T$1,"")),Q1528&amp;R1528&amp;IF(LEN(S1528)=0,"",Preferences!$C$2&amp;S1528)&amp;IF(J1529=J1528,IF(LEN(R1528&amp;S1528)=0,"","
")&amp;T1529,""))</f>
        <v xml:space="preserve">	• Automatically assess stock availability and confirm the stock availability, along with the internal order number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8" s="122" t="str">
        <v/>
      </c>
      <c r="V1528" s="42"/>
      <c r="W1528" s="42"/>
      <c r="X1528" s="42"/>
      <c r="Y1528" s="42"/>
      <c r="Z1528" s="42"/>
      <c r="AA1528" s="42"/>
      <c r="AB1528" s="42"/>
    </row>
    <row r="1529" spans="1:28" x14ac:dyDescent="0.25">
      <c r="A1529" s="42" t="str">
        <v>1.27.2.3</v>
      </c>
      <c r="B1529" s="121" t="str">
        <v>The supplier centrally allocates each received supplier order to the appropriate warehouse to fulfil, to be based on:</v>
      </c>
      <c r="C1529" s="41">
        <v>4</v>
      </c>
      <c r="D1529" s="41" t="str">
        <v>RD</v>
      </c>
      <c r="E1529" s="117" t="str">
        <f t="shared" si="0"/>
        <v>RD</v>
      </c>
      <c r="F1529" s="41" t="str">
        <v/>
      </c>
      <c r="G1529" s="41" t="str">
        <v/>
      </c>
      <c r="H1529" s="117">
        <f t="shared" si="1"/>
        <v>0</v>
      </c>
      <c r="I1529" s="117">
        <f t="shared" si="2"/>
        <v>27</v>
      </c>
      <c r="J1529" s="117">
        <f t="shared" si="3"/>
        <v>27.020000000000003</v>
      </c>
      <c r="K1529" s="117" t="str">
        <f t="shared" si="4"/>
        <v>BR</v>
      </c>
      <c r="L1529" s="42" t="str">
        <v>BR2702</v>
      </c>
      <c r="M1529" s="121" t="str">
        <v/>
      </c>
      <c r="N1529" s="121" t="str">
        <v/>
      </c>
      <c r="O1529" s="121" t="str">
        <v/>
      </c>
      <c r="P1529" s="121" t="str">
        <v/>
      </c>
      <c r="Q1529" s="121" t="str">
        <v xml:space="preserve"> 3. </v>
      </c>
      <c r="R1529" s="121" t="str">
        <v>The supplier centrally allocates each received supplier order to the appropriate warehouse to fulfil, to be based on:</v>
      </c>
      <c r="S1529" s="121" t="str">
        <v/>
      </c>
      <c r="T1529" s="119" t="str">
        <f>IF($C1529&lt;4,IF($C1529=3,T1530,IF($C1529=2,T$1,"")),Q1529&amp;R1529&amp;IF(LEN(S1529)=0,"",Preferences!$C$2&amp;S1529)&amp;IF(J1530=J1529,IF(LEN(R1529&amp;S1529)=0,"","
")&amp;T1530,""))</f>
        <v xml:space="preserve"> 3. The supplier centrally allocates each received supplier order to the appropriate warehouse to fulfil, to be based on: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29" s="122" t="str">
        <v/>
      </c>
      <c r="V1529" s="42"/>
      <c r="W1529" s="42"/>
      <c r="X1529" s="42"/>
      <c r="Y1529" s="42"/>
      <c r="Z1529" s="42"/>
      <c r="AA1529" s="42"/>
      <c r="AB1529" s="42"/>
    </row>
    <row r="1530" spans="1:28" x14ac:dyDescent="0.25">
      <c r="A1530" s="42" t="str">
        <v>1.27.2.3.1</v>
      </c>
      <c r="B1530" s="121" t="str">
        <v>Stock availability in each warehouse</v>
      </c>
      <c r="C1530" s="41">
        <v>5</v>
      </c>
      <c r="D1530" s="41" t="str">
        <v>RL</v>
      </c>
      <c r="E1530" s="117" t="str">
        <f t="shared" si="0"/>
        <v>RL</v>
      </c>
      <c r="F1530" s="41" t="str">
        <v/>
      </c>
      <c r="G1530" s="41" t="str">
        <v/>
      </c>
      <c r="H1530" s="117">
        <f t="shared" si="1"/>
        <v>0</v>
      </c>
      <c r="I1530" s="117">
        <f t="shared" si="2"/>
        <v>27</v>
      </c>
      <c r="J1530" s="117">
        <f t="shared" si="3"/>
        <v>27.020000000000003</v>
      </c>
      <c r="K1530" s="117" t="str">
        <f t="shared" si="4"/>
        <v>BR</v>
      </c>
      <c r="L1530" s="42" t="str">
        <v>BR2702</v>
      </c>
      <c r="M1530" s="121" t="str">
        <v/>
      </c>
      <c r="N1530" s="121" t="str">
        <v/>
      </c>
      <c r="O1530" s="121" t="str">
        <v/>
      </c>
      <c r="P1530" s="121" t="str">
        <v/>
      </c>
      <c r="Q1530" s="121" t="str">
        <v/>
      </c>
      <c r="R1530" s="121" t="str">
        <v/>
      </c>
      <c r="S1530" s="121" t="str">
        <v>Stock availability in each warehouse</v>
      </c>
      <c r="T1530" s="119" t="str">
        <f>IF($C1530&lt;4,IF($C1530=3,T1531,IF($C1530=2,T$1,"")),Q1530&amp;R1530&amp;IF(LEN(S1530)=0,"",Preferences!$C$2&amp;S1530)&amp;IF(J1531=J1530,IF(LEN(R1530&amp;S1530)=0,"","
")&amp;T1531,""))</f>
        <v xml:space="preserve">	• Stock availability in each warehouse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0" s="122" t="str">
        <v/>
      </c>
      <c r="V1530" s="42"/>
      <c r="W1530" s="42"/>
      <c r="X1530" s="42"/>
      <c r="Y1530" s="42"/>
      <c r="Z1530" s="42"/>
      <c r="AA1530" s="42"/>
      <c r="AB1530" s="42"/>
    </row>
    <row r="1531" spans="1:28" x14ac:dyDescent="0.25">
      <c r="A1531" s="42" t="str">
        <v>1.27.2.3.2</v>
      </c>
      <c r="B1531" s="121" t="str">
        <v>Warehouse closest to the delivery address (reduced courier cost/time)</v>
      </c>
      <c r="C1531" s="41">
        <v>5</v>
      </c>
      <c r="D1531" s="41" t="str">
        <v>RL</v>
      </c>
      <c r="E1531" s="117" t="str">
        <f t="shared" si="0"/>
        <v>RL</v>
      </c>
      <c r="F1531" s="41" t="str">
        <v/>
      </c>
      <c r="G1531" s="41" t="str">
        <v/>
      </c>
      <c r="H1531" s="117">
        <f t="shared" si="1"/>
        <v>0</v>
      </c>
      <c r="I1531" s="117">
        <f t="shared" si="2"/>
        <v>27</v>
      </c>
      <c r="J1531" s="117">
        <f t="shared" si="3"/>
        <v>27.020000000000003</v>
      </c>
      <c r="K1531" s="117" t="str">
        <f t="shared" si="4"/>
        <v>BR</v>
      </c>
      <c r="L1531" s="42" t="str">
        <v>BR2702</v>
      </c>
      <c r="M1531" s="121" t="str">
        <v/>
      </c>
      <c r="N1531" s="121" t="str">
        <v/>
      </c>
      <c r="O1531" s="121" t="str">
        <v/>
      </c>
      <c r="P1531" s="121" t="str">
        <v/>
      </c>
      <c r="Q1531" s="121" t="str">
        <v/>
      </c>
      <c r="R1531" s="121" t="str">
        <v/>
      </c>
      <c r="S1531" s="121" t="str">
        <v>Warehouse closest to the delivery address (reduced courier cost/time)</v>
      </c>
      <c r="T1531" s="119" t="str">
        <f>IF($C1531&lt;4,IF($C1531=3,T1532,IF($C1531=2,T$1,"")),Q1531&amp;R1531&amp;IF(LEN(S1531)=0,"",Preferences!$C$2&amp;S1531)&amp;IF(J1532=J1531,IF(LEN(R1531&amp;S1531)=0,"","
")&amp;T1532,""))</f>
        <v xml:space="preserve">	• Warehouse closest to the delivery address (reduced courier cost/time)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1" s="122" t="str">
        <v/>
      </c>
      <c r="V1531" s="42"/>
      <c r="W1531" s="42"/>
      <c r="X1531" s="42"/>
      <c r="Y1531" s="42"/>
      <c r="Z1531" s="42"/>
      <c r="AA1531" s="42"/>
      <c r="AB1531" s="42"/>
    </row>
    <row r="1532" spans="1:28" x14ac:dyDescent="0.25">
      <c r="A1532" s="42" t="str">
        <v>1.27.2.4</v>
      </c>
      <c r="B1532" s="121" t="str">
        <v>As the location where an supplier order is being fulfilled is managed transparently by the supplier, they may transfer the order to a new fulfilment location.</v>
      </c>
      <c r="C1532" s="41">
        <v>4</v>
      </c>
      <c r="D1532" s="41" t="str">
        <v>RD</v>
      </c>
      <c r="E1532" s="117" t="str">
        <f t="shared" si="0"/>
        <v>RD</v>
      </c>
      <c r="F1532" s="41" t="str">
        <v/>
      </c>
      <c r="G1532" s="41" t="str">
        <v/>
      </c>
      <c r="H1532" s="117">
        <f t="shared" si="1"/>
        <v>0</v>
      </c>
      <c r="I1532" s="117">
        <f t="shared" si="2"/>
        <v>27</v>
      </c>
      <c r="J1532" s="117">
        <f t="shared" si="3"/>
        <v>27.020000000000003</v>
      </c>
      <c r="K1532" s="117" t="str">
        <f t="shared" si="4"/>
        <v>BR</v>
      </c>
      <c r="L1532" s="42" t="str">
        <v>BR2702</v>
      </c>
      <c r="M1532" s="121" t="str">
        <v/>
      </c>
      <c r="N1532" s="121" t="str">
        <v/>
      </c>
      <c r="O1532" s="121" t="str">
        <v/>
      </c>
      <c r="P1532" s="121" t="str">
        <v/>
      </c>
      <c r="Q1532" s="121" t="str">
        <v xml:space="preserve"> 4. </v>
      </c>
      <c r="R1532" s="121" t="str">
        <v>As the location where an supplier order is being fulfilled is managed transparently by the supplier, they may transfer the order to a new fulfilment location.</v>
      </c>
      <c r="S1532" s="121" t="str">
        <v/>
      </c>
      <c r="T1532" s="119" t="str">
        <f>IF($C1532&lt;4,IF($C1532=3,T1533,IF($C1532=2,T$1,"")),Q1532&amp;R1532&amp;IF(LEN(S1532)=0,"",Preferences!$C$2&amp;S1532)&amp;IF(J1533=J1532,IF(LEN(R1532&amp;S1532)=0,"","
")&amp;T1533,""))</f>
        <v xml:space="preserve"> 4. As the location where an supplier order is being fulfilled is managed transparently by the supplier, they may transfer the order to a new fulfilment location.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2" s="122" t="str">
        <v/>
      </c>
      <c r="V1532" s="42"/>
      <c r="W1532" s="42"/>
      <c r="X1532" s="42"/>
      <c r="Y1532" s="42"/>
      <c r="Z1532" s="42"/>
      <c r="AA1532" s="42"/>
      <c r="AB1532" s="42"/>
    </row>
    <row r="1533" spans="1:28" x14ac:dyDescent="0.25">
      <c r="A1533" s="42" t="str">
        <v>1.27.2.4.1</v>
      </c>
      <c r="B1533" s="121" t="str">
        <v>A status update for the supplier order must be sent to the business, to notify them of the new location where the order is being fulfilled.</v>
      </c>
      <c r="C1533" s="41">
        <v>5</v>
      </c>
      <c r="D1533" s="41" t="str">
        <v>RL</v>
      </c>
      <c r="E1533" s="117" t="str">
        <f t="shared" si="0"/>
        <v>RL</v>
      </c>
      <c r="F1533" s="41" t="str">
        <v/>
      </c>
      <c r="G1533" s="41" t="str">
        <v/>
      </c>
      <c r="H1533" s="117">
        <f t="shared" si="1"/>
        <v>0</v>
      </c>
      <c r="I1533" s="117">
        <f t="shared" si="2"/>
        <v>27</v>
      </c>
      <c r="J1533" s="117">
        <f t="shared" si="3"/>
        <v>27.020000000000003</v>
      </c>
      <c r="K1533" s="117" t="str">
        <f t="shared" si="4"/>
        <v>BR</v>
      </c>
      <c r="L1533" s="42" t="str">
        <v>BR2702</v>
      </c>
      <c r="M1533" s="121" t="str">
        <v/>
      </c>
      <c r="N1533" s="121" t="str">
        <v/>
      </c>
      <c r="O1533" s="121" t="str">
        <v/>
      </c>
      <c r="P1533" s="121" t="str">
        <v/>
      </c>
      <c r="Q1533" s="121" t="str">
        <v/>
      </c>
      <c r="R1533" s="121" t="str">
        <v/>
      </c>
      <c r="S1533" s="121" t="str">
        <v>A status update for the supplier order must be sent to the business, to notify them of the new location where the order is being fulfilled.</v>
      </c>
      <c r="T1533" s="119" t="str">
        <f>IF($C1533&lt;4,IF($C1533=3,T1534,IF($C1533=2,T$1,"")),Q1533&amp;R1533&amp;IF(LEN(S1533)=0,"",Preferences!$C$2&amp;S1533)&amp;IF(J1534=J1533,IF(LEN(R1533&amp;S1533)=0,"","
")&amp;T1534,""))</f>
        <v xml:space="preserve">	• A status update for the supplier order must be sent to the business, to notify them of the new location where the order is being fulfilled.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3" s="122" t="str">
        <v/>
      </c>
      <c r="V1533" s="42"/>
      <c r="W1533" s="42"/>
      <c r="X1533" s="42"/>
      <c r="Y1533" s="42"/>
      <c r="Z1533" s="42"/>
      <c r="AA1533" s="42"/>
      <c r="AB1533" s="42"/>
    </row>
    <row r="1534" spans="1:28" x14ac:dyDescent="0.25">
      <c r="A1534" s="42" t="str">
        <v>1.27.2.5</v>
      </c>
      <c r="B1534" s="121" t="str">
        <v>The existing supplier internal order must automatically be updated for each received supplier order update (update, cancel).</v>
      </c>
      <c r="C1534" s="41">
        <v>4</v>
      </c>
      <c r="D1534" s="41" t="str">
        <v>RD</v>
      </c>
      <c r="E1534" s="117" t="str">
        <f t="shared" si="0"/>
        <v>RD</v>
      </c>
      <c r="F1534" s="41" t="str">
        <v/>
      </c>
      <c r="G1534" s="41" t="str">
        <v/>
      </c>
      <c r="H1534" s="117">
        <f t="shared" si="1"/>
        <v>0</v>
      </c>
      <c r="I1534" s="117">
        <f t="shared" si="2"/>
        <v>27</v>
      </c>
      <c r="J1534" s="117">
        <f t="shared" si="3"/>
        <v>27.020000000000003</v>
      </c>
      <c r="K1534" s="117" t="str">
        <f t="shared" si="4"/>
        <v>BR</v>
      </c>
      <c r="L1534" s="42" t="str">
        <v>BR2702</v>
      </c>
      <c r="M1534" s="121" t="str">
        <v/>
      </c>
      <c r="N1534" s="121" t="str">
        <v/>
      </c>
      <c r="O1534" s="121" t="str">
        <v/>
      </c>
      <c r="P1534" s="121" t="str">
        <v/>
      </c>
      <c r="Q1534" s="121" t="str">
        <v xml:space="preserve"> 5. </v>
      </c>
      <c r="R1534" s="121" t="str">
        <v>The existing supplier internal order must automatically be updated for each received supplier order update (update, cancel).</v>
      </c>
      <c r="S1534" s="121" t="str">
        <v/>
      </c>
      <c r="T1534" s="119" t="str">
        <f>IF($C1534&lt;4,IF($C1534=3,T1535,IF($C1534=2,T$1,"")),Q1534&amp;R1534&amp;IF(LEN(S1534)=0,"",Preferences!$C$2&amp;S1534)&amp;IF(J1535=J1534,IF(LEN(R1534&amp;S1534)=0,"","
")&amp;T1535,""))</f>
        <v xml:space="preserve"> 5. The existing supplier internal order must automatically be updated for each received supplier order update (update, cancel).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4" s="122" t="str">
        <v/>
      </c>
      <c r="V1534" s="42"/>
      <c r="W1534" s="42"/>
      <c r="X1534" s="42"/>
      <c r="Y1534" s="42"/>
      <c r="Z1534" s="42"/>
      <c r="AA1534" s="42"/>
      <c r="AB1534" s="42"/>
    </row>
    <row r="1535" spans="1:28" x14ac:dyDescent="0.25">
      <c r="A1535" s="42" t="str">
        <v>1.27.2.5.1</v>
      </c>
      <c r="B1535" s="121" t="str">
        <v>Use the received product barcode to identify a product pack to allocate to the supplier's internal order</v>
      </c>
      <c r="C1535" s="41">
        <v>5</v>
      </c>
      <c r="D1535" s="41" t="str">
        <v>RL</v>
      </c>
      <c r="E1535" s="117" t="str">
        <f t="shared" si="0"/>
        <v>RL</v>
      </c>
      <c r="F1535" s="41" t="str">
        <v/>
      </c>
      <c r="G1535" s="41" t="str">
        <v/>
      </c>
      <c r="H1535" s="117">
        <f t="shared" si="1"/>
        <v>0</v>
      </c>
      <c r="I1535" s="117">
        <f t="shared" si="2"/>
        <v>27</v>
      </c>
      <c r="J1535" s="117">
        <f t="shared" si="3"/>
        <v>27.020000000000003</v>
      </c>
      <c r="K1535" s="117" t="str">
        <f t="shared" si="4"/>
        <v>BR</v>
      </c>
      <c r="L1535" s="42" t="str">
        <v>BR2702</v>
      </c>
      <c r="M1535" s="121" t="str">
        <v/>
      </c>
      <c r="N1535" s="121" t="str">
        <v/>
      </c>
      <c r="O1535" s="121" t="str">
        <v/>
      </c>
      <c r="P1535" s="121" t="str">
        <v/>
      </c>
      <c r="Q1535" s="121" t="str">
        <v/>
      </c>
      <c r="R1535" s="121" t="str">
        <v/>
      </c>
      <c r="S1535" s="121" t="str">
        <v>Use the received product barcode to identify a product pack to allocate to the supplier's internal order</v>
      </c>
      <c r="T1535" s="119" t="str">
        <f>IF($C1535&lt;4,IF($C1535=3,T1536,IF($C1535=2,T$1,"")),Q1535&amp;R1535&amp;IF(LEN(S1535)=0,"",Preferences!$C$2&amp;S1535)&amp;IF(J1536=J1535,IF(LEN(R1535&amp;S1535)=0,"","
")&amp;T1536,""))</f>
        <v xml:space="preserve">	• Use the received product barcode to identify a product pack to allocate to the supplier's internal order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5" s="122" t="str">
        <v/>
      </c>
      <c r="V1535" s="42"/>
      <c r="W1535" s="42"/>
      <c r="X1535" s="42"/>
      <c r="Y1535" s="42"/>
      <c r="Z1535" s="42"/>
      <c r="AA1535" s="42"/>
      <c r="AB1535" s="42"/>
    </row>
    <row r="1536" spans="1:28" x14ac:dyDescent="0.25">
      <c r="A1536" s="42" t="str">
        <v>1.27.2.5.2</v>
      </c>
      <c r="B1536" s="121" t="str">
        <v>Update the product quantities to match the updated supplier order</v>
      </c>
      <c r="C1536" s="41">
        <v>5</v>
      </c>
      <c r="D1536" s="41" t="str">
        <v>RL</v>
      </c>
      <c r="E1536" s="117" t="str">
        <f t="shared" si="0"/>
        <v>RL</v>
      </c>
      <c r="F1536" s="41" t="str">
        <v/>
      </c>
      <c r="G1536" s="41" t="str">
        <v/>
      </c>
      <c r="H1536" s="117">
        <f t="shared" si="1"/>
        <v>0</v>
      </c>
      <c r="I1536" s="117">
        <f t="shared" si="2"/>
        <v>27</v>
      </c>
      <c r="J1536" s="117">
        <f t="shared" si="3"/>
        <v>27.020000000000003</v>
      </c>
      <c r="K1536" s="117" t="str">
        <f t="shared" si="4"/>
        <v>BR</v>
      </c>
      <c r="L1536" s="42" t="str">
        <v>BR2702</v>
      </c>
      <c r="M1536" s="121" t="str">
        <v/>
      </c>
      <c r="N1536" s="121" t="str">
        <v/>
      </c>
      <c r="O1536" s="121" t="str">
        <v/>
      </c>
      <c r="P1536" s="121" t="str">
        <v/>
      </c>
      <c r="Q1536" s="121" t="str">
        <v/>
      </c>
      <c r="R1536" s="121" t="str">
        <v/>
      </c>
      <c r="S1536" s="121" t="str">
        <v>Update the product quantities to match the updated supplier order</v>
      </c>
      <c r="T1536" s="119" t="str">
        <f>IF($C1536&lt;4,IF($C1536=3,T1537,IF($C1536=2,T$1,"")),Q1536&amp;R1536&amp;IF(LEN(S1536)=0,"",Preferences!$C$2&amp;S1536)&amp;IF(J1537=J1536,IF(LEN(R1536&amp;S1536)=0,"","
")&amp;T1537,""))</f>
        <v xml:space="preserve">	• Update the product quantities to match the updated supplier order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6" s="122" t="str">
        <v/>
      </c>
      <c r="V1536" s="42"/>
      <c r="W1536" s="42"/>
      <c r="X1536" s="42"/>
      <c r="Y1536" s="42"/>
      <c r="Z1536" s="42"/>
      <c r="AA1536" s="42"/>
      <c r="AB1536" s="42"/>
    </row>
    <row r="1537" spans="1:28" x14ac:dyDescent="0.25">
      <c r="A1537" s="42" t="str">
        <v>1.27.2.5.3</v>
      </c>
      <c r="B1537" s="121" t="str">
        <v>Automatically assess stock availability and confirm the stock availability</v>
      </c>
      <c r="C1537" s="41">
        <v>5</v>
      </c>
      <c r="D1537" s="41" t="str">
        <v>RL</v>
      </c>
      <c r="E1537" s="117" t="str">
        <f t="shared" si="0"/>
        <v>RL</v>
      </c>
      <c r="F1537" s="41" t="str">
        <v/>
      </c>
      <c r="G1537" s="41" t="str">
        <v/>
      </c>
      <c r="H1537" s="117">
        <f t="shared" si="1"/>
        <v>0</v>
      </c>
      <c r="I1537" s="117">
        <f t="shared" si="2"/>
        <v>27</v>
      </c>
      <c r="J1537" s="117">
        <f t="shared" si="3"/>
        <v>27.020000000000003</v>
      </c>
      <c r="K1537" s="117" t="str">
        <f t="shared" si="4"/>
        <v>BR</v>
      </c>
      <c r="L1537" s="42" t="str">
        <v>BR2702</v>
      </c>
      <c r="M1537" s="121" t="str">
        <v/>
      </c>
      <c r="N1537" s="121" t="str">
        <v/>
      </c>
      <c r="O1537" s="121" t="str">
        <v/>
      </c>
      <c r="P1537" s="121" t="str">
        <v/>
      </c>
      <c r="Q1537" s="121" t="str">
        <v/>
      </c>
      <c r="R1537" s="121" t="str">
        <v/>
      </c>
      <c r="S1537" s="121" t="str">
        <v>Automatically assess stock availability and confirm the stock availability</v>
      </c>
      <c r="T1537" s="119" t="str">
        <f>IF($C1537&lt;4,IF($C1537=3,T1538,IF($C1537=2,T$1,"")),Q1537&amp;R1537&amp;IF(LEN(S1537)=0,"",Preferences!$C$2&amp;S1537)&amp;IF(J1538=J1537,IF(LEN(R1537&amp;S1537)=0,"","
")&amp;T1538,""))</f>
        <v xml:space="preserve">	• Automatically assess stock availability and confirm the stock availability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7" s="122" t="str">
        <v/>
      </c>
      <c r="V1537" s="42"/>
      <c r="W1537" s="42"/>
      <c r="X1537" s="42"/>
      <c r="Y1537" s="42"/>
      <c r="Z1537" s="42"/>
      <c r="AA1537" s="42"/>
      <c r="AB1537" s="42"/>
    </row>
    <row r="1538" spans="1:28" x14ac:dyDescent="0.25">
      <c r="A1538" s="42" t="str">
        <v>1.27.2.5.4</v>
      </c>
      <c r="B1538" s="121" t="str">
        <v>Changes to a supplier order that is already packed may be refused.</v>
      </c>
      <c r="C1538" s="41">
        <v>5</v>
      </c>
      <c r="D1538" s="41" t="str">
        <v>RL</v>
      </c>
      <c r="E1538" s="117" t="str">
        <f t="shared" si="0"/>
        <v>RL</v>
      </c>
      <c r="F1538" s="41" t="str">
        <v/>
      </c>
      <c r="G1538" s="41" t="str">
        <v/>
      </c>
      <c r="H1538" s="117">
        <f t="shared" si="1"/>
        <v>0</v>
      </c>
      <c r="I1538" s="117">
        <f t="shared" si="2"/>
        <v>27</v>
      </c>
      <c r="J1538" s="117">
        <f t="shared" si="3"/>
        <v>27.020000000000003</v>
      </c>
      <c r="K1538" s="117" t="str">
        <f t="shared" si="4"/>
        <v>BR</v>
      </c>
      <c r="L1538" s="42" t="str">
        <v>BR2702</v>
      </c>
      <c r="M1538" s="121" t="str">
        <v/>
      </c>
      <c r="N1538" s="121" t="str">
        <v/>
      </c>
      <c r="O1538" s="121" t="str">
        <v/>
      </c>
      <c r="P1538" s="121" t="str">
        <v/>
      </c>
      <c r="Q1538" s="121" t="str">
        <v/>
      </c>
      <c r="R1538" s="121" t="str">
        <v/>
      </c>
      <c r="S1538" s="121" t="str">
        <v>Changes to a supplier order that is already packed may be refused.</v>
      </c>
      <c r="T1538" s="119" t="str">
        <f>IF($C1538&lt;4,IF($C1538=3,T1539,IF($C1538=2,T$1,"")),Q1538&amp;R1538&amp;IF(LEN(S1538)=0,"",Preferences!$C$2&amp;S1538)&amp;IF(J1539=J1538,IF(LEN(R1538&amp;S1538)=0,"","
")&amp;T1539,""))</f>
        <v xml:space="preserve">	• Changes to a supplier order that is already packed may be refused.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8" s="122" t="str">
        <v/>
      </c>
      <c r="V1538" s="42"/>
      <c r="W1538" s="42"/>
      <c r="X1538" s="42"/>
      <c r="Y1538" s="42"/>
      <c r="Z1538" s="42"/>
      <c r="AA1538" s="42"/>
      <c r="AB1538" s="42"/>
    </row>
    <row r="1539" spans="1:28" x14ac:dyDescent="0.25">
      <c r="A1539" s="42" t="str">
        <v>1.27.2.6</v>
      </c>
      <c r="B1539" s="121" t="str">
        <v>The supplier centrally manages and notifies their allocated warehouse with any changes to an allocated supplier order update, cancel).</v>
      </c>
      <c r="C1539" s="41">
        <v>4</v>
      </c>
      <c r="D1539" s="41" t="str">
        <v>RD</v>
      </c>
      <c r="E1539" s="117" t="str">
        <f t="shared" si="0"/>
        <v>RD</v>
      </c>
      <c r="F1539" s="41" t="str">
        <v/>
      </c>
      <c r="G1539" s="41" t="str">
        <v/>
      </c>
      <c r="H1539" s="117">
        <f t="shared" si="1"/>
        <v>0</v>
      </c>
      <c r="I1539" s="117">
        <f t="shared" si="2"/>
        <v>27</v>
      </c>
      <c r="J1539" s="117">
        <f t="shared" si="3"/>
        <v>27.020000000000003</v>
      </c>
      <c r="K1539" s="117" t="str">
        <f t="shared" si="4"/>
        <v>BR</v>
      </c>
      <c r="L1539" s="42" t="str">
        <v>BR2702</v>
      </c>
      <c r="M1539" s="121" t="str">
        <v/>
      </c>
      <c r="N1539" s="121" t="str">
        <v/>
      </c>
      <c r="O1539" s="121" t="str">
        <v/>
      </c>
      <c r="P1539" s="121" t="str">
        <v/>
      </c>
      <c r="Q1539" s="121" t="str">
        <v xml:space="preserve"> 6. </v>
      </c>
      <c r="R1539" s="121" t="str">
        <v>The supplier centrally manages and notifies their allocated warehouse with any changes to an allocated supplier order update, cancel).</v>
      </c>
      <c r="S1539" s="121" t="str">
        <v/>
      </c>
      <c r="T1539" s="119" t="str">
        <f>IF($C1539&lt;4,IF($C1539=3,T1540,IF($C1539=2,T$1,"")),Q1539&amp;R1539&amp;IF(LEN(S1539)=0,"",Preferences!$C$2&amp;S1539)&amp;IF(J1540=J1539,IF(LEN(R1539&amp;S1539)=0,"","
")&amp;T1540,""))</f>
        <v xml:space="preserve"> 6. The supplier centrally manages and notifies their allocated warehouse with any changes to an allocated supplier order update, cancel).
 7. The fulfilment status of each supplier order must be centrally managed, in order to automatically report the progress of the supplier order back to the business.
 8. Also see the relevant requirements in the Customer Orders Management section.</v>
      </c>
      <c r="U1539" s="122" t="str">
        <v/>
      </c>
      <c r="V1539" s="42"/>
      <c r="W1539" s="42"/>
      <c r="X1539" s="42"/>
      <c r="Y1539" s="42"/>
      <c r="Z1539" s="42"/>
      <c r="AA1539" s="42"/>
      <c r="AB1539" s="42"/>
    </row>
    <row r="1540" spans="1:28" x14ac:dyDescent="0.25">
      <c r="A1540" s="42" t="str">
        <v>1.27.2.7</v>
      </c>
      <c r="B1540" s="121" t="str">
        <v>The fulfilment status of each supplier order must be centrally managed, in order to automatically report the progress of the supplier order back to the business.</v>
      </c>
      <c r="C1540" s="41">
        <v>4</v>
      </c>
      <c r="D1540" s="41" t="str">
        <v>RD</v>
      </c>
      <c r="E1540" s="117" t="str">
        <f t="shared" si="0"/>
        <v>RD</v>
      </c>
      <c r="F1540" s="41" t="str">
        <v/>
      </c>
      <c r="G1540" s="41" t="str">
        <v/>
      </c>
      <c r="H1540" s="117">
        <f t="shared" si="1"/>
        <v>0</v>
      </c>
      <c r="I1540" s="117">
        <f t="shared" si="2"/>
        <v>27</v>
      </c>
      <c r="J1540" s="117">
        <f t="shared" si="3"/>
        <v>27.020000000000003</v>
      </c>
      <c r="K1540" s="117" t="str">
        <f t="shared" si="4"/>
        <v>BR</v>
      </c>
      <c r="L1540" s="42" t="str">
        <v>BR2702</v>
      </c>
      <c r="M1540" s="121" t="str">
        <v/>
      </c>
      <c r="N1540" s="121" t="str">
        <v/>
      </c>
      <c r="O1540" s="121" t="str">
        <v/>
      </c>
      <c r="P1540" s="121" t="str">
        <v/>
      </c>
      <c r="Q1540" s="121" t="str">
        <v xml:space="preserve"> 7. </v>
      </c>
      <c r="R1540" s="121" t="str">
        <v>The fulfilment status of each supplier order must be centrally managed, in order to automatically report the progress of the supplier order back to the business.</v>
      </c>
      <c r="S1540" s="121" t="str">
        <v/>
      </c>
      <c r="T1540" s="119" t="str">
        <f>IF($C1540&lt;4,IF($C1540=3,T1541,IF($C1540=2,T$1,"")),Q1540&amp;R1540&amp;IF(LEN(S1540)=0,"",Preferences!$C$2&amp;S1540)&amp;IF(J1541=J1540,IF(LEN(R1540&amp;S1540)=0,"","
")&amp;T1541,""))</f>
        <v xml:space="preserve"> 7. The fulfilment status of each supplier order must be centrally managed, in order to automatically report the progress of the supplier order back to the business.
 8. Also see the relevant requirements in the Customer Orders Management section.</v>
      </c>
      <c r="U1540" s="122" t="str">
        <v/>
      </c>
      <c r="V1540" s="42"/>
      <c r="W1540" s="42"/>
      <c r="X1540" s="42"/>
      <c r="Y1540" s="42"/>
      <c r="Z1540" s="42"/>
      <c r="AA1540" s="42"/>
      <c r="AB1540" s="42"/>
    </row>
    <row r="1541" spans="1:28" x14ac:dyDescent="0.25">
      <c r="A1541" s="42" t="str">
        <v>1.27.2.8</v>
      </c>
      <c r="B1541" s="121" t="str">
        <v>Also see the relevant requirements in the Customer Orders Management section.</v>
      </c>
      <c r="C1541" s="41">
        <v>4</v>
      </c>
      <c r="D1541" s="41" t="str">
        <v>RD</v>
      </c>
      <c r="E1541" s="117" t="str">
        <f t="shared" si="0"/>
        <v>RD</v>
      </c>
      <c r="F1541" s="41" t="str">
        <v/>
      </c>
      <c r="G1541" s="41" t="str">
        <v/>
      </c>
      <c r="H1541" s="117">
        <f t="shared" si="1"/>
        <v>0</v>
      </c>
      <c r="I1541" s="117">
        <f t="shared" si="2"/>
        <v>27</v>
      </c>
      <c r="J1541" s="117">
        <f t="shared" si="3"/>
        <v>27.020000000000003</v>
      </c>
      <c r="K1541" s="117" t="str">
        <f t="shared" si="4"/>
        <v>BR</v>
      </c>
      <c r="L1541" s="42" t="str">
        <v>BR2702</v>
      </c>
      <c r="M1541" s="121" t="str">
        <v/>
      </c>
      <c r="N1541" s="121" t="str">
        <v/>
      </c>
      <c r="O1541" s="121" t="str">
        <v/>
      </c>
      <c r="P1541" s="121" t="str">
        <v/>
      </c>
      <c r="Q1541" s="121" t="str">
        <v xml:space="preserve"> 8. </v>
      </c>
      <c r="R1541" s="121" t="str">
        <v>Also see the relevant requirements in the Customer Orders Management section.</v>
      </c>
      <c r="S1541" s="121" t="str">
        <v/>
      </c>
      <c r="T1541" s="119" t="str">
        <f>IF($C1541&lt;4,IF($C1541=3,T1542,IF($C1541=2,T$1,"")),Q1541&amp;R1541&amp;IF(LEN(S1541)=0,"",Preferences!$C$2&amp;S1541)&amp;IF(J1542=J1541,IF(LEN(R1541&amp;S1541)=0,"","
")&amp;T1542,""))</f>
        <v xml:space="preserve"> 8. Also see the relevant requirements in the Customer Orders Management section.</v>
      </c>
      <c r="U1541" s="122" t="str">
        <v/>
      </c>
      <c r="V1541" s="42"/>
      <c r="W1541" s="42"/>
      <c r="X1541" s="42"/>
      <c r="Y1541" s="42"/>
      <c r="Z1541" s="42"/>
      <c r="AA1541" s="42"/>
      <c r="AB1541" s="42"/>
    </row>
    <row r="1542" spans="1:28" x14ac:dyDescent="0.25">
      <c r="A1542" s="42" t="str">
        <v>1.27.3</v>
      </c>
      <c r="B1542" s="121" t="str">
        <v>27.3 Fulfil supplier orders on behalf of the business</v>
      </c>
      <c r="C1542" s="41">
        <v>3</v>
      </c>
      <c r="D1542" s="41" t="str">
        <v>R</v>
      </c>
      <c r="E1542" s="117" t="str">
        <f t="shared" si="0"/>
        <v>R</v>
      </c>
      <c r="F1542" s="41" t="str">
        <v/>
      </c>
      <c r="G1542" s="41" t="str">
        <v/>
      </c>
      <c r="H1542" s="117">
        <f t="shared" si="1"/>
        <v>0</v>
      </c>
      <c r="I1542" s="117">
        <f t="shared" si="2"/>
        <v>27</v>
      </c>
      <c r="J1542" s="117">
        <f t="shared" si="3"/>
        <v>27.030000000000005</v>
      </c>
      <c r="K1542" s="117" t="str">
        <f t="shared" si="4"/>
        <v>BR</v>
      </c>
      <c r="L1542" s="42" t="str">
        <v>BR2703</v>
      </c>
      <c r="M1542" s="121" t="str">
        <v/>
      </c>
      <c r="N1542" s="121" t="str">
        <v/>
      </c>
      <c r="O1542" s="121" t="str">
        <v>BR2703</v>
      </c>
      <c r="P1542" s="121" t="str">
        <v>Fulfil supplier orders on behalf of the business</v>
      </c>
      <c r="Q1542" s="121" t="str">
        <v/>
      </c>
      <c r="R1542" s="121" t="str">
        <v/>
      </c>
      <c r="S1542" s="121" t="str">
        <v/>
      </c>
      <c r="T1542" s="119" t="e">
        <f>IF($C1542&lt;4,IF($C1542=3,T1543,IF($C1542=2,T$1,"")),Q1542&amp;R1542&amp;IF(LEN(S1542)=0,"",Preferences!$C$2&amp;S1542)&amp;IF(J1543=J1542,IF(LEN(R1542&amp;S1542)=0,"","
")&amp;T1543,""))</f>
        <v>#VALUE!</v>
      </c>
      <c r="U1542" s="122" t="str">
        <v/>
      </c>
      <c r="V1542" s="42"/>
      <c r="W1542" s="42"/>
      <c r="X1542" s="42"/>
      <c r="Y1542" s="42"/>
      <c r="Z1542" s="42"/>
      <c r="AA1542" s="42"/>
      <c r="AB1542" s="42"/>
    </row>
    <row r="1543" spans="1:28" x14ac:dyDescent="0.25">
      <c r="A1543" s="42" t="str">
        <v>1.27.3.1</v>
      </c>
      <c r="B1543" s="121" t="str">
        <v>The supplier fulfilment department must implement procedures and related checks to ensure supplier documentation is not packed with the supplied products.</v>
      </c>
      <c r="C1543" s="41">
        <v>4</v>
      </c>
      <c r="D1543" s="41" t="str">
        <v>RD</v>
      </c>
      <c r="E1543" s="117" t="str">
        <f t="shared" si="0"/>
        <v>RD</v>
      </c>
      <c r="F1543" s="41" t="str">
        <v/>
      </c>
      <c r="G1543" s="41" t="str">
        <v/>
      </c>
      <c r="H1543" s="117">
        <f t="shared" si="1"/>
        <v>0</v>
      </c>
      <c r="I1543" s="117">
        <f t="shared" si="2"/>
        <v>27</v>
      </c>
      <c r="J1543" s="117">
        <f t="shared" si="3"/>
        <v>27.030000000000005</v>
      </c>
      <c r="K1543" s="117" t="str">
        <f t="shared" si="4"/>
        <v>BR</v>
      </c>
      <c r="L1543" s="42" t="str">
        <v>BR2703</v>
      </c>
      <c r="M1543" s="121" t="str">
        <v/>
      </c>
      <c r="N1543" s="121" t="str">
        <v/>
      </c>
      <c r="O1543" s="121" t="str">
        <v/>
      </c>
      <c r="P1543" s="121" t="str">
        <v/>
      </c>
      <c r="Q1543" s="121" t="str">
        <v xml:space="preserve"> 1. </v>
      </c>
      <c r="R1543" s="121" t="str">
        <v>The supplier fulfilment department must implement procedures and related checks to ensure supplier documentation is not packed with the supplied products.</v>
      </c>
      <c r="S1543" s="121" t="str">
        <v/>
      </c>
      <c r="T1543" s="119" t="e">
        <f>IF($C1543&lt;4,IF($C1543=3,T1544,IF($C1543=2,T$1,"")),Q1543&amp;R1543&amp;IF(LEN(S1543)=0,"",Preferences!$C$2&amp;S1543)&amp;IF(J1544=J1543,IF(LEN(R1543&amp;S1543)=0,"","
")&amp;T1544,""))</f>
        <v>#VALUE!</v>
      </c>
      <c r="U1543" s="122" t="str">
        <v/>
      </c>
      <c r="V1543" s="42"/>
      <c r="W1543" s="42"/>
      <c r="X1543" s="42"/>
      <c r="Y1543" s="42"/>
      <c r="Z1543" s="42"/>
      <c r="AA1543" s="42"/>
      <c r="AB1543" s="42"/>
    </row>
    <row r="1544" spans="1:28" x14ac:dyDescent="0.25">
      <c r="A1544" s="42" t="str">
        <v>1.27.3.2</v>
      </c>
      <c r="B1544" s="121" t="e">
        <v>#VALUE!</v>
      </c>
      <c r="C1544" s="41">
        <v>4</v>
      </c>
      <c r="D1544" s="41" t="str">
        <v>RD</v>
      </c>
      <c r="E1544" s="117" t="str">
        <f t="shared" si="0"/>
        <v>RD</v>
      </c>
      <c r="F1544" s="41" t="str">
        <v/>
      </c>
      <c r="G1544" s="41" t="str">
        <v/>
      </c>
      <c r="H1544" s="117">
        <f t="shared" si="1"/>
        <v>0</v>
      </c>
      <c r="I1544" s="117">
        <f t="shared" si="2"/>
        <v>27</v>
      </c>
      <c r="J1544" s="117">
        <f t="shared" si="3"/>
        <v>27.030000000000005</v>
      </c>
      <c r="K1544" s="117" t="str">
        <f t="shared" si="4"/>
        <v>BR</v>
      </c>
      <c r="L1544" s="42" t="str">
        <v>BR2703</v>
      </c>
      <c r="M1544" s="121" t="str">
        <v/>
      </c>
      <c r="N1544" s="121" t="str">
        <v/>
      </c>
      <c r="O1544" s="121" t="str">
        <v/>
      </c>
      <c r="P1544" s="121" t="str">
        <v/>
      </c>
      <c r="Q1544" s="121" t="str">
        <v xml:space="preserve"> 2. </v>
      </c>
      <c r="R1544" s="121" t="e">
        <v>#VALUE!</v>
      </c>
      <c r="S1544" s="121" t="str">
        <v/>
      </c>
      <c r="T1544" s="119" t="e">
        <f>IF($C1544&lt;4,IF($C1544=3,T1545,IF($C1544=2,T$1,"")),Q1544&amp;R1544&amp;IF(LEN(S1544)=0,"",Preferences!$C$2&amp;S1544)&amp;IF(J1545=J1544,IF(LEN(R1544&amp;S1544)=0,"","
")&amp;T1545,""))</f>
        <v>#VALUE!</v>
      </c>
      <c r="U1544" s="122" t="str">
        <v/>
      </c>
      <c r="V1544" s="42"/>
      <c r="W1544" s="42"/>
      <c r="X1544" s="42"/>
      <c r="Y1544" s="42"/>
      <c r="Z1544" s="42"/>
      <c r="AA1544" s="42"/>
      <c r="AB1544" s="42"/>
    </row>
    <row r="1545" spans="1:28" x14ac:dyDescent="0.25">
      <c r="A1545" s="42" t="str">
        <v>1.27.3.3</v>
      </c>
      <c r="B1545" s="121" t="str">
        <v>Pack the supplier statement in the package with the products (not the supplier's invoice).</v>
      </c>
      <c r="C1545" s="41">
        <v>4</v>
      </c>
      <c r="D1545" s="41" t="str">
        <v>RD</v>
      </c>
      <c r="E1545" s="117" t="str">
        <f t="shared" si="0"/>
        <v>RD</v>
      </c>
      <c r="F1545" s="41" t="str">
        <v/>
      </c>
      <c r="G1545" s="41" t="str">
        <v/>
      </c>
      <c r="H1545" s="117">
        <f t="shared" si="1"/>
        <v>0</v>
      </c>
      <c r="I1545" s="117">
        <f t="shared" si="2"/>
        <v>27</v>
      </c>
      <c r="J1545" s="117">
        <f t="shared" si="3"/>
        <v>27.030000000000005</v>
      </c>
      <c r="K1545" s="117" t="str">
        <f t="shared" si="4"/>
        <v>BR</v>
      </c>
      <c r="L1545" s="42" t="str">
        <v>BR2703</v>
      </c>
      <c r="M1545" s="121" t="str">
        <v/>
      </c>
      <c r="N1545" s="121" t="str">
        <v/>
      </c>
      <c r="O1545" s="121" t="str">
        <v/>
      </c>
      <c r="P1545" s="121" t="str">
        <v/>
      </c>
      <c r="Q1545" s="121" t="str">
        <v xml:space="preserve"> 3. </v>
      </c>
      <c r="R1545" s="121" t="str">
        <v>Pack the supplier statement in the package with the products (not the supplier's invoice).</v>
      </c>
      <c r="S1545" s="121" t="str">
        <v/>
      </c>
      <c r="T1545" s="119" t="str">
        <f>IF($C1545&lt;4,IF($C1545=3,T1546,IF($C1545=2,T$1,"")),Q1545&amp;R1545&amp;IF(LEN(S1545)=0,"",Preferences!$C$2&amp;S1545)&amp;IF(J1546=J1545,IF(LEN(R1545&amp;S1545)=0,"","
")&amp;T1546,""))</f>
        <v xml:space="preserve"> 3. Pack the supplier statement in the package with the products (not the supplier's invoice).
 4. Apply the printed waybill label to the sealed order package (not the supplier's own waybill label).
 5. Also see the relevant requirements in the Customer Orders Management section.</v>
      </c>
      <c r="U1545" s="122" t="str">
        <v/>
      </c>
      <c r="V1545" s="42"/>
      <c r="W1545" s="42"/>
      <c r="X1545" s="42"/>
      <c r="Y1545" s="42"/>
      <c r="Z1545" s="42"/>
      <c r="AA1545" s="42"/>
      <c r="AB1545" s="42"/>
    </row>
    <row r="1546" spans="1:28" x14ac:dyDescent="0.25">
      <c r="A1546" s="42" t="str">
        <v>1.27.3.4</v>
      </c>
      <c r="B1546" s="121" t="str">
        <v>Apply the printed waybill label to the sealed order package (not the supplier's own waybill label).</v>
      </c>
      <c r="C1546" s="41">
        <v>4</v>
      </c>
      <c r="D1546" s="41" t="str">
        <v>RD</v>
      </c>
      <c r="E1546" s="117" t="str">
        <f t="shared" si="0"/>
        <v>RD</v>
      </c>
      <c r="F1546" s="41" t="str">
        <v/>
      </c>
      <c r="G1546" s="41" t="str">
        <v/>
      </c>
      <c r="H1546" s="117">
        <f t="shared" si="1"/>
        <v>0</v>
      </c>
      <c r="I1546" s="117">
        <f t="shared" si="2"/>
        <v>27</v>
      </c>
      <c r="J1546" s="117">
        <f t="shared" si="3"/>
        <v>27.030000000000005</v>
      </c>
      <c r="K1546" s="117" t="str">
        <f t="shared" si="4"/>
        <v>BR</v>
      </c>
      <c r="L1546" s="42" t="str">
        <v>BR2703</v>
      </c>
      <c r="M1546" s="121" t="str">
        <v/>
      </c>
      <c r="N1546" s="121" t="str">
        <v/>
      </c>
      <c r="O1546" s="121" t="str">
        <v/>
      </c>
      <c r="P1546" s="121" t="str">
        <v/>
      </c>
      <c r="Q1546" s="121" t="str">
        <v xml:space="preserve"> 4. </v>
      </c>
      <c r="R1546" s="121" t="str">
        <v>Apply the printed waybill label to the sealed order package (not the supplier's own waybill label).</v>
      </c>
      <c r="S1546" s="121" t="str">
        <v/>
      </c>
      <c r="T1546" s="119" t="str">
        <f>IF($C1546&lt;4,IF($C1546=3,T1547,IF($C1546=2,T$1,"")),Q1546&amp;R1546&amp;IF(LEN(S1546)=0,"",Preferences!$C$2&amp;S1546)&amp;IF(J1547=J1546,IF(LEN(R1546&amp;S1546)=0,"","
")&amp;T1547,""))</f>
        <v xml:space="preserve"> 4. Apply the printed waybill label to the sealed order package (not the supplier's own waybill label).
 5. Also see the relevant requirements in the Customer Orders Management section.</v>
      </c>
      <c r="U1546" s="122" t="str">
        <v/>
      </c>
      <c r="V1546" s="42"/>
      <c r="W1546" s="42"/>
      <c r="X1546" s="42"/>
      <c r="Y1546" s="42"/>
      <c r="Z1546" s="42"/>
      <c r="AA1546" s="42"/>
      <c r="AB1546" s="42"/>
    </row>
    <row r="1547" spans="1:28" x14ac:dyDescent="0.25">
      <c r="A1547" s="42" t="str">
        <v>1.27.3.5</v>
      </c>
      <c r="B1547" s="121" t="str">
        <v>Also see the relevant requirements in the Customer Orders Management section.</v>
      </c>
      <c r="C1547" s="41">
        <v>4</v>
      </c>
      <c r="D1547" s="41" t="str">
        <v>RD</v>
      </c>
      <c r="E1547" s="117" t="str">
        <f t="shared" si="0"/>
        <v>RD</v>
      </c>
      <c r="F1547" s="41" t="str">
        <v/>
      </c>
      <c r="G1547" s="41" t="str">
        <v/>
      </c>
      <c r="H1547" s="117">
        <f t="shared" si="1"/>
        <v>0</v>
      </c>
      <c r="I1547" s="117">
        <f t="shared" si="2"/>
        <v>27</v>
      </c>
      <c r="J1547" s="117">
        <f t="shared" si="3"/>
        <v>27.030000000000005</v>
      </c>
      <c r="K1547" s="117" t="str">
        <f t="shared" si="4"/>
        <v>BR</v>
      </c>
      <c r="L1547" s="42" t="str">
        <v>BR2703</v>
      </c>
      <c r="M1547" s="121" t="str">
        <v/>
      </c>
      <c r="N1547" s="121" t="str">
        <v/>
      </c>
      <c r="O1547" s="121" t="str">
        <v/>
      </c>
      <c r="P1547" s="121" t="str">
        <v/>
      </c>
      <c r="Q1547" s="121" t="str">
        <v xml:space="preserve"> 5. </v>
      </c>
      <c r="R1547" s="121" t="str">
        <v>Also see the relevant requirements in the Customer Orders Management section.</v>
      </c>
      <c r="S1547" s="121" t="str">
        <v/>
      </c>
      <c r="T1547" s="119" t="str">
        <f>IF($C1547&lt;4,IF($C1547=3,T1548,IF($C1547=2,T$1,"")),Q1547&amp;R1547&amp;IF(LEN(S1547)=0,"",Preferences!$C$2&amp;S1547)&amp;IF(J1548=J1547,IF(LEN(R1547&amp;S1547)=0,"","
")&amp;T1548,""))</f>
        <v xml:space="preserve"> 5. Also see the relevant requirements in the Customer Orders Management section.</v>
      </c>
      <c r="U1547" s="122" t="str">
        <v/>
      </c>
      <c r="V1547" s="42"/>
      <c r="W1547" s="42"/>
      <c r="X1547" s="42"/>
      <c r="Y1547" s="42"/>
      <c r="Z1547" s="42"/>
      <c r="AA1547" s="42"/>
      <c r="AB1547" s="42"/>
    </row>
    <row r="1548" spans="1:28" x14ac:dyDescent="0.25">
      <c r="A1548" s="42" t="str">
        <v>1.27.4</v>
      </c>
      <c r="B1548" s="121" t="str">
        <v>27.4 View and print the customer documentation for a supplier from the online shop</v>
      </c>
      <c r="C1548" s="41">
        <v>3</v>
      </c>
      <c r="D1548" s="41" t="str">
        <v>R</v>
      </c>
      <c r="E1548" s="117" t="str">
        <f t="shared" si="0"/>
        <v>R</v>
      </c>
      <c r="F1548" s="41" t="str">
        <v/>
      </c>
      <c r="G1548" s="41" t="str">
        <v/>
      </c>
      <c r="H1548" s="117">
        <f t="shared" si="1"/>
        <v>0</v>
      </c>
      <c r="I1548" s="117">
        <f t="shared" si="2"/>
        <v>27</v>
      </c>
      <c r="J1548" s="117">
        <f t="shared" si="3"/>
        <v>27.040000000000006</v>
      </c>
      <c r="K1548" s="117" t="str">
        <f t="shared" si="4"/>
        <v>BR</v>
      </c>
      <c r="L1548" s="42" t="str">
        <v>BR2704</v>
      </c>
      <c r="M1548" s="121" t="str">
        <v/>
      </c>
      <c r="N1548" s="121" t="str">
        <v/>
      </c>
      <c r="O1548" s="121" t="str">
        <v>BR2704</v>
      </c>
      <c r="P1548" s="121" t="str">
        <v>View and print the customer documentation for a supplier from the online shop</v>
      </c>
      <c r="Q1548" s="121" t="str">
        <v/>
      </c>
      <c r="R1548" s="121" t="str">
        <v/>
      </c>
      <c r="S1548" s="121" t="str">
        <v/>
      </c>
      <c r="T1548" s="119" t="str">
        <f>IF($C1548&lt;4,IF($C1548=3,T1549,IF($C1548=2,T$1,"")),Q1548&amp;R1548&amp;IF(LEN(S1548)=0,"",Preferences!$C$2&amp;S1548)&amp;IF(J1549=J1548,IF(LEN(R1548&amp;S1548)=0,"","
")&amp;T1549,""))</f>
        <v xml:space="preserve"> 1. Provide the following via the online shop, to be used by the fulfilment department of the supplier, to generate the documentation to be included in the fulfilled order:
 2. Present a page, prompting the user to scan their order barcode.
 3. On submitting the supplier barcode/reference, retrieve and display the matching supplier order, indicating only lines confirmed as packed.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48" s="122" t="str">
        <v/>
      </c>
      <c r="V1548" s="42"/>
      <c r="W1548" s="42"/>
      <c r="X1548" s="42"/>
      <c r="Y1548" s="42"/>
      <c r="Z1548" s="42"/>
      <c r="AA1548" s="42"/>
      <c r="AB1548" s="42"/>
    </row>
    <row r="1549" spans="1:28" x14ac:dyDescent="0.25">
      <c r="A1549" s="42" t="str">
        <v>1.27.4.1</v>
      </c>
      <c r="B1549" s="121" t="str">
        <v>Provide the following via the online shop, to be used by the fulfilment department of the supplier, to generate the documentation to be included in the fulfilled order:</v>
      </c>
      <c r="C1549" s="41">
        <v>4</v>
      </c>
      <c r="D1549" s="41" t="str">
        <v>RD</v>
      </c>
      <c r="E1549" s="117" t="str">
        <f t="shared" si="0"/>
        <v>RD</v>
      </c>
      <c r="F1549" s="41" t="str">
        <v/>
      </c>
      <c r="G1549" s="41" t="str">
        <v/>
      </c>
      <c r="H1549" s="117">
        <f t="shared" si="1"/>
        <v>0</v>
      </c>
      <c r="I1549" s="117">
        <f t="shared" si="2"/>
        <v>27</v>
      </c>
      <c r="J1549" s="117">
        <f t="shared" si="3"/>
        <v>27.040000000000006</v>
      </c>
      <c r="K1549" s="117" t="str">
        <f t="shared" si="4"/>
        <v>BR</v>
      </c>
      <c r="L1549" s="42" t="str">
        <v>BR2704</v>
      </c>
      <c r="M1549" s="121" t="str">
        <v/>
      </c>
      <c r="N1549" s="121" t="str">
        <v/>
      </c>
      <c r="O1549" s="121" t="str">
        <v/>
      </c>
      <c r="P1549" s="121" t="str">
        <v/>
      </c>
      <c r="Q1549" s="121" t="str">
        <v xml:space="preserve"> 1. </v>
      </c>
      <c r="R1549" s="121" t="str">
        <v>Provide the following via the online shop, to be used by the fulfilment department of the supplier, to generate the documentation to be included in the fulfilled order:</v>
      </c>
      <c r="S1549" s="121" t="str">
        <v/>
      </c>
      <c r="T1549" s="119" t="str">
        <f>IF($C1549&lt;4,IF($C1549=3,T1550,IF($C1549=2,T$1,"")),Q1549&amp;R1549&amp;IF(LEN(S1549)=0,"",Preferences!$C$2&amp;S1549)&amp;IF(J1550=J1549,IF(LEN(R1549&amp;S1549)=0,"","
")&amp;T1550,""))</f>
        <v xml:space="preserve"> 1. Provide the following via the online shop, to be used by the fulfilment department of the supplier, to generate the documentation to be included in the fulfilled order:
 2. Present a page, prompting the user to scan their order barcode.
 3. On submitting the supplier barcode/reference, retrieve and display the matching supplier order, indicating only lines confirmed as packed.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49" s="122" t="str">
        <v/>
      </c>
      <c r="V1549" s="42"/>
      <c r="W1549" s="42"/>
      <c r="X1549" s="42"/>
      <c r="Y1549" s="42"/>
      <c r="Z1549" s="42"/>
      <c r="AA1549" s="42"/>
      <c r="AB1549" s="42"/>
    </row>
    <row r="1550" spans="1:28" x14ac:dyDescent="0.25">
      <c r="A1550" s="42" t="str">
        <v>1.27.4.2</v>
      </c>
      <c r="B1550" s="121" t="str">
        <v>Present a page, prompting the user to scan their order barcode.</v>
      </c>
      <c r="C1550" s="41">
        <v>4</v>
      </c>
      <c r="D1550" s="41" t="str">
        <v>RD</v>
      </c>
      <c r="E1550" s="117" t="str">
        <f t="shared" si="0"/>
        <v>RD</v>
      </c>
      <c r="F1550" s="41" t="str">
        <v/>
      </c>
      <c r="G1550" s="41" t="str">
        <v/>
      </c>
      <c r="H1550" s="117">
        <f t="shared" si="1"/>
        <v>0</v>
      </c>
      <c r="I1550" s="117">
        <f t="shared" si="2"/>
        <v>27</v>
      </c>
      <c r="J1550" s="117">
        <f t="shared" si="3"/>
        <v>27.040000000000006</v>
      </c>
      <c r="K1550" s="117" t="str">
        <f t="shared" si="4"/>
        <v>BR</v>
      </c>
      <c r="L1550" s="42" t="str">
        <v>BR2704</v>
      </c>
      <c r="M1550" s="121" t="str">
        <v/>
      </c>
      <c r="N1550" s="121" t="str">
        <v/>
      </c>
      <c r="O1550" s="121" t="str">
        <v/>
      </c>
      <c r="P1550" s="121" t="str">
        <v/>
      </c>
      <c r="Q1550" s="121" t="str">
        <v xml:space="preserve"> 2. </v>
      </c>
      <c r="R1550" s="121" t="str">
        <v>Present a page, prompting the user to scan their order barcode.</v>
      </c>
      <c r="S1550" s="121" t="str">
        <v/>
      </c>
      <c r="T1550" s="119" t="str">
        <f>IF($C1550&lt;4,IF($C1550=3,T1551,IF($C1550=2,T$1,"")),Q1550&amp;R1550&amp;IF(LEN(S1550)=0,"",Preferences!$C$2&amp;S1550)&amp;IF(J1551=J1550,IF(LEN(R1550&amp;S1550)=0,"","
")&amp;T1551,""))</f>
        <v xml:space="preserve"> 2. Present a page, prompting the user to scan their order barcode.
 3. On submitting the supplier barcode/reference, retrieve and display the matching supplier order, indicating only lines confirmed as packed.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0" s="122" t="str">
        <v/>
      </c>
      <c r="V1550" s="42"/>
      <c r="W1550" s="42"/>
      <c r="X1550" s="42"/>
      <c r="Y1550" s="42"/>
      <c r="Z1550" s="42"/>
      <c r="AA1550" s="42"/>
      <c r="AB1550" s="42"/>
    </row>
    <row r="1551" spans="1:28" x14ac:dyDescent="0.25">
      <c r="A1551" s="42" t="str">
        <v>1.27.4.3</v>
      </c>
      <c r="B1551" s="121" t="str">
        <v>On submitting the supplier barcode/reference, retrieve and display the matching supplier order, indicating only lines confirmed as packed.</v>
      </c>
      <c r="C1551" s="41">
        <v>4</v>
      </c>
      <c r="D1551" s="41" t="str">
        <v>RD</v>
      </c>
      <c r="E1551" s="117" t="str">
        <f t="shared" si="0"/>
        <v>RD</v>
      </c>
      <c r="F1551" s="41" t="str">
        <v/>
      </c>
      <c r="G1551" s="41" t="str">
        <v/>
      </c>
      <c r="H1551" s="117">
        <f t="shared" si="1"/>
        <v>0</v>
      </c>
      <c r="I1551" s="117">
        <f t="shared" si="2"/>
        <v>27</v>
      </c>
      <c r="J1551" s="117">
        <f t="shared" si="3"/>
        <v>27.040000000000006</v>
      </c>
      <c r="K1551" s="117" t="str">
        <f t="shared" si="4"/>
        <v>BR</v>
      </c>
      <c r="L1551" s="42" t="str">
        <v>BR2704</v>
      </c>
      <c r="M1551" s="121" t="str">
        <v/>
      </c>
      <c r="N1551" s="121" t="str">
        <v/>
      </c>
      <c r="O1551" s="121" t="str">
        <v/>
      </c>
      <c r="P1551" s="121" t="str">
        <v/>
      </c>
      <c r="Q1551" s="121" t="str">
        <v xml:space="preserve"> 3. </v>
      </c>
      <c r="R1551" s="121" t="str">
        <v>On submitting the supplier barcode/reference, retrieve and display the matching supplier order, indicating only lines confirmed as packed.</v>
      </c>
      <c r="S1551" s="121" t="str">
        <v/>
      </c>
      <c r="T1551" s="119" t="str">
        <f>IF($C1551&lt;4,IF($C1551=3,T1552,IF($C1551=2,T$1,"")),Q1551&amp;R1551&amp;IF(LEN(S1551)=0,"",Preferences!$C$2&amp;S1551)&amp;IF(J1552=J1551,IF(LEN(R1551&amp;S1551)=0,"","
")&amp;T1552,""))</f>
        <v xml:space="preserve"> 3. On submitting the supplier barcode/reference, retrieve and display the matching supplier order, indicating only lines confirmed as packed.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1" s="122" t="str">
        <v/>
      </c>
      <c r="V1551" s="42"/>
      <c r="W1551" s="42"/>
      <c r="X1551" s="42"/>
      <c r="Y1551" s="42"/>
      <c r="Z1551" s="42"/>
      <c r="AA1551" s="42"/>
      <c r="AB1551" s="42"/>
    </row>
    <row r="1552" spans="1:28" x14ac:dyDescent="0.25">
      <c r="A1552" s="42" t="str">
        <v>1.27.4.4</v>
      </c>
      <c r="B1552" s="121" t="str">
        <v>Provide the ability to present and then print a customer statement matching the products confirmed as packed for the supplier order, to contain at least the following:</v>
      </c>
      <c r="C1552" s="41">
        <v>4</v>
      </c>
      <c r="D1552" s="41" t="str">
        <v>RD</v>
      </c>
      <c r="E1552" s="117" t="str">
        <f t="shared" si="0"/>
        <v>RD</v>
      </c>
      <c r="F1552" s="41" t="str">
        <v/>
      </c>
      <c r="G1552" s="41" t="str">
        <v/>
      </c>
      <c r="H1552" s="117">
        <f t="shared" si="1"/>
        <v>0</v>
      </c>
      <c r="I1552" s="117">
        <f t="shared" si="2"/>
        <v>27</v>
      </c>
      <c r="J1552" s="117">
        <f t="shared" si="3"/>
        <v>27.040000000000006</v>
      </c>
      <c r="K1552" s="117" t="str">
        <f t="shared" si="4"/>
        <v>BR</v>
      </c>
      <c r="L1552" s="42" t="str">
        <v>BR2704</v>
      </c>
      <c r="M1552" s="121" t="str">
        <v/>
      </c>
      <c r="N1552" s="121" t="str">
        <v/>
      </c>
      <c r="O1552" s="121" t="str">
        <v/>
      </c>
      <c r="P1552" s="121" t="str">
        <v/>
      </c>
      <c r="Q1552" s="121" t="str">
        <v xml:space="preserve"> 4. </v>
      </c>
      <c r="R1552" s="121" t="str">
        <v>Provide the ability to present and then print a customer statement matching the products confirmed as packed for the supplier order, to contain at least the following:</v>
      </c>
      <c r="S1552" s="121" t="str">
        <v/>
      </c>
      <c r="T1552" s="119" t="str">
        <f>IF($C1552&lt;4,IF($C1552=3,T1553,IF($C1552=2,T$1,"")),Q1552&amp;R1552&amp;IF(LEN(S1552)=0,"",Preferences!$C$2&amp;S1552)&amp;IF(J1553=J1552,IF(LEN(R1552&amp;S1552)=0,"","
")&amp;T1553,""))</f>
        <v xml:space="preserve"> 4. Provide the ability to present and then print a customer statement matching the products confirmed as packed for the supplier order, to contain at least the following: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2" s="122" t="str">
        <v/>
      </c>
      <c r="V1552" s="42"/>
      <c r="W1552" s="42"/>
      <c r="X1552" s="42"/>
      <c r="Y1552" s="42"/>
      <c r="Z1552" s="42"/>
      <c r="AA1552" s="42"/>
      <c r="AB1552" s="42"/>
    </row>
    <row r="1553" spans="1:28" x14ac:dyDescent="0.25">
      <c r="A1553" s="42" t="str">
        <v>1.27.4.4.1</v>
      </c>
      <c r="B1553" s="121" t="str">
        <v>The words: "Customer Statement" and "Packed on behalf of"</v>
      </c>
      <c r="C1553" s="41">
        <v>5</v>
      </c>
      <c r="D1553" s="41" t="str">
        <v>RL</v>
      </c>
      <c r="E1553" s="117" t="str">
        <f t="shared" si="0"/>
        <v>RL</v>
      </c>
      <c r="F1553" s="41" t="str">
        <v/>
      </c>
      <c r="G1553" s="41" t="str">
        <v/>
      </c>
      <c r="H1553" s="117">
        <f t="shared" si="1"/>
        <v>0</v>
      </c>
      <c r="I1553" s="117">
        <f t="shared" si="2"/>
        <v>27</v>
      </c>
      <c r="J1553" s="117">
        <f t="shared" si="3"/>
        <v>27.040000000000006</v>
      </c>
      <c r="K1553" s="117" t="str">
        <f t="shared" si="4"/>
        <v>BR</v>
      </c>
      <c r="L1553" s="42" t="str">
        <v>BR2704</v>
      </c>
      <c r="M1553" s="121" t="str">
        <v/>
      </c>
      <c r="N1553" s="121" t="str">
        <v/>
      </c>
      <c r="O1553" s="121" t="str">
        <v/>
      </c>
      <c r="P1553" s="121" t="str">
        <v/>
      </c>
      <c r="Q1553" s="121" t="str">
        <v/>
      </c>
      <c r="R1553" s="121" t="str">
        <v/>
      </c>
      <c r="S1553" s="121" t="str">
        <v>The words: "Customer Statement" and "Packed on behalf of"</v>
      </c>
      <c r="T1553" s="119" t="str">
        <f>IF($C1553&lt;4,IF($C1553=3,T1554,IF($C1553=2,T$1,"")),Q1553&amp;R1553&amp;IF(LEN(S1553)=0,"",Preferences!$C$2&amp;S1553)&amp;IF(J1554=J1553,IF(LEN(R1553&amp;S1553)=0,"","
")&amp;T1554,""))</f>
        <v xml:space="preserve">	• The words: "Customer Statement" and "Packed on behalf of"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3" s="122" t="str">
        <v/>
      </c>
      <c r="V1553" s="42"/>
      <c r="W1553" s="42"/>
      <c r="X1553" s="42"/>
      <c r="Y1553" s="42"/>
      <c r="Z1553" s="42"/>
      <c r="AA1553" s="42"/>
      <c r="AB1553" s="42"/>
    </row>
    <row r="1554" spans="1:28" x14ac:dyDescent="0.25">
      <c r="A1554" s="42" t="str">
        <v>1.27.4.4.2</v>
      </c>
      <c r="B1554" s="121" t="str">
        <v>Business branding, name, address and contact details</v>
      </c>
      <c r="C1554" s="41">
        <v>5</v>
      </c>
      <c r="D1554" s="41" t="str">
        <v>RL</v>
      </c>
      <c r="E1554" s="117" t="str">
        <f t="shared" si="0"/>
        <v>RL</v>
      </c>
      <c r="F1554" s="41" t="str">
        <v/>
      </c>
      <c r="G1554" s="41" t="str">
        <v/>
      </c>
      <c r="H1554" s="117">
        <f t="shared" si="1"/>
        <v>0</v>
      </c>
      <c r="I1554" s="117">
        <f t="shared" si="2"/>
        <v>27</v>
      </c>
      <c r="J1554" s="117">
        <f t="shared" si="3"/>
        <v>27.040000000000006</v>
      </c>
      <c r="K1554" s="117" t="str">
        <f t="shared" si="4"/>
        <v>BR</v>
      </c>
      <c r="L1554" s="42" t="str">
        <v>BR2704</v>
      </c>
      <c r="M1554" s="121" t="str">
        <v/>
      </c>
      <c r="N1554" s="121" t="str">
        <v/>
      </c>
      <c r="O1554" s="121" t="str">
        <v/>
      </c>
      <c r="P1554" s="121" t="str">
        <v/>
      </c>
      <c r="Q1554" s="121" t="str">
        <v/>
      </c>
      <c r="R1554" s="121" t="str">
        <v/>
      </c>
      <c r="S1554" s="121" t="str">
        <v>Business branding, name, address and contact details</v>
      </c>
      <c r="T1554" s="119" t="str">
        <f>IF($C1554&lt;4,IF($C1554=3,T1555,IF($C1554=2,T$1,"")),Q1554&amp;R1554&amp;IF(LEN(S1554)=0,"",Preferences!$C$2&amp;S1554)&amp;IF(J1555=J1554,IF(LEN(R1554&amp;S1554)=0,"","
")&amp;T1555,""))</f>
        <v xml:space="preserve">	• Business branding, name, address and contact details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4" s="122" t="str">
        <v/>
      </c>
      <c r="V1554" s="42"/>
      <c r="W1554" s="42"/>
      <c r="X1554" s="42"/>
      <c r="Y1554" s="42"/>
      <c r="Z1554" s="42"/>
      <c r="AA1554" s="42"/>
      <c r="AB1554" s="42"/>
    </row>
    <row r="1555" spans="1:28" x14ac:dyDescent="0.25">
      <c r="A1555" s="42" t="str">
        <v>1.27.4.4.3</v>
      </c>
      <c r="B1555" s="121" t="str">
        <v>Customer full name and delivery address</v>
      </c>
      <c r="C1555" s="41">
        <v>5</v>
      </c>
      <c r="D1555" s="41" t="str">
        <v>RL</v>
      </c>
      <c r="E1555" s="117" t="str">
        <f t="shared" si="0"/>
        <v>RL</v>
      </c>
      <c r="F1555" s="41" t="str">
        <v/>
      </c>
      <c r="G1555" s="41" t="str">
        <v/>
      </c>
      <c r="H1555" s="117">
        <f t="shared" si="1"/>
        <v>0</v>
      </c>
      <c r="I1555" s="117">
        <f t="shared" si="2"/>
        <v>27</v>
      </c>
      <c r="J1555" s="117">
        <f t="shared" si="3"/>
        <v>27.040000000000006</v>
      </c>
      <c r="K1555" s="117" t="str">
        <f t="shared" si="4"/>
        <v>BR</v>
      </c>
      <c r="L1555" s="42" t="str">
        <v>BR2704</v>
      </c>
      <c r="M1555" s="121" t="str">
        <v/>
      </c>
      <c r="N1555" s="121" t="str">
        <v/>
      </c>
      <c r="O1555" s="121" t="str">
        <v/>
      </c>
      <c r="P1555" s="121" t="str">
        <v/>
      </c>
      <c r="Q1555" s="121" t="str">
        <v/>
      </c>
      <c r="R1555" s="121" t="str">
        <v/>
      </c>
      <c r="S1555" s="121" t="str">
        <v>Customer full name and delivery address</v>
      </c>
      <c r="T1555" s="119" t="str">
        <f>IF($C1555&lt;4,IF($C1555=3,T1556,IF($C1555=2,T$1,"")),Q1555&amp;R1555&amp;IF(LEN(S1555)=0,"",Preferences!$C$2&amp;S1555)&amp;IF(J1556=J1555,IF(LEN(R1555&amp;S1555)=0,"","
")&amp;T1556,""))</f>
        <v xml:space="preserve">	• Customer full name and delivery address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5" s="122" t="str">
        <v/>
      </c>
      <c r="V1555" s="42"/>
      <c r="W1555" s="42"/>
      <c r="X1555" s="42"/>
      <c r="Y1555" s="42"/>
      <c r="Z1555" s="42"/>
      <c r="AA1555" s="42"/>
      <c r="AB1555" s="42"/>
    </row>
    <row r="1556" spans="1:28" x14ac:dyDescent="0.25">
      <c r="A1556" s="42" t="str">
        <v>1.27.4.4.4</v>
      </c>
      <c r="B1556" s="121" t="str">
        <v>Customer Order Reference</v>
      </c>
      <c r="C1556" s="41">
        <v>5</v>
      </c>
      <c r="D1556" s="41" t="str">
        <v>RL</v>
      </c>
      <c r="E1556" s="117" t="str">
        <f t="shared" si="0"/>
        <v>RL</v>
      </c>
      <c r="F1556" s="41" t="str">
        <v/>
      </c>
      <c r="G1556" s="41" t="str">
        <v/>
      </c>
      <c r="H1556" s="117">
        <f t="shared" si="1"/>
        <v>0</v>
      </c>
      <c r="I1556" s="117">
        <f t="shared" si="2"/>
        <v>27</v>
      </c>
      <c r="J1556" s="117">
        <f t="shared" si="3"/>
        <v>27.040000000000006</v>
      </c>
      <c r="K1556" s="117" t="str">
        <f t="shared" si="4"/>
        <v>BR</v>
      </c>
      <c r="L1556" s="42" t="str">
        <v>BR2704</v>
      </c>
      <c r="M1556" s="121" t="str">
        <v/>
      </c>
      <c r="N1556" s="121" t="str">
        <v/>
      </c>
      <c r="O1556" s="121" t="str">
        <v/>
      </c>
      <c r="P1556" s="121" t="str">
        <v/>
      </c>
      <c r="Q1556" s="121" t="str">
        <v/>
      </c>
      <c r="R1556" s="121" t="str">
        <v/>
      </c>
      <c r="S1556" s="121" t="str">
        <v>Customer Order Reference</v>
      </c>
      <c r="T1556" s="119" t="str">
        <f>IF($C1556&lt;4,IF($C1556=3,T1557,IF($C1556=2,T$1,"")),Q1556&amp;R1556&amp;IF(LEN(S1556)=0,"",Preferences!$C$2&amp;S1556)&amp;IF(J1557=J1556,IF(LEN(R1556&amp;S1556)=0,"","
")&amp;T1557,""))</f>
        <v xml:space="preserve">	• Customer Order Reference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6" s="122" t="str">
        <v/>
      </c>
      <c r="V1556" s="42"/>
      <c r="W1556" s="42"/>
      <c r="X1556" s="42"/>
      <c r="Y1556" s="42"/>
      <c r="Z1556" s="42"/>
      <c r="AA1556" s="42"/>
      <c r="AB1556" s="42"/>
    </row>
    <row r="1557" spans="1:28" x14ac:dyDescent="0.25">
      <c r="A1557" s="42" t="str">
        <v>1.27.4.4.5</v>
      </c>
      <c r="B1557" s="121" t="str">
        <v>Supplier Order Reference (number and barcode)</v>
      </c>
      <c r="C1557" s="41">
        <v>5</v>
      </c>
      <c r="D1557" s="41" t="str">
        <v>RL</v>
      </c>
      <c r="E1557" s="117" t="str">
        <f t="shared" si="0"/>
        <v>RL</v>
      </c>
      <c r="F1557" s="41" t="str">
        <v/>
      </c>
      <c r="G1557" s="41" t="str">
        <v/>
      </c>
      <c r="H1557" s="117">
        <f t="shared" si="1"/>
        <v>0</v>
      </c>
      <c r="I1557" s="117">
        <f t="shared" si="2"/>
        <v>27</v>
      </c>
      <c r="J1557" s="117">
        <f t="shared" si="3"/>
        <v>27.040000000000006</v>
      </c>
      <c r="K1557" s="117" t="str">
        <f t="shared" si="4"/>
        <v>BR</v>
      </c>
      <c r="L1557" s="42" t="str">
        <v>BR2704</v>
      </c>
      <c r="M1557" s="121" t="str">
        <v/>
      </c>
      <c r="N1557" s="121" t="str">
        <v/>
      </c>
      <c r="O1557" s="121" t="str">
        <v/>
      </c>
      <c r="P1557" s="121" t="str">
        <v/>
      </c>
      <c r="Q1557" s="121" t="str">
        <v/>
      </c>
      <c r="R1557" s="121" t="str">
        <v/>
      </c>
      <c r="S1557" s="121" t="str">
        <v>Supplier Order Reference (number and barcode)</v>
      </c>
      <c r="T1557" s="119" t="str">
        <f>IF($C1557&lt;4,IF($C1557=3,T1558,IF($C1557=2,T$1,"")),Q1557&amp;R1557&amp;IF(LEN(S1557)=0,"",Preferences!$C$2&amp;S1557)&amp;IF(J1558=J1557,IF(LEN(R1557&amp;S1557)=0,"","
")&amp;T1558,""))</f>
        <v xml:space="preserve">	• Supplier Order Reference (number and barcode)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7" s="122" t="str">
        <v/>
      </c>
      <c r="V1557" s="42"/>
      <c r="W1557" s="42"/>
      <c r="X1557" s="42"/>
      <c r="Y1557" s="42"/>
      <c r="Z1557" s="42"/>
      <c r="AA1557" s="42"/>
      <c r="AB1557" s="42"/>
    </row>
    <row r="1558" spans="1:28" x14ac:dyDescent="0.25">
      <c r="A1558" s="42" t="str">
        <v>1.27.4.4.6</v>
      </c>
      <c r="B1558" s="121" t="str">
        <v>Supplier's internal order number (number and barcode)</v>
      </c>
      <c r="C1558" s="41">
        <v>5</v>
      </c>
      <c r="D1558" s="41" t="str">
        <v>RL</v>
      </c>
      <c r="E1558" s="117" t="str">
        <f t="shared" si="0"/>
        <v>RL</v>
      </c>
      <c r="F1558" s="41" t="str">
        <v/>
      </c>
      <c r="G1558" s="41" t="str">
        <v/>
      </c>
      <c r="H1558" s="117">
        <f t="shared" si="1"/>
        <v>0</v>
      </c>
      <c r="I1558" s="117">
        <f t="shared" si="2"/>
        <v>27</v>
      </c>
      <c r="J1558" s="117">
        <f t="shared" si="3"/>
        <v>27.040000000000006</v>
      </c>
      <c r="K1558" s="117" t="str">
        <f t="shared" si="4"/>
        <v>BR</v>
      </c>
      <c r="L1558" s="42" t="str">
        <v>BR2704</v>
      </c>
      <c r="M1558" s="121" t="str">
        <v/>
      </c>
      <c r="N1558" s="121" t="str">
        <v/>
      </c>
      <c r="O1558" s="121" t="str">
        <v/>
      </c>
      <c r="P1558" s="121" t="str">
        <v/>
      </c>
      <c r="Q1558" s="121" t="str">
        <v/>
      </c>
      <c r="R1558" s="121" t="str">
        <v/>
      </c>
      <c r="S1558" s="121" t="str">
        <v>Supplier's internal order number (number and barcode)</v>
      </c>
      <c r="T1558" s="119" t="str">
        <f>IF($C1558&lt;4,IF($C1558=3,T1559,IF($C1558=2,T$1,"")),Q1558&amp;R1558&amp;IF(LEN(S1558)=0,"",Preferences!$C$2&amp;S1558)&amp;IF(J1559=J1558,IF(LEN(R1558&amp;S1558)=0,"","
")&amp;T1559,""))</f>
        <v xml:space="preserve">	• Supplier's internal order number (number and barcode)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8" s="122" t="str">
        <v/>
      </c>
      <c r="V1558" s="42"/>
      <c r="W1558" s="42"/>
      <c r="X1558" s="42"/>
      <c r="Y1558" s="42"/>
      <c r="Z1558" s="42"/>
      <c r="AA1558" s="42"/>
      <c r="AB1558" s="42"/>
    </row>
    <row r="1559" spans="1:28" x14ac:dyDescent="0.25">
      <c r="A1559" s="42" t="str">
        <v>1.27.4.4.7</v>
      </c>
      <c r="B1559" s="121" t="str">
        <v>Date-time statement is printed</v>
      </c>
      <c r="C1559" s="41">
        <v>5</v>
      </c>
      <c r="D1559" s="41" t="str">
        <v>RL</v>
      </c>
      <c r="E1559" s="117" t="str">
        <f t="shared" si="0"/>
        <v>RL</v>
      </c>
      <c r="F1559" s="41" t="str">
        <v/>
      </c>
      <c r="G1559" s="41" t="str">
        <v/>
      </c>
      <c r="H1559" s="117">
        <f t="shared" si="1"/>
        <v>0</v>
      </c>
      <c r="I1559" s="117">
        <f t="shared" si="2"/>
        <v>27</v>
      </c>
      <c r="J1559" s="117">
        <f t="shared" si="3"/>
        <v>27.040000000000006</v>
      </c>
      <c r="K1559" s="117" t="str">
        <f t="shared" si="4"/>
        <v>BR</v>
      </c>
      <c r="L1559" s="42" t="str">
        <v>BR2704</v>
      </c>
      <c r="M1559" s="121" t="str">
        <v/>
      </c>
      <c r="N1559" s="121" t="str">
        <v/>
      </c>
      <c r="O1559" s="121" t="str">
        <v/>
      </c>
      <c r="P1559" s="121" t="str">
        <v/>
      </c>
      <c r="Q1559" s="121" t="str">
        <v/>
      </c>
      <c r="R1559" s="121" t="str">
        <v/>
      </c>
      <c r="S1559" s="121" t="str">
        <v>Date-time statement is printed</v>
      </c>
      <c r="T1559" s="119" t="str">
        <f>IF($C1559&lt;4,IF($C1559=3,T1560,IF($C1559=2,T$1,"")),Q1559&amp;R1559&amp;IF(LEN(S1559)=0,"",Preferences!$C$2&amp;S1559)&amp;IF(J1560=J1559,IF(LEN(R1559&amp;S1559)=0,"","
")&amp;T1560,""))</f>
        <v xml:space="preserve">	• Date-time statement is printed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59" s="122" t="str">
        <v/>
      </c>
      <c r="V1559" s="42"/>
      <c r="W1559" s="42"/>
      <c r="X1559" s="42"/>
      <c r="Y1559" s="42"/>
      <c r="Z1559" s="42"/>
      <c r="AA1559" s="42"/>
      <c r="AB1559" s="42"/>
    </row>
    <row r="1560" spans="1:28" x14ac:dyDescent="0.25">
      <c r="A1560" s="42" t="str">
        <v>1.27.4.4.8</v>
      </c>
      <c r="B1560" s="121" t="str">
        <v>List of packed products confirmed as packed for the given supplier order</v>
      </c>
      <c r="C1560" s="41">
        <v>5</v>
      </c>
      <c r="D1560" s="41" t="str">
        <v>RL</v>
      </c>
      <c r="E1560" s="117" t="str">
        <f t="shared" si="0"/>
        <v>RL</v>
      </c>
      <c r="F1560" s="41" t="str">
        <v/>
      </c>
      <c r="G1560" s="41" t="str">
        <v/>
      </c>
      <c r="H1560" s="117">
        <f t="shared" si="1"/>
        <v>0</v>
      </c>
      <c r="I1560" s="117">
        <f t="shared" si="2"/>
        <v>27</v>
      </c>
      <c r="J1560" s="117">
        <f t="shared" si="3"/>
        <v>27.040000000000006</v>
      </c>
      <c r="K1560" s="117" t="str">
        <f t="shared" si="4"/>
        <v>BR</v>
      </c>
      <c r="L1560" s="42" t="str">
        <v>BR2704</v>
      </c>
      <c r="M1560" s="121" t="str">
        <v/>
      </c>
      <c r="N1560" s="121" t="str">
        <v/>
      </c>
      <c r="O1560" s="121" t="str">
        <v/>
      </c>
      <c r="P1560" s="121" t="str">
        <v/>
      </c>
      <c r="Q1560" s="121" t="str">
        <v/>
      </c>
      <c r="R1560" s="121" t="str">
        <v/>
      </c>
      <c r="S1560" s="121" t="str">
        <v>List of packed products confirmed as packed for the given supplier order</v>
      </c>
      <c r="T1560" s="119" t="str">
        <f>IF($C1560&lt;4,IF($C1560=3,T1561,IF($C1560=2,T$1,"")),Q1560&amp;R1560&amp;IF(LEN(S1560)=0,"",Preferences!$C$2&amp;S1560)&amp;IF(J1561=J1560,IF(LEN(R1560&amp;S1560)=0,"","
")&amp;T1561,""))</f>
        <v xml:space="preserve">	• List of packed products confirmed as packed for the given supplier order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0" s="122" t="str">
        <v/>
      </c>
      <c r="V1560" s="42"/>
      <c r="W1560" s="42"/>
      <c r="X1560" s="42"/>
      <c r="Y1560" s="42"/>
      <c r="Z1560" s="42"/>
      <c r="AA1560" s="42"/>
      <c r="AB1560" s="42"/>
    </row>
    <row r="1561" spans="1:28" x14ac:dyDescent="0.25">
      <c r="A1561" s="42" t="str">
        <v>1.27.4.4.9</v>
      </c>
      <c r="B1561" s="121" t="str">
        <v>Total VAT for supplied products</v>
      </c>
      <c r="C1561" s="41">
        <v>5</v>
      </c>
      <c r="D1561" s="41" t="str">
        <v>RL</v>
      </c>
      <c r="E1561" s="117" t="str">
        <f t="shared" si="0"/>
        <v>RL</v>
      </c>
      <c r="F1561" s="41" t="str">
        <v/>
      </c>
      <c r="G1561" s="41" t="str">
        <v/>
      </c>
      <c r="H1561" s="117">
        <f t="shared" si="1"/>
        <v>0</v>
      </c>
      <c r="I1561" s="117">
        <f t="shared" si="2"/>
        <v>27</v>
      </c>
      <c r="J1561" s="117">
        <f t="shared" si="3"/>
        <v>27.040000000000006</v>
      </c>
      <c r="K1561" s="117" t="str">
        <f t="shared" si="4"/>
        <v>BR</v>
      </c>
      <c r="L1561" s="42" t="str">
        <v>BR2704</v>
      </c>
      <c r="M1561" s="121" t="str">
        <v/>
      </c>
      <c r="N1561" s="121" t="str">
        <v/>
      </c>
      <c r="O1561" s="121" t="str">
        <v/>
      </c>
      <c r="P1561" s="121" t="str">
        <v/>
      </c>
      <c r="Q1561" s="121" t="str">
        <v/>
      </c>
      <c r="R1561" s="121" t="str">
        <v/>
      </c>
      <c r="S1561" s="121" t="str">
        <v>Total VAT for supplied products</v>
      </c>
      <c r="T1561" s="119" t="str">
        <f>IF($C1561&lt;4,IF($C1561=3,T1562,IF($C1561=2,T$1,"")),Q1561&amp;R1561&amp;IF(LEN(S1561)=0,"",Preferences!$C$2&amp;S1561)&amp;IF(J1562=J1561,IF(LEN(R1561&amp;S1561)=0,"","
")&amp;T1562,""))</f>
        <v xml:space="preserve">	• Total VAT for supplied products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1" s="122" t="str">
        <v/>
      </c>
      <c r="V1561" s="42"/>
      <c r="W1561" s="42"/>
      <c r="X1561" s="42"/>
      <c r="Y1561" s="42"/>
      <c r="Z1561" s="42"/>
      <c r="AA1561" s="42"/>
      <c r="AB1561" s="42"/>
    </row>
    <row r="1562" spans="1:28" x14ac:dyDescent="0.25">
      <c r="A1562" s="42" t="str">
        <v>1.27.4.4.10</v>
      </c>
      <c r="B1562" s="121" t="str">
        <v>Total Sales Value for supplied products</v>
      </c>
      <c r="C1562" s="41">
        <v>5</v>
      </c>
      <c r="D1562" s="41" t="str">
        <v>RL</v>
      </c>
      <c r="E1562" s="117" t="str">
        <f t="shared" si="0"/>
        <v>RL</v>
      </c>
      <c r="F1562" s="41" t="str">
        <v/>
      </c>
      <c r="G1562" s="41" t="str">
        <v/>
      </c>
      <c r="H1562" s="117">
        <f t="shared" si="1"/>
        <v>0</v>
      </c>
      <c r="I1562" s="117">
        <f t="shared" si="2"/>
        <v>27</v>
      </c>
      <c r="J1562" s="117">
        <f t="shared" si="3"/>
        <v>27.040000000000006</v>
      </c>
      <c r="K1562" s="117" t="str">
        <f t="shared" si="4"/>
        <v>BR</v>
      </c>
      <c r="L1562" s="42" t="str">
        <v>BR2704</v>
      </c>
      <c r="M1562" s="121" t="str">
        <v/>
      </c>
      <c r="N1562" s="121" t="str">
        <v/>
      </c>
      <c r="O1562" s="121" t="str">
        <v/>
      </c>
      <c r="P1562" s="121" t="str">
        <v/>
      </c>
      <c r="Q1562" s="121" t="str">
        <v/>
      </c>
      <c r="R1562" s="121" t="str">
        <v/>
      </c>
      <c r="S1562" s="121" t="str">
        <v>Total Sales Value for supplied products</v>
      </c>
      <c r="T1562" s="119" t="str">
        <f>IF($C1562&lt;4,IF($C1562=3,T1563,IF($C1562=2,T$1,"")),Q1562&amp;R1562&amp;IF(LEN(S1562)=0,"",Preferences!$C$2&amp;S1562)&amp;IF(J1563=J1562,IF(LEN(R1562&amp;S1562)=0,"","
")&amp;T1563,""))</f>
        <v xml:space="preserve">	• Total Sales Value for supplied products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2" s="122" t="str">
        <v/>
      </c>
      <c r="V1562" s="42"/>
      <c r="W1562" s="42"/>
      <c r="X1562" s="42"/>
      <c r="Y1562" s="42"/>
      <c r="Z1562" s="42"/>
      <c r="AA1562" s="42"/>
      <c r="AB1562" s="42"/>
    </row>
    <row r="1563" spans="1:28" x14ac:dyDescent="0.25">
      <c r="A1563" s="42" t="str">
        <v>1.27.4.5</v>
      </c>
      <c r="B1563" s="121" t="str">
        <v>Print the following details for each applicable product or pack in the list of packed products on the customer statement (include only products confirmed packed for that supplier order):</v>
      </c>
      <c r="C1563" s="41">
        <v>4</v>
      </c>
      <c r="D1563" s="41" t="str">
        <v>RD</v>
      </c>
      <c r="E1563" s="117" t="str">
        <f t="shared" si="0"/>
        <v>RD</v>
      </c>
      <c r="F1563" s="41" t="str">
        <v/>
      </c>
      <c r="G1563" s="41" t="str">
        <v/>
      </c>
      <c r="H1563" s="117">
        <f t="shared" si="1"/>
        <v>0</v>
      </c>
      <c r="I1563" s="117">
        <f t="shared" si="2"/>
        <v>27</v>
      </c>
      <c r="J1563" s="117">
        <f t="shared" si="3"/>
        <v>27.040000000000006</v>
      </c>
      <c r="K1563" s="117" t="str">
        <f t="shared" si="4"/>
        <v>BR</v>
      </c>
      <c r="L1563" s="42" t="str">
        <v>BR2704</v>
      </c>
      <c r="M1563" s="121" t="str">
        <v/>
      </c>
      <c r="N1563" s="121" t="str">
        <v/>
      </c>
      <c r="O1563" s="121" t="str">
        <v/>
      </c>
      <c r="P1563" s="121" t="str">
        <v/>
      </c>
      <c r="Q1563" s="121" t="str">
        <v xml:space="preserve"> 5. </v>
      </c>
      <c r="R1563" s="121" t="str">
        <v>Print the following details for each applicable product or pack in the list of packed products on the customer statement (include only products confirmed packed for that supplier order):</v>
      </c>
      <c r="S1563" s="121" t="str">
        <v/>
      </c>
      <c r="T1563" s="119" t="str">
        <f>IF($C1563&lt;4,IF($C1563=3,T1564,IF($C1563=2,T$1,"")),Q1563&amp;R1563&amp;IF(LEN(S1563)=0,"",Preferences!$C$2&amp;S1563)&amp;IF(J1564=J1563,IF(LEN(R1563&amp;S1563)=0,"","
")&amp;T1564,""))</f>
        <v xml:space="preserve"> 5. Print the following details for each applicable product or pack in the list of packed products on the customer statement (include only products confirmed packed for that supplier order):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3" s="122" t="str">
        <v/>
      </c>
      <c r="V1563" s="42"/>
      <c r="W1563" s="42"/>
      <c r="X1563" s="42"/>
      <c r="Y1563" s="42"/>
      <c r="Z1563" s="42"/>
      <c r="AA1563" s="42"/>
      <c r="AB1563" s="42"/>
    </row>
    <row r="1564" spans="1:28" x14ac:dyDescent="0.25">
      <c r="A1564" s="42" t="str">
        <v>1.27.4.5.1</v>
      </c>
      <c r="B1564" s="121" t="str">
        <v>Supplier's Product Number</v>
      </c>
      <c r="C1564" s="41">
        <v>5</v>
      </c>
      <c r="D1564" s="41" t="str">
        <v>RL</v>
      </c>
      <c r="E1564" s="117" t="str">
        <f t="shared" si="0"/>
        <v>RL</v>
      </c>
      <c r="F1564" s="41" t="str">
        <v/>
      </c>
      <c r="G1564" s="41" t="str">
        <v/>
      </c>
      <c r="H1564" s="117">
        <f t="shared" si="1"/>
        <v>0</v>
      </c>
      <c r="I1564" s="117">
        <f t="shared" si="2"/>
        <v>27</v>
      </c>
      <c r="J1564" s="117">
        <f t="shared" si="3"/>
        <v>27.040000000000006</v>
      </c>
      <c r="K1564" s="117" t="str">
        <f t="shared" si="4"/>
        <v>BR</v>
      </c>
      <c r="L1564" s="42" t="str">
        <v>BR2704</v>
      </c>
      <c r="M1564" s="121" t="str">
        <v/>
      </c>
      <c r="N1564" s="121" t="str">
        <v/>
      </c>
      <c r="O1564" s="121" t="str">
        <v/>
      </c>
      <c r="P1564" s="121" t="str">
        <v/>
      </c>
      <c r="Q1564" s="121" t="str">
        <v/>
      </c>
      <c r="R1564" s="121" t="str">
        <v/>
      </c>
      <c r="S1564" s="121" t="str">
        <v>Supplier's Product Number</v>
      </c>
      <c r="T1564" s="119" t="str">
        <f>IF($C1564&lt;4,IF($C1564=3,T1565,IF($C1564=2,T$1,"")),Q1564&amp;R1564&amp;IF(LEN(S1564)=0,"",Preferences!$C$2&amp;S1564)&amp;IF(J1565=J1564,IF(LEN(R1564&amp;S1564)=0,"","
")&amp;T1565,""))</f>
        <v xml:space="preserve">	• Supplier's Product Number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4" s="122" t="str">
        <v/>
      </c>
      <c r="V1564" s="42"/>
      <c r="W1564" s="42"/>
      <c r="X1564" s="42"/>
      <c r="Y1564" s="42"/>
      <c r="Z1564" s="42"/>
      <c r="AA1564" s="42"/>
      <c r="AB1564" s="42"/>
    </row>
    <row r="1565" spans="1:28" x14ac:dyDescent="0.25">
      <c r="A1565" s="42" t="str">
        <v>1.27.4.5.2</v>
      </c>
      <c r="B1565" s="121" t="str">
        <v>Product description from the supplier order</v>
      </c>
      <c r="C1565" s="41">
        <v>5</v>
      </c>
      <c r="D1565" s="41" t="str">
        <v>RL</v>
      </c>
      <c r="E1565" s="117" t="str">
        <f t="shared" si="0"/>
        <v>RL</v>
      </c>
      <c r="F1565" s="41" t="str">
        <v/>
      </c>
      <c r="G1565" s="41" t="str">
        <v/>
      </c>
      <c r="H1565" s="117">
        <f t="shared" si="1"/>
        <v>0</v>
      </c>
      <c r="I1565" s="117">
        <f t="shared" si="2"/>
        <v>27</v>
      </c>
      <c r="J1565" s="117">
        <f t="shared" si="3"/>
        <v>27.040000000000006</v>
      </c>
      <c r="K1565" s="117" t="str">
        <f t="shared" si="4"/>
        <v>BR</v>
      </c>
      <c r="L1565" s="42" t="str">
        <v>BR2704</v>
      </c>
      <c r="M1565" s="121" t="str">
        <v/>
      </c>
      <c r="N1565" s="121" t="str">
        <v/>
      </c>
      <c r="O1565" s="121" t="str">
        <v/>
      </c>
      <c r="P1565" s="121" t="str">
        <v/>
      </c>
      <c r="Q1565" s="121" t="str">
        <v/>
      </c>
      <c r="R1565" s="121" t="str">
        <v/>
      </c>
      <c r="S1565" s="121" t="str">
        <v>Product description from the supplier order</v>
      </c>
      <c r="T1565" s="119" t="str">
        <f>IF($C1565&lt;4,IF($C1565=3,T1566,IF($C1565=2,T$1,"")),Q1565&amp;R1565&amp;IF(LEN(S1565)=0,"",Preferences!$C$2&amp;S1565)&amp;IF(J1566=J1565,IF(LEN(R1565&amp;S1565)=0,"","
")&amp;T1566,""))</f>
        <v xml:space="preserve">	• Product description from the supplier order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5" s="122" t="str">
        <v/>
      </c>
      <c r="V1565" s="42"/>
      <c r="W1565" s="42"/>
      <c r="X1565" s="42"/>
      <c r="Y1565" s="42"/>
      <c r="Z1565" s="42"/>
      <c r="AA1565" s="42"/>
      <c r="AB1565" s="42"/>
    </row>
    <row r="1566" spans="1:28" x14ac:dyDescent="0.25">
      <c r="A1566" s="42" t="str">
        <v>1.27.4.5.3</v>
      </c>
      <c r="B1566" s="121" t="str">
        <v>Quantity picked</v>
      </c>
      <c r="C1566" s="41">
        <v>5</v>
      </c>
      <c r="D1566" s="41" t="str">
        <v>RL</v>
      </c>
      <c r="E1566" s="117" t="str">
        <f t="shared" si="0"/>
        <v>RL</v>
      </c>
      <c r="F1566" s="41" t="str">
        <v/>
      </c>
      <c r="G1566" s="41" t="str">
        <v/>
      </c>
      <c r="H1566" s="117">
        <f t="shared" si="1"/>
        <v>0</v>
      </c>
      <c r="I1566" s="117">
        <f t="shared" si="2"/>
        <v>27</v>
      </c>
      <c r="J1566" s="117">
        <f t="shared" si="3"/>
        <v>27.040000000000006</v>
      </c>
      <c r="K1566" s="117" t="str">
        <f t="shared" si="4"/>
        <v>BR</v>
      </c>
      <c r="L1566" s="42" t="str">
        <v>BR2704</v>
      </c>
      <c r="M1566" s="121" t="str">
        <v/>
      </c>
      <c r="N1566" s="121" t="str">
        <v/>
      </c>
      <c r="O1566" s="121" t="str">
        <v/>
      </c>
      <c r="P1566" s="121" t="str">
        <v/>
      </c>
      <c r="Q1566" s="121" t="str">
        <v/>
      </c>
      <c r="R1566" s="121" t="str">
        <v/>
      </c>
      <c r="S1566" s="121" t="str">
        <v>Quantity picked</v>
      </c>
      <c r="T1566" s="119" t="str">
        <f>IF($C1566&lt;4,IF($C1566=3,T1567,IF($C1566=2,T$1,"")),Q1566&amp;R1566&amp;IF(LEN(S1566)=0,"",Preferences!$C$2&amp;S1566)&amp;IF(J1567=J1566,IF(LEN(R1566&amp;S1566)=0,"","
")&amp;T1567,""))</f>
        <v xml:space="preserve">	• Quantity picked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6" s="122" t="str">
        <v/>
      </c>
      <c r="V1566" s="42"/>
      <c r="W1566" s="42"/>
      <c r="X1566" s="42"/>
      <c r="Y1566" s="42"/>
      <c r="Z1566" s="42"/>
      <c r="AA1566" s="42"/>
      <c r="AB1566" s="42"/>
    </row>
    <row r="1567" spans="1:28" x14ac:dyDescent="0.25">
      <c r="A1567" s="42" t="str">
        <v>1.27.4.6</v>
      </c>
      <c r="B1567" s="121" t="str">
        <v>Provide the ability to present and print a waybill label for the supplier order, to contain at least the following details:</v>
      </c>
      <c r="C1567" s="41">
        <v>4</v>
      </c>
      <c r="D1567" s="41" t="str">
        <v>RD</v>
      </c>
      <c r="E1567" s="117" t="str">
        <f t="shared" si="0"/>
        <v>RD</v>
      </c>
      <c r="F1567" s="41" t="str">
        <v/>
      </c>
      <c r="G1567" s="41" t="str">
        <v/>
      </c>
      <c r="H1567" s="117">
        <f t="shared" si="1"/>
        <v>0</v>
      </c>
      <c r="I1567" s="117">
        <f t="shared" si="2"/>
        <v>27</v>
      </c>
      <c r="J1567" s="117">
        <f t="shared" si="3"/>
        <v>27.040000000000006</v>
      </c>
      <c r="K1567" s="117" t="str">
        <f t="shared" si="4"/>
        <v>BR</v>
      </c>
      <c r="L1567" s="42" t="str">
        <v>BR2704</v>
      </c>
      <c r="M1567" s="121" t="str">
        <v/>
      </c>
      <c r="N1567" s="121" t="str">
        <v/>
      </c>
      <c r="O1567" s="121" t="str">
        <v/>
      </c>
      <c r="P1567" s="121" t="str">
        <v/>
      </c>
      <c r="Q1567" s="121" t="str">
        <v xml:space="preserve"> 6. </v>
      </c>
      <c r="R1567" s="121" t="str">
        <v>Provide the ability to present and print a waybill label for the supplier order, to contain at least the following details:</v>
      </c>
      <c r="S1567" s="121" t="str">
        <v/>
      </c>
      <c r="T1567" s="119" t="str">
        <f>IF($C1567&lt;4,IF($C1567=3,T1568,IF($C1567=2,T$1,"")),Q1567&amp;R1567&amp;IF(LEN(S1567)=0,"",Preferences!$C$2&amp;S1567)&amp;IF(J1568=J1567,IF(LEN(R1567&amp;S1567)=0,"","
")&amp;T1568,""))</f>
        <v xml:space="preserve"> 6. Provide the ability to present and print a waybill label for the supplier order, to contain at least the following details: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7" s="122" t="str">
        <v/>
      </c>
      <c r="V1567" s="42"/>
      <c r="W1567" s="42"/>
      <c r="X1567" s="42"/>
      <c r="Y1567" s="42"/>
      <c r="Z1567" s="42"/>
      <c r="AA1567" s="42"/>
      <c r="AB1567" s="42"/>
    </row>
    <row r="1568" spans="1:28" x14ac:dyDescent="0.25">
      <c r="A1568" s="42" t="str">
        <v>1.27.4.6.1</v>
      </c>
      <c r="B1568" s="121" t="str">
        <v>Provided waybill number (number and barcode)</v>
      </c>
      <c r="C1568" s="41">
        <v>5</v>
      </c>
      <c r="D1568" s="41" t="str">
        <v>RL</v>
      </c>
      <c r="E1568" s="117" t="str">
        <f t="shared" si="0"/>
        <v>RL</v>
      </c>
      <c r="F1568" s="41" t="str">
        <v/>
      </c>
      <c r="G1568" s="41" t="str">
        <v/>
      </c>
      <c r="H1568" s="117">
        <f t="shared" si="1"/>
        <v>0</v>
      </c>
      <c r="I1568" s="117">
        <f t="shared" si="2"/>
        <v>27</v>
      </c>
      <c r="J1568" s="117">
        <f t="shared" si="3"/>
        <v>27.040000000000006</v>
      </c>
      <c r="K1568" s="117" t="str">
        <f t="shared" si="4"/>
        <v>BR</v>
      </c>
      <c r="L1568" s="42" t="str">
        <v>BR2704</v>
      </c>
      <c r="M1568" s="121" t="str">
        <v/>
      </c>
      <c r="N1568" s="121" t="str">
        <v/>
      </c>
      <c r="O1568" s="121" t="str">
        <v/>
      </c>
      <c r="P1568" s="121" t="str">
        <v/>
      </c>
      <c r="Q1568" s="121" t="str">
        <v/>
      </c>
      <c r="R1568" s="121" t="str">
        <v/>
      </c>
      <c r="S1568" s="121" t="str">
        <v>Provided waybill number (number and barcode)</v>
      </c>
      <c r="T1568" s="119" t="str">
        <f>IF($C1568&lt;4,IF($C1568=3,T1569,IF($C1568=2,T$1,"")),Q1568&amp;R1568&amp;IF(LEN(S1568)=0,"",Preferences!$C$2&amp;S1568)&amp;IF(J1569=J1568,IF(LEN(R1568&amp;S1568)=0,"","
")&amp;T1569,""))</f>
        <v xml:space="preserve">	• Provided waybill number (number and barcode)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8" s="122" t="str">
        <v/>
      </c>
      <c r="V1568" s="42"/>
      <c r="W1568" s="42"/>
      <c r="X1568" s="42"/>
      <c r="Y1568" s="42"/>
      <c r="Z1568" s="42"/>
      <c r="AA1568" s="42"/>
      <c r="AB1568" s="42"/>
    </row>
    <row r="1569" spans="1:28" x14ac:dyDescent="0.25">
      <c r="A1569" s="42" t="str">
        <v>1.27.4.6.2</v>
      </c>
      <c r="B1569" s="121" t="str">
        <v>Delivery contact details and address</v>
      </c>
      <c r="C1569" s="41">
        <v>5</v>
      </c>
      <c r="D1569" s="41" t="str">
        <v>RL</v>
      </c>
      <c r="E1569" s="117" t="str">
        <f t="shared" si="0"/>
        <v>RL</v>
      </c>
      <c r="F1569" s="41" t="str">
        <v/>
      </c>
      <c r="G1569" s="41" t="str">
        <v/>
      </c>
      <c r="H1569" s="117">
        <f t="shared" si="1"/>
        <v>0</v>
      </c>
      <c r="I1569" s="117">
        <f t="shared" si="2"/>
        <v>27</v>
      </c>
      <c r="J1569" s="117">
        <f t="shared" si="3"/>
        <v>27.040000000000006</v>
      </c>
      <c r="K1569" s="117" t="str">
        <f t="shared" si="4"/>
        <v>BR</v>
      </c>
      <c r="L1569" s="42" t="str">
        <v>BR2704</v>
      </c>
      <c r="M1569" s="121" t="str">
        <v/>
      </c>
      <c r="N1569" s="121" t="str">
        <v/>
      </c>
      <c r="O1569" s="121" t="str">
        <v/>
      </c>
      <c r="P1569" s="121" t="str">
        <v/>
      </c>
      <c r="Q1569" s="121" t="str">
        <v/>
      </c>
      <c r="R1569" s="121" t="str">
        <v/>
      </c>
      <c r="S1569" s="121" t="str">
        <v>Delivery contact details and address</v>
      </c>
      <c r="T1569" s="119" t="str">
        <f>IF($C1569&lt;4,IF($C1569=3,T1570,IF($C1569=2,T$1,"")),Q1569&amp;R1569&amp;IF(LEN(S1569)=0,"",Preferences!$C$2&amp;S1569)&amp;IF(J1570=J1569,IF(LEN(R1569&amp;S1569)=0,"","
")&amp;T1570,""))</f>
        <v xml:space="preserve">	• Delivery contact details and address
	• Business name
	• Origin address of the package
 7. Also see the following:
	• Back-office User Registration section
	• Online Shop - Present an online shop for logged-in back-office users requirement
	• Online Shop - Back-office User Profile requirement</v>
      </c>
      <c r="U1569" s="122" t="str">
        <v/>
      </c>
      <c r="V1569" s="42"/>
      <c r="W1569" s="42"/>
      <c r="X1569" s="42"/>
      <c r="Y1569" s="42"/>
      <c r="Z1569" s="42"/>
      <c r="AA1569" s="42"/>
      <c r="AB1569" s="42"/>
    </row>
    <row r="1570" spans="1:28" x14ac:dyDescent="0.25">
      <c r="A1570" s="42" t="str">
        <v>1.27.4.6.3</v>
      </c>
      <c r="B1570" s="121" t="str">
        <v>Business name</v>
      </c>
      <c r="C1570" s="41">
        <v>5</v>
      </c>
      <c r="D1570" s="41" t="str">
        <v>RL</v>
      </c>
      <c r="E1570" s="117" t="str">
        <f t="shared" si="0"/>
        <v>RL</v>
      </c>
      <c r="F1570" s="41" t="str">
        <v/>
      </c>
      <c r="G1570" s="41" t="str">
        <v/>
      </c>
      <c r="H1570" s="117">
        <f t="shared" si="1"/>
        <v>0</v>
      </c>
      <c r="I1570" s="117">
        <f t="shared" si="2"/>
        <v>27</v>
      </c>
      <c r="J1570" s="117">
        <f t="shared" si="3"/>
        <v>27.040000000000006</v>
      </c>
      <c r="K1570" s="117" t="str">
        <f t="shared" si="4"/>
        <v>BR</v>
      </c>
      <c r="L1570" s="42" t="str">
        <v>BR2704</v>
      </c>
      <c r="M1570" s="121" t="str">
        <v/>
      </c>
      <c r="N1570" s="121" t="str">
        <v/>
      </c>
      <c r="O1570" s="121" t="str">
        <v/>
      </c>
      <c r="P1570" s="121" t="str">
        <v/>
      </c>
      <c r="Q1570" s="121" t="str">
        <v/>
      </c>
      <c r="R1570" s="121" t="str">
        <v/>
      </c>
      <c r="S1570" s="121" t="str">
        <v>Business name</v>
      </c>
      <c r="T1570" s="119" t="str">
        <f>IF($C1570&lt;4,IF($C1570=3,T1571,IF($C1570=2,T$1,"")),Q1570&amp;R1570&amp;IF(LEN(S1570)=0,"",Preferences!$C$2&amp;S1570)&amp;IF(J1571=J1570,IF(LEN(R1570&amp;S1570)=0,"","
")&amp;T1571,""))</f>
        <v xml:space="preserve">	• Business name
	• Origin address of the package
 7. Also see the following:
	• Back-office User Registration section
	• Online Shop - Present an online shop for logged-in back-office users requirement
	• Online Shop - Back-office User Profile requirement</v>
      </c>
      <c r="U1570" s="122" t="str">
        <v/>
      </c>
      <c r="V1570" s="42"/>
      <c r="W1570" s="42"/>
      <c r="X1570" s="42"/>
      <c r="Y1570" s="42"/>
      <c r="Z1570" s="42"/>
      <c r="AA1570" s="42"/>
      <c r="AB1570" s="42"/>
    </row>
    <row r="1571" spans="1:28" x14ac:dyDescent="0.25">
      <c r="A1571" s="42" t="str">
        <v>1.27.4.6.4</v>
      </c>
      <c r="B1571" s="121" t="str">
        <v>Origin address of the package</v>
      </c>
      <c r="C1571" s="41">
        <v>5</v>
      </c>
      <c r="D1571" s="41" t="str">
        <v>RL</v>
      </c>
      <c r="E1571" s="117" t="str">
        <f t="shared" si="0"/>
        <v>RL</v>
      </c>
      <c r="F1571" s="41" t="str">
        <v/>
      </c>
      <c r="G1571" s="41" t="str">
        <v/>
      </c>
      <c r="H1571" s="117">
        <f t="shared" si="1"/>
        <v>0</v>
      </c>
      <c r="I1571" s="117">
        <f t="shared" si="2"/>
        <v>27</v>
      </c>
      <c r="J1571" s="117">
        <f t="shared" si="3"/>
        <v>27.040000000000006</v>
      </c>
      <c r="K1571" s="117" t="str">
        <f t="shared" si="4"/>
        <v>BR</v>
      </c>
      <c r="L1571" s="42" t="str">
        <v>BR2704</v>
      </c>
      <c r="M1571" s="121" t="str">
        <v/>
      </c>
      <c r="N1571" s="121" t="str">
        <v/>
      </c>
      <c r="O1571" s="121" t="str">
        <v/>
      </c>
      <c r="P1571" s="121" t="str">
        <v/>
      </c>
      <c r="Q1571" s="121" t="str">
        <v/>
      </c>
      <c r="R1571" s="121" t="str">
        <v/>
      </c>
      <c r="S1571" s="121" t="str">
        <v>Origin address of the package</v>
      </c>
      <c r="T1571" s="119" t="str">
        <f>IF($C1571&lt;4,IF($C1571=3,T1572,IF($C1571=2,T$1,"")),Q1571&amp;R1571&amp;IF(LEN(S1571)=0,"",Preferences!$C$2&amp;S1571)&amp;IF(J1572=J1571,IF(LEN(R1571&amp;S1571)=0,"","
")&amp;T1572,""))</f>
        <v xml:space="preserve">	• Origin address of the package
 7. Also see the following:
	• Back-office User Registration section
	• Online Shop - Present an online shop for logged-in back-office users requirement
	• Online Shop - Back-office User Profile requirement</v>
      </c>
      <c r="U1571" s="122" t="str">
        <v/>
      </c>
      <c r="V1571" s="42"/>
      <c r="W1571" s="42"/>
      <c r="X1571" s="42"/>
      <c r="Y1571" s="42"/>
      <c r="Z1571" s="42"/>
      <c r="AA1571" s="42"/>
      <c r="AB1571" s="42"/>
    </row>
    <row r="1572" spans="1:28" x14ac:dyDescent="0.25">
      <c r="A1572" s="42" t="str">
        <v>1.27.4.7</v>
      </c>
      <c r="B1572" s="121" t="str">
        <v>Also see the following:</v>
      </c>
      <c r="C1572" s="41">
        <v>4</v>
      </c>
      <c r="D1572" s="41" t="str">
        <v>RD</v>
      </c>
      <c r="E1572" s="117" t="str">
        <f t="shared" si="0"/>
        <v>RD</v>
      </c>
      <c r="F1572" s="41" t="str">
        <v/>
      </c>
      <c r="G1572" s="41" t="str">
        <v/>
      </c>
      <c r="H1572" s="117">
        <f t="shared" si="1"/>
        <v>0</v>
      </c>
      <c r="I1572" s="117">
        <f t="shared" si="2"/>
        <v>27</v>
      </c>
      <c r="J1572" s="117">
        <f t="shared" si="3"/>
        <v>27.040000000000006</v>
      </c>
      <c r="K1572" s="117" t="str">
        <f t="shared" si="4"/>
        <v>BR</v>
      </c>
      <c r="L1572" s="42" t="str">
        <v>BR2704</v>
      </c>
      <c r="M1572" s="121" t="str">
        <v/>
      </c>
      <c r="N1572" s="121" t="str">
        <v/>
      </c>
      <c r="O1572" s="121" t="str">
        <v/>
      </c>
      <c r="P1572" s="121" t="str">
        <v/>
      </c>
      <c r="Q1572" s="121" t="str">
        <v xml:space="preserve"> 7. </v>
      </c>
      <c r="R1572" s="121" t="str">
        <v>Also see the following:</v>
      </c>
      <c r="S1572" s="121" t="str">
        <v/>
      </c>
      <c r="T1572" s="119" t="str">
        <f>IF($C1572&lt;4,IF($C1572=3,T1573,IF($C1572=2,T$1,"")),Q1572&amp;R1572&amp;IF(LEN(S1572)=0,"",Preferences!$C$2&amp;S1572)&amp;IF(J1573=J1572,IF(LEN(R1572&amp;S1572)=0,"","
")&amp;T1573,""))</f>
        <v xml:space="preserve"> 7. Also see the following:
	• Back-office User Registration section
	• Online Shop - Present an online shop for logged-in back-office users requirement
	• Online Shop - Back-office User Profile requirement</v>
      </c>
      <c r="U1572" s="122" t="str">
        <v/>
      </c>
      <c r="V1572" s="42"/>
      <c r="W1572" s="42"/>
      <c r="X1572" s="42"/>
      <c r="Y1572" s="42"/>
      <c r="Z1572" s="42"/>
      <c r="AA1572" s="42"/>
      <c r="AB1572" s="42"/>
    </row>
    <row r="1573" spans="1:28" x14ac:dyDescent="0.25">
      <c r="A1573" s="42" t="str">
        <v>1.27.4.7.1</v>
      </c>
      <c r="B1573" s="121" t="str">
        <v>Back-office User Registration section</v>
      </c>
      <c r="C1573" s="41">
        <v>5</v>
      </c>
      <c r="D1573" s="41" t="str">
        <v>RL</v>
      </c>
      <c r="E1573" s="117" t="str">
        <f t="shared" si="0"/>
        <v>RL</v>
      </c>
      <c r="F1573" s="41" t="str">
        <v/>
      </c>
      <c r="G1573" s="41" t="str">
        <v/>
      </c>
      <c r="H1573" s="117">
        <f t="shared" si="1"/>
        <v>0</v>
      </c>
      <c r="I1573" s="117">
        <f t="shared" si="2"/>
        <v>27</v>
      </c>
      <c r="J1573" s="117">
        <f t="shared" si="3"/>
        <v>27.040000000000006</v>
      </c>
      <c r="K1573" s="117" t="str">
        <f t="shared" si="4"/>
        <v>BR</v>
      </c>
      <c r="L1573" s="42" t="str">
        <v>BR2704</v>
      </c>
      <c r="M1573" s="121" t="str">
        <v/>
      </c>
      <c r="N1573" s="121" t="str">
        <v/>
      </c>
      <c r="O1573" s="121" t="str">
        <v/>
      </c>
      <c r="P1573" s="121" t="str">
        <v/>
      </c>
      <c r="Q1573" s="121" t="str">
        <v/>
      </c>
      <c r="R1573" s="121" t="str">
        <v/>
      </c>
      <c r="S1573" s="121" t="str">
        <v>Back-office User Registration section</v>
      </c>
      <c r="T1573" s="119" t="str">
        <f>IF($C1573&lt;4,IF($C1573=3,T1574,IF($C1573=2,T$1,"")),Q1573&amp;R1573&amp;IF(LEN(S1573)=0,"",Preferences!$C$2&amp;S1573)&amp;IF(J1574=J1573,IF(LEN(R1573&amp;S1573)=0,"","
")&amp;T1574,""))</f>
        <v xml:space="preserve">	• Back-office User Registration section
	• Online Shop - Present an online shop for logged-in back-office users requirement
	• Online Shop - Back-office User Profile requirement</v>
      </c>
      <c r="U1573" s="122" t="str">
        <v/>
      </c>
      <c r="V1573" s="42"/>
      <c r="W1573" s="42"/>
      <c r="X1573" s="42"/>
      <c r="Y1573" s="42"/>
      <c r="Z1573" s="42"/>
      <c r="AA1573" s="42"/>
      <c r="AB1573" s="42"/>
    </row>
    <row r="1574" spans="1:28" x14ac:dyDescent="0.25">
      <c r="A1574" s="42" t="str">
        <v>1.27.4.7.2</v>
      </c>
      <c r="B1574" s="121" t="str">
        <v>Online Shop - Present an online shop for logged-in back-office users requirement</v>
      </c>
      <c r="C1574" s="41">
        <v>5</v>
      </c>
      <c r="D1574" s="41" t="str">
        <v>RL</v>
      </c>
      <c r="E1574" s="117" t="str">
        <f t="shared" si="0"/>
        <v>RL</v>
      </c>
      <c r="F1574" s="41" t="str">
        <v/>
      </c>
      <c r="G1574" s="41" t="str">
        <v/>
      </c>
      <c r="H1574" s="117">
        <f t="shared" si="1"/>
        <v>0</v>
      </c>
      <c r="I1574" s="117">
        <f t="shared" si="2"/>
        <v>27</v>
      </c>
      <c r="J1574" s="117">
        <f t="shared" si="3"/>
        <v>27.040000000000006</v>
      </c>
      <c r="K1574" s="117" t="str">
        <f t="shared" si="4"/>
        <v>BR</v>
      </c>
      <c r="L1574" s="42" t="str">
        <v>BR2704</v>
      </c>
      <c r="M1574" s="121" t="str">
        <v/>
      </c>
      <c r="N1574" s="121" t="str">
        <v/>
      </c>
      <c r="O1574" s="121" t="str">
        <v/>
      </c>
      <c r="P1574" s="121" t="str">
        <v/>
      </c>
      <c r="Q1574" s="121" t="str">
        <v/>
      </c>
      <c r="R1574" s="121" t="str">
        <v/>
      </c>
      <c r="S1574" s="121" t="str">
        <v>Online Shop - Present an online shop for logged-in back-office users requirement</v>
      </c>
      <c r="T1574" s="119" t="str">
        <f>IF($C1574&lt;4,IF($C1574=3,T1575,IF($C1574=2,T$1,"")),Q1574&amp;R1574&amp;IF(LEN(S1574)=0,"",Preferences!$C$2&amp;S1574)&amp;IF(J1575=J1574,IF(LEN(R1574&amp;S1574)=0,"","
")&amp;T1575,""))</f>
        <v xml:space="preserve">	• Online Shop - Present an online shop for logged-in back-office users requirement
	• Online Shop - Back-office User Profile requirement</v>
      </c>
      <c r="U1574" s="122" t="str">
        <v/>
      </c>
      <c r="V1574" s="42"/>
      <c r="W1574" s="42"/>
      <c r="X1574" s="42"/>
      <c r="Y1574" s="42"/>
      <c r="Z1574" s="42"/>
      <c r="AA1574" s="42"/>
      <c r="AB1574" s="42"/>
    </row>
    <row r="1575" spans="1:28" x14ac:dyDescent="0.25">
      <c r="A1575" s="42" t="str">
        <v>1.27.4.7.3</v>
      </c>
      <c r="B1575" s="121" t="str">
        <v>Online Shop - Back-office User Profile requirement</v>
      </c>
      <c r="C1575" s="41">
        <v>5</v>
      </c>
      <c r="D1575" s="41" t="str">
        <v>RL</v>
      </c>
      <c r="E1575" s="117" t="str">
        <f t="shared" si="0"/>
        <v>RL</v>
      </c>
      <c r="F1575" s="41" t="str">
        <v/>
      </c>
      <c r="G1575" s="41" t="str">
        <v/>
      </c>
      <c r="H1575" s="117">
        <f t="shared" si="1"/>
        <v>0</v>
      </c>
      <c r="I1575" s="117">
        <f t="shared" si="2"/>
        <v>27</v>
      </c>
      <c r="J1575" s="117">
        <f t="shared" si="3"/>
        <v>27.040000000000006</v>
      </c>
      <c r="K1575" s="117" t="str">
        <f t="shared" si="4"/>
        <v>BR</v>
      </c>
      <c r="L1575" s="42" t="str">
        <v>BR2704</v>
      </c>
      <c r="M1575" s="121" t="str">
        <v/>
      </c>
      <c r="N1575" s="121" t="str">
        <v/>
      </c>
      <c r="O1575" s="121" t="str">
        <v/>
      </c>
      <c r="P1575" s="121" t="str">
        <v/>
      </c>
      <c r="Q1575" s="121" t="str">
        <v/>
      </c>
      <c r="R1575" s="121" t="str">
        <v/>
      </c>
      <c r="S1575" s="121" t="str">
        <v>Online Shop - Back-office User Profile requirement</v>
      </c>
      <c r="T1575" s="119" t="str">
        <f>IF($C1575&lt;4,IF($C1575=3,T1576,IF($C1575=2,T$1,"")),Q1575&amp;R1575&amp;IF(LEN(S1575)=0,"",Preferences!$C$2&amp;S1575)&amp;IF(J1576=J1575,IF(LEN(R1575&amp;S1575)=0,"","
")&amp;T1576,""))</f>
        <v xml:space="preserve">	• Online Shop - Back-office User Profile requirement</v>
      </c>
      <c r="U1575" s="122" t="str">
        <v/>
      </c>
      <c r="V1575" s="42"/>
      <c r="W1575" s="42"/>
      <c r="X1575" s="42"/>
      <c r="Y1575" s="42"/>
      <c r="Z1575" s="42"/>
      <c r="AA1575" s="42"/>
      <c r="AB1575" s="42"/>
    </row>
    <row r="1576" spans="1:28" x14ac:dyDescent="0.25">
      <c r="A1576" s="42" t="str">
        <v>1.28</v>
      </c>
      <c r="B1576" s="121" t="str">
        <v>28 Establish B2C Co as Business</v>
      </c>
      <c r="C1576" s="41">
        <v>2</v>
      </c>
      <c r="D1576" s="41" t="str">
        <v>RS</v>
      </c>
      <c r="E1576" s="117" t="str">
        <f t="shared" si="0"/>
        <v>RS</v>
      </c>
      <c r="F1576" s="41" t="str">
        <v/>
      </c>
      <c r="G1576" s="41" t="str">
        <v/>
      </c>
      <c r="H1576" s="117">
        <f t="shared" si="1"/>
        <v>0</v>
      </c>
      <c r="I1576" s="117">
        <f t="shared" si="2"/>
        <v>28</v>
      </c>
      <c r="J1576" s="117">
        <f t="shared" si="3"/>
        <v>28</v>
      </c>
      <c r="K1576" s="117" t="str">
        <f t="shared" si="4"/>
        <v>BR</v>
      </c>
      <c r="L1576" s="42">
        <v>28</v>
      </c>
      <c r="M1576" s="121" t="str">
        <v/>
      </c>
      <c r="N1576" s="121" t="str">
        <v>28 Establish B2C Co as Business</v>
      </c>
      <c r="O1576" s="121" t="str">
        <v>ReqID</v>
      </c>
      <c r="P1576" s="121" t="e">
        <v>#N/A</v>
      </c>
      <c r="Q1576" s="121" t="str">
        <v/>
      </c>
      <c r="R1576" s="121" t="str">
        <v/>
      </c>
      <c r="S1576" s="121" t="str">
        <v/>
      </c>
      <c r="T1576" s="119" t="str">
        <f>IF($C1576&lt;4,IF($C1576=3,T1577,IF($C1576=2,T$1,"")),Q1576&amp;R1576&amp;IF(LEN(S1576)=0,"",Preferences!$C$2&amp;S1576)&amp;IF(J1577=J1576,IF(LEN(R1576&amp;S1576)=0,"","
")&amp;T1577,""))</f>
        <v>Description</v>
      </c>
      <c r="U1576" s="122" t="str">
        <v/>
      </c>
      <c r="V1576" s="42"/>
      <c r="W1576" s="42"/>
      <c r="X1576" s="42"/>
      <c r="Y1576" s="42"/>
      <c r="Z1576" s="42"/>
      <c r="AA1576" s="42"/>
      <c r="AB1576" s="42"/>
    </row>
    <row r="1577" spans="1:28" x14ac:dyDescent="0.25">
      <c r="A1577" s="42" t="str">
        <v>1.28.1</v>
      </c>
      <c r="B1577" s="121" t="str">
        <v>28.1 Register the B2C as legal entity</v>
      </c>
      <c r="C1577" s="41">
        <v>3</v>
      </c>
      <c r="D1577" s="41" t="str">
        <v>R</v>
      </c>
      <c r="E1577" s="117" t="str">
        <f t="shared" si="0"/>
        <v>R</v>
      </c>
      <c r="F1577" s="41" t="str">
        <v/>
      </c>
      <c r="G1577" s="41" t="str">
        <v/>
      </c>
      <c r="H1577" s="117">
        <f t="shared" si="1"/>
        <v>0</v>
      </c>
      <c r="I1577" s="117">
        <f t="shared" si="2"/>
        <v>28</v>
      </c>
      <c r="J1577" s="117">
        <f t="shared" si="3"/>
        <v>28.01</v>
      </c>
      <c r="K1577" s="117" t="str">
        <f t="shared" si="4"/>
        <v>BR</v>
      </c>
      <c r="L1577" s="42" t="str">
        <v>BR2801</v>
      </c>
      <c r="M1577" s="121" t="str">
        <v/>
      </c>
      <c r="N1577" s="121" t="str">
        <v/>
      </c>
      <c r="O1577" s="121" t="str">
        <v>BR2801</v>
      </c>
      <c r="P1577" s="121" t="str">
        <v>Register the B2C as legal entity</v>
      </c>
      <c r="Q1577" s="121" t="str">
        <v/>
      </c>
      <c r="R1577" s="121" t="str">
        <v/>
      </c>
      <c r="S1577" s="121" t="str">
        <v/>
      </c>
      <c r="T1577" s="119" t="str">
        <f>IF($C1577&lt;4,IF($C1577=3,T1578,IF($C1577=2,T$1,"")),Q1577&amp;R1577&amp;IF(LEN(S1577)=0,"",Preferences!$C$2&amp;S1577)&amp;IF(J1578=J1577,IF(LEN(R1577&amp;S1577)=0,"","
")&amp;T1578,""))</f>
        <v xml:space="preserve"> 1. Define and agree the name under which B2C Co will trade, with input from Shoprite (Directors, Marketing and Legal).
 2. Identify, agree and appoint the directors of B2C Co under direction from Shoprite (Directors and Legal).
 3. Register B2C Co as a business entity in South Africa with the Companies and Intellectual Property Commission (CIPC).
 4. Register the B2C Co as business with SARS for Tax and VAT purposes.</v>
      </c>
      <c r="U1577" s="122" t="str">
        <v/>
      </c>
      <c r="V1577" s="42"/>
      <c r="W1577" s="42"/>
      <c r="X1577" s="42"/>
      <c r="Y1577" s="42"/>
      <c r="Z1577" s="42"/>
      <c r="AA1577" s="42"/>
      <c r="AB1577" s="42"/>
    </row>
    <row r="1578" spans="1:28" x14ac:dyDescent="0.25">
      <c r="A1578" s="42" t="str">
        <v>1.28.1.1</v>
      </c>
      <c r="B1578" s="121" t="str">
        <v>Define and agree the name under which B2C Co will trade, with input from Shoprite (Directors, Marketing and Legal).</v>
      </c>
      <c r="C1578" s="41">
        <v>4</v>
      </c>
      <c r="D1578" s="41" t="str">
        <v>RD</v>
      </c>
      <c r="E1578" s="117" t="str">
        <f t="shared" si="0"/>
        <v>RD</v>
      </c>
      <c r="F1578" s="41" t="str">
        <v/>
      </c>
      <c r="G1578" s="41" t="str">
        <v/>
      </c>
      <c r="H1578" s="117">
        <f t="shared" si="1"/>
        <v>0</v>
      </c>
      <c r="I1578" s="117">
        <f t="shared" si="2"/>
        <v>28</v>
      </c>
      <c r="J1578" s="117">
        <f t="shared" si="3"/>
        <v>28.01</v>
      </c>
      <c r="K1578" s="117" t="str">
        <f t="shared" si="4"/>
        <v>BR</v>
      </c>
      <c r="L1578" s="42" t="str">
        <v>BR2801</v>
      </c>
      <c r="M1578" s="121" t="str">
        <v/>
      </c>
      <c r="N1578" s="121" t="str">
        <v/>
      </c>
      <c r="O1578" s="121" t="str">
        <v/>
      </c>
      <c r="P1578" s="121" t="str">
        <v/>
      </c>
      <c r="Q1578" s="121" t="str">
        <v xml:space="preserve"> 1. </v>
      </c>
      <c r="R1578" s="121" t="str">
        <v>Define and agree the name under which B2C Co will trade, with input from Shoprite (Directors, Marketing and Legal).</v>
      </c>
      <c r="S1578" s="121" t="str">
        <v/>
      </c>
      <c r="T1578" s="119" t="str">
        <f>IF($C1578&lt;4,IF($C1578=3,T1579,IF($C1578=2,T$1,"")),Q1578&amp;R1578&amp;IF(LEN(S1578)=0,"",Preferences!$C$2&amp;S1578)&amp;IF(J1579=J1578,IF(LEN(R1578&amp;S1578)=0,"","
")&amp;T1579,""))</f>
        <v xml:space="preserve"> 1. Define and agree the name under which B2C Co will trade, with input from Shoprite (Directors, Marketing and Legal).
 2. Identify, agree and appoint the directors of B2C Co under direction from Shoprite (Directors and Legal).
 3. Register B2C Co as a business entity in South Africa with the Companies and Intellectual Property Commission (CIPC).
 4. Register the B2C Co as business with SARS for Tax and VAT purposes.</v>
      </c>
      <c r="U1578" s="122" t="str">
        <v/>
      </c>
      <c r="V1578" s="42"/>
      <c r="W1578" s="42"/>
      <c r="X1578" s="42"/>
      <c r="Y1578" s="42"/>
      <c r="Z1578" s="42"/>
      <c r="AA1578" s="42"/>
      <c r="AB1578" s="42"/>
    </row>
    <row r="1579" spans="1:28" x14ac:dyDescent="0.25">
      <c r="A1579" s="42" t="str">
        <v>1.28.1.2</v>
      </c>
      <c r="B1579" s="121" t="str">
        <v>Identify, agree and appoint the directors of B2C Co under direction from Shoprite (Directors and Legal).</v>
      </c>
      <c r="C1579" s="41">
        <v>4</v>
      </c>
      <c r="D1579" s="41" t="str">
        <v>RD</v>
      </c>
      <c r="E1579" s="117" t="str">
        <f t="shared" si="0"/>
        <v>RD</v>
      </c>
      <c r="F1579" s="41" t="str">
        <v/>
      </c>
      <c r="G1579" s="41" t="str">
        <v/>
      </c>
      <c r="H1579" s="117">
        <f t="shared" si="1"/>
        <v>0</v>
      </c>
      <c r="I1579" s="117">
        <f t="shared" si="2"/>
        <v>28</v>
      </c>
      <c r="J1579" s="117">
        <f t="shared" si="3"/>
        <v>28.01</v>
      </c>
      <c r="K1579" s="117" t="str">
        <f t="shared" si="4"/>
        <v>BR</v>
      </c>
      <c r="L1579" s="42" t="str">
        <v>BR2801</v>
      </c>
      <c r="M1579" s="121" t="str">
        <v/>
      </c>
      <c r="N1579" s="121" t="str">
        <v/>
      </c>
      <c r="O1579" s="121" t="str">
        <v/>
      </c>
      <c r="P1579" s="121" t="str">
        <v/>
      </c>
      <c r="Q1579" s="121" t="str">
        <v xml:space="preserve"> 2. </v>
      </c>
      <c r="R1579" s="121" t="str">
        <v>Identify, agree and appoint the directors of B2C Co under direction from Shoprite (Directors and Legal).</v>
      </c>
      <c r="S1579" s="121" t="str">
        <v/>
      </c>
      <c r="T1579" s="119" t="str">
        <f>IF($C1579&lt;4,IF($C1579=3,T1580,IF($C1579=2,T$1,"")),Q1579&amp;R1579&amp;IF(LEN(S1579)=0,"",Preferences!$C$2&amp;S1579)&amp;IF(J1580=J1579,IF(LEN(R1579&amp;S1579)=0,"","
")&amp;T1580,""))</f>
        <v xml:space="preserve"> 2. Identify, agree and appoint the directors of B2C Co under direction from Shoprite (Directors and Legal).
 3. Register B2C Co as a business entity in South Africa with the Companies and Intellectual Property Commission (CIPC).
 4. Register the B2C Co as business with SARS for Tax and VAT purposes.</v>
      </c>
      <c r="U1579" s="122" t="str">
        <v/>
      </c>
      <c r="V1579" s="42"/>
      <c r="W1579" s="42"/>
      <c r="X1579" s="42"/>
      <c r="Y1579" s="42"/>
      <c r="Z1579" s="42"/>
      <c r="AA1579" s="42"/>
      <c r="AB1579" s="42"/>
    </row>
    <row r="1580" spans="1:28" x14ac:dyDescent="0.25">
      <c r="A1580" s="42" t="str">
        <v>1.28.1.3</v>
      </c>
      <c r="B1580" s="121" t="str">
        <v>Register B2C Co as a business entity in South Africa with the Companies and Intellectual Property Commission (CIPC).</v>
      </c>
      <c r="C1580" s="41">
        <v>4</v>
      </c>
      <c r="D1580" s="41" t="str">
        <v>RD</v>
      </c>
      <c r="E1580" s="117" t="str">
        <f t="shared" si="0"/>
        <v>RD</v>
      </c>
      <c r="F1580" s="41" t="str">
        <v/>
      </c>
      <c r="G1580" s="41" t="str">
        <v/>
      </c>
      <c r="H1580" s="117">
        <f t="shared" si="1"/>
        <v>0</v>
      </c>
      <c r="I1580" s="117">
        <f t="shared" si="2"/>
        <v>28</v>
      </c>
      <c r="J1580" s="117">
        <f t="shared" si="3"/>
        <v>28.01</v>
      </c>
      <c r="K1580" s="117" t="str">
        <f t="shared" si="4"/>
        <v>BR</v>
      </c>
      <c r="L1580" s="42" t="str">
        <v>BR2801</v>
      </c>
      <c r="M1580" s="121" t="str">
        <v/>
      </c>
      <c r="N1580" s="121" t="str">
        <v/>
      </c>
      <c r="O1580" s="121" t="str">
        <v/>
      </c>
      <c r="P1580" s="121" t="str">
        <v/>
      </c>
      <c r="Q1580" s="121" t="str">
        <v xml:space="preserve"> 3. </v>
      </c>
      <c r="R1580" s="121" t="str">
        <v>Register B2C Co as a business entity in South Africa with the Companies and Intellectual Property Commission (CIPC).</v>
      </c>
      <c r="S1580" s="121" t="str">
        <v/>
      </c>
      <c r="T1580" s="119" t="str">
        <f>IF($C1580&lt;4,IF($C1580=3,T1581,IF($C1580=2,T$1,"")),Q1580&amp;R1580&amp;IF(LEN(S1580)=0,"",Preferences!$C$2&amp;S1580)&amp;IF(J1581=J1580,IF(LEN(R1580&amp;S1580)=0,"","
")&amp;T1581,""))</f>
        <v xml:space="preserve"> 3. Register B2C Co as a business entity in South Africa with the Companies and Intellectual Property Commission (CIPC).
 4. Register the B2C Co as business with SARS for Tax and VAT purposes.</v>
      </c>
      <c r="U1580" s="122" t="str">
        <v/>
      </c>
      <c r="V1580" s="42"/>
      <c r="W1580" s="42"/>
      <c r="X1580" s="42"/>
      <c r="Y1580" s="42"/>
      <c r="Z1580" s="42"/>
      <c r="AA1580" s="42"/>
      <c r="AB1580" s="42"/>
    </row>
    <row r="1581" spans="1:28" x14ac:dyDescent="0.25">
      <c r="A1581" s="42" t="str">
        <v>1.28.1.4</v>
      </c>
      <c r="B1581" s="121" t="str">
        <v>Register the B2C Co as business with SARS for Tax and VAT purposes.</v>
      </c>
      <c r="C1581" s="41">
        <v>4</v>
      </c>
      <c r="D1581" s="41" t="str">
        <v>RD</v>
      </c>
      <c r="E1581" s="117" t="str">
        <f t="shared" si="0"/>
        <v>RD</v>
      </c>
      <c r="F1581" s="41" t="str">
        <v/>
      </c>
      <c r="G1581" s="41" t="str">
        <v/>
      </c>
      <c r="H1581" s="117">
        <f t="shared" si="1"/>
        <v>0</v>
      </c>
      <c r="I1581" s="117">
        <f t="shared" si="2"/>
        <v>28</v>
      </c>
      <c r="J1581" s="117">
        <f t="shared" si="3"/>
        <v>28.01</v>
      </c>
      <c r="K1581" s="117" t="str">
        <f t="shared" si="4"/>
        <v>BR</v>
      </c>
      <c r="L1581" s="42" t="str">
        <v>BR2801</v>
      </c>
      <c r="M1581" s="121" t="str">
        <v/>
      </c>
      <c r="N1581" s="121" t="str">
        <v/>
      </c>
      <c r="O1581" s="121" t="str">
        <v/>
      </c>
      <c r="P1581" s="121" t="str">
        <v/>
      </c>
      <c r="Q1581" s="121" t="str">
        <v xml:space="preserve"> 4. </v>
      </c>
      <c r="R1581" s="121" t="str">
        <v>Register the B2C Co as business with SARS for Tax and VAT purposes.</v>
      </c>
      <c r="S1581" s="121" t="str">
        <v/>
      </c>
      <c r="T1581" s="119" t="str">
        <f>IF($C1581&lt;4,IF($C1581=3,T1582,IF($C1581=2,T$1,"")),Q1581&amp;R1581&amp;IF(LEN(S1581)=0,"",Preferences!$C$2&amp;S1581)&amp;IF(J1582=J1581,IF(LEN(R1581&amp;S1581)=0,"","
")&amp;T1582,""))</f>
        <v xml:space="preserve"> 4. Register the B2C Co as business with SARS for Tax and VAT purposes.</v>
      </c>
      <c r="U1581" s="122" t="str">
        <v/>
      </c>
      <c r="V1581" s="42"/>
      <c r="W1581" s="42"/>
      <c r="X1581" s="42"/>
      <c r="Y1581" s="42"/>
      <c r="Z1581" s="42"/>
      <c r="AA1581" s="42"/>
      <c r="AB1581" s="42"/>
    </row>
    <row r="1582" spans="1:28" x14ac:dyDescent="0.25">
      <c r="A1582" s="42" t="str">
        <v>1.28.2</v>
      </c>
      <c r="B1582" s="121" t="str">
        <v>28.2 Register the B2C legal entity with a trading bank account</v>
      </c>
      <c r="C1582" s="41">
        <v>3</v>
      </c>
      <c r="D1582" s="41" t="str">
        <v>R</v>
      </c>
      <c r="E1582" s="117" t="str">
        <f t="shared" si="0"/>
        <v>R</v>
      </c>
      <c r="F1582" s="41" t="str">
        <v/>
      </c>
      <c r="G1582" s="41" t="str">
        <v/>
      </c>
      <c r="H1582" s="117">
        <f t="shared" si="1"/>
        <v>0</v>
      </c>
      <c r="I1582" s="117">
        <f t="shared" si="2"/>
        <v>28</v>
      </c>
      <c r="J1582" s="117">
        <f t="shared" si="3"/>
        <v>28.020000000000003</v>
      </c>
      <c r="K1582" s="117" t="str">
        <f t="shared" si="4"/>
        <v>BR</v>
      </c>
      <c r="L1582" s="42" t="str">
        <v>BR2802</v>
      </c>
      <c r="M1582" s="121" t="str">
        <v/>
      </c>
      <c r="N1582" s="121" t="str">
        <v/>
      </c>
      <c r="O1582" s="121" t="str">
        <v>BR2802</v>
      </c>
      <c r="P1582" s="121" t="str">
        <v>Register the B2C legal entity with a trading bank account</v>
      </c>
      <c r="Q1582" s="121" t="str">
        <v/>
      </c>
      <c r="R1582" s="121" t="str">
        <v/>
      </c>
      <c r="S1582" s="121" t="str">
        <v/>
      </c>
      <c r="T1582" s="119" t="str">
        <f>IF($C1582&lt;4,IF($C1582=3,T1583,IF($C1582=2,T$1,"")),Q1582&amp;R1582&amp;IF(LEN(S1582)=0,"",Preferences!$C$2&amp;S1582)&amp;IF(J1583=J1582,IF(LEN(R1582&amp;S1582)=0,"","
")&amp;T1583,""))</f>
        <v xml:space="preserve"> 1. Register an online trading retail business account for B2C Co.</v>
      </c>
      <c r="U1582" s="122" t="str">
        <v/>
      </c>
      <c r="V1582" s="42"/>
      <c r="W1582" s="42"/>
      <c r="X1582" s="42"/>
      <c r="Y1582" s="42"/>
      <c r="Z1582" s="42"/>
      <c r="AA1582" s="42"/>
      <c r="AB1582" s="42"/>
    </row>
    <row r="1583" spans="1:28" x14ac:dyDescent="0.25">
      <c r="A1583" s="42" t="str">
        <v>1.28.2.1</v>
      </c>
      <c r="B1583" s="121" t="str">
        <v>Register an online trading retail business account for B2C Co.</v>
      </c>
      <c r="C1583" s="41">
        <v>4</v>
      </c>
      <c r="D1583" s="41" t="str">
        <v>RD</v>
      </c>
      <c r="E1583" s="117" t="str">
        <f t="shared" si="0"/>
        <v>RD</v>
      </c>
      <c r="F1583" s="41" t="str">
        <v/>
      </c>
      <c r="G1583" s="41" t="str">
        <v/>
      </c>
      <c r="H1583" s="117">
        <f t="shared" si="1"/>
        <v>0</v>
      </c>
      <c r="I1583" s="117">
        <f t="shared" si="2"/>
        <v>28</v>
      </c>
      <c r="J1583" s="117">
        <f t="shared" si="3"/>
        <v>28.020000000000003</v>
      </c>
      <c r="K1583" s="117" t="str">
        <f t="shared" si="4"/>
        <v>BR</v>
      </c>
      <c r="L1583" s="42" t="str">
        <v>BR2802</v>
      </c>
      <c r="M1583" s="121" t="str">
        <v/>
      </c>
      <c r="N1583" s="121" t="str">
        <v/>
      </c>
      <c r="O1583" s="121" t="str">
        <v/>
      </c>
      <c r="P1583" s="121" t="str">
        <v/>
      </c>
      <c r="Q1583" s="121" t="str">
        <v xml:space="preserve"> 1. </v>
      </c>
      <c r="R1583" s="121" t="str">
        <v>Register an online trading retail business account for B2C Co.</v>
      </c>
      <c r="S1583" s="121" t="str">
        <v/>
      </c>
      <c r="T1583" s="119" t="str">
        <f>IF($C1583&lt;4,IF($C1583=3,T1584,IF($C1583=2,T$1,"")),Q1583&amp;R1583&amp;IF(LEN(S1583)=0,"",Preferences!$C$2&amp;S1583)&amp;IF(J1584=J1583,IF(LEN(R1583&amp;S1583)=0,"","
")&amp;T1584,""))</f>
        <v xml:space="preserve"> 1. Register an online trading retail business account for B2C Co.</v>
      </c>
      <c r="U1583" s="122" t="str">
        <v/>
      </c>
      <c r="V1583" s="42"/>
      <c r="W1583" s="42"/>
      <c r="X1583" s="42"/>
      <c r="Y1583" s="42"/>
      <c r="Z1583" s="42"/>
      <c r="AA1583" s="42"/>
      <c r="AB1583" s="42"/>
    </row>
    <row r="1584" spans="1:28" x14ac:dyDescent="0.25">
      <c r="A1584" s="42" t="str">
        <v>1.28.3</v>
      </c>
      <c r="B1584" s="121" t="str">
        <v>28.3 Configure B2C Co as company in the Shoprite financial systems</v>
      </c>
      <c r="C1584" s="41">
        <v>3</v>
      </c>
      <c r="D1584" s="41" t="str">
        <v>R</v>
      </c>
      <c r="E1584" s="117" t="str">
        <f t="shared" si="0"/>
        <v>R</v>
      </c>
      <c r="F1584" s="41" t="str">
        <v/>
      </c>
      <c r="G1584" s="41" t="str">
        <v/>
      </c>
      <c r="H1584" s="117">
        <f t="shared" si="1"/>
        <v>0</v>
      </c>
      <c r="I1584" s="117">
        <f t="shared" si="2"/>
        <v>28</v>
      </c>
      <c r="J1584" s="117">
        <f t="shared" si="3"/>
        <v>28.030000000000005</v>
      </c>
      <c r="K1584" s="117" t="str">
        <f t="shared" si="4"/>
        <v>BR</v>
      </c>
      <c r="L1584" s="42" t="str">
        <v>BR2803</v>
      </c>
      <c r="M1584" s="121" t="str">
        <v/>
      </c>
      <c r="N1584" s="121" t="str">
        <v/>
      </c>
      <c r="O1584" s="121" t="str">
        <v>BR2803</v>
      </c>
      <c r="P1584" s="121" t="str">
        <v>Configure B2C Co as company in the Shoprite financial systems</v>
      </c>
      <c r="Q1584" s="121" t="str">
        <v/>
      </c>
      <c r="R1584" s="121" t="str">
        <v/>
      </c>
      <c r="S1584" s="121" t="str">
        <v/>
      </c>
      <c r="T1584" s="119" t="str">
        <f>IF($C1584&lt;4,IF($C1584=3,T1585,IF($C1584=2,T$1,"")),Q1584&amp;R1584&amp;IF(LEN(S1584)=0,"",Preferences!$C$2&amp;S1584)&amp;IF(J1585=J1584,IF(LEN(R1584&amp;S1584)=0,"","
")&amp;T1585,""))</f>
        <v xml:space="preserve"> 1. Configure B2C co as new business in the Shoprite Finance (SAP Finance) system, with the company and tax registration details.
 2. Configure the B2C trading chart of account in the Shoprite financial systems.
 3. Assign access to manage the B2C Co chart of accounts to the Shoprite Pharmacy divisional financial manager and their financial administrators - initially from the Transpharm finance office.
 4. Configure the B2C Co banking in the Shoprite financial system.
 5. Configure the B2C Co for tax in the Shoprite financial system.</v>
      </c>
      <c r="U1584" s="122" t="str">
        <v/>
      </c>
      <c r="V1584" s="42"/>
      <c r="W1584" s="42"/>
      <c r="X1584" s="42"/>
      <c r="Y1584" s="42"/>
      <c r="Z1584" s="42"/>
      <c r="AA1584" s="42"/>
      <c r="AB1584" s="42"/>
    </row>
    <row r="1585" spans="1:28" x14ac:dyDescent="0.25">
      <c r="A1585" s="42" t="str">
        <v>1.28.3.1</v>
      </c>
      <c r="B1585" s="121" t="str">
        <v>Configure B2C co as new business in the Shoprite Finance (SAP Finance) system, with the company and tax registration details.</v>
      </c>
      <c r="C1585" s="41">
        <v>4</v>
      </c>
      <c r="D1585" s="41" t="str">
        <v>RD</v>
      </c>
      <c r="E1585" s="117" t="str">
        <f t="shared" si="0"/>
        <v>RD</v>
      </c>
      <c r="F1585" s="41" t="str">
        <v/>
      </c>
      <c r="G1585" s="41" t="str">
        <v/>
      </c>
      <c r="H1585" s="117">
        <f t="shared" si="1"/>
        <v>0</v>
      </c>
      <c r="I1585" s="117">
        <f t="shared" si="2"/>
        <v>28</v>
      </c>
      <c r="J1585" s="117">
        <f t="shared" si="3"/>
        <v>28.030000000000005</v>
      </c>
      <c r="K1585" s="117" t="str">
        <f t="shared" si="4"/>
        <v>BR</v>
      </c>
      <c r="L1585" s="42" t="str">
        <v>BR2803</v>
      </c>
      <c r="M1585" s="121" t="str">
        <v/>
      </c>
      <c r="N1585" s="121" t="str">
        <v/>
      </c>
      <c r="O1585" s="121" t="str">
        <v/>
      </c>
      <c r="P1585" s="121" t="str">
        <v/>
      </c>
      <c r="Q1585" s="121" t="str">
        <v xml:space="preserve"> 1. </v>
      </c>
      <c r="R1585" s="121" t="str">
        <v>Configure B2C co as new business in the Shoprite Finance (SAP Finance) system, with the company and tax registration details.</v>
      </c>
      <c r="S1585" s="121" t="str">
        <v/>
      </c>
      <c r="T1585" s="119" t="str">
        <f>IF($C1585&lt;4,IF($C1585=3,T1586,IF($C1585=2,T$1,"")),Q1585&amp;R1585&amp;IF(LEN(S1585)=0,"",Preferences!$C$2&amp;S1585)&amp;IF(J1586=J1585,IF(LEN(R1585&amp;S1585)=0,"","
")&amp;T1586,""))</f>
        <v xml:space="preserve"> 1. Configure B2C co as new business in the Shoprite Finance (SAP Finance) system, with the company and tax registration details.
 2. Configure the B2C trading chart of account in the Shoprite financial systems.
 3. Assign access to manage the B2C Co chart of accounts to the Shoprite Pharmacy divisional financial manager and their financial administrators - initially from the Transpharm finance office.
 4. Configure the B2C Co banking in the Shoprite financial system.
 5. Configure the B2C Co for tax in the Shoprite financial system.</v>
      </c>
      <c r="U1585" s="122" t="str">
        <v/>
      </c>
      <c r="V1585" s="42"/>
      <c r="W1585" s="42"/>
      <c r="X1585" s="42"/>
      <c r="Y1585" s="42"/>
      <c r="Z1585" s="42"/>
      <c r="AA1585" s="42"/>
      <c r="AB1585" s="42"/>
    </row>
    <row r="1586" spans="1:28" x14ac:dyDescent="0.25">
      <c r="A1586" s="42" t="str">
        <v>1.28.3.2</v>
      </c>
      <c r="B1586" s="121" t="str">
        <v>Configure the B2C trading chart of account in the Shoprite financial systems.</v>
      </c>
      <c r="C1586" s="41">
        <v>4</v>
      </c>
      <c r="D1586" s="41" t="str">
        <v>RD</v>
      </c>
      <c r="E1586" s="117" t="str">
        <f t="shared" si="0"/>
        <v>RD</v>
      </c>
      <c r="F1586" s="41" t="str">
        <v/>
      </c>
      <c r="G1586" s="41" t="str">
        <v/>
      </c>
      <c r="H1586" s="117">
        <f t="shared" si="1"/>
        <v>0</v>
      </c>
      <c r="I1586" s="117">
        <f t="shared" si="2"/>
        <v>28</v>
      </c>
      <c r="J1586" s="117">
        <f t="shared" si="3"/>
        <v>28.030000000000005</v>
      </c>
      <c r="K1586" s="117" t="str">
        <f t="shared" si="4"/>
        <v>BR</v>
      </c>
      <c r="L1586" s="42" t="str">
        <v>BR2803</v>
      </c>
      <c r="M1586" s="121" t="str">
        <v/>
      </c>
      <c r="N1586" s="121" t="str">
        <v/>
      </c>
      <c r="O1586" s="121" t="str">
        <v/>
      </c>
      <c r="P1586" s="121" t="str">
        <v/>
      </c>
      <c r="Q1586" s="121" t="str">
        <v xml:space="preserve"> 2. </v>
      </c>
      <c r="R1586" s="121" t="str">
        <v>Configure the B2C trading chart of account in the Shoprite financial systems.</v>
      </c>
      <c r="S1586" s="121" t="str">
        <v/>
      </c>
      <c r="T1586" s="119" t="str">
        <f>IF($C1586&lt;4,IF($C1586=3,T1587,IF($C1586=2,T$1,"")),Q1586&amp;R1586&amp;IF(LEN(S1586)=0,"",Preferences!$C$2&amp;S1586)&amp;IF(J1587=J1586,IF(LEN(R1586&amp;S1586)=0,"","
")&amp;T1587,""))</f>
        <v xml:space="preserve"> 2. Configure the B2C trading chart of account in the Shoprite financial systems.
 3. Assign access to manage the B2C Co chart of accounts to the Shoprite Pharmacy divisional financial manager and their financial administrators - initially from the Transpharm finance office.
 4. Configure the B2C Co banking in the Shoprite financial system.
 5. Configure the B2C Co for tax in the Shoprite financial system.</v>
      </c>
      <c r="U1586" s="122" t="str">
        <v/>
      </c>
      <c r="V1586" s="42"/>
      <c r="W1586" s="42"/>
      <c r="X1586" s="42"/>
      <c r="Y1586" s="42"/>
      <c r="Z1586" s="42"/>
      <c r="AA1586" s="42"/>
      <c r="AB1586" s="42"/>
    </row>
    <row r="1587" spans="1:28" x14ac:dyDescent="0.25">
      <c r="A1587" s="42" t="str">
        <v>1.28.3.3</v>
      </c>
      <c r="B1587" s="121" t="str">
        <v>Assign access to manage the B2C Co chart of accounts to the Shoprite Pharmacy divisional financial manager and their financial administrators - initially from the Transpharm finance office.</v>
      </c>
      <c r="C1587" s="41">
        <v>4</v>
      </c>
      <c r="D1587" s="41" t="str">
        <v>RD</v>
      </c>
      <c r="E1587" s="117" t="str">
        <f t="shared" si="0"/>
        <v>RD</v>
      </c>
      <c r="F1587" s="41" t="str">
        <v/>
      </c>
      <c r="G1587" s="41" t="str">
        <v/>
      </c>
      <c r="H1587" s="117">
        <f t="shared" si="1"/>
        <v>0</v>
      </c>
      <c r="I1587" s="117">
        <f t="shared" si="2"/>
        <v>28</v>
      </c>
      <c r="J1587" s="117">
        <f t="shared" si="3"/>
        <v>28.030000000000005</v>
      </c>
      <c r="K1587" s="117" t="str">
        <f t="shared" si="4"/>
        <v>BR</v>
      </c>
      <c r="L1587" s="42" t="str">
        <v>BR2803</v>
      </c>
      <c r="M1587" s="121" t="str">
        <v/>
      </c>
      <c r="N1587" s="121" t="str">
        <v/>
      </c>
      <c r="O1587" s="121" t="str">
        <v/>
      </c>
      <c r="P1587" s="121" t="str">
        <v/>
      </c>
      <c r="Q1587" s="121" t="str">
        <v xml:space="preserve"> 3. </v>
      </c>
      <c r="R1587" s="121" t="str">
        <v>Assign access to manage the B2C Co chart of accounts to the Shoprite Pharmacy divisional financial manager and their financial administrators - initially from the Transpharm finance office.</v>
      </c>
      <c r="S1587" s="121" t="str">
        <v/>
      </c>
      <c r="T1587" s="119" t="str">
        <f>IF($C1587&lt;4,IF($C1587=3,T1588,IF($C1587=2,T$1,"")),Q1587&amp;R1587&amp;IF(LEN(S1587)=0,"",Preferences!$C$2&amp;S1587)&amp;IF(J1588=J1587,IF(LEN(R1587&amp;S1587)=0,"","
")&amp;T1588,""))</f>
        <v xml:space="preserve"> 3. Assign access to manage the B2C Co chart of accounts to the Shoprite Pharmacy divisional financial manager and their financial administrators - initially from the Transpharm finance office.
 4. Configure the B2C Co banking in the Shoprite financial system.
 5. Configure the B2C Co for tax in the Shoprite financial system.</v>
      </c>
      <c r="U1587" s="122" t="str">
        <v/>
      </c>
      <c r="V1587" s="42"/>
      <c r="W1587" s="42"/>
      <c r="X1587" s="42"/>
      <c r="Y1587" s="42"/>
      <c r="Z1587" s="42"/>
      <c r="AA1587" s="42"/>
      <c r="AB1587" s="42"/>
    </row>
    <row r="1588" spans="1:28" x14ac:dyDescent="0.25">
      <c r="A1588" s="42" t="str">
        <v>1.28.3.4</v>
      </c>
      <c r="B1588" s="121" t="str">
        <v>Configure the B2C Co banking in the Shoprite financial system.</v>
      </c>
      <c r="C1588" s="41">
        <v>4</v>
      </c>
      <c r="D1588" s="41" t="str">
        <v>RD</v>
      </c>
      <c r="E1588" s="117" t="str">
        <f t="shared" si="0"/>
        <v>RD</v>
      </c>
      <c r="F1588" s="41" t="str">
        <v/>
      </c>
      <c r="G1588" s="41" t="str">
        <v/>
      </c>
      <c r="H1588" s="117">
        <f t="shared" si="1"/>
        <v>0</v>
      </c>
      <c r="I1588" s="117">
        <f t="shared" si="2"/>
        <v>28</v>
      </c>
      <c r="J1588" s="117">
        <f t="shared" si="3"/>
        <v>28.030000000000005</v>
      </c>
      <c r="K1588" s="117" t="str">
        <f t="shared" si="4"/>
        <v>BR</v>
      </c>
      <c r="L1588" s="42" t="str">
        <v>BR2803</v>
      </c>
      <c r="M1588" s="121" t="str">
        <v/>
      </c>
      <c r="N1588" s="121" t="str">
        <v/>
      </c>
      <c r="O1588" s="121" t="str">
        <v/>
      </c>
      <c r="P1588" s="121" t="str">
        <v/>
      </c>
      <c r="Q1588" s="121" t="str">
        <v xml:space="preserve"> 4. </v>
      </c>
      <c r="R1588" s="121" t="str">
        <v>Configure the B2C Co banking in the Shoprite financial system.</v>
      </c>
      <c r="S1588" s="121" t="str">
        <v/>
      </c>
      <c r="T1588" s="119" t="str">
        <f>IF($C1588&lt;4,IF($C1588=3,T1589,IF($C1588=2,T$1,"")),Q1588&amp;R1588&amp;IF(LEN(S1588)=0,"",Preferences!$C$2&amp;S1588)&amp;IF(J1589=J1588,IF(LEN(R1588&amp;S1588)=0,"","
")&amp;T1589,""))</f>
        <v xml:space="preserve"> 4. Configure the B2C Co banking in the Shoprite financial system.
 5. Configure the B2C Co for tax in the Shoprite financial system.</v>
      </c>
      <c r="U1588" s="122" t="str">
        <v/>
      </c>
      <c r="V1588" s="42"/>
      <c r="W1588" s="42"/>
      <c r="X1588" s="42"/>
      <c r="Y1588" s="42"/>
      <c r="Z1588" s="42"/>
      <c r="AA1588" s="42"/>
      <c r="AB1588" s="42"/>
    </row>
    <row r="1589" spans="1:28" x14ac:dyDescent="0.25">
      <c r="A1589" s="42" t="str">
        <v>1.28.3.5</v>
      </c>
      <c r="B1589" s="121" t="str">
        <v>Configure the B2C Co for tax in the Shoprite financial system.</v>
      </c>
      <c r="C1589" s="41">
        <v>4</v>
      </c>
      <c r="D1589" s="41" t="str">
        <v>RD</v>
      </c>
      <c r="E1589" s="117" t="str">
        <f t="shared" si="0"/>
        <v>RD</v>
      </c>
      <c r="F1589" s="41" t="str">
        <v/>
      </c>
      <c r="G1589" s="41" t="str">
        <v/>
      </c>
      <c r="H1589" s="117">
        <f t="shared" si="1"/>
        <v>0</v>
      </c>
      <c r="I1589" s="117">
        <f t="shared" si="2"/>
        <v>28</v>
      </c>
      <c r="J1589" s="117">
        <f t="shared" si="3"/>
        <v>28.030000000000005</v>
      </c>
      <c r="K1589" s="117" t="str">
        <f t="shared" si="4"/>
        <v>BR</v>
      </c>
      <c r="L1589" s="42" t="str">
        <v>BR2803</v>
      </c>
      <c r="M1589" s="121" t="str">
        <v/>
      </c>
      <c r="N1589" s="121" t="str">
        <v/>
      </c>
      <c r="O1589" s="121" t="str">
        <v/>
      </c>
      <c r="P1589" s="121" t="str">
        <v/>
      </c>
      <c r="Q1589" s="121" t="str">
        <v xml:space="preserve"> 5. </v>
      </c>
      <c r="R1589" s="121" t="str">
        <v>Configure the B2C Co for tax in the Shoprite financial system.</v>
      </c>
      <c r="S1589" s="121" t="str">
        <v/>
      </c>
      <c r="T1589" s="119" t="str">
        <f>IF($C1589&lt;4,IF($C1589=3,T1590,IF($C1589=2,T$1,"")),Q1589&amp;R1589&amp;IF(LEN(S1589)=0,"",Preferences!$C$2&amp;S1589)&amp;IF(J1590=J1589,IF(LEN(R1589&amp;S1589)=0,"","
")&amp;T1590,""))</f>
        <v xml:space="preserve"> 5. Configure the B2C Co for tax in the Shoprite financial system.</v>
      </c>
      <c r="U1589" s="122" t="str">
        <v/>
      </c>
      <c r="V1589" s="42"/>
      <c r="W1589" s="42"/>
      <c r="X1589" s="42"/>
      <c r="Y1589" s="42"/>
      <c r="Z1589" s="42"/>
      <c r="AA1589" s="42"/>
      <c r="AB1589" s="42"/>
    </row>
    <row r="1590" spans="1:28" x14ac:dyDescent="0.25">
      <c r="A1590" s="42" t="str">
        <v>1.28.4</v>
      </c>
      <c r="B1590" s="121" t="str">
        <v>28.4 Configure B2C Co as company for trading in the Shoprite retail system</v>
      </c>
      <c r="C1590" s="41">
        <v>3</v>
      </c>
      <c r="D1590" s="41" t="str">
        <v>R</v>
      </c>
      <c r="E1590" s="117" t="str">
        <f t="shared" si="0"/>
        <v>R</v>
      </c>
      <c r="F1590" s="41" t="str">
        <v/>
      </c>
      <c r="G1590" s="41" t="str">
        <v/>
      </c>
      <c r="H1590" s="117">
        <f t="shared" si="1"/>
        <v>0</v>
      </c>
      <c r="I1590" s="117">
        <f t="shared" si="2"/>
        <v>28</v>
      </c>
      <c r="J1590" s="117">
        <f t="shared" si="3"/>
        <v>28.040000000000006</v>
      </c>
      <c r="K1590" s="117" t="str">
        <f t="shared" si="4"/>
        <v>BR</v>
      </c>
      <c r="L1590" s="42" t="str">
        <v>BR2804</v>
      </c>
      <c r="M1590" s="121" t="str">
        <v/>
      </c>
      <c r="N1590" s="121" t="str">
        <v/>
      </c>
      <c r="O1590" s="121" t="str">
        <v>BR2804</v>
      </c>
      <c r="P1590" s="121" t="str">
        <v>Configure B2C Co as company for trading in the Shoprite retail system</v>
      </c>
      <c r="Q1590" s="121" t="str">
        <v/>
      </c>
      <c r="R1590" s="121" t="str">
        <v/>
      </c>
      <c r="S1590" s="121" t="str">
        <v/>
      </c>
      <c r="T1590" s="119" t="str">
        <f>IF($C1590&lt;4,IF($C1590=3,T1591,IF($C1590=2,T$1,"")),Q1590&amp;R1590&amp;IF(LEN(S1590)=0,"",Preferences!$C$2&amp;S1590)&amp;IF(J1591=J1590,IF(LEN(R1590&amp;S1590)=0,"","
")&amp;T1591,""))</f>
        <v xml:space="preserve"> 1. Configure B2C Co in the Shoprite retail system for trading against the configured chart of accounts in the Shoprite financial system.
 2. Configure the B2C Co online site for trading in the Shoprite retail and any related systems.
 3. The B2C Co will not keep trading stock, as all orders will be fulfilled directly by its suppliers.
 4. Provide the designated buyer access to the B2C Co range and pricing in the Shoprite retail system.
 5. Also see the following sections:
	• Product Classification Structures
	• Product and Service Suppliers
	• Product and Service Catalogue
	• Product Pricing</v>
      </c>
      <c r="U1590" s="122" t="str">
        <v/>
      </c>
      <c r="V1590" s="42"/>
      <c r="W1590" s="42"/>
      <c r="X1590" s="42"/>
      <c r="Y1590" s="42"/>
      <c r="Z1590" s="42"/>
      <c r="AA1590" s="42"/>
      <c r="AB1590" s="42"/>
    </row>
    <row r="1591" spans="1:28" x14ac:dyDescent="0.25">
      <c r="A1591" s="42" t="str">
        <v>1.28.4.1</v>
      </c>
      <c r="B1591" s="121" t="str">
        <v>Configure B2C Co in the Shoprite retail system for trading against the configured chart of accounts in the Shoprite financial system.</v>
      </c>
      <c r="C1591" s="41">
        <v>4</v>
      </c>
      <c r="D1591" s="41" t="str">
        <v>RD</v>
      </c>
      <c r="E1591" s="117" t="str">
        <f t="shared" si="0"/>
        <v>RD</v>
      </c>
      <c r="F1591" s="41" t="str">
        <v/>
      </c>
      <c r="G1591" s="41" t="str">
        <v/>
      </c>
      <c r="H1591" s="117">
        <f t="shared" si="1"/>
        <v>0</v>
      </c>
      <c r="I1591" s="117">
        <f t="shared" si="2"/>
        <v>28</v>
      </c>
      <c r="J1591" s="117">
        <f t="shared" si="3"/>
        <v>28.040000000000006</v>
      </c>
      <c r="K1591" s="117" t="str">
        <f t="shared" si="4"/>
        <v>BR</v>
      </c>
      <c r="L1591" s="42" t="str">
        <v>BR2804</v>
      </c>
      <c r="M1591" s="121" t="str">
        <v/>
      </c>
      <c r="N1591" s="121" t="str">
        <v/>
      </c>
      <c r="O1591" s="121" t="str">
        <v/>
      </c>
      <c r="P1591" s="121" t="str">
        <v/>
      </c>
      <c r="Q1591" s="121" t="str">
        <v xml:space="preserve"> 1. </v>
      </c>
      <c r="R1591" s="121" t="str">
        <v>Configure B2C Co in the Shoprite retail system for trading against the configured chart of accounts in the Shoprite financial system.</v>
      </c>
      <c r="S1591" s="121" t="str">
        <v/>
      </c>
      <c r="T1591" s="119" t="str">
        <f>IF($C1591&lt;4,IF($C1591=3,T1592,IF($C1591=2,T$1,"")),Q1591&amp;R1591&amp;IF(LEN(S1591)=0,"",Preferences!$C$2&amp;S1591)&amp;IF(J1592=J1591,IF(LEN(R1591&amp;S1591)=0,"","
")&amp;T1592,""))</f>
        <v xml:space="preserve"> 1. Configure B2C Co in the Shoprite retail system for trading against the configured chart of accounts in the Shoprite financial system.
 2. Configure the B2C Co online site for trading in the Shoprite retail and any related systems.
 3. The B2C Co will not keep trading stock, as all orders will be fulfilled directly by its suppliers.
 4. Provide the designated buyer access to the B2C Co range and pricing in the Shoprite retail system.
 5. Also see the following sections:
	• Product Classification Structures
	• Product and Service Suppliers
	• Product and Service Catalogue
	• Product Pricing</v>
      </c>
      <c r="U1591" s="122" t="str">
        <v/>
      </c>
      <c r="V1591" s="42"/>
      <c r="W1591" s="42"/>
      <c r="X1591" s="42"/>
      <c r="Y1591" s="42"/>
      <c r="Z1591" s="42"/>
      <c r="AA1591" s="42"/>
      <c r="AB1591" s="42"/>
    </row>
    <row r="1592" spans="1:28" x14ac:dyDescent="0.25">
      <c r="A1592" s="42" t="str">
        <v>1.28.4.2</v>
      </c>
      <c r="B1592" s="121" t="str">
        <v>Configure the B2C Co online site for trading in the Shoprite retail and any related systems.</v>
      </c>
      <c r="C1592" s="41">
        <v>4</v>
      </c>
      <c r="D1592" s="41" t="str">
        <v>RD</v>
      </c>
      <c r="E1592" s="117" t="str">
        <f t="shared" si="0"/>
        <v>RD</v>
      </c>
      <c r="F1592" s="41" t="str">
        <v/>
      </c>
      <c r="G1592" s="41" t="str">
        <v/>
      </c>
      <c r="H1592" s="117">
        <f t="shared" si="1"/>
        <v>0</v>
      </c>
      <c r="I1592" s="117">
        <f t="shared" si="2"/>
        <v>28</v>
      </c>
      <c r="J1592" s="117">
        <f t="shared" si="3"/>
        <v>28.040000000000006</v>
      </c>
      <c r="K1592" s="117" t="str">
        <f t="shared" si="4"/>
        <v>BR</v>
      </c>
      <c r="L1592" s="42" t="str">
        <v>BR2804</v>
      </c>
      <c r="M1592" s="121" t="str">
        <v/>
      </c>
      <c r="N1592" s="121" t="str">
        <v/>
      </c>
      <c r="O1592" s="121" t="str">
        <v/>
      </c>
      <c r="P1592" s="121" t="str">
        <v/>
      </c>
      <c r="Q1592" s="121" t="str">
        <v xml:space="preserve"> 2. </v>
      </c>
      <c r="R1592" s="121" t="str">
        <v>Configure the B2C Co online site for trading in the Shoprite retail and any related systems.</v>
      </c>
      <c r="S1592" s="121" t="str">
        <v/>
      </c>
      <c r="T1592" s="119" t="str">
        <f>IF($C1592&lt;4,IF($C1592=3,T1593,IF($C1592=2,T$1,"")),Q1592&amp;R1592&amp;IF(LEN(S1592)=0,"",Preferences!$C$2&amp;S1592)&amp;IF(J1593=J1592,IF(LEN(R1592&amp;S1592)=0,"","
")&amp;T1593,""))</f>
        <v xml:space="preserve"> 2. Configure the B2C Co online site for trading in the Shoprite retail and any related systems.
 3. The B2C Co will not keep trading stock, as all orders will be fulfilled directly by its suppliers.
 4. Provide the designated buyer access to the B2C Co range and pricing in the Shoprite retail system.
 5. Also see the following sections:
	• Product Classification Structures
	• Product and Service Suppliers
	• Product and Service Catalogue
	• Product Pricing</v>
      </c>
      <c r="U1592" s="122" t="str">
        <v/>
      </c>
      <c r="V1592" s="42"/>
      <c r="W1592" s="42"/>
      <c r="X1592" s="42"/>
      <c r="Y1592" s="42"/>
      <c r="Z1592" s="42"/>
      <c r="AA1592" s="42"/>
      <c r="AB1592" s="42"/>
    </row>
    <row r="1593" spans="1:28" x14ac:dyDescent="0.25">
      <c r="A1593" s="42" t="str">
        <v>1.28.4.3</v>
      </c>
      <c r="B1593" s="121" t="str">
        <v>The B2C Co will not keep trading stock, as all orders will be fulfilled directly by its suppliers.</v>
      </c>
      <c r="C1593" s="41">
        <v>4</v>
      </c>
      <c r="D1593" s="41" t="str">
        <v>RD</v>
      </c>
      <c r="E1593" s="117" t="str">
        <f t="shared" si="0"/>
        <v>RD</v>
      </c>
      <c r="F1593" s="41" t="str">
        <v/>
      </c>
      <c r="G1593" s="41" t="str">
        <v/>
      </c>
      <c r="H1593" s="117">
        <f t="shared" si="1"/>
        <v>0</v>
      </c>
      <c r="I1593" s="117">
        <f t="shared" si="2"/>
        <v>28</v>
      </c>
      <c r="J1593" s="117">
        <f t="shared" si="3"/>
        <v>28.040000000000006</v>
      </c>
      <c r="K1593" s="117" t="str">
        <f t="shared" si="4"/>
        <v>BR</v>
      </c>
      <c r="L1593" s="42" t="str">
        <v>BR2804</v>
      </c>
      <c r="M1593" s="121" t="str">
        <v/>
      </c>
      <c r="N1593" s="121" t="str">
        <v/>
      </c>
      <c r="O1593" s="121" t="str">
        <v/>
      </c>
      <c r="P1593" s="121" t="str">
        <v/>
      </c>
      <c r="Q1593" s="121" t="str">
        <v xml:space="preserve"> 3. </v>
      </c>
      <c r="R1593" s="121" t="str">
        <v>The B2C Co will not keep trading stock, as all orders will be fulfilled directly by its suppliers.</v>
      </c>
      <c r="S1593" s="121" t="str">
        <v/>
      </c>
      <c r="T1593" s="119" t="str">
        <f>IF($C1593&lt;4,IF($C1593=3,T1594,IF($C1593=2,T$1,"")),Q1593&amp;R1593&amp;IF(LEN(S1593)=0,"",Preferences!$C$2&amp;S1593)&amp;IF(J1594=J1593,IF(LEN(R1593&amp;S1593)=0,"","
")&amp;T1594,""))</f>
        <v xml:space="preserve"> 3. The B2C Co will not keep trading stock, as all orders will be fulfilled directly by its suppliers.
 4. Provide the designated buyer access to the B2C Co range and pricing in the Shoprite retail system.
 5. Also see the following sections:
	• Product Classification Structures
	• Product and Service Suppliers
	• Product and Service Catalogue
	• Product Pricing</v>
      </c>
      <c r="U1593" s="122" t="str">
        <v/>
      </c>
      <c r="V1593" s="42"/>
      <c r="W1593" s="42"/>
      <c r="X1593" s="42"/>
      <c r="Y1593" s="42"/>
      <c r="Z1593" s="42"/>
      <c r="AA1593" s="42"/>
      <c r="AB1593" s="42"/>
    </row>
    <row r="1594" spans="1:28" x14ac:dyDescent="0.25">
      <c r="A1594" s="42" t="str">
        <v>1.28.4.4</v>
      </c>
      <c r="B1594" s="121" t="str">
        <v>Provide the designated buyer access to the B2C Co range and pricing in the Shoprite retail system.</v>
      </c>
      <c r="C1594" s="41">
        <v>4</v>
      </c>
      <c r="D1594" s="41" t="str">
        <v>RD</v>
      </c>
      <c r="E1594" s="117" t="str">
        <f t="shared" si="0"/>
        <v>RD</v>
      </c>
      <c r="F1594" s="41" t="str">
        <v/>
      </c>
      <c r="G1594" s="41" t="str">
        <v/>
      </c>
      <c r="H1594" s="117">
        <f t="shared" si="1"/>
        <v>0</v>
      </c>
      <c r="I1594" s="117">
        <f t="shared" si="2"/>
        <v>28</v>
      </c>
      <c r="J1594" s="117">
        <f t="shared" si="3"/>
        <v>28.040000000000006</v>
      </c>
      <c r="K1594" s="117" t="str">
        <f t="shared" si="4"/>
        <v>BR</v>
      </c>
      <c r="L1594" s="42" t="str">
        <v>BR2804</v>
      </c>
      <c r="M1594" s="121" t="str">
        <v/>
      </c>
      <c r="N1594" s="121" t="str">
        <v/>
      </c>
      <c r="O1594" s="121" t="str">
        <v/>
      </c>
      <c r="P1594" s="121" t="str">
        <v/>
      </c>
      <c r="Q1594" s="121" t="str">
        <v xml:space="preserve"> 4. </v>
      </c>
      <c r="R1594" s="121" t="str">
        <v>Provide the designated buyer access to the B2C Co range and pricing in the Shoprite retail system.</v>
      </c>
      <c r="S1594" s="121" t="str">
        <v/>
      </c>
      <c r="T1594" s="119" t="str">
        <f>IF($C1594&lt;4,IF($C1594=3,T1595,IF($C1594=2,T$1,"")),Q1594&amp;R1594&amp;IF(LEN(S1594)=0,"",Preferences!$C$2&amp;S1594)&amp;IF(J1595=J1594,IF(LEN(R1594&amp;S1594)=0,"","
")&amp;T1595,""))</f>
        <v xml:space="preserve"> 4. Provide the designated buyer access to the B2C Co range and pricing in the Shoprite retail system.
 5. Also see the following sections:
	• Product Classification Structures
	• Product and Service Suppliers
	• Product and Service Catalogue
	• Product Pricing</v>
      </c>
      <c r="U1594" s="122" t="str">
        <v/>
      </c>
      <c r="V1594" s="42"/>
      <c r="W1594" s="42"/>
      <c r="X1594" s="42"/>
      <c r="Y1594" s="42"/>
      <c r="Z1594" s="42"/>
      <c r="AA1594" s="42"/>
      <c r="AB1594" s="42"/>
    </row>
    <row r="1595" spans="1:28" x14ac:dyDescent="0.25">
      <c r="A1595" s="42" t="str">
        <v>1.28.4.5</v>
      </c>
      <c r="B1595" s="121" t="str">
        <v>Also see the following sections:</v>
      </c>
      <c r="C1595" s="41">
        <v>4</v>
      </c>
      <c r="D1595" s="41" t="str">
        <v>RD</v>
      </c>
      <c r="E1595" s="117" t="str">
        <f t="shared" si="0"/>
        <v>RD</v>
      </c>
      <c r="F1595" s="41" t="str">
        <v/>
      </c>
      <c r="G1595" s="41" t="str">
        <v/>
      </c>
      <c r="H1595" s="117">
        <f t="shared" si="1"/>
        <v>0</v>
      </c>
      <c r="I1595" s="117">
        <f t="shared" si="2"/>
        <v>28</v>
      </c>
      <c r="J1595" s="117">
        <f t="shared" si="3"/>
        <v>28.040000000000006</v>
      </c>
      <c r="K1595" s="117" t="str">
        <f t="shared" si="4"/>
        <v>BR</v>
      </c>
      <c r="L1595" s="42" t="str">
        <v>BR2804</v>
      </c>
      <c r="M1595" s="121" t="str">
        <v/>
      </c>
      <c r="N1595" s="121" t="str">
        <v/>
      </c>
      <c r="O1595" s="121" t="str">
        <v/>
      </c>
      <c r="P1595" s="121" t="str">
        <v/>
      </c>
      <c r="Q1595" s="121" t="str">
        <v xml:space="preserve"> 5. </v>
      </c>
      <c r="R1595" s="121" t="str">
        <v>Also see the following sections:</v>
      </c>
      <c r="S1595" s="121" t="str">
        <v/>
      </c>
      <c r="T1595" s="119" t="str">
        <f>IF($C1595&lt;4,IF($C1595=3,T1596,IF($C1595=2,T$1,"")),Q1595&amp;R1595&amp;IF(LEN(S1595)=0,"",Preferences!$C$2&amp;S1595)&amp;IF(J1596=J1595,IF(LEN(R1595&amp;S1595)=0,"","
")&amp;T1596,""))</f>
        <v xml:space="preserve"> 5. Also see the following sections:
	• Product Classification Structures
	• Product and Service Suppliers
	• Product and Service Catalogue
	• Product Pricing</v>
      </c>
      <c r="U1595" s="122" t="str">
        <v/>
      </c>
      <c r="V1595" s="42"/>
      <c r="W1595" s="42"/>
      <c r="X1595" s="42"/>
      <c r="Y1595" s="42"/>
      <c r="Z1595" s="42"/>
      <c r="AA1595" s="42"/>
      <c r="AB1595" s="42"/>
    </row>
    <row r="1596" spans="1:28" x14ac:dyDescent="0.25">
      <c r="A1596" s="42" t="str">
        <v>1.28.4.5.1</v>
      </c>
      <c r="B1596" s="121" t="str">
        <v>Product Classification Structures</v>
      </c>
      <c r="C1596" s="41">
        <v>5</v>
      </c>
      <c r="D1596" s="41" t="str">
        <v>RL</v>
      </c>
      <c r="E1596" s="117" t="str">
        <f t="shared" si="0"/>
        <v>RL</v>
      </c>
      <c r="F1596" s="41" t="str">
        <v/>
      </c>
      <c r="G1596" s="41" t="str">
        <v/>
      </c>
      <c r="H1596" s="117">
        <f t="shared" si="1"/>
        <v>0</v>
      </c>
      <c r="I1596" s="117">
        <f t="shared" si="2"/>
        <v>28</v>
      </c>
      <c r="J1596" s="117">
        <f t="shared" si="3"/>
        <v>28.040000000000006</v>
      </c>
      <c r="K1596" s="117" t="str">
        <f t="shared" si="4"/>
        <v>BR</v>
      </c>
      <c r="L1596" s="42" t="str">
        <v>BR2804</v>
      </c>
      <c r="M1596" s="121" t="str">
        <v/>
      </c>
      <c r="N1596" s="121" t="str">
        <v/>
      </c>
      <c r="O1596" s="121" t="str">
        <v/>
      </c>
      <c r="P1596" s="121" t="str">
        <v/>
      </c>
      <c r="Q1596" s="121" t="str">
        <v/>
      </c>
      <c r="R1596" s="121" t="str">
        <v/>
      </c>
      <c r="S1596" s="121" t="str">
        <v>Product Classification Structures</v>
      </c>
      <c r="T1596" s="119" t="str">
        <f>IF($C1596&lt;4,IF($C1596=3,T1597,IF($C1596=2,T$1,"")),Q1596&amp;R1596&amp;IF(LEN(S1596)=0,"",Preferences!$C$2&amp;S1596)&amp;IF(J1597=J1596,IF(LEN(R1596&amp;S1596)=0,"","
")&amp;T1597,""))</f>
        <v xml:space="preserve">	• Product Classification Structures
	• Product and Service Suppliers
	• Product and Service Catalogue
	• Product Pricing</v>
      </c>
      <c r="U1596" s="122" t="str">
        <v/>
      </c>
      <c r="V1596" s="42"/>
      <c r="W1596" s="42"/>
      <c r="X1596" s="42"/>
      <c r="Y1596" s="42"/>
      <c r="Z1596" s="42"/>
      <c r="AA1596" s="42"/>
      <c r="AB1596" s="42"/>
    </row>
    <row r="1597" spans="1:28" x14ac:dyDescent="0.25">
      <c r="A1597" s="42" t="str">
        <v>1.28.4.5.2</v>
      </c>
      <c r="B1597" s="121" t="str">
        <v>Product and Service Suppliers</v>
      </c>
      <c r="C1597" s="41">
        <v>5</v>
      </c>
      <c r="D1597" s="41" t="str">
        <v>RL</v>
      </c>
      <c r="E1597" s="117" t="str">
        <f t="shared" si="0"/>
        <v>RL</v>
      </c>
      <c r="F1597" s="41" t="str">
        <v/>
      </c>
      <c r="G1597" s="41" t="str">
        <v/>
      </c>
      <c r="H1597" s="117">
        <f t="shared" si="1"/>
        <v>0</v>
      </c>
      <c r="I1597" s="117">
        <f t="shared" si="2"/>
        <v>28</v>
      </c>
      <c r="J1597" s="117">
        <f t="shared" si="3"/>
        <v>28.040000000000006</v>
      </c>
      <c r="K1597" s="117" t="str">
        <f t="shared" si="4"/>
        <v>BR</v>
      </c>
      <c r="L1597" s="42" t="str">
        <v>BR2804</v>
      </c>
      <c r="M1597" s="121" t="str">
        <v/>
      </c>
      <c r="N1597" s="121" t="str">
        <v/>
      </c>
      <c r="O1597" s="121" t="str">
        <v/>
      </c>
      <c r="P1597" s="121" t="str">
        <v/>
      </c>
      <c r="Q1597" s="121" t="str">
        <v/>
      </c>
      <c r="R1597" s="121" t="str">
        <v/>
      </c>
      <c r="S1597" s="121" t="str">
        <v>Product and Service Suppliers</v>
      </c>
      <c r="T1597" s="119" t="str">
        <f>IF($C1597&lt;4,IF($C1597=3,T1598,IF($C1597=2,T$1,"")),Q1597&amp;R1597&amp;IF(LEN(S1597)=0,"",Preferences!$C$2&amp;S1597)&amp;IF(J1598=J1597,IF(LEN(R1597&amp;S1597)=0,"","
")&amp;T1598,""))</f>
        <v xml:space="preserve">	• Product and Service Suppliers
	• Product and Service Catalogue
	• Product Pricing</v>
      </c>
      <c r="U1597" s="122" t="str">
        <v/>
      </c>
      <c r="V1597" s="42"/>
      <c r="W1597" s="42"/>
      <c r="X1597" s="42"/>
      <c r="Y1597" s="42"/>
      <c r="Z1597" s="42"/>
      <c r="AA1597" s="42"/>
      <c r="AB1597" s="42"/>
    </row>
    <row r="1598" spans="1:28" x14ac:dyDescent="0.25">
      <c r="A1598" s="42" t="str">
        <v>1.28.4.5.3</v>
      </c>
      <c r="B1598" s="121" t="str">
        <v>Product and Service Catalogue</v>
      </c>
      <c r="C1598" s="41">
        <v>5</v>
      </c>
      <c r="D1598" s="41" t="str">
        <v>RL</v>
      </c>
      <c r="E1598" s="117" t="str">
        <f t="shared" si="0"/>
        <v>RL</v>
      </c>
      <c r="F1598" s="41" t="str">
        <v/>
      </c>
      <c r="G1598" s="41" t="str">
        <v/>
      </c>
      <c r="H1598" s="117">
        <f t="shared" si="1"/>
        <v>0</v>
      </c>
      <c r="I1598" s="117">
        <f t="shared" si="2"/>
        <v>28</v>
      </c>
      <c r="J1598" s="117">
        <f t="shared" si="3"/>
        <v>28.040000000000006</v>
      </c>
      <c r="K1598" s="117" t="str">
        <f t="shared" si="4"/>
        <v>BR</v>
      </c>
      <c r="L1598" s="42" t="str">
        <v>BR2804</v>
      </c>
      <c r="M1598" s="121" t="str">
        <v/>
      </c>
      <c r="N1598" s="121" t="str">
        <v/>
      </c>
      <c r="O1598" s="121" t="str">
        <v/>
      </c>
      <c r="P1598" s="121" t="str">
        <v/>
      </c>
      <c r="Q1598" s="121" t="str">
        <v/>
      </c>
      <c r="R1598" s="121" t="str">
        <v/>
      </c>
      <c r="S1598" s="121" t="str">
        <v>Product and Service Catalogue</v>
      </c>
      <c r="T1598" s="119" t="str">
        <f>IF($C1598&lt;4,IF($C1598=3,T1599,IF($C1598=2,T$1,"")),Q1598&amp;R1598&amp;IF(LEN(S1598)=0,"",Preferences!$C$2&amp;S1598)&amp;IF(J1599=J1598,IF(LEN(R1598&amp;S1598)=0,"","
")&amp;T1599,""))</f>
        <v xml:space="preserve">	• Product and Service Catalogue
	• Product Pricing</v>
      </c>
      <c r="U1598" s="122" t="str">
        <v/>
      </c>
      <c r="V1598" s="42"/>
      <c r="W1598" s="42"/>
      <c r="X1598" s="42"/>
      <c r="Y1598" s="42"/>
      <c r="Z1598" s="42"/>
      <c r="AA1598" s="42"/>
      <c r="AB1598" s="42"/>
    </row>
    <row r="1599" spans="1:28" x14ac:dyDescent="0.25">
      <c r="A1599" s="42" t="str">
        <v>1.28.4.5.4</v>
      </c>
      <c r="B1599" s="121" t="str">
        <v>Product Pricing</v>
      </c>
      <c r="C1599" s="41">
        <v>5</v>
      </c>
      <c r="D1599" s="41" t="str">
        <v>RL</v>
      </c>
      <c r="E1599" s="117" t="str">
        <f t="shared" si="0"/>
        <v>RL</v>
      </c>
      <c r="F1599" s="41" t="str">
        <v/>
      </c>
      <c r="G1599" s="41" t="str">
        <v/>
      </c>
      <c r="H1599" s="117">
        <f t="shared" si="1"/>
        <v>0</v>
      </c>
      <c r="I1599" s="117">
        <f t="shared" si="2"/>
        <v>28</v>
      </c>
      <c r="J1599" s="117">
        <f t="shared" si="3"/>
        <v>28.040000000000006</v>
      </c>
      <c r="K1599" s="117" t="str">
        <f t="shared" si="4"/>
        <v>BR</v>
      </c>
      <c r="L1599" s="42" t="str">
        <v>BR2804</v>
      </c>
      <c r="M1599" s="121" t="str">
        <v/>
      </c>
      <c r="N1599" s="121" t="str">
        <v/>
      </c>
      <c r="O1599" s="121" t="str">
        <v/>
      </c>
      <c r="P1599" s="121" t="str">
        <v/>
      </c>
      <c r="Q1599" s="121" t="str">
        <v/>
      </c>
      <c r="R1599" s="121" t="str">
        <v/>
      </c>
      <c r="S1599" s="121" t="str">
        <v>Product Pricing</v>
      </c>
      <c r="T1599" s="119" t="str">
        <f>IF($C1599&lt;4,IF($C1599=3,T1600,IF($C1599=2,T$1,"")),Q1599&amp;R1599&amp;IF(LEN(S1599)=0,"",Preferences!$C$2&amp;S1599)&amp;IF(J1600=J1599,IF(LEN(R1599&amp;S1599)=0,"","
")&amp;T1600,""))</f>
        <v xml:space="preserve">	• Product Pricing</v>
      </c>
      <c r="U1599" s="122" t="str">
        <v/>
      </c>
      <c r="V1599" s="42"/>
      <c r="W1599" s="42"/>
      <c r="X1599" s="42"/>
      <c r="Y1599" s="42"/>
      <c r="Z1599" s="42"/>
      <c r="AA1599" s="42"/>
      <c r="AB1599" s="42"/>
    </row>
    <row r="1600" spans="1:28" x14ac:dyDescent="0.25">
      <c r="A1600" s="42" t="str">
        <v>1.28.5</v>
      </c>
      <c r="B1600" s="121" t="str">
        <v>28.5 Configure B2C Co as company for trading in the Shoprite customer-facing systems</v>
      </c>
      <c r="C1600" s="41">
        <v>3</v>
      </c>
      <c r="D1600" s="41" t="str">
        <v>R</v>
      </c>
      <c r="E1600" s="117" t="str">
        <f t="shared" si="0"/>
        <v>R</v>
      </c>
      <c r="F1600" s="41" t="str">
        <v/>
      </c>
      <c r="G1600" s="41" t="str">
        <v/>
      </c>
      <c r="H1600" s="117">
        <f t="shared" si="1"/>
        <v>0</v>
      </c>
      <c r="I1600" s="117">
        <f t="shared" si="2"/>
        <v>28</v>
      </c>
      <c r="J1600" s="117">
        <f t="shared" si="3"/>
        <v>28.050000000000008</v>
      </c>
      <c r="K1600" s="117" t="str">
        <f t="shared" si="4"/>
        <v>BR</v>
      </c>
      <c r="L1600" s="42" t="str">
        <v>BR2805</v>
      </c>
      <c r="M1600" s="121" t="str">
        <v/>
      </c>
      <c r="N1600" s="121" t="str">
        <v/>
      </c>
      <c r="O1600" s="121" t="str">
        <v>BR2805</v>
      </c>
      <c r="P1600" s="121" t="str">
        <v>Configure B2C Co as company for trading in the Shoprite customer-facing systems</v>
      </c>
      <c r="Q1600" s="121" t="str">
        <v/>
      </c>
      <c r="R1600" s="121" t="str">
        <v/>
      </c>
      <c r="S1600" s="121" t="str">
        <v/>
      </c>
      <c r="T1600" s="119" t="str">
        <f>IF($C1600&lt;4,IF($C1600=3,T1601,IF($C1600=2,T$1,"")),Q1600&amp;R1600&amp;IF(LEN(S1600)=0,"",Preferences!$C$2&amp;S1600)&amp;IF(J1601=J1600,IF(LEN(R1600&amp;S1600)=0,"","
")&amp;T1601,""))</f>
        <v xml:space="preserve"> 1. Configure B2C Co in the Shoprite customer-facing systems for trading against the configured chart of accounts in the Shoprite financial system and Shoprite retail system.
 2. Configure the B2C Co online site for trading against the Shoprite retail system and Shoprite financial system.
 3. Provide the designated B2C staff training and access to the B2C Co configurations in the customer-facing systems as required to perform their duties in those systems.
 4. Also see the following sections:
	• Product Classification Structures
	• Product and Service Catalogue
	• Product Pricing
	• B2C Co Marketing
	• Advertising
	• Special Content (Articles)
	• Content Enrichment</v>
      </c>
      <c r="U1600" s="122" t="str">
        <v/>
      </c>
      <c r="V1600" s="42"/>
      <c r="W1600" s="42"/>
      <c r="X1600" s="42"/>
      <c r="Y1600" s="42"/>
      <c r="Z1600" s="42"/>
      <c r="AA1600" s="42"/>
      <c r="AB1600" s="42"/>
    </row>
    <row r="1601" spans="1:28" x14ac:dyDescent="0.25">
      <c r="A1601" s="42" t="str">
        <v>1.28.5.1</v>
      </c>
      <c r="B1601" s="121" t="str">
        <v>Configure B2C Co in the Shoprite customer-facing systems for trading against the configured chart of accounts in the Shoprite financial system and Shoprite retail system.</v>
      </c>
      <c r="C1601" s="41">
        <v>4</v>
      </c>
      <c r="D1601" s="41" t="str">
        <v>RD</v>
      </c>
      <c r="E1601" s="117" t="str">
        <f t="shared" si="0"/>
        <v>RD</v>
      </c>
      <c r="F1601" s="41" t="str">
        <v/>
      </c>
      <c r="G1601" s="41" t="str">
        <v/>
      </c>
      <c r="H1601" s="117">
        <f t="shared" si="1"/>
        <v>0</v>
      </c>
      <c r="I1601" s="117">
        <f t="shared" si="2"/>
        <v>28</v>
      </c>
      <c r="J1601" s="117">
        <f t="shared" si="3"/>
        <v>28.050000000000008</v>
      </c>
      <c r="K1601" s="117" t="str">
        <f t="shared" si="4"/>
        <v>BR</v>
      </c>
      <c r="L1601" s="42" t="str">
        <v>BR2805</v>
      </c>
      <c r="M1601" s="121" t="str">
        <v/>
      </c>
      <c r="N1601" s="121" t="str">
        <v/>
      </c>
      <c r="O1601" s="121" t="str">
        <v/>
      </c>
      <c r="P1601" s="121" t="str">
        <v/>
      </c>
      <c r="Q1601" s="121" t="str">
        <v xml:space="preserve"> 1. </v>
      </c>
      <c r="R1601" s="121" t="str">
        <v>Configure B2C Co in the Shoprite customer-facing systems for trading against the configured chart of accounts in the Shoprite financial system and Shoprite retail system.</v>
      </c>
      <c r="S1601" s="121" t="str">
        <v/>
      </c>
      <c r="T1601" s="119" t="str">
        <f>IF($C1601&lt;4,IF($C1601=3,T1602,IF($C1601=2,T$1,"")),Q1601&amp;R1601&amp;IF(LEN(S1601)=0,"",Preferences!$C$2&amp;S1601)&amp;IF(J1602=J1601,IF(LEN(R1601&amp;S1601)=0,"","
")&amp;T1602,""))</f>
        <v xml:space="preserve"> 1. Configure B2C Co in the Shoprite customer-facing systems for trading against the configured chart of accounts in the Shoprite financial system and Shoprite retail system.
 2. Configure the B2C Co online site for trading against the Shoprite retail system and Shoprite financial system.
 3. Provide the designated B2C staff training and access to the B2C Co configurations in the customer-facing systems as required to perform their duties in those systems.
 4. Also see the following sections:
	• Product Classification Structures
	• Product and Service Catalogue
	• Product Pricing
	• B2C Co Marketing
	• Advertising
	• Special Content (Articles)
	• Content Enrichment</v>
      </c>
      <c r="U1601" s="122" t="str">
        <v/>
      </c>
      <c r="V1601" s="42"/>
      <c r="W1601" s="42"/>
      <c r="X1601" s="42"/>
      <c r="Y1601" s="42"/>
      <c r="Z1601" s="42"/>
      <c r="AA1601" s="42"/>
      <c r="AB1601" s="42"/>
    </row>
    <row r="1602" spans="1:28" x14ac:dyDescent="0.25">
      <c r="A1602" s="42" t="str">
        <v>1.28.5.2</v>
      </c>
      <c r="B1602" s="121" t="str">
        <v>Configure the B2C Co online site for trading against the Shoprite retail system and Shoprite financial system.</v>
      </c>
      <c r="C1602" s="41">
        <v>4</v>
      </c>
      <c r="D1602" s="41" t="str">
        <v>RD</v>
      </c>
      <c r="E1602" s="117" t="str">
        <f t="shared" si="0"/>
        <v>RD</v>
      </c>
      <c r="F1602" s="41" t="str">
        <v/>
      </c>
      <c r="G1602" s="41" t="str">
        <v/>
      </c>
      <c r="H1602" s="117">
        <f t="shared" si="1"/>
        <v>0</v>
      </c>
      <c r="I1602" s="117">
        <f t="shared" si="2"/>
        <v>28</v>
      </c>
      <c r="J1602" s="117">
        <f t="shared" si="3"/>
        <v>28.050000000000008</v>
      </c>
      <c r="K1602" s="117" t="str">
        <f t="shared" si="4"/>
        <v>BR</v>
      </c>
      <c r="L1602" s="42" t="str">
        <v>BR2805</v>
      </c>
      <c r="M1602" s="121" t="str">
        <v/>
      </c>
      <c r="N1602" s="121" t="str">
        <v/>
      </c>
      <c r="O1602" s="121" t="str">
        <v/>
      </c>
      <c r="P1602" s="121" t="str">
        <v/>
      </c>
      <c r="Q1602" s="121" t="str">
        <v xml:space="preserve"> 2. </v>
      </c>
      <c r="R1602" s="121" t="str">
        <v>Configure the B2C Co online site for trading against the Shoprite retail system and Shoprite financial system.</v>
      </c>
      <c r="S1602" s="121" t="str">
        <v/>
      </c>
      <c r="T1602" s="119" t="str">
        <f>IF($C1602&lt;4,IF($C1602=3,T1603,IF($C1602=2,T$1,"")),Q1602&amp;R1602&amp;IF(LEN(S1602)=0,"",Preferences!$C$2&amp;S1602)&amp;IF(J1603=J1602,IF(LEN(R1602&amp;S1602)=0,"","
")&amp;T1603,""))</f>
        <v xml:space="preserve"> 2. Configure the B2C Co online site for trading against the Shoprite retail system and Shoprite financial system.
 3. Provide the designated B2C staff training and access to the B2C Co configurations in the customer-facing systems as required to perform their duties in those systems.
 4. Also see the following sections:
	• Product Classification Structures
	• Product and Service Catalogue
	• Product Pricing
	• B2C Co Marketing
	• Advertising
	• Special Content (Articles)
	• Content Enrichment</v>
      </c>
      <c r="U1602" s="122" t="str">
        <v/>
      </c>
      <c r="V1602" s="42"/>
      <c r="W1602" s="42"/>
      <c r="X1602" s="42"/>
      <c r="Y1602" s="42"/>
      <c r="Z1602" s="42"/>
      <c r="AA1602" s="42"/>
      <c r="AB1602" s="42"/>
    </row>
    <row r="1603" spans="1:28" x14ac:dyDescent="0.25">
      <c r="A1603" s="42" t="str">
        <v>1.28.5.3</v>
      </c>
      <c r="B1603" s="121" t="str">
        <v>Provide the designated B2C staff training and access to the B2C Co configurations in the customer-facing systems as required to perform their duties in those systems.</v>
      </c>
      <c r="C1603" s="41">
        <v>4</v>
      </c>
      <c r="D1603" s="41" t="str">
        <v>RD</v>
      </c>
      <c r="E1603" s="117" t="str">
        <f t="shared" si="0"/>
        <v>RD</v>
      </c>
      <c r="F1603" s="41" t="str">
        <v/>
      </c>
      <c r="G1603" s="41" t="str">
        <v/>
      </c>
      <c r="H1603" s="117">
        <f t="shared" si="1"/>
        <v>0</v>
      </c>
      <c r="I1603" s="117">
        <f t="shared" si="2"/>
        <v>28</v>
      </c>
      <c r="J1603" s="117">
        <f t="shared" si="3"/>
        <v>28.050000000000008</v>
      </c>
      <c r="K1603" s="117" t="str">
        <f t="shared" si="4"/>
        <v>BR</v>
      </c>
      <c r="L1603" s="42" t="str">
        <v>BR2805</v>
      </c>
      <c r="M1603" s="121" t="str">
        <v/>
      </c>
      <c r="N1603" s="121" t="str">
        <v/>
      </c>
      <c r="O1603" s="121" t="str">
        <v/>
      </c>
      <c r="P1603" s="121" t="str">
        <v/>
      </c>
      <c r="Q1603" s="121" t="str">
        <v xml:space="preserve"> 3. </v>
      </c>
      <c r="R1603" s="121" t="str">
        <v>Provide the designated B2C staff training and access to the B2C Co configurations in the customer-facing systems as required to perform their duties in those systems.</v>
      </c>
      <c r="S1603" s="121" t="str">
        <v/>
      </c>
      <c r="T1603" s="119" t="str">
        <f>IF($C1603&lt;4,IF($C1603=3,T1604,IF($C1603=2,T$1,"")),Q1603&amp;R1603&amp;IF(LEN(S1603)=0,"",Preferences!$C$2&amp;S1603)&amp;IF(J1604=J1603,IF(LEN(R1603&amp;S1603)=0,"","
")&amp;T1604,""))</f>
        <v xml:space="preserve"> 3. Provide the designated B2C staff training and access to the B2C Co configurations in the customer-facing systems as required to perform their duties in those systems.
 4. Also see the following sections:
	• Product Classification Structures
	• Product and Service Catalogue
	• Product Pricing
	• B2C Co Marketing
	• Advertising
	• Special Content (Articles)
	• Content Enrichment</v>
      </c>
      <c r="U1603" s="122" t="str">
        <v/>
      </c>
      <c r="V1603" s="42"/>
      <c r="W1603" s="42"/>
      <c r="X1603" s="42"/>
      <c r="Y1603" s="42"/>
      <c r="Z1603" s="42"/>
      <c r="AA1603" s="42"/>
      <c r="AB1603" s="42"/>
    </row>
    <row r="1604" spans="1:28" x14ac:dyDescent="0.25">
      <c r="A1604" s="42" t="str">
        <v>1.28.5.4</v>
      </c>
      <c r="B1604" s="121" t="str">
        <v>Also see the following sections:</v>
      </c>
      <c r="C1604" s="41">
        <v>4</v>
      </c>
      <c r="D1604" s="41" t="str">
        <v>RD</v>
      </c>
      <c r="E1604" s="117" t="str">
        <f t="shared" si="0"/>
        <v>RD</v>
      </c>
      <c r="F1604" s="41" t="str">
        <v/>
      </c>
      <c r="G1604" s="41" t="str">
        <v/>
      </c>
      <c r="H1604" s="117">
        <f t="shared" si="1"/>
        <v>0</v>
      </c>
      <c r="I1604" s="117">
        <f t="shared" si="2"/>
        <v>28</v>
      </c>
      <c r="J1604" s="117">
        <f t="shared" si="3"/>
        <v>28.050000000000008</v>
      </c>
      <c r="K1604" s="117" t="str">
        <f t="shared" si="4"/>
        <v>BR</v>
      </c>
      <c r="L1604" s="42" t="str">
        <v>BR2805</v>
      </c>
      <c r="M1604" s="121" t="str">
        <v/>
      </c>
      <c r="N1604" s="121" t="str">
        <v/>
      </c>
      <c r="O1604" s="121" t="str">
        <v/>
      </c>
      <c r="P1604" s="121" t="str">
        <v/>
      </c>
      <c r="Q1604" s="121" t="str">
        <v xml:space="preserve"> 4. </v>
      </c>
      <c r="R1604" s="121" t="str">
        <v>Also see the following sections:</v>
      </c>
      <c r="S1604" s="121" t="str">
        <v/>
      </c>
      <c r="T1604" s="119" t="str">
        <f>IF($C1604&lt;4,IF($C1604=3,T1605,IF($C1604=2,T$1,"")),Q1604&amp;R1604&amp;IF(LEN(S1604)=0,"",Preferences!$C$2&amp;S1604)&amp;IF(J1605=J1604,IF(LEN(R1604&amp;S1604)=0,"","
")&amp;T1605,""))</f>
        <v xml:space="preserve"> 4. Also see the following sections:
	• Product Classification Structures
	• Product and Service Catalogue
	• Product Pricing
	• B2C Co Marketing
	• Advertising
	• Special Content (Articles)
	• Content Enrichment</v>
      </c>
      <c r="U1604" s="122" t="str">
        <v/>
      </c>
      <c r="V1604" s="42"/>
      <c r="W1604" s="42"/>
      <c r="X1604" s="42"/>
      <c r="Y1604" s="42"/>
      <c r="Z1604" s="42"/>
      <c r="AA1604" s="42"/>
      <c r="AB1604" s="42"/>
    </row>
    <row r="1605" spans="1:28" x14ac:dyDescent="0.25">
      <c r="A1605" s="42" t="str">
        <v>1.28.5.4.1</v>
      </c>
      <c r="B1605" s="121" t="str">
        <v>Product Classification Structures</v>
      </c>
      <c r="C1605" s="41">
        <v>5</v>
      </c>
      <c r="D1605" s="41" t="str">
        <v>RL</v>
      </c>
      <c r="E1605" s="117" t="str">
        <f t="shared" si="0"/>
        <v>RL</v>
      </c>
      <c r="F1605" s="41" t="str">
        <v/>
      </c>
      <c r="G1605" s="41" t="str">
        <v/>
      </c>
      <c r="H1605" s="117">
        <f t="shared" si="1"/>
        <v>0</v>
      </c>
      <c r="I1605" s="117">
        <f t="shared" si="2"/>
        <v>28</v>
      </c>
      <c r="J1605" s="117">
        <f t="shared" si="3"/>
        <v>28.050000000000008</v>
      </c>
      <c r="K1605" s="117" t="str">
        <f t="shared" si="4"/>
        <v>BR</v>
      </c>
      <c r="L1605" s="42" t="str">
        <v>BR2805</v>
      </c>
      <c r="M1605" s="121" t="str">
        <v/>
      </c>
      <c r="N1605" s="121" t="str">
        <v/>
      </c>
      <c r="O1605" s="121" t="str">
        <v/>
      </c>
      <c r="P1605" s="121" t="str">
        <v/>
      </c>
      <c r="Q1605" s="121" t="str">
        <v/>
      </c>
      <c r="R1605" s="121" t="str">
        <v/>
      </c>
      <c r="S1605" s="121" t="str">
        <v>Product Classification Structures</v>
      </c>
      <c r="T1605" s="119" t="str">
        <f>IF($C1605&lt;4,IF($C1605=3,T1606,IF($C1605=2,T$1,"")),Q1605&amp;R1605&amp;IF(LEN(S1605)=0,"",Preferences!$C$2&amp;S1605)&amp;IF(J1606=J1605,IF(LEN(R1605&amp;S1605)=0,"","
")&amp;T1606,""))</f>
        <v xml:space="preserve">	• Product Classification Structures
	• Product and Service Catalogue
	• Product Pricing
	• B2C Co Marketing
	• Advertising
	• Special Content (Articles)
	• Content Enrichment</v>
      </c>
      <c r="U1605" s="122" t="str">
        <v/>
      </c>
      <c r="V1605" s="42"/>
      <c r="W1605" s="42"/>
      <c r="X1605" s="42"/>
      <c r="Y1605" s="42"/>
      <c r="Z1605" s="42"/>
      <c r="AA1605" s="42"/>
      <c r="AB1605" s="42"/>
    </row>
    <row r="1606" spans="1:28" x14ac:dyDescent="0.25">
      <c r="A1606" s="42" t="str">
        <v>1.28.5.4.2</v>
      </c>
      <c r="B1606" s="121" t="str">
        <v>Product and Service Catalogue</v>
      </c>
      <c r="C1606" s="41">
        <v>5</v>
      </c>
      <c r="D1606" s="41" t="str">
        <v>RL</v>
      </c>
      <c r="E1606" s="117" t="str">
        <f t="shared" si="0"/>
        <v>RL</v>
      </c>
      <c r="F1606" s="41" t="str">
        <v/>
      </c>
      <c r="G1606" s="41" t="str">
        <v/>
      </c>
      <c r="H1606" s="117">
        <f t="shared" si="1"/>
        <v>0</v>
      </c>
      <c r="I1606" s="117">
        <f t="shared" si="2"/>
        <v>28</v>
      </c>
      <c r="J1606" s="117">
        <f t="shared" si="3"/>
        <v>28.050000000000008</v>
      </c>
      <c r="K1606" s="117" t="str">
        <f t="shared" si="4"/>
        <v>BR</v>
      </c>
      <c r="L1606" s="42" t="str">
        <v>BR2805</v>
      </c>
      <c r="M1606" s="121" t="str">
        <v/>
      </c>
      <c r="N1606" s="121" t="str">
        <v/>
      </c>
      <c r="O1606" s="121" t="str">
        <v/>
      </c>
      <c r="P1606" s="121" t="str">
        <v/>
      </c>
      <c r="Q1606" s="121" t="str">
        <v/>
      </c>
      <c r="R1606" s="121" t="str">
        <v/>
      </c>
      <c r="S1606" s="121" t="str">
        <v>Product and Service Catalogue</v>
      </c>
      <c r="T1606" s="119" t="str">
        <f>IF($C1606&lt;4,IF($C1606=3,T1607,IF($C1606=2,T$1,"")),Q1606&amp;R1606&amp;IF(LEN(S1606)=0,"",Preferences!$C$2&amp;S1606)&amp;IF(J1607=J1606,IF(LEN(R1606&amp;S1606)=0,"","
")&amp;T1607,""))</f>
        <v xml:space="preserve">	• Product and Service Catalogue
	• Product Pricing
	• B2C Co Marketing
	• Advertising
	• Special Content (Articles)
	• Content Enrichment</v>
      </c>
      <c r="U1606" s="122" t="str">
        <v/>
      </c>
      <c r="V1606" s="42"/>
      <c r="W1606" s="42"/>
      <c r="X1606" s="42"/>
      <c r="Y1606" s="42"/>
      <c r="Z1606" s="42"/>
      <c r="AA1606" s="42"/>
      <c r="AB1606" s="42"/>
    </row>
    <row r="1607" spans="1:28" x14ac:dyDescent="0.25">
      <c r="A1607" s="42" t="str">
        <v>1.28.5.4.3</v>
      </c>
      <c r="B1607" s="121" t="str">
        <v>Product Pricing</v>
      </c>
      <c r="C1607" s="41">
        <v>5</v>
      </c>
      <c r="D1607" s="41" t="str">
        <v>RL</v>
      </c>
      <c r="E1607" s="117" t="str">
        <f t="shared" si="0"/>
        <v>RL</v>
      </c>
      <c r="F1607" s="41" t="str">
        <v/>
      </c>
      <c r="G1607" s="41" t="str">
        <v/>
      </c>
      <c r="H1607" s="117">
        <f t="shared" si="1"/>
        <v>0</v>
      </c>
      <c r="I1607" s="117">
        <f t="shared" si="2"/>
        <v>28</v>
      </c>
      <c r="J1607" s="117">
        <f t="shared" si="3"/>
        <v>28.050000000000008</v>
      </c>
      <c r="K1607" s="117" t="str">
        <f t="shared" si="4"/>
        <v>BR</v>
      </c>
      <c r="L1607" s="42" t="str">
        <v>BR2805</v>
      </c>
      <c r="M1607" s="121" t="str">
        <v/>
      </c>
      <c r="N1607" s="121" t="str">
        <v/>
      </c>
      <c r="O1607" s="121" t="str">
        <v/>
      </c>
      <c r="P1607" s="121" t="str">
        <v/>
      </c>
      <c r="Q1607" s="121" t="str">
        <v/>
      </c>
      <c r="R1607" s="121" t="str">
        <v/>
      </c>
      <c r="S1607" s="121" t="str">
        <v>Product Pricing</v>
      </c>
      <c r="T1607" s="119" t="str">
        <f>IF($C1607&lt;4,IF($C1607=3,T1608,IF($C1607=2,T$1,"")),Q1607&amp;R1607&amp;IF(LEN(S1607)=0,"",Preferences!$C$2&amp;S1607)&amp;IF(J1608=J1607,IF(LEN(R1607&amp;S1607)=0,"","
")&amp;T1608,""))</f>
        <v xml:space="preserve">	• Product Pricing
	• B2C Co Marketing
	• Advertising
	• Special Content (Articles)
	• Content Enrichment</v>
      </c>
      <c r="U1607" s="122" t="str">
        <v/>
      </c>
      <c r="V1607" s="42"/>
      <c r="W1607" s="42"/>
      <c r="X1607" s="42"/>
      <c r="Y1607" s="42"/>
      <c r="Z1607" s="42"/>
      <c r="AA1607" s="42"/>
      <c r="AB1607" s="42"/>
    </row>
    <row r="1608" spans="1:28" x14ac:dyDescent="0.25">
      <c r="A1608" s="42" t="str">
        <v>1.28.5.4.4</v>
      </c>
      <c r="B1608" s="121" t="str">
        <v>B2C Co Marketing</v>
      </c>
      <c r="C1608" s="41">
        <v>5</v>
      </c>
      <c r="D1608" s="41" t="str">
        <v>RL</v>
      </c>
      <c r="E1608" s="117" t="str">
        <f t="shared" si="0"/>
        <v>RL</v>
      </c>
      <c r="F1608" s="41" t="str">
        <v/>
      </c>
      <c r="G1608" s="41" t="str">
        <v/>
      </c>
      <c r="H1608" s="117">
        <f t="shared" si="1"/>
        <v>0</v>
      </c>
      <c r="I1608" s="117">
        <f t="shared" si="2"/>
        <v>28</v>
      </c>
      <c r="J1608" s="117">
        <f t="shared" si="3"/>
        <v>28.050000000000008</v>
      </c>
      <c r="K1608" s="117" t="str">
        <f t="shared" si="4"/>
        <v>BR</v>
      </c>
      <c r="L1608" s="42" t="str">
        <v>BR2805</v>
      </c>
      <c r="M1608" s="121" t="str">
        <v/>
      </c>
      <c r="N1608" s="121" t="str">
        <v/>
      </c>
      <c r="O1608" s="121" t="str">
        <v/>
      </c>
      <c r="P1608" s="121" t="str">
        <v/>
      </c>
      <c r="Q1608" s="121" t="str">
        <v/>
      </c>
      <c r="R1608" s="121" t="str">
        <v/>
      </c>
      <c r="S1608" s="121" t="str">
        <v>B2C Co Marketing</v>
      </c>
      <c r="T1608" s="119" t="str">
        <f>IF($C1608&lt;4,IF($C1608=3,T1609,IF($C1608=2,T$1,"")),Q1608&amp;R1608&amp;IF(LEN(S1608)=0,"",Preferences!$C$2&amp;S1608)&amp;IF(J1609=J1608,IF(LEN(R1608&amp;S1608)=0,"","
")&amp;T1609,""))</f>
        <v xml:space="preserve">	• B2C Co Marketing
	• Advertising
	• Special Content (Articles)
	• Content Enrichment</v>
      </c>
      <c r="U1608" s="122" t="str">
        <v/>
      </c>
      <c r="V1608" s="42"/>
      <c r="W1608" s="42"/>
      <c r="X1608" s="42"/>
      <c r="Y1608" s="42"/>
      <c r="Z1608" s="42"/>
      <c r="AA1608" s="42"/>
      <c r="AB1608" s="42"/>
    </row>
    <row r="1609" spans="1:28" x14ac:dyDescent="0.25">
      <c r="A1609" s="42" t="str">
        <v>1.28.5.4.5</v>
      </c>
      <c r="B1609" s="121" t="str">
        <v>Advertising</v>
      </c>
      <c r="C1609" s="41">
        <v>5</v>
      </c>
      <c r="D1609" s="41" t="str">
        <v>RL</v>
      </c>
      <c r="E1609" s="117" t="str">
        <f t="shared" si="0"/>
        <v>RL</v>
      </c>
      <c r="F1609" s="41" t="str">
        <v/>
      </c>
      <c r="G1609" s="41" t="str">
        <v/>
      </c>
      <c r="H1609" s="117">
        <f t="shared" si="1"/>
        <v>0</v>
      </c>
      <c r="I1609" s="117">
        <f t="shared" si="2"/>
        <v>28</v>
      </c>
      <c r="J1609" s="117">
        <f t="shared" si="3"/>
        <v>28.050000000000008</v>
      </c>
      <c r="K1609" s="117" t="str">
        <f t="shared" si="4"/>
        <v>BR</v>
      </c>
      <c r="L1609" s="42" t="str">
        <v>BR2805</v>
      </c>
      <c r="M1609" s="121" t="str">
        <v/>
      </c>
      <c r="N1609" s="121" t="str">
        <v/>
      </c>
      <c r="O1609" s="121" t="str">
        <v/>
      </c>
      <c r="P1609" s="121" t="str">
        <v/>
      </c>
      <c r="Q1609" s="121" t="str">
        <v/>
      </c>
      <c r="R1609" s="121" t="str">
        <v/>
      </c>
      <c r="S1609" s="121" t="str">
        <v>Advertising</v>
      </c>
      <c r="T1609" s="119" t="str">
        <f>IF($C1609&lt;4,IF($C1609=3,T1610,IF($C1609=2,T$1,"")),Q1609&amp;R1609&amp;IF(LEN(S1609)=0,"",Preferences!$C$2&amp;S1609)&amp;IF(J1610=J1609,IF(LEN(R1609&amp;S1609)=0,"","
")&amp;T1610,""))</f>
        <v xml:space="preserve">	• Advertising
	• Special Content (Articles)
	• Content Enrichment</v>
      </c>
      <c r="U1609" s="122" t="str">
        <v/>
      </c>
      <c r="V1609" s="42"/>
      <c r="W1609" s="42"/>
      <c r="X1609" s="42"/>
      <c r="Y1609" s="42"/>
      <c r="Z1609" s="42"/>
      <c r="AA1609" s="42"/>
      <c r="AB1609" s="42"/>
    </row>
    <row r="1610" spans="1:28" x14ac:dyDescent="0.25">
      <c r="A1610" s="42" t="str">
        <v>1.28.5.4.6</v>
      </c>
      <c r="B1610" s="121" t="str">
        <v>Special Content (Articles)</v>
      </c>
      <c r="C1610" s="41">
        <v>5</v>
      </c>
      <c r="D1610" s="41" t="str">
        <v>RL</v>
      </c>
      <c r="E1610" s="117" t="str">
        <f t="shared" si="0"/>
        <v>RL</v>
      </c>
      <c r="F1610" s="41" t="str">
        <v/>
      </c>
      <c r="G1610" s="41" t="str">
        <v/>
      </c>
      <c r="H1610" s="117">
        <f t="shared" si="1"/>
        <v>0</v>
      </c>
      <c r="I1610" s="117">
        <f t="shared" si="2"/>
        <v>28</v>
      </c>
      <c r="J1610" s="117">
        <f t="shared" si="3"/>
        <v>28.050000000000008</v>
      </c>
      <c r="K1610" s="117" t="str">
        <f t="shared" si="4"/>
        <v>BR</v>
      </c>
      <c r="L1610" s="42" t="str">
        <v>BR2805</v>
      </c>
      <c r="M1610" s="121" t="str">
        <v/>
      </c>
      <c r="N1610" s="121" t="str">
        <v/>
      </c>
      <c r="O1610" s="121" t="str">
        <v/>
      </c>
      <c r="P1610" s="121" t="str">
        <v/>
      </c>
      <c r="Q1610" s="121" t="str">
        <v/>
      </c>
      <c r="R1610" s="121" t="str">
        <v/>
      </c>
      <c r="S1610" s="121" t="str">
        <v>Special Content (Articles)</v>
      </c>
      <c r="T1610" s="119" t="str">
        <f>IF($C1610&lt;4,IF($C1610=3,T1611,IF($C1610=2,T$1,"")),Q1610&amp;R1610&amp;IF(LEN(S1610)=0,"",Preferences!$C$2&amp;S1610)&amp;IF(J1611=J1610,IF(LEN(R1610&amp;S1610)=0,"","
")&amp;T1611,""))</f>
        <v xml:space="preserve">	• Special Content (Articles)
	• Content Enrichment</v>
      </c>
      <c r="U1610" s="122" t="str">
        <v/>
      </c>
      <c r="V1610" s="42"/>
      <c r="W1610" s="42"/>
      <c r="X1610" s="42"/>
      <c r="Y1610" s="42"/>
      <c r="Z1610" s="42"/>
      <c r="AA1610" s="42"/>
      <c r="AB1610" s="42"/>
    </row>
    <row r="1611" spans="1:28" x14ac:dyDescent="0.25">
      <c r="A1611" s="42" t="str">
        <v>1.28.5.4.7</v>
      </c>
      <c r="B1611" s="121" t="str">
        <v>Content Enrichment</v>
      </c>
      <c r="C1611" s="41">
        <v>5</v>
      </c>
      <c r="D1611" s="41" t="str">
        <v>RL</v>
      </c>
      <c r="E1611" s="117" t="str">
        <f t="shared" si="0"/>
        <v>RL</v>
      </c>
      <c r="F1611" s="41" t="str">
        <v/>
      </c>
      <c r="G1611" s="41" t="str">
        <v/>
      </c>
      <c r="H1611" s="117">
        <f t="shared" si="1"/>
        <v>0</v>
      </c>
      <c r="I1611" s="117">
        <f t="shared" si="2"/>
        <v>28</v>
      </c>
      <c r="J1611" s="117">
        <f t="shared" si="3"/>
        <v>28.050000000000008</v>
      </c>
      <c r="K1611" s="117" t="str">
        <f t="shared" si="4"/>
        <v>BR</v>
      </c>
      <c r="L1611" s="42" t="str">
        <v>BR2805</v>
      </c>
      <c r="M1611" s="121" t="str">
        <v/>
      </c>
      <c r="N1611" s="121" t="str">
        <v/>
      </c>
      <c r="O1611" s="121" t="str">
        <v/>
      </c>
      <c r="P1611" s="121" t="str">
        <v/>
      </c>
      <c r="Q1611" s="121" t="str">
        <v/>
      </c>
      <c r="R1611" s="121" t="str">
        <v/>
      </c>
      <c r="S1611" s="121" t="str">
        <v>Content Enrichment</v>
      </c>
      <c r="T1611" s="119" t="str">
        <f>IF($C1611&lt;4,IF($C1611=3,T1612,IF($C1611=2,T$1,"")),Q1611&amp;R1611&amp;IF(LEN(S1611)=0,"",Preferences!$C$2&amp;S1611)&amp;IF(J1612=J1611,IF(LEN(R1611&amp;S1611)=0,"","
")&amp;T1612,""))</f>
        <v xml:space="preserve">	• Content Enrichment</v>
      </c>
      <c r="U1611" s="122" t="str">
        <v/>
      </c>
      <c r="V1611" s="42"/>
      <c r="W1611" s="42"/>
      <c r="X1611" s="42"/>
      <c r="Y1611" s="42"/>
      <c r="Z1611" s="42"/>
      <c r="AA1611" s="42"/>
      <c r="AB1611" s="42"/>
    </row>
    <row r="1612" spans="1:28" x14ac:dyDescent="0.25">
      <c r="A1612" s="42" t="str">
        <v>1.28.6</v>
      </c>
      <c r="B1612" s="121" t="str">
        <v>28.6 Interface B2C sales payment transaction audit information from the B2C shop to the Shoprite financial system</v>
      </c>
      <c r="C1612" s="41">
        <v>3</v>
      </c>
      <c r="D1612" s="41" t="str">
        <v>R</v>
      </c>
      <c r="E1612" s="117" t="str">
        <f t="shared" si="0"/>
        <v>R</v>
      </c>
      <c r="F1612" s="41" t="str">
        <v/>
      </c>
      <c r="G1612" s="41" t="str">
        <v/>
      </c>
      <c r="H1612" s="117">
        <f t="shared" si="1"/>
        <v>0</v>
      </c>
      <c r="I1612" s="117">
        <f t="shared" si="2"/>
        <v>28</v>
      </c>
      <c r="J1612" s="117">
        <f t="shared" si="3"/>
        <v>28.060000000000009</v>
      </c>
      <c r="K1612" s="117" t="str">
        <f t="shared" si="4"/>
        <v>BR</v>
      </c>
      <c r="L1612" s="42" t="str">
        <v>BR2806</v>
      </c>
      <c r="M1612" s="121" t="str">
        <v/>
      </c>
      <c r="N1612" s="121" t="str">
        <v/>
      </c>
      <c r="O1612" s="121" t="str">
        <v>BR2806</v>
      </c>
      <c r="P1612" s="121" t="str">
        <v>Interface B2C sales payment transaction audit information from the B2C shop to the Shoprite financial system</v>
      </c>
      <c r="Q1612" s="121" t="str">
        <v/>
      </c>
      <c r="R1612" s="121" t="str">
        <v/>
      </c>
      <c r="S1612" s="121" t="str">
        <v/>
      </c>
      <c r="T1612" s="119" t="str">
        <f>IF($C1612&lt;4,IF($C1612=3,T1613,IF($C1612=2,T$1,"")),Q1612&amp;R1612&amp;IF(LEN(S1612)=0,"",Preferences!$C$2&amp;S1612)&amp;IF(J1613=J1612,IF(LEN(R1612&amp;S1612)=0,"","
")&amp;T1613,""))</f>
        <v xml:space="preserve"> 1. Sales transactions from the online store must automatically be interfaced to the Shoprite financial system.</v>
      </c>
      <c r="U1612" s="122" t="str">
        <v/>
      </c>
      <c r="V1612" s="42"/>
      <c r="W1612" s="42"/>
      <c r="X1612" s="42"/>
      <c r="Y1612" s="42"/>
      <c r="Z1612" s="42"/>
      <c r="AA1612" s="42"/>
      <c r="AB1612" s="42"/>
    </row>
    <row r="1613" spans="1:28" x14ac:dyDescent="0.25">
      <c r="A1613" s="42" t="str">
        <v>1.28.6.1</v>
      </c>
      <c r="B1613" s="121" t="str">
        <v>Sales transactions from the online store must automatically be interfaced to the Shoprite financial system.</v>
      </c>
      <c r="C1613" s="41">
        <v>4</v>
      </c>
      <c r="D1613" s="41" t="str">
        <v>RD</v>
      </c>
      <c r="E1613" s="117" t="str">
        <f t="shared" si="0"/>
        <v>RD</v>
      </c>
      <c r="F1613" s="41" t="str">
        <v/>
      </c>
      <c r="G1613" s="41" t="str">
        <v/>
      </c>
      <c r="H1613" s="117">
        <f t="shared" si="1"/>
        <v>0</v>
      </c>
      <c r="I1613" s="117">
        <f t="shared" si="2"/>
        <v>28</v>
      </c>
      <c r="J1613" s="117">
        <f t="shared" si="3"/>
        <v>28.060000000000009</v>
      </c>
      <c r="K1613" s="117" t="str">
        <f t="shared" si="4"/>
        <v>BR</v>
      </c>
      <c r="L1613" s="42" t="str">
        <v>BR2806</v>
      </c>
      <c r="M1613" s="121" t="str">
        <v/>
      </c>
      <c r="N1613" s="121" t="str">
        <v/>
      </c>
      <c r="O1613" s="121" t="str">
        <v/>
      </c>
      <c r="P1613" s="121" t="str">
        <v/>
      </c>
      <c r="Q1613" s="121" t="str">
        <v xml:space="preserve"> 1. </v>
      </c>
      <c r="R1613" s="121" t="str">
        <v>Sales transactions from the online store must automatically be interfaced to the Shoprite financial system.</v>
      </c>
      <c r="S1613" s="121" t="str">
        <v/>
      </c>
      <c r="T1613" s="119" t="str">
        <f>IF($C1613&lt;4,IF($C1613=3,T1614,IF($C1613=2,T$1,"")),Q1613&amp;R1613&amp;IF(LEN(S1613)=0,"",Preferences!$C$2&amp;S1613)&amp;IF(J1614=J1613,IF(LEN(R1613&amp;S1613)=0,"","
")&amp;T1614,""))</f>
        <v xml:space="preserve"> 1. Sales transactions from the online store must automatically be interfaced to the Shoprite financial system.</v>
      </c>
      <c r="U1613" s="122" t="str">
        <v/>
      </c>
      <c r="V1613" s="42"/>
      <c r="W1613" s="42"/>
      <c r="X1613" s="42"/>
      <c r="Y1613" s="42"/>
      <c r="Z1613" s="42"/>
      <c r="AA1613" s="42"/>
      <c r="AB1613" s="42"/>
    </row>
    <row r="1614" spans="1:28" x14ac:dyDescent="0.25">
      <c r="A1614" s="42" t="str">
        <v>1.28.7</v>
      </c>
      <c r="B1614" s="121" t="str">
        <v>28.7 Configure B2C Co in the Shoprite HR systems</v>
      </c>
      <c r="C1614" s="41">
        <v>3</v>
      </c>
      <c r="D1614" s="41" t="str">
        <v>R</v>
      </c>
      <c r="E1614" s="117" t="str">
        <f t="shared" si="0"/>
        <v>R</v>
      </c>
      <c r="F1614" s="41" t="str">
        <v/>
      </c>
      <c r="G1614" s="41" t="str">
        <v/>
      </c>
      <c r="H1614" s="117">
        <f t="shared" si="1"/>
        <v>0</v>
      </c>
      <c r="I1614" s="117">
        <f t="shared" si="2"/>
        <v>28</v>
      </c>
      <c r="J1614" s="117">
        <f t="shared" si="3"/>
        <v>28.070000000000011</v>
      </c>
      <c r="K1614" s="117" t="str">
        <f t="shared" si="4"/>
        <v>BR</v>
      </c>
      <c r="L1614" s="42" t="str">
        <v>BR2807</v>
      </c>
      <c r="M1614" s="121" t="str">
        <v/>
      </c>
      <c r="N1614" s="121" t="str">
        <v/>
      </c>
      <c r="O1614" s="121" t="str">
        <v>BR2807</v>
      </c>
      <c r="P1614" s="121" t="str">
        <v>Configure B2C Co in the Shoprite HR systems</v>
      </c>
      <c r="Q1614" s="121" t="str">
        <v/>
      </c>
      <c r="R1614" s="121" t="str">
        <v/>
      </c>
      <c r="S1614" s="121" t="str">
        <v/>
      </c>
      <c r="T1614" s="119" t="str">
        <f>IF($C1614&lt;4,IF($C1614=3,T1615,IF($C1614=2,T$1,"")),Q1614&amp;R1614&amp;IF(LEN(S1614)=0,"",Preferences!$C$2&amp;S1614)&amp;IF(J1615=J1614,IF(LEN(R1614&amp;S1614)=0,"","
")&amp;T1615,""))</f>
        <v xml:space="preserve"> 1. Approve and configure the basic B2C Co organisation structure in the Shoprite HR system, associated to the B2C Co chart of accounts in the Shoprite financial system for payroll and related purposes.
 2. Configure the B2C Co online site as location for staff in the Shoprite HR system.</v>
      </c>
      <c r="U1614" s="122" t="str">
        <v/>
      </c>
      <c r="V1614" s="42"/>
      <c r="W1614" s="42"/>
      <c r="X1614" s="42"/>
      <c r="Y1614" s="42"/>
      <c r="Z1614" s="42"/>
      <c r="AA1614" s="42"/>
      <c r="AB1614" s="42"/>
    </row>
    <row r="1615" spans="1:28" x14ac:dyDescent="0.25">
      <c r="A1615" s="42" t="str">
        <v>1.28.7.1</v>
      </c>
      <c r="B1615" s="121" t="str">
        <v>Approve and configure the basic B2C Co organisation structure in the Shoprite HR system, associated to the B2C Co chart of accounts in the Shoprite financial system for payroll and related purposes.</v>
      </c>
      <c r="C1615" s="41">
        <v>4</v>
      </c>
      <c r="D1615" s="41" t="str">
        <v>RD</v>
      </c>
      <c r="E1615" s="117" t="str">
        <f t="shared" si="0"/>
        <v>RD</v>
      </c>
      <c r="F1615" s="41" t="str">
        <v/>
      </c>
      <c r="G1615" s="41" t="str">
        <v/>
      </c>
      <c r="H1615" s="117">
        <f t="shared" si="1"/>
        <v>0</v>
      </c>
      <c r="I1615" s="117">
        <f t="shared" si="2"/>
        <v>28</v>
      </c>
      <c r="J1615" s="117">
        <f t="shared" si="3"/>
        <v>28.070000000000011</v>
      </c>
      <c r="K1615" s="117" t="str">
        <f t="shared" si="4"/>
        <v>BR</v>
      </c>
      <c r="L1615" s="42" t="str">
        <v>BR2807</v>
      </c>
      <c r="M1615" s="121" t="str">
        <v/>
      </c>
      <c r="N1615" s="121" t="str">
        <v/>
      </c>
      <c r="O1615" s="121" t="str">
        <v/>
      </c>
      <c r="P1615" s="121" t="str">
        <v/>
      </c>
      <c r="Q1615" s="121" t="str">
        <v xml:space="preserve"> 1. </v>
      </c>
      <c r="R1615" s="121" t="str">
        <v>Approve and configure the basic B2C Co organisation structure in the Shoprite HR system, associated to the B2C Co chart of accounts in the Shoprite financial system for payroll and related purposes.</v>
      </c>
      <c r="S1615" s="121" t="str">
        <v/>
      </c>
      <c r="T1615" s="119" t="str">
        <f>IF($C1615&lt;4,IF($C1615=3,T1616,IF($C1615=2,T$1,"")),Q1615&amp;R1615&amp;IF(LEN(S1615)=0,"",Preferences!$C$2&amp;S1615)&amp;IF(J1616=J1615,IF(LEN(R1615&amp;S1615)=0,"","
")&amp;T1616,""))</f>
        <v xml:space="preserve"> 1. Approve and configure the basic B2C Co organisation structure in the Shoprite HR system, associated to the B2C Co chart of accounts in the Shoprite financial system for payroll and related purposes.
 2. Configure the B2C Co online site as location for staff in the Shoprite HR system.</v>
      </c>
      <c r="U1615" s="122" t="str">
        <v/>
      </c>
      <c r="V1615" s="42"/>
      <c r="W1615" s="42"/>
      <c r="X1615" s="42"/>
      <c r="Y1615" s="42"/>
      <c r="Z1615" s="42"/>
      <c r="AA1615" s="42"/>
      <c r="AB1615" s="42"/>
    </row>
    <row r="1616" spans="1:28" x14ac:dyDescent="0.25">
      <c r="A1616" s="42" t="str">
        <v>1.28.7.2</v>
      </c>
      <c r="B1616" s="121" t="str">
        <v>Configure the B2C Co online site as location for staff in the Shoprite HR system.</v>
      </c>
      <c r="C1616" s="41">
        <v>4</v>
      </c>
      <c r="D1616" s="41" t="str">
        <v>RD</v>
      </c>
      <c r="E1616" s="117" t="str">
        <f t="shared" si="0"/>
        <v>RD</v>
      </c>
      <c r="F1616" s="41" t="str">
        <v/>
      </c>
      <c r="G1616" s="41" t="str">
        <v/>
      </c>
      <c r="H1616" s="117">
        <f t="shared" si="1"/>
        <v>0</v>
      </c>
      <c r="I1616" s="117">
        <f t="shared" si="2"/>
        <v>28</v>
      </c>
      <c r="J1616" s="117">
        <f t="shared" si="3"/>
        <v>28.070000000000011</v>
      </c>
      <c r="K1616" s="117" t="str">
        <f t="shared" si="4"/>
        <v>BR</v>
      </c>
      <c r="L1616" s="42" t="str">
        <v>BR2807</v>
      </c>
      <c r="M1616" s="121" t="str">
        <v/>
      </c>
      <c r="N1616" s="121" t="str">
        <v/>
      </c>
      <c r="O1616" s="121" t="str">
        <v/>
      </c>
      <c r="P1616" s="121" t="str">
        <v/>
      </c>
      <c r="Q1616" s="121" t="str">
        <v xml:space="preserve"> 2. </v>
      </c>
      <c r="R1616" s="121" t="str">
        <v>Configure the B2C Co online site as location for staff in the Shoprite HR system.</v>
      </c>
      <c r="S1616" s="121" t="str">
        <v/>
      </c>
      <c r="T1616" s="119" t="str">
        <f>IF($C1616&lt;4,IF($C1616=3,T1617,IF($C1616=2,T$1,"")),Q1616&amp;R1616&amp;IF(LEN(S1616)=0,"",Preferences!$C$2&amp;S1616)&amp;IF(J1617=J1616,IF(LEN(R1616&amp;S1616)=0,"","
")&amp;T1617,""))</f>
        <v xml:space="preserve"> 2. Configure the B2C Co online site as location for staff in the Shoprite HR system.</v>
      </c>
      <c r="U1616" s="122" t="str">
        <v/>
      </c>
      <c r="V1616" s="42"/>
      <c r="W1616" s="42"/>
      <c r="X1616" s="42"/>
      <c r="Y1616" s="42"/>
      <c r="Z1616" s="42"/>
      <c r="AA1616" s="42"/>
      <c r="AB1616" s="42"/>
    </row>
    <row r="1617" spans="1:28" x14ac:dyDescent="0.25">
      <c r="A1617" s="42" t="str">
        <v>1.29</v>
      </c>
      <c r="B1617" s="121" t="str">
        <v>29 Establish IT Support for B2C Co</v>
      </c>
      <c r="C1617" s="41">
        <v>2</v>
      </c>
      <c r="D1617" s="41" t="str">
        <v>RS</v>
      </c>
      <c r="E1617" s="117" t="str">
        <f t="shared" si="0"/>
        <v>RS</v>
      </c>
      <c r="F1617" s="41" t="str">
        <v/>
      </c>
      <c r="G1617" s="41" t="str">
        <v/>
      </c>
      <c r="H1617" s="117">
        <f t="shared" si="1"/>
        <v>0</v>
      </c>
      <c r="I1617" s="117">
        <f t="shared" si="2"/>
        <v>29</v>
      </c>
      <c r="J1617" s="117">
        <f t="shared" si="3"/>
        <v>29</v>
      </c>
      <c r="K1617" s="117" t="str">
        <f t="shared" si="4"/>
        <v>BR</v>
      </c>
      <c r="L1617" s="42">
        <v>29</v>
      </c>
      <c r="M1617" s="121" t="str">
        <v/>
      </c>
      <c r="N1617" s="121" t="str">
        <v>29 Establish IT Support for B2C Co</v>
      </c>
      <c r="O1617" s="121" t="str">
        <v>ReqID</v>
      </c>
      <c r="P1617" s="121" t="e">
        <v>#N/A</v>
      </c>
      <c r="Q1617" s="121" t="str">
        <v/>
      </c>
      <c r="R1617" s="121" t="str">
        <v/>
      </c>
      <c r="S1617" s="121" t="str">
        <v/>
      </c>
      <c r="T1617" s="119" t="str">
        <f>IF($C1617&lt;4,IF($C1617=3,T1618,IF($C1617=2,T$1,"")),Q1617&amp;R1617&amp;IF(LEN(S1617)=0,"",Preferences!$C$2&amp;S1617)&amp;IF(J1618=J1617,IF(LEN(R1617&amp;S1617)=0,"","
")&amp;T1618,""))</f>
        <v>Description</v>
      </c>
      <c r="U1617" s="122" t="str">
        <v/>
      </c>
      <c r="V1617" s="42"/>
      <c r="W1617" s="42"/>
      <c r="X1617" s="42"/>
      <c r="Y1617" s="42"/>
      <c r="Z1617" s="42"/>
      <c r="AA1617" s="42"/>
      <c r="AB1617" s="42"/>
    </row>
    <row r="1618" spans="1:28" x14ac:dyDescent="0.25">
      <c r="A1618" s="42" t="str">
        <v>1.29.1</v>
      </c>
      <c r="B1618" s="121" t="str">
        <v>29.1 Configure B2C Co in the Shoprite IT systems</v>
      </c>
      <c r="C1618" s="41">
        <v>3</v>
      </c>
      <c r="D1618" s="41" t="str">
        <v>R</v>
      </c>
      <c r="E1618" s="117" t="str">
        <f t="shared" si="0"/>
        <v>R</v>
      </c>
      <c r="F1618" s="41" t="str">
        <v/>
      </c>
      <c r="G1618" s="41" t="str">
        <v/>
      </c>
      <c r="H1618" s="117">
        <f t="shared" si="1"/>
        <v>0</v>
      </c>
      <c r="I1618" s="117">
        <f t="shared" si="2"/>
        <v>29</v>
      </c>
      <c r="J1618" s="117">
        <f t="shared" si="3"/>
        <v>29.01</v>
      </c>
      <c r="K1618" s="117" t="str">
        <f t="shared" si="4"/>
        <v>BR</v>
      </c>
      <c r="L1618" s="42" t="str">
        <v>BR2901</v>
      </c>
      <c r="M1618" s="121" t="str">
        <v/>
      </c>
      <c r="N1618" s="121" t="str">
        <v/>
      </c>
      <c r="O1618" s="121" t="str">
        <v>BR2901</v>
      </c>
      <c r="P1618" s="121" t="str">
        <v>Configure B2C Co in the Shoprite IT systems</v>
      </c>
      <c r="Q1618" s="121" t="str">
        <v/>
      </c>
      <c r="R1618" s="121" t="str">
        <v/>
      </c>
      <c r="S1618" s="121" t="str">
        <v/>
      </c>
      <c r="T1618" s="119" t="str">
        <f>IF($C1618&lt;4,IF($C1618=3,T1619,IF($C1618=2,T$1,"")),Q1618&amp;R1618&amp;IF(LEN(S1618)=0,"",Preferences!$C$2&amp;S1618)&amp;IF(J1619=J1618,IF(LEN(R1618&amp;S1618)=0,"","
")&amp;T1619,""))</f>
        <v xml:space="preserve"> 1. Configure B2C Co business and trading site in the Shoprite site management systems.
 2. Configure the B2C Co business and trading site in the Shoprite IT operational systems.
 3. Register a domain for the B2C Co online store.
 4. Register the B2C Co domain for email use with the Shoprite systems and allocate email addresses to the key staff.</v>
      </c>
      <c r="U1618" s="122" t="str">
        <v/>
      </c>
      <c r="V1618" s="42"/>
      <c r="W1618" s="42"/>
      <c r="X1618" s="42"/>
      <c r="Y1618" s="42"/>
      <c r="Z1618" s="42"/>
      <c r="AA1618" s="42"/>
      <c r="AB1618" s="42"/>
    </row>
    <row r="1619" spans="1:28" x14ac:dyDescent="0.25">
      <c r="A1619" s="42" t="str">
        <v>1.29.1.1</v>
      </c>
      <c r="B1619" s="121" t="str">
        <v>Configure B2C Co business and trading site in the Shoprite site management systems.</v>
      </c>
      <c r="C1619" s="41">
        <v>4</v>
      </c>
      <c r="D1619" s="41" t="str">
        <v>RD</v>
      </c>
      <c r="E1619" s="117" t="str">
        <f t="shared" si="0"/>
        <v>RD</v>
      </c>
      <c r="F1619" s="41" t="str">
        <v/>
      </c>
      <c r="G1619" s="41" t="str">
        <v/>
      </c>
      <c r="H1619" s="117">
        <f t="shared" si="1"/>
        <v>0</v>
      </c>
      <c r="I1619" s="117">
        <f t="shared" si="2"/>
        <v>29</v>
      </c>
      <c r="J1619" s="117">
        <f t="shared" si="3"/>
        <v>29.01</v>
      </c>
      <c r="K1619" s="117" t="str">
        <f t="shared" si="4"/>
        <v>BR</v>
      </c>
      <c r="L1619" s="42" t="str">
        <v>BR2901</v>
      </c>
      <c r="M1619" s="121" t="str">
        <v/>
      </c>
      <c r="N1619" s="121" t="str">
        <v/>
      </c>
      <c r="O1619" s="121" t="str">
        <v/>
      </c>
      <c r="P1619" s="121" t="str">
        <v/>
      </c>
      <c r="Q1619" s="121" t="str">
        <v xml:space="preserve"> 1. </v>
      </c>
      <c r="R1619" s="121" t="str">
        <v>Configure B2C Co business and trading site in the Shoprite site management systems.</v>
      </c>
      <c r="S1619" s="121" t="str">
        <v/>
      </c>
      <c r="T1619" s="119" t="str">
        <f>IF($C1619&lt;4,IF($C1619=3,T1620,IF($C1619=2,T$1,"")),Q1619&amp;R1619&amp;IF(LEN(S1619)=0,"",Preferences!$C$2&amp;S1619)&amp;IF(J1620=J1619,IF(LEN(R1619&amp;S1619)=0,"","
")&amp;T1620,""))</f>
        <v xml:space="preserve"> 1. Configure B2C Co business and trading site in the Shoprite site management systems.
 2. Configure the B2C Co business and trading site in the Shoprite IT operational systems.
 3. Register a domain for the B2C Co online store.
 4. Register the B2C Co domain for email use with the Shoprite systems and allocate email addresses to the key staff.</v>
      </c>
      <c r="U1619" s="122" t="str">
        <v/>
      </c>
      <c r="V1619" s="42"/>
      <c r="W1619" s="42"/>
      <c r="X1619" s="42"/>
      <c r="Y1619" s="42"/>
      <c r="Z1619" s="42"/>
      <c r="AA1619" s="42"/>
      <c r="AB1619" s="42"/>
    </row>
    <row r="1620" spans="1:28" x14ac:dyDescent="0.25">
      <c r="A1620" s="42" t="str">
        <v>1.29.1.2</v>
      </c>
      <c r="B1620" s="121" t="str">
        <v>Configure the B2C Co business and trading site in the Shoprite IT operational systems.</v>
      </c>
      <c r="C1620" s="41">
        <v>4</v>
      </c>
      <c r="D1620" s="41" t="str">
        <v>RD</v>
      </c>
      <c r="E1620" s="117" t="str">
        <f t="shared" si="0"/>
        <v>RD</v>
      </c>
      <c r="F1620" s="41" t="str">
        <v/>
      </c>
      <c r="G1620" s="41" t="str">
        <v/>
      </c>
      <c r="H1620" s="117">
        <f t="shared" si="1"/>
        <v>0</v>
      </c>
      <c r="I1620" s="117">
        <f t="shared" si="2"/>
        <v>29</v>
      </c>
      <c r="J1620" s="117">
        <f t="shared" si="3"/>
        <v>29.01</v>
      </c>
      <c r="K1620" s="117" t="str">
        <f t="shared" si="4"/>
        <v>BR</v>
      </c>
      <c r="L1620" s="42" t="str">
        <v>BR2901</v>
      </c>
      <c r="M1620" s="121" t="str">
        <v/>
      </c>
      <c r="N1620" s="121" t="str">
        <v/>
      </c>
      <c r="O1620" s="121" t="str">
        <v/>
      </c>
      <c r="P1620" s="121" t="str">
        <v/>
      </c>
      <c r="Q1620" s="121" t="str">
        <v xml:space="preserve"> 2. </v>
      </c>
      <c r="R1620" s="121" t="str">
        <v>Configure the B2C Co business and trading site in the Shoprite IT operational systems.</v>
      </c>
      <c r="S1620" s="121" t="str">
        <v/>
      </c>
      <c r="T1620" s="119" t="str">
        <f>IF($C1620&lt;4,IF($C1620=3,T1621,IF($C1620=2,T$1,"")),Q1620&amp;R1620&amp;IF(LEN(S1620)=0,"",Preferences!$C$2&amp;S1620)&amp;IF(J1621=J1620,IF(LEN(R1620&amp;S1620)=0,"","
")&amp;T1621,""))</f>
        <v xml:space="preserve"> 2. Configure the B2C Co business and trading site in the Shoprite IT operational systems.
 3. Register a domain for the B2C Co online store.
 4. Register the B2C Co domain for email use with the Shoprite systems and allocate email addresses to the key staff.</v>
      </c>
      <c r="U1620" s="122" t="str">
        <v/>
      </c>
      <c r="V1620" s="42"/>
      <c r="W1620" s="42"/>
      <c r="X1620" s="42"/>
      <c r="Y1620" s="42"/>
      <c r="Z1620" s="42"/>
      <c r="AA1620" s="42"/>
      <c r="AB1620" s="42"/>
    </row>
    <row r="1621" spans="1:28" x14ac:dyDescent="0.25">
      <c r="A1621" s="42" t="str">
        <v>1.29.1.3</v>
      </c>
      <c r="B1621" s="121" t="str">
        <v>Register a domain for the B2C Co online store.</v>
      </c>
      <c r="C1621" s="41">
        <v>4</v>
      </c>
      <c r="D1621" s="41" t="str">
        <v>RD</v>
      </c>
      <c r="E1621" s="117" t="str">
        <f t="shared" si="0"/>
        <v>RD</v>
      </c>
      <c r="F1621" s="41" t="str">
        <v/>
      </c>
      <c r="G1621" s="41" t="str">
        <v/>
      </c>
      <c r="H1621" s="117">
        <f t="shared" si="1"/>
        <v>0</v>
      </c>
      <c r="I1621" s="117">
        <f t="shared" si="2"/>
        <v>29</v>
      </c>
      <c r="J1621" s="117">
        <f t="shared" si="3"/>
        <v>29.01</v>
      </c>
      <c r="K1621" s="117" t="str">
        <f t="shared" si="4"/>
        <v>BR</v>
      </c>
      <c r="L1621" s="42" t="str">
        <v>BR2901</v>
      </c>
      <c r="M1621" s="121" t="str">
        <v/>
      </c>
      <c r="N1621" s="121" t="str">
        <v/>
      </c>
      <c r="O1621" s="121" t="str">
        <v/>
      </c>
      <c r="P1621" s="121" t="str">
        <v/>
      </c>
      <c r="Q1621" s="121" t="str">
        <v xml:space="preserve"> 3. </v>
      </c>
      <c r="R1621" s="121" t="str">
        <v>Register a domain for the B2C Co online store.</v>
      </c>
      <c r="S1621" s="121" t="str">
        <v/>
      </c>
      <c r="T1621" s="119" t="str">
        <f>IF($C1621&lt;4,IF($C1621=3,T1622,IF($C1621=2,T$1,"")),Q1621&amp;R1621&amp;IF(LEN(S1621)=0,"",Preferences!$C$2&amp;S1621)&amp;IF(J1622=J1621,IF(LEN(R1621&amp;S1621)=0,"","
")&amp;T1622,""))</f>
        <v xml:space="preserve"> 3. Register a domain for the B2C Co online store.
 4. Register the B2C Co domain for email use with the Shoprite systems and allocate email addresses to the key staff.</v>
      </c>
      <c r="U1621" s="122" t="str">
        <v/>
      </c>
      <c r="V1621" s="42"/>
      <c r="W1621" s="42"/>
      <c r="X1621" s="42"/>
      <c r="Y1621" s="42"/>
      <c r="Z1621" s="42"/>
      <c r="AA1621" s="42"/>
      <c r="AB1621" s="42"/>
    </row>
    <row r="1622" spans="1:28" x14ac:dyDescent="0.25">
      <c r="A1622" s="42" t="str">
        <v>1.29.1.4</v>
      </c>
      <c r="B1622" s="121" t="str">
        <v>Register the B2C Co domain for email use with the Shoprite systems and allocate email addresses to the key staff.</v>
      </c>
      <c r="C1622" s="41">
        <v>4</v>
      </c>
      <c r="D1622" s="41" t="str">
        <v>RD</v>
      </c>
      <c r="E1622" s="117" t="str">
        <f t="shared" si="0"/>
        <v>RD</v>
      </c>
      <c r="F1622" s="41" t="str">
        <v/>
      </c>
      <c r="G1622" s="41" t="str">
        <v/>
      </c>
      <c r="H1622" s="117">
        <f t="shared" si="1"/>
        <v>0</v>
      </c>
      <c r="I1622" s="117">
        <f t="shared" si="2"/>
        <v>29</v>
      </c>
      <c r="J1622" s="117">
        <f t="shared" si="3"/>
        <v>29.01</v>
      </c>
      <c r="K1622" s="117" t="str">
        <f t="shared" si="4"/>
        <v>BR</v>
      </c>
      <c r="L1622" s="42" t="str">
        <v>BR2901</v>
      </c>
      <c r="M1622" s="121" t="str">
        <v/>
      </c>
      <c r="N1622" s="121" t="str">
        <v/>
      </c>
      <c r="O1622" s="121" t="str">
        <v/>
      </c>
      <c r="P1622" s="121" t="str">
        <v/>
      </c>
      <c r="Q1622" s="121" t="str">
        <v xml:space="preserve"> 4. </v>
      </c>
      <c r="R1622" s="121" t="str">
        <v>Register the B2C Co domain for email use with the Shoprite systems and allocate email addresses to the key staff.</v>
      </c>
      <c r="S1622" s="121" t="str">
        <v/>
      </c>
      <c r="T1622" s="119" t="str">
        <f>IF($C1622&lt;4,IF($C1622=3,T1623,IF($C1622=2,T$1,"")),Q1622&amp;R1622&amp;IF(LEN(S1622)=0,"",Preferences!$C$2&amp;S1622)&amp;IF(J1623=J1622,IF(LEN(R1622&amp;S1622)=0,"","
")&amp;T1623,""))</f>
        <v xml:space="preserve"> 4. Register the B2C Co domain for email use with the Shoprite systems and allocate email addresses to the key staff.</v>
      </c>
      <c r="U1622" s="122" t="str">
        <v/>
      </c>
      <c r="V1622" s="42"/>
      <c r="W1622" s="42"/>
      <c r="X1622" s="42"/>
      <c r="Y1622" s="42"/>
      <c r="Z1622" s="42"/>
      <c r="AA1622" s="42"/>
      <c r="AB1622" s="42"/>
    </row>
    <row r="1623" spans="1:28" x14ac:dyDescent="0.25">
      <c r="A1623" s="42" t="str">
        <v>1.30</v>
      </c>
      <c r="B1623" s="121" t="str">
        <v>30 Customer Retention Enhancements (next phase)</v>
      </c>
      <c r="C1623" s="41">
        <v>2</v>
      </c>
      <c r="D1623" s="41" t="str">
        <v>RS</v>
      </c>
      <c r="E1623" s="117" t="str">
        <f t="shared" si="0"/>
        <v>RS</v>
      </c>
      <c r="F1623" s="41" t="str">
        <v/>
      </c>
      <c r="G1623" s="41" t="str">
        <v/>
      </c>
      <c r="H1623" s="117">
        <f t="shared" si="1"/>
        <v>0</v>
      </c>
      <c r="I1623" s="117">
        <f t="shared" si="2"/>
        <v>30</v>
      </c>
      <c r="J1623" s="117">
        <f t="shared" si="3"/>
        <v>30</v>
      </c>
      <c r="K1623" s="117" t="str">
        <f t="shared" si="4"/>
        <v>BR</v>
      </c>
      <c r="L1623" s="42">
        <v>30</v>
      </c>
      <c r="M1623" s="121" t="str">
        <v/>
      </c>
      <c r="N1623" s="121" t="str">
        <v>30 Customer Retention Enhancements (next phase)</v>
      </c>
      <c r="O1623" s="121" t="str">
        <v>ReqID</v>
      </c>
      <c r="P1623" s="121" t="e">
        <v>#N/A</v>
      </c>
      <c r="Q1623" s="121" t="str">
        <v/>
      </c>
      <c r="R1623" s="121" t="str">
        <v/>
      </c>
      <c r="S1623" s="121" t="str">
        <v/>
      </c>
      <c r="T1623" s="119" t="str">
        <f>IF($C1623&lt;4,IF($C1623=3,T1624,IF($C1623=2,T$1,"")),Q1623&amp;R1623&amp;IF(LEN(S1623)=0,"",Preferences!$C$2&amp;S1623)&amp;IF(J1624=J1623,IF(LEN(R1623&amp;S1623)=0,"","
")&amp;T1624,""))</f>
        <v>Description</v>
      </c>
      <c r="U1623" s="122" t="str">
        <v/>
      </c>
      <c r="V1623" s="42"/>
      <c r="W1623" s="42"/>
      <c r="X1623" s="42"/>
      <c r="Y1623" s="42"/>
      <c r="Z1623" s="42"/>
      <c r="AA1623" s="42"/>
      <c r="AB1623" s="42"/>
    </row>
    <row r="1624" spans="1:28" x14ac:dyDescent="0.25">
      <c r="A1624" s="42" t="str">
        <v>1.30.1</v>
      </c>
      <c r="B1624" s="121" t="str">
        <v>30.1 Maintain a Discount Vouchers System</v>
      </c>
      <c r="C1624" s="41">
        <v>3</v>
      </c>
      <c r="D1624" s="41" t="str">
        <v>R</v>
      </c>
      <c r="E1624" s="117" t="str">
        <f t="shared" si="0"/>
        <v>R</v>
      </c>
      <c r="F1624" s="41" t="str">
        <v/>
      </c>
      <c r="G1624" s="41" t="str">
        <v/>
      </c>
      <c r="H1624" s="117">
        <f t="shared" si="1"/>
        <v>0</v>
      </c>
      <c r="I1624" s="117">
        <f t="shared" si="2"/>
        <v>30</v>
      </c>
      <c r="J1624" s="117">
        <f t="shared" si="3"/>
        <v>30.01</v>
      </c>
      <c r="K1624" s="117" t="str">
        <f t="shared" si="4"/>
        <v>BR</v>
      </c>
      <c r="L1624" s="42" t="str">
        <v>BR3001</v>
      </c>
      <c r="M1624" s="121" t="str">
        <v/>
      </c>
      <c r="N1624" s="121" t="str">
        <v/>
      </c>
      <c r="O1624" s="121" t="str">
        <v>BR3001</v>
      </c>
      <c r="P1624" s="121" t="str">
        <v>Maintain a Discount Vouchers System</v>
      </c>
      <c r="Q1624" s="121" t="str">
        <v/>
      </c>
      <c r="R1624" s="121" t="str">
        <v/>
      </c>
      <c r="S1624" s="121" t="str">
        <v/>
      </c>
      <c r="T1624" s="119" t="str">
        <f>IF($C1624&lt;4,IF($C1624=3,T1625,IF($C1624=2,T$1,"")),Q1624&amp;R1624&amp;IF(LEN(S1624)=0,"",Preferences!$C$2&amp;S1624)&amp;IF(J1625=J1624,IF(LEN(R1624&amp;S1624)=0,"","
")&amp;T1625,""))</f>
        <v xml:space="preserve"> 1. Maintain a record of all discount vouchers.
 2. Track the use of each voucher by a signed-ibn customer.
 3. A voucher may only be used once by a customer.</v>
      </c>
      <c r="U1624" s="122" t="str">
        <v/>
      </c>
      <c r="V1624" s="42"/>
      <c r="W1624" s="42"/>
      <c r="X1624" s="42"/>
      <c r="Y1624" s="42"/>
      <c r="Z1624" s="42"/>
      <c r="AA1624" s="42"/>
      <c r="AB1624" s="42"/>
    </row>
    <row r="1625" spans="1:28" x14ac:dyDescent="0.25">
      <c r="A1625" s="42" t="str">
        <v>1.30.1.1</v>
      </c>
      <c r="B1625" s="121" t="str">
        <v>Maintain a record of all discount vouchers.</v>
      </c>
      <c r="C1625" s="41">
        <v>4</v>
      </c>
      <c r="D1625" s="41" t="str">
        <v>RD</v>
      </c>
      <c r="E1625" s="117" t="str">
        <f t="shared" si="0"/>
        <v>RD</v>
      </c>
      <c r="F1625" s="41" t="str">
        <v/>
      </c>
      <c r="G1625" s="41" t="str">
        <v/>
      </c>
      <c r="H1625" s="117">
        <f t="shared" si="1"/>
        <v>0</v>
      </c>
      <c r="I1625" s="117">
        <f t="shared" si="2"/>
        <v>30</v>
      </c>
      <c r="J1625" s="117">
        <f t="shared" si="3"/>
        <v>30.01</v>
      </c>
      <c r="K1625" s="117" t="str">
        <f t="shared" si="4"/>
        <v>BR</v>
      </c>
      <c r="L1625" s="42" t="str">
        <v>BR3001</v>
      </c>
      <c r="M1625" s="121" t="str">
        <v/>
      </c>
      <c r="N1625" s="121" t="str">
        <v/>
      </c>
      <c r="O1625" s="121" t="str">
        <v/>
      </c>
      <c r="P1625" s="121" t="str">
        <v/>
      </c>
      <c r="Q1625" s="121" t="str">
        <v xml:space="preserve"> 1. </v>
      </c>
      <c r="R1625" s="121" t="str">
        <v>Maintain a record of all discount vouchers.</v>
      </c>
      <c r="S1625" s="121" t="str">
        <v/>
      </c>
      <c r="T1625" s="119" t="str">
        <f>IF($C1625&lt;4,IF($C1625=3,T1626,IF($C1625=2,T$1,"")),Q1625&amp;R1625&amp;IF(LEN(S1625)=0,"",Preferences!$C$2&amp;S1625)&amp;IF(J1626=J1625,IF(LEN(R1625&amp;S1625)=0,"","
")&amp;T1626,""))</f>
        <v xml:space="preserve"> 1. Maintain a record of all discount vouchers.
 2. Track the use of each voucher by a signed-ibn customer.
 3. A voucher may only be used once by a customer.</v>
      </c>
      <c r="U1625" s="122" t="str">
        <v/>
      </c>
      <c r="V1625" s="42"/>
      <c r="W1625" s="42"/>
      <c r="X1625" s="42"/>
      <c r="Y1625" s="42"/>
      <c r="Z1625" s="42"/>
      <c r="AA1625" s="42"/>
      <c r="AB1625" s="42"/>
    </row>
    <row r="1626" spans="1:28" x14ac:dyDescent="0.25">
      <c r="A1626" s="42" t="str">
        <v>1.30.1.2</v>
      </c>
      <c r="B1626" s="121" t="str">
        <v>Track the use of each voucher by a signed-ibn customer.</v>
      </c>
      <c r="C1626" s="41">
        <v>4</v>
      </c>
      <c r="D1626" s="41" t="str">
        <v>RD</v>
      </c>
      <c r="E1626" s="117" t="str">
        <f t="shared" si="0"/>
        <v>RD</v>
      </c>
      <c r="F1626" s="41" t="str">
        <v/>
      </c>
      <c r="G1626" s="41" t="str">
        <v/>
      </c>
      <c r="H1626" s="117">
        <f t="shared" si="1"/>
        <v>0</v>
      </c>
      <c r="I1626" s="117">
        <f t="shared" si="2"/>
        <v>30</v>
      </c>
      <c r="J1626" s="117">
        <f t="shared" si="3"/>
        <v>30.01</v>
      </c>
      <c r="K1626" s="117" t="str">
        <f t="shared" si="4"/>
        <v>BR</v>
      </c>
      <c r="L1626" s="42" t="str">
        <v>BR3001</v>
      </c>
      <c r="M1626" s="121" t="str">
        <v/>
      </c>
      <c r="N1626" s="121" t="str">
        <v/>
      </c>
      <c r="O1626" s="121" t="str">
        <v/>
      </c>
      <c r="P1626" s="121" t="str">
        <v/>
      </c>
      <c r="Q1626" s="121" t="str">
        <v xml:space="preserve"> 2. </v>
      </c>
      <c r="R1626" s="121" t="str">
        <v>Track the use of each voucher by a signed-ibn customer.</v>
      </c>
      <c r="S1626" s="121" t="str">
        <v/>
      </c>
      <c r="T1626" s="119" t="str">
        <f>IF($C1626&lt;4,IF($C1626=3,T1627,IF($C1626=2,T$1,"")),Q1626&amp;R1626&amp;IF(LEN(S1626)=0,"",Preferences!$C$2&amp;S1626)&amp;IF(J1627=J1626,IF(LEN(R1626&amp;S1626)=0,"","
")&amp;T1627,""))</f>
        <v xml:space="preserve"> 2. Track the use of each voucher by a signed-ibn customer.
 3. A voucher may only be used once by a customer.</v>
      </c>
      <c r="U1626" s="122" t="str">
        <v/>
      </c>
      <c r="V1626" s="42"/>
      <c r="W1626" s="42"/>
      <c r="X1626" s="42"/>
      <c r="Y1626" s="42"/>
      <c r="Z1626" s="42"/>
      <c r="AA1626" s="42"/>
      <c r="AB1626" s="42"/>
    </row>
    <row r="1627" spans="1:28" x14ac:dyDescent="0.25">
      <c r="A1627" s="42" t="str">
        <v>1.30.1.3</v>
      </c>
      <c r="B1627" s="121" t="str">
        <v>A voucher may only be used once by a customer.</v>
      </c>
      <c r="C1627" s="41">
        <v>4</v>
      </c>
      <c r="D1627" s="41" t="str">
        <v>RD</v>
      </c>
      <c r="E1627" s="117" t="str">
        <f t="shared" si="0"/>
        <v>RD</v>
      </c>
      <c r="F1627" s="41" t="str">
        <v/>
      </c>
      <c r="G1627" s="41" t="str">
        <v/>
      </c>
      <c r="H1627" s="117">
        <f t="shared" si="1"/>
        <v>0</v>
      </c>
      <c r="I1627" s="117">
        <f t="shared" si="2"/>
        <v>30</v>
      </c>
      <c r="J1627" s="117">
        <f t="shared" si="3"/>
        <v>30.01</v>
      </c>
      <c r="K1627" s="117" t="str">
        <f t="shared" si="4"/>
        <v>BR</v>
      </c>
      <c r="L1627" s="42" t="str">
        <v>BR3001</v>
      </c>
      <c r="M1627" s="121" t="str">
        <v/>
      </c>
      <c r="N1627" s="121" t="str">
        <v/>
      </c>
      <c r="O1627" s="121" t="str">
        <v/>
      </c>
      <c r="P1627" s="121" t="str">
        <v/>
      </c>
      <c r="Q1627" s="121" t="str">
        <v xml:space="preserve"> 3. </v>
      </c>
      <c r="R1627" s="121" t="str">
        <v>A voucher may only be used once by a customer.</v>
      </c>
      <c r="S1627" s="121" t="str">
        <v/>
      </c>
      <c r="T1627" s="119" t="str">
        <f>IF($C1627&lt;4,IF($C1627=3,T1628,IF($C1627=2,T$1,"")),Q1627&amp;R1627&amp;IF(LEN(S1627)=0,"",Preferences!$C$2&amp;S1627)&amp;IF(J1628=J1627,IF(LEN(R1627&amp;S1627)=0,"","
")&amp;T1628,""))</f>
        <v xml:space="preserve"> 3. A voucher may only be used once by a customer.</v>
      </c>
      <c r="U1627" s="122" t="str">
        <v/>
      </c>
      <c r="V1627" s="42"/>
      <c r="W1627" s="42"/>
      <c r="X1627" s="42"/>
      <c r="Y1627" s="42"/>
      <c r="Z1627" s="42"/>
      <c r="AA1627" s="42"/>
      <c r="AB1627" s="42"/>
    </row>
    <row r="1628" spans="1:28" x14ac:dyDescent="0.25">
      <c r="A1628" s="42" t="str">
        <v>1.30.2</v>
      </c>
      <c r="B1628" s="121" t="str">
        <v>30.2 Maintain sales promotion discount vouchers</v>
      </c>
      <c r="C1628" s="41">
        <v>3</v>
      </c>
      <c r="D1628" s="41" t="str">
        <v>R</v>
      </c>
      <c r="E1628" s="117" t="str">
        <f t="shared" si="0"/>
        <v>R</v>
      </c>
      <c r="F1628" s="41" t="str">
        <v/>
      </c>
      <c r="G1628" s="41" t="str">
        <v/>
      </c>
      <c r="H1628" s="117">
        <f t="shared" si="1"/>
        <v>0</v>
      </c>
      <c r="I1628" s="117">
        <f t="shared" si="2"/>
        <v>30</v>
      </c>
      <c r="J1628" s="117">
        <f t="shared" si="3"/>
        <v>30.020000000000003</v>
      </c>
      <c r="K1628" s="117" t="str">
        <f t="shared" si="4"/>
        <v>BR</v>
      </c>
      <c r="L1628" s="42" t="str">
        <v>BR3002</v>
      </c>
      <c r="M1628" s="121" t="str">
        <v/>
      </c>
      <c r="N1628" s="121" t="str">
        <v/>
      </c>
      <c r="O1628" s="121" t="str">
        <v>BR3002</v>
      </c>
      <c r="P1628" s="121" t="str">
        <v>Maintain sales promotion discount vouchers</v>
      </c>
      <c r="Q1628" s="121" t="str">
        <v/>
      </c>
      <c r="R1628" s="121" t="str">
        <v/>
      </c>
      <c r="S1628" s="121" t="str">
        <v/>
      </c>
      <c r="T1628" s="119" t="str">
        <f>IF($C1628&lt;4,IF($C1628=3,T1629,IF($C1628=2,T$1,"")),Q1628&amp;R1628&amp;IF(LEN(S1628)=0,"",Preferences!$C$2&amp;S1628)&amp;IF(J1629=J1628,IF(LEN(R1628&amp;S1628)=0,"","
")&amp;T1629,""))</f>
        <v xml:space="preserve"> 1. A sales promotion discount voucher may be used for the following purposes:
	• Thank you to new customer, to get them to return.
	• A customer who made a big purchase.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28" s="122" t="str">
        <v/>
      </c>
      <c r="V1628" s="42"/>
      <c r="W1628" s="42"/>
      <c r="X1628" s="42"/>
      <c r="Y1628" s="42"/>
      <c r="Z1628" s="42"/>
      <c r="AA1628" s="42"/>
      <c r="AB1628" s="42"/>
    </row>
    <row r="1629" spans="1:28" x14ac:dyDescent="0.25">
      <c r="A1629" s="42" t="str">
        <v>1.30.2.1</v>
      </c>
      <c r="B1629" s="121" t="str">
        <v>A sales promotion discount voucher may be used for the following purposes:</v>
      </c>
      <c r="C1629" s="41">
        <v>4</v>
      </c>
      <c r="D1629" s="41" t="str">
        <v>RD</v>
      </c>
      <c r="E1629" s="117" t="str">
        <f t="shared" si="0"/>
        <v>RD</v>
      </c>
      <c r="F1629" s="41" t="str">
        <v/>
      </c>
      <c r="G1629" s="41" t="str">
        <v/>
      </c>
      <c r="H1629" s="117">
        <f t="shared" si="1"/>
        <v>0</v>
      </c>
      <c r="I1629" s="117">
        <f t="shared" si="2"/>
        <v>30</v>
      </c>
      <c r="J1629" s="117">
        <f t="shared" si="3"/>
        <v>30.020000000000003</v>
      </c>
      <c r="K1629" s="117" t="str">
        <f t="shared" si="4"/>
        <v>BR</v>
      </c>
      <c r="L1629" s="42" t="str">
        <v>BR3002</v>
      </c>
      <c r="M1629" s="121" t="str">
        <v/>
      </c>
      <c r="N1629" s="121" t="str">
        <v/>
      </c>
      <c r="O1629" s="121" t="str">
        <v/>
      </c>
      <c r="P1629" s="121" t="str">
        <v/>
      </c>
      <c r="Q1629" s="121" t="str">
        <v xml:space="preserve"> 1. </v>
      </c>
      <c r="R1629" s="121" t="str">
        <v>A sales promotion discount voucher may be used for the following purposes:</v>
      </c>
      <c r="S1629" s="121" t="str">
        <v/>
      </c>
      <c r="T1629" s="119" t="str">
        <f>IF($C1629&lt;4,IF($C1629=3,T1630,IF($C1629=2,T$1,"")),Q1629&amp;R1629&amp;IF(LEN(S1629)=0,"",Preferences!$C$2&amp;S1629)&amp;IF(J1630=J1629,IF(LEN(R1629&amp;S1629)=0,"","
")&amp;T1630,""))</f>
        <v xml:space="preserve"> 1. A sales promotion discount voucher may be used for the following purposes:
	• Thank you to new customer, to get them to return.
	• A customer who made a big purchase.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29" s="122" t="str">
        <v/>
      </c>
      <c r="V1629" s="42"/>
      <c r="W1629" s="42"/>
      <c r="X1629" s="42"/>
      <c r="Y1629" s="42"/>
      <c r="Z1629" s="42"/>
      <c r="AA1629" s="42"/>
      <c r="AB1629" s="42"/>
    </row>
    <row r="1630" spans="1:28" x14ac:dyDescent="0.25">
      <c r="A1630" s="42" t="str">
        <v>1.30.2.1.1</v>
      </c>
      <c r="B1630" s="121" t="str">
        <v>Thank you to new customer, to get them to return.</v>
      </c>
      <c r="C1630" s="41">
        <v>5</v>
      </c>
      <c r="D1630" s="41" t="str">
        <v>RL</v>
      </c>
      <c r="E1630" s="117" t="str">
        <f t="shared" si="0"/>
        <v>RL</v>
      </c>
      <c r="F1630" s="41" t="str">
        <v/>
      </c>
      <c r="G1630" s="41" t="str">
        <v/>
      </c>
      <c r="H1630" s="117">
        <f t="shared" si="1"/>
        <v>0</v>
      </c>
      <c r="I1630" s="117">
        <f t="shared" si="2"/>
        <v>30</v>
      </c>
      <c r="J1630" s="117">
        <f t="shared" si="3"/>
        <v>30.020000000000003</v>
      </c>
      <c r="K1630" s="117" t="str">
        <f t="shared" si="4"/>
        <v>BR</v>
      </c>
      <c r="L1630" s="42" t="str">
        <v>BR3002</v>
      </c>
      <c r="M1630" s="121" t="str">
        <v/>
      </c>
      <c r="N1630" s="121" t="str">
        <v/>
      </c>
      <c r="O1630" s="121" t="str">
        <v/>
      </c>
      <c r="P1630" s="121" t="str">
        <v/>
      </c>
      <c r="Q1630" s="121" t="str">
        <v/>
      </c>
      <c r="R1630" s="121" t="str">
        <v/>
      </c>
      <c r="S1630" s="121" t="str">
        <v>Thank you to new customer, to get them to return.</v>
      </c>
      <c r="T1630" s="119" t="str">
        <f>IF($C1630&lt;4,IF($C1630=3,T1631,IF($C1630=2,T$1,"")),Q1630&amp;R1630&amp;IF(LEN(S1630)=0,"",Preferences!$C$2&amp;S1630)&amp;IF(J1631=J1630,IF(LEN(R1630&amp;S1630)=0,"","
")&amp;T1631,""))</f>
        <v xml:space="preserve">	• Thank you to new customer, to get them to return.
	• A customer who made a big purchase.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0" s="122" t="str">
        <v/>
      </c>
      <c r="V1630" s="42"/>
      <c r="W1630" s="42"/>
      <c r="X1630" s="42"/>
      <c r="Y1630" s="42"/>
      <c r="Z1630" s="42"/>
      <c r="AA1630" s="42"/>
      <c r="AB1630" s="42"/>
    </row>
    <row r="1631" spans="1:28" x14ac:dyDescent="0.25">
      <c r="A1631" s="42" t="str">
        <v>1.30.2.1.2</v>
      </c>
      <c r="B1631" s="121" t="str">
        <v>A customer who made a big purchase.</v>
      </c>
      <c r="C1631" s="41">
        <v>5</v>
      </c>
      <c r="D1631" s="41" t="str">
        <v>RL</v>
      </c>
      <c r="E1631" s="117" t="str">
        <f t="shared" si="0"/>
        <v>RL</v>
      </c>
      <c r="F1631" s="41" t="str">
        <v/>
      </c>
      <c r="G1631" s="41" t="str">
        <v/>
      </c>
      <c r="H1631" s="117">
        <f t="shared" si="1"/>
        <v>0</v>
      </c>
      <c r="I1631" s="117">
        <f t="shared" si="2"/>
        <v>30</v>
      </c>
      <c r="J1631" s="117">
        <f t="shared" si="3"/>
        <v>30.020000000000003</v>
      </c>
      <c r="K1631" s="117" t="str">
        <f t="shared" si="4"/>
        <v>BR</v>
      </c>
      <c r="L1631" s="42" t="str">
        <v>BR3002</v>
      </c>
      <c r="M1631" s="121" t="str">
        <v/>
      </c>
      <c r="N1631" s="121" t="str">
        <v/>
      </c>
      <c r="O1631" s="121" t="str">
        <v/>
      </c>
      <c r="P1631" s="121" t="str">
        <v/>
      </c>
      <c r="Q1631" s="121" t="str">
        <v/>
      </c>
      <c r="R1631" s="121" t="str">
        <v/>
      </c>
      <c r="S1631" s="121" t="str">
        <v>A customer who made a big purchase.</v>
      </c>
      <c r="T1631" s="119" t="str">
        <f>IF($C1631&lt;4,IF($C1631=3,T1632,IF($C1631=2,T$1,"")),Q1631&amp;R1631&amp;IF(LEN(S1631)=0,"",Preferences!$C$2&amp;S1631)&amp;IF(J1632=J1631,IF(LEN(R1631&amp;S1631)=0,"","
")&amp;T1632,""))</f>
        <v xml:space="preserve">	• A customer who made a big purchase.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1" s="122" t="str">
        <v/>
      </c>
      <c r="V1631" s="42"/>
      <c r="W1631" s="42"/>
      <c r="X1631" s="42"/>
      <c r="Y1631" s="42"/>
      <c r="Z1631" s="42"/>
      <c r="AA1631" s="42"/>
      <c r="AB1631" s="42"/>
    </row>
    <row r="1632" spans="1:28" x14ac:dyDescent="0.25">
      <c r="A1632" s="42" t="str">
        <v>1.30.2.1.3</v>
      </c>
      <c r="B1632" s="121" t="str">
        <v>A customer who has not made any purchases for a while.</v>
      </c>
      <c r="C1632" s="41">
        <v>5</v>
      </c>
      <c r="D1632" s="41" t="str">
        <v>RL</v>
      </c>
      <c r="E1632" s="117" t="str">
        <f t="shared" si="0"/>
        <v>RL</v>
      </c>
      <c r="F1632" s="41" t="str">
        <v/>
      </c>
      <c r="G1632" s="41" t="str">
        <v/>
      </c>
      <c r="H1632" s="117">
        <f t="shared" si="1"/>
        <v>0</v>
      </c>
      <c r="I1632" s="117">
        <f t="shared" si="2"/>
        <v>30</v>
      </c>
      <c r="J1632" s="117">
        <f t="shared" si="3"/>
        <v>30.020000000000003</v>
      </c>
      <c r="K1632" s="117" t="str">
        <f t="shared" si="4"/>
        <v>BR</v>
      </c>
      <c r="L1632" s="42" t="str">
        <v>BR3002</v>
      </c>
      <c r="M1632" s="121" t="str">
        <v/>
      </c>
      <c r="N1632" s="121" t="str">
        <v/>
      </c>
      <c r="O1632" s="121" t="str">
        <v/>
      </c>
      <c r="P1632" s="121" t="str">
        <v/>
      </c>
      <c r="Q1632" s="121" t="str">
        <v/>
      </c>
      <c r="R1632" s="121" t="str">
        <v/>
      </c>
      <c r="S1632" s="121" t="str">
        <v>A customer who has not made any purchases for a while.</v>
      </c>
      <c r="T1632" s="119" t="str">
        <f>IF($C1632&lt;4,IF($C1632=3,T1633,IF($C1632=2,T$1,"")),Q1632&amp;R1632&amp;IF(LEN(S1632)=0,"",Preferences!$C$2&amp;S1632)&amp;IF(J1633=J1632,IF(LEN(R1632&amp;S1632)=0,"","
")&amp;T1633,""))</f>
        <v xml:space="preserve">	• A customer who has not made any purchases for a while.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2" s="122" t="str">
        <v/>
      </c>
      <c r="V1632" s="42"/>
      <c r="W1632" s="42"/>
      <c r="X1632" s="42"/>
      <c r="Y1632" s="42"/>
      <c r="Z1632" s="42"/>
      <c r="AA1632" s="42"/>
      <c r="AB1632" s="42"/>
    </row>
    <row r="1633" spans="1:28" x14ac:dyDescent="0.25">
      <c r="A1633" s="42" t="str">
        <v>1.30.2.2</v>
      </c>
      <c r="B1633" s="121" t="str">
        <v>Any customer may use this type of voucher.</v>
      </c>
      <c r="C1633" s="41">
        <v>4</v>
      </c>
      <c r="D1633" s="41" t="str">
        <v>RD</v>
      </c>
      <c r="E1633" s="117" t="str">
        <f t="shared" si="0"/>
        <v>RD</v>
      </c>
      <c r="F1633" s="41" t="str">
        <v/>
      </c>
      <c r="G1633" s="41" t="str">
        <v/>
      </c>
      <c r="H1633" s="117">
        <f t="shared" si="1"/>
        <v>0</v>
      </c>
      <c r="I1633" s="117">
        <f t="shared" si="2"/>
        <v>30</v>
      </c>
      <c r="J1633" s="117">
        <f t="shared" si="3"/>
        <v>30.020000000000003</v>
      </c>
      <c r="K1633" s="117" t="str">
        <f t="shared" si="4"/>
        <v>BR</v>
      </c>
      <c r="L1633" s="42" t="str">
        <v>BR3002</v>
      </c>
      <c r="M1633" s="121" t="str">
        <v/>
      </c>
      <c r="N1633" s="121" t="str">
        <v/>
      </c>
      <c r="O1633" s="121" t="str">
        <v/>
      </c>
      <c r="P1633" s="121" t="str">
        <v/>
      </c>
      <c r="Q1633" s="121" t="str">
        <v xml:space="preserve"> 2. </v>
      </c>
      <c r="R1633" s="121" t="str">
        <v>Any customer may use this type of voucher.</v>
      </c>
      <c r="S1633" s="121" t="str">
        <v/>
      </c>
      <c r="T1633" s="119" t="str">
        <f>IF($C1633&lt;4,IF($C1633=3,T1634,IF($C1633=2,T$1,"")),Q1633&amp;R1633&amp;IF(LEN(S1633)=0,"",Preferences!$C$2&amp;S1633)&amp;IF(J1634=J1633,IF(LEN(R1633&amp;S1633)=0,"","
")&amp;T1634,""))</f>
        <v xml:space="preserve"> 2. Any customer may use this type of voucher.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3" s="122" t="str">
        <v/>
      </c>
      <c r="V1633" s="42"/>
      <c r="W1633" s="42"/>
      <c r="X1633" s="42"/>
      <c r="Y1633" s="42"/>
      <c r="Z1633" s="42"/>
      <c r="AA1633" s="42"/>
      <c r="AB1633" s="42"/>
    </row>
    <row r="1634" spans="1:28" x14ac:dyDescent="0.25">
      <c r="A1634" s="42" t="str">
        <v>1.30.2.3</v>
      </c>
      <c r="B1634" s="121" t="str">
        <v>A customer is identified to be notified of this type of voucher, based on the following criteria:</v>
      </c>
      <c r="C1634" s="41">
        <v>4</v>
      </c>
      <c r="D1634" s="41" t="str">
        <v>RD</v>
      </c>
      <c r="E1634" s="117" t="str">
        <f t="shared" si="0"/>
        <v>RD</v>
      </c>
      <c r="F1634" s="41" t="str">
        <v/>
      </c>
      <c r="G1634" s="41" t="str">
        <v/>
      </c>
      <c r="H1634" s="117">
        <f t="shared" si="1"/>
        <v>0</v>
      </c>
      <c r="I1634" s="117">
        <f t="shared" si="2"/>
        <v>30</v>
      </c>
      <c r="J1634" s="117">
        <f t="shared" si="3"/>
        <v>30.020000000000003</v>
      </c>
      <c r="K1634" s="117" t="str">
        <f t="shared" si="4"/>
        <v>BR</v>
      </c>
      <c r="L1634" s="42" t="str">
        <v>BR3002</v>
      </c>
      <c r="M1634" s="121" t="str">
        <v/>
      </c>
      <c r="N1634" s="121" t="str">
        <v/>
      </c>
      <c r="O1634" s="121" t="str">
        <v/>
      </c>
      <c r="P1634" s="121" t="str">
        <v/>
      </c>
      <c r="Q1634" s="121" t="str">
        <v xml:space="preserve"> 3. </v>
      </c>
      <c r="R1634" s="121" t="str">
        <v>A customer is identified to be notified of this type of voucher, based on the following criteria:</v>
      </c>
      <c r="S1634" s="121" t="str">
        <v/>
      </c>
      <c r="T1634" s="119" t="str">
        <f>IF($C1634&lt;4,IF($C1634=3,T1635,IF($C1634=2,T$1,"")),Q1634&amp;R1634&amp;IF(LEN(S1634)=0,"",Preferences!$C$2&amp;S1634)&amp;IF(J1635=J1634,IF(LEN(R1634&amp;S1634)=0,"","
")&amp;T1635,""))</f>
        <v xml:space="preserve"> 3. A customer is identified to be notified of this type of voucher, based on the following criteria: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4" s="122" t="str">
        <v/>
      </c>
      <c r="V1634" s="42"/>
      <c r="W1634" s="42"/>
      <c r="X1634" s="42"/>
      <c r="Y1634" s="42"/>
      <c r="Z1634" s="42"/>
      <c r="AA1634" s="42"/>
      <c r="AB1634" s="42"/>
    </row>
    <row r="1635" spans="1:28" x14ac:dyDescent="0.25">
      <c r="A1635" s="42" t="str">
        <v>1.30.2.3.1</v>
      </c>
      <c r="B1635" s="121" t="str">
        <v>Frequency of purchase in the recent number (selectable) of months.</v>
      </c>
      <c r="C1635" s="41">
        <v>5</v>
      </c>
      <c r="D1635" s="41" t="str">
        <v>RL</v>
      </c>
      <c r="E1635" s="117" t="str">
        <f t="shared" si="0"/>
        <v>RL</v>
      </c>
      <c r="F1635" s="41" t="str">
        <v/>
      </c>
      <c r="G1635" s="41" t="str">
        <v/>
      </c>
      <c r="H1635" s="117">
        <f t="shared" si="1"/>
        <v>0</v>
      </c>
      <c r="I1635" s="117">
        <f t="shared" si="2"/>
        <v>30</v>
      </c>
      <c r="J1635" s="117">
        <f t="shared" si="3"/>
        <v>30.020000000000003</v>
      </c>
      <c r="K1635" s="117" t="str">
        <f t="shared" si="4"/>
        <v>BR</v>
      </c>
      <c r="L1635" s="42" t="str">
        <v>BR3002</v>
      </c>
      <c r="M1635" s="121" t="str">
        <v/>
      </c>
      <c r="N1635" s="121" t="str">
        <v/>
      </c>
      <c r="O1635" s="121" t="str">
        <v/>
      </c>
      <c r="P1635" s="121" t="str">
        <v/>
      </c>
      <c r="Q1635" s="121" t="str">
        <v/>
      </c>
      <c r="R1635" s="121" t="str">
        <v/>
      </c>
      <c r="S1635" s="121" t="str">
        <v>Frequency of purchase in the recent number (selectable) of months.</v>
      </c>
      <c r="T1635" s="119" t="str">
        <f>IF($C1635&lt;4,IF($C1635=3,T1636,IF($C1635=2,T$1,"")),Q1635&amp;R1635&amp;IF(LEN(S1635)=0,"",Preferences!$C$2&amp;S1635)&amp;IF(J1636=J1635,IF(LEN(R1635&amp;S1635)=0,"","
")&amp;T1636,""))</f>
        <v xml:space="preserve">	• Frequency of purchase in the recent number (selectable) of months.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5" s="122" t="str">
        <v/>
      </c>
      <c r="V1635" s="42"/>
      <c r="W1635" s="42"/>
      <c r="X1635" s="42"/>
      <c r="Y1635" s="42"/>
      <c r="Z1635" s="42"/>
      <c r="AA1635" s="42"/>
      <c r="AB1635" s="42"/>
    </row>
    <row r="1636" spans="1:28" x14ac:dyDescent="0.25">
      <c r="A1636" s="42" t="str">
        <v>1.30.2.3.2</v>
      </c>
      <c r="B1636" s="121" t="str">
        <v>Total value (in a range) of purchases in the recent number of months.</v>
      </c>
      <c r="C1636" s="41">
        <v>5</v>
      </c>
      <c r="D1636" s="41" t="str">
        <v>RL</v>
      </c>
      <c r="E1636" s="117" t="str">
        <f t="shared" si="0"/>
        <v>RL</v>
      </c>
      <c r="F1636" s="41" t="str">
        <v/>
      </c>
      <c r="G1636" s="41" t="str">
        <v/>
      </c>
      <c r="H1636" s="117">
        <f t="shared" si="1"/>
        <v>0</v>
      </c>
      <c r="I1636" s="117">
        <f t="shared" si="2"/>
        <v>30</v>
      </c>
      <c r="J1636" s="117">
        <f t="shared" si="3"/>
        <v>30.020000000000003</v>
      </c>
      <c r="K1636" s="117" t="str">
        <f t="shared" si="4"/>
        <v>BR</v>
      </c>
      <c r="L1636" s="42" t="str">
        <v>BR3002</v>
      </c>
      <c r="M1636" s="121" t="str">
        <v/>
      </c>
      <c r="N1636" s="121" t="str">
        <v/>
      </c>
      <c r="O1636" s="121" t="str">
        <v/>
      </c>
      <c r="P1636" s="121" t="str">
        <v/>
      </c>
      <c r="Q1636" s="121" t="str">
        <v/>
      </c>
      <c r="R1636" s="121" t="str">
        <v/>
      </c>
      <c r="S1636" s="121" t="str">
        <v>Total value (in a range) of purchases in the recent number of months.</v>
      </c>
      <c r="T1636" s="119" t="str">
        <f>IF($C1636&lt;4,IF($C1636=3,T1637,IF($C1636=2,T$1,"")),Q1636&amp;R1636&amp;IF(LEN(S1636)=0,"",Preferences!$C$2&amp;S1636)&amp;IF(J1637=J1636,IF(LEN(R1636&amp;S1636)=0,"","
")&amp;T1637,""))</f>
        <v xml:space="preserve">	• Total value (in a range) of purchases in the recent number of months.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6" s="122" t="str">
        <v/>
      </c>
      <c r="V1636" s="42"/>
      <c r="W1636" s="42"/>
      <c r="X1636" s="42"/>
      <c r="Y1636" s="42"/>
      <c r="Z1636" s="42"/>
      <c r="AA1636" s="42"/>
      <c r="AB1636" s="42"/>
    </row>
    <row r="1637" spans="1:28" x14ac:dyDescent="0.25">
      <c r="A1637" s="42" t="str">
        <v>1.30.2.3.3</v>
      </c>
      <c r="B1637" s="121" t="str">
        <v>Age of last (selectable) purchase.</v>
      </c>
      <c r="C1637" s="41">
        <v>5</v>
      </c>
      <c r="D1637" s="41" t="str">
        <v>RL</v>
      </c>
      <c r="E1637" s="117" t="str">
        <f t="shared" si="0"/>
        <v>RL</v>
      </c>
      <c r="F1637" s="41" t="str">
        <v/>
      </c>
      <c r="G1637" s="41" t="str">
        <v/>
      </c>
      <c r="H1637" s="117">
        <f t="shared" si="1"/>
        <v>0</v>
      </c>
      <c r="I1637" s="117">
        <f t="shared" si="2"/>
        <v>30</v>
      </c>
      <c r="J1637" s="117">
        <f t="shared" si="3"/>
        <v>30.020000000000003</v>
      </c>
      <c r="K1637" s="117" t="str">
        <f t="shared" si="4"/>
        <v>BR</v>
      </c>
      <c r="L1637" s="42" t="str">
        <v>BR3002</v>
      </c>
      <c r="M1637" s="121" t="str">
        <v/>
      </c>
      <c r="N1637" s="121" t="str">
        <v/>
      </c>
      <c r="O1637" s="121" t="str">
        <v/>
      </c>
      <c r="P1637" s="121" t="str">
        <v/>
      </c>
      <c r="Q1637" s="121" t="str">
        <v/>
      </c>
      <c r="R1637" s="121" t="str">
        <v/>
      </c>
      <c r="S1637" s="121" t="str">
        <v>Age of last (selectable) purchase.</v>
      </c>
      <c r="T1637" s="119" t="str">
        <f>IF($C1637&lt;4,IF($C1637=3,T1638,IF($C1637=2,T$1,"")),Q1637&amp;R1637&amp;IF(LEN(S1637)=0,"",Preferences!$C$2&amp;S1637)&amp;IF(J1638=J1637,IF(LEN(R1637&amp;S1637)=0,"","
")&amp;T1638,""))</f>
        <v xml:space="preserve">	• Age of last (selectable) purchase.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7" s="122" t="str">
        <v/>
      </c>
      <c r="V1637" s="42"/>
      <c r="W1637" s="42"/>
      <c r="X1637" s="42"/>
      <c r="Y1637" s="42"/>
      <c r="Z1637" s="42"/>
      <c r="AA1637" s="42"/>
      <c r="AB1637" s="42"/>
    </row>
    <row r="1638" spans="1:28" x14ac:dyDescent="0.25">
      <c r="A1638" s="42" t="str">
        <v>1.30.2.4</v>
      </c>
      <c r="B1638" s="121" t="str">
        <v>The voucher value may be manually assigned as follows:</v>
      </c>
      <c r="C1638" s="41">
        <v>4</v>
      </c>
      <c r="D1638" s="41" t="str">
        <v>RD</v>
      </c>
      <c r="E1638" s="117" t="str">
        <f t="shared" si="0"/>
        <v>RD</v>
      </c>
      <c r="F1638" s="41" t="str">
        <v/>
      </c>
      <c r="G1638" s="41" t="str">
        <v/>
      </c>
      <c r="H1638" s="117">
        <f t="shared" si="1"/>
        <v>0</v>
      </c>
      <c r="I1638" s="117">
        <f t="shared" si="2"/>
        <v>30</v>
      </c>
      <c r="J1638" s="117">
        <f t="shared" si="3"/>
        <v>30.020000000000003</v>
      </c>
      <c r="K1638" s="117" t="str">
        <f t="shared" si="4"/>
        <v>BR</v>
      </c>
      <c r="L1638" s="42" t="str">
        <v>BR3002</v>
      </c>
      <c r="M1638" s="121" t="str">
        <v/>
      </c>
      <c r="N1638" s="121" t="str">
        <v/>
      </c>
      <c r="O1638" s="121" t="str">
        <v/>
      </c>
      <c r="P1638" s="121" t="str">
        <v/>
      </c>
      <c r="Q1638" s="121" t="str">
        <v xml:space="preserve"> 4. </v>
      </c>
      <c r="R1638" s="121" t="str">
        <v>The voucher value may be manually assigned as follows:</v>
      </c>
      <c r="S1638" s="121" t="str">
        <v/>
      </c>
      <c r="T1638" s="119" t="str">
        <f>IF($C1638&lt;4,IF($C1638=3,T1639,IF($C1638=2,T$1,"")),Q1638&amp;R1638&amp;IF(LEN(S1638)=0,"",Preferences!$C$2&amp;S1638)&amp;IF(J1639=J1638,IF(LEN(R1638&amp;S1638)=0,"","
")&amp;T1639,""))</f>
        <v xml:space="preserve"> 4. The voucher value may be manually assigned as follows:
	• % of the total basket value of next purchase
 5. The voucher has a start and expiry date.
 6. These vouchers are communicated directly to only the identified customer via email/SMS.
 7. These vouchers are advertised in social media.</v>
      </c>
      <c r="U1638" s="122" t="str">
        <v/>
      </c>
      <c r="V1638" s="42"/>
      <c r="W1638" s="42"/>
      <c r="X1638" s="42"/>
      <c r="Y1638" s="42"/>
      <c r="Z1638" s="42"/>
      <c r="AA1638" s="42"/>
      <c r="AB1638" s="42"/>
    </row>
    <row r="1639" spans="1:28" x14ac:dyDescent="0.25">
      <c r="A1639" s="42" t="str">
        <v>1.30.2.4.1</v>
      </c>
      <c r="B1639" s="121" t="str">
        <v>% of the total basket value of next purchase</v>
      </c>
      <c r="C1639" s="41">
        <v>5</v>
      </c>
      <c r="D1639" s="41" t="str">
        <v>RL</v>
      </c>
      <c r="E1639" s="117" t="str">
        <f t="shared" si="0"/>
        <v>RL</v>
      </c>
      <c r="F1639" s="41" t="str">
        <v/>
      </c>
      <c r="G1639" s="41" t="str">
        <v/>
      </c>
      <c r="H1639" s="117">
        <f t="shared" si="1"/>
        <v>0</v>
      </c>
      <c r="I1639" s="117">
        <f t="shared" si="2"/>
        <v>30</v>
      </c>
      <c r="J1639" s="117">
        <f t="shared" si="3"/>
        <v>30.020000000000003</v>
      </c>
      <c r="K1639" s="117" t="str">
        <f t="shared" si="4"/>
        <v>BR</v>
      </c>
      <c r="L1639" s="42" t="str">
        <v>BR3002</v>
      </c>
      <c r="M1639" s="121" t="str">
        <v/>
      </c>
      <c r="N1639" s="121" t="str">
        <v/>
      </c>
      <c r="O1639" s="121" t="str">
        <v/>
      </c>
      <c r="P1639" s="121" t="str">
        <v/>
      </c>
      <c r="Q1639" s="121" t="str">
        <v/>
      </c>
      <c r="R1639" s="121" t="str">
        <v/>
      </c>
      <c r="S1639" s="121" t="str">
        <v>% of the total basket value of next purchase</v>
      </c>
      <c r="T1639" s="119" t="str">
        <f>IF($C1639&lt;4,IF($C1639=3,T1640,IF($C1639=2,T$1,"")),Q1639&amp;R1639&amp;IF(LEN(S1639)=0,"",Preferences!$C$2&amp;S1639)&amp;IF(J1640=J1639,IF(LEN(R1639&amp;S1639)=0,"","
")&amp;T1640,""))</f>
        <v xml:space="preserve">	• % of the total basket value of next purchase
 5. The voucher has a start and expiry date.
 6. These vouchers are communicated directly to only the identified customer via email/SMS.
 7. These vouchers are advertised in social media.</v>
      </c>
      <c r="U1639" s="122" t="str">
        <v/>
      </c>
      <c r="V1639" s="42"/>
      <c r="W1639" s="42"/>
      <c r="X1639" s="42"/>
      <c r="Y1639" s="42"/>
      <c r="Z1639" s="42"/>
      <c r="AA1639" s="42"/>
      <c r="AB1639" s="42"/>
    </row>
    <row r="1640" spans="1:28" x14ac:dyDescent="0.25">
      <c r="A1640" s="42" t="str">
        <v>1.30.2.5</v>
      </c>
      <c r="B1640" s="121" t="str">
        <v>The voucher has a start and expiry date.</v>
      </c>
      <c r="C1640" s="41">
        <v>4</v>
      </c>
      <c r="D1640" s="41" t="str">
        <v>RD</v>
      </c>
      <c r="E1640" s="117" t="str">
        <f t="shared" si="0"/>
        <v>RD</v>
      </c>
      <c r="F1640" s="41" t="str">
        <v/>
      </c>
      <c r="G1640" s="41" t="str">
        <v/>
      </c>
      <c r="H1640" s="117">
        <f t="shared" si="1"/>
        <v>0</v>
      </c>
      <c r="I1640" s="117">
        <f t="shared" si="2"/>
        <v>30</v>
      </c>
      <c r="J1640" s="117">
        <f t="shared" si="3"/>
        <v>30.020000000000003</v>
      </c>
      <c r="K1640" s="117" t="str">
        <f t="shared" si="4"/>
        <v>BR</v>
      </c>
      <c r="L1640" s="42" t="str">
        <v>BR3002</v>
      </c>
      <c r="M1640" s="121" t="str">
        <v/>
      </c>
      <c r="N1640" s="121" t="str">
        <v/>
      </c>
      <c r="O1640" s="121" t="str">
        <v/>
      </c>
      <c r="P1640" s="121" t="str">
        <v/>
      </c>
      <c r="Q1640" s="121" t="str">
        <v xml:space="preserve"> 5. </v>
      </c>
      <c r="R1640" s="121" t="str">
        <v>The voucher has a start and expiry date.</v>
      </c>
      <c r="S1640" s="121" t="str">
        <v/>
      </c>
      <c r="T1640" s="119" t="str">
        <f>IF($C1640&lt;4,IF($C1640=3,T1641,IF($C1640=2,T$1,"")),Q1640&amp;R1640&amp;IF(LEN(S1640)=0,"",Preferences!$C$2&amp;S1640)&amp;IF(J1641=J1640,IF(LEN(R1640&amp;S1640)=0,"","
")&amp;T1641,""))</f>
        <v xml:space="preserve"> 5. The voucher has a start and expiry date.
 6. These vouchers are communicated directly to only the identified customer via email/SMS.
 7. These vouchers are advertised in social media.</v>
      </c>
      <c r="U1640" s="122" t="str">
        <v/>
      </c>
      <c r="V1640" s="42"/>
      <c r="W1640" s="42"/>
      <c r="X1640" s="42"/>
      <c r="Y1640" s="42"/>
      <c r="Z1640" s="42"/>
      <c r="AA1640" s="42"/>
      <c r="AB1640" s="42"/>
    </row>
    <row r="1641" spans="1:28" x14ac:dyDescent="0.25">
      <c r="A1641" s="42" t="str">
        <v>1.30.2.6</v>
      </c>
      <c r="B1641" s="121" t="str">
        <v>These vouchers are communicated directly to only the identified customer via email/SMS.</v>
      </c>
      <c r="C1641" s="41">
        <v>4</v>
      </c>
      <c r="D1641" s="41" t="str">
        <v>RD</v>
      </c>
      <c r="E1641" s="117" t="str">
        <f t="shared" si="0"/>
        <v>RD</v>
      </c>
      <c r="F1641" s="41" t="str">
        <v/>
      </c>
      <c r="G1641" s="41" t="str">
        <v/>
      </c>
      <c r="H1641" s="117">
        <f t="shared" si="1"/>
        <v>0</v>
      </c>
      <c r="I1641" s="117">
        <f t="shared" si="2"/>
        <v>30</v>
      </c>
      <c r="J1641" s="117">
        <f t="shared" si="3"/>
        <v>30.020000000000003</v>
      </c>
      <c r="K1641" s="117" t="str">
        <f t="shared" si="4"/>
        <v>BR</v>
      </c>
      <c r="L1641" s="42" t="str">
        <v>BR3002</v>
      </c>
      <c r="M1641" s="121" t="str">
        <v/>
      </c>
      <c r="N1641" s="121" t="str">
        <v/>
      </c>
      <c r="O1641" s="121" t="str">
        <v/>
      </c>
      <c r="P1641" s="121" t="str">
        <v/>
      </c>
      <c r="Q1641" s="121" t="str">
        <v xml:space="preserve"> 6. </v>
      </c>
      <c r="R1641" s="121" t="str">
        <v>These vouchers are communicated directly to only the identified customer via email/SMS.</v>
      </c>
      <c r="S1641" s="121" t="str">
        <v/>
      </c>
      <c r="T1641" s="119" t="str">
        <f>IF($C1641&lt;4,IF($C1641=3,T1642,IF($C1641=2,T$1,"")),Q1641&amp;R1641&amp;IF(LEN(S1641)=0,"",Preferences!$C$2&amp;S1641)&amp;IF(J1642=J1641,IF(LEN(R1641&amp;S1641)=0,"","
")&amp;T1642,""))</f>
        <v xml:space="preserve"> 6. These vouchers are communicated directly to only the identified customer via email/SMS.
 7. These vouchers are advertised in social media.</v>
      </c>
      <c r="U1641" s="122" t="str">
        <v/>
      </c>
      <c r="V1641" s="42"/>
      <c r="W1641" s="42"/>
      <c r="X1641" s="42"/>
      <c r="Y1641" s="42"/>
      <c r="Z1641" s="42"/>
      <c r="AA1641" s="42"/>
      <c r="AB1641" s="42"/>
    </row>
    <row r="1642" spans="1:28" x14ac:dyDescent="0.25">
      <c r="A1642" s="42" t="str">
        <v>1.30.2.7</v>
      </c>
      <c r="B1642" s="121" t="str">
        <v>These vouchers are advertised in social media.</v>
      </c>
      <c r="C1642" s="41">
        <v>4</v>
      </c>
      <c r="D1642" s="41" t="str">
        <v>RD</v>
      </c>
      <c r="E1642" s="117" t="str">
        <f t="shared" si="0"/>
        <v>RD</v>
      </c>
      <c r="F1642" s="41" t="str">
        <v/>
      </c>
      <c r="G1642" s="41" t="str">
        <v/>
      </c>
      <c r="H1642" s="117">
        <f t="shared" si="1"/>
        <v>0</v>
      </c>
      <c r="I1642" s="117">
        <f t="shared" si="2"/>
        <v>30</v>
      </c>
      <c r="J1642" s="117">
        <f t="shared" si="3"/>
        <v>30.020000000000003</v>
      </c>
      <c r="K1642" s="117" t="str">
        <f t="shared" si="4"/>
        <v>BR</v>
      </c>
      <c r="L1642" s="42" t="str">
        <v>BR3002</v>
      </c>
      <c r="M1642" s="121" t="str">
        <v/>
      </c>
      <c r="N1642" s="121" t="str">
        <v/>
      </c>
      <c r="O1642" s="121" t="str">
        <v/>
      </c>
      <c r="P1642" s="121" t="str">
        <v/>
      </c>
      <c r="Q1642" s="121" t="str">
        <v xml:space="preserve"> 7. </v>
      </c>
      <c r="R1642" s="121" t="str">
        <v>These vouchers are advertised in social media.</v>
      </c>
      <c r="S1642" s="121" t="str">
        <v/>
      </c>
      <c r="T1642" s="119" t="str">
        <f>IF($C1642&lt;4,IF($C1642=3,T1643,IF($C1642=2,T$1,"")),Q1642&amp;R1642&amp;IF(LEN(S1642)=0,"",Preferences!$C$2&amp;S1642)&amp;IF(J1643=J1642,IF(LEN(R1642&amp;S1642)=0,"","
")&amp;T1643,""))</f>
        <v xml:space="preserve"> 7. These vouchers are advertised in social media.</v>
      </c>
      <c r="U1642" s="122" t="str">
        <v/>
      </c>
      <c r="V1642" s="42"/>
      <c r="W1642" s="42"/>
      <c r="X1642" s="42"/>
      <c r="Y1642" s="42"/>
      <c r="Z1642" s="42"/>
      <c r="AA1642" s="42"/>
      <c r="AB1642" s="42"/>
    </row>
    <row r="1643" spans="1:28" x14ac:dyDescent="0.25">
      <c r="A1643" s="42" t="str">
        <v>1.30.3</v>
      </c>
      <c r="B1643" s="121" t="str">
        <v>30.3 Maintain customer-specific discount vouchers</v>
      </c>
      <c r="C1643" s="41">
        <v>3</v>
      </c>
      <c r="D1643" s="41" t="str">
        <v>R</v>
      </c>
      <c r="E1643" s="117" t="str">
        <f t="shared" si="0"/>
        <v>R</v>
      </c>
      <c r="F1643" s="41" t="str">
        <v/>
      </c>
      <c r="G1643" s="41" t="str">
        <v/>
      </c>
      <c r="H1643" s="117">
        <f t="shared" si="1"/>
        <v>0</v>
      </c>
      <c r="I1643" s="117">
        <f t="shared" si="2"/>
        <v>30</v>
      </c>
      <c r="J1643" s="117">
        <f t="shared" si="3"/>
        <v>30.030000000000005</v>
      </c>
      <c r="K1643" s="117" t="str">
        <f t="shared" si="4"/>
        <v>BR</v>
      </c>
      <c r="L1643" s="42" t="str">
        <v>BR3003</v>
      </c>
      <c r="M1643" s="121" t="str">
        <v/>
      </c>
      <c r="N1643" s="121" t="str">
        <v/>
      </c>
      <c r="O1643" s="121" t="str">
        <v>BR3003</v>
      </c>
      <c r="P1643" s="121" t="str">
        <v>Maintain customer-specific discount vouchers</v>
      </c>
      <c r="Q1643" s="121" t="str">
        <v/>
      </c>
      <c r="R1643" s="121" t="str">
        <v/>
      </c>
      <c r="S1643" s="121" t="str">
        <v/>
      </c>
      <c r="T1643" s="119" t="str">
        <f>IF($C1643&lt;4,IF($C1643=3,T1644,IF($C1643=2,T$1,"")),Q1643&amp;R1643&amp;IF(LEN(S1643)=0,"",Preferences!$C$2&amp;S1643)&amp;IF(J1644=J1643,IF(LEN(R1643&amp;S1643)=0,"","
")&amp;T1644,""))</f>
        <v xml:space="preserve"> 1. A customer discount voucher may be used for the following purposes:
	• Thank you to new customer, to get them to return.
	• A customer who made a big purchase.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3" s="122" t="str">
        <v/>
      </c>
      <c r="V1643" s="42"/>
      <c r="W1643" s="42"/>
      <c r="X1643" s="42"/>
      <c r="Y1643" s="42"/>
      <c r="Z1643" s="42"/>
      <c r="AA1643" s="42"/>
      <c r="AB1643" s="42"/>
    </row>
    <row r="1644" spans="1:28" x14ac:dyDescent="0.25">
      <c r="A1644" s="42" t="str">
        <v>1.30.3.1</v>
      </c>
      <c r="B1644" s="121" t="str">
        <v>A customer discount voucher may be used for the following purposes:</v>
      </c>
      <c r="C1644" s="41">
        <v>4</v>
      </c>
      <c r="D1644" s="41" t="str">
        <v>RD</v>
      </c>
      <c r="E1644" s="117" t="str">
        <f t="shared" si="0"/>
        <v>RD</v>
      </c>
      <c r="F1644" s="41" t="str">
        <v/>
      </c>
      <c r="G1644" s="41" t="str">
        <v/>
      </c>
      <c r="H1644" s="117">
        <f t="shared" si="1"/>
        <v>0</v>
      </c>
      <c r="I1644" s="117">
        <f t="shared" si="2"/>
        <v>30</v>
      </c>
      <c r="J1644" s="117">
        <f t="shared" si="3"/>
        <v>30.030000000000005</v>
      </c>
      <c r="K1644" s="117" t="str">
        <f t="shared" si="4"/>
        <v>BR</v>
      </c>
      <c r="L1644" s="42" t="str">
        <v>BR3003</v>
      </c>
      <c r="M1644" s="121" t="str">
        <v/>
      </c>
      <c r="N1644" s="121" t="str">
        <v/>
      </c>
      <c r="O1644" s="121" t="str">
        <v/>
      </c>
      <c r="P1644" s="121" t="str">
        <v/>
      </c>
      <c r="Q1644" s="121" t="str">
        <v xml:space="preserve"> 1. </v>
      </c>
      <c r="R1644" s="121" t="str">
        <v>A customer discount voucher may be used for the following purposes:</v>
      </c>
      <c r="S1644" s="121" t="str">
        <v/>
      </c>
      <c r="T1644" s="119" t="str">
        <f>IF($C1644&lt;4,IF($C1644=3,T1645,IF($C1644=2,T$1,"")),Q1644&amp;R1644&amp;IF(LEN(S1644)=0,"",Preferences!$C$2&amp;S1644)&amp;IF(J1645=J1644,IF(LEN(R1644&amp;S1644)=0,"","
")&amp;T1645,""))</f>
        <v xml:space="preserve"> 1. A customer discount voucher may be used for the following purposes:
	• Thank you to new customer, to get them to return.
	• A customer who made a big purchase.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4" s="122" t="str">
        <v/>
      </c>
      <c r="V1644" s="42"/>
      <c r="W1644" s="42"/>
      <c r="X1644" s="42"/>
      <c r="Y1644" s="42"/>
      <c r="Z1644" s="42"/>
      <c r="AA1644" s="42"/>
      <c r="AB1644" s="42"/>
    </row>
    <row r="1645" spans="1:28" x14ac:dyDescent="0.25">
      <c r="A1645" s="42" t="str">
        <v>1.30.3.1.1</v>
      </c>
      <c r="B1645" s="121" t="str">
        <v>Thank you to new customer, to get them to return.</v>
      </c>
      <c r="C1645" s="41">
        <v>5</v>
      </c>
      <c r="D1645" s="41" t="str">
        <v>RL</v>
      </c>
      <c r="E1645" s="117" t="str">
        <f t="shared" si="0"/>
        <v>RL</v>
      </c>
      <c r="F1645" s="41" t="str">
        <v/>
      </c>
      <c r="G1645" s="41" t="str">
        <v/>
      </c>
      <c r="H1645" s="117">
        <f t="shared" si="1"/>
        <v>0</v>
      </c>
      <c r="I1645" s="117">
        <f t="shared" si="2"/>
        <v>30</v>
      </c>
      <c r="J1645" s="117">
        <f t="shared" si="3"/>
        <v>30.030000000000005</v>
      </c>
      <c r="K1645" s="117" t="str">
        <f t="shared" si="4"/>
        <v>BR</v>
      </c>
      <c r="L1645" s="42" t="str">
        <v>BR3003</v>
      </c>
      <c r="M1645" s="121" t="str">
        <v/>
      </c>
      <c r="N1645" s="121" t="str">
        <v/>
      </c>
      <c r="O1645" s="121" t="str">
        <v/>
      </c>
      <c r="P1645" s="121" t="str">
        <v/>
      </c>
      <c r="Q1645" s="121" t="str">
        <v/>
      </c>
      <c r="R1645" s="121" t="str">
        <v/>
      </c>
      <c r="S1645" s="121" t="str">
        <v>Thank you to new customer, to get them to return.</v>
      </c>
      <c r="T1645" s="119" t="str">
        <f>IF($C1645&lt;4,IF($C1645=3,T1646,IF($C1645=2,T$1,"")),Q1645&amp;R1645&amp;IF(LEN(S1645)=0,"",Preferences!$C$2&amp;S1645)&amp;IF(J1646=J1645,IF(LEN(R1645&amp;S1645)=0,"","
")&amp;T1646,""))</f>
        <v xml:space="preserve">	• Thank you to new customer, to get them to return.
	• A customer who made a big purchase.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5" s="122" t="str">
        <v/>
      </c>
      <c r="V1645" s="42"/>
      <c r="W1645" s="42"/>
      <c r="X1645" s="42"/>
      <c r="Y1645" s="42"/>
      <c r="Z1645" s="42"/>
      <c r="AA1645" s="42"/>
      <c r="AB1645" s="42"/>
    </row>
    <row r="1646" spans="1:28" x14ac:dyDescent="0.25">
      <c r="A1646" s="42" t="str">
        <v>1.30.3.1.2</v>
      </c>
      <c r="B1646" s="121" t="str">
        <v>A customer who made a big purchase.</v>
      </c>
      <c r="C1646" s="41">
        <v>5</v>
      </c>
      <c r="D1646" s="41" t="str">
        <v>RL</v>
      </c>
      <c r="E1646" s="117" t="str">
        <f t="shared" si="0"/>
        <v>RL</v>
      </c>
      <c r="F1646" s="41" t="str">
        <v/>
      </c>
      <c r="G1646" s="41" t="str">
        <v/>
      </c>
      <c r="H1646" s="117">
        <f t="shared" si="1"/>
        <v>0</v>
      </c>
      <c r="I1646" s="117">
        <f t="shared" si="2"/>
        <v>30</v>
      </c>
      <c r="J1646" s="117">
        <f t="shared" si="3"/>
        <v>30.030000000000005</v>
      </c>
      <c r="K1646" s="117" t="str">
        <f t="shared" si="4"/>
        <v>BR</v>
      </c>
      <c r="L1646" s="42" t="str">
        <v>BR3003</v>
      </c>
      <c r="M1646" s="121" t="str">
        <v/>
      </c>
      <c r="N1646" s="121" t="str">
        <v/>
      </c>
      <c r="O1646" s="121" t="str">
        <v/>
      </c>
      <c r="P1646" s="121" t="str">
        <v/>
      </c>
      <c r="Q1646" s="121" t="str">
        <v/>
      </c>
      <c r="R1646" s="121" t="str">
        <v/>
      </c>
      <c r="S1646" s="121" t="str">
        <v>A customer who made a big purchase.</v>
      </c>
      <c r="T1646" s="119" t="str">
        <f>IF($C1646&lt;4,IF($C1646=3,T1647,IF($C1646=2,T$1,"")),Q1646&amp;R1646&amp;IF(LEN(S1646)=0,"",Preferences!$C$2&amp;S1646)&amp;IF(J1647=J1646,IF(LEN(R1646&amp;S1646)=0,"","
")&amp;T1647,""))</f>
        <v xml:space="preserve">	• A customer who made a big purchase.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6" s="122" t="str">
        <v/>
      </c>
      <c r="V1646" s="42"/>
      <c r="W1646" s="42"/>
      <c r="X1646" s="42"/>
      <c r="Y1646" s="42"/>
      <c r="Z1646" s="42"/>
      <c r="AA1646" s="42"/>
      <c r="AB1646" s="42"/>
    </row>
    <row r="1647" spans="1:28" x14ac:dyDescent="0.25">
      <c r="A1647" s="42" t="str">
        <v>1.30.3.1.3</v>
      </c>
      <c r="B1647" s="121" t="str">
        <v>A customer who has not made any purchases for a while.</v>
      </c>
      <c r="C1647" s="41">
        <v>5</v>
      </c>
      <c r="D1647" s="41" t="str">
        <v>RL</v>
      </c>
      <c r="E1647" s="117" t="str">
        <f t="shared" si="0"/>
        <v>RL</v>
      </c>
      <c r="F1647" s="41" t="str">
        <v/>
      </c>
      <c r="G1647" s="41" t="str">
        <v/>
      </c>
      <c r="H1647" s="117">
        <f t="shared" si="1"/>
        <v>0</v>
      </c>
      <c r="I1647" s="117">
        <f t="shared" si="2"/>
        <v>30</v>
      </c>
      <c r="J1647" s="117">
        <f t="shared" si="3"/>
        <v>30.030000000000005</v>
      </c>
      <c r="K1647" s="117" t="str">
        <f t="shared" si="4"/>
        <v>BR</v>
      </c>
      <c r="L1647" s="42" t="str">
        <v>BR3003</v>
      </c>
      <c r="M1647" s="121" t="str">
        <v/>
      </c>
      <c r="N1647" s="121" t="str">
        <v/>
      </c>
      <c r="O1647" s="121" t="str">
        <v/>
      </c>
      <c r="P1647" s="121" t="str">
        <v/>
      </c>
      <c r="Q1647" s="121" t="str">
        <v/>
      </c>
      <c r="R1647" s="121" t="str">
        <v/>
      </c>
      <c r="S1647" s="121" t="str">
        <v>A customer who has not made any purchases for a while.</v>
      </c>
      <c r="T1647" s="119" t="str">
        <f>IF($C1647&lt;4,IF($C1647=3,T1648,IF($C1647=2,T$1,"")),Q1647&amp;R1647&amp;IF(LEN(S1647)=0,"",Preferences!$C$2&amp;S1647)&amp;IF(J1648=J1647,IF(LEN(R1647&amp;S1647)=0,"","
")&amp;T1648,""))</f>
        <v xml:space="preserve">	• A customer who has not made any purchases for a while.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7" s="122" t="str">
        <v/>
      </c>
      <c r="V1647" s="42"/>
      <c r="W1647" s="42"/>
      <c r="X1647" s="42"/>
      <c r="Y1647" s="42"/>
      <c r="Z1647" s="42"/>
      <c r="AA1647" s="42"/>
      <c r="AB1647" s="42"/>
    </row>
    <row r="1648" spans="1:28" x14ac:dyDescent="0.25">
      <c r="A1648" s="42" t="str">
        <v>1.30.3.2</v>
      </c>
      <c r="B1648" s="121" t="str">
        <v>A customer is identified to receive a voucher, based on the following criteria:</v>
      </c>
      <c r="C1648" s="41">
        <v>4</v>
      </c>
      <c r="D1648" s="41" t="str">
        <v>RD</v>
      </c>
      <c r="E1648" s="117" t="str">
        <f t="shared" si="0"/>
        <v>RD</v>
      </c>
      <c r="F1648" s="41" t="str">
        <v/>
      </c>
      <c r="G1648" s="41" t="str">
        <v/>
      </c>
      <c r="H1648" s="117">
        <f t="shared" si="1"/>
        <v>0</v>
      </c>
      <c r="I1648" s="117">
        <f t="shared" si="2"/>
        <v>30</v>
      </c>
      <c r="J1648" s="117">
        <f t="shared" si="3"/>
        <v>30.030000000000005</v>
      </c>
      <c r="K1648" s="117" t="str">
        <f t="shared" si="4"/>
        <v>BR</v>
      </c>
      <c r="L1648" s="42" t="str">
        <v>BR3003</v>
      </c>
      <c r="M1648" s="121" t="str">
        <v/>
      </c>
      <c r="N1648" s="121" t="str">
        <v/>
      </c>
      <c r="O1648" s="121" t="str">
        <v/>
      </c>
      <c r="P1648" s="121" t="str">
        <v/>
      </c>
      <c r="Q1648" s="121" t="str">
        <v xml:space="preserve"> 2. </v>
      </c>
      <c r="R1648" s="121" t="str">
        <v>A customer is identified to receive a voucher, based on the following criteria:</v>
      </c>
      <c r="S1648" s="121" t="str">
        <v/>
      </c>
      <c r="T1648" s="119" t="str">
        <f>IF($C1648&lt;4,IF($C1648=3,T1649,IF($C1648=2,T$1,"")),Q1648&amp;R1648&amp;IF(LEN(S1648)=0,"",Preferences!$C$2&amp;S1648)&amp;IF(J1649=J1648,IF(LEN(R1648&amp;S1648)=0,"","
")&amp;T1649,""))</f>
        <v xml:space="preserve"> 2. A customer is identified to receive a voucher, based on the following criteria: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8" s="122" t="str">
        <v/>
      </c>
      <c r="V1648" s="42"/>
      <c r="W1648" s="42"/>
      <c r="X1648" s="42"/>
      <c r="Y1648" s="42"/>
      <c r="Z1648" s="42"/>
      <c r="AA1648" s="42"/>
      <c r="AB1648" s="42"/>
    </row>
    <row r="1649" spans="1:28" x14ac:dyDescent="0.25">
      <c r="A1649" s="42" t="str">
        <v>1.30.3.2.1</v>
      </c>
      <c r="B1649" s="121" t="str">
        <v>Frequency of purchase in the recent number (selectable) of months.</v>
      </c>
      <c r="C1649" s="41">
        <v>5</v>
      </c>
      <c r="D1649" s="41" t="str">
        <v>RL</v>
      </c>
      <c r="E1649" s="117" t="str">
        <f t="shared" si="0"/>
        <v>RL</v>
      </c>
      <c r="F1649" s="41" t="str">
        <v/>
      </c>
      <c r="G1649" s="41" t="str">
        <v/>
      </c>
      <c r="H1649" s="117">
        <f t="shared" si="1"/>
        <v>0</v>
      </c>
      <c r="I1649" s="117">
        <f t="shared" si="2"/>
        <v>30</v>
      </c>
      <c r="J1649" s="117">
        <f t="shared" si="3"/>
        <v>30.030000000000005</v>
      </c>
      <c r="K1649" s="117" t="str">
        <f t="shared" si="4"/>
        <v>BR</v>
      </c>
      <c r="L1649" s="42" t="str">
        <v>BR3003</v>
      </c>
      <c r="M1649" s="121" t="str">
        <v/>
      </c>
      <c r="N1649" s="121" t="str">
        <v/>
      </c>
      <c r="O1649" s="121" t="str">
        <v/>
      </c>
      <c r="P1649" s="121" t="str">
        <v/>
      </c>
      <c r="Q1649" s="121" t="str">
        <v/>
      </c>
      <c r="R1649" s="121" t="str">
        <v/>
      </c>
      <c r="S1649" s="121" t="str">
        <v>Frequency of purchase in the recent number (selectable) of months.</v>
      </c>
      <c r="T1649" s="119" t="str">
        <f>IF($C1649&lt;4,IF($C1649=3,T1650,IF($C1649=2,T$1,"")),Q1649&amp;R1649&amp;IF(LEN(S1649)=0,"",Preferences!$C$2&amp;S1649)&amp;IF(J1650=J1649,IF(LEN(R1649&amp;S1649)=0,"","
")&amp;T1650,""))</f>
        <v xml:space="preserve">	• Frequency of purchase in the recent number (selectable) of months.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49" s="122" t="str">
        <v/>
      </c>
      <c r="V1649" s="42"/>
      <c r="W1649" s="42"/>
      <c r="X1649" s="42"/>
      <c r="Y1649" s="42"/>
      <c r="Z1649" s="42"/>
      <c r="AA1649" s="42"/>
      <c r="AB1649" s="42"/>
    </row>
    <row r="1650" spans="1:28" x14ac:dyDescent="0.25">
      <c r="A1650" s="42" t="str">
        <v>1.30.3.2.2</v>
      </c>
      <c r="B1650" s="121" t="str">
        <v>Total value (in a range) of purchases in the recent number of months.</v>
      </c>
      <c r="C1650" s="41">
        <v>5</v>
      </c>
      <c r="D1650" s="41" t="str">
        <v>RL</v>
      </c>
      <c r="E1650" s="117" t="str">
        <f t="shared" si="0"/>
        <v>RL</v>
      </c>
      <c r="F1650" s="41" t="str">
        <v/>
      </c>
      <c r="G1650" s="41" t="str">
        <v/>
      </c>
      <c r="H1650" s="117">
        <f t="shared" si="1"/>
        <v>0</v>
      </c>
      <c r="I1650" s="117">
        <f t="shared" si="2"/>
        <v>30</v>
      </c>
      <c r="J1650" s="117">
        <f t="shared" si="3"/>
        <v>30.030000000000005</v>
      </c>
      <c r="K1650" s="117" t="str">
        <f t="shared" si="4"/>
        <v>BR</v>
      </c>
      <c r="L1650" s="42" t="str">
        <v>BR3003</v>
      </c>
      <c r="M1650" s="121" t="str">
        <v/>
      </c>
      <c r="N1650" s="121" t="str">
        <v/>
      </c>
      <c r="O1650" s="121" t="str">
        <v/>
      </c>
      <c r="P1650" s="121" t="str">
        <v/>
      </c>
      <c r="Q1650" s="121" t="str">
        <v/>
      </c>
      <c r="R1650" s="121" t="str">
        <v/>
      </c>
      <c r="S1650" s="121" t="str">
        <v>Total value (in a range) of purchases in the recent number of months.</v>
      </c>
      <c r="T1650" s="119" t="str">
        <f>IF($C1650&lt;4,IF($C1650=3,T1651,IF($C1650=2,T$1,"")),Q1650&amp;R1650&amp;IF(LEN(S1650)=0,"",Preferences!$C$2&amp;S1650)&amp;IF(J1651=J1650,IF(LEN(R1650&amp;S1650)=0,"","
")&amp;T1651,""))</f>
        <v xml:space="preserve">	• Total value (in a range) of purchases in the recent number of months.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50" s="122" t="str">
        <v/>
      </c>
      <c r="V1650" s="42"/>
      <c r="W1650" s="42"/>
      <c r="X1650" s="42"/>
      <c r="Y1650" s="42"/>
      <c r="Z1650" s="42"/>
      <c r="AA1650" s="42"/>
      <c r="AB1650" s="42"/>
    </row>
    <row r="1651" spans="1:28" x14ac:dyDescent="0.25">
      <c r="A1651" s="42" t="str">
        <v>1.30.3.2.3</v>
      </c>
      <c r="B1651" s="121" t="str">
        <v>Age of last (selectable) purchase.</v>
      </c>
      <c r="C1651" s="41">
        <v>5</v>
      </c>
      <c r="D1651" s="41" t="str">
        <v>RL</v>
      </c>
      <c r="E1651" s="117" t="str">
        <f t="shared" si="0"/>
        <v>RL</v>
      </c>
      <c r="F1651" s="41" t="str">
        <v/>
      </c>
      <c r="G1651" s="41" t="str">
        <v/>
      </c>
      <c r="H1651" s="117">
        <f t="shared" si="1"/>
        <v>0</v>
      </c>
      <c r="I1651" s="117">
        <f t="shared" si="2"/>
        <v>30</v>
      </c>
      <c r="J1651" s="117">
        <f t="shared" si="3"/>
        <v>30.030000000000005</v>
      </c>
      <c r="K1651" s="117" t="str">
        <f t="shared" si="4"/>
        <v>BR</v>
      </c>
      <c r="L1651" s="42" t="str">
        <v>BR3003</v>
      </c>
      <c r="M1651" s="121" t="str">
        <v/>
      </c>
      <c r="N1651" s="121" t="str">
        <v/>
      </c>
      <c r="O1651" s="121" t="str">
        <v/>
      </c>
      <c r="P1651" s="121" t="str">
        <v/>
      </c>
      <c r="Q1651" s="121" t="str">
        <v/>
      </c>
      <c r="R1651" s="121" t="str">
        <v/>
      </c>
      <c r="S1651" s="121" t="str">
        <v>Age of last (selectable) purchase.</v>
      </c>
      <c r="T1651" s="119" t="str">
        <f>IF($C1651&lt;4,IF($C1651=3,T1652,IF($C1651=2,T$1,"")),Q1651&amp;R1651&amp;IF(LEN(S1651)=0,"",Preferences!$C$2&amp;S1651)&amp;IF(J1652=J1651,IF(LEN(R1651&amp;S1651)=0,"","
")&amp;T1652,""))</f>
        <v xml:space="preserve">	• Age of last (selectable) purchase.
 3. A customer discount voucher value may be assigned as follows:
	• % of the total basket value of next purchase
 4. A personal voucher is active immediately and has an expiry date.
 5. A personal discount voucher is communicated to the customer via email/SMS.</v>
      </c>
      <c r="U1651" s="122" t="str">
        <v/>
      </c>
      <c r="V1651" s="42"/>
      <c r="W1651" s="42"/>
      <c r="X1651" s="42"/>
      <c r="Y1651" s="42"/>
      <c r="Z1651" s="42"/>
      <c r="AA1651" s="42"/>
      <c r="AB1651" s="42"/>
    </row>
    <row r="1652" spans="1:28" x14ac:dyDescent="0.25">
      <c r="A1652" s="42" t="str">
        <v>1.30.3.3</v>
      </c>
      <c r="B1652" s="121" t="str">
        <v>A customer discount voucher value may be assigned as follows:</v>
      </c>
      <c r="C1652" s="41">
        <v>4</v>
      </c>
      <c r="D1652" s="41" t="str">
        <v>RD</v>
      </c>
      <c r="E1652" s="117" t="str">
        <f t="shared" si="0"/>
        <v>RD</v>
      </c>
      <c r="F1652" s="41" t="str">
        <v/>
      </c>
      <c r="G1652" s="41" t="str">
        <v/>
      </c>
      <c r="H1652" s="117">
        <f t="shared" si="1"/>
        <v>0</v>
      </c>
      <c r="I1652" s="117">
        <f t="shared" si="2"/>
        <v>30</v>
      </c>
      <c r="J1652" s="117">
        <f t="shared" si="3"/>
        <v>30.030000000000005</v>
      </c>
      <c r="K1652" s="117" t="str">
        <f t="shared" si="4"/>
        <v>BR</v>
      </c>
      <c r="L1652" s="42" t="str">
        <v>BR3003</v>
      </c>
      <c r="M1652" s="121" t="str">
        <v/>
      </c>
      <c r="N1652" s="121" t="str">
        <v/>
      </c>
      <c r="O1652" s="121" t="str">
        <v/>
      </c>
      <c r="P1652" s="121" t="str">
        <v/>
      </c>
      <c r="Q1652" s="121" t="str">
        <v xml:space="preserve"> 3. </v>
      </c>
      <c r="R1652" s="121" t="str">
        <v>A customer discount voucher value may be assigned as follows:</v>
      </c>
      <c r="S1652" s="121" t="str">
        <v/>
      </c>
      <c r="T1652" s="119" t="str">
        <f>IF($C1652&lt;4,IF($C1652=3,T1653,IF($C1652=2,T$1,"")),Q1652&amp;R1652&amp;IF(LEN(S1652)=0,"",Preferences!$C$2&amp;S1652)&amp;IF(J1653=J1652,IF(LEN(R1652&amp;S1652)=0,"","
")&amp;T1653,""))</f>
        <v xml:space="preserve"> 3. A customer discount voucher value may be assigned as follows:
	• % of the total basket value of next purchase
 4. A personal voucher is active immediately and has an expiry date.
 5. A personal discount voucher is communicated to the customer via email/SMS.</v>
      </c>
      <c r="U1652" s="122" t="str">
        <v/>
      </c>
      <c r="V1652" s="42"/>
      <c r="W1652" s="42"/>
      <c r="X1652" s="42"/>
      <c r="Y1652" s="42"/>
      <c r="Z1652" s="42"/>
      <c r="AA1652" s="42"/>
      <c r="AB1652" s="42"/>
    </row>
    <row r="1653" spans="1:28" x14ac:dyDescent="0.25">
      <c r="A1653" s="42" t="str">
        <v>1.30.3.3.1</v>
      </c>
      <c r="B1653" s="121" t="str">
        <v>% of the total basket value of next purchase</v>
      </c>
      <c r="C1653" s="41">
        <v>5</v>
      </c>
      <c r="D1653" s="41" t="str">
        <v>RL</v>
      </c>
      <c r="E1653" s="117" t="str">
        <f t="shared" si="0"/>
        <v>RL</v>
      </c>
      <c r="F1653" s="41" t="str">
        <v/>
      </c>
      <c r="G1653" s="41" t="str">
        <v/>
      </c>
      <c r="H1653" s="117">
        <f t="shared" si="1"/>
        <v>0</v>
      </c>
      <c r="I1653" s="117">
        <f t="shared" si="2"/>
        <v>30</v>
      </c>
      <c r="J1653" s="117">
        <f t="shared" si="3"/>
        <v>30.030000000000005</v>
      </c>
      <c r="K1653" s="117" t="str">
        <f t="shared" si="4"/>
        <v>BR</v>
      </c>
      <c r="L1653" s="42" t="str">
        <v>BR3003</v>
      </c>
      <c r="M1653" s="121" t="str">
        <v/>
      </c>
      <c r="N1653" s="121" t="str">
        <v/>
      </c>
      <c r="O1653" s="121" t="str">
        <v/>
      </c>
      <c r="P1653" s="121" t="str">
        <v/>
      </c>
      <c r="Q1653" s="121" t="str">
        <v/>
      </c>
      <c r="R1653" s="121" t="str">
        <v/>
      </c>
      <c r="S1653" s="121" t="str">
        <v>% of the total basket value of next purchase</v>
      </c>
      <c r="T1653" s="119" t="str">
        <f>IF($C1653&lt;4,IF($C1653=3,T1654,IF($C1653=2,T$1,"")),Q1653&amp;R1653&amp;IF(LEN(S1653)=0,"",Preferences!$C$2&amp;S1653)&amp;IF(J1654=J1653,IF(LEN(R1653&amp;S1653)=0,"","
")&amp;T1654,""))</f>
        <v xml:space="preserve">	• % of the total basket value of next purchase
 4. A personal voucher is active immediately and has an expiry date.
 5. A personal discount voucher is communicated to the customer via email/SMS.</v>
      </c>
      <c r="U1653" s="122" t="str">
        <v/>
      </c>
      <c r="V1653" s="42"/>
      <c r="W1653" s="42"/>
      <c r="X1653" s="42"/>
      <c r="Y1653" s="42"/>
      <c r="Z1653" s="42"/>
      <c r="AA1653" s="42"/>
      <c r="AB1653" s="42"/>
    </row>
    <row r="1654" spans="1:28" x14ac:dyDescent="0.25">
      <c r="A1654" s="42" t="str">
        <v>1.30.3.4</v>
      </c>
      <c r="B1654" s="121" t="str">
        <v>A personal voucher is active immediately and has an expiry date.</v>
      </c>
      <c r="C1654" s="41">
        <v>4</v>
      </c>
      <c r="D1654" s="41" t="str">
        <v>RD</v>
      </c>
      <c r="E1654" s="117" t="str">
        <f t="shared" si="0"/>
        <v>RD</v>
      </c>
      <c r="F1654" s="41" t="str">
        <v/>
      </c>
      <c r="G1654" s="41" t="str">
        <v/>
      </c>
      <c r="H1654" s="117">
        <f t="shared" si="1"/>
        <v>0</v>
      </c>
      <c r="I1654" s="117">
        <f t="shared" si="2"/>
        <v>30</v>
      </c>
      <c r="J1654" s="117">
        <f t="shared" si="3"/>
        <v>30.030000000000005</v>
      </c>
      <c r="K1654" s="117" t="str">
        <f t="shared" si="4"/>
        <v>BR</v>
      </c>
      <c r="L1654" s="42" t="str">
        <v>BR3003</v>
      </c>
      <c r="M1654" s="121" t="str">
        <v/>
      </c>
      <c r="N1654" s="121" t="str">
        <v/>
      </c>
      <c r="O1654" s="121" t="str">
        <v/>
      </c>
      <c r="P1654" s="121" t="str">
        <v/>
      </c>
      <c r="Q1654" s="121" t="str">
        <v xml:space="preserve"> 4. </v>
      </c>
      <c r="R1654" s="121" t="str">
        <v>A personal voucher is active immediately and has an expiry date.</v>
      </c>
      <c r="S1654" s="121" t="str">
        <v/>
      </c>
      <c r="T1654" s="119" t="str">
        <f>IF($C1654&lt;4,IF($C1654=3,T1655,IF($C1654=2,T$1,"")),Q1654&amp;R1654&amp;IF(LEN(S1654)=0,"",Preferences!$C$2&amp;S1654)&amp;IF(J1655=J1654,IF(LEN(R1654&amp;S1654)=0,"","
")&amp;T1655,""))</f>
        <v xml:space="preserve"> 4. A personal voucher is active immediately and has an expiry date.
 5. A personal discount voucher is communicated to the customer via email/SMS.</v>
      </c>
      <c r="U1654" s="122" t="str">
        <v/>
      </c>
      <c r="V1654" s="42"/>
      <c r="W1654" s="42"/>
      <c r="X1654" s="42"/>
      <c r="Y1654" s="42"/>
      <c r="Z1654" s="42"/>
      <c r="AA1654" s="42"/>
      <c r="AB1654" s="42"/>
    </row>
    <row r="1655" spans="1:28" x14ac:dyDescent="0.25">
      <c r="A1655" s="42" t="str">
        <v>1.30.3.5</v>
      </c>
      <c r="B1655" s="121" t="str">
        <v>A personal discount voucher is communicated to the customer via email/SMS.</v>
      </c>
      <c r="C1655" s="41">
        <v>4</v>
      </c>
      <c r="D1655" s="41" t="str">
        <v>RD</v>
      </c>
      <c r="E1655" s="117" t="str">
        <f t="shared" si="0"/>
        <v>RD</v>
      </c>
      <c r="F1655" s="41" t="str">
        <v/>
      </c>
      <c r="G1655" s="41" t="str">
        <v/>
      </c>
      <c r="H1655" s="117">
        <f t="shared" si="1"/>
        <v>0</v>
      </c>
      <c r="I1655" s="117">
        <f t="shared" si="2"/>
        <v>30</v>
      </c>
      <c r="J1655" s="117">
        <f t="shared" si="3"/>
        <v>30.030000000000005</v>
      </c>
      <c r="K1655" s="117" t="str">
        <f t="shared" si="4"/>
        <v>BR</v>
      </c>
      <c r="L1655" s="42" t="str">
        <v>BR3003</v>
      </c>
      <c r="M1655" s="121" t="str">
        <v/>
      </c>
      <c r="N1655" s="121" t="str">
        <v/>
      </c>
      <c r="O1655" s="121" t="str">
        <v/>
      </c>
      <c r="P1655" s="121" t="str">
        <v/>
      </c>
      <c r="Q1655" s="121" t="str">
        <v xml:space="preserve"> 5. </v>
      </c>
      <c r="R1655" s="121" t="str">
        <v>A personal discount voucher is communicated to the customer via email/SMS.</v>
      </c>
      <c r="S1655" s="121" t="str">
        <v/>
      </c>
      <c r="T1655" s="119" t="str">
        <f>IF($C1655&lt;4,IF($C1655=3,T1656,IF($C1655=2,T$1,"")),Q1655&amp;R1655&amp;IF(LEN(S1655)=0,"",Preferences!$C$2&amp;S1655)&amp;IF(J1656=J1655,IF(LEN(R1655&amp;S1655)=0,"","
")&amp;T1656,""))</f>
        <v xml:space="preserve"> 5. A personal discount voucher is communicated to the customer via email/SMS.</v>
      </c>
      <c r="U1655" s="122" t="str">
        <v/>
      </c>
      <c r="V1655" s="42"/>
      <c r="W1655" s="42"/>
      <c r="X1655" s="42"/>
      <c r="Y1655" s="42"/>
      <c r="Z1655" s="42"/>
      <c r="AA1655" s="42"/>
      <c r="AB1655" s="42"/>
    </row>
    <row r="1656" spans="1:28" x14ac:dyDescent="0.25">
      <c r="A1656" s="42" t="str">
        <v>1.30.4</v>
      </c>
      <c r="B1656" s="121" t="str">
        <v>30.4 Maintain product-specific discount vouchers</v>
      </c>
      <c r="C1656" s="41">
        <v>3</v>
      </c>
      <c r="D1656" s="41" t="str">
        <v>R</v>
      </c>
      <c r="E1656" s="117" t="str">
        <f t="shared" si="0"/>
        <v>R</v>
      </c>
      <c r="F1656" s="41" t="str">
        <v/>
      </c>
      <c r="G1656" s="41" t="str">
        <v/>
      </c>
      <c r="H1656" s="117">
        <f t="shared" si="1"/>
        <v>0</v>
      </c>
      <c r="I1656" s="117">
        <f t="shared" si="2"/>
        <v>30</v>
      </c>
      <c r="J1656" s="117">
        <f t="shared" si="3"/>
        <v>30.040000000000006</v>
      </c>
      <c r="K1656" s="117" t="str">
        <f t="shared" si="4"/>
        <v>BR</v>
      </c>
      <c r="L1656" s="42" t="str">
        <v>BR3004</v>
      </c>
      <c r="M1656" s="121" t="str">
        <v/>
      </c>
      <c r="N1656" s="121" t="str">
        <v/>
      </c>
      <c r="O1656" s="121" t="str">
        <v>BR3004</v>
      </c>
      <c r="P1656" s="121" t="str">
        <v>Maintain product-specific discount vouchers</v>
      </c>
      <c r="Q1656" s="121" t="str">
        <v/>
      </c>
      <c r="R1656" s="121" t="str">
        <v/>
      </c>
      <c r="S1656" s="121" t="str">
        <v/>
      </c>
      <c r="T1656" s="119" t="str">
        <f>IF($C1656&lt;4,IF($C1656=3,T1657,IF($C1656=2,T$1,"")),Q1656&amp;R1656&amp;IF(LEN(S1656)=0,"",Preferences!$C$2&amp;S1656)&amp;IF(J1657=J1656,IF(LEN(R1656&amp;S1656)=0,"","
")&amp;T1657,""))</f>
        <v xml:space="preserve"> 1. A product discount voucher may be used for the following purposes:
	• Promote a specific product (supplier promotion)
 2. A customer is identified to be notified of this type of voucher, based on the following criteria: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56" s="122" t="str">
        <v/>
      </c>
      <c r="V1656" s="42"/>
      <c r="W1656" s="42"/>
      <c r="X1656" s="42"/>
      <c r="Y1656" s="42"/>
      <c r="Z1656" s="42"/>
      <c r="AA1656" s="42"/>
      <c r="AB1656" s="42"/>
    </row>
    <row r="1657" spans="1:28" x14ac:dyDescent="0.25">
      <c r="A1657" s="42" t="str">
        <v>1.30.4.1</v>
      </c>
      <c r="B1657" s="121" t="str">
        <v>A product discount voucher may be used for the following purposes:</v>
      </c>
      <c r="C1657" s="41">
        <v>4</v>
      </c>
      <c r="D1657" s="41" t="str">
        <v>RD</v>
      </c>
      <c r="E1657" s="117" t="str">
        <f t="shared" si="0"/>
        <v>RD</v>
      </c>
      <c r="F1657" s="41" t="str">
        <v/>
      </c>
      <c r="G1657" s="41" t="str">
        <v/>
      </c>
      <c r="H1657" s="117">
        <f t="shared" si="1"/>
        <v>0</v>
      </c>
      <c r="I1657" s="117">
        <f t="shared" si="2"/>
        <v>30</v>
      </c>
      <c r="J1657" s="117">
        <f t="shared" si="3"/>
        <v>30.040000000000006</v>
      </c>
      <c r="K1657" s="117" t="str">
        <f t="shared" si="4"/>
        <v>BR</v>
      </c>
      <c r="L1657" s="42" t="str">
        <v>BR3004</v>
      </c>
      <c r="M1657" s="121" t="str">
        <v/>
      </c>
      <c r="N1657" s="121" t="str">
        <v/>
      </c>
      <c r="O1657" s="121" t="str">
        <v/>
      </c>
      <c r="P1657" s="121" t="str">
        <v/>
      </c>
      <c r="Q1657" s="121" t="str">
        <v xml:space="preserve"> 1. </v>
      </c>
      <c r="R1657" s="121" t="str">
        <v>A product discount voucher may be used for the following purposes:</v>
      </c>
      <c r="S1657" s="121" t="str">
        <v/>
      </c>
      <c r="T1657" s="119" t="str">
        <f>IF($C1657&lt;4,IF($C1657=3,T1658,IF($C1657=2,T$1,"")),Q1657&amp;R1657&amp;IF(LEN(S1657)=0,"",Preferences!$C$2&amp;S1657)&amp;IF(J1658=J1657,IF(LEN(R1657&amp;S1657)=0,"","
")&amp;T1658,""))</f>
        <v xml:space="preserve"> 1. A product discount voucher may be used for the following purposes:
	• Promote a specific product (supplier promotion)
 2. A customer is identified to be notified of this type of voucher, based on the following criteria: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57" s="122" t="str">
        <v/>
      </c>
      <c r="V1657" s="42"/>
      <c r="W1657" s="42"/>
      <c r="X1657" s="42"/>
      <c r="Y1657" s="42"/>
      <c r="Z1657" s="42"/>
      <c r="AA1657" s="42"/>
      <c r="AB1657" s="42"/>
    </row>
    <row r="1658" spans="1:28" x14ac:dyDescent="0.25">
      <c r="A1658" s="42" t="str">
        <v>1.30.4.1.1</v>
      </c>
      <c r="B1658" s="121" t="str">
        <v>Promote a specific product (supplier promotion)</v>
      </c>
      <c r="C1658" s="41">
        <v>5</v>
      </c>
      <c r="D1658" s="41" t="str">
        <v>RL</v>
      </c>
      <c r="E1658" s="117" t="str">
        <f t="shared" si="0"/>
        <v>RL</v>
      </c>
      <c r="F1658" s="41" t="str">
        <v/>
      </c>
      <c r="G1658" s="41" t="str">
        <v/>
      </c>
      <c r="H1658" s="117">
        <f t="shared" si="1"/>
        <v>0</v>
      </c>
      <c r="I1658" s="117">
        <f t="shared" si="2"/>
        <v>30</v>
      </c>
      <c r="J1658" s="117">
        <f t="shared" si="3"/>
        <v>30.040000000000006</v>
      </c>
      <c r="K1658" s="117" t="str">
        <f t="shared" si="4"/>
        <v>BR</v>
      </c>
      <c r="L1658" s="42" t="str">
        <v>BR3004</v>
      </c>
      <c r="M1658" s="121" t="str">
        <v/>
      </c>
      <c r="N1658" s="121" t="str">
        <v/>
      </c>
      <c r="O1658" s="121" t="str">
        <v/>
      </c>
      <c r="P1658" s="121" t="str">
        <v/>
      </c>
      <c r="Q1658" s="121" t="str">
        <v/>
      </c>
      <c r="R1658" s="121" t="str">
        <v/>
      </c>
      <c r="S1658" s="121" t="str">
        <v>Promote a specific product (supplier promotion)</v>
      </c>
      <c r="T1658" s="119" t="str">
        <f>IF($C1658&lt;4,IF($C1658=3,T1659,IF($C1658=2,T$1,"")),Q1658&amp;R1658&amp;IF(LEN(S1658)=0,"",Preferences!$C$2&amp;S1658)&amp;IF(J1659=J1658,IF(LEN(R1658&amp;S1658)=0,"","
")&amp;T1659,""))</f>
        <v xml:space="preserve">	• Promote a specific product (supplier promotion)
 2. A customer is identified to be notified of this type of voucher, based on the following criteria: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58" s="122" t="str">
        <v/>
      </c>
      <c r="V1658" s="42"/>
      <c r="W1658" s="42"/>
      <c r="X1658" s="42"/>
      <c r="Y1658" s="42"/>
      <c r="Z1658" s="42"/>
      <c r="AA1658" s="42"/>
      <c r="AB1658" s="42"/>
    </row>
    <row r="1659" spans="1:28" x14ac:dyDescent="0.25">
      <c r="A1659" s="42" t="str">
        <v>1.30.4.2</v>
      </c>
      <c r="B1659" s="121" t="str">
        <v>A customer is identified to be notified of this type of voucher, based on the following criteria:</v>
      </c>
      <c r="C1659" s="41">
        <v>4</v>
      </c>
      <c r="D1659" s="41" t="str">
        <v>RD</v>
      </c>
      <c r="E1659" s="117" t="str">
        <f t="shared" si="0"/>
        <v>RD</v>
      </c>
      <c r="F1659" s="41" t="str">
        <v/>
      </c>
      <c r="G1659" s="41" t="str">
        <v/>
      </c>
      <c r="H1659" s="117">
        <f t="shared" si="1"/>
        <v>0</v>
      </c>
      <c r="I1659" s="117">
        <f t="shared" si="2"/>
        <v>30</v>
      </c>
      <c r="J1659" s="117">
        <f t="shared" si="3"/>
        <v>30.040000000000006</v>
      </c>
      <c r="K1659" s="117" t="str">
        <f t="shared" si="4"/>
        <v>BR</v>
      </c>
      <c r="L1659" s="42" t="str">
        <v>BR3004</v>
      </c>
      <c r="M1659" s="121" t="str">
        <v/>
      </c>
      <c r="N1659" s="121" t="str">
        <v/>
      </c>
      <c r="O1659" s="121" t="str">
        <v/>
      </c>
      <c r="P1659" s="121" t="str">
        <v/>
      </c>
      <c r="Q1659" s="121" t="str">
        <v xml:space="preserve"> 2. </v>
      </c>
      <c r="R1659" s="121" t="str">
        <v>A customer is identified to be notified of this type of voucher, based on the following criteria:</v>
      </c>
      <c r="S1659" s="121" t="str">
        <v/>
      </c>
      <c r="T1659" s="119" t="str">
        <f>IF($C1659&lt;4,IF($C1659=3,T1660,IF($C1659=2,T$1,"")),Q1659&amp;R1659&amp;IF(LEN(S1659)=0,"",Preferences!$C$2&amp;S1659)&amp;IF(J1660=J1659,IF(LEN(R1659&amp;S1659)=0,"","
")&amp;T1660,""))</f>
        <v xml:space="preserve"> 2. A customer is identified to be notified of this type of voucher, based on the following criteria: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59" s="122" t="str">
        <v/>
      </c>
      <c r="V1659" s="42"/>
      <c r="W1659" s="42"/>
      <c r="X1659" s="42"/>
      <c r="Y1659" s="42"/>
      <c r="Z1659" s="42"/>
      <c r="AA1659" s="42"/>
      <c r="AB1659" s="42"/>
    </row>
    <row r="1660" spans="1:28" x14ac:dyDescent="0.25">
      <c r="A1660" s="42" t="str">
        <v>1.30.4.2.1</v>
      </c>
      <c r="B1660" s="121" t="str">
        <v>Frequency of purchase in the recent number (selectable) of months.</v>
      </c>
      <c r="C1660" s="41">
        <v>5</v>
      </c>
      <c r="D1660" s="41" t="str">
        <v>RL</v>
      </c>
      <c r="E1660" s="117" t="str">
        <f t="shared" si="0"/>
        <v>RL</v>
      </c>
      <c r="F1660" s="41" t="str">
        <v/>
      </c>
      <c r="G1660" s="41" t="str">
        <v/>
      </c>
      <c r="H1660" s="117">
        <f t="shared" si="1"/>
        <v>0</v>
      </c>
      <c r="I1660" s="117">
        <f t="shared" si="2"/>
        <v>30</v>
      </c>
      <c r="J1660" s="117">
        <f t="shared" si="3"/>
        <v>30.040000000000006</v>
      </c>
      <c r="K1660" s="117" t="str">
        <f t="shared" si="4"/>
        <v>BR</v>
      </c>
      <c r="L1660" s="42" t="str">
        <v>BR3004</v>
      </c>
      <c r="M1660" s="121" t="str">
        <v/>
      </c>
      <c r="N1660" s="121" t="str">
        <v/>
      </c>
      <c r="O1660" s="121" t="str">
        <v/>
      </c>
      <c r="P1660" s="121" t="str">
        <v/>
      </c>
      <c r="Q1660" s="121" t="str">
        <v/>
      </c>
      <c r="R1660" s="121" t="str">
        <v/>
      </c>
      <c r="S1660" s="121" t="str">
        <v>Frequency of purchase in the recent number (selectable) of months.</v>
      </c>
      <c r="T1660" s="119" t="str">
        <f>IF($C1660&lt;4,IF($C1660=3,T1661,IF($C1660=2,T$1,"")),Q1660&amp;R1660&amp;IF(LEN(S1660)=0,"",Preferences!$C$2&amp;S1660)&amp;IF(J1661=J1660,IF(LEN(R1660&amp;S1660)=0,"","
")&amp;T1661,""))</f>
        <v xml:space="preserve">	• Frequency of purchase in the recent number (selectable) of months.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0" s="122" t="str">
        <v/>
      </c>
      <c r="V1660" s="42"/>
      <c r="W1660" s="42"/>
      <c r="X1660" s="42"/>
      <c r="Y1660" s="42"/>
      <c r="Z1660" s="42"/>
      <c r="AA1660" s="42"/>
      <c r="AB1660" s="42"/>
    </row>
    <row r="1661" spans="1:28" x14ac:dyDescent="0.25">
      <c r="A1661" s="42" t="str">
        <v>1.30.4.2.2</v>
      </c>
      <c r="B1661" s="121" t="str">
        <v>Total value (in a range) of purchases in the recent number of months.</v>
      </c>
      <c r="C1661" s="41">
        <v>5</v>
      </c>
      <c r="D1661" s="41" t="str">
        <v>RL</v>
      </c>
      <c r="E1661" s="117" t="str">
        <f t="shared" si="0"/>
        <v>RL</v>
      </c>
      <c r="F1661" s="41" t="str">
        <v/>
      </c>
      <c r="G1661" s="41" t="str">
        <v/>
      </c>
      <c r="H1661" s="117">
        <f t="shared" si="1"/>
        <v>0</v>
      </c>
      <c r="I1661" s="117">
        <f t="shared" si="2"/>
        <v>30</v>
      </c>
      <c r="J1661" s="117">
        <f t="shared" si="3"/>
        <v>30.040000000000006</v>
      </c>
      <c r="K1661" s="117" t="str">
        <f t="shared" si="4"/>
        <v>BR</v>
      </c>
      <c r="L1661" s="42" t="str">
        <v>BR3004</v>
      </c>
      <c r="M1661" s="121" t="str">
        <v/>
      </c>
      <c r="N1661" s="121" t="str">
        <v/>
      </c>
      <c r="O1661" s="121" t="str">
        <v/>
      </c>
      <c r="P1661" s="121" t="str">
        <v/>
      </c>
      <c r="Q1661" s="121" t="str">
        <v/>
      </c>
      <c r="R1661" s="121" t="str">
        <v/>
      </c>
      <c r="S1661" s="121" t="str">
        <v>Total value (in a range) of purchases in the recent number of months.</v>
      </c>
      <c r="T1661" s="119" t="str">
        <f>IF($C1661&lt;4,IF($C1661=3,T1662,IF($C1661=2,T$1,"")),Q1661&amp;R1661&amp;IF(LEN(S1661)=0,"",Preferences!$C$2&amp;S1661)&amp;IF(J1662=J1661,IF(LEN(R1661&amp;S1661)=0,"","
")&amp;T1662,""))</f>
        <v xml:space="preserve">	• Total value (in a range) of purchases in the recent number of months.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1" s="122" t="str">
        <v/>
      </c>
      <c r="V1661" s="42"/>
      <c r="W1661" s="42"/>
      <c r="X1661" s="42"/>
      <c r="Y1661" s="42"/>
      <c r="Z1661" s="42"/>
      <c r="AA1661" s="42"/>
      <c r="AB1661" s="42"/>
    </row>
    <row r="1662" spans="1:28" x14ac:dyDescent="0.25">
      <c r="A1662" s="42" t="str">
        <v>1.30.4.2.3</v>
      </c>
      <c r="B1662" s="121" t="str">
        <v>Age of last (selectable) purchase.</v>
      </c>
      <c r="C1662" s="41">
        <v>5</v>
      </c>
      <c r="D1662" s="41" t="str">
        <v>RL</v>
      </c>
      <c r="E1662" s="117" t="str">
        <f t="shared" si="0"/>
        <v>RL</v>
      </c>
      <c r="F1662" s="41" t="str">
        <v/>
      </c>
      <c r="G1662" s="41" t="str">
        <v/>
      </c>
      <c r="H1662" s="117">
        <f t="shared" si="1"/>
        <v>0</v>
      </c>
      <c r="I1662" s="117">
        <f t="shared" si="2"/>
        <v>30</v>
      </c>
      <c r="J1662" s="117">
        <f t="shared" si="3"/>
        <v>30.040000000000006</v>
      </c>
      <c r="K1662" s="117" t="str">
        <f t="shared" si="4"/>
        <v>BR</v>
      </c>
      <c r="L1662" s="42" t="str">
        <v>BR3004</v>
      </c>
      <c r="M1662" s="121" t="str">
        <v/>
      </c>
      <c r="N1662" s="121" t="str">
        <v/>
      </c>
      <c r="O1662" s="121" t="str">
        <v/>
      </c>
      <c r="P1662" s="121" t="str">
        <v/>
      </c>
      <c r="Q1662" s="121" t="str">
        <v/>
      </c>
      <c r="R1662" s="121" t="str">
        <v/>
      </c>
      <c r="S1662" s="121" t="str">
        <v>Age of last (selectable) purchase.</v>
      </c>
      <c r="T1662" s="119" t="str">
        <f>IF($C1662&lt;4,IF($C1662=3,T1663,IF($C1662=2,T$1,"")),Q1662&amp;R1662&amp;IF(LEN(S1662)=0,"",Preferences!$C$2&amp;S1662)&amp;IF(J1663=J1662,IF(LEN(R1662&amp;S1662)=0,"","
")&amp;T1663,""))</f>
        <v xml:space="preserve">	• Age of last (selectable) purchase.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2" s="122" t="str">
        <v/>
      </c>
      <c r="V1662" s="42"/>
      <c r="W1662" s="42"/>
      <c r="X1662" s="42"/>
      <c r="Y1662" s="42"/>
      <c r="Z1662" s="42"/>
      <c r="AA1662" s="42"/>
      <c r="AB1662" s="42"/>
    </row>
    <row r="1663" spans="1:28" x14ac:dyDescent="0.25">
      <c r="A1663" s="42" t="str">
        <v>1.30.4.3</v>
      </c>
      <c r="B1663" s="121" t="str">
        <v>The voucher value may be assigned as follows:</v>
      </c>
      <c r="C1663" s="41">
        <v>4</v>
      </c>
      <c r="D1663" s="41" t="str">
        <v>RD</v>
      </c>
      <c r="E1663" s="117" t="str">
        <f t="shared" si="0"/>
        <v>RD</v>
      </c>
      <c r="F1663" s="41" t="str">
        <v/>
      </c>
      <c r="G1663" s="41" t="str">
        <v/>
      </c>
      <c r="H1663" s="117">
        <f t="shared" si="1"/>
        <v>0</v>
      </c>
      <c r="I1663" s="117">
        <f t="shared" si="2"/>
        <v>30</v>
      </c>
      <c r="J1663" s="117">
        <f t="shared" si="3"/>
        <v>30.040000000000006</v>
      </c>
      <c r="K1663" s="117" t="str">
        <f t="shared" si="4"/>
        <v>BR</v>
      </c>
      <c r="L1663" s="42" t="str">
        <v>BR3004</v>
      </c>
      <c r="M1663" s="121" t="str">
        <v/>
      </c>
      <c r="N1663" s="121" t="str">
        <v/>
      </c>
      <c r="O1663" s="121" t="str">
        <v/>
      </c>
      <c r="P1663" s="121" t="str">
        <v/>
      </c>
      <c r="Q1663" s="121" t="str">
        <v xml:space="preserve"> 3. </v>
      </c>
      <c r="R1663" s="121" t="str">
        <v>The voucher value may be assigned as follows:</v>
      </c>
      <c r="S1663" s="121" t="str">
        <v/>
      </c>
      <c r="T1663" s="119" t="str">
        <f>IF($C1663&lt;4,IF($C1663=3,T1664,IF($C1663=2,T$1,"")),Q1663&amp;R1663&amp;IF(LEN(S1663)=0,"",Preferences!$C$2&amp;S1663)&amp;IF(J1664=J1663,IF(LEN(R1663&amp;S1663)=0,"","
")&amp;T1664,""))</f>
        <v xml:space="preserve"> 3. The voucher value may be assigned as follows: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3" s="122" t="str">
        <v/>
      </c>
      <c r="V1663" s="42"/>
      <c r="W1663" s="42"/>
      <c r="X1663" s="42"/>
      <c r="Y1663" s="42"/>
      <c r="Z1663" s="42"/>
      <c r="AA1663" s="42"/>
      <c r="AB1663" s="42"/>
    </row>
    <row r="1664" spans="1:28" x14ac:dyDescent="0.25">
      <c r="A1664" s="42" t="str">
        <v>1.30.4.3.1</v>
      </c>
      <c r="B1664" s="121" t="str">
        <v>% of the value of the next purchase of a specific product</v>
      </c>
      <c r="C1664" s="41">
        <v>5</v>
      </c>
      <c r="D1664" s="41" t="str">
        <v>RL</v>
      </c>
      <c r="E1664" s="117" t="str">
        <f t="shared" si="0"/>
        <v>RL</v>
      </c>
      <c r="F1664" s="41" t="str">
        <v/>
      </c>
      <c r="G1664" s="41" t="str">
        <v/>
      </c>
      <c r="H1664" s="117">
        <f t="shared" si="1"/>
        <v>0</v>
      </c>
      <c r="I1664" s="117">
        <f t="shared" si="2"/>
        <v>30</v>
      </c>
      <c r="J1664" s="117">
        <f t="shared" si="3"/>
        <v>30.040000000000006</v>
      </c>
      <c r="K1664" s="117" t="str">
        <f t="shared" si="4"/>
        <v>BR</v>
      </c>
      <c r="L1664" s="42" t="str">
        <v>BR3004</v>
      </c>
      <c r="M1664" s="121" t="str">
        <v/>
      </c>
      <c r="N1664" s="121" t="str">
        <v/>
      </c>
      <c r="O1664" s="121" t="str">
        <v/>
      </c>
      <c r="P1664" s="121" t="str">
        <v/>
      </c>
      <c r="Q1664" s="121" t="str">
        <v/>
      </c>
      <c r="R1664" s="121" t="str">
        <v/>
      </c>
      <c r="S1664" s="121" t="str">
        <v>% of the value of the next purchase of a specific product</v>
      </c>
      <c r="T1664" s="119" t="str">
        <f>IF($C1664&lt;4,IF($C1664=3,T1665,IF($C1664=2,T$1,"")),Q1664&amp;R1664&amp;IF(LEN(S1664)=0,"",Preferences!$C$2&amp;S1664)&amp;IF(J1665=J1664,IF(LEN(R1664&amp;S1664)=0,"","
")&amp;T1665,""))</f>
        <v xml:space="preserve">	• % of the value of the next purchase of a specific product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4" s="122" t="str">
        <v/>
      </c>
      <c r="V1664" s="42"/>
      <c r="W1664" s="42"/>
      <c r="X1664" s="42"/>
      <c r="Y1664" s="42"/>
      <c r="Z1664" s="42"/>
      <c r="AA1664" s="42"/>
      <c r="AB1664" s="42"/>
    </row>
    <row r="1665" spans="1:28" x14ac:dyDescent="0.25">
      <c r="A1665" s="42" t="str">
        <v>1.30.4.4</v>
      </c>
      <c r="B1665" s="121" t="str">
        <v>The voucher may limit the quantity of a given product qualifying for the discount (future).</v>
      </c>
      <c r="C1665" s="41">
        <v>4</v>
      </c>
      <c r="D1665" s="41" t="str">
        <v>RD</v>
      </c>
      <c r="E1665" s="117" t="str">
        <f t="shared" si="0"/>
        <v>RD</v>
      </c>
      <c r="F1665" s="41" t="str">
        <v/>
      </c>
      <c r="G1665" s="41" t="str">
        <v/>
      </c>
      <c r="H1665" s="117">
        <f t="shared" si="1"/>
        <v>0</v>
      </c>
      <c r="I1665" s="117">
        <f t="shared" si="2"/>
        <v>30</v>
      </c>
      <c r="J1665" s="117">
        <f t="shared" si="3"/>
        <v>30.040000000000006</v>
      </c>
      <c r="K1665" s="117" t="str">
        <f t="shared" si="4"/>
        <v>BR</v>
      </c>
      <c r="L1665" s="42" t="str">
        <v>BR3004</v>
      </c>
      <c r="M1665" s="121" t="str">
        <v/>
      </c>
      <c r="N1665" s="121" t="str">
        <v/>
      </c>
      <c r="O1665" s="121" t="str">
        <v/>
      </c>
      <c r="P1665" s="121" t="str">
        <v/>
      </c>
      <c r="Q1665" s="121" t="str">
        <v xml:space="preserve"> 4. </v>
      </c>
      <c r="R1665" s="121" t="str">
        <v>The voucher may limit the quantity of a given product qualifying for the discount (future).</v>
      </c>
      <c r="S1665" s="121" t="str">
        <v/>
      </c>
      <c r="T1665" s="119" t="str">
        <f>IF($C1665&lt;4,IF($C1665=3,T1666,IF($C1665=2,T$1,"")),Q1665&amp;R1665&amp;IF(LEN(S1665)=0,"",Preferences!$C$2&amp;S1665)&amp;IF(J1666=J1665,IF(LEN(R1665&amp;S1665)=0,"","
")&amp;T1666,""))</f>
        <v xml:space="preserve"> 4. The voucher may limit the quantity of a given product qualifying for the discount (future).
 5. The voucher has a start and expiry date.
 6. These vouchers are communicated directly to only the identified customer via email/SMS.
 7. These vouchers are advertised in social media.</v>
      </c>
      <c r="U1665" s="122" t="str">
        <v/>
      </c>
      <c r="V1665" s="42"/>
      <c r="W1665" s="42"/>
      <c r="X1665" s="42"/>
      <c r="Y1665" s="42"/>
      <c r="Z1665" s="42"/>
      <c r="AA1665" s="42"/>
      <c r="AB1665" s="42"/>
    </row>
    <row r="1666" spans="1:28" x14ac:dyDescent="0.25">
      <c r="A1666" s="42" t="str">
        <v>1.30.4.5</v>
      </c>
      <c r="B1666" s="121" t="str">
        <v>The voucher has a start and expiry date.</v>
      </c>
      <c r="C1666" s="41">
        <v>4</v>
      </c>
      <c r="D1666" s="41" t="str">
        <v>RD</v>
      </c>
      <c r="E1666" s="117" t="str">
        <f t="shared" si="0"/>
        <v>RD</v>
      </c>
      <c r="F1666" s="41" t="str">
        <v/>
      </c>
      <c r="G1666" s="41" t="str">
        <v/>
      </c>
      <c r="H1666" s="117">
        <f t="shared" si="1"/>
        <v>0</v>
      </c>
      <c r="I1666" s="117">
        <f t="shared" si="2"/>
        <v>30</v>
      </c>
      <c r="J1666" s="117">
        <f t="shared" si="3"/>
        <v>30.040000000000006</v>
      </c>
      <c r="K1666" s="117" t="str">
        <f t="shared" si="4"/>
        <v>BR</v>
      </c>
      <c r="L1666" s="42" t="str">
        <v>BR3004</v>
      </c>
      <c r="M1666" s="121" t="str">
        <v/>
      </c>
      <c r="N1666" s="121" t="str">
        <v/>
      </c>
      <c r="O1666" s="121" t="str">
        <v/>
      </c>
      <c r="P1666" s="121" t="str">
        <v/>
      </c>
      <c r="Q1666" s="121" t="str">
        <v xml:space="preserve"> 5. </v>
      </c>
      <c r="R1666" s="121" t="str">
        <v>The voucher has a start and expiry date.</v>
      </c>
      <c r="S1666" s="121" t="str">
        <v/>
      </c>
      <c r="T1666" s="119" t="str">
        <f>IF($C1666&lt;4,IF($C1666=3,T1667,IF($C1666=2,T$1,"")),Q1666&amp;R1666&amp;IF(LEN(S1666)=0,"",Preferences!$C$2&amp;S1666)&amp;IF(J1667=J1666,IF(LEN(R1666&amp;S1666)=0,"","
")&amp;T1667,""))</f>
        <v xml:space="preserve"> 5. The voucher has a start and expiry date.
 6. These vouchers are communicated directly to only the identified customer via email/SMS.
 7. These vouchers are advertised in social media.</v>
      </c>
      <c r="U1666" s="122" t="str">
        <v/>
      </c>
      <c r="V1666" s="42"/>
      <c r="W1666" s="42"/>
      <c r="X1666" s="42"/>
      <c r="Y1666" s="42"/>
      <c r="Z1666" s="42"/>
      <c r="AA1666" s="42"/>
      <c r="AB1666" s="42"/>
    </row>
    <row r="1667" spans="1:28" x14ac:dyDescent="0.25">
      <c r="A1667" s="42" t="str">
        <v>1.30.4.6</v>
      </c>
      <c r="B1667" s="121" t="str">
        <v>These vouchers are communicated directly to only the identified customer via email/SMS.</v>
      </c>
      <c r="C1667" s="41">
        <v>4</v>
      </c>
      <c r="D1667" s="41" t="str">
        <v>RD</v>
      </c>
      <c r="E1667" s="117" t="str">
        <f t="shared" si="0"/>
        <v>RD</v>
      </c>
      <c r="F1667" s="41" t="str">
        <v/>
      </c>
      <c r="G1667" s="41" t="str">
        <v/>
      </c>
      <c r="H1667" s="117">
        <f t="shared" si="1"/>
        <v>0</v>
      </c>
      <c r="I1667" s="117">
        <f t="shared" si="2"/>
        <v>30</v>
      </c>
      <c r="J1667" s="117">
        <f t="shared" si="3"/>
        <v>30.040000000000006</v>
      </c>
      <c r="K1667" s="117" t="str">
        <f t="shared" si="4"/>
        <v>BR</v>
      </c>
      <c r="L1667" s="42" t="str">
        <v>BR3004</v>
      </c>
      <c r="M1667" s="121" t="str">
        <v/>
      </c>
      <c r="N1667" s="121" t="str">
        <v/>
      </c>
      <c r="O1667" s="121" t="str">
        <v/>
      </c>
      <c r="P1667" s="121" t="str">
        <v/>
      </c>
      <c r="Q1667" s="121" t="str">
        <v xml:space="preserve"> 6. </v>
      </c>
      <c r="R1667" s="121" t="str">
        <v>These vouchers are communicated directly to only the identified customer via email/SMS.</v>
      </c>
      <c r="S1667" s="121" t="str">
        <v/>
      </c>
      <c r="T1667" s="119" t="str">
        <f>IF($C1667&lt;4,IF($C1667=3,T1668,IF($C1667=2,T$1,"")),Q1667&amp;R1667&amp;IF(LEN(S1667)=0,"",Preferences!$C$2&amp;S1667)&amp;IF(J1668=J1667,IF(LEN(R1667&amp;S1667)=0,"","
")&amp;T1668,""))</f>
        <v xml:space="preserve"> 6. These vouchers are communicated directly to only the identified customer via email/SMS.
 7. These vouchers are advertised in social media.</v>
      </c>
      <c r="U1667" s="122" t="str">
        <v/>
      </c>
      <c r="V1667" s="42"/>
      <c r="W1667" s="42"/>
      <c r="X1667" s="42"/>
      <c r="Y1667" s="42"/>
      <c r="Z1667" s="42"/>
      <c r="AA1667" s="42"/>
      <c r="AB1667" s="42"/>
    </row>
    <row r="1668" spans="1:28" x14ac:dyDescent="0.25">
      <c r="A1668" s="42" t="str">
        <v>1.30.4.7</v>
      </c>
      <c r="B1668" s="121" t="str">
        <v>These vouchers are advertised in social media.</v>
      </c>
      <c r="C1668" s="41">
        <v>4</v>
      </c>
      <c r="D1668" s="41" t="str">
        <v>RD</v>
      </c>
      <c r="E1668" s="117" t="str">
        <f t="shared" si="0"/>
        <v>RD</v>
      </c>
      <c r="F1668" s="41" t="str">
        <v/>
      </c>
      <c r="G1668" s="41" t="str">
        <v/>
      </c>
      <c r="H1668" s="117">
        <f t="shared" si="1"/>
        <v>0</v>
      </c>
      <c r="I1668" s="117">
        <f t="shared" si="2"/>
        <v>30</v>
      </c>
      <c r="J1668" s="117">
        <f t="shared" si="3"/>
        <v>30.040000000000006</v>
      </c>
      <c r="K1668" s="117" t="str">
        <f t="shared" si="4"/>
        <v>BR</v>
      </c>
      <c r="L1668" s="42" t="str">
        <v>BR3004</v>
      </c>
      <c r="M1668" s="121" t="str">
        <v/>
      </c>
      <c r="N1668" s="121" t="str">
        <v/>
      </c>
      <c r="O1668" s="121" t="str">
        <v/>
      </c>
      <c r="P1668" s="121" t="str">
        <v/>
      </c>
      <c r="Q1668" s="121" t="str">
        <v xml:space="preserve"> 7. </v>
      </c>
      <c r="R1668" s="121" t="str">
        <v>These vouchers are advertised in social media.</v>
      </c>
      <c r="S1668" s="121" t="str">
        <v/>
      </c>
      <c r="T1668" s="119" t="str">
        <f>IF($C1668&lt;4,IF($C1668=3,T1669,IF($C1668=2,T$1,"")),Q1668&amp;R1668&amp;IF(LEN(S1668)=0,"",Preferences!$C$2&amp;S1668)&amp;IF(J1669=J1668,IF(LEN(R1668&amp;S1668)=0,"","
")&amp;T1669,""))</f>
        <v xml:space="preserve"> 7. These vouchers are advertised in social media.</v>
      </c>
      <c r="U1668" s="122" t="str">
        <v/>
      </c>
      <c r="V1668" s="42"/>
      <c r="W1668" s="42"/>
      <c r="X1668" s="42"/>
      <c r="Y1668" s="42"/>
      <c r="Z1668" s="42"/>
      <c r="AA1668" s="42"/>
      <c r="AB1668" s="42"/>
    </row>
    <row r="1669" spans="1:28" x14ac:dyDescent="0.25">
      <c r="A1669" s="42" t="str">
        <v>1.30.5</v>
      </c>
      <c r="B1669" s="121" t="str">
        <v>30.5 Use Discount Vouchers at checkout</v>
      </c>
      <c r="C1669" s="41">
        <v>3</v>
      </c>
      <c r="D1669" s="41" t="str">
        <v>R</v>
      </c>
      <c r="E1669" s="117" t="str">
        <f t="shared" si="0"/>
        <v>R</v>
      </c>
      <c r="F1669" s="41" t="str">
        <v/>
      </c>
      <c r="G1669" s="41" t="str">
        <v/>
      </c>
      <c r="H1669" s="117">
        <f t="shared" si="1"/>
        <v>0</v>
      </c>
      <c r="I1669" s="117">
        <f t="shared" si="2"/>
        <v>30</v>
      </c>
      <c r="J1669" s="117">
        <f t="shared" si="3"/>
        <v>30.050000000000008</v>
      </c>
      <c r="K1669" s="117" t="str">
        <f t="shared" si="4"/>
        <v>BR</v>
      </c>
      <c r="L1669" s="42" t="str">
        <v>BR3005</v>
      </c>
      <c r="M1669" s="121" t="str">
        <v/>
      </c>
      <c r="N1669" s="121" t="str">
        <v/>
      </c>
      <c r="O1669" s="121" t="str">
        <v>BR3005</v>
      </c>
      <c r="P1669" s="121" t="str">
        <v>Use Discount Vouchers at checkout</v>
      </c>
      <c r="Q1669" s="121" t="str">
        <v/>
      </c>
      <c r="R1669" s="121" t="str">
        <v/>
      </c>
      <c r="S1669" s="121" t="str">
        <v/>
      </c>
      <c r="T1669" s="119" t="str">
        <f>IF($C1669&lt;4,IF($C1669=3,T1670,IF($C1669=2,T$1,"")),Q1669&amp;R1669&amp;IF(LEN(S1669)=0,"",Preferences!$C$2&amp;S1669)&amp;IF(J1670=J1669,IF(LEN(R1669&amp;S1669)=0,"","
")&amp;T1670,""))</f>
        <v xml:space="preserve"> 1. A signed-in customer may apply a single discount voucher at checkout.
 2. A discount is automatically added as line item on the cart, with the total recalculated.</v>
      </c>
      <c r="U1669" s="122" t="str">
        <v/>
      </c>
      <c r="V1669" s="42"/>
      <c r="W1669" s="42"/>
      <c r="X1669" s="42"/>
      <c r="Y1669" s="42"/>
      <c r="Z1669" s="42"/>
      <c r="AA1669" s="42"/>
      <c r="AB1669" s="42"/>
    </row>
    <row r="1670" spans="1:28" x14ac:dyDescent="0.25">
      <c r="A1670" s="42" t="str">
        <v>1.30.5.1</v>
      </c>
      <c r="B1670" s="121" t="str">
        <v>A signed-in customer may apply a single discount voucher at checkout.</v>
      </c>
      <c r="C1670" s="41">
        <v>4</v>
      </c>
      <c r="D1670" s="41" t="str">
        <v>RD</v>
      </c>
      <c r="E1670" s="117" t="str">
        <f t="shared" si="0"/>
        <v>RD</v>
      </c>
      <c r="F1670" s="41" t="str">
        <v/>
      </c>
      <c r="G1670" s="41" t="str">
        <v/>
      </c>
      <c r="H1670" s="117">
        <f t="shared" si="1"/>
        <v>0</v>
      </c>
      <c r="I1670" s="117">
        <f t="shared" si="2"/>
        <v>30</v>
      </c>
      <c r="J1670" s="117">
        <f t="shared" si="3"/>
        <v>30.050000000000008</v>
      </c>
      <c r="K1670" s="117" t="str">
        <f t="shared" si="4"/>
        <v>BR</v>
      </c>
      <c r="L1670" s="42" t="str">
        <v>BR3005</v>
      </c>
      <c r="M1670" s="121" t="str">
        <v/>
      </c>
      <c r="N1670" s="121" t="str">
        <v/>
      </c>
      <c r="O1670" s="121" t="str">
        <v/>
      </c>
      <c r="P1670" s="121" t="str">
        <v/>
      </c>
      <c r="Q1670" s="121" t="str">
        <v xml:space="preserve"> 1. </v>
      </c>
      <c r="R1670" s="121" t="str">
        <v>A signed-in customer may apply a single discount voucher at checkout.</v>
      </c>
      <c r="S1670" s="121" t="str">
        <v/>
      </c>
      <c r="T1670" s="119" t="str">
        <f>IF($C1670&lt;4,IF($C1670=3,T1671,IF($C1670=2,T$1,"")),Q1670&amp;R1670&amp;IF(LEN(S1670)=0,"",Preferences!$C$2&amp;S1670)&amp;IF(J1671=J1670,IF(LEN(R1670&amp;S1670)=0,"","
")&amp;T1671,""))</f>
        <v xml:space="preserve"> 1. A signed-in customer may apply a single discount voucher at checkout.
 2. A discount is automatically added as line item on the cart, with the total recalculated.</v>
      </c>
      <c r="U1670" s="122" t="str">
        <v/>
      </c>
      <c r="V1670" s="42"/>
      <c r="W1670" s="42"/>
      <c r="X1670" s="42"/>
      <c r="Y1670" s="42"/>
      <c r="Z1670" s="42"/>
      <c r="AA1670" s="42"/>
      <c r="AB1670" s="42"/>
    </row>
    <row r="1671" spans="1:28" x14ac:dyDescent="0.25">
      <c r="A1671" s="42" t="str">
        <v>1.30.5.2</v>
      </c>
      <c r="B1671" s="121" t="str">
        <v>A discount is automatically added as line item on the cart, with the total recalculated.</v>
      </c>
      <c r="C1671" s="41">
        <v>4</v>
      </c>
      <c r="D1671" s="41" t="str">
        <v>RD</v>
      </c>
      <c r="E1671" s="117" t="str">
        <f t="shared" si="0"/>
        <v>RD</v>
      </c>
      <c r="F1671" s="41" t="str">
        <v/>
      </c>
      <c r="G1671" s="41" t="str">
        <v/>
      </c>
      <c r="H1671" s="117">
        <f t="shared" si="1"/>
        <v>0</v>
      </c>
      <c r="I1671" s="117">
        <f t="shared" si="2"/>
        <v>30</v>
      </c>
      <c r="J1671" s="117">
        <f t="shared" si="3"/>
        <v>30.050000000000008</v>
      </c>
      <c r="K1671" s="117" t="str">
        <f t="shared" si="4"/>
        <v>BR</v>
      </c>
      <c r="L1671" s="42" t="str">
        <v>BR3005</v>
      </c>
      <c r="M1671" s="121" t="str">
        <v/>
      </c>
      <c r="N1671" s="121" t="str">
        <v/>
      </c>
      <c r="O1671" s="121" t="str">
        <v/>
      </c>
      <c r="P1671" s="121" t="str">
        <v/>
      </c>
      <c r="Q1671" s="121" t="str">
        <v xml:space="preserve"> 2. </v>
      </c>
      <c r="R1671" s="121" t="str">
        <v>A discount is automatically added as line item on the cart, with the total recalculated.</v>
      </c>
      <c r="S1671" s="121" t="str">
        <v/>
      </c>
      <c r="T1671" s="119" t="str">
        <f>IF($C1671&lt;4,IF($C1671=3,T1672,IF($C1671=2,T$1,"")),Q1671&amp;R1671&amp;IF(LEN(S1671)=0,"",Preferences!$C$2&amp;S1671)&amp;IF(J1672=J1671,IF(LEN(R1671&amp;S1671)=0,"","
")&amp;T1672,""))</f>
        <v xml:space="preserve"> 2. A discount is automatically added as line item on the cart, with the total recalculated.</v>
      </c>
      <c r="U1671" s="122" t="str">
        <v/>
      </c>
      <c r="V1671" s="42"/>
      <c r="W1671" s="42"/>
      <c r="X1671" s="42"/>
      <c r="Y1671" s="42"/>
      <c r="Z1671" s="42"/>
      <c r="AA1671" s="42"/>
      <c r="AB1671" s="42"/>
    </row>
    <row r="1672" spans="1:28" x14ac:dyDescent="0.25">
      <c r="A1672" s="42" t="str">
        <v>1.31</v>
      </c>
      <c r="B1672" s="121" t="str">
        <v>31 B2C Co Parcel Packing and Dispatch</v>
      </c>
      <c r="C1672" s="41">
        <v>2</v>
      </c>
      <c r="D1672" s="41" t="str">
        <v>RS</v>
      </c>
      <c r="E1672" s="117" t="str">
        <f t="shared" si="0"/>
        <v>RS</v>
      </c>
      <c r="F1672" s="41" t="str">
        <v/>
      </c>
      <c r="G1672" s="41" t="str">
        <v/>
      </c>
      <c r="H1672" s="117">
        <f t="shared" si="1"/>
        <v>0</v>
      </c>
      <c r="I1672" s="117">
        <f t="shared" si="2"/>
        <v>31</v>
      </c>
      <c r="J1672" s="117">
        <f t="shared" si="3"/>
        <v>31</v>
      </c>
      <c r="K1672" s="117" t="str">
        <f t="shared" si="4"/>
        <v>BR</v>
      </c>
      <c r="L1672" s="42">
        <v>31</v>
      </c>
      <c r="M1672" s="121" t="str">
        <v/>
      </c>
      <c r="N1672" s="121" t="str">
        <v>31 B2C Co Parcel Packing and Dispatch</v>
      </c>
      <c r="O1672" s="121" t="str">
        <v>ReqID</v>
      </c>
      <c r="P1672" s="121" t="e">
        <v>#N/A</v>
      </c>
      <c r="Q1672" s="121" t="str">
        <v/>
      </c>
      <c r="R1672" s="121" t="str">
        <v/>
      </c>
      <c r="S1672" s="121" t="str">
        <v/>
      </c>
      <c r="T1672" s="119" t="str">
        <f>IF($C1672&lt;4,IF($C1672=3,T1673,IF($C1672=2,T$1,"")),Q1672&amp;R1672&amp;IF(LEN(S1672)=0,"",Preferences!$C$2&amp;S1672)&amp;IF(J1673=J1672,IF(LEN(R1672&amp;S1672)=0,"","
")&amp;T1673,""))</f>
        <v>Description</v>
      </c>
      <c r="U1672" s="122" t="str">
        <v/>
      </c>
      <c r="V1672" s="42"/>
      <c r="W1672" s="42"/>
      <c r="X1672" s="42"/>
      <c r="Y1672" s="42"/>
      <c r="Z1672" s="42"/>
      <c r="AA1672" s="42"/>
      <c r="AB1672" s="42"/>
    </row>
    <row r="1673" spans="1:28" x14ac:dyDescent="0.25">
      <c r="A1673" s="42" t="str">
        <v>1.31.1</v>
      </c>
      <c r="B1673" s="121" t="str">
        <v>31.1 Transpharm prepares orders for B2C Co</v>
      </c>
      <c r="C1673" s="41">
        <v>3</v>
      </c>
      <c r="D1673" s="41" t="str">
        <v>R</v>
      </c>
      <c r="E1673" s="117" t="str">
        <f t="shared" si="0"/>
        <v>R</v>
      </c>
      <c r="F1673" s="41" t="str">
        <v/>
      </c>
      <c r="G1673" s="41" t="str">
        <v/>
      </c>
      <c r="H1673" s="117">
        <f t="shared" si="1"/>
        <v>0</v>
      </c>
      <c r="I1673" s="117">
        <f t="shared" si="2"/>
        <v>31</v>
      </c>
      <c r="J1673" s="117">
        <f t="shared" si="3"/>
        <v>31.01</v>
      </c>
      <c r="K1673" s="117" t="str">
        <f t="shared" si="4"/>
        <v>BR</v>
      </c>
      <c r="L1673" s="42" t="str">
        <v>BR3101</v>
      </c>
      <c r="M1673" s="121" t="str">
        <v/>
      </c>
      <c r="N1673" s="121" t="str">
        <v/>
      </c>
      <c r="O1673" s="121" t="str">
        <v>BR3101</v>
      </c>
      <c r="P1673" s="121" t="str">
        <v>Transpharm prepares orders for B2C Co</v>
      </c>
      <c r="Q1673" s="121" t="str">
        <v/>
      </c>
      <c r="R1673" s="121" t="str">
        <v/>
      </c>
      <c r="S1673" s="121" t="str">
        <v/>
      </c>
      <c r="T1673" s="119" t="str">
        <f>IF($C1673&lt;4,IF($C1673=3,T1674,IF($C1673=2,T$1,"")),Q1673&amp;R1673&amp;IF(LEN(S1673)=0,"",Preferences!$C$2&amp;S1673)&amp;IF(J1674=J1673,IF(LEN(R1673&amp;S1673)=0,"","
")&amp;T1674,""))</f>
        <v xml:space="preserve"> 1. Transpharm will fulfil all B2C orders at their Pretoria warehouse.
 2. Transpharm will pick and pack all B2C Co orders in open boxes, consolidated per B2C order.
 3. Transpharm will pack the packed open parcels in totes, for easy processing by the B2C Co parcel packing service.</v>
      </c>
      <c r="U1673" s="122" t="str">
        <v/>
      </c>
      <c r="V1673" s="42"/>
      <c r="W1673" s="42"/>
      <c r="X1673" s="42"/>
      <c r="Y1673" s="42"/>
      <c r="Z1673" s="42"/>
      <c r="AA1673" s="42"/>
      <c r="AB1673" s="42"/>
    </row>
    <row r="1674" spans="1:28" x14ac:dyDescent="0.25">
      <c r="A1674" s="42" t="str">
        <v>1.31.1.1</v>
      </c>
      <c r="B1674" s="121" t="str">
        <v>Transpharm will fulfil all B2C orders at their Pretoria warehouse.</v>
      </c>
      <c r="C1674" s="41">
        <v>4</v>
      </c>
      <c r="D1674" s="41" t="str">
        <v>RD</v>
      </c>
      <c r="E1674" s="117" t="str">
        <f t="shared" si="0"/>
        <v>RD</v>
      </c>
      <c r="F1674" s="41" t="str">
        <v/>
      </c>
      <c r="G1674" s="41" t="str">
        <v/>
      </c>
      <c r="H1674" s="117">
        <f t="shared" si="1"/>
        <v>0</v>
      </c>
      <c r="I1674" s="117">
        <f t="shared" si="2"/>
        <v>31</v>
      </c>
      <c r="J1674" s="117">
        <f t="shared" si="3"/>
        <v>31.01</v>
      </c>
      <c r="K1674" s="117" t="str">
        <f t="shared" si="4"/>
        <v>BR</v>
      </c>
      <c r="L1674" s="42" t="str">
        <v>BR3101</v>
      </c>
      <c r="M1674" s="121" t="str">
        <v/>
      </c>
      <c r="N1674" s="121" t="str">
        <v/>
      </c>
      <c r="O1674" s="121" t="str">
        <v/>
      </c>
      <c r="P1674" s="121" t="str">
        <v/>
      </c>
      <c r="Q1674" s="121" t="str">
        <v xml:space="preserve"> 1. </v>
      </c>
      <c r="R1674" s="121" t="str">
        <v>Transpharm will fulfil all B2C orders at their Pretoria warehouse.</v>
      </c>
      <c r="S1674" s="121" t="str">
        <v/>
      </c>
      <c r="T1674" s="119" t="str">
        <f>IF($C1674&lt;4,IF($C1674=3,T1675,IF($C1674=2,T$1,"")),Q1674&amp;R1674&amp;IF(LEN(S1674)=0,"",Preferences!$C$2&amp;S1674)&amp;IF(J1675=J1674,IF(LEN(R1674&amp;S1674)=0,"","
")&amp;T1675,""))</f>
        <v xml:space="preserve"> 1. Transpharm will fulfil all B2C orders at their Pretoria warehouse.
 2. Transpharm will pick and pack all B2C Co orders in open boxes, consolidated per B2C order.
 3. Transpharm will pack the packed open parcels in totes, for easy processing by the B2C Co parcel packing service.</v>
      </c>
      <c r="U1674" s="122" t="str">
        <v/>
      </c>
      <c r="V1674" s="42"/>
      <c r="W1674" s="42"/>
      <c r="X1674" s="42"/>
      <c r="Y1674" s="42"/>
      <c r="Z1674" s="42"/>
      <c r="AA1674" s="42"/>
      <c r="AB1674" s="42"/>
    </row>
    <row r="1675" spans="1:28" x14ac:dyDescent="0.25">
      <c r="A1675" s="42" t="str">
        <v>1.31.1.2</v>
      </c>
      <c r="B1675" s="121" t="str">
        <v>Transpharm will pick and pack all B2C Co orders in open boxes, consolidated per B2C order.</v>
      </c>
      <c r="C1675" s="41">
        <v>4</v>
      </c>
      <c r="D1675" s="41" t="str">
        <v>RD</v>
      </c>
      <c r="E1675" s="117" t="str">
        <f t="shared" si="0"/>
        <v>RD</v>
      </c>
      <c r="F1675" s="41" t="str">
        <v/>
      </c>
      <c r="G1675" s="41" t="str">
        <v/>
      </c>
      <c r="H1675" s="117">
        <f t="shared" si="1"/>
        <v>0</v>
      </c>
      <c r="I1675" s="117">
        <f t="shared" si="2"/>
        <v>31</v>
      </c>
      <c r="J1675" s="117">
        <f t="shared" si="3"/>
        <v>31.01</v>
      </c>
      <c r="K1675" s="117" t="str">
        <f t="shared" si="4"/>
        <v>BR</v>
      </c>
      <c r="L1675" s="42" t="str">
        <v>BR3101</v>
      </c>
      <c r="M1675" s="121" t="str">
        <v/>
      </c>
      <c r="N1675" s="121" t="str">
        <v/>
      </c>
      <c r="O1675" s="121" t="str">
        <v/>
      </c>
      <c r="P1675" s="121" t="str">
        <v/>
      </c>
      <c r="Q1675" s="121" t="str">
        <v xml:space="preserve"> 2. </v>
      </c>
      <c r="R1675" s="121" t="str">
        <v>Transpharm will pick and pack all B2C Co orders in open boxes, consolidated per B2C order.</v>
      </c>
      <c r="S1675" s="121" t="str">
        <v/>
      </c>
      <c r="T1675" s="119" t="str">
        <f>IF($C1675&lt;4,IF($C1675=3,T1676,IF($C1675=2,T$1,"")),Q1675&amp;R1675&amp;IF(LEN(S1675)=0,"",Preferences!$C$2&amp;S1675)&amp;IF(J1676=J1675,IF(LEN(R1675&amp;S1675)=0,"","
")&amp;T1676,""))</f>
        <v xml:space="preserve"> 2. Transpharm will pick and pack all B2C Co orders in open boxes, consolidated per B2C order.
 3. Transpharm will pack the packed open parcels in totes, for easy processing by the B2C Co parcel packing service.</v>
      </c>
      <c r="U1675" s="122" t="str">
        <v/>
      </c>
      <c r="V1675" s="42"/>
      <c r="W1675" s="42"/>
      <c r="X1675" s="42"/>
      <c r="Y1675" s="42"/>
      <c r="Z1675" s="42"/>
      <c r="AA1675" s="42"/>
      <c r="AB1675" s="42"/>
    </row>
    <row r="1676" spans="1:28" x14ac:dyDescent="0.25">
      <c r="A1676" s="42" t="str">
        <v>1.31.1.3</v>
      </c>
      <c r="B1676" s="121" t="str">
        <v>Transpharm will pack the packed open parcels in totes, for easy processing by the B2C Co parcel packing service.</v>
      </c>
      <c r="C1676" s="41">
        <v>4</v>
      </c>
      <c r="D1676" s="41" t="str">
        <v>RD</v>
      </c>
      <c r="E1676" s="117" t="str">
        <f t="shared" si="0"/>
        <v>RD</v>
      </c>
      <c r="F1676" s="41" t="str">
        <v/>
      </c>
      <c r="G1676" s="41" t="str">
        <v/>
      </c>
      <c r="H1676" s="117">
        <f t="shared" si="1"/>
        <v>0</v>
      </c>
      <c r="I1676" s="117">
        <f t="shared" si="2"/>
        <v>31</v>
      </c>
      <c r="J1676" s="117">
        <f t="shared" si="3"/>
        <v>31.01</v>
      </c>
      <c r="K1676" s="117" t="str">
        <f t="shared" si="4"/>
        <v>BR</v>
      </c>
      <c r="L1676" s="42" t="str">
        <v>BR3101</v>
      </c>
      <c r="M1676" s="121" t="str">
        <v/>
      </c>
      <c r="N1676" s="121" t="str">
        <v/>
      </c>
      <c r="O1676" s="121" t="str">
        <v/>
      </c>
      <c r="P1676" s="121" t="str">
        <v/>
      </c>
      <c r="Q1676" s="121" t="str">
        <v xml:space="preserve"> 3. </v>
      </c>
      <c r="R1676" s="121" t="str">
        <v>Transpharm will pack the packed open parcels in totes, for easy processing by the B2C Co parcel packing service.</v>
      </c>
      <c r="S1676" s="121" t="str">
        <v/>
      </c>
      <c r="T1676" s="119" t="str">
        <f>IF($C1676&lt;4,IF($C1676=3,T1677,IF($C1676=2,T$1,"")),Q1676&amp;R1676&amp;IF(LEN(S1676)=0,"",Preferences!$C$2&amp;S1676)&amp;IF(J1677=J1676,IF(LEN(R1676&amp;S1676)=0,"","
")&amp;T1677,""))</f>
        <v xml:space="preserve"> 3. Transpharm will pack the packed open parcels in totes, for easy processing by the B2C Co parcel packing service.</v>
      </c>
      <c r="U1676" s="122" t="str">
        <v/>
      </c>
      <c r="V1676" s="42"/>
      <c r="W1676" s="42"/>
      <c r="X1676" s="42"/>
      <c r="Y1676" s="42"/>
      <c r="Z1676" s="42"/>
      <c r="AA1676" s="42"/>
      <c r="AB1676" s="42"/>
    </row>
    <row r="1677" spans="1:28" x14ac:dyDescent="0.25">
      <c r="A1677" s="42" t="str">
        <v>1.31.2</v>
      </c>
      <c r="B1677" s="121" t="str">
        <v>31.2 B2C Co packs customer parcels for prepared Transpharm orders</v>
      </c>
      <c r="C1677" s="41">
        <v>3</v>
      </c>
      <c r="D1677" s="41" t="str">
        <v>R</v>
      </c>
      <c r="E1677" s="117" t="str">
        <f t="shared" si="0"/>
        <v>R</v>
      </c>
      <c r="F1677" s="41" t="str">
        <v/>
      </c>
      <c r="G1677" s="41" t="str">
        <v/>
      </c>
      <c r="H1677" s="117">
        <f t="shared" si="1"/>
        <v>0</v>
      </c>
      <c r="I1677" s="117">
        <f t="shared" si="2"/>
        <v>31</v>
      </c>
      <c r="J1677" s="117">
        <f t="shared" si="3"/>
        <v>31.020000000000003</v>
      </c>
      <c r="K1677" s="117" t="str">
        <f t="shared" si="4"/>
        <v>BR</v>
      </c>
      <c r="L1677" s="42" t="str">
        <v>BR3102</v>
      </c>
      <c r="M1677" s="121" t="str">
        <v/>
      </c>
      <c r="N1677" s="121" t="str">
        <v/>
      </c>
      <c r="O1677" s="121" t="str">
        <v>BR3102</v>
      </c>
      <c r="P1677" s="121" t="str">
        <v>B2C Co packs customer parcels for prepared Transpharm orders</v>
      </c>
      <c r="Q1677" s="121" t="str">
        <v/>
      </c>
      <c r="R1677" s="121" t="str">
        <v/>
      </c>
      <c r="S1677" s="121" t="str">
        <v/>
      </c>
      <c r="T1677" s="119" t="str">
        <f>IF($C1677&lt;4,IF($C1677=3,T1678,IF($C1677=2,T$1,"")),Q1677&amp;R1677&amp;IF(LEN(S1677)=0,"",Preferences!$C$2&amp;S1677)&amp;IF(J1678=J1677,IF(LEN(R1677&amp;S1677)=0,"","
")&amp;T1678,""))</f>
        <v xml:space="preserve"> 1. The B2C Co parcel packing service will operate from a different physical premise to Transpharm, but located close by/next to the Transpharm dispatch,
 2. The B2C Co parcel packing service will check the content of each order box.
	• Check physical products against printed Customer Order.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77" s="122" t="str">
        <v/>
      </c>
      <c r="V1677" s="42"/>
      <c r="W1677" s="42"/>
      <c r="X1677" s="42"/>
      <c r="Y1677" s="42"/>
      <c r="Z1677" s="42"/>
      <c r="AA1677" s="42"/>
      <c r="AB1677" s="42"/>
    </row>
    <row r="1678" spans="1:28" x14ac:dyDescent="0.25">
      <c r="A1678" s="42" t="str">
        <v>1.31.2.1</v>
      </c>
      <c r="B1678" s="121" t="str">
        <v>The B2C Co parcel packing service will operate from a different physical premise to Transpharm, but located close by/next to the Transpharm dispatch,</v>
      </c>
      <c r="C1678" s="41">
        <v>4</v>
      </c>
      <c r="D1678" s="41" t="str">
        <v>RD</v>
      </c>
      <c r="E1678" s="117" t="str">
        <f t="shared" si="0"/>
        <v>RD</v>
      </c>
      <c r="F1678" s="41" t="str">
        <v/>
      </c>
      <c r="G1678" s="41" t="str">
        <v/>
      </c>
      <c r="H1678" s="117">
        <f t="shared" si="1"/>
        <v>0</v>
      </c>
      <c r="I1678" s="117">
        <f t="shared" si="2"/>
        <v>31</v>
      </c>
      <c r="J1678" s="117">
        <f t="shared" si="3"/>
        <v>31.020000000000003</v>
      </c>
      <c r="K1678" s="117" t="str">
        <f t="shared" si="4"/>
        <v>BR</v>
      </c>
      <c r="L1678" s="42" t="str">
        <v>BR3102</v>
      </c>
      <c r="M1678" s="121" t="str">
        <v/>
      </c>
      <c r="N1678" s="121" t="str">
        <v/>
      </c>
      <c r="O1678" s="121" t="str">
        <v/>
      </c>
      <c r="P1678" s="121" t="str">
        <v/>
      </c>
      <c r="Q1678" s="121" t="str">
        <v xml:space="preserve"> 1. </v>
      </c>
      <c r="R1678" s="121" t="str">
        <v>The B2C Co parcel packing service will operate from a different physical premise to Transpharm, but located close by/next to the Transpharm dispatch,</v>
      </c>
      <c r="S1678" s="121" t="str">
        <v/>
      </c>
      <c r="T1678" s="119" t="str">
        <f>IF($C1678&lt;4,IF($C1678=3,T1679,IF($C1678=2,T$1,"")),Q1678&amp;R1678&amp;IF(LEN(S1678)=0,"",Preferences!$C$2&amp;S1678)&amp;IF(J1679=J1678,IF(LEN(R1678&amp;S1678)=0,"","
")&amp;T1679,""))</f>
        <v xml:space="preserve"> 1. The B2C Co parcel packing service will operate from a different physical premise to Transpharm, but located close by/next to the Transpharm dispatch,
 2. The B2C Co parcel packing service will check the content of each order box.
	• Check physical products against printed Customer Order.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78" s="122" t="str">
        <v/>
      </c>
      <c r="V1678" s="42"/>
      <c r="W1678" s="42"/>
      <c r="X1678" s="42"/>
      <c r="Y1678" s="42"/>
      <c r="Z1678" s="42"/>
      <c r="AA1678" s="42"/>
      <c r="AB1678" s="42"/>
    </row>
    <row r="1679" spans="1:28" x14ac:dyDescent="0.25">
      <c r="A1679" s="42" t="str">
        <v>1.31.2.2</v>
      </c>
      <c r="B1679" s="121" t="str">
        <v>The B2C Co parcel packing service will check the content of each order box.</v>
      </c>
      <c r="C1679" s="41">
        <v>4</v>
      </c>
      <c r="D1679" s="41" t="str">
        <v>RD</v>
      </c>
      <c r="E1679" s="117" t="str">
        <f t="shared" si="0"/>
        <v>RD</v>
      </c>
      <c r="F1679" s="41" t="str">
        <v/>
      </c>
      <c r="G1679" s="41" t="str">
        <v/>
      </c>
      <c r="H1679" s="117">
        <f t="shared" si="1"/>
        <v>0</v>
      </c>
      <c r="I1679" s="117">
        <f t="shared" si="2"/>
        <v>31</v>
      </c>
      <c r="J1679" s="117">
        <f t="shared" si="3"/>
        <v>31.020000000000003</v>
      </c>
      <c r="K1679" s="117" t="str">
        <f t="shared" si="4"/>
        <v>BR</v>
      </c>
      <c r="L1679" s="42" t="str">
        <v>BR3102</v>
      </c>
      <c r="M1679" s="121" t="str">
        <v/>
      </c>
      <c r="N1679" s="121" t="str">
        <v/>
      </c>
      <c r="O1679" s="121" t="str">
        <v/>
      </c>
      <c r="P1679" s="121" t="str">
        <v/>
      </c>
      <c r="Q1679" s="121" t="str">
        <v xml:space="preserve"> 2. </v>
      </c>
      <c r="R1679" s="121" t="str">
        <v>The B2C Co parcel packing service will check the content of each order box.</v>
      </c>
      <c r="S1679" s="121" t="str">
        <v/>
      </c>
      <c r="T1679" s="119" t="str">
        <f>IF($C1679&lt;4,IF($C1679=3,T1680,IF($C1679=2,T$1,"")),Q1679&amp;R1679&amp;IF(LEN(S1679)=0,"",Preferences!$C$2&amp;S1679)&amp;IF(J1680=J1679,IF(LEN(R1679&amp;S1679)=0,"","
")&amp;T1680,""))</f>
        <v xml:space="preserve"> 2. The B2C Co parcel packing service will check the content of each order box.
	• Check physical products against printed Customer Order.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79" s="122" t="str">
        <v/>
      </c>
      <c r="V1679" s="42"/>
      <c r="W1679" s="42"/>
      <c r="X1679" s="42"/>
      <c r="Y1679" s="42"/>
      <c r="Z1679" s="42"/>
      <c r="AA1679" s="42"/>
      <c r="AB1679" s="42"/>
    </row>
    <row r="1680" spans="1:28" x14ac:dyDescent="0.25">
      <c r="A1680" s="42" t="str">
        <v>1.31.2.2.1</v>
      </c>
      <c r="B1680" s="121" t="str">
        <v>Check physical products against printed Customer Order.</v>
      </c>
      <c r="C1680" s="41">
        <v>5</v>
      </c>
      <c r="D1680" s="41" t="str">
        <v>RL</v>
      </c>
      <c r="E1680" s="117" t="str">
        <f t="shared" si="0"/>
        <v>RL</v>
      </c>
      <c r="F1680" s="41" t="str">
        <v/>
      </c>
      <c r="G1680" s="41" t="str">
        <v/>
      </c>
      <c r="H1680" s="117">
        <f t="shared" si="1"/>
        <v>0</v>
      </c>
      <c r="I1680" s="117">
        <f t="shared" si="2"/>
        <v>31</v>
      </c>
      <c r="J1680" s="117">
        <f t="shared" si="3"/>
        <v>31.020000000000003</v>
      </c>
      <c r="K1680" s="117" t="str">
        <f t="shared" si="4"/>
        <v>BR</v>
      </c>
      <c r="L1680" s="42" t="str">
        <v>BR3102</v>
      </c>
      <c r="M1680" s="121" t="str">
        <v/>
      </c>
      <c r="N1680" s="121" t="str">
        <v/>
      </c>
      <c r="O1680" s="121" t="str">
        <v/>
      </c>
      <c r="P1680" s="121" t="str">
        <v/>
      </c>
      <c r="Q1680" s="121" t="str">
        <v/>
      </c>
      <c r="R1680" s="121" t="str">
        <v/>
      </c>
      <c r="S1680" s="121" t="str">
        <v>Check physical products against printed Customer Order.</v>
      </c>
      <c r="T1680" s="119" t="str">
        <f>IF($C1680&lt;4,IF($C1680=3,T1681,IF($C1680=2,T$1,"")),Q1680&amp;R1680&amp;IF(LEN(S1680)=0,"",Preferences!$C$2&amp;S1680)&amp;IF(J1681=J1680,IF(LEN(R1680&amp;S1680)=0,"","
")&amp;T1681,""))</f>
        <v xml:space="preserve">	• Check physical products against printed Customer Order.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0" s="122" t="str">
        <v/>
      </c>
      <c r="V1680" s="42"/>
      <c r="W1680" s="42"/>
      <c r="X1680" s="42"/>
      <c r="Y1680" s="42"/>
      <c r="Z1680" s="42"/>
      <c r="AA1680" s="42"/>
      <c r="AB1680" s="42"/>
    </row>
    <row r="1681" spans="1:28" x14ac:dyDescent="0.25">
      <c r="A1681" s="42" t="str">
        <v>1.31.2.2.2</v>
      </c>
      <c r="B1681" s="121" t="str">
        <v>Register the order as received, by scanning a Transpharm waybill label barcode.</v>
      </c>
      <c r="C1681" s="41">
        <v>5</v>
      </c>
      <c r="D1681" s="41" t="str">
        <v>RL</v>
      </c>
      <c r="E1681" s="117" t="str">
        <f t="shared" si="0"/>
        <v>RL</v>
      </c>
      <c r="F1681" s="41" t="str">
        <v/>
      </c>
      <c r="G1681" s="41" t="str">
        <v/>
      </c>
      <c r="H1681" s="117">
        <f t="shared" si="1"/>
        <v>0</v>
      </c>
      <c r="I1681" s="117">
        <f t="shared" si="2"/>
        <v>31</v>
      </c>
      <c r="J1681" s="117">
        <f t="shared" si="3"/>
        <v>31.020000000000003</v>
      </c>
      <c r="K1681" s="117" t="str">
        <f t="shared" si="4"/>
        <v>BR</v>
      </c>
      <c r="L1681" s="42" t="str">
        <v>BR3102</v>
      </c>
      <c r="M1681" s="121" t="str">
        <v/>
      </c>
      <c r="N1681" s="121" t="str">
        <v/>
      </c>
      <c r="O1681" s="121" t="str">
        <v/>
      </c>
      <c r="P1681" s="121" t="str">
        <v/>
      </c>
      <c r="Q1681" s="121" t="str">
        <v/>
      </c>
      <c r="R1681" s="121" t="str">
        <v/>
      </c>
      <c r="S1681" s="121" t="str">
        <v>Register the order as received, by scanning a Transpharm waybill label barcode.</v>
      </c>
      <c r="T1681" s="119" t="str">
        <f>IF($C1681&lt;4,IF($C1681=3,T1682,IF($C1681=2,T$1,"")),Q1681&amp;R1681&amp;IF(LEN(S1681)=0,"",Preferences!$C$2&amp;S1681)&amp;IF(J1682=J1681,IF(LEN(R1681&amp;S1681)=0,"","
")&amp;T1682,""))</f>
        <v xml:space="preserve">	• Register the order as received, by scanning a Transpharm waybill label barcode.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1" s="122" t="str">
        <v/>
      </c>
      <c r="V1681" s="42"/>
      <c r="W1681" s="42"/>
      <c r="X1681" s="42"/>
      <c r="Y1681" s="42"/>
      <c r="Z1681" s="42"/>
      <c r="AA1681" s="42"/>
      <c r="AB1681" s="42"/>
    </row>
    <row r="1682" spans="1:28" x14ac:dyDescent="0.25">
      <c r="A1682" s="42" t="str">
        <v>1.31.2.2.3</v>
      </c>
      <c r="B1682" s="121" t="str">
        <v>Pack the parcel protective material (paper, or bubble-wrap).</v>
      </c>
      <c r="C1682" s="41">
        <v>5</v>
      </c>
      <c r="D1682" s="41" t="str">
        <v>RL</v>
      </c>
      <c r="E1682" s="117" t="str">
        <f t="shared" si="0"/>
        <v>RL</v>
      </c>
      <c r="F1682" s="41" t="str">
        <v/>
      </c>
      <c r="G1682" s="41" t="str">
        <v/>
      </c>
      <c r="H1682" s="117">
        <f t="shared" si="1"/>
        <v>0</v>
      </c>
      <c r="I1682" s="117">
        <f t="shared" si="2"/>
        <v>31</v>
      </c>
      <c r="J1682" s="117">
        <f t="shared" si="3"/>
        <v>31.020000000000003</v>
      </c>
      <c r="K1682" s="117" t="str">
        <f t="shared" si="4"/>
        <v>BR</v>
      </c>
      <c r="L1682" s="42" t="str">
        <v>BR3102</v>
      </c>
      <c r="M1682" s="121" t="str">
        <v/>
      </c>
      <c r="N1682" s="121" t="str">
        <v/>
      </c>
      <c r="O1682" s="121" t="str">
        <v/>
      </c>
      <c r="P1682" s="121" t="str">
        <v/>
      </c>
      <c r="Q1682" s="121" t="str">
        <v/>
      </c>
      <c r="R1682" s="121" t="str">
        <v/>
      </c>
      <c r="S1682" s="121" t="str">
        <v>Pack the parcel protective material (paper, or bubble-wrap).</v>
      </c>
      <c r="T1682" s="119" t="str">
        <f>IF($C1682&lt;4,IF($C1682=3,T1683,IF($C1682=2,T$1,"")),Q1682&amp;R1682&amp;IF(LEN(S1682)=0,"",Preferences!$C$2&amp;S1682)&amp;IF(J1683=J1682,IF(LEN(R1682&amp;S1682)=0,"","
")&amp;T1683,""))</f>
        <v xml:space="preserve">	• Pack the parcel protective material (paper, or bubble-wrap).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2" s="122" t="str">
        <v/>
      </c>
      <c r="V1682" s="42"/>
      <c r="W1682" s="42"/>
      <c r="X1682" s="42"/>
      <c r="Y1682" s="42"/>
      <c r="Z1682" s="42"/>
      <c r="AA1682" s="42"/>
      <c r="AB1682" s="42"/>
    </row>
    <row r="1683" spans="1:28" x14ac:dyDescent="0.25">
      <c r="A1683" s="42" t="str">
        <v>1.31.2.2.4</v>
      </c>
      <c r="B1683" s="121" t="str">
        <v>Remove Transpharm documentation from the box.</v>
      </c>
      <c r="C1683" s="41">
        <v>5</v>
      </c>
      <c r="D1683" s="41" t="str">
        <v>RL</v>
      </c>
      <c r="E1683" s="117" t="str">
        <f t="shared" si="0"/>
        <v>RL</v>
      </c>
      <c r="F1683" s="41" t="str">
        <v/>
      </c>
      <c r="G1683" s="41" t="str">
        <v/>
      </c>
      <c r="H1683" s="117">
        <f t="shared" si="1"/>
        <v>0</v>
      </c>
      <c r="I1683" s="117">
        <f t="shared" si="2"/>
        <v>31</v>
      </c>
      <c r="J1683" s="117">
        <f t="shared" si="3"/>
        <v>31.020000000000003</v>
      </c>
      <c r="K1683" s="117" t="str">
        <f t="shared" si="4"/>
        <v>BR</v>
      </c>
      <c r="L1683" s="42" t="str">
        <v>BR3102</v>
      </c>
      <c r="M1683" s="121" t="str">
        <v/>
      </c>
      <c r="N1683" s="121" t="str">
        <v/>
      </c>
      <c r="O1683" s="121" t="str">
        <v/>
      </c>
      <c r="P1683" s="121" t="str">
        <v/>
      </c>
      <c r="Q1683" s="121" t="str">
        <v/>
      </c>
      <c r="R1683" s="121" t="str">
        <v/>
      </c>
      <c r="S1683" s="121" t="str">
        <v>Remove Transpharm documentation from the box.</v>
      </c>
      <c r="T1683" s="119" t="str">
        <f>IF($C1683&lt;4,IF($C1683=3,T1684,IF($C1683=2,T$1,"")),Q1683&amp;R1683&amp;IF(LEN(S1683)=0,"",Preferences!$C$2&amp;S1683)&amp;IF(J1684=J1683,IF(LEN(R1683&amp;S1683)=0,"","
")&amp;T1684,""))</f>
        <v xml:space="preserve">	• Remove Transpharm documentation from the box.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3" s="122" t="str">
        <v/>
      </c>
      <c r="V1683" s="42"/>
      <c r="W1683" s="42"/>
      <c r="X1683" s="42"/>
      <c r="Y1683" s="42"/>
      <c r="Z1683" s="42"/>
      <c r="AA1683" s="42"/>
      <c r="AB1683" s="42"/>
    </row>
    <row r="1684" spans="1:28" x14ac:dyDescent="0.25">
      <c r="A1684" s="42" t="str">
        <v>1.31.2.2.5</v>
      </c>
      <c r="B1684" s="121" t="str">
        <v>Insert Printer Customer Invoice/statement in the box.</v>
      </c>
      <c r="C1684" s="41">
        <v>5</v>
      </c>
      <c r="D1684" s="41" t="str">
        <v>RL</v>
      </c>
      <c r="E1684" s="117" t="str">
        <f t="shared" si="0"/>
        <v>RL</v>
      </c>
      <c r="F1684" s="41" t="str">
        <v/>
      </c>
      <c r="G1684" s="41" t="str">
        <v/>
      </c>
      <c r="H1684" s="117">
        <f t="shared" si="1"/>
        <v>0</v>
      </c>
      <c r="I1684" s="117">
        <f t="shared" si="2"/>
        <v>31</v>
      </c>
      <c r="J1684" s="117">
        <f t="shared" si="3"/>
        <v>31.020000000000003</v>
      </c>
      <c r="K1684" s="117" t="str">
        <f t="shared" si="4"/>
        <v>BR</v>
      </c>
      <c r="L1684" s="42" t="str">
        <v>BR3102</v>
      </c>
      <c r="M1684" s="121" t="str">
        <v/>
      </c>
      <c r="N1684" s="121" t="str">
        <v/>
      </c>
      <c r="O1684" s="121" t="str">
        <v/>
      </c>
      <c r="P1684" s="121" t="str">
        <v/>
      </c>
      <c r="Q1684" s="121" t="str">
        <v/>
      </c>
      <c r="R1684" s="121" t="str">
        <v/>
      </c>
      <c r="S1684" s="121" t="str">
        <v>Insert Printer Customer Invoice/statement in the box.</v>
      </c>
      <c r="T1684" s="119" t="str">
        <f>IF($C1684&lt;4,IF($C1684=3,T1685,IF($C1684=2,T$1,"")),Q1684&amp;R1684&amp;IF(LEN(S1684)=0,"",Preferences!$C$2&amp;S1684)&amp;IF(J1685=J1684,IF(LEN(R1684&amp;S1684)=0,"","
")&amp;T1685,""))</f>
        <v xml:space="preserve">	• Insert Printer Customer Invoice/statement in the box.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4" s="122" t="str">
        <v/>
      </c>
      <c r="V1684" s="42"/>
      <c r="W1684" s="42"/>
      <c r="X1684" s="42"/>
      <c r="Y1684" s="42"/>
      <c r="Z1684" s="42"/>
      <c r="AA1684" s="42"/>
      <c r="AB1684" s="42"/>
    </row>
    <row r="1685" spans="1:28" x14ac:dyDescent="0.25">
      <c r="A1685" s="42" t="str">
        <v>1.31.2.2.6</v>
      </c>
      <c r="B1685" s="121" t="str">
        <v>Print and apply shipping label.</v>
      </c>
      <c r="C1685" s="41">
        <v>5</v>
      </c>
      <c r="D1685" s="41" t="str">
        <v>RL</v>
      </c>
      <c r="E1685" s="117" t="str">
        <f t="shared" si="0"/>
        <v>RL</v>
      </c>
      <c r="F1685" s="41" t="str">
        <v/>
      </c>
      <c r="G1685" s="41" t="str">
        <v/>
      </c>
      <c r="H1685" s="117">
        <f t="shared" si="1"/>
        <v>0</v>
      </c>
      <c r="I1685" s="117">
        <f t="shared" si="2"/>
        <v>31</v>
      </c>
      <c r="J1685" s="117">
        <f t="shared" si="3"/>
        <v>31.020000000000003</v>
      </c>
      <c r="K1685" s="117" t="str">
        <f t="shared" si="4"/>
        <v>BR</v>
      </c>
      <c r="L1685" s="42" t="str">
        <v>BR3102</v>
      </c>
      <c r="M1685" s="121" t="str">
        <v/>
      </c>
      <c r="N1685" s="121" t="str">
        <v/>
      </c>
      <c r="O1685" s="121" t="str">
        <v/>
      </c>
      <c r="P1685" s="121" t="str">
        <v/>
      </c>
      <c r="Q1685" s="121" t="str">
        <v/>
      </c>
      <c r="R1685" s="121" t="str">
        <v/>
      </c>
      <c r="S1685" s="121" t="str">
        <v>Print and apply shipping label.</v>
      </c>
      <c r="T1685" s="119" t="str">
        <f>IF($C1685&lt;4,IF($C1685=3,T1686,IF($C1685=2,T$1,"")),Q1685&amp;R1685&amp;IF(LEN(S1685)=0,"",Preferences!$C$2&amp;S1685)&amp;IF(J1686=J1685,IF(LEN(R1685&amp;S1685)=0,"","
")&amp;T1686,""))</f>
        <v xml:space="preserve">	• Print and apply shipping label.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5" s="122" t="str">
        <v/>
      </c>
      <c r="V1685" s="42"/>
      <c r="W1685" s="42"/>
      <c r="X1685" s="42"/>
      <c r="Y1685" s="42"/>
      <c r="Z1685" s="42"/>
      <c r="AA1685" s="42"/>
      <c r="AB1685" s="42"/>
    </row>
    <row r="1686" spans="1:28" x14ac:dyDescent="0.25">
      <c r="A1686" s="42" t="str">
        <v>1.31.2.2.7</v>
      </c>
      <c r="B1686" s="121" t="str">
        <v>Seal parcel</v>
      </c>
      <c r="C1686" s="41">
        <v>5</v>
      </c>
      <c r="D1686" s="41" t="str">
        <v>RL</v>
      </c>
      <c r="E1686" s="117" t="str">
        <f t="shared" si="0"/>
        <v>RL</v>
      </c>
      <c r="F1686" s="41" t="str">
        <v/>
      </c>
      <c r="G1686" s="41" t="str">
        <v/>
      </c>
      <c r="H1686" s="117">
        <f t="shared" si="1"/>
        <v>0</v>
      </c>
      <c r="I1686" s="117">
        <f t="shared" si="2"/>
        <v>31</v>
      </c>
      <c r="J1686" s="117">
        <f t="shared" si="3"/>
        <v>31.020000000000003</v>
      </c>
      <c r="K1686" s="117" t="str">
        <f t="shared" si="4"/>
        <v>BR</v>
      </c>
      <c r="L1686" s="42" t="str">
        <v>BR3102</v>
      </c>
      <c r="M1686" s="121" t="str">
        <v/>
      </c>
      <c r="N1686" s="121" t="str">
        <v/>
      </c>
      <c r="O1686" s="121" t="str">
        <v/>
      </c>
      <c r="P1686" s="121" t="str">
        <v/>
      </c>
      <c r="Q1686" s="121" t="str">
        <v/>
      </c>
      <c r="R1686" s="121" t="str">
        <v/>
      </c>
      <c r="S1686" s="121" t="str">
        <v>Seal parcel</v>
      </c>
      <c r="T1686" s="119" t="str">
        <f>IF($C1686&lt;4,IF($C1686=3,T1687,IF($C1686=2,T$1,"")),Q1686&amp;R1686&amp;IF(LEN(S1686)=0,"",Preferences!$C$2&amp;S1686)&amp;IF(J1687=J1686,IF(LEN(R1686&amp;S1686)=0,"","
")&amp;T1687,""))</f>
        <v xml:space="preserve">	• Seal parcel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6" s="122" t="str">
        <v/>
      </c>
      <c r="V1686" s="42"/>
      <c r="W1686" s="42"/>
      <c r="X1686" s="42"/>
      <c r="Y1686" s="42"/>
      <c r="Z1686" s="42"/>
      <c r="AA1686" s="42"/>
      <c r="AB1686" s="42"/>
    </row>
    <row r="1687" spans="1:28" x14ac:dyDescent="0.25">
      <c r="A1687" s="42" t="str">
        <v>1.31.2.3</v>
      </c>
      <c r="B1687" s="121" t="str">
        <v>The B2C Co parcel packing service will prepare the courier shipment.</v>
      </c>
      <c r="C1687" s="41">
        <v>4</v>
      </c>
      <c r="D1687" s="41" t="str">
        <v>RD</v>
      </c>
      <c r="E1687" s="117" t="str">
        <f t="shared" si="0"/>
        <v>RD</v>
      </c>
      <c r="F1687" s="41" t="str">
        <v/>
      </c>
      <c r="G1687" s="41" t="str">
        <v/>
      </c>
      <c r="H1687" s="117">
        <f t="shared" si="1"/>
        <v>0</v>
      </c>
      <c r="I1687" s="117">
        <f t="shared" si="2"/>
        <v>31</v>
      </c>
      <c r="J1687" s="117">
        <f t="shared" si="3"/>
        <v>31.020000000000003</v>
      </c>
      <c r="K1687" s="117" t="str">
        <f t="shared" si="4"/>
        <v>BR</v>
      </c>
      <c r="L1687" s="42" t="str">
        <v>BR3102</v>
      </c>
      <c r="M1687" s="121" t="str">
        <v/>
      </c>
      <c r="N1687" s="121" t="str">
        <v/>
      </c>
      <c r="O1687" s="121" t="str">
        <v/>
      </c>
      <c r="P1687" s="121" t="str">
        <v/>
      </c>
      <c r="Q1687" s="121" t="str">
        <v xml:space="preserve"> 3. </v>
      </c>
      <c r="R1687" s="121" t="str">
        <v>The B2C Co parcel packing service will prepare the courier shipment.</v>
      </c>
      <c r="S1687" s="121" t="str">
        <v/>
      </c>
      <c r="T1687" s="119" t="str">
        <f>IF($C1687&lt;4,IF($C1687=3,T1688,IF($C1687=2,T$1,"")),Q1687&amp;R1687&amp;IF(LEN(S1687)=0,"",Preferences!$C$2&amp;S1687)&amp;IF(J1688=J1687,IF(LEN(R1687&amp;S1687)=0,"","
")&amp;T1688,""))</f>
        <v xml:space="preserve"> 3. The B2C Co parcel packing service will prepare the courier shipment.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7" s="122" t="str">
        <v/>
      </c>
      <c r="V1687" s="42"/>
      <c r="W1687" s="42"/>
      <c r="X1687" s="42"/>
      <c r="Y1687" s="42"/>
      <c r="Z1687" s="42"/>
      <c r="AA1687" s="42"/>
      <c r="AB1687" s="42"/>
    </row>
    <row r="1688" spans="1:28" x14ac:dyDescent="0.25">
      <c r="A1688" s="42" t="str">
        <v>1.31.2.3.1</v>
      </c>
      <c r="B1688" s="121" t="str">
        <v>Record parcel as ready for dispatch, by scanning the waybill label barcode.</v>
      </c>
      <c r="C1688" s="41">
        <v>5</v>
      </c>
      <c r="D1688" s="41" t="str">
        <v>RL</v>
      </c>
      <c r="E1688" s="117" t="str">
        <f t="shared" si="0"/>
        <v>RL</v>
      </c>
      <c r="F1688" s="41" t="str">
        <v/>
      </c>
      <c r="G1688" s="41" t="str">
        <v/>
      </c>
      <c r="H1688" s="117">
        <f t="shared" si="1"/>
        <v>0</v>
      </c>
      <c r="I1688" s="117">
        <f t="shared" si="2"/>
        <v>31</v>
      </c>
      <c r="J1688" s="117">
        <f t="shared" si="3"/>
        <v>31.020000000000003</v>
      </c>
      <c r="K1688" s="117" t="str">
        <f t="shared" si="4"/>
        <v>BR</v>
      </c>
      <c r="L1688" s="42" t="str">
        <v>BR3102</v>
      </c>
      <c r="M1688" s="121" t="str">
        <v/>
      </c>
      <c r="N1688" s="121" t="str">
        <v/>
      </c>
      <c r="O1688" s="121" t="str">
        <v/>
      </c>
      <c r="P1688" s="121" t="str">
        <v/>
      </c>
      <c r="Q1688" s="121" t="str">
        <v/>
      </c>
      <c r="R1688" s="121" t="str">
        <v/>
      </c>
      <c r="S1688" s="121" t="str">
        <v>Record parcel as ready for dispatch, by scanning the waybill label barcode.</v>
      </c>
      <c r="T1688" s="119" t="str">
        <f>IF($C1688&lt;4,IF($C1688=3,T1689,IF($C1688=2,T$1,"")),Q1688&amp;R1688&amp;IF(LEN(S1688)=0,"",Preferences!$C$2&amp;S1688)&amp;IF(J1689=J1688,IF(LEN(R1688&amp;S1688)=0,"","
")&amp;T1689,""))</f>
        <v xml:space="preserve">	• Record parcel as ready for dispatch, by scanning the waybill label barcode.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8" s="122" t="str">
        <v/>
      </c>
      <c r="V1688" s="42"/>
      <c r="W1688" s="42"/>
      <c r="X1688" s="42"/>
      <c r="Y1688" s="42"/>
      <c r="Z1688" s="42"/>
      <c r="AA1688" s="42"/>
      <c r="AB1688" s="42"/>
    </row>
    <row r="1689" spans="1:28" x14ac:dyDescent="0.25">
      <c r="A1689" s="42" t="str">
        <v>1.31.2.3.2</v>
      </c>
      <c r="B1689" s="121" t="str">
        <v>Automatically register each ready-for-dispatch parcel as part of a shipment, interfaced to the national courier for collection.</v>
      </c>
      <c r="C1689" s="41">
        <v>5</v>
      </c>
      <c r="D1689" s="41" t="str">
        <v>RL</v>
      </c>
      <c r="E1689" s="117" t="str">
        <f t="shared" si="0"/>
        <v>RL</v>
      </c>
      <c r="F1689" s="41" t="str">
        <v/>
      </c>
      <c r="G1689" s="41" t="str">
        <v/>
      </c>
      <c r="H1689" s="117">
        <f t="shared" si="1"/>
        <v>0</v>
      </c>
      <c r="I1689" s="117">
        <f t="shared" si="2"/>
        <v>31</v>
      </c>
      <c r="J1689" s="117">
        <f t="shared" si="3"/>
        <v>31.020000000000003</v>
      </c>
      <c r="K1689" s="117" t="str">
        <f t="shared" si="4"/>
        <v>BR</v>
      </c>
      <c r="L1689" s="42" t="str">
        <v>BR3102</v>
      </c>
      <c r="M1689" s="121" t="str">
        <v/>
      </c>
      <c r="N1689" s="121" t="str">
        <v/>
      </c>
      <c r="O1689" s="121" t="str">
        <v/>
      </c>
      <c r="P1689" s="121" t="str">
        <v/>
      </c>
      <c r="Q1689" s="121" t="str">
        <v/>
      </c>
      <c r="R1689" s="121" t="str">
        <v/>
      </c>
      <c r="S1689" s="121" t="str">
        <v>Automatically register each ready-for-dispatch parcel as part of a shipment, interfaced to the national courier for collection.</v>
      </c>
      <c r="T1689" s="119" t="str">
        <f>IF($C1689&lt;4,IF($C1689=3,T1690,IF($C1689=2,T$1,"")),Q1689&amp;R1689&amp;IF(LEN(S1689)=0,"",Preferences!$C$2&amp;S1689)&amp;IF(J1690=J1689,IF(LEN(R1689&amp;S1689)=0,"","
")&amp;T1690,""))</f>
        <v xml:space="preserve">	• Automatically register each ready-for-dispatch parcel as part of a shipment, interfaced to the national courier for collection.
	• Print a shipment manifest, for use at time of dispatch.
 4. The processed Transpharm totes will be stored at the B2C Co parcel packing facility.
 5. Transpharm will collect the stored empty totes.</v>
      </c>
      <c r="U1689" s="122" t="str">
        <v/>
      </c>
      <c r="V1689" s="42"/>
      <c r="W1689" s="42"/>
      <c r="X1689" s="42"/>
      <c r="Y1689" s="42"/>
      <c r="Z1689" s="42"/>
      <c r="AA1689" s="42"/>
      <c r="AB1689" s="42"/>
    </row>
    <row r="1690" spans="1:28" x14ac:dyDescent="0.25">
      <c r="A1690" s="42" t="str">
        <v>1.31.2.3.3</v>
      </c>
      <c r="B1690" s="121" t="str">
        <v>Print a shipment manifest, for use at time of dispatch.</v>
      </c>
      <c r="C1690" s="41">
        <v>5</v>
      </c>
      <c r="D1690" s="41" t="str">
        <v>RL</v>
      </c>
      <c r="E1690" s="117" t="str">
        <f t="shared" si="0"/>
        <v>RL</v>
      </c>
      <c r="F1690" s="41" t="str">
        <v/>
      </c>
      <c r="G1690" s="41" t="str">
        <v/>
      </c>
      <c r="H1690" s="117">
        <f t="shared" si="1"/>
        <v>0</v>
      </c>
      <c r="I1690" s="117">
        <f t="shared" si="2"/>
        <v>31</v>
      </c>
      <c r="J1690" s="117">
        <f t="shared" si="3"/>
        <v>31.020000000000003</v>
      </c>
      <c r="K1690" s="117" t="str">
        <f t="shared" si="4"/>
        <v>BR</v>
      </c>
      <c r="L1690" s="42" t="str">
        <v>BR3102</v>
      </c>
      <c r="M1690" s="121" t="str">
        <v/>
      </c>
      <c r="N1690" s="121" t="str">
        <v/>
      </c>
      <c r="O1690" s="121" t="str">
        <v/>
      </c>
      <c r="P1690" s="121" t="str">
        <v/>
      </c>
      <c r="Q1690" s="121" t="str">
        <v/>
      </c>
      <c r="R1690" s="121" t="str">
        <v/>
      </c>
      <c r="S1690" s="121" t="str">
        <v>Print a shipment manifest, for use at time of dispatch.</v>
      </c>
      <c r="T1690" s="119" t="str">
        <f>IF($C1690&lt;4,IF($C1690=3,T1691,IF($C1690=2,T$1,"")),Q1690&amp;R1690&amp;IF(LEN(S1690)=0,"",Preferences!$C$2&amp;S1690)&amp;IF(J1691=J1690,IF(LEN(R1690&amp;S1690)=0,"","
")&amp;T1691,""))</f>
        <v xml:space="preserve">	• Print a shipment manifest, for use at time of dispatch.
 4. The processed Transpharm totes will be stored at the B2C Co parcel packing facility.
 5. Transpharm will collect the stored empty totes.</v>
      </c>
      <c r="U1690" s="122" t="str">
        <v/>
      </c>
      <c r="V1690" s="42"/>
      <c r="W1690" s="42"/>
      <c r="X1690" s="42"/>
      <c r="Y1690" s="42"/>
      <c r="Z1690" s="42"/>
      <c r="AA1690" s="42"/>
      <c r="AB1690" s="42"/>
    </row>
    <row r="1691" spans="1:28" x14ac:dyDescent="0.25">
      <c r="A1691" s="42" t="str">
        <v>1.31.2.4</v>
      </c>
      <c r="B1691" s="121" t="str">
        <v>The processed Transpharm totes will be stored at the B2C Co parcel packing facility.</v>
      </c>
      <c r="C1691" s="41">
        <v>4</v>
      </c>
      <c r="D1691" s="41" t="str">
        <v>RD</v>
      </c>
      <c r="E1691" s="117" t="str">
        <f t="shared" si="0"/>
        <v>RD</v>
      </c>
      <c r="F1691" s="41" t="str">
        <v/>
      </c>
      <c r="G1691" s="41" t="str">
        <v/>
      </c>
      <c r="H1691" s="117">
        <f t="shared" si="1"/>
        <v>0</v>
      </c>
      <c r="I1691" s="117">
        <f t="shared" si="2"/>
        <v>31</v>
      </c>
      <c r="J1691" s="117">
        <f t="shared" si="3"/>
        <v>31.020000000000003</v>
      </c>
      <c r="K1691" s="117" t="str">
        <f t="shared" si="4"/>
        <v>BR</v>
      </c>
      <c r="L1691" s="42" t="str">
        <v>BR3102</v>
      </c>
      <c r="M1691" s="121" t="str">
        <v/>
      </c>
      <c r="N1691" s="121" t="str">
        <v/>
      </c>
      <c r="O1691" s="121" t="str">
        <v/>
      </c>
      <c r="P1691" s="121" t="str">
        <v/>
      </c>
      <c r="Q1691" s="121" t="str">
        <v xml:space="preserve"> 4. </v>
      </c>
      <c r="R1691" s="121" t="str">
        <v>The processed Transpharm totes will be stored at the B2C Co parcel packing facility.</v>
      </c>
      <c r="S1691" s="121" t="str">
        <v/>
      </c>
      <c r="T1691" s="119" t="str">
        <f>IF($C1691&lt;4,IF($C1691=3,T1692,IF($C1691=2,T$1,"")),Q1691&amp;R1691&amp;IF(LEN(S1691)=0,"",Preferences!$C$2&amp;S1691)&amp;IF(J1692=J1691,IF(LEN(R1691&amp;S1691)=0,"","
")&amp;T1692,""))</f>
        <v xml:space="preserve"> 4. The processed Transpharm totes will be stored at the B2C Co parcel packing facility.
 5. Transpharm will collect the stored empty totes.</v>
      </c>
      <c r="U1691" s="122" t="str">
        <v/>
      </c>
      <c r="V1691" s="42"/>
      <c r="W1691" s="42"/>
      <c r="X1691" s="42"/>
      <c r="Y1691" s="42"/>
      <c r="Z1691" s="42"/>
      <c r="AA1691" s="42"/>
      <c r="AB1691" s="42"/>
    </row>
    <row r="1692" spans="1:28" x14ac:dyDescent="0.25">
      <c r="A1692" s="42" t="str">
        <v>1.31.2.5</v>
      </c>
      <c r="B1692" s="121" t="str">
        <v>Transpharm will collect the stored empty totes.</v>
      </c>
      <c r="C1692" s="41">
        <v>4</v>
      </c>
      <c r="D1692" s="41" t="str">
        <v>RD</v>
      </c>
      <c r="E1692" s="117" t="str">
        <f t="shared" si="0"/>
        <v>RD</v>
      </c>
      <c r="F1692" s="41" t="str">
        <v/>
      </c>
      <c r="G1692" s="41" t="str">
        <v/>
      </c>
      <c r="H1692" s="117">
        <f t="shared" si="1"/>
        <v>0</v>
      </c>
      <c r="I1692" s="117">
        <f t="shared" si="2"/>
        <v>31</v>
      </c>
      <c r="J1692" s="117">
        <f t="shared" si="3"/>
        <v>31.020000000000003</v>
      </c>
      <c r="K1692" s="117" t="str">
        <f t="shared" si="4"/>
        <v>BR</v>
      </c>
      <c r="L1692" s="42" t="str">
        <v>BR3102</v>
      </c>
      <c r="M1692" s="121" t="str">
        <v/>
      </c>
      <c r="N1692" s="121" t="str">
        <v/>
      </c>
      <c r="O1692" s="121" t="str">
        <v/>
      </c>
      <c r="P1692" s="121" t="str">
        <v/>
      </c>
      <c r="Q1692" s="121" t="str">
        <v xml:space="preserve"> 5. </v>
      </c>
      <c r="R1692" s="121" t="str">
        <v>Transpharm will collect the stored empty totes.</v>
      </c>
      <c r="S1692" s="121" t="str">
        <v/>
      </c>
      <c r="T1692" s="119" t="str">
        <f>IF($C1692&lt;4,IF($C1692=3,T1693,IF($C1692=2,T$1,"")),Q1692&amp;R1692&amp;IF(LEN(S1692)=0,"",Preferences!$C$2&amp;S1692)&amp;IF(J1693=J1692,IF(LEN(R1692&amp;S1692)=0,"","
")&amp;T1693,""))</f>
        <v xml:space="preserve"> 5. Transpharm will collect the stored empty totes.</v>
      </c>
      <c r="U1692" s="122" t="str">
        <v/>
      </c>
      <c r="V1692" s="42"/>
      <c r="W1692" s="42"/>
      <c r="X1692" s="42"/>
      <c r="Y1692" s="42"/>
      <c r="Z1692" s="42"/>
      <c r="AA1692" s="42"/>
      <c r="AB1692" s="42"/>
    </row>
    <row r="1693" spans="1:28" x14ac:dyDescent="0.25">
      <c r="A1693" s="42" t="str">
        <v>1.31.3</v>
      </c>
      <c r="B1693" s="121" t="str">
        <v>31.3 B2C Co dispatches own packed customer parcels</v>
      </c>
      <c r="C1693" s="41">
        <v>3</v>
      </c>
      <c r="D1693" s="41" t="str">
        <v>R</v>
      </c>
      <c r="E1693" s="117" t="str">
        <f t="shared" si="0"/>
        <v>R</v>
      </c>
      <c r="F1693" s="41" t="str">
        <v/>
      </c>
      <c r="G1693" s="41" t="str">
        <v/>
      </c>
      <c r="H1693" s="117">
        <f t="shared" si="1"/>
        <v>0</v>
      </c>
      <c r="I1693" s="117">
        <f t="shared" si="2"/>
        <v>31</v>
      </c>
      <c r="J1693" s="117">
        <f t="shared" si="3"/>
        <v>31.030000000000005</v>
      </c>
      <c r="K1693" s="117" t="str">
        <f t="shared" si="4"/>
        <v>BR</v>
      </c>
      <c r="L1693" s="42" t="str">
        <v>BR3103</v>
      </c>
      <c r="M1693" s="121" t="str">
        <v/>
      </c>
      <c r="N1693" s="121" t="str">
        <v/>
      </c>
      <c r="O1693" s="121" t="str">
        <v>BR3103</v>
      </c>
      <c r="P1693" s="121" t="str">
        <v>B2C Co dispatches own packed customer parcels</v>
      </c>
      <c r="Q1693" s="121" t="str">
        <v/>
      </c>
      <c r="R1693" s="121" t="str">
        <v/>
      </c>
      <c r="S1693" s="121" t="str">
        <v/>
      </c>
      <c r="T1693" s="119" t="str">
        <f>IF($C1693&lt;4,IF($C1693=3,T1694,IF($C1693=2,T$1,"")),Q1693&amp;R1693&amp;IF(LEN(S1693)=0,"",Preferences!$C$2&amp;S1693)&amp;IF(J1694=J1693,IF(LEN(R1693&amp;S1693)=0,"","
")&amp;T1694,""))</f>
        <v xml:space="preserve"> 1. The B2C Co parcel packing service will register the shipment as dispatched (to the courier.
	• Stage the parcels for dispatch in a dispatch cage/holding area.
	• Confirm all parcels present for dispatch against the shipping manifest.
	• Register the shipment as dispatched, by scanning the shipping document barcode.
</v>
      </c>
      <c r="U1693" s="122" t="str">
        <v/>
      </c>
      <c r="V1693" s="42"/>
      <c r="W1693" s="42"/>
      <c r="X1693" s="42"/>
      <c r="Y1693" s="42"/>
      <c r="Z1693" s="42"/>
      <c r="AA1693" s="42"/>
      <c r="AB1693" s="42"/>
    </row>
    <row r="1694" spans="1:28" x14ac:dyDescent="0.25">
      <c r="A1694" s="42" t="str">
        <v>1.31.3.1</v>
      </c>
      <c r="B1694" s="121" t="str">
        <v>The B2C Co parcel packing service will register the shipment as dispatched (to the courier.</v>
      </c>
      <c r="C1694" s="41">
        <v>4</v>
      </c>
      <c r="D1694" s="41" t="str">
        <v>RD</v>
      </c>
      <c r="E1694" s="117" t="str">
        <f t="shared" si="0"/>
        <v>RD</v>
      </c>
      <c r="F1694" s="41" t="str">
        <v/>
      </c>
      <c r="G1694" s="41" t="str">
        <v/>
      </c>
      <c r="H1694" s="117">
        <f t="shared" si="1"/>
        <v>0</v>
      </c>
      <c r="I1694" s="117">
        <f t="shared" si="2"/>
        <v>31</v>
      </c>
      <c r="J1694" s="117">
        <f t="shared" si="3"/>
        <v>31.030000000000005</v>
      </c>
      <c r="K1694" s="117" t="str">
        <f t="shared" si="4"/>
        <v>BR</v>
      </c>
      <c r="L1694" s="42" t="str">
        <v>BR3103</v>
      </c>
      <c r="M1694" s="121" t="str">
        <v/>
      </c>
      <c r="N1694" s="121" t="str">
        <v/>
      </c>
      <c r="O1694" s="121" t="str">
        <v/>
      </c>
      <c r="P1694" s="121" t="str">
        <v/>
      </c>
      <c r="Q1694" s="121" t="str">
        <v xml:space="preserve"> 1. </v>
      </c>
      <c r="R1694" s="121" t="str">
        <v>The B2C Co parcel packing service will register the shipment as dispatched (to the courier.</v>
      </c>
      <c r="S1694" s="121" t="str">
        <v/>
      </c>
      <c r="T1694" s="119" t="str">
        <f>IF($C1694&lt;4,IF($C1694=3,T1695,IF($C1694=2,T$1,"")),Q1694&amp;R1694&amp;IF(LEN(S1694)=0,"",Preferences!$C$2&amp;S1694)&amp;IF(J1695=J1694,IF(LEN(R1694&amp;S1694)=0,"","
")&amp;T1695,""))</f>
        <v xml:space="preserve"> 1. The B2C Co parcel packing service will register the shipment as dispatched (to the courier.
	• Stage the parcels for dispatch in a dispatch cage/holding area.
	• Confirm all parcels present for dispatch against the shipping manifest.
	• Register the shipment as dispatched, by scanning the shipping document barcode.
</v>
      </c>
      <c r="U1694" s="122" t="str">
        <v/>
      </c>
      <c r="V1694" s="42"/>
      <c r="W1694" s="42"/>
      <c r="X1694" s="42"/>
      <c r="Y1694" s="42"/>
      <c r="Z1694" s="42"/>
      <c r="AA1694" s="42"/>
      <c r="AB1694" s="42"/>
    </row>
    <row r="1695" spans="1:28" x14ac:dyDescent="0.25">
      <c r="A1695" s="42" t="str">
        <v>1.31.3.1.1</v>
      </c>
      <c r="B1695" s="121" t="str">
        <v>Stage the parcels for dispatch in a dispatch cage/holding area.</v>
      </c>
      <c r="C1695" s="41">
        <v>5</v>
      </c>
      <c r="D1695" s="41" t="str">
        <v>RL</v>
      </c>
      <c r="E1695" s="117" t="str">
        <f t="shared" si="0"/>
        <v>RL</v>
      </c>
      <c r="F1695" s="41" t="str">
        <v/>
      </c>
      <c r="G1695" s="41" t="str">
        <v/>
      </c>
      <c r="H1695" s="117">
        <f t="shared" si="1"/>
        <v>0</v>
      </c>
      <c r="I1695" s="117">
        <f t="shared" si="2"/>
        <v>31</v>
      </c>
      <c r="J1695" s="117">
        <f t="shared" si="3"/>
        <v>31.030000000000005</v>
      </c>
      <c r="K1695" s="117" t="str">
        <f t="shared" si="4"/>
        <v>BR</v>
      </c>
      <c r="L1695" s="42" t="str">
        <v>BR3103</v>
      </c>
      <c r="M1695" s="121" t="str">
        <v/>
      </c>
      <c r="N1695" s="121" t="str">
        <v/>
      </c>
      <c r="O1695" s="121" t="str">
        <v/>
      </c>
      <c r="P1695" s="121" t="str">
        <v/>
      </c>
      <c r="Q1695" s="121" t="str">
        <v/>
      </c>
      <c r="R1695" s="121" t="str">
        <v/>
      </c>
      <c r="S1695" s="121" t="str">
        <v>Stage the parcels for dispatch in a dispatch cage/holding area.</v>
      </c>
      <c r="T1695" s="119" t="str">
        <f>IF($C1695&lt;4,IF($C1695=3,T1696,IF($C1695=2,T$1,"")),Q1695&amp;R1695&amp;IF(LEN(S1695)=0,"",Preferences!$C$2&amp;S1695)&amp;IF(J1696=J1695,IF(LEN(R1695&amp;S1695)=0,"","
")&amp;T1696,""))</f>
        <v xml:space="preserve">	• Stage the parcels for dispatch in a dispatch cage/holding area.
	• Confirm all parcels present for dispatch against the shipping manifest.
	• Register the shipment as dispatched, by scanning the shipping document barcode.
</v>
      </c>
      <c r="U1695" s="122" t="str">
        <v/>
      </c>
      <c r="V1695" s="42"/>
      <c r="W1695" s="42"/>
      <c r="X1695" s="42"/>
      <c r="Y1695" s="42"/>
      <c r="Z1695" s="42"/>
      <c r="AA1695" s="42"/>
      <c r="AB1695" s="42"/>
    </row>
    <row r="1696" spans="1:28" x14ac:dyDescent="0.25">
      <c r="A1696" s="42" t="str">
        <v>1.31.3.1.2</v>
      </c>
      <c r="B1696" s="121" t="str">
        <v>Confirm all parcels present for dispatch against the shipping manifest.</v>
      </c>
      <c r="C1696" s="41">
        <v>5</v>
      </c>
      <c r="D1696" s="41" t="str">
        <v>RL</v>
      </c>
      <c r="E1696" s="117" t="str">
        <f t="shared" si="0"/>
        <v>RL</v>
      </c>
      <c r="F1696" s="41" t="str">
        <v/>
      </c>
      <c r="G1696" s="41" t="str">
        <v/>
      </c>
      <c r="H1696" s="117">
        <f t="shared" si="1"/>
        <v>0</v>
      </c>
      <c r="I1696" s="117">
        <f t="shared" si="2"/>
        <v>31</v>
      </c>
      <c r="J1696" s="117">
        <f t="shared" si="3"/>
        <v>31.030000000000005</v>
      </c>
      <c r="K1696" s="117" t="str">
        <f t="shared" si="4"/>
        <v>BR</v>
      </c>
      <c r="L1696" s="42" t="str">
        <v>BR3103</v>
      </c>
      <c r="M1696" s="121" t="str">
        <v/>
      </c>
      <c r="N1696" s="121" t="str">
        <v/>
      </c>
      <c r="O1696" s="121" t="str">
        <v/>
      </c>
      <c r="P1696" s="121" t="str">
        <v/>
      </c>
      <c r="Q1696" s="121" t="str">
        <v/>
      </c>
      <c r="R1696" s="121" t="str">
        <v/>
      </c>
      <c r="S1696" s="121" t="str">
        <v>Confirm all parcels present for dispatch against the shipping manifest.</v>
      </c>
      <c r="T1696" s="119" t="str">
        <f>IF($C1696&lt;4,IF($C1696=3,T1697,IF($C1696=2,T$1,"")),Q1696&amp;R1696&amp;IF(LEN(S1696)=0,"",Preferences!$C$2&amp;S1696)&amp;IF(J1697=J1696,IF(LEN(R1696&amp;S1696)=0,"","
")&amp;T1697,""))</f>
        <v xml:space="preserve">	• Confirm all parcels present for dispatch against the shipping manifest.
	• Register the shipment as dispatched, by scanning the shipping document barcode.
</v>
      </c>
      <c r="U1696" s="122" t="str">
        <v/>
      </c>
      <c r="V1696" s="42"/>
      <c r="W1696" s="42"/>
      <c r="X1696" s="42"/>
      <c r="Y1696" s="42"/>
      <c r="Z1696" s="42"/>
      <c r="AA1696" s="42"/>
      <c r="AB1696" s="42"/>
    </row>
    <row r="1697" spans="1:28" x14ac:dyDescent="0.25">
      <c r="A1697" s="42" t="str">
        <v>1.31.3.1.3</v>
      </c>
      <c r="B1697" s="121" t="str">
        <v>Register the shipment as dispatched, by scanning the shipping document barcode.</v>
      </c>
      <c r="C1697" s="41">
        <v>5</v>
      </c>
      <c r="D1697" s="41" t="str">
        <v>RL</v>
      </c>
      <c r="E1697" s="117" t="str">
        <f t="shared" si="0"/>
        <v>RL</v>
      </c>
      <c r="F1697" s="41" t="str">
        <v/>
      </c>
      <c r="G1697" s="41" t="str">
        <v/>
      </c>
      <c r="H1697" s="117">
        <f t="shared" si="1"/>
        <v>0</v>
      </c>
      <c r="I1697" s="117">
        <f t="shared" si="2"/>
        <v>31</v>
      </c>
      <c r="J1697" s="117">
        <f t="shared" si="3"/>
        <v>31.030000000000005</v>
      </c>
      <c r="K1697" s="117" t="str">
        <f t="shared" si="4"/>
        <v>BR</v>
      </c>
      <c r="L1697" s="42" t="str">
        <v>BR3103</v>
      </c>
      <c r="M1697" s="121" t="str">
        <v/>
      </c>
      <c r="N1697" s="121" t="str">
        <v/>
      </c>
      <c r="O1697" s="121" t="str">
        <v/>
      </c>
      <c r="P1697" s="121" t="str">
        <v/>
      </c>
      <c r="Q1697" s="121" t="str">
        <v/>
      </c>
      <c r="R1697" s="121" t="str">
        <v/>
      </c>
      <c r="S1697" s="121" t="str">
        <v>Register the shipment as dispatched, by scanning the shipping document barcode.</v>
      </c>
      <c r="T1697" s="119" t="str">
        <f>IF($C1697&lt;4,IF($C1697=3,T1698,IF($C1697=2,T$1,"")),Q1697&amp;R1697&amp;IF(LEN(S1697)=0,"",Preferences!$C$2&amp;S1697)&amp;IF(J1698=J1697,IF(LEN(R1697&amp;S1697)=0,"","
")&amp;T1698,""))</f>
        <v xml:space="preserve">	• Register the shipment as dispatched, by scanning the shipping document barcode.
</v>
      </c>
      <c r="U1697" s="122" t="str">
        <v/>
      </c>
      <c r="V1697" s="42"/>
      <c r="W1697" s="42"/>
      <c r="X1697" s="42"/>
      <c r="Y1697" s="42"/>
      <c r="Z1697" s="42"/>
      <c r="AA1697" s="42"/>
      <c r="AB1697" s="42"/>
    </row>
    <row r="1698" spans="1:28" x14ac:dyDescent="0.25">
      <c r="A1698" s="42" t="str">
        <v>2</v>
      </c>
      <c r="B1698" s="121" t="str">
        <v>Information Requirements</v>
      </c>
      <c r="C1698" s="41">
        <v>1</v>
      </c>
      <c r="D1698" s="41" t="str">
        <v>H</v>
      </c>
      <c r="E1698" s="117" t="str">
        <f t="shared" si="0"/>
        <v>H</v>
      </c>
      <c r="F1698" s="41" t="str">
        <v>IR</v>
      </c>
      <c r="G1698" s="41" t="str">
        <v>IR</v>
      </c>
      <c r="H1698" s="117" t="str">
        <f t="shared" si="1"/>
        <v>IR</v>
      </c>
      <c r="I1698" s="117">
        <f t="shared" si="2"/>
        <v>0</v>
      </c>
      <c r="J1698" s="117">
        <f t="shared" si="3"/>
        <v>31.030000000000005</v>
      </c>
      <c r="K1698" s="117" t="str">
        <f t="shared" si="4"/>
        <v>IR</v>
      </c>
      <c r="L1698" s="42">
        <v>31.030000000000005</v>
      </c>
      <c r="M1698" s="121" t="str">
        <v>Information Requirements</v>
      </c>
      <c r="N1698" s="121" t="str">
        <v/>
      </c>
      <c r="O1698" s="121" t="str">
        <v/>
      </c>
      <c r="P1698" s="121" t="str">
        <v/>
      </c>
      <c r="Q1698" s="121" t="str">
        <v/>
      </c>
      <c r="R1698" s="121" t="str">
        <v/>
      </c>
      <c r="S1698" s="121" t="str">
        <v/>
      </c>
      <c r="T1698" s="119" t="str">
        <f>IF($C1698&lt;4,IF($C1698=3,T1699,IF($C1698=2,T$1,"")),Q1698&amp;R1698&amp;IF(LEN(S1698)=0,"",Preferences!$C$2&amp;S1698)&amp;IF(J1699=J1698,IF(LEN(R1698&amp;S1698)=0,"","
")&amp;T1699,""))</f>
        <v/>
      </c>
      <c r="U1698" s="122" t="str">
        <v/>
      </c>
      <c r="V1698" s="42"/>
      <c r="W1698" s="42"/>
      <c r="X1698" s="42"/>
      <c r="Y1698" s="42"/>
      <c r="Z1698" s="42"/>
      <c r="AA1698" s="42"/>
      <c r="AB1698" s="42"/>
    </row>
    <row r="1699" spans="1:28" x14ac:dyDescent="0.25">
      <c r="A1699" s="42" t="str">
        <v>2.1</v>
      </c>
      <c r="B1699" s="121" t="str">
        <v>1 Operational Reports</v>
      </c>
      <c r="C1699" s="41">
        <v>2</v>
      </c>
      <c r="D1699" s="41" t="str">
        <v>RS</v>
      </c>
      <c r="E1699" s="117" t="str">
        <f t="shared" si="0"/>
        <v>RS</v>
      </c>
      <c r="F1699" s="41" t="str">
        <v/>
      </c>
      <c r="G1699" s="41" t="str">
        <v/>
      </c>
      <c r="H1699" s="117">
        <f t="shared" si="1"/>
        <v>0</v>
      </c>
      <c r="I1699" s="117">
        <f t="shared" si="2"/>
        <v>1</v>
      </c>
      <c r="J1699" s="117">
        <f t="shared" si="3"/>
        <v>1</v>
      </c>
      <c r="K1699" s="117" t="str">
        <f t="shared" si="4"/>
        <v>IR</v>
      </c>
      <c r="L1699" s="42">
        <v>1</v>
      </c>
      <c r="M1699" s="121" t="str">
        <v/>
      </c>
      <c r="N1699" s="121" t="str">
        <v>1 Operational Reports</v>
      </c>
      <c r="O1699" s="121" t="str">
        <v>ReqID</v>
      </c>
      <c r="P1699" s="121" t="e">
        <v>#N/A</v>
      </c>
      <c r="Q1699" s="121" t="str">
        <v/>
      </c>
      <c r="R1699" s="121" t="str">
        <v/>
      </c>
      <c r="S1699" s="121" t="str">
        <v/>
      </c>
      <c r="T1699" s="119" t="str">
        <f>IF($C1699&lt;4,IF($C1699=3,T1700,IF($C1699=2,T$1,"")),Q1699&amp;R1699&amp;IF(LEN(S1699)=0,"",Preferences!$C$2&amp;S1699)&amp;IF(J1700=J1699,IF(LEN(R1699&amp;S1699)=0,"","
")&amp;T1700,""))</f>
        <v>Description</v>
      </c>
      <c r="U1699" s="122" t="str">
        <v/>
      </c>
      <c r="V1699" s="42"/>
      <c r="W1699" s="42"/>
      <c r="X1699" s="42"/>
      <c r="Y1699" s="42"/>
      <c r="Z1699" s="42"/>
      <c r="AA1699" s="42"/>
      <c r="AB1699" s="42"/>
    </row>
    <row r="1700" spans="1:28" x14ac:dyDescent="0.25">
      <c r="A1700" s="42" t="str">
        <v>2.1.1</v>
      </c>
      <c r="B1700" s="121" t="str">
        <v>1.1 Provide an operational dashboard</v>
      </c>
      <c r="C1700" s="41">
        <v>3</v>
      </c>
      <c r="D1700" s="41" t="str">
        <v>R</v>
      </c>
      <c r="E1700" s="117" t="str">
        <f t="shared" si="0"/>
        <v>R</v>
      </c>
      <c r="F1700" s="41" t="str">
        <v/>
      </c>
      <c r="G1700" s="41" t="str">
        <v/>
      </c>
      <c r="H1700" s="117">
        <f t="shared" si="1"/>
        <v>0</v>
      </c>
      <c r="I1700" s="117">
        <f t="shared" si="2"/>
        <v>1</v>
      </c>
      <c r="J1700" s="117">
        <f t="shared" si="3"/>
        <v>1.01</v>
      </c>
      <c r="K1700" s="117" t="str">
        <f t="shared" si="4"/>
        <v>IR</v>
      </c>
      <c r="L1700" s="42" t="str">
        <v>IR0101</v>
      </c>
      <c r="M1700" s="121" t="str">
        <v/>
      </c>
      <c r="N1700" s="121" t="str">
        <v/>
      </c>
      <c r="O1700" s="121" t="str">
        <v>IR0101</v>
      </c>
      <c r="P1700" s="121" t="str">
        <v>Provide an operational dashboard</v>
      </c>
      <c r="Q1700" s="121" t="str">
        <v/>
      </c>
      <c r="R1700" s="121" t="str">
        <v/>
      </c>
      <c r="S1700" s="121" t="str">
        <v/>
      </c>
      <c r="T1700" s="119" t="str">
        <f>IF($C1700&lt;4,IF($C1700=3,T1701,IF($C1700=2,T$1,"")),Q1700&amp;R1700&amp;IF(LEN(S1700)=0,"",Preferences!$C$2&amp;S1700)&amp;IF(J1701=J1700,IF(LEN(R1700&amp;S1700)=0,"","
")&amp;T1701,""))</f>
        <v xml:space="preserve"> 1. Provide an operational dashboard for use by the following roles:
	• Promotions Manager
	• Orders Manager
	• Contact Centre
	• Customer Payments
 2. Each area's dashboard must:
	• Highlight the exceptions relevant to that business area
	• Provide hourly/daily performance statistics</v>
      </c>
      <c r="U1700" s="122" t="str">
        <v/>
      </c>
      <c r="V1700" s="42"/>
      <c r="W1700" s="42"/>
      <c r="X1700" s="42"/>
      <c r="Y1700" s="42"/>
      <c r="Z1700" s="42"/>
      <c r="AA1700" s="42"/>
      <c r="AB1700" s="42"/>
    </row>
    <row r="1701" spans="1:28" x14ac:dyDescent="0.25">
      <c r="A1701" s="42" t="str">
        <v>2.1.1.1</v>
      </c>
      <c r="B1701" s="121" t="str">
        <v>Provide an operational dashboard for use by the following roles:</v>
      </c>
      <c r="C1701" s="41">
        <v>4</v>
      </c>
      <c r="D1701" s="41" t="str">
        <v>RD</v>
      </c>
      <c r="E1701" s="117" t="str">
        <f t="shared" si="0"/>
        <v>RD</v>
      </c>
      <c r="F1701" s="41" t="str">
        <v/>
      </c>
      <c r="G1701" s="41" t="str">
        <v/>
      </c>
      <c r="H1701" s="117">
        <f t="shared" si="1"/>
        <v>0</v>
      </c>
      <c r="I1701" s="117">
        <f t="shared" si="2"/>
        <v>1</v>
      </c>
      <c r="J1701" s="117">
        <f t="shared" si="3"/>
        <v>1.01</v>
      </c>
      <c r="K1701" s="117" t="str">
        <f t="shared" si="4"/>
        <v>IR</v>
      </c>
      <c r="L1701" s="42" t="str">
        <v>IR0101</v>
      </c>
      <c r="M1701" s="121" t="str">
        <v/>
      </c>
      <c r="N1701" s="121" t="str">
        <v/>
      </c>
      <c r="O1701" s="121" t="str">
        <v/>
      </c>
      <c r="P1701" s="121" t="str">
        <v/>
      </c>
      <c r="Q1701" s="121" t="str">
        <v xml:space="preserve"> 1. </v>
      </c>
      <c r="R1701" s="121" t="str">
        <v>Provide an operational dashboard for use by the following roles:</v>
      </c>
      <c r="S1701" s="121" t="str">
        <v/>
      </c>
      <c r="T1701" s="119" t="str">
        <f>IF($C1701&lt;4,IF($C1701=3,T1702,IF($C1701=2,T$1,"")),Q1701&amp;R1701&amp;IF(LEN(S1701)=0,"",Preferences!$C$2&amp;S1701)&amp;IF(J1702=J1701,IF(LEN(R1701&amp;S1701)=0,"","
")&amp;T1702,""))</f>
        <v xml:space="preserve"> 1. Provide an operational dashboard for use by the following roles:
	• Promotions Manager
	• Orders Manager
	• Contact Centre
	• Customer Payments
 2. Each area's dashboard must:
	• Highlight the exceptions relevant to that business area
	• Provide hourly/daily performance statistics</v>
      </c>
      <c r="U1701" s="122" t="str">
        <v/>
      </c>
      <c r="V1701" s="42"/>
      <c r="W1701" s="42"/>
      <c r="X1701" s="42"/>
      <c r="Y1701" s="42"/>
      <c r="Z1701" s="42"/>
      <c r="AA1701" s="42"/>
      <c r="AB1701" s="42"/>
    </row>
    <row r="1702" spans="1:28" x14ac:dyDescent="0.25">
      <c r="A1702" s="42" t="str">
        <v>2.1.1.1.1</v>
      </c>
      <c r="B1702" s="121" t="str">
        <v>Promotions Manager</v>
      </c>
      <c r="C1702" s="41">
        <v>5</v>
      </c>
      <c r="D1702" s="41" t="str">
        <v>RL</v>
      </c>
      <c r="E1702" s="117" t="str">
        <f t="shared" si="0"/>
        <v>RL</v>
      </c>
      <c r="F1702" s="41" t="str">
        <v/>
      </c>
      <c r="G1702" s="41" t="str">
        <v/>
      </c>
      <c r="H1702" s="117">
        <f t="shared" si="1"/>
        <v>0</v>
      </c>
      <c r="I1702" s="117">
        <f t="shared" si="2"/>
        <v>1</v>
      </c>
      <c r="J1702" s="117">
        <f t="shared" si="3"/>
        <v>1.01</v>
      </c>
      <c r="K1702" s="117" t="str">
        <f t="shared" si="4"/>
        <v>IR</v>
      </c>
      <c r="L1702" s="42" t="str">
        <v>IR0101</v>
      </c>
      <c r="M1702" s="121" t="str">
        <v/>
      </c>
      <c r="N1702" s="121" t="str">
        <v/>
      </c>
      <c r="O1702" s="121" t="str">
        <v/>
      </c>
      <c r="P1702" s="121" t="str">
        <v/>
      </c>
      <c r="Q1702" s="121" t="str">
        <v/>
      </c>
      <c r="R1702" s="121" t="str">
        <v/>
      </c>
      <c r="S1702" s="121" t="str">
        <v>Promotions Manager</v>
      </c>
      <c r="T1702" s="119" t="str">
        <f>IF($C1702&lt;4,IF($C1702=3,T1703,IF($C1702=2,T$1,"")),Q1702&amp;R1702&amp;IF(LEN(S1702)=0,"",Preferences!$C$2&amp;S1702)&amp;IF(J1703=J1702,IF(LEN(R1702&amp;S1702)=0,"","
")&amp;T1703,""))</f>
        <v xml:space="preserve">	• Promotions Manager
	• Orders Manager
	• Contact Centre
	• Customer Payments
 2. Each area's dashboard must:
	• Highlight the exceptions relevant to that business area
	• Provide hourly/daily performance statistics</v>
      </c>
      <c r="U1702" s="122" t="str">
        <v/>
      </c>
      <c r="V1702" s="42"/>
      <c r="W1702" s="42"/>
      <c r="X1702" s="42"/>
      <c r="Y1702" s="42"/>
      <c r="Z1702" s="42"/>
      <c r="AA1702" s="42"/>
      <c r="AB1702" s="42"/>
    </row>
    <row r="1703" spans="1:28" x14ac:dyDescent="0.25">
      <c r="A1703" s="42" t="str">
        <v>2.1.1.1.2</v>
      </c>
      <c r="B1703" s="121" t="str">
        <v>Orders Manager</v>
      </c>
      <c r="C1703" s="41">
        <v>5</v>
      </c>
      <c r="D1703" s="41" t="str">
        <v>RL</v>
      </c>
      <c r="E1703" s="117" t="str">
        <f t="shared" si="0"/>
        <v>RL</v>
      </c>
      <c r="F1703" s="41" t="str">
        <v/>
      </c>
      <c r="G1703" s="41" t="str">
        <v/>
      </c>
      <c r="H1703" s="117">
        <f t="shared" si="1"/>
        <v>0</v>
      </c>
      <c r="I1703" s="117">
        <f t="shared" si="2"/>
        <v>1</v>
      </c>
      <c r="J1703" s="117">
        <f t="shared" si="3"/>
        <v>1.01</v>
      </c>
      <c r="K1703" s="117" t="str">
        <f t="shared" si="4"/>
        <v>IR</v>
      </c>
      <c r="L1703" s="42" t="str">
        <v>IR0101</v>
      </c>
      <c r="M1703" s="121" t="str">
        <v/>
      </c>
      <c r="N1703" s="121" t="str">
        <v/>
      </c>
      <c r="O1703" s="121" t="str">
        <v/>
      </c>
      <c r="P1703" s="121" t="str">
        <v/>
      </c>
      <c r="Q1703" s="121" t="str">
        <v/>
      </c>
      <c r="R1703" s="121" t="str">
        <v/>
      </c>
      <c r="S1703" s="121" t="str">
        <v>Orders Manager</v>
      </c>
      <c r="T1703" s="119" t="str">
        <f>IF($C1703&lt;4,IF($C1703=3,T1704,IF($C1703=2,T$1,"")),Q1703&amp;R1703&amp;IF(LEN(S1703)=0,"",Preferences!$C$2&amp;S1703)&amp;IF(J1704=J1703,IF(LEN(R1703&amp;S1703)=0,"","
")&amp;T1704,""))</f>
        <v xml:space="preserve">	• Orders Manager
	• Contact Centre
	• Customer Payments
 2. Each area's dashboard must:
	• Highlight the exceptions relevant to that business area
	• Provide hourly/daily performance statistics</v>
      </c>
      <c r="U1703" s="122" t="str">
        <v/>
      </c>
      <c r="V1703" s="42"/>
      <c r="W1703" s="42"/>
      <c r="X1703" s="42"/>
      <c r="Y1703" s="42"/>
      <c r="Z1703" s="42"/>
      <c r="AA1703" s="42"/>
      <c r="AB1703" s="42"/>
    </row>
    <row r="1704" spans="1:28" x14ac:dyDescent="0.25">
      <c r="A1704" s="42" t="str">
        <v>2.1.1.1.3</v>
      </c>
      <c r="B1704" s="121" t="str">
        <v>Contact Centre</v>
      </c>
      <c r="C1704" s="41">
        <v>5</v>
      </c>
      <c r="D1704" s="41" t="str">
        <v>RL</v>
      </c>
      <c r="E1704" s="117" t="str">
        <f t="shared" si="0"/>
        <v>RL</v>
      </c>
      <c r="F1704" s="41" t="str">
        <v/>
      </c>
      <c r="G1704" s="41" t="str">
        <v/>
      </c>
      <c r="H1704" s="117">
        <f t="shared" si="1"/>
        <v>0</v>
      </c>
      <c r="I1704" s="117">
        <f t="shared" si="2"/>
        <v>1</v>
      </c>
      <c r="J1704" s="117">
        <f t="shared" si="3"/>
        <v>1.01</v>
      </c>
      <c r="K1704" s="117" t="str">
        <f t="shared" si="4"/>
        <v>IR</v>
      </c>
      <c r="L1704" s="42" t="str">
        <v>IR0101</v>
      </c>
      <c r="M1704" s="121" t="str">
        <v/>
      </c>
      <c r="N1704" s="121" t="str">
        <v/>
      </c>
      <c r="O1704" s="121" t="str">
        <v/>
      </c>
      <c r="P1704" s="121" t="str">
        <v/>
      </c>
      <c r="Q1704" s="121" t="str">
        <v/>
      </c>
      <c r="R1704" s="121" t="str">
        <v/>
      </c>
      <c r="S1704" s="121" t="str">
        <v>Contact Centre</v>
      </c>
      <c r="T1704" s="119" t="str">
        <f>IF($C1704&lt;4,IF($C1704=3,T1705,IF($C1704=2,T$1,"")),Q1704&amp;R1704&amp;IF(LEN(S1704)=0,"",Preferences!$C$2&amp;S1704)&amp;IF(J1705=J1704,IF(LEN(R1704&amp;S1704)=0,"","
")&amp;T1705,""))</f>
        <v xml:space="preserve">	• Contact Centre
	• Customer Payments
 2. Each area's dashboard must:
	• Highlight the exceptions relevant to that business area
	• Provide hourly/daily performance statistics</v>
      </c>
      <c r="U1704" s="122" t="str">
        <v/>
      </c>
      <c r="V1704" s="42"/>
      <c r="W1704" s="42"/>
      <c r="X1704" s="42"/>
      <c r="Y1704" s="42"/>
      <c r="Z1704" s="42"/>
      <c r="AA1704" s="42"/>
      <c r="AB1704" s="42"/>
    </row>
    <row r="1705" spans="1:28" x14ac:dyDescent="0.25">
      <c r="A1705" s="42" t="str">
        <v>2.1.1.1.4</v>
      </c>
      <c r="B1705" s="121" t="str">
        <v>Customer Payments</v>
      </c>
      <c r="C1705" s="41">
        <v>5</v>
      </c>
      <c r="D1705" s="41" t="str">
        <v>RL</v>
      </c>
      <c r="E1705" s="117" t="str">
        <f t="shared" si="0"/>
        <v>RL</v>
      </c>
      <c r="F1705" s="41" t="str">
        <v/>
      </c>
      <c r="G1705" s="41" t="str">
        <v/>
      </c>
      <c r="H1705" s="117">
        <f t="shared" si="1"/>
        <v>0</v>
      </c>
      <c r="I1705" s="117">
        <f t="shared" si="2"/>
        <v>1</v>
      </c>
      <c r="J1705" s="117">
        <f t="shared" si="3"/>
        <v>1.01</v>
      </c>
      <c r="K1705" s="117" t="str">
        <f t="shared" si="4"/>
        <v>IR</v>
      </c>
      <c r="L1705" s="42" t="str">
        <v>IR0101</v>
      </c>
      <c r="M1705" s="121" t="str">
        <v/>
      </c>
      <c r="N1705" s="121" t="str">
        <v/>
      </c>
      <c r="O1705" s="121" t="str">
        <v/>
      </c>
      <c r="P1705" s="121" t="str">
        <v/>
      </c>
      <c r="Q1705" s="121" t="str">
        <v/>
      </c>
      <c r="R1705" s="121" t="str">
        <v/>
      </c>
      <c r="S1705" s="121" t="str">
        <v>Customer Payments</v>
      </c>
      <c r="T1705" s="119" t="str">
        <f>IF($C1705&lt;4,IF($C1705=3,T1706,IF($C1705=2,T$1,"")),Q1705&amp;R1705&amp;IF(LEN(S1705)=0,"",Preferences!$C$2&amp;S1705)&amp;IF(J1706=J1705,IF(LEN(R1705&amp;S1705)=0,"","
")&amp;T1706,""))</f>
        <v xml:space="preserve">	• Customer Payments
 2. Each area's dashboard must:
	• Highlight the exceptions relevant to that business area
	• Provide hourly/daily performance statistics</v>
      </c>
      <c r="U1705" s="122" t="str">
        <v/>
      </c>
      <c r="V1705" s="42"/>
      <c r="W1705" s="42"/>
      <c r="X1705" s="42"/>
      <c r="Y1705" s="42"/>
      <c r="Z1705" s="42"/>
      <c r="AA1705" s="42"/>
      <c r="AB1705" s="42"/>
    </row>
    <row r="1706" spans="1:28" x14ac:dyDescent="0.25">
      <c r="A1706" s="42" t="str">
        <v>2.1.1.2</v>
      </c>
      <c r="B1706" s="121" t="str">
        <v>Each area's dashboard must:</v>
      </c>
      <c r="C1706" s="41">
        <v>4</v>
      </c>
      <c r="D1706" s="41" t="str">
        <v>RD</v>
      </c>
      <c r="E1706" s="117" t="str">
        <f t="shared" si="0"/>
        <v>RD</v>
      </c>
      <c r="F1706" s="41" t="str">
        <v/>
      </c>
      <c r="G1706" s="41" t="str">
        <v/>
      </c>
      <c r="H1706" s="117">
        <f t="shared" si="1"/>
        <v>0</v>
      </c>
      <c r="I1706" s="117">
        <f t="shared" si="2"/>
        <v>1</v>
      </c>
      <c r="J1706" s="117">
        <f t="shared" si="3"/>
        <v>1.01</v>
      </c>
      <c r="K1706" s="117" t="str">
        <f t="shared" si="4"/>
        <v>IR</v>
      </c>
      <c r="L1706" s="42" t="str">
        <v>IR0101</v>
      </c>
      <c r="M1706" s="121" t="str">
        <v/>
      </c>
      <c r="N1706" s="121" t="str">
        <v/>
      </c>
      <c r="O1706" s="121" t="str">
        <v/>
      </c>
      <c r="P1706" s="121" t="str">
        <v/>
      </c>
      <c r="Q1706" s="121" t="str">
        <v xml:space="preserve"> 2. </v>
      </c>
      <c r="R1706" s="121" t="str">
        <v>Each area's dashboard must:</v>
      </c>
      <c r="S1706" s="121" t="str">
        <v/>
      </c>
      <c r="T1706" s="119" t="str">
        <f>IF($C1706&lt;4,IF($C1706=3,T1707,IF($C1706=2,T$1,"")),Q1706&amp;R1706&amp;IF(LEN(S1706)=0,"",Preferences!$C$2&amp;S1706)&amp;IF(J1707=J1706,IF(LEN(R1706&amp;S1706)=0,"","
")&amp;T1707,""))</f>
        <v xml:space="preserve"> 2. Each area's dashboard must:
	• Highlight the exceptions relevant to that business area
	• Provide hourly/daily performance statistics</v>
      </c>
      <c r="U1706" s="122" t="str">
        <v/>
      </c>
      <c r="V1706" s="42"/>
      <c r="W1706" s="42"/>
      <c r="X1706" s="42"/>
      <c r="Y1706" s="42"/>
      <c r="Z1706" s="42"/>
      <c r="AA1706" s="42"/>
      <c r="AB1706" s="42"/>
    </row>
    <row r="1707" spans="1:28" x14ac:dyDescent="0.25">
      <c r="A1707" s="42" t="str">
        <v>2.1.1.2.1</v>
      </c>
      <c r="B1707" s="121" t="str">
        <v>Highlight the exceptions relevant to that business area</v>
      </c>
      <c r="C1707" s="41">
        <v>5</v>
      </c>
      <c r="D1707" s="41" t="str">
        <v>RL</v>
      </c>
      <c r="E1707" s="117" t="str">
        <f t="shared" si="0"/>
        <v>RL</v>
      </c>
      <c r="F1707" s="41" t="str">
        <v/>
      </c>
      <c r="G1707" s="41" t="str">
        <v/>
      </c>
      <c r="H1707" s="117">
        <f t="shared" si="1"/>
        <v>0</v>
      </c>
      <c r="I1707" s="117">
        <f t="shared" si="2"/>
        <v>1</v>
      </c>
      <c r="J1707" s="117">
        <f t="shared" si="3"/>
        <v>1.01</v>
      </c>
      <c r="K1707" s="117" t="str">
        <f t="shared" si="4"/>
        <v>IR</v>
      </c>
      <c r="L1707" s="42" t="str">
        <v>IR0101</v>
      </c>
      <c r="M1707" s="121" t="str">
        <v/>
      </c>
      <c r="N1707" s="121" t="str">
        <v/>
      </c>
      <c r="O1707" s="121" t="str">
        <v/>
      </c>
      <c r="P1707" s="121" t="str">
        <v/>
      </c>
      <c r="Q1707" s="121" t="str">
        <v/>
      </c>
      <c r="R1707" s="121" t="str">
        <v/>
      </c>
      <c r="S1707" s="121" t="str">
        <v>Highlight the exceptions relevant to that business area</v>
      </c>
      <c r="T1707" s="119" t="str">
        <f>IF($C1707&lt;4,IF($C1707=3,T1708,IF($C1707=2,T$1,"")),Q1707&amp;R1707&amp;IF(LEN(S1707)=0,"",Preferences!$C$2&amp;S1707)&amp;IF(J1708=J1707,IF(LEN(R1707&amp;S1707)=0,"","
")&amp;T1708,""))</f>
        <v xml:space="preserve">	• Highlight the exceptions relevant to that business area
	• Provide hourly/daily performance statistics</v>
      </c>
      <c r="U1707" s="122" t="str">
        <v/>
      </c>
      <c r="V1707" s="42"/>
      <c r="W1707" s="42"/>
      <c r="X1707" s="42"/>
      <c r="Y1707" s="42"/>
      <c r="Z1707" s="42"/>
      <c r="AA1707" s="42"/>
      <c r="AB1707" s="42"/>
    </row>
    <row r="1708" spans="1:28" x14ac:dyDescent="0.25">
      <c r="A1708" s="42" t="str">
        <v>2.1.1.2.2</v>
      </c>
      <c r="B1708" s="121" t="str">
        <v>Provide hourly/daily performance statistics</v>
      </c>
      <c r="C1708" s="41">
        <v>5</v>
      </c>
      <c r="D1708" s="41" t="str">
        <v>RL</v>
      </c>
      <c r="E1708" s="117" t="str">
        <f t="shared" si="0"/>
        <v>RL</v>
      </c>
      <c r="F1708" s="41" t="str">
        <v/>
      </c>
      <c r="G1708" s="41" t="str">
        <v/>
      </c>
      <c r="H1708" s="117">
        <f t="shared" si="1"/>
        <v>0</v>
      </c>
      <c r="I1708" s="117">
        <f t="shared" si="2"/>
        <v>1</v>
      </c>
      <c r="J1708" s="117">
        <f t="shared" si="3"/>
        <v>1.01</v>
      </c>
      <c r="K1708" s="117" t="str">
        <f t="shared" si="4"/>
        <v>IR</v>
      </c>
      <c r="L1708" s="42" t="str">
        <v>IR0101</v>
      </c>
      <c r="M1708" s="121" t="str">
        <v/>
      </c>
      <c r="N1708" s="121" t="str">
        <v/>
      </c>
      <c r="O1708" s="121" t="str">
        <v/>
      </c>
      <c r="P1708" s="121" t="str">
        <v/>
      </c>
      <c r="Q1708" s="121" t="str">
        <v/>
      </c>
      <c r="R1708" s="121" t="str">
        <v/>
      </c>
      <c r="S1708" s="121" t="str">
        <v>Provide hourly/daily performance statistics</v>
      </c>
      <c r="T1708" s="119" t="str">
        <f>IF($C1708&lt;4,IF($C1708=3,T1709,IF($C1708=2,T$1,"")),Q1708&amp;R1708&amp;IF(LEN(S1708)=0,"",Preferences!$C$2&amp;S1708)&amp;IF(J1709=J1708,IF(LEN(R1708&amp;S1708)=0,"","
")&amp;T1709,""))</f>
        <v xml:space="preserve">	• Provide hourly/daily performance statistics</v>
      </c>
      <c r="U1708" s="122" t="str">
        <v/>
      </c>
      <c r="V1708" s="42"/>
      <c r="W1708" s="42"/>
      <c r="X1708" s="42"/>
      <c r="Y1708" s="42"/>
      <c r="Z1708" s="42"/>
      <c r="AA1708" s="42"/>
      <c r="AB1708" s="42"/>
    </row>
    <row r="1709" spans="1:28" x14ac:dyDescent="0.25">
      <c r="A1709" s="42" t="str">
        <v>2.1.2</v>
      </c>
      <c r="B1709" s="121" t="str">
        <v>1.2 Provide operational performance and exception reports</v>
      </c>
      <c r="C1709" s="41">
        <v>3</v>
      </c>
      <c r="D1709" s="41" t="str">
        <v>R</v>
      </c>
      <c r="E1709" s="117" t="str">
        <f t="shared" si="0"/>
        <v>R</v>
      </c>
      <c r="F1709" s="41" t="str">
        <v/>
      </c>
      <c r="G1709" s="41" t="str">
        <v/>
      </c>
      <c r="H1709" s="117">
        <f t="shared" si="1"/>
        <v>0</v>
      </c>
      <c r="I1709" s="117">
        <f t="shared" si="2"/>
        <v>1</v>
      </c>
      <c r="J1709" s="117">
        <f t="shared" si="3"/>
        <v>1.02</v>
      </c>
      <c r="K1709" s="117" t="str">
        <f t="shared" si="4"/>
        <v>IR</v>
      </c>
      <c r="L1709" s="42" t="str">
        <v>IR0102</v>
      </c>
      <c r="M1709" s="121" t="str">
        <v/>
      </c>
      <c r="N1709" s="121" t="str">
        <v/>
      </c>
      <c r="O1709" s="121" t="str">
        <v>IR0102</v>
      </c>
      <c r="P1709" s="121" t="str">
        <v>Provide operational performance and exception reports</v>
      </c>
      <c r="Q1709" s="121" t="str">
        <v/>
      </c>
      <c r="R1709" s="121" t="str">
        <v/>
      </c>
      <c r="S1709" s="121" t="str">
        <v/>
      </c>
      <c r="T1709" s="119" t="str">
        <f>IF($C1709&lt;4,IF($C1709=3,T1710,IF($C1709=2,T$1,"")),Q1709&amp;R1709&amp;IF(LEN(S1709)=0,"",Preferences!$C$2&amp;S1709)&amp;IF(J1710=J1709,IF(LEN(R1709&amp;S1709)=0,"","
")&amp;T1710,""))</f>
        <v xml:space="preserve"> 1. Provide operational performance and exception reporting for use by the following roles:
	• Promotions Manager
	• Product Manager
	• Orders Manager
	• Fulfilment Manager
	• Contact Centre agents and supervisor
	• Customer Payments Manager
	• Finance</v>
      </c>
      <c r="U1709" s="122" t="str">
        <v/>
      </c>
      <c r="V1709" s="42"/>
      <c r="W1709" s="42"/>
      <c r="X1709" s="42"/>
      <c r="Y1709" s="42"/>
      <c r="Z1709" s="42"/>
      <c r="AA1709" s="42"/>
      <c r="AB1709" s="42"/>
    </row>
    <row r="1710" spans="1:28" x14ac:dyDescent="0.25">
      <c r="A1710" s="42" t="str">
        <v>2.1.2.1</v>
      </c>
      <c r="B1710" s="121" t="str">
        <v>Provide operational performance and exception reporting for use by the following roles:</v>
      </c>
      <c r="C1710" s="41">
        <v>4</v>
      </c>
      <c r="D1710" s="41" t="str">
        <v>RD</v>
      </c>
      <c r="E1710" s="117" t="str">
        <f t="shared" si="0"/>
        <v>RD</v>
      </c>
      <c r="F1710" s="41" t="str">
        <v/>
      </c>
      <c r="G1710" s="41" t="str">
        <v/>
      </c>
      <c r="H1710" s="117">
        <f t="shared" si="1"/>
        <v>0</v>
      </c>
      <c r="I1710" s="117">
        <f t="shared" si="2"/>
        <v>1</v>
      </c>
      <c r="J1710" s="117">
        <f t="shared" si="3"/>
        <v>1.02</v>
      </c>
      <c r="K1710" s="117" t="str">
        <f t="shared" si="4"/>
        <v>IR</v>
      </c>
      <c r="L1710" s="42" t="str">
        <v>IR0102</v>
      </c>
      <c r="M1710" s="121" t="str">
        <v/>
      </c>
      <c r="N1710" s="121" t="str">
        <v/>
      </c>
      <c r="O1710" s="121" t="str">
        <v/>
      </c>
      <c r="P1710" s="121" t="str">
        <v/>
      </c>
      <c r="Q1710" s="121" t="str">
        <v xml:space="preserve"> 1. </v>
      </c>
      <c r="R1710" s="121" t="str">
        <v>Provide operational performance and exception reporting for use by the following roles:</v>
      </c>
      <c r="S1710" s="121" t="str">
        <v/>
      </c>
      <c r="T1710" s="119" t="str">
        <f>IF($C1710&lt;4,IF($C1710=3,T1711,IF($C1710=2,T$1,"")),Q1710&amp;R1710&amp;IF(LEN(S1710)=0,"",Preferences!$C$2&amp;S1710)&amp;IF(J1711=J1710,IF(LEN(R1710&amp;S1710)=0,"","
")&amp;T1711,""))</f>
        <v xml:space="preserve"> 1. Provide operational performance and exception reporting for use by the following roles:
	• Promotions Manager
	• Product Manager
	• Orders Manager
	• Fulfilment Manager
	• Contact Centre agents and supervisor
	• Customer Payments Manager
	• Finance</v>
      </c>
      <c r="U1710" s="122" t="str">
        <v/>
      </c>
      <c r="V1710" s="42"/>
      <c r="W1710" s="42"/>
      <c r="X1710" s="42"/>
      <c r="Y1710" s="42"/>
      <c r="Z1710" s="42"/>
      <c r="AA1710" s="42"/>
      <c r="AB1710" s="42"/>
    </row>
    <row r="1711" spans="1:28" x14ac:dyDescent="0.25">
      <c r="A1711" s="42" t="str">
        <v>2.1.2.1.1</v>
      </c>
      <c r="B1711" s="121" t="str">
        <v>Promotions Manager</v>
      </c>
      <c r="C1711" s="41">
        <v>5</v>
      </c>
      <c r="D1711" s="41" t="str">
        <v>RL</v>
      </c>
      <c r="E1711" s="117" t="str">
        <f t="shared" si="0"/>
        <v>RL</v>
      </c>
      <c r="F1711" s="41" t="str">
        <v/>
      </c>
      <c r="G1711" s="41" t="str">
        <v/>
      </c>
      <c r="H1711" s="117">
        <f t="shared" si="1"/>
        <v>0</v>
      </c>
      <c r="I1711" s="117">
        <f t="shared" si="2"/>
        <v>1</v>
      </c>
      <c r="J1711" s="117">
        <f t="shared" si="3"/>
        <v>1.02</v>
      </c>
      <c r="K1711" s="117" t="str">
        <f t="shared" si="4"/>
        <v>IR</v>
      </c>
      <c r="L1711" s="42" t="str">
        <v>IR0102</v>
      </c>
      <c r="M1711" s="121" t="str">
        <v/>
      </c>
      <c r="N1711" s="121" t="str">
        <v/>
      </c>
      <c r="O1711" s="121" t="str">
        <v/>
      </c>
      <c r="P1711" s="121" t="str">
        <v/>
      </c>
      <c r="Q1711" s="121" t="str">
        <v/>
      </c>
      <c r="R1711" s="121" t="str">
        <v/>
      </c>
      <c r="S1711" s="121" t="str">
        <v>Promotions Manager</v>
      </c>
      <c r="T1711" s="119" t="str">
        <f>IF($C1711&lt;4,IF($C1711=3,T1712,IF($C1711=2,T$1,"")),Q1711&amp;R1711&amp;IF(LEN(S1711)=0,"",Preferences!$C$2&amp;S1711)&amp;IF(J1712=J1711,IF(LEN(R1711&amp;S1711)=0,"","
")&amp;T1712,""))</f>
        <v xml:space="preserve">	• Promotions Manager
	• Product Manager
	• Orders Manager
	• Fulfilment Manager
	• Contact Centre agents and supervisor
	• Customer Payments Manager
	• Finance</v>
      </c>
      <c r="U1711" s="122" t="str">
        <v/>
      </c>
      <c r="V1711" s="42"/>
      <c r="W1711" s="42"/>
      <c r="X1711" s="42"/>
      <c r="Y1711" s="42"/>
      <c r="Z1711" s="42"/>
      <c r="AA1711" s="42"/>
      <c r="AB1711" s="42"/>
    </row>
    <row r="1712" spans="1:28" x14ac:dyDescent="0.25">
      <c r="A1712" s="42" t="str">
        <v>2.1.2.1.2</v>
      </c>
      <c r="B1712" s="121" t="str">
        <v>Product Manager</v>
      </c>
      <c r="C1712" s="41">
        <v>5</v>
      </c>
      <c r="D1712" s="41" t="str">
        <v>RL</v>
      </c>
      <c r="E1712" s="117" t="str">
        <f t="shared" si="0"/>
        <v>RL</v>
      </c>
      <c r="F1712" s="41" t="str">
        <v/>
      </c>
      <c r="G1712" s="41" t="str">
        <v/>
      </c>
      <c r="H1712" s="117">
        <f t="shared" si="1"/>
        <v>0</v>
      </c>
      <c r="I1712" s="117">
        <f t="shared" si="2"/>
        <v>1</v>
      </c>
      <c r="J1712" s="117">
        <f t="shared" si="3"/>
        <v>1.02</v>
      </c>
      <c r="K1712" s="117" t="str">
        <f t="shared" si="4"/>
        <v>IR</v>
      </c>
      <c r="L1712" s="42" t="str">
        <v>IR0102</v>
      </c>
      <c r="M1712" s="121" t="str">
        <v/>
      </c>
      <c r="N1712" s="121" t="str">
        <v/>
      </c>
      <c r="O1712" s="121" t="str">
        <v/>
      </c>
      <c r="P1712" s="121" t="str">
        <v/>
      </c>
      <c r="Q1712" s="121" t="str">
        <v/>
      </c>
      <c r="R1712" s="121" t="str">
        <v/>
      </c>
      <c r="S1712" s="121" t="str">
        <v>Product Manager</v>
      </c>
      <c r="T1712" s="119" t="str">
        <f>IF($C1712&lt;4,IF($C1712=3,T1713,IF($C1712=2,T$1,"")),Q1712&amp;R1712&amp;IF(LEN(S1712)=0,"",Preferences!$C$2&amp;S1712)&amp;IF(J1713=J1712,IF(LEN(R1712&amp;S1712)=0,"","
")&amp;T1713,""))</f>
        <v xml:space="preserve">	• Product Manager
	• Orders Manager
	• Fulfilment Manager
	• Contact Centre agents and supervisor
	• Customer Payments Manager
	• Finance</v>
      </c>
      <c r="U1712" s="122" t="str">
        <v/>
      </c>
      <c r="V1712" s="42"/>
      <c r="W1712" s="42"/>
      <c r="X1712" s="42"/>
      <c r="Y1712" s="42"/>
      <c r="Z1712" s="42"/>
      <c r="AA1712" s="42"/>
      <c r="AB1712" s="42"/>
    </row>
    <row r="1713" spans="1:28" x14ac:dyDescent="0.25">
      <c r="A1713" s="42" t="str">
        <v>2.1.2.1.3</v>
      </c>
      <c r="B1713" s="121" t="str">
        <v>Orders Manager</v>
      </c>
      <c r="C1713" s="41">
        <v>5</v>
      </c>
      <c r="D1713" s="41" t="str">
        <v>RL</v>
      </c>
      <c r="E1713" s="117" t="str">
        <f t="shared" si="0"/>
        <v>RL</v>
      </c>
      <c r="F1713" s="41" t="str">
        <v/>
      </c>
      <c r="G1713" s="41" t="str">
        <v/>
      </c>
      <c r="H1713" s="117">
        <f t="shared" si="1"/>
        <v>0</v>
      </c>
      <c r="I1713" s="117">
        <f t="shared" si="2"/>
        <v>1</v>
      </c>
      <c r="J1713" s="117">
        <f t="shared" si="3"/>
        <v>1.02</v>
      </c>
      <c r="K1713" s="117" t="str">
        <f t="shared" si="4"/>
        <v>IR</v>
      </c>
      <c r="L1713" s="42" t="str">
        <v>IR0102</v>
      </c>
      <c r="M1713" s="121" t="str">
        <v/>
      </c>
      <c r="N1713" s="121" t="str">
        <v/>
      </c>
      <c r="O1713" s="121" t="str">
        <v/>
      </c>
      <c r="P1713" s="121" t="str">
        <v/>
      </c>
      <c r="Q1713" s="121" t="str">
        <v/>
      </c>
      <c r="R1713" s="121" t="str">
        <v/>
      </c>
      <c r="S1713" s="121" t="str">
        <v>Orders Manager</v>
      </c>
      <c r="T1713" s="119" t="str">
        <f>IF($C1713&lt;4,IF($C1713=3,T1714,IF($C1713=2,T$1,"")),Q1713&amp;R1713&amp;IF(LEN(S1713)=0,"",Preferences!$C$2&amp;S1713)&amp;IF(J1714=J1713,IF(LEN(R1713&amp;S1713)=0,"","
")&amp;T1714,""))</f>
        <v xml:space="preserve">	• Orders Manager
	• Fulfilment Manager
	• Contact Centre agents and supervisor
	• Customer Payments Manager
	• Finance</v>
      </c>
      <c r="U1713" s="122" t="str">
        <v/>
      </c>
      <c r="V1713" s="42"/>
      <c r="W1713" s="42"/>
      <c r="X1713" s="42"/>
      <c r="Y1713" s="42"/>
      <c r="Z1713" s="42"/>
      <c r="AA1713" s="42"/>
      <c r="AB1713" s="42"/>
    </row>
    <row r="1714" spans="1:28" x14ac:dyDescent="0.25">
      <c r="A1714" s="42" t="str">
        <v>2.1.2.1.4</v>
      </c>
      <c r="B1714" s="121" t="str">
        <v>Fulfilment Manager</v>
      </c>
      <c r="C1714" s="41">
        <v>5</v>
      </c>
      <c r="D1714" s="41" t="str">
        <v>RL</v>
      </c>
      <c r="E1714" s="117" t="str">
        <f t="shared" si="0"/>
        <v>RL</v>
      </c>
      <c r="F1714" s="41" t="str">
        <v/>
      </c>
      <c r="G1714" s="41" t="str">
        <v/>
      </c>
      <c r="H1714" s="117">
        <f t="shared" si="1"/>
        <v>0</v>
      </c>
      <c r="I1714" s="117">
        <f t="shared" si="2"/>
        <v>1</v>
      </c>
      <c r="J1714" s="117">
        <f t="shared" si="3"/>
        <v>1.02</v>
      </c>
      <c r="K1714" s="117" t="str">
        <f t="shared" si="4"/>
        <v>IR</v>
      </c>
      <c r="L1714" s="42" t="str">
        <v>IR0102</v>
      </c>
      <c r="M1714" s="121" t="str">
        <v/>
      </c>
      <c r="N1714" s="121" t="str">
        <v/>
      </c>
      <c r="O1714" s="121" t="str">
        <v/>
      </c>
      <c r="P1714" s="121" t="str">
        <v/>
      </c>
      <c r="Q1714" s="121" t="str">
        <v/>
      </c>
      <c r="R1714" s="121" t="str">
        <v/>
      </c>
      <c r="S1714" s="121" t="str">
        <v>Fulfilment Manager</v>
      </c>
      <c r="T1714" s="119" t="str">
        <f>IF($C1714&lt;4,IF($C1714=3,T1715,IF($C1714=2,T$1,"")),Q1714&amp;R1714&amp;IF(LEN(S1714)=0,"",Preferences!$C$2&amp;S1714)&amp;IF(J1715=J1714,IF(LEN(R1714&amp;S1714)=0,"","
")&amp;T1715,""))</f>
        <v xml:space="preserve">	• Fulfilment Manager
	• Contact Centre agents and supervisor
	• Customer Payments Manager
	• Finance</v>
      </c>
      <c r="U1714" s="122" t="str">
        <v/>
      </c>
      <c r="V1714" s="42"/>
      <c r="W1714" s="42"/>
      <c r="X1714" s="42"/>
      <c r="Y1714" s="42"/>
      <c r="Z1714" s="42"/>
      <c r="AA1714" s="42"/>
      <c r="AB1714" s="42"/>
    </row>
    <row r="1715" spans="1:28" x14ac:dyDescent="0.25">
      <c r="A1715" s="42" t="str">
        <v>2.1.2.1.5</v>
      </c>
      <c r="B1715" s="121" t="str">
        <v>Contact Centre agents and supervisor</v>
      </c>
      <c r="C1715" s="41">
        <v>5</v>
      </c>
      <c r="D1715" s="41" t="str">
        <v>RL</v>
      </c>
      <c r="E1715" s="117" t="str">
        <f t="shared" si="0"/>
        <v>RL</v>
      </c>
      <c r="F1715" s="41" t="str">
        <v/>
      </c>
      <c r="G1715" s="41" t="str">
        <v/>
      </c>
      <c r="H1715" s="117">
        <f t="shared" si="1"/>
        <v>0</v>
      </c>
      <c r="I1715" s="117">
        <f t="shared" si="2"/>
        <v>1</v>
      </c>
      <c r="J1715" s="117">
        <f t="shared" si="3"/>
        <v>1.02</v>
      </c>
      <c r="K1715" s="117" t="str">
        <f t="shared" si="4"/>
        <v>IR</v>
      </c>
      <c r="L1715" s="42" t="str">
        <v>IR0102</v>
      </c>
      <c r="M1715" s="121" t="str">
        <v/>
      </c>
      <c r="N1715" s="121" t="str">
        <v/>
      </c>
      <c r="O1715" s="121" t="str">
        <v/>
      </c>
      <c r="P1715" s="121" t="str">
        <v/>
      </c>
      <c r="Q1715" s="121" t="str">
        <v/>
      </c>
      <c r="R1715" s="121" t="str">
        <v/>
      </c>
      <c r="S1715" s="121" t="str">
        <v>Contact Centre agents and supervisor</v>
      </c>
      <c r="T1715" s="119" t="str">
        <f>IF($C1715&lt;4,IF($C1715=3,T1716,IF($C1715=2,T$1,"")),Q1715&amp;R1715&amp;IF(LEN(S1715)=0,"",Preferences!$C$2&amp;S1715)&amp;IF(J1716=J1715,IF(LEN(R1715&amp;S1715)=0,"","
")&amp;T1716,""))</f>
        <v xml:space="preserve">	• Contact Centre agents and supervisor
	• Customer Payments Manager
	• Finance</v>
      </c>
      <c r="U1715" s="122" t="str">
        <v/>
      </c>
      <c r="V1715" s="42"/>
      <c r="W1715" s="42"/>
      <c r="X1715" s="42"/>
      <c r="Y1715" s="42"/>
      <c r="Z1715" s="42"/>
      <c r="AA1715" s="42"/>
      <c r="AB1715" s="42"/>
    </row>
    <row r="1716" spans="1:28" x14ac:dyDescent="0.25">
      <c r="A1716" s="42" t="str">
        <v>2.1.2.1.6</v>
      </c>
      <c r="B1716" s="121" t="str">
        <v>Customer Payments Manager</v>
      </c>
      <c r="C1716" s="41">
        <v>5</v>
      </c>
      <c r="D1716" s="41" t="str">
        <v>RL</v>
      </c>
      <c r="E1716" s="117" t="str">
        <f t="shared" si="0"/>
        <v>RL</v>
      </c>
      <c r="F1716" s="41" t="str">
        <v/>
      </c>
      <c r="G1716" s="41" t="str">
        <v/>
      </c>
      <c r="H1716" s="117">
        <f t="shared" si="1"/>
        <v>0</v>
      </c>
      <c r="I1716" s="117">
        <f t="shared" si="2"/>
        <v>1</v>
      </c>
      <c r="J1716" s="117">
        <f t="shared" si="3"/>
        <v>1.02</v>
      </c>
      <c r="K1716" s="117" t="str">
        <f t="shared" si="4"/>
        <v>IR</v>
      </c>
      <c r="L1716" s="42" t="str">
        <v>IR0102</v>
      </c>
      <c r="M1716" s="121" t="str">
        <v/>
      </c>
      <c r="N1716" s="121" t="str">
        <v/>
      </c>
      <c r="O1716" s="121" t="str">
        <v/>
      </c>
      <c r="P1716" s="121" t="str">
        <v/>
      </c>
      <c r="Q1716" s="121" t="str">
        <v/>
      </c>
      <c r="R1716" s="121" t="str">
        <v/>
      </c>
      <c r="S1716" s="121" t="str">
        <v>Customer Payments Manager</v>
      </c>
      <c r="T1716" s="119" t="str">
        <f>IF($C1716&lt;4,IF($C1716=3,T1717,IF($C1716=2,T$1,"")),Q1716&amp;R1716&amp;IF(LEN(S1716)=0,"",Preferences!$C$2&amp;S1716)&amp;IF(J1717=J1716,IF(LEN(R1716&amp;S1716)=0,"","
")&amp;T1717,""))</f>
        <v xml:space="preserve">	• Customer Payments Manager
	• Finance</v>
      </c>
      <c r="U1716" s="122" t="str">
        <v/>
      </c>
      <c r="V1716" s="42"/>
      <c r="W1716" s="42"/>
      <c r="X1716" s="42"/>
      <c r="Y1716" s="42"/>
      <c r="Z1716" s="42"/>
      <c r="AA1716" s="42"/>
      <c r="AB1716" s="42"/>
    </row>
    <row r="1717" spans="1:28" x14ac:dyDescent="0.25">
      <c r="A1717" s="42" t="str">
        <v>2.1.2.1.7</v>
      </c>
      <c r="B1717" s="121" t="str">
        <v>Finance</v>
      </c>
      <c r="C1717" s="41">
        <v>5</v>
      </c>
      <c r="D1717" s="41" t="str">
        <v>RL</v>
      </c>
      <c r="E1717" s="117" t="str">
        <f t="shared" si="0"/>
        <v>RL</v>
      </c>
      <c r="F1717" s="41" t="str">
        <v/>
      </c>
      <c r="G1717" s="41" t="str">
        <v/>
      </c>
      <c r="H1717" s="117">
        <f t="shared" si="1"/>
        <v>0</v>
      </c>
      <c r="I1717" s="117">
        <f t="shared" si="2"/>
        <v>1</v>
      </c>
      <c r="J1717" s="117">
        <f t="shared" si="3"/>
        <v>1.02</v>
      </c>
      <c r="K1717" s="117" t="str">
        <f t="shared" si="4"/>
        <v>IR</v>
      </c>
      <c r="L1717" s="42" t="str">
        <v>IR0102</v>
      </c>
      <c r="M1717" s="121" t="str">
        <v/>
      </c>
      <c r="N1717" s="121" t="str">
        <v/>
      </c>
      <c r="O1717" s="121" t="str">
        <v/>
      </c>
      <c r="P1717" s="121" t="str">
        <v/>
      </c>
      <c r="Q1717" s="121" t="str">
        <v/>
      </c>
      <c r="R1717" s="121" t="str">
        <v/>
      </c>
      <c r="S1717" s="121" t="str">
        <v>Finance</v>
      </c>
      <c r="T1717" s="119" t="str">
        <f>IF($C1717&lt;4,IF($C1717=3,T1718,IF($C1717=2,T$1,"")),Q1717&amp;R1717&amp;IF(LEN(S1717)=0,"",Preferences!$C$2&amp;S1717)&amp;IF(J1718=J1717,IF(LEN(R1717&amp;S1717)=0,"","
")&amp;T1718,""))</f>
        <v xml:space="preserve">	• Finance</v>
      </c>
      <c r="U1717" s="122" t="str">
        <v/>
      </c>
      <c r="V1717" s="42"/>
      <c r="W1717" s="42"/>
      <c r="X1717" s="42"/>
      <c r="Y1717" s="42"/>
      <c r="Z1717" s="42"/>
      <c r="AA1717" s="42"/>
      <c r="AB1717" s="42"/>
    </row>
    <row r="1718" spans="1:28" x14ac:dyDescent="0.25">
      <c r="A1718" s="42" t="str">
        <v>2.1.3</v>
      </c>
      <c r="B1718" s="121" t="str">
        <v>1.3 Report to suppliers on their product performance</v>
      </c>
      <c r="C1718" s="41">
        <v>3</v>
      </c>
      <c r="D1718" s="41" t="str">
        <v>R</v>
      </c>
      <c r="E1718" s="117" t="str">
        <f t="shared" si="0"/>
        <v>R</v>
      </c>
      <c r="F1718" s="41" t="str">
        <v/>
      </c>
      <c r="G1718" s="41" t="str">
        <v/>
      </c>
      <c r="H1718" s="117">
        <f t="shared" si="1"/>
        <v>0</v>
      </c>
      <c r="I1718" s="117">
        <f t="shared" si="2"/>
        <v>1</v>
      </c>
      <c r="J1718" s="117">
        <f t="shared" si="3"/>
        <v>1.03</v>
      </c>
      <c r="K1718" s="117" t="str">
        <f t="shared" si="4"/>
        <v>IR</v>
      </c>
      <c r="L1718" s="42" t="str">
        <v>IR0103</v>
      </c>
      <c r="M1718" s="121" t="str">
        <v/>
      </c>
      <c r="N1718" s="121" t="str">
        <v/>
      </c>
      <c r="O1718" s="121" t="str">
        <v>IR0103</v>
      </c>
      <c r="P1718" s="121" t="str">
        <v>Report to suppliers on their product performance</v>
      </c>
      <c r="Q1718" s="121" t="str">
        <v/>
      </c>
      <c r="R1718" s="121" t="str">
        <v/>
      </c>
      <c r="S1718" s="121" t="str">
        <v/>
      </c>
      <c r="T1718" s="119" t="str">
        <f>IF($C1718&lt;4,IF($C1718=3,T1719,IF($C1718=2,T$1,"")),Q1718&amp;R1718&amp;IF(LEN(S1718)=0,"",Preferences!$C$2&amp;S1718)&amp;IF(J1719=J1718,IF(LEN(R1718&amp;S1718)=0,"","
")&amp;T1719,""))</f>
        <v xml:space="preserve"> 1. Report to suppliers on their product performance, to cover the following:
	• Supplier product availability
	• Supplier product sales over time by category
	• Supplier product sales per meta-tag dimension
	• Supplier product sales per supplier advertisement and campaign
 2. Report to suppliers on key product metrics related to their contracted service levels, as detailed in the Product and Service Suppliers section</v>
      </c>
      <c r="U1718" s="122" t="str">
        <v/>
      </c>
      <c r="V1718" s="42"/>
      <c r="W1718" s="42"/>
      <c r="X1718" s="42"/>
      <c r="Y1718" s="42"/>
      <c r="Z1718" s="42"/>
      <c r="AA1718" s="42"/>
      <c r="AB1718" s="42"/>
    </row>
    <row r="1719" spans="1:28" x14ac:dyDescent="0.25">
      <c r="A1719" s="42" t="str">
        <v>2.1.3.1</v>
      </c>
      <c r="B1719" s="121" t="str">
        <v>Report to suppliers on their product performance, to cover the following:</v>
      </c>
      <c r="C1719" s="41">
        <v>4</v>
      </c>
      <c r="D1719" s="41" t="str">
        <v>RD</v>
      </c>
      <c r="E1719" s="117" t="str">
        <f t="shared" si="0"/>
        <v>RD</v>
      </c>
      <c r="F1719" s="41" t="str">
        <v/>
      </c>
      <c r="G1719" s="41" t="str">
        <v/>
      </c>
      <c r="H1719" s="117">
        <f t="shared" si="1"/>
        <v>0</v>
      </c>
      <c r="I1719" s="117">
        <f t="shared" si="2"/>
        <v>1</v>
      </c>
      <c r="J1719" s="117">
        <f t="shared" si="3"/>
        <v>1.03</v>
      </c>
      <c r="K1719" s="117" t="str">
        <f t="shared" si="4"/>
        <v>IR</v>
      </c>
      <c r="L1719" s="42" t="str">
        <v>IR0103</v>
      </c>
      <c r="M1719" s="121" t="str">
        <v/>
      </c>
      <c r="N1719" s="121" t="str">
        <v/>
      </c>
      <c r="O1719" s="121" t="str">
        <v/>
      </c>
      <c r="P1719" s="121" t="str">
        <v/>
      </c>
      <c r="Q1719" s="121" t="str">
        <v xml:space="preserve"> 1. </v>
      </c>
      <c r="R1719" s="121" t="str">
        <v>Report to suppliers on their product performance, to cover the following:</v>
      </c>
      <c r="S1719" s="121" t="str">
        <v/>
      </c>
      <c r="T1719" s="119" t="str">
        <f>IF($C1719&lt;4,IF($C1719=3,T1720,IF($C1719=2,T$1,"")),Q1719&amp;R1719&amp;IF(LEN(S1719)=0,"",Preferences!$C$2&amp;S1719)&amp;IF(J1720=J1719,IF(LEN(R1719&amp;S1719)=0,"","
")&amp;T1720,""))</f>
        <v xml:space="preserve"> 1. Report to suppliers on their product performance, to cover the following:
	• Supplier product availability
	• Supplier product sales over time by category
	• Supplier product sales per meta-tag dimension
	• Supplier product sales per supplier advertisement and campaign
 2. Report to suppliers on key product metrics related to their contracted service levels, as detailed in the Product and Service Suppliers section</v>
      </c>
      <c r="U1719" s="122" t="str">
        <v/>
      </c>
      <c r="V1719" s="42"/>
      <c r="W1719" s="42"/>
      <c r="X1719" s="42"/>
      <c r="Y1719" s="42"/>
      <c r="Z1719" s="42"/>
      <c r="AA1719" s="42"/>
      <c r="AB1719" s="42"/>
    </row>
    <row r="1720" spans="1:28" x14ac:dyDescent="0.25">
      <c r="A1720" s="42" t="str">
        <v>2.1.3.1.1</v>
      </c>
      <c r="B1720" s="121" t="str">
        <v>Supplier product availability</v>
      </c>
      <c r="C1720" s="41">
        <v>5</v>
      </c>
      <c r="D1720" s="41" t="str">
        <v>RL</v>
      </c>
      <c r="E1720" s="117" t="str">
        <f t="shared" si="0"/>
        <v>RL</v>
      </c>
      <c r="F1720" s="41" t="str">
        <v/>
      </c>
      <c r="G1720" s="41" t="str">
        <v/>
      </c>
      <c r="H1720" s="117">
        <f t="shared" si="1"/>
        <v>0</v>
      </c>
      <c r="I1720" s="117">
        <f t="shared" si="2"/>
        <v>1</v>
      </c>
      <c r="J1720" s="117">
        <f t="shared" si="3"/>
        <v>1.03</v>
      </c>
      <c r="K1720" s="117" t="str">
        <f t="shared" si="4"/>
        <v>IR</v>
      </c>
      <c r="L1720" s="42" t="str">
        <v>IR0103</v>
      </c>
      <c r="M1720" s="121" t="str">
        <v/>
      </c>
      <c r="N1720" s="121" t="str">
        <v/>
      </c>
      <c r="O1720" s="121" t="str">
        <v/>
      </c>
      <c r="P1720" s="121" t="str">
        <v/>
      </c>
      <c r="Q1720" s="121" t="str">
        <v/>
      </c>
      <c r="R1720" s="121" t="str">
        <v/>
      </c>
      <c r="S1720" s="121" t="str">
        <v>Supplier product availability</v>
      </c>
      <c r="T1720" s="119" t="str">
        <f>IF($C1720&lt;4,IF($C1720=3,T1721,IF($C1720=2,T$1,"")),Q1720&amp;R1720&amp;IF(LEN(S1720)=0,"",Preferences!$C$2&amp;S1720)&amp;IF(J1721=J1720,IF(LEN(R1720&amp;S1720)=0,"","
")&amp;T1721,""))</f>
        <v xml:space="preserve">	• Supplier product availability
	• Supplier product sales over time by category
	• Supplier product sales per meta-tag dimension
	• Supplier product sales per supplier advertisement and campaign
 2. Report to suppliers on key product metrics related to their contracted service levels, as detailed in the Product and Service Suppliers section</v>
      </c>
      <c r="U1720" s="122" t="str">
        <v/>
      </c>
      <c r="V1720" s="42"/>
      <c r="W1720" s="42"/>
      <c r="X1720" s="42"/>
      <c r="Y1720" s="42"/>
      <c r="Z1720" s="42"/>
      <c r="AA1720" s="42"/>
      <c r="AB1720" s="42"/>
    </row>
    <row r="1721" spans="1:28" x14ac:dyDescent="0.25">
      <c r="A1721" s="42" t="str">
        <v>2.1.3.1.2</v>
      </c>
      <c r="B1721" s="121" t="str">
        <v>Supplier product sales over time by category</v>
      </c>
      <c r="C1721" s="41">
        <v>5</v>
      </c>
      <c r="D1721" s="41" t="str">
        <v>RL</v>
      </c>
      <c r="E1721" s="117" t="str">
        <f t="shared" si="0"/>
        <v>RL</v>
      </c>
      <c r="F1721" s="41" t="str">
        <v/>
      </c>
      <c r="G1721" s="41" t="str">
        <v/>
      </c>
      <c r="H1721" s="117">
        <f t="shared" si="1"/>
        <v>0</v>
      </c>
      <c r="I1721" s="117">
        <f t="shared" si="2"/>
        <v>1</v>
      </c>
      <c r="J1721" s="117">
        <f t="shared" si="3"/>
        <v>1.03</v>
      </c>
      <c r="K1721" s="117" t="str">
        <f t="shared" si="4"/>
        <v>IR</v>
      </c>
      <c r="L1721" s="42" t="str">
        <v>IR0103</v>
      </c>
      <c r="M1721" s="121" t="str">
        <v/>
      </c>
      <c r="N1721" s="121" t="str">
        <v/>
      </c>
      <c r="O1721" s="121" t="str">
        <v/>
      </c>
      <c r="P1721" s="121" t="str">
        <v/>
      </c>
      <c r="Q1721" s="121" t="str">
        <v/>
      </c>
      <c r="R1721" s="121" t="str">
        <v/>
      </c>
      <c r="S1721" s="121" t="str">
        <v>Supplier product sales over time by category</v>
      </c>
      <c r="T1721" s="119" t="str">
        <f>IF($C1721&lt;4,IF($C1721=3,T1722,IF($C1721=2,T$1,"")),Q1721&amp;R1721&amp;IF(LEN(S1721)=0,"",Preferences!$C$2&amp;S1721)&amp;IF(J1722=J1721,IF(LEN(R1721&amp;S1721)=0,"","
")&amp;T1722,""))</f>
        <v xml:space="preserve">	• Supplier product sales over time by category
	• Supplier product sales per meta-tag dimension
	• Supplier product sales per supplier advertisement and campaign
 2. Report to suppliers on key product metrics related to their contracted service levels, as detailed in the Product and Service Suppliers section</v>
      </c>
      <c r="U1721" s="122" t="str">
        <v/>
      </c>
      <c r="V1721" s="42"/>
      <c r="W1721" s="42"/>
      <c r="X1721" s="42"/>
      <c r="Y1721" s="42"/>
      <c r="Z1721" s="42"/>
      <c r="AA1721" s="42"/>
      <c r="AB1721" s="42"/>
    </row>
    <row r="1722" spans="1:28" x14ac:dyDescent="0.25">
      <c r="A1722" s="42" t="str">
        <v>2.1.3.1.3</v>
      </c>
      <c r="B1722" s="121" t="str">
        <v>Supplier product sales per meta-tag dimension</v>
      </c>
      <c r="C1722" s="41">
        <v>5</v>
      </c>
      <c r="D1722" s="41" t="str">
        <v>RL</v>
      </c>
      <c r="E1722" s="117" t="str">
        <f t="shared" si="0"/>
        <v>RL</v>
      </c>
      <c r="F1722" s="41" t="str">
        <v/>
      </c>
      <c r="G1722" s="41" t="str">
        <v/>
      </c>
      <c r="H1722" s="117">
        <f t="shared" si="1"/>
        <v>0</v>
      </c>
      <c r="I1722" s="117">
        <f t="shared" si="2"/>
        <v>1</v>
      </c>
      <c r="J1722" s="117">
        <f t="shared" si="3"/>
        <v>1.03</v>
      </c>
      <c r="K1722" s="117" t="str">
        <f t="shared" si="4"/>
        <v>IR</v>
      </c>
      <c r="L1722" s="42" t="str">
        <v>IR0103</v>
      </c>
      <c r="M1722" s="121" t="str">
        <v/>
      </c>
      <c r="N1722" s="121" t="str">
        <v/>
      </c>
      <c r="O1722" s="121" t="str">
        <v/>
      </c>
      <c r="P1722" s="121" t="str">
        <v/>
      </c>
      <c r="Q1722" s="121" t="str">
        <v/>
      </c>
      <c r="R1722" s="121" t="str">
        <v/>
      </c>
      <c r="S1722" s="121" t="str">
        <v>Supplier product sales per meta-tag dimension</v>
      </c>
      <c r="T1722" s="119" t="str">
        <f>IF($C1722&lt;4,IF($C1722=3,T1723,IF($C1722=2,T$1,"")),Q1722&amp;R1722&amp;IF(LEN(S1722)=0,"",Preferences!$C$2&amp;S1722)&amp;IF(J1723=J1722,IF(LEN(R1722&amp;S1722)=0,"","
")&amp;T1723,""))</f>
        <v xml:space="preserve">	• Supplier product sales per meta-tag dimension
	• Supplier product sales per supplier advertisement and campaign
 2. Report to suppliers on key product metrics related to their contracted service levels, as detailed in the Product and Service Suppliers section</v>
      </c>
      <c r="U1722" s="122" t="str">
        <v/>
      </c>
      <c r="V1722" s="42"/>
      <c r="W1722" s="42"/>
      <c r="X1722" s="42"/>
      <c r="Y1722" s="42"/>
      <c r="Z1722" s="42"/>
      <c r="AA1722" s="42"/>
      <c r="AB1722" s="42"/>
    </row>
    <row r="1723" spans="1:28" x14ac:dyDescent="0.25">
      <c r="A1723" s="42" t="str">
        <v>2.1.3.1.4</v>
      </c>
      <c r="B1723" s="121" t="str">
        <v>Supplier product sales per supplier advertisement and campaign</v>
      </c>
      <c r="C1723" s="41">
        <v>5</v>
      </c>
      <c r="D1723" s="41" t="str">
        <v>RL</v>
      </c>
      <c r="E1723" s="117" t="str">
        <f t="shared" si="0"/>
        <v>RL</v>
      </c>
      <c r="F1723" s="41" t="str">
        <v/>
      </c>
      <c r="G1723" s="41" t="str">
        <v/>
      </c>
      <c r="H1723" s="117">
        <f t="shared" si="1"/>
        <v>0</v>
      </c>
      <c r="I1723" s="117">
        <f t="shared" si="2"/>
        <v>1</v>
      </c>
      <c r="J1723" s="117">
        <f t="shared" si="3"/>
        <v>1.03</v>
      </c>
      <c r="K1723" s="117" t="str">
        <f t="shared" si="4"/>
        <v>IR</v>
      </c>
      <c r="L1723" s="42" t="str">
        <v>IR0103</v>
      </c>
      <c r="M1723" s="121" t="str">
        <v/>
      </c>
      <c r="N1723" s="121" t="str">
        <v/>
      </c>
      <c r="O1723" s="121" t="str">
        <v/>
      </c>
      <c r="P1723" s="121" t="str">
        <v/>
      </c>
      <c r="Q1723" s="121" t="str">
        <v/>
      </c>
      <c r="R1723" s="121" t="str">
        <v/>
      </c>
      <c r="S1723" s="121" t="str">
        <v>Supplier product sales per supplier advertisement and campaign</v>
      </c>
      <c r="T1723" s="119" t="str">
        <f>IF($C1723&lt;4,IF($C1723=3,T1724,IF($C1723=2,T$1,"")),Q1723&amp;R1723&amp;IF(LEN(S1723)=0,"",Preferences!$C$2&amp;S1723)&amp;IF(J1724=J1723,IF(LEN(R1723&amp;S1723)=0,"","
")&amp;T1724,""))</f>
        <v xml:space="preserve">	• Supplier product sales per supplier advertisement and campaign
 2. Report to suppliers on key product metrics related to their contracted service levels, as detailed in the Product and Service Suppliers section</v>
      </c>
      <c r="U1723" s="122" t="str">
        <v/>
      </c>
      <c r="V1723" s="42"/>
      <c r="W1723" s="42"/>
      <c r="X1723" s="42"/>
      <c r="Y1723" s="42"/>
      <c r="Z1723" s="42"/>
      <c r="AA1723" s="42"/>
      <c r="AB1723" s="42"/>
    </row>
    <row r="1724" spans="1:28" x14ac:dyDescent="0.25">
      <c r="A1724" s="42" t="str">
        <v>2.1.3.2</v>
      </c>
      <c r="B1724" s="121" t="str">
        <v>Report to suppliers on key product metrics related to their contracted service levels, as detailed in the Product and Service Suppliers section</v>
      </c>
      <c r="C1724" s="41">
        <v>4</v>
      </c>
      <c r="D1724" s="41" t="str">
        <v>RD</v>
      </c>
      <c r="E1724" s="117" t="str">
        <f t="shared" si="0"/>
        <v>RD</v>
      </c>
      <c r="F1724" s="41" t="str">
        <v/>
      </c>
      <c r="G1724" s="41" t="str">
        <v/>
      </c>
      <c r="H1724" s="117">
        <f t="shared" si="1"/>
        <v>0</v>
      </c>
      <c r="I1724" s="117">
        <f t="shared" si="2"/>
        <v>1</v>
      </c>
      <c r="J1724" s="117">
        <f t="shared" si="3"/>
        <v>1.03</v>
      </c>
      <c r="K1724" s="117" t="str">
        <f t="shared" si="4"/>
        <v>IR</v>
      </c>
      <c r="L1724" s="42" t="str">
        <v>IR0103</v>
      </c>
      <c r="M1724" s="121" t="str">
        <v/>
      </c>
      <c r="N1724" s="121" t="str">
        <v/>
      </c>
      <c r="O1724" s="121" t="str">
        <v/>
      </c>
      <c r="P1724" s="121" t="str">
        <v/>
      </c>
      <c r="Q1724" s="121" t="str">
        <v xml:space="preserve"> 2. </v>
      </c>
      <c r="R1724" s="121" t="str">
        <v>Report to suppliers on key product metrics related to their contracted service levels, as detailed in the Product and Service Suppliers section</v>
      </c>
      <c r="S1724" s="121" t="str">
        <v/>
      </c>
      <c r="T1724" s="119" t="str">
        <f>IF($C1724&lt;4,IF($C1724=3,T1725,IF($C1724=2,T$1,"")),Q1724&amp;R1724&amp;IF(LEN(S1724)=0,"",Preferences!$C$2&amp;S1724)&amp;IF(J1725=J1724,IF(LEN(R1724&amp;S1724)=0,"","
")&amp;T1725,""))</f>
        <v xml:space="preserve"> 2. Report to suppliers on key product metrics related to their contracted service levels, as detailed in the Product and Service Suppliers section</v>
      </c>
      <c r="U1724" s="122" t="str">
        <v/>
      </c>
      <c r="V1724" s="42"/>
      <c r="W1724" s="42"/>
      <c r="X1724" s="42"/>
      <c r="Y1724" s="42"/>
      <c r="Z1724" s="42"/>
      <c r="AA1724" s="42"/>
      <c r="AB1724" s="42"/>
    </row>
    <row r="1725" spans="1:28" x14ac:dyDescent="0.25">
      <c r="A1725" s="42" t="str">
        <v>2.1.4</v>
      </c>
      <c r="B1725" s="121" t="str">
        <v>1.4 Report to suppliers on their fulfilment performance</v>
      </c>
      <c r="C1725" s="41">
        <v>3</v>
      </c>
      <c r="D1725" s="41" t="str">
        <v>R</v>
      </c>
      <c r="E1725" s="117" t="str">
        <f t="shared" si="0"/>
        <v>R</v>
      </c>
      <c r="F1725" s="41" t="str">
        <v/>
      </c>
      <c r="G1725" s="41" t="str">
        <v/>
      </c>
      <c r="H1725" s="117">
        <f t="shared" si="1"/>
        <v>0</v>
      </c>
      <c r="I1725" s="117">
        <f t="shared" si="2"/>
        <v>1</v>
      </c>
      <c r="J1725" s="117">
        <f t="shared" si="3"/>
        <v>1.04</v>
      </c>
      <c r="K1725" s="117" t="str">
        <f t="shared" si="4"/>
        <v>IR</v>
      </c>
      <c r="L1725" s="42" t="str">
        <v>IR0104</v>
      </c>
      <c r="M1725" s="121" t="str">
        <v/>
      </c>
      <c r="N1725" s="121" t="str">
        <v/>
      </c>
      <c r="O1725" s="121" t="str">
        <v>IR0104</v>
      </c>
      <c r="P1725" s="121" t="str">
        <v>Report to suppliers on their fulfilment performance</v>
      </c>
      <c r="Q1725" s="121" t="str">
        <v/>
      </c>
      <c r="R1725" s="121" t="str">
        <v/>
      </c>
      <c r="S1725" s="121" t="str">
        <v/>
      </c>
      <c r="T1725" s="119" t="str">
        <f>IF($C1725&lt;4,IF($C1725=3,T1726,IF($C1725=2,T$1,"")),Q1725&amp;R1725&amp;IF(LEN(S1725)=0,"",Preferences!$C$2&amp;S1725)&amp;IF(J1726=J1725,IF(LEN(R1725&amp;S1725)=0,"","
")&amp;T1726,""))</f>
        <v xml:space="preserve"> 1. Report to suppliers on their fulfilment performance, to cover the following:
	• Supplier orders over time by product category
	• Supplier orders over time per supplier advertisement and campaign
	• Supplier order availability, order confirmation and fulfilment over time (including durations per satus)
 2. Report to suppliers on key fulfilment metrics related to their contracted service levels, as detailed in the Product and Service Suppliers section</v>
      </c>
      <c r="U1725" s="122" t="str">
        <v/>
      </c>
      <c r="V1725" s="42"/>
      <c r="W1725" s="42"/>
      <c r="X1725" s="42"/>
      <c r="Y1725" s="42"/>
      <c r="Z1725" s="42"/>
      <c r="AA1725" s="42"/>
      <c r="AB1725" s="42"/>
    </row>
    <row r="1726" spans="1:28" x14ac:dyDescent="0.25">
      <c r="A1726" s="42" t="str">
        <v>2.1.4.1</v>
      </c>
      <c r="B1726" s="121" t="str">
        <v>Report to suppliers on their fulfilment performance, to cover the following:</v>
      </c>
      <c r="C1726" s="41">
        <v>4</v>
      </c>
      <c r="D1726" s="41" t="str">
        <v>RD</v>
      </c>
      <c r="E1726" s="117" t="str">
        <f t="shared" si="0"/>
        <v>RD</v>
      </c>
      <c r="F1726" s="41" t="str">
        <v/>
      </c>
      <c r="G1726" s="41" t="str">
        <v/>
      </c>
      <c r="H1726" s="117">
        <f t="shared" si="1"/>
        <v>0</v>
      </c>
      <c r="I1726" s="117">
        <f t="shared" si="2"/>
        <v>1</v>
      </c>
      <c r="J1726" s="117">
        <f t="shared" si="3"/>
        <v>1.04</v>
      </c>
      <c r="K1726" s="117" t="str">
        <f t="shared" si="4"/>
        <v>IR</v>
      </c>
      <c r="L1726" s="42" t="str">
        <v>IR0104</v>
      </c>
      <c r="M1726" s="121" t="str">
        <v/>
      </c>
      <c r="N1726" s="121" t="str">
        <v/>
      </c>
      <c r="O1726" s="121" t="str">
        <v/>
      </c>
      <c r="P1726" s="121" t="str">
        <v/>
      </c>
      <c r="Q1726" s="121" t="str">
        <v xml:space="preserve"> 1. </v>
      </c>
      <c r="R1726" s="121" t="str">
        <v>Report to suppliers on their fulfilment performance, to cover the following:</v>
      </c>
      <c r="S1726" s="121" t="str">
        <v/>
      </c>
      <c r="T1726" s="119" t="str">
        <f>IF($C1726&lt;4,IF($C1726=3,T1727,IF($C1726=2,T$1,"")),Q1726&amp;R1726&amp;IF(LEN(S1726)=0,"",Preferences!$C$2&amp;S1726)&amp;IF(J1727=J1726,IF(LEN(R1726&amp;S1726)=0,"","
")&amp;T1727,""))</f>
        <v xml:space="preserve"> 1. Report to suppliers on their fulfilment performance, to cover the following:
	• Supplier orders over time by product category
	• Supplier orders over time per supplier advertisement and campaign
	• Supplier order availability, order confirmation and fulfilment over time (including durations per satus)
 2. Report to suppliers on key fulfilment metrics related to their contracted service levels, as detailed in the Product and Service Suppliers section</v>
      </c>
      <c r="U1726" s="122" t="str">
        <v/>
      </c>
      <c r="V1726" s="42"/>
      <c r="W1726" s="42"/>
      <c r="X1726" s="42"/>
      <c r="Y1726" s="42"/>
      <c r="Z1726" s="42"/>
      <c r="AA1726" s="42"/>
      <c r="AB1726" s="42"/>
    </row>
    <row r="1727" spans="1:28" x14ac:dyDescent="0.25">
      <c r="A1727" s="42" t="str">
        <v>2.1.4.1.1</v>
      </c>
      <c r="B1727" s="121" t="str">
        <v>Supplier orders over time by product category</v>
      </c>
      <c r="C1727" s="41">
        <v>5</v>
      </c>
      <c r="D1727" s="41" t="str">
        <v>RL</v>
      </c>
      <c r="E1727" s="117" t="str">
        <f t="shared" si="0"/>
        <v>RL</v>
      </c>
      <c r="F1727" s="41" t="str">
        <v/>
      </c>
      <c r="G1727" s="41" t="str">
        <v/>
      </c>
      <c r="H1727" s="117">
        <f t="shared" si="1"/>
        <v>0</v>
      </c>
      <c r="I1727" s="117">
        <f t="shared" si="2"/>
        <v>1</v>
      </c>
      <c r="J1727" s="117">
        <f t="shared" si="3"/>
        <v>1.04</v>
      </c>
      <c r="K1727" s="117" t="str">
        <f t="shared" si="4"/>
        <v>IR</v>
      </c>
      <c r="L1727" s="42" t="str">
        <v>IR0104</v>
      </c>
      <c r="M1727" s="121" t="str">
        <v/>
      </c>
      <c r="N1727" s="121" t="str">
        <v/>
      </c>
      <c r="O1727" s="121" t="str">
        <v/>
      </c>
      <c r="P1727" s="121" t="str">
        <v/>
      </c>
      <c r="Q1727" s="121" t="str">
        <v/>
      </c>
      <c r="R1727" s="121" t="str">
        <v/>
      </c>
      <c r="S1727" s="121" t="str">
        <v>Supplier orders over time by product category</v>
      </c>
      <c r="T1727" s="119" t="str">
        <f>IF($C1727&lt;4,IF($C1727=3,T1728,IF($C1727=2,T$1,"")),Q1727&amp;R1727&amp;IF(LEN(S1727)=0,"",Preferences!$C$2&amp;S1727)&amp;IF(J1728=J1727,IF(LEN(R1727&amp;S1727)=0,"","
")&amp;T1728,""))</f>
        <v xml:space="preserve">	• Supplier orders over time by product category
	• Supplier orders over time per supplier advertisement and campaign
	• Supplier order availability, order confirmation and fulfilment over time (including durations per satus)
 2. Report to suppliers on key fulfilment metrics related to their contracted service levels, as detailed in the Product and Service Suppliers section</v>
      </c>
      <c r="U1727" s="122" t="str">
        <v/>
      </c>
      <c r="V1727" s="42"/>
      <c r="W1727" s="42"/>
      <c r="X1727" s="42"/>
      <c r="Y1727" s="42"/>
      <c r="Z1727" s="42"/>
      <c r="AA1727" s="42"/>
      <c r="AB1727" s="42"/>
    </row>
    <row r="1728" spans="1:28" x14ac:dyDescent="0.25">
      <c r="A1728" s="42" t="str">
        <v>2.1.4.1.2</v>
      </c>
      <c r="B1728" s="121" t="str">
        <v>Supplier orders over time per supplier advertisement and campaign</v>
      </c>
      <c r="C1728" s="41">
        <v>5</v>
      </c>
      <c r="D1728" s="41" t="str">
        <v>RL</v>
      </c>
      <c r="E1728" s="117" t="str">
        <f t="shared" si="0"/>
        <v>RL</v>
      </c>
      <c r="F1728" s="41" t="str">
        <v/>
      </c>
      <c r="G1728" s="41" t="str">
        <v/>
      </c>
      <c r="H1728" s="117">
        <f t="shared" si="1"/>
        <v>0</v>
      </c>
      <c r="I1728" s="117">
        <f t="shared" si="2"/>
        <v>1</v>
      </c>
      <c r="J1728" s="117">
        <f t="shared" si="3"/>
        <v>1.04</v>
      </c>
      <c r="K1728" s="117" t="str">
        <f t="shared" si="4"/>
        <v>IR</v>
      </c>
      <c r="L1728" s="42" t="str">
        <v>IR0104</v>
      </c>
      <c r="M1728" s="121" t="str">
        <v/>
      </c>
      <c r="N1728" s="121" t="str">
        <v/>
      </c>
      <c r="O1728" s="121" t="str">
        <v/>
      </c>
      <c r="P1728" s="121" t="str">
        <v/>
      </c>
      <c r="Q1728" s="121" t="str">
        <v/>
      </c>
      <c r="R1728" s="121" t="str">
        <v/>
      </c>
      <c r="S1728" s="121" t="str">
        <v>Supplier orders over time per supplier advertisement and campaign</v>
      </c>
      <c r="T1728" s="119" t="str">
        <f>IF($C1728&lt;4,IF($C1728=3,T1729,IF($C1728=2,T$1,"")),Q1728&amp;R1728&amp;IF(LEN(S1728)=0,"",Preferences!$C$2&amp;S1728)&amp;IF(J1729=J1728,IF(LEN(R1728&amp;S1728)=0,"","
")&amp;T1729,""))</f>
        <v xml:space="preserve">	• Supplier orders over time per supplier advertisement and campaign
	• Supplier order availability, order confirmation and fulfilment over time (including durations per satus)
 2. Report to suppliers on key fulfilment metrics related to their contracted service levels, as detailed in the Product and Service Suppliers section</v>
      </c>
      <c r="U1728" s="122" t="str">
        <v/>
      </c>
      <c r="V1728" s="42"/>
      <c r="W1728" s="42"/>
      <c r="X1728" s="42"/>
      <c r="Y1728" s="42"/>
      <c r="Z1728" s="42"/>
      <c r="AA1728" s="42"/>
      <c r="AB1728" s="42"/>
    </row>
    <row r="1729" spans="1:28" x14ac:dyDescent="0.25">
      <c r="A1729" s="42" t="str">
        <v>2.1.4.1.3</v>
      </c>
      <c r="B1729" s="121" t="str">
        <v>Supplier order availability, order confirmation and fulfilment over time (including durations per satus)</v>
      </c>
      <c r="C1729" s="41">
        <v>5</v>
      </c>
      <c r="D1729" s="41" t="str">
        <v>RL</v>
      </c>
      <c r="E1729" s="117" t="str">
        <f t="shared" si="0"/>
        <v>RL</v>
      </c>
      <c r="F1729" s="41" t="str">
        <v/>
      </c>
      <c r="G1729" s="41" t="str">
        <v/>
      </c>
      <c r="H1729" s="117">
        <f t="shared" si="1"/>
        <v>0</v>
      </c>
      <c r="I1729" s="117">
        <f t="shared" si="2"/>
        <v>1</v>
      </c>
      <c r="J1729" s="117">
        <f t="shared" si="3"/>
        <v>1.04</v>
      </c>
      <c r="K1729" s="117" t="str">
        <f t="shared" si="4"/>
        <v>IR</v>
      </c>
      <c r="L1729" s="42" t="str">
        <v>IR0104</v>
      </c>
      <c r="M1729" s="121" t="str">
        <v/>
      </c>
      <c r="N1729" s="121" t="str">
        <v/>
      </c>
      <c r="O1729" s="121" t="str">
        <v/>
      </c>
      <c r="P1729" s="121" t="str">
        <v/>
      </c>
      <c r="Q1729" s="121" t="str">
        <v/>
      </c>
      <c r="R1729" s="121" t="str">
        <v/>
      </c>
      <c r="S1729" s="121" t="str">
        <v>Supplier order availability, order confirmation and fulfilment over time (including durations per satus)</v>
      </c>
      <c r="T1729" s="119" t="str">
        <f>IF($C1729&lt;4,IF($C1729=3,T1730,IF($C1729=2,T$1,"")),Q1729&amp;R1729&amp;IF(LEN(S1729)=0,"",Preferences!$C$2&amp;S1729)&amp;IF(J1730=J1729,IF(LEN(R1729&amp;S1729)=0,"","
")&amp;T1730,""))</f>
        <v xml:space="preserve">	• Supplier order availability, order confirmation and fulfilment over time (including durations per satus)
 2. Report to suppliers on key fulfilment metrics related to their contracted service levels, as detailed in the Product and Service Suppliers section</v>
      </c>
      <c r="U1729" s="122" t="str">
        <v/>
      </c>
      <c r="V1729" s="42"/>
      <c r="W1729" s="42"/>
      <c r="X1729" s="42"/>
      <c r="Y1729" s="42"/>
      <c r="Z1729" s="42"/>
      <c r="AA1729" s="42"/>
      <c r="AB1729" s="42"/>
    </row>
    <row r="1730" spans="1:28" x14ac:dyDescent="0.25">
      <c r="A1730" s="42" t="str">
        <v>2.1.4.2</v>
      </c>
      <c r="B1730" s="121" t="str">
        <v>Report to suppliers on key fulfilment metrics related to their contracted service levels, as detailed in the Product and Service Suppliers section</v>
      </c>
      <c r="C1730" s="41">
        <v>4</v>
      </c>
      <c r="D1730" s="41" t="str">
        <v>RD</v>
      </c>
      <c r="E1730" s="117" t="str">
        <f t="shared" si="0"/>
        <v>RD</v>
      </c>
      <c r="F1730" s="41" t="str">
        <v/>
      </c>
      <c r="G1730" s="41" t="str">
        <v/>
      </c>
      <c r="H1730" s="117">
        <f t="shared" si="1"/>
        <v>0</v>
      </c>
      <c r="I1730" s="117">
        <f t="shared" si="2"/>
        <v>1</v>
      </c>
      <c r="J1730" s="117">
        <f t="shared" si="3"/>
        <v>1.04</v>
      </c>
      <c r="K1730" s="117" t="str">
        <f t="shared" si="4"/>
        <v>IR</v>
      </c>
      <c r="L1730" s="42" t="str">
        <v>IR0104</v>
      </c>
      <c r="M1730" s="121" t="str">
        <v/>
      </c>
      <c r="N1730" s="121" t="str">
        <v/>
      </c>
      <c r="O1730" s="121" t="str">
        <v/>
      </c>
      <c r="P1730" s="121" t="str">
        <v/>
      </c>
      <c r="Q1730" s="121" t="str">
        <v xml:space="preserve"> 2. </v>
      </c>
      <c r="R1730" s="121" t="str">
        <v>Report to suppliers on key fulfilment metrics related to their contracted service levels, as detailed in the Product and Service Suppliers section</v>
      </c>
      <c r="S1730" s="121" t="str">
        <v/>
      </c>
      <c r="T1730" s="119" t="str">
        <f>IF($C1730&lt;4,IF($C1730=3,T1731,IF($C1730=2,T$1,"")),Q1730&amp;R1730&amp;IF(LEN(S1730)=0,"",Preferences!$C$2&amp;S1730)&amp;IF(J1731=J1730,IF(LEN(R1730&amp;S1730)=0,"","
")&amp;T1731,""))</f>
        <v xml:space="preserve"> 2. Report to suppliers on key fulfilment metrics related to their contracted service levels, as detailed in the Product and Service Suppliers section</v>
      </c>
      <c r="U1730" s="122" t="str">
        <v/>
      </c>
      <c r="V1730" s="42"/>
      <c r="W1730" s="42"/>
      <c r="X1730" s="42"/>
      <c r="Y1730" s="42"/>
      <c r="Z1730" s="42"/>
      <c r="AA1730" s="42"/>
      <c r="AB1730" s="42"/>
    </row>
    <row r="1731" spans="1:28" x14ac:dyDescent="0.25">
      <c r="A1731" s="42" t="str">
        <v>2.1.5</v>
      </c>
      <c r="B1731" s="121" t="str">
        <v>1.5 Report on advertisement activity</v>
      </c>
      <c r="C1731" s="41">
        <v>3</v>
      </c>
      <c r="D1731" s="41" t="str">
        <v>R</v>
      </c>
      <c r="E1731" s="117" t="str">
        <f t="shared" si="0"/>
        <v>R</v>
      </c>
      <c r="F1731" s="41" t="str">
        <v/>
      </c>
      <c r="G1731" s="41" t="str">
        <v/>
      </c>
      <c r="H1731" s="117">
        <f t="shared" si="1"/>
        <v>0</v>
      </c>
      <c r="I1731" s="117">
        <f t="shared" si="2"/>
        <v>1</v>
      </c>
      <c r="J1731" s="117">
        <f t="shared" si="3"/>
        <v>1.05</v>
      </c>
      <c r="K1731" s="117" t="str">
        <f t="shared" si="4"/>
        <v>IR</v>
      </c>
      <c r="L1731" s="42" t="str">
        <v>IR0105</v>
      </c>
      <c r="M1731" s="121" t="str">
        <v/>
      </c>
      <c r="N1731" s="121" t="str">
        <v/>
      </c>
      <c r="O1731" s="121" t="str">
        <v>IR0105</v>
      </c>
      <c r="P1731" s="121" t="str">
        <v>Report on advertisement activity</v>
      </c>
      <c r="Q1731" s="121" t="str">
        <v/>
      </c>
      <c r="R1731" s="121" t="str">
        <v/>
      </c>
      <c r="S1731" s="121" t="str">
        <v/>
      </c>
      <c r="T1731" s="119" t="str">
        <f>IF($C1731&lt;4,IF($C1731=3,T1732,IF($C1731=2,T$1,"")),Q1731&amp;R1731&amp;IF(LEN(S1731)=0,"",Preferences!$C$2&amp;S1731)&amp;IF(J1732=J1731,IF(LEN(R1731&amp;S1731)=0,"","
")&amp;T1732,""))</f>
        <v xml:space="preserve"> 1. Report on advertisement activity across at least the following dimensions:
	• Channel
	• Advertisement format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1" s="122" t="str">
        <v/>
      </c>
      <c r="V1731" s="42"/>
      <c r="W1731" s="42"/>
      <c r="X1731" s="42"/>
      <c r="Y1731" s="42"/>
      <c r="Z1731" s="42"/>
      <c r="AA1731" s="42"/>
      <c r="AB1731" s="42"/>
    </row>
    <row r="1732" spans="1:28" x14ac:dyDescent="0.25">
      <c r="A1732" s="42" t="str">
        <v>2.1.5.1</v>
      </c>
      <c r="B1732" s="121" t="str">
        <v>Report on advertisement activity across at least the following dimensions:</v>
      </c>
      <c r="C1732" s="41">
        <v>4</v>
      </c>
      <c r="D1732" s="41" t="str">
        <v>RD</v>
      </c>
      <c r="E1732" s="117" t="str">
        <f t="shared" si="0"/>
        <v>RD</v>
      </c>
      <c r="F1732" s="41" t="str">
        <v/>
      </c>
      <c r="G1732" s="41" t="str">
        <v/>
      </c>
      <c r="H1732" s="117">
        <f t="shared" si="1"/>
        <v>0</v>
      </c>
      <c r="I1732" s="117">
        <f t="shared" si="2"/>
        <v>1</v>
      </c>
      <c r="J1732" s="117">
        <f t="shared" si="3"/>
        <v>1.05</v>
      </c>
      <c r="K1732" s="117" t="str">
        <f t="shared" si="4"/>
        <v>IR</v>
      </c>
      <c r="L1732" s="42" t="str">
        <v>IR0105</v>
      </c>
      <c r="M1732" s="121" t="str">
        <v/>
      </c>
      <c r="N1732" s="121" t="str">
        <v/>
      </c>
      <c r="O1732" s="121" t="str">
        <v/>
      </c>
      <c r="P1732" s="121" t="str">
        <v/>
      </c>
      <c r="Q1732" s="121" t="str">
        <v xml:space="preserve"> 1. </v>
      </c>
      <c r="R1732" s="121" t="str">
        <v>Report on advertisement activity across at least the following dimensions:</v>
      </c>
      <c r="S1732" s="121" t="str">
        <v/>
      </c>
      <c r="T1732" s="119" t="str">
        <f>IF($C1732&lt;4,IF($C1732=3,T1733,IF($C1732=2,T$1,"")),Q1732&amp;R1732&amp;IF(LEN(S1732)=0,"",Preferences!$C$2&amp;S1732)&amp;IF(J1733=J1732,IF(LEN(R1732&amp;S1732)=0,"","
")&amp;T1733,""))</f>
        <v xml:space="preserve"> 1. Report on advertisement activity across at least the following dimensions:
	• Channel
	• Advertisement format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2" s="122" t="str">
        <v/>
      </c>
      <c r="V1732" s="42"/>
      <c r="W1732" s="42"/>
      <c r="X1732" s="42"/>
      <c r="Y1732" s="42"/>
      <c r="Z1732" s="42"/>
      <c r="AA1732" s="42"/>
      <c r="AB1732" s="42"/>
    </row>
    <row r="1733" spans="1:28" x14ac:dyDescent="0.25">
      <c r="A1733" s="42" t="str">
        <v>2.1.5.1.1</v>
      </c>
      <c r="B1733" s="121" t="str">
        <v>Channel</v>
      </c>
      <c r="C1733" s="41">
        <v>5</v>
      </c>
      <c r="D1733" s="41" t="str">
        <v>RL</v>
      </c>
      <c r="E1733" s="117" t="str">
        <f t="shared" si="0"/>
        <v>RL</v>
      </c>
      <c r="F1733" s="41" t="str">
        <v/>
      </c>
      <c r="G1733" s="41" t="str">
        <v/>
      </c>
      <c r="H1733" s="117">
        <f t="shared" si="1"/>
        <v>0</v>
      </c>
      <c r="I1733" s="117">
        <f t="shared" si="2"/>
        <v>1</v>
      </c>
      <c r="J1733" s="117">
        <f t="shared" si="3"/>
        <v>1.05</v>
      </c>
      <c r="K1733" s="117" t="str">
        <f t="shared" si="4"/>
        <v>IR</v>
      </c>
      <c r="L1733" s="42" t="str">
        <v>IR0105</v>
      </c>
      <c r="M1733" s="121" t="str">
        <v/>
      </c>
      <c r="N1733" s="121" t="str">
        <v/>
      </c>
      <c r="O1733" s="121" t="str">
        <v/>
      </c>
      <c r="P1733" s="121" t="str">
        <v/>
      </c>
      <c r="Q1733" s="121" t="str">
        <v/>
      </c>
      <c r="R1733" s="121" t="str">
        <v/>
      </c>
      <c r="S1733" s="121" t="str">
        <v>Channel</v>
      </c>
      <c r="T1733" s="119" t="str">
        <f>IF($C1733&lt;4,IF($C1733=3,T1734,IF($C1733=2,T$1,"")),Q1733&amp;R1733&amp;IF(LEN(S1733)=0,"",Preferences!$C$2&amp;S1733)&amp;IF(J1734=J1733,IF(LEN(R1733&amp;S1733)=0,"","
")&amp;T1734,""))</f>
        <v xml:space="preserve">	• Channel
	• Advertisement format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3" s="122" t="str">
        <v/>
      </c>
      <c r="V1733" s="42"/>
      <c r="W1733" s="42"/>
      <c r="X1733" s="42"/>
      <c r="Y1733" s="42"/>
      <c r="Z1733" s="42"/>
      <c r="AA1733" s="42"/>
      <c r="AB1733" s="42"/>
    </row>
    <row r="1734" spans="1:28" x14ac:dyDescent="0.25">
      <c r="A1734" s="42" t="str">
        <v>2.1.5.1.2</v>
      </c>
      <c r="B1734" s="121" t="str">
        <v>Advertisement format</v>
      </c>
      <c r="C1734" s="41">
        <v>5</v>
      </c>
      <c r="D1734" s="41" t="str">
        <v>RL</v>
      </c>
      <c r="E1734" s="117" t="str">
        <f t="shared" si="0"/>
        <v>RL</v>
      </c>
      <c r="F1734" s="41" t="str">
        <v/>
      </c>
      <c r="G1734" s="41" t="str">
        <v/>
      </c>
      <c r="H1734" s="117">
        <f t="shared" si="1"/>
        <v>0</v>
      </c>
      <c r="I1734" s="117">
        <f t="shared" si="2"/>
        <v>1</v>
      </c>
      <c r="J1734" s="117">
        <f t="shared" si="3"/>
        <v>1.05</v>
      </c>
      <c r="K1734" s="117" t="str">
        <f t="shared" si="4"/>
        <v>IR</v>
      </c>
      <c r="L1734" s="42" t="str">
        <v>IR0105</v>
      </c>
      <c r="M1734" s="121" t="str">
        <v/>
      </c>
      <c r="N1734" s="121" t="str">
        <v/>
      </c>
      <c r="O1734" s="121" t="str">
        <v/>
      </c>
      <c r="P1734" s="121" t="str">
        <v/>
      </c>
      <c r="Q1734" s="121" t="str">
        <v/>
      </c>
      <c r="R1734" s="121" t="str">
        <v/>
      </c>
      <c r="S1734" s="121" t="str">
        <v>Advertisement format</v>
      </c>
      <c r="T1734" s="119" t="str">
        <f>IF($C1734&lt;4,IF($C1734=3,T1735,IF($C1734=2,T$1,"")),Q1734&amp;R1734&amp;IF(LEN(S1734)=0,"",Preferences!$C$2&amp;S1734)&amp;IF(J1735=J1734,IF(LEN(R1734&amp;S1734)=0,"","
")&amp;T1735,""))</f>
        <v xml:space="preserve">	• Advertisement format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4" s="122" t="str">
        <v/>
      </c>
      <c r="V1734" s="42"/>
      <c r="W1734" s="42"/>
      <c r="X1734" s="42"/>
      <c r="Y1734" s="42"/>
      <c r="Z1734" s="42"/>
      <c r="AA1734" s="42"/>
      <c r="AB1734" s="42"/>
    </row>
    <row r="1735" spans="1:28" x14ac:dyDescent="0.25">
      <c r="A1735" s="42" t="str">
        <v>2.1.5.1.3</v>
      </c>
      <c r="B1735" s="121" t="str">
        <v>Campaign or special event</v>
      </c>
      <c r="C1735" s="41">
        <v>5</v>
      </c>
      <c r="D1735" s="41" t="str">
        <v>RL</v>
      </c>
      <c r="E1735" s="117" t="str">
        <f t="shared" si="0"/>
        <v>RL</v>
      </c>
      <c r="F1735" s="41" t="str">
        <v/>
      </c>
      <c r="G1735" s="41" t="str">
        <v/>
      </c>
      <c r="H1735" s="117">
        <f t="shared" si="1"/>
        <v>0</v>
      </c>
      <c r="I1735" s="117">
        <f t="shared" si="2"/>
        <v>1</v>
      </c>
      <c r="J1735" s="117">
        <f t="shared" si="3"/>
        <v>1.05</v>
      </c>
      <c r="K1735" s="117" t="str">
        <f t="shared" si="4"/>
        <v>IR</v>
      </c>
      <c r="L1735" s="42" t="str">
        <v>IR0105</v>
      </c>
      <c r="M1735" s="121" t="str">
        <v/>
      </c>
      <c r="N1735" s="121" t="str">
        <v/>
      </c>
      <c r="O1735" s="121" t="str">
        <v/>
      </c>
      <c r="P1735" s="121" t="str">
        <v/>
      </c>
      <c r="Q1735" s="121" t="str">
        <v/>
      </c>
      <c r="R1735" s="121" t="str">
        <v/>
      </c>
      <c r="S1735" s="121" t="str">
        <v>Campaign or special event</v>
      </c>
      <c r="T1735" s="119" t="str">
        <f>IF($C1735&lt;4,IF($C1735=3,T1736,IF($C1735=2,T$1,"")),Q1735&amp;R1735&amp;IF(LEN(S1735)=0,"",Preferences!$C$2&amp;S1735)&amp;IF(J1736=J1735,IF(LEN(R1735&amp;S1735)=0,"","
")&amp;T1736,""))</f>
        <v xml:space="preserve">	• Campaign or special event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5" s="122" t="str">
        <v/>
      </c>
      <c r="V1735" s="42"/>
      <c r="W1735" s="42"/>
      <c r="X1735" s="42"/>
      <c r="Y1735" s="42"/>
      <c r="Z1735" s="42"/>
      <c r="AA1735" s="42"/>
      <c r="AB1735" s="42"/>
    </row>
    <row r="1736" spans="1:28" x14ac:dyDescent="0.25">
      <c r="A1736" s="42" t="str">
        <v>2.1.5.1.4</v>
      </c>
      <c r="B1736" s="121" t="str">
        <v>Supplier</v>
      </c>
      <c r="C1736" s="41">
        <v>5</v>
      </c>
      <c r="D1736" s="41" t="str">
        <v>RL</v>
      </c>
      <c r="E1736" s="117" t="str">
        <f t="shared" si="0"/>
        <v>RL</v>
      </c>
      <c r="F1736" s="41" t="str">
        <v/>
      </c>
      <c r="G1736" s="41" t="str">
        <v/>
      </c>
      <c r="H1736" s="117">
        <f t="shared" si="1"/>
        <v>0</v>
      </c>
      <c r="I1736" s="117">
        <f t="shared" si="2"/>
        <v>1</v>
      </c>
      <c r="J1736" s="117">
        <f t="shared" si="3"/>
        <v>1.05</v>
      </c>
      <c r="K1736" s="117" t="str">
        <f t="shared" si="4"/>
        <v>IR</v>
      </c>
      <c r="L1736" s="42" t="str">
        <v>IR0105</v>
      </c>
      <c r="M1736" s="121" t="str">
        <v/>
      </c>
      <c r="N1736" s="121" t="str">
        <v/>
      </c>
      <c r="O1736" s="121" t="str">
        <v/>
      </c>
      <c r="P1736" s="121" t="str">
        <v/>
      </c>
      <c r="Q1736" s="121" t="str">
        <v/>
      </c>
      <c r="R1736" s="121" t="str">
        <v/>
      </c>
      <c r="S1736" s="121" t="str">
        <v>Supplier</v>
      </c>
      <c r="T1736" s="119" t="str">
        <f>IF($C1736&lt;4,IF($C1736=3,T1737,IF($C1736=2,T$1,"")),Q1736&amp;R1736&amp;IF(LEN(S1736)=0,"",Preferences!$C$2&amp;S1736)&amp;IF(J1737=J1736,IF(LEN(R1736&amp;S1736)=0,"","
")&amp;T1737,""))</f>
        <v xml:space="preserve">	• Supplier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6" s="122" t="str">
        <v/>
      </c>
      <c r="V1736" s="42"/>
      <c r="W1736" s="42"/>
      <c r="X1736" s="42"/>
      <c r="Y1736" s="42"/>
      <c r="Z1736" s="42"/>
      <c r="AA1736" s="42"/>
      <c r="AB1736" s="42"/>
    </row>
    <row r="1737" spans="1:28" x14ac:dyDescent="0.25">
      <c r="A1737" s="42" t="str">
        <v>2.1.5.1.5</v>
      </c>
      <c r="B1737" s="121" t="str">
        <v>Product category</v>
      </c>
      <c r="C1737" s="41">
        <v>5</v>
      </c>
      <c r="D1737" s="41" t="str">
        <v>RL</v>
      </c>
      <c r="E1737" s="117" t="str">
        <f t="shared" si="0"/>
        <v>RL</v>
      </c>
      <c r="F1737" s="41" t="str">
        <v/>
      </c>
      <c r="G1737" s="41" t="str">
        <v/>
      </c>
      <c r="H1737" s="117">
        <f t="shared" si="1"/>
        <v>0</v>
      </c>
      <c r="I1737" s="117">
        <f t="shared" si="2"/>
        <v>1</v>
      </c>
      <c r="J1737" s="117">
        <f t="shared" si="3"/>
        <v>1.05</v>
      </c>
      <c r="K1737" s="117" t="str">
        <f t="shared" si="4"/>
        <v>IR</v>
      </c>
      <c r="L1737" s="42" t="str">
        <v>IR0105</v>
      </c>
      <c r="M1737" s="121" t="str">
        <v/>
      </c>
      <c r="N1737" s="121" t="str">
        <v/>
      </c>
      <c r="O1737" s="121" t="str">
        <v/>
      </c>
      <c r="P1737" s="121" t="str">
        <v/>
      </c>
      <c r="Q1737" s="121" t="str">
        <v/>
      </c>
      <c r="R1737" s="121" t="str">
        <v/>
      </c>
      <c r="S1737" s="121" t="str">
        <v>Product category</v>
      </c>
      <c r="T1737" s="119" t="str">
        <f>IF($C1737&lt;4,IF($C1737=3,T1738,IF($C1737=2,T$1,"")),Q1737&amp;R1737&amp;IF(LEN(S1737)=0,"",Preferences!$C$2&amp;S1737)&amp;IF(J1738=J1737,IF(LEN(R1737&amp;S1737)=0,"","
")&amp;T1738,""))</f>
        <v xml:space="preserve">	• Product category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7" s="122" t="str">
        <v/>
      </c>
      <c r="V1737" s="42"/>
      <c r="W1737" s="42"/>
      <c r="X1737" s="42"/>
      <c r="Y1737" s="42"/>
      <c r="Z1737" s="42"/>
      <c r="AA1737" s="42"/>
      <c r="AB1737" s="42"/>
    </row>
    <row r="1738" spans="1:28" x14ac:dyDescent="0.25">
      <c r="A1738" s="42" t="str">
        <v>2.1.5.1.6</v>
      </c>
      <c r="B1738" s="121" t="str">
        <v>Product meta-tag dimension</v>
      </c>
      <c r="C1738" s="41">
        <v>5</v>
      </c>
      <c r="D1738" s="41" t="str">
        <v>RL</v>
      </c>
      <c r="E1738" s="117" t="str">
        <f t="shared" si="0"/>
        <v>RL</v>
      </c>
      <c r="F1738" s="41" t="str">
        <v/>
      </c>
      <c r="G1738" s="41" t="str">
        <v/>
      </c>
      <c r="H1738" s="117">
        <f t="shared" si="1"/>
        <v>0</v>
      </c>
      <c r="I1738" s="117">
        <f t="shared" si="2"/>
        <v>1</v>
      </c>
      <c r="J1738" s="117">
        <f t="shared" si="3"/>
        <v>1.05</v>
      </c>
      <c r="K1738" s="117" t="str">
        <f t="shared" si="4"/>
        <v>IR</v>
      </c>
      <c r="L1738" s="42" t="str">
        <v>IR0105</v>
      </c>
      <c r="M1738" s="121" t="str">
        <v/>
      </c>
      <c r="N1738" s="121" t="str">
        <v/>
      </c>
      <c r="O1738" s="121" t="str">
        <v/>
      </c>
      <c r="P1738" s="121" t="str">
        <v/>
      </c>
      <c r="Q1738" s="121" t="str">
        <v/>
      </c>
      <c r="R1738" s="121" t="str">
        <v/>
      </c>
      <c r="S1738" s="121" t="str">
        <v>Product meta-tag dimension</v>
      </c>
      <c r="T1738" s="119" t="str">
        <f>IF($C1738&lt;4,IF($C1738=3,T1739,IF($C1738=2,T$1,"")),Q1738&amp;R1738&amp;IF(LEN(S1738)=0,"",Preferences!$C$2&amp;S1738)&amp;IF(J1739=J1738,IF(LEN(R1738&amp;S1738)=0,"","
")&amp;T1739,""))</f>
        <v xml:space="preserve">	• Product meta-tag dimension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8" s="122" t="str">
        <v/>
      </c>
      <c r="V1738" s="42"/>
      <c r="W1738" s="42"/>
      <c r="X1738" s="42"/>
      <c r="Y1738" s="42"/>
      <c r="Z1738" s="42"/>
      <c r="AA1738" s="42"/>
      <c r="AB1738" s="42"/>
    </row>
    <row r="1739" spans="1:28" x14ac:dyDescent="0.25">
      <c r="A1739" s="42" t="str">
        <v>2.1.5.1.7</v>
      </c>
      <c r="B1739" s="121" t="str">
        <v>Life stage of customer's children</v>
      </c>
      <c r="C1739" s="41">
        <v>5</v>
      </c>
      <c r="D1739" s="41" t="str">
        <v>RL</v>
      </c>
      <c r="E1739" s="117" t="str">
        <f t="shared" si="0"/>
        <v>RL</v>
      </c>
      <c r="F1739" s="41" t="str">
        <v/>
      </c>
      <c r="G1739" s="41" t="str">
        <v/>
      </c>
      <c r="H1739" s="117">
        <f t="shared" si="1"/>
        <v>0</v>
      </c>
      <c r="I1739" s="117">
        <f t="shared" si="2"/>
        <v>1</v>
      </c>
      <c r="J1739" s="117">
        <f t="shared" si="3"/>
        <v>1.05</v>
      </c>
      <c r="K1739" s="117" t="str">
        <f t="shared" si="4"/>
        <v>IR</v>
      </c>
      <c r="L1739" s="42" t="str">
        <v>IR0105</v>
      </c>
      <c r="M1739" s="121" t="str">
        <v/>
      </c>
      <c r="N1739" s="121" t="str">
        <v/>
      </c>
      <c r="O1739" s="121" t="str">
        <v/>
      </c>
      <c r="P1739" s="121" t="str">
        <v/>
      </c>
      <c r="Q1739" s="121" t="str">
        <v/>
      </c>
      <c r="R1739" s="121" t="str">
        <v/>
      </c>
      <c r="S1739" s="121" t="str">
        <v>Life stage of customer's children</v>
      </c>
      <c r="T1739" s="119" t="str">
        <f>IF($C1739&lt;4,IF($C1739=3,T1740,IF($C1739=2,T$1,"")),Q1739&amp;R1739&amp;IF(LEN(S1739)=0,"",Preferences!$C$2&amp;S1739)&amp;IF(J1740=J1739,IF(LEN(R1739&amp;S1739)=0,"","
")&amp;T1740,""))</f>
        <v xml:space="preserve">	• Life stage of customer's children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39" s="122" t="str">
        <v/>
      </c>
      <c r="V1739" s="42"/>
      <c r="W1739" s="42"/>
      <c r="X1739" s="42"/>
      <c r="Y1739" s="42"/>
      <c r="Z1739" s="42"/>
      <c r="AA1739" s="42"/>
      <c r="AB1739" s="42"/>
    </row>
    <row r="1740" spans="1:28" x14ac:dyDescent="0.25">
      <c r="A1740" s="42" t="str">
        <v>2.1.5.1.8</v>
      </c>
      <c r="B1740" s="121" t="str">
        <v>Confirmed sales value and margin (ranges)</v>
      </c>
      <c r="C1740" s="41">
        <v>5</v>
      </c>
      <c r="D1740" s="41" t="str">
        <v>RL</v>
      </c>
      <c r="E1740" s="117" t="str">
        <f t="shared" si="0"/>
        <v>RL</v>
      </c>
      <c r="F1740" s="41" t="str">
        <v/>
      </c>
      <c r="G1740" s="41" t="str">
        <v/>
      </c>
      <c r="H1740" s="117">
        <f t="shared" si="1"/>
        <v>0</v>
      </c>
      <c r="I1740" s="117">
        <f t="shared" si="2"/>
        <v>1</v>
      </c>
      <c r="J1740" s="117">
        <f t="shared" si="3"/>
        <v>1.05</v>
      </c>
      <c r="K1740" s="117" t="str">
        <f t="shared" si="4"/>
        <v>IR</v>
      </c>
      <c r="L1740" s="42" t="str">
        <v>IR0105</v>
      </c>
      <c r="M1740" s="121" t="str">
        <v/>
      </c>
      <c r="N1740" s="121" t="str">
        <v/>
      </c>
      <c r="O1740" s="121" t="str">
        <v/>
      </c>
      <c r="P1740" s="121" t="str">
        <v/>
      </c>
      <c r="Q1740" s="121" t="str">
        <v/>
      </c>
      <c r="R1740" s="121" t="str">
        <v/>
      </c>
      <c r="S1740" s="121" t="str">
        <v>Confirmed sales value and margin (ranges)</v>
      </c>
      <c r="T1740" s="119" t="str">
        <f>IF($C1740&lt;4,IF($C1740=3,T1741,IF($C1740=2,T$1,"")),Q1740&amp;R1740&amp;IF(LEN(S1740)=0,"",Preferences!$C$2&amp;S1740)&amp;IF(J1741=J1740,IF(LEN(R1740&amp;S1740)=0,"","
")&amp;T1741,""))</f>
        <v xml:space="preserve">	• Confirmed sales value and margin (ranges)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40" s="122" t="str">
        <v/>
      </c>
      <c r="V1740" s="42"/>
      <c r="W1740" s="42"/>
      <c r="X1740" s="42"/>
      <c r="Y1740" s="42"/>
      <c r="Z1740" s="42"/>
      <c r="AA1740" s="42"/>
      <c r="AB1740" s="42"/>
    </row>
    <row r="1741" spans="1:28" x14ac:dyDescent="0.25">
      <c r="A1741" s="42" t="str">
        <v>2.1.5.1.9</v>
      </c>
      <c r="B1741" s="121" t="str">
        <v>Time (hour, day, week, month, year, season)</v>
      </c>
      <c r="C1741" s="41">
        <v>5</v>
      </c>
      <c r="D1741" s="41" t="str">
        <v>RL</v>
      </c>
      <c r="E1741" s="117" t="str">
        <f t="shared" si="0"/>
        <v>RL</v>
      </c>
      <c r="F1741" s="41" t="str">
        <v/>
      </c>
      <c r="G1741" s="41" t="str">
        <v/>
      </c>
      <c r="H1741" s="117">
        <f t="shared" si="1"/>
        <v>0</v>
      </c>
      <c r="I1741" s="117">
        <f t="shared" si="2"/>
        <v>1</v>
      </c>
      <c r="J1741" s="117">
        <f t="shared" si="3"/>
        <v>1.05</v>
      </c>
      <c r="K1741" s="117" t="str">
        <f t="shared" si="4"/>
        <v>IR</v>
      </c>
      <c r="L1741" s="42" t="str">
        <v>IR0105</v>
      </c>
      <c r="M1741" s="121" t="str">
        <v/>
      </c>
      <c r="N1741" s="121" t="str">
        <v/>
      </c>
      <c r="O1741" s="121" t="str">
        <v/>
      </c>
      <c r="P1741" s="121" t="str">
        <v/>
      </c>
      <c r="Q1741" s="121" t="str">
        <v/>
      </c>
      <c r="R1741" s="121" t="str">
        <v/>
      </c>
      <c r="S1741" s="121" t="str">
        <v>Time (hour, day, week, month, year, season)</v>
      </c>
      <c r="T1741" s="119" t="str">
        <f>IF($C1741&lt;4,IF($C1741=3,T1742,IF($C1741=2,T$1,"")),Q1741&amp;R1741&amp;IF(LEN(S1741)=0,"",Preferences!$C$2&amp;S1741)&amp;IF(J1742=J1741,IF(LEN(R1741&amp;S1741)=0,"","
")&amp;T1742,""))</f>
        <v xml:space="preserve">	• Time (hour, day, week, month, year, season)
	• Customer geographic area/location
 2. Include at least the following metrics for each advertisement:
	• Views
	• Clicks
	• Product ordered (quantity, sales price)
	• Product added to favourites or wish-list (quantity, sales price)
	• Product purchased (quantity, sales price)</v>
      </c>
      <c r="U1741" s="122" t="str">
        <v/>
      </c>
      <c r="V1741" s="42"/>
      <c r="W1741" s="42"/>
      <c r="X1741" s="42"/>
      <c r="Y1741" s="42"/>
      <c r="Z1741" s="42"/>
      <c r="AA1741" s="42"/>
      <c r="AB1741" s="42"/>
    </row>
    <row r="1742" spans="1:28" x14ac:dyDescent="0.25">
      <c r="A1742" s="42" t="str">
        <v>2.1.5.1.10</v>
      </c>
      <c r="B1742" s="121" t="str">
        <v>Customer geographic area/location</v>
      </c>
      <c r="C1742" s="41">
        <v>5</v>
      </c>
      <c r="D1742" s="41" t="str">
        <v>RL</v>
      </c>
      <c r="E1742" s="117" t="str">
        <f t="shared" si="0"/>
        <v>RL</v>
      </c>
      <c r="F1742" s="41" t="str">
        <v/>
      </c>
      <c r="G1742" s="41" t="str">
        <v/>
      </c>
      <c r="H1742" s="117">
        <f t="shared" si="1"/>
        <v>0</v>
      </c>
      <c r="I1742" s="117">
        <f t="shared" si="2"/>
        <v>1</v>
      </c>
      <c r="J1742" s="117">
        <f t="shared" si="3"/>
        <v>1.05</v>
      </c>
      <c r="K1742" s="117" t="str">
        <f t="shared" si="4"/>
        <v>IR</v>
      </c>
      <c r="L1742" s="42" t="str">
        <v>IR0105</v>
      </c>
      <c r="M1742" s="121" t="str">
        <v/>
      </c>
      <c r="N1742" s="121" t="str">
        <v/>
      </c>
      <c r="O1742" s="121" t="str">
        <v/>
      </c>
      <c r="P1742" s="121" t="str">
        <v/>
      </c>
      <c r="Q1742" s="121" t="str">
        <v/>
      </c>
      <c r="R1742" s="121" t="str">
        <v/>
      </c>
      <c r="S1742" s="121" t="str">
        <v>Customer geographic area/location</v>
      </c>
      <c r="T1742" s="119" t="str">
        <f>IF($C1742&lt;4,IF($C1742=3,T1743,IF($C1742=2,T$1,"")),Q1742&amp;R1742&amp;IF(LEN(S1742)=0,"",Preferences!$C$2&amp;S1742)&amp;IF(J1743=J1742,IF(LEN(R1742&amp;S1742)=0,"","
")&amp;T1743,""))</f>
        <v xml:space="preserve">	• Customer geographic area/location
 2. Include at least the following metrics for each advertisement:
	• Views
	• Clicks
	• Product ordered (quantity, sales price)
	• Product added to favourites or wish-list (quantity, sales price)
	• Product purchased (quantity, sales price)</v>
      </c>
      <c r="U1742" s="122" t="str">
        <v/>
      </c>
      <c r="V1742" s="42"/>
      <c r="W1742" s="42"/>
      <c r="X1742" s="42"/>
      <c r="Y1742" s="42"/>
      <c r="Z1742" s="42"/>
      <c r="AA1742" s="42"/>
      <c r="AB1742" s="42"/>
    </row>
    <row r="1743" spans="1:28" x14ac:dyDescent="0.25">
      <c r="A1743" s="42" t="str">
        <v>2.1.5.2</v>
      </c>
      <c r="B1743" s="121" t="str">
        <v>Include at least the following metrics for each advertisement:</v>
      </c>
      <c r="C1743" s="41">
        <v>4</v>
      </c>
      <c r="D1743" s="41" t="str">
        <v>RD</v>
      </c>
      <c r="E1743" s="117" t="str">
        <f t="shared" si="0"/>
        <v>RD</v>
      </c>
      <c r="F1743" s="41" t="str">
        <v/>
      </c>
      <c r="G1743" s="41" t="str">
        <v/>
      </c>
      <c r="H1743" s="117">
        <f t="shared" si="1"/>
        <v>0</v>
      </c>
      <c r="I1743" s="117">
        <f t="shared" si="2"/>
        <v>1</v>
      </c>
      <c r="J1743" s="117">
        <f t="shared" si="3"/>
        <v>1.05</v>
      </c>
      <c r="K1743" s="117" t="str">
        <f t="shared" si="4"/>
        <v>IR</v>
      </c>
      <c r="L1743" s="42" t="str">
        <v>IR0105</v>
      </c>
      <c r="M1743" s="121" t="str">
        <v/>
      </c>
      <c r="N1743" s="121" t="str">
        <v/>
      </c>
      <c r="O1743" s="121" t="str">
        <v/>
      </c>
      <c r="P1743" s="121" t="str">
        <v/>
      </c>
      <c r="Q1743" s="121" t="str">
        <v xml:space="preserve"> 2. </v>
      </c>
      <c r="R1743" s="121" t="str">
        <v>Include at least the following metrics for each advertisement:</v>
      </c>
      <c r="S1743" s="121" t="str">
        <v/>
      </c>
      <c r="T1743" s="119" t="str">
        <f>IF($C1743&lt;4,IF($C1743=3,T1744,IF($C1743=2,T$1,"")),Q1743&amp;R1743&amp;IF(LEN(S1743)=0,"",Preferences!$C$2&amp;S1743)&amp;IF(J1744=J1743,IF(LEN(R1743&amp;S1743)=0,"","
")&amp;T1744,""))</f>
        <v xml:space="preserve"> 2. Include at least the following metrics for each advertisement:
	• Views
	• Clicks
	• Product ordered (quantity, sales price)
	• Product added to favourites or wish-list (quantity, sales price)
	• Product purchased (quantity, sales price)</v>
      </c>
      <c r="U1743" s="122" t="str">
        <v/>
      </c>
      <c r="V1743" s="42"/>
      <c r="W1743" s="42"/>
      <c r="X1743" s="42"/>
      <c r="Y1743" s="42"/>
      <c r="Z1743" s="42"/>
      <c r="AA1743" s="42"/>
      <c r="AB1743" s="42"/>
    </row>
    <row r="1744" spans="1:28" x14ac:dyDescent="0.25">
      <c r="A1744" s="42" t="str">
        <v>2.1.5.2.1</v>
      </c>
      <c r="B1744" s="121" t="str">
        <v>Views</v>
      </c>
      <c r="C1744" s="41">
        <v>5</v>
      </c>
      <c r="D1744" s="41" t="str">
        <v>RL</v>
      </c>
      <c r="E1744" s="117" t="str">
        <f t="shared" si="0"/>
        <v>RL</v>
      </c>
      <c r="F1744" s="41" t="str">
        <v/>
      </c>
      <c r="G1744" s="41" t="str">
        <v/>
      </c>
      <c r="H1744" s="117">
        <f t="shared" si="1"/>
        <v>0</v>
      </c>
      <c r="I1744" s="117">
        <f t="shared" si="2"/>
        <v>1</v>
      </c>
      <c r="J1744" s="117">
        <f t="shared" si="3"/>
        <v>1.05</v>
      </c>
      <c r="K1744" s="117" t="str">
        <f t="shared" si="4"/>
        <v>IR</v>
      </c>
      <c r="L1744" s="42" t="str">
        <v>IR0105</v>
      </c>
      <c r="M1744" s="121" t="str">
        <v/>
      </c>
      <c r="N1744" s="121" t="str">
        <v/>
      </c>
      <c r="O1744" s="121" t="str">
        <v/>
      </c>
      <c r="P1744" s="121" t="str">
        <v/>
      </c>
      <c r="Q1744" s="121" t="str">
        <v/>
      </c>
      <c r="R1744" s="121" t="str">
        <v/>
      </c>
      <c r="S1744" s="121" t="str">
        <v>Views</v>
      </c>
      <c r="T1744" s="119" t="str">
        <f>IF($C1744&lt;4,IF($C1744=3,T1745,IF($C1744=2,T$1,"")),Q1744&amp;R1744&amp;IF(LEN(S1744)=0,"",Preferences!$C$2&amp;S1744)&amp;IF(J1745=J1744,IF(LEN(R1744&amp;S1744)=0,"","
")&amp;T1745,""))</f>
        <v xml:space="preserve">	• Views
	• Clicks
	• Product ordered (quantity, sales price)
	• Product added to favourites or wish-list (quantity, sales price)
	• Product purchased (quantity, sales price)</v>
      </c>
      <c r="U1744" s="122" t="str">
        <v/>
      </c>
      <c r="V1744" s="42"/>
      <c r="W1744" s="42"/>
      <c r="X1744" s="42"/>
      <c r="Y1744" s="42"/>
      <c r="Z1744" s="42"/>
      <c r="AA1744" s="42"/>
      <c r="AB1744" s="42"/>
    </row>
    <row r="1745" spans="1:28" x14ac:dyDescent="0.25">
      <c r="A1745" s="42" t="str">
        <v>2.1.5.2.2</v>
      </c>
      <c r="B1745" s="121" t="str">
        <v>Clicks</v>
      </c>
      <c r="C1745" s="41">
        <v>5</v>
      </c>
      <c r="D1745" s="41" t="str">
        <v>RL</v>
      </c>
      <c r="E1745" s="117" t="str">
        <f t="shared" si="0"/>
        <v>RL</v>
      </c>
      <c r="F1745" s="41" t="str">
        <v/>
      </c>
      <c r="G1745" s="41" t="str">
        <v/>
      </c>
      <c r="H1745" s="117">
        <f t="shared" si="1"/>
        <v>0</v>
      </c>
      <c r="I1745" s="117">
        <f t="shared" si="2"/>
        <v>1</v>
      </c>
      <c r="J1745" s="117">
        <f t="shared" si="3"/>
        <v>1.05</v>
      </c>
      <c r="K1745" s="117" t="str">
        <f t="shared" si="4"/>
        <v>IR</v>
      </c>
      <c r="L1745" s="42" t="str">
        <v>IR0105</v>
      </c>
      <c r="M1745" s="121" t="str">
        <v/>
      </c>
      <c r="N1745" s="121" t="str">
        <v/>
      </c>
      <c r="O1745" s="121" t="str">
        <v/>
      </c>
      <c r="P1745" s="121" t="str">
        <v/>
      </c>
      <c r="Q1745" s="121" t="str">
        <v/>
      </c>
      <c r="R1745" s="121" t="str">
        <v/>
      </c>
      <c r="S1745" s="121" t="str">
        <v>Clicks</v>
      </c>
      <c r="T1745" s="119" t="str">
        <f>IF($C1745&lt;4,IF($C1745=3,T1746,IF($C1745=2,T$1,"")),Q1745&amp;R1745&amp;IF(LEN(S1745)=0,"",Preferences!$C$2&amp;S1745)&amp;IF(J1746=J1745,IF(LEN(R1745&amp;S1745)=0,"","
")&amp;T1746,""))</f>
        <v xml:space="preserve">	• Clicks
	• Product ordered (quantity, sales price)
	• Product added to favourites or wish-list (quantity, sales price)
	• Product purchased (quantity, sales price)</v>
      </c>
      <c r="U1745" s="122" t="str">
        <v/>
      </c>
      <c r="V1745" s="42"/>
      <c r="W1745" s="42"/>
      <c r="X1745" s="42"/>
      <c r="Y1745" s="42"/>
      <c r="Z1745" s="42"/>
      <c r="AA1745" s="42"/>
      <c r="AB1745" s="42"/>
    </row>
    <row r="1746" spans="1:28" x14ac:dyDescent="0.25">
      <c r="A1746" s="42" t="str">
        <v>2.1.5.2.3</v>
      </c>
      <c r="B1746" s="121" t="str">
        <v>Product ordered (quantity, sales price)</v>
      </c>
      <c r="C1746" s="41">
        <v>5</v>
      </c>
      <c r="D1746" s="41" t="str">
        <v>RL</v>
      </c>
      <c r="E1746" s="117" t="str">
        <f t="shared" si="0"/>
        <v>RL</v>
      </c>
      <c r="F1746" s="41" t="str">
        <v/>
      </c>
      <c r="G1746" s="41" t="str">
        <v/>
      </c>
      <c r="H1746" s="117">
        <f t="shared" si="1"/>
        <v>0</v>
      </c>
      <c r="I1746" s="117">
        <f t="shared" si="2"/>
        <v>1</v>
      </c>
      <c r="J1746" s="117">
        <f t="shared" si="3"/>
        <v>1.05</v>
      </c>
      <c r="K1746" s="117" t="str">
        <f t="shared" si="4"/>
        <v>IR</v>
      </c>
      <c r="L1746" s="42" t="str">
        <v>IR0105</v>
      </c>
      <c r="M1746" s="121" t="str">
        <v/>
      </c>
      <c r="N1746" s="121" t="str">
        <v/>
      </c>
      <c r="O1746" s="121" t="str">
        <v/>
      </c>
      <c r="P1746" s="121" t="str">
        <v/>
      </c>
      <c r="Q1746" s="121" t="str">
        <v/>
      </c>
      <c r="R1746" s="121" t="str">
        <v/>
      </c>
      <c r="S1746" s="121" t="str">
        <v>Product ordered (quantity, sales price)</v>
      </c>
      <c r="T1746" s="119" t="str">
        <f>IF($C1746&lt;4,IF($C1746=3,T1747,IF($C1746=2,T$1,"")),Q1746&amp;R1746&amp;IF(LEN(S1746)=0,"",Preferences!$C$2&amp;S1746)&amp;IF(J1747=J1746,IF(LEN(R1746&amp;S1746)=0,"","
")&amp;T1747,""))</f>
        <v xml:space="preserve">	• Product ordered (quantity, sales price)
	• Product added to favourites or wish-list (quantity, sales price)
	• Product purchased (quantity, sales price)</v>
      </c>
      <c r="U1746" s="122" t="str">
        <v/>
      </c>
      <c r="V1746" s="42"/>
      <c r="W1746" s="42"/>
      <c r="X1746" s="42"/>
      <c r="Y1746" s="42"/>
      <c r="Z1746" s="42"/>
      <c r="AA1746" s="42"/>
      <c r="AB1746" s="42"/>
    </row>
    <row r="1747" spans="1:28" x14ac:dyDescent="0.25">
      <c r="A1747" s="42" t="str">
        <v>2.1.5.2.4</v>
      </c>
      <c r="B1747" s="121" t="str">
        <v>Product added to favourites or wish-list (quantity, sales price)</v>
      </c>
      <c r="C1747" s="41">
        <v>5</v>
      </c>
      <c r="D1747" s="41" t="str">
        <v>RL</v>
      </c>
      <c r="E1747" s="117" t="str">
        <f t="shared" si="0"/>
        <v>RL</v>
      </c>
      <c r="F1747" s="41" t="str">
        <v/>
      </c>
      <c r="G1747" s="41" t="str">
        <v/>
      </c>
      <c r="H1747" s="117">
        <f t="shared" si="1"/>
        <v>0</v>
      </c>
      <c r="I1747" s="117">
        <f t="shared" si="2"/>
        <v>1</v>
      </c>
      <c r="J1747" s="117">
        <f t="shared" si="3"/>
        <v>1.05</v>
      </c>
      <c r="K1747" s="117" t="str">
        <f t="shared" si="4"/>
        <v>IR</v>
      </c>
      <c r="L1747" s="42" t="str">
        <v>IR0105</v>
      </c>
      <c r="M1747" s="121" t="str">
        <v/>
      </c>
      <c r="N1747" s="121" t="str">
        <v/>
      </c>
      <c r="O1747" s="121" t="str">
        <v/>
      </c>
      <c r="P1747" s="121" t="str">
        <v/>
      </c>
      <c r="Q1747" s="121" t="str">
        <v/>
      </c>
      <c r="R1747" s="121" t="str">
        <v/>
      </c>
      <c r="S1747" s="121" t="str">
        <v>Product added to favourites or wish-list (quantity, sales price)</v>
      </c>
      <c r="T1747" s="119" t="str">
        <f>IF($C1747&lt;4,IF($C1747=3,T1748,IF($C1747=2,T$1,"")),Q1747&amp;R1747&amp;IF(LEN(S1747)=0,"",Preferences!$C$2&amp;S1747)&amp;IF(J1748=J1747,IF(LEN(R1747&amp;S1747)=0,"","
")&amp;T1748,""))</f>
        <v xml:space="preserve">	• Product added to favourites or wish-list (quantity, sales price)
	• Product purchased (quantity, sales price)</v>
      </c>
      <c r="U1747" s="122" t="str">
        <v/>
      </c>
      <c r="V1747" s="42"/>
      <c r="W1747" s="42"/>
      <c r="X1747" s="42"/>
      <c r="Y1747" s="42"/>
      <c r="Z1747" s="42"/>
      <c r="AA1747" s="42"/>
      <c r="AB1747" s="42"/>
    </row>
    <row r="1748" spans="1:28" x14ac:dyDescent="0.25">
      <c r="A1748" s="42" t="str">
        <v>2.1.5.2.5</v>
      </c>
      <c r="B1748" s="121" t="str">
        <v>Product purchased (quantity, sales price)</v>
      </c>
      <c r="C1748" s="41">
        <v>5</v>
      </c>
      <c r="D1748" s="41" t="str">
        <v>RL</v>
      </c>
      <c r="E1748" s="117" t="str">
        <f t="shared" si="0"/>
        <v>RL</v>
      </c>
      <c r="F1748" s="41" t="str">
        <v/>
      </c>
      <c r="G1748" s="41" t="str">
        <v/>
      </c>
      <c r="H1748" s="117">
        <f t="shared" si="1"/>
        <v>0</v>
      </c>
      <c r="I1748" s="117">
        <f t="shared" si="2"/>
        <v>1</v>
      </c>
      <c r="J1748" s="117">
        <f t="shared" si="3"/>
        <v>1.05</v>
      </c>
      <c r="K1748" s="117" t="str">
        <f t="shared" si="4"/>
        <v>IR</v>
      </c>
      <c r="L1748" s="42" t="str">
        <v>IR0105</v>
      </c>
      <c r="M1748" s="121" t="str">
        <v/>
      </c>
      <c r="N1748" s="121" t="str">
        <v/>
      </c>
      <c r="O1748" s="121" t="str">
        <v/>
      </c>
      <c r="P1748" s="121" t="str">
        <v/>
      </c>
      <c r="Q1748" s="121" t="str">
        <v/>
      </c>
      <c r="R1748" s="121" t="str">
        <v/>
      </c>
      <c r="S1748" s="121" t="str">
        <v>Product purchased (quantity, sales price)</v>
      </c>
      <c r="T1748" s="119" t="str">
        <f>IF($C1748&lt;4,IF($C1748=3,T1749,IF($C1748=2,T$1,"")),Q1748&amp;R1748&amp;IF(LEN(S1748)=0,"",Preferences!$C$2&amp;S1748)&amp;IF(J1749=J1748,IF(LEN(R1748&amp;S1748)=0,"","
")&amp;T1749,""))</f>
        <v xml:space="preserve">	• Product purchased (quantity, sales price)</v>
      </c>
      <c r="U1748" s="122" t="str">
        <v/>
      </c>
      <c r="V1748" s="42"/>
      <c r="W1748" s="42"/>
      <c r="X1748" s="42"/>
      <c r="Y1748" s="42"/>
      <c r="Z1748" s="42"/>
      <c r="AA1748" s="42"/>
      <c r="AB1748" s="42"/>
    </row>
    <row r="1749" spans="1:28" x14ac:dyDescent="0.25">
      <c r="A1749" s="42" t="str">
        <v>2.1.6</v>
      </c>
      <c r="B1749" s="121" t="str">
        <v>1.6 Report on article activity</v>
      </c>
      <c r="C1749" s="41">
        <v>3</v>
      </c>
      <c r="D1749" s="41" t="str">
        <v>R</v>
      </c>
      <c r="E1749" s="117" t="str">
        <f t="shared" si="0"/>
        <v>R</v>
      </c>
      <c r="F1749" s="41" t="str">
        <v/>
      </c>
      <c r="G1749" s="41" t="str">
        <v/>
      </c>
      <c r="H1749" s="117">
        <f t="shared" si="1"/>
        <v>0</v>
      </c>
      <c r="I1749" s="117">
        <f t="shared" si="2"/>
        <v>1</v>
      </c>
      <c r="J1749" s="117">
        <f t="shared" si="3"/>
        <v>1.06</v>
      </c>
      <c r="K1749" s="117" t="str">
        <f t="shared" si="4"/>
        <v>IR</v>
      </c>
      <c r="L1749" s="42" t="str">
        <v>IR0106</v>
      </c>
      <c r="M1749" s="121" t="str">
        <v/>
      </c>
      <c r="N1749" s="121" t="str">
        <v/>
      </c>
      <c r="O1749" s="121" t="str">
        <v>IR0106</v>
      </c>
      <c r="P1749" s="121" t="str">
        <v>Report on article activity</v>
      </c>
      <c r="Q1749" s="121" t="str">
        <v/>
      </c>
      <c r="R1749" s="121" t="str">
        <v/>
      </c>
      <c r="S1749" s="121" t="str">
        <v/>
      </c>
      <c r="T1749" s="119" t="str">
        <f>IF($C1749&lt;4,IF($C1749=3,T1750,IF($C1749=2,T$1,"")),Q1749&amp;R1749&amp;IF(LEN(S1749)=0,"",Preferences!$C$2&amp;S1749)&amp;IF(J1750=J1749,IF(LEN(R1749&amp;S1749)=0,"","
")&amp;T1750,""))</f>
        <v xml:space="preserve"> 1. Report on article activity across at least the following dimensions:
	• Channel
	• Article format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49" s="122" t="str">
        <v/>
      </c>
      <c r="V1749" s="42"/>
      <c r="W1749" s="42"/>
      <c r="X1749" s="42"/>
      <c r="Y1749" s="42"/>
      <c r="Z1749" s="42"/>
      <c r="AA1749" s="42"/>
      <c r="AB1749" s="42"/>
    </row>
    <row r="1750" spans="1:28" x14ac:dyDescent="0.25">
      <c r="A1750" s="42" t="str">
        <v>2.1.6.1</v>
      </c>
      <c r="B1750" s="121" t="str">
        <v>Report on article activity across at least the following dimensions:</v>
      </c>
      <c r="C1750" s="41">
        <v>4</v>
      </c>
      <c r="D1750" s="41" t="str">
        <v>RD</v>
      </c>
      <c r="E1750" s="117" t="str">
        <f t="shared" si="0"/>
        <v>RD</v>
      </c>
      <c r="F1750" s="41" t="str">
        <v/>
      </c>
      <c r="G1750" s="41" t="str">
        <v/>
      </c>
      <c r="H1750" s="117">
        <f t="shared" si="1"/>
        <v>0</v>
      </c>
      <c r="I1750" s="117">
        <f t="shared" si="2"/>
        <v>1</v>
      </c>
      <c r="J1750" s="117">
        <f t="shared" si="3"/>
        <v>1.06</v>
      </c>
      <c r="K1750" s="117" t="str">
        <f t="shared" si="4"/>
        <v>IR</v>
      </c>
      <c r="L1750" s="42" t="str">
        <v>IR0106</v>
      </c>
      <c r="M1750" s="121" t="str">
        <v/>
      </c>
      <c r="N1750" s="121" t="str">
        <v/>
      </c>
      <c r="O1750" s="121" t="str">
        <v/>
      </c>
      <c r="P1750" s="121" t="str">
        <v/>
      </c>
      <c r="Q1750" s="121" t="str">
        <v xml:space="preserve"> 1. </v>
      </c>
      <c r="R1750" s="121" t="str">
        <v>Report on article activity across at least the following dimensions:</v>
      </c>
      <c r="S1750" s="121" t="str">
        <v/>
      </c>
      <c r="T1750" s="119" t="str">
        <f>IF($C1750&lt;4,IF($C1750=3,T1751,IF($C1750=2,T$1,"")),Q1750&amp;R1750&amp;IF(LEN(S1750)=0,"",Preferences!$C$2&amp;S1750)&amp;IF(J1751=J1750,IF(LEN(R1750&amp;S1750)=0,"","
")&amp;T1751,""))</f>
        <v xml:space="preserve"> 1. Report on article activity across at least the following dimensions:
	• Channel
	• Article format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0" s="122" t="str">
        <v/>
      </c>
      <c r="V1750" s="42"/>
      <c r="W1750" s="42"/>
      <c r="X1750" s="42"/>
      <c r="Y1750" s="42"/>
      <c r="Z1750" s="42"/>
      <c r="AA1750" s="42"/>
      <c r="AB1750" s="42"/>
    </row>
    <row r="1751" spans="1:28" x14ac:dyDescent="0.25">
      <c r="A1751" s="42" t="str">
        <v>2.1.6.1.1</v>
      </c>
      <c r="B1751" s="121" t="str">
        <v>Channel</v>
      </c>
      <c r="C1751" s="41">
        <v>5</v>
      </c>
      <c r="D1751" s="41" t="str">
        <v>RL</v>
      </c>
      <c r="E1751" s="117" t="str">
        <f t="shared" si="0"/>
        <v>RL</v>
      </c>
      <c r="F1751" s="41" t="str">
        <v/>
      </c>
      <c r="G1751" s="41" t="str">
        <v/>
      </c>
      <c r="H1751" s="117">
        <f t="shared" si="1"/>
        <v>0</v>
      </c>
      <c r="I1751" s="117">
        <f t="shared" si="2"/>
        <v>1</v>
      </c>
      <c r="J1751" s="117">
        <f t="shared" si="3"/>
        <v>1.06</v>
      </c>
      <c r="K1751" s="117" t="str">
        <f t="shared" si="4"/>
        <v>IR</v>
      </c>
      <c r="L1751" s="42" t="str">
        <v>IR0106</v>
      </c>
      <c r="M1751" s="121" t="str">
        <v/>
      </c>
      <c r="N1751" s="121" t="str">
        <v/>
      </c>
      <c r="O1751" s="121" t="str">
        <v/>
      </c>
      <c r="P1751" s="121" t="str">
        <v/>
      </c>
      <c r="Q1751" s="121" t="str">
        <v/>
      </c>
      <c r="R1751" s="121" t="str">
        <v/>
      </c>
      <c r="S1751" s="121" t="str">
        <v>Channel</v>
      </c>
      <c r="T1751" s="119" t="str">
        <f>IF($C1751&lt;4,IF($C1751=3,T1752,IF($C1751=2,T$1,"")),Q1751&amp;R1751&amp;IF(LEN(S1751)=0,"",Preferences!$C$2&amp;S1751)&amp;IF(J1752=J1751,IF(LEN(R1751&amp;S1751)=0,"","
")&amp;T1752,""))</f>
        <v xml:space="preserve">	• Channel
	• Article format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1" s="122" t="str">
        <v/>
      </c>
      <c r="V1751" s="42"/>
      <c r="W1751" s="42"/>
      <c r="X1751" s="42"/>
      <c r="Y1751" s="42"/>
      <c r="Z1751" s="42"/>
      <c r="AA1751" s="42"/>
      <c r="AB1751" s="42"/>
    </row>
    <row r="1752" spans="1:28" x14ac:dyDescent="0.25">
      <c r="A1752" s="42" t="str">
        <v>2.1.6.1.2</v>
      </c>
      <c r="B1752" s="121" t="str">
        <v>Article format</v>
      </c>
      <c r="C1752" s="41">
        <v>5</v>
      </c>
      <c r="D1752" s="41" t="str">
        <v>RL</v>
      </c>
      <c r="E1752" s="117" t="str">
        <f t="shared" si="0"/>
        <v>RL</v>
      </c>
      <c r="F1752" s="41" t="str">
        <v/>
      </c>
      <c r="G1752" s="41" t="str">
        <v/>
      </c>
      <c r="H1752" s="117">
        <f t="shared" si="1"/>
        <v>0</v>
      </c>
      <c r="I1752" s="117">
        <f t="shared" si="2"/>
        <v>1</v>
      </c>
      <c r="J1752" s="117">
        <f t="shared" si="3"/>
        <v>1.06</v>
      </c>
      <c r="K1752" s="117" t="str">
        <f t="shared" si="4"/>
        <v>IR</v>
      </c>
      <c r="L1752" s="42" t="str">
        <v>IR0106</v>
      </c>
      <c r="M1752" s="121" t="str">
        <v/>
      </c>
      <c r="N1752" s="121" t="str">
        <v/>
      </c>
      <c r="O1752" s="121" t="str">
        <v/>
      </c>
      <c r="P1752" s="121" t="str">
        <v/>
      </c>
      <c r="Q1752" s="121" t="str">
        <v/>
      </c>
      <c r="R1752" s="121" t="str">
        <v/>
      </c>
      <c r="S1752" s="121" t="str">
        <v>Article format</v>
      </c>
      <c r="T1752" s="119" t="str">
        <f>IF($C1752&lt;4,IF($C1752=3,T1753,IF($C1752=2,T$1,"")),Q1752&amp;R1752&amp;IF(LEN(S1752)=0,"",Preferences!$C$2&amp;S1752)&amp;IF(J1753=J1752,IF(LEN(R1752&amp;S1752)=0,"","
")&amp;T1753,""))</f>
        <v xml:space="preserve">	• Article format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2" s="122" t="str">
        <v/>
      </c>
      <c r="V1752" s="42"/>
      <c r="W1752" s="42"/>
      <c r="X1752" s="42"/>
      <c r="Y1752" s="42"/>
      <c r="Z1752" s="42"/>
      <c r="AA1752" s="42"/>
      <c r="AB1752" s="42"/>
    </row>
    <row r="1753" spans="1:28" x14ac:dyDescent="0.25">
      <c r="A1753" s="42" t="str">
        <v>2.1.6.1.3</v>
      </c>
      <c r="B1753" s="121" t="str">
        <v>Current campaign or special event</v>
      </c>
      <c r="C1753" s="41">
        <v>5</v>
      </c>
      <c r="D1753" s="41" t="str">
        <v>RL</v>
      </c>
      <c r="E1753" s="117" t="str">
        <f t="shared" si="0"/>
        <v>RL</v>
      </c>
      <c r="F1753" s="41" t="str">
        <v/>
      </c>
      <c r="G1753" s="41" t="str">
        <v/>
      </c>
      <c r="H1753" s="117">
        <f t="shared" si="1"/>
        <v>0</v>
      </c>
      <c r="I1753" s="117">
        <f t="shared" si="2"/>
        <v>1</v>
      </c>
      <c r="J1753" s="117">
        <f t="shared" si="3"/>
        <v>1.06</v>
      </c>
      <c r="K1753" s="117" t="str">
        <f t="shared" si="4"/>
        <v>IR</v>
      </c>
      <c r="L1753" s="42" t="str">
        <v>IR0106</v>
      </c>
      <c r="M1753" s="121" t="str">
        <v/>
      </c>
      <c r="N1753" s="121" t="str">
        <v/>
      </c>
      <c r="O1753" s="121" t="str">
        <v/>
      </c>
      <c r="P1753" s="121" t="str">
        <v/>
      </c>
      <c r="Q1753" s="121" t="str">
        <v/>
      </c>
      <c r="R1753" s="121" t="str">
        <v/>
      </c>
      <c r="S1753" s="121" t="str">
        <v>Current campaign or special event</v>
      </c>
      <c r="T1753" s="119" t="str">
        <f>IF($C1753&lt;4,IF($C1753=3,T1754,IF($C1753=2,T$1,"")),Q1753&amp;R1753&amp;IF(LEN(S1753)=0,"",Preferences!$C$2&amp;S1753)&amp;IF(J1754=J1753,IF(LEN(R1753&amp;S1753)=0,"","
")&amp;T1754,""))</f>
        <v xml:space="preserve">	• Current campaign or special event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3" s="122" t="str">
        <v/>
      </c>
      <c r="V1753" s="42"/>
      <c r="W1753" s="42"/>
      <c r="X1753" s="42"/>
      <c r="Y1753" s="42"/>
      <c r="Z1753" s="42"/>
      <c r="AA1753" s="42"/>
      <c r="AB1753" s="42"/>
    </row>
    <row r="1754" spans="1:28" x14ac:dyDescent="0.25">
      <c r="A1754" s="42" t="str">
        <v>2.1.6.1.4</v>
      </c>
      <c r="B1754" s="121" t="str">
        <v>Article meta-tags and dimensions</v>
      </c>
      <c r="C1754" s="41">
        <v>5</v>
      </c>
      <c r="D1754" s="41" t="str">
        <v>RL</v>
      </c>
      <c r="E1754" s="117" t="str">
        <f t="shared" si="0"/>
        <v>RL</v>
      </c>
      <c r="F1754" s="41" t="str">
        <v/>
      </c>
      <c r="G1754" s="41" t="str">
        <v/>
      </c>
      <c r="H1754" s="117">
        <f t="shared" si="1"/>
        <v>0</v>
      </c>
      <c r="I1754" s="117">
        <f t="shared" si="2"/>
        <v>1</v>
      </c>
      <c r="J1754" s="117">
        <f t="shared" si="3"/>
        <v>1.06</v>
      </c>
      <c r="K1754" s="117" t="str">
        <f t="shared" si="4"/>
        <v>IR</v>
      </c>
      <c r="L1754" s="42" t="str">
        <v>IR0106</v>
      </c>
      <c r="M1754" s="121" t="str">
        <v/>
      </c>
      <c r="N1754" s="121" t="str">
        <v/>
      </c>
      <c r="O1754" s="121" t="str">
        <v/>
      </c>
      <c r="P1754" s="121" t="str">
        <v/>
      </c>
      <c r="Q1754" s="121" t="str">
        <v/>
      </c>
      <c r="R1754" s="121" t="str">
        <v/>
      </c>
      <c r="S1754" s="121" t="str">
        <v>Article meta-tags and dimensions</v>
      </c>
      <c r="T1754" s="119" t="str">
        <f>IF($C1754&lt;4,IF($C1754=3,T1755,IF($C1754=2,T$1,"")),Q1754&amp;R1754&amp;IF(LEN(S1754)=0,"",Preferences!$C$2&amp;S1754)&amp;IF(J1755=J1754,IF(LEN(R1754&amp;S1754)=0,"","
")&amp;T1755,""))</f>
        <v xml:space="preserve">	• Article meta-tags and dimensions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4" s="122" t="str">
        <v/>
      </c>
      <c r="V1754" s="42"/>
      <c r="W1754" s="42"/>
      <c r="X1754" s="42"/>
      <c r="Y1754" s="42"/>
      <c r="Z1754" s="42"/>
      <c r="AA1754" s="42"/>
      <c r="AB1754" s="42"/>
    </row>
    <row r="1755" spans="1:28" x14ac:dyDescent="0.25">
      <c r="A1755" s="42" t="str">
        <v>2.1.6.1.5</v>
      </c>
      <c r="B1755" s="121" t="str">
        <v>Life stage of customer's children</v>
      </c>
      <c r="C1755" s="41">
        <v>5</v>
      </c>
      <c r="D1755" s="41" t="str">
        <v>RL</v>
      </c>
      <c r="E1755" s="117" t="str">
        <f t="shared" si="0"/>
        <v>RL</v>
      </c>
      <c r="F1755" s="41" t="str">
        <v/>
      </c>
      <c r="G1755" s="41" t="str">
        <v/>
      </c>
      <c r="H1755" s="117">
        <f t="shared" si="1"/>
        <v>0</v>
      </c>
      <c r="I1755" s="117">
        <f t="shared" si="2"/>
        <v>1</v>
      </c>
      <c r="J1755" s="117">
        <f t="shared" si="3"/>
        <v>1.06</v>
      </c>
      <c r="K1755" s="117" t="str">
        <f t="shared" si="4"/>
        <v>IR</v>
      </c>
      <c r="L1755" s="42" t="str">
        <v>IR0106</v>
      </c>
      <c r="M1755" s="121" t="str">
        <v/>
      </c>
      <c r="N1755" s="121" t="str">
        <v/>
      </c>
      <c r="O1755" s="121" t="str">
        <v/>
      </c>
      <c r="P1755" s="121" t="str">
        <v/>
      </c>
      <c r="Q1755" s="121" t="str">
        <v/>
      </c>
      <c r="R1755" s="121" t="str">
        <v/>
      </c>
      <c r="S1755" s="121" t="str">
        <v>Life stage of customer's children</v>
      </c>
      <c r="T1755" s="119" t="str">
        <f>IF($C1755&lt;4,IF($C1755=3,T1756,IF($C1755=2,T$1,"")),Q1755&amp;R1755&amp;IF(LEN(S1755)=0,"",Preferences!$C$2&amp;S1755)&amp;IF(J1756=J1755,IF(LEN(R1755&amp;S1755)=0,"","
")&amp;T1756,""))</f>
        <v xml:space="preserve">	• Life stage of customer's children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5" s="122" t="str">
        <v/>
      </c>
      <c r="V1755" s="42"/>
      <c r="W1755" s="42"/>
      <c r="X1755" s="42"/>
      <c r="Y1755" s="42"/>
      <c r="Z1755" s="42"/>
      <c r="AA1755" s="42"/>
      <c r="AB1755" s="42"/>
    </row>
    <row r="1756" spans="1:28" x14ac:dyDescent="0.25">
      <c r="A1756" s="42" t="str">
        <v>2.1.6.1.6</v>
      </c>
      <c r="B1756" s="121" t="str">
        <v>Confirmed sales value and margin (ranges)</v>
      </c>
      <c r="C1756" s="41">
        <v>5</v>
      </c>
      <c r="D1756" s="41" t="str">
        <v>RL</v>
      </c>
      <c r="E1756" s="117" t="str">
        <f t="shared" si="0"/>
        <v>RL</v>
      </c>
      <c r="F1756" s="41" t="str">
        <v/>
      </c>
      <c r="G1756" s="41" t="str">
        <v/>
      </c>
      <c r="H1756" s="117">
        <f t="shared" si="1"/>
        <v>0</v>
      </c>
      <c r="I1756" s="117">
        <f t="shared" si="2"/>
        <v>1</v>
      </c>
      <c r="J1756" s="117">
        <f t="shared" si="3"/>
        <v>1.06</v>
      </c>
      <c r="K1756" s="117" t="str">
        <f t="shared" si="4"/>
        <v>IR</v>
      </c>
      <c r="L1756" s="42" t="str">
        <v>IR0106</v>
      </c>
      <c r="M1756" s="121" t="str">
        <v/>
      </c>
      <c r="N1756" s="121" t="str">
        <v/>
      </c>
      <c r="O1756" s="121" t="str">
        <v/>
      </c>
      <c r="P1756" s="121" t="str">
        <v/>
      </c>
      <c r="Q1756" s="121" t="str">
        <v/>
      </c>
      <c r="R1756" s="121" t="str">
        <v/>
      </c>
      <c r="S1756" s="121" t="str">
        <v>Confirmed sales value and margin (ranges)</v>
      </c>
      <c r="T1756" s="119" t="str">
        <f>IF($C1756&lt;4,IF($C1756=3,T1757,IF($C1756=2,T$1,"")),Q1756&amp;R1756&amp;IF(LEN(S1756)=0,"",Preferences!$C$2&amp;S1756)&amp;IF(J1757=J1756,IF(LEN(R1756&amp;S1756)=0,"","
")&amp;T1757,""))</f>
        <v xml:space="preserve">	• Confirmed sales value and margin (ranges)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6" s="122" t="str">
        <v/>
      </c>
      <c r="V1756" s="42"/>
      <c r="W1756" s="42"/>
      <c r="X1756" s="42"/>
      <c r="Y1756" s="42"/>
      <c r="Z1756" s="42"/>
      <c r="AA1756" s="42"/>
      <c r="AB1756" s="42"/>
    </row>
    <row r="1757" spans="1:28" x14ac:dyDescent="0.25">
      <c r="A1757" s="42" t="str">
        <v>2.1.6.1.7</v>
      </c>
      <c r="B1757" s="121" t="str">
        <v>Time (hour, day, week, month, year, season)</v>
      </c>
      <c r="C1757" s="41">
        <v>5</v>
      </c>
      <c r="D1757" s="41" t="str">
        <v>RL</v>
      </c>
      <c r="E1757" s="117" t="str">
        <f t="shared" si="0"/>
        <v>RL</v>
      </c>
      <c r="F1757" s="41" t="str">
        <v/>
      </c>
      <c r="G1757" s="41" t="str">
        <v/>
      </c>
      <c r="H1757" s="117">
        <f t="shared" si="1"/>
        <v>0</v>
      </c>
      <c r="I1757" s="117">
        <f t="shared" si="2"/>
        <v>1</v>
      </c>
      <c r="J1757" s="117">
        <f t="shared" si="3"/>
        <v>1.06</v>
      </c>
      <c r="K1757" s="117" t="str">
        <f t="shared" si="4"/>
        <v>IR</v>
      </c>
      <c r="L1757" s="42" t="str">
        <v>IR0106</v>
      </c>
      <c r="M1757" s="121" t="str">
        <v/>
      </c>
      <c r="N1757" s="121" t="str">
        <v/>
      </c>
      <c r="O1757" s="121" t="str">
        <v/>
      </c>
      <c r="P1757" s="121" t="str">
        <v/>
      </c>
      <c r="Q1757" s="121" t="str">
        <v/>
      </c>
      <c r="R1757" s="121" t="str">
        <v/>
      </c>
      <c r="S1757" s="121" t="str">
        <v>Time (hour, day, week, month, year, season)</v>
      </c>
      <c r="T1757" s="119" t="str">
        <f>IF($C1757&lt;4,IF($C1757=3,T1758,IF($C1757=2,T$1,"")),Q1757&amp;R1757&amp;IF(LEN(S1757)=0,"",Preferences!$C$2&amp;S1757)&amp;IF(J1758=J1757,IF(LEN(R1757&amp;S1757)=0,"","
")&amp;T1758,""))</f>
        <v xml:space="preserve">	• Time (hour, day, week, month, year, season)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7" s="122" t="str">
        <v/>
      </c>
      <c r="V1757" s="42"/>
      <c r="W1757" s="42"/>
      <c r="X1757" s="42"/>
      <c r="Y1757" s="42"/>
      <c r="Z1757" s="42"/>
      <c r="AA1757" s="42"/>
      <c r="AB1757" s="42"/>
    </row>
    <row r="1758" spans="1:28" x14ac:dyDescent="0.25">
      <c r="A1758" s="42" t="str">
        <v>2.1.6.1.8</v>
      </c>
      <c r="B1758" s="121" t="str">
        <v>Customer geographic area/location</v>
      </c>
      <c r="C1758" s="41">
        <v>5</v>
      </c>
      <c r="D1758" s="41" t="str">
        <v>RL</v>
      </c>
      <c r="E1758" s="117" t="str">
        <f t="shared" si="0"/>
        <v>RL</v>
      </c>
      <c r="F1758" s="41" t="str">
        <v/>
      </c>
      <c r="G1758" s="41" t="str">
        <v/>
      </c>
      <c r="H1758" s="117">
        <f t="shared" si="1"/>
        <v>0</v>
      </c>
      <c r="I1758" s="117">
        <f t="shared" si="2"/>
        <v>1</v>
      </c>
      <c r="J1758" s="117">
        <f t="shared" si="3"/>
        <v>1.06</v>
      </c>
      <c r="K1758" s="117" t="str">
        <f t="shared" si="4"/>
        <v>IR</v>
      </c>
      <c r="L1758" s="42" t="str">
        <v>IR0106</v>
      </c>
      <c r="M1758" s="121" t="str">
        <v/>
      </c>
      <c r="N1758" s="121" t="str">
        <v/>
      </c>
      <c r="O1758" s="121" t="str">
        <v/>
      </c>
      <c r="P1758" s="121" t="str">
        <v/>
      </c>
      <c r="Q1758" s="121" t="str">
        <v/>
      </c>
      <c r="R1758" s="121" t="str">
        <v/>
      </c>
      <c r="S1758" s="121" t="str">
        <v>Customer geographic area/location</v>
      </c>
      <c r="T1758" s="119" t="str">
        <f>IF($C1758&lt;4,IF($C1758=3,T1759,IF($C1758=2,T$1,"")),Q1758&amp;R1758&amp;IF(LEN(S1758)=0,"",Preferences!$C$2&amp;S1758)&amp;IF(J1759=J1758,IF(LEN(R1758&amp;S1758)=0,"","
")&amp;T1759,""))</f>
        <v xml:space="preserve">	• Customer geographic area/location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8" s="122" t="str">
        <v/>
      </c>
      <c r="V1758" s="42"/>
      <c r="W1758" s="42"/>
      <c r="X1758" s="42"/>
      <c r="Y1758" s="42"/>
      <c r="Z1758" s="42"/>
      <c r="AA1758" s="42"/>
      <c r="AB1758" s="42"/>
    </row>
    <row r="1759" spans="1:28" x14ac:dyDescent="0.25">
      <c r="A1759" s="42" t="str">
        <v>2.1.6.2</v>
      </c>
      <c r="B1759" s="121" t="str">
        <v>Include at least the following metrics for each article:</v>
      </c>
      <c r="C1759" s="41">
        <v>4</v>
      </c>
      <c r="D1759" s="41" t="str">
        <v>RD</v>
      </c>
      <c r="E1759" s="117" t="str">
        <f t="shared" si="0"/>
        <v>RD</v>
      </c>
      <c r="F1759" s="41" t="str">
        <v/>
      </c>
      <c r="G1759" s="41" t="str">
        <v/>
      </c>
      <c r="H1759" s="117">
        <f t="shared" si="1"/>
        <v>0</v>
      </c>
      <c r="I1759" s="117">
        <f t="shared" si="2"/>
        <v>1</v>
      </c>
      <c r="J1759" s="117">
        <f t="shared" si="3"/>
        <v>1.06</v>
      </c>
      <c r="K1759" s="117" t="str">
        <f t="shared" si="4"/>
        <v>IR</v>
      </c>
      <c r="L1759" s="42" t="str">
        <v>IR0106</v>
      </c>
      <c r="M1759" s="121" t="str">
        <v/>
      </c>
      <c r="N1759" s="121" t="str">
        <v/>
      </c>
      <c r="O1759" s="121" t="str">
        <v/>
      </c>
      <c r="P1759" s="121" t="str">
        <v/>
      </c>
      <c r="Q1759" s="121" t="str">
        <v xml:space="preserve"> 2. </v>
      </c>
      <c r="R1759" s="121" t="str">
        <v>Include at least the following metrics for each article:</v>
      </c>
      <c r="S1759" s="121" t="str">
        <v/>
      </c>
      <c r="T1759" s="119" t="str">
        <f>IF($C1759&lt;4,IF($C1759=3,T1760,IF($C1759=2,T$1,"")),Q1759&amp;R1759&amp;IF(LEN(S1759)=0,"",Preferences!$C$2&amp;S1759)&amp;IF(J1760=J1759,IF(LEN(R1759&amp;S1759)=0,"","
")&amp;T1760,""))</f>
        <v xml:space="preserve"> 2. Include at least the following metrics for each article:
	• Views
	• Clicks
	• Article added to library
	• Article linked product ordered (quantity, sales price)
	• Article linked product added to favourites or wish-list (quantity, sales price)
	• Article linked product purchased (quantity, sales price)</v>
      </c>
      <c r="U1759" s="122" t="str">
        <v/>
      </c>
      <c r="V1759" s="42"/>
      <c r="W1759" s="42"/>
      <c r="X1759" s="42"/>
      <c r="Y1759" s="42"/>
      <c r="Z1759" s="42"/>
      <c r="AA1759" s="42"/>
      <c r="AB1759" s="42"/>
    </row>
    <row r="1760" spans="1:28" x14ac:dyDescent="0.25">
      <c r="A1760" s="42" t="str">
        <v>2.1.6.2.1</v>
      </c>
      <c r="B1760" s="121" t="str">
        <v>Views</v>
      </c>
      <c r="C1760" s="41">
        <v>5</v>
      </c>
      <c r="D1760" s="41" t="str">
        <v>RL</v>
      </c>
      <c r="E1760" s="117" t="str">
        <f t="shared" si="0"/>
        <v>RL</v>
      </c>
      <c r="F1760" s="41" t="str">
        <v/>
      </c>
      <c r="G1760" s="41" t="str">
        <v/>
      </c>
      <c r="H1760" s="117">
        <f t="shared" si="1"/>
        <v>0</v>
      </c>
      <c r="I1760" s="117">
        <f t="shared" si="2"/>
        <v>1</v>
      </c>
      <c r="J1760" s="117">
        <f t="shared" si="3"/>
        <v>1.06</v>
      </c>
      <c r="K1760" s="117" t="str">
        <f t="shared" si="4"/>
        <v>IR</v>
      </c>
      <c r="L1760" s="42" t="str">
        <v>IR0106</v>
      </c>
      <c r="M1760" s="121" t="str">
        <v/>
      </c>
      <c r="N1760" s="121" t="str">
        <v/>
      </c>
      <c r="O1760" s="121" t="str">
        <v/>
      </c>
      <c r="P1760" s="121" t="str">
        <v/>
      </c>
      <c r="Q1760" s="121" t="str">
        <v/>
      </c>
      <c r="R1760" s="121" t="str">
        <v/>
      </c>
      <c r="S1760" s="121" t="str">
        <v>Views</v>
      </c>
      <c r="T1760" s="119" t="str">
        <f>IF($C1760&lt;4,IF($C1760=3,T1761,IF($C1760=2,T$1,"")),Q1760&amp;R1760&amp;IF(LEN(S1760)=0,"",Preferences!$C$2&amp;S1760)&amp;IF(J1761=J1760,IF(LEN(R1760&amp;S1760)=0,"","
")&amp;T1761,""))</f>
        <v xml:space="preserve">	• Views
	• Clicks
	• Article added to library
	• Article linked product ordered (quantity, sales price)
	• Article linked product added to favourites or wish-list (quantity, sales price)
	• Article linked product purchased (quantity, sales price)</v>
      </c>
      <c r="U1760" s="122" t="str">
        <v/>
      </c>
      <c r="V1760" s="42"/>
      <c r="W1760" s="42"/>
      <c r="X1760" s="42"/>
      <c r="Y1760" s="42"/>
      <c r="Z1760" s="42"/>
      <c r="AA1760" s="42"/>
      <c r="AB1760" s="42"/>
    </row>
    <row r="1761" spans="1:28" x14ac:dyDescent="0.25">
      <c r="A1761" s="42" t="str">
        <v>2.1.6.2.2</v>
      </c>
      <c r="B1761" s="121" t="str">
        <v>Clicks</v>
      </c>
      <c r="C1761" s="41">
        <v>5</v>
      </c>
      <c r="D1761" s="41" t="str">
        <v>RL</v>
      </c>
      <c r="E1761" s="117" t="str">
        <f t="shared" si="0"/>
        <v>RL</v>
      </c>
      <c r="F1761" s="41" t="str">
        <v/>
      </c>
      <c r="G1761" s="41" t="str">
        <v/>
      </c>
      <c r="H1761" s="117">
        <f t="shared" si="1"/>
        <v>0</v>
      </c>
      <c r="I1761" s="117">
        <f t="shared" si="2"/>
        <v>1</v>
      </c>
      <c r="J1761" s="117">
        <f t="shared" si="3"/>
        <v>1.06</v>
      </c>
      <c r="K1761" s="117" t="str">
        <f t="shared" si="4"/>
        <v>IR</v>
      </c>
      <c r="L1761" s="42" t="str">
        <v>IR0106</v>
      </c>
      <c r="M1761" s="121" t="str">
        <v/>
      </c>
      <c r="N1761" s="121" t="str">
        <v/>
      </c>
      <c r="O1761" s="121" t="str">
        <v/>
      </c>
      <c r="P1761" s="121" t="str">
        <v/>
      </c>
      <c r="Q1761" s="121" t="str">
        <v/>
      </c>
      <c r="R1761" s="121" t="str">
        <v/>
      </c>
      <c r="S1761" s="121" t="str">
        <v>Clicks</v>
      </c>
      <c r="T1761" s="119" t="str">
        <f>IF($C1761&lt;4,IF($C1761=3,T1762,IF($C1761=2,T$1,"")),Q1761&amp;R1761&amp;IF(LEN(S1761)=0,"",Preferences!$C$2&amp;S1761)&amp;IF(J1762=J1761,IF(LEN(R1761&amp;S1761)=0,"","
")&amp;T1762,""))</f>
        <v xml:space="preserve">	• Clicks
	• Article added to library
	• Article linked product ordered (quantity, sales price)
	• Article linked product added to favourites or wish-list (quantity, sales price)
	• Article linked product purchased (quantity, sales price)</v>
      </c>
      <c r="U1761" s="122" t="str">
        <v/>
      </c>
      <c r="V1761" s="42"/>
      <c r="W1761" s="42"/>
      <c r="X1761" s="42"/>
      <c r="Y1761" s="42"/>
      <c r="Z1761" s="42"/>
      <c r="AA1761" s="42"/>
      <c r="AB1761" s="42"/>
    </row>
    <row r="1762" spans="1:28" x14ac:dyDescent="0.25">
      <c r="A1762" s="42" t="str">
        <v>2.1.6.2.3</v>
      </c>
      <c r="B1762" s="121" t="str">
        <v>Article added to library</v>
      </c>
      <c r="C1762" s="41">
        <v>5</v>
      </c>
      <c r="D1762" s="41" t="str">
        <v>RL</v>
      </c>
      <c r="E1762" s="117" t="str">
        <f t="shared" si="0"/>
        <v>RL</v>
      </c>
      <c r="F1762" s="41" t="str">
        <v/>
      </c>
      <c r="G1762" s="41" t="str">
        <v/>
      </c>
      <c r="H1762" s="117">
        <f t="shared" si="1"/>
        <v>0</v>
      </c>
      <c r="I1762" s="117">
        <f t="shared" si="2"/>
        <v>1</v>
      </c>
      <c r="J1762" s="117">
        <f t="shared" si="3"/>
        <v>1.06</v>
      </c>
      <c r="K1762" s="117" t="str">
        <f t="shared" si="4"/>
        <v>IR</v>
      </c>
      <c r="L1762" s="42" t="str">
        <v>IR0106</v>
      </c>
      <c r="M1762" s="121" t="str">
        <v/>
      </c>
      <c r="N1762" s="121" t="str">
        <v/>
      </c>
      <c r="O1762" s="121" t="str">
        <v/>
      </c>
      <c r="P1762" s="121" t="str">
        <v/>
      </c>
      <c r="Q1762" s="121" t="str">
        <v/>
      </c>
      <c r="R1762" s="121" t="str">
        <v/>
      </c>
      <c r="S1762" s="121" t="str">
        <v>Article added to library</v>
      </c>
      <c r="T1762" s="119" t="str">
        <f>IF($C1762&lt;4,IF($C1762=3,T1763,IF($C1762=2,T$1,"")),Q1762&amp;R1762&amp;IF(LEN(S1762)=0,"",Preferences!$C$2&amp;S1762)&amp;IF(J1763=J1762,IF(LEN(R1762&amp;S1762)=0,"","
")&amp;T1763,""))</f>
        <v xml:space="preserve">	• Article added to library
	• Article linked product ordered (quantity, sales price)
	• Article linked product added to favourites or wish-list (quantity, sales price)
	• Article linked product purchased (quantity, sales price)</v>
      </c>
      <c r="U1762" s="122" t="str">
        <v/>
      </c>
      <c r="V1762" s="42"/>
      <c r="W1762" s="42"/>
      <c r="X1762" s="42"/>
      <c r="Y1762" s="42"/>
      <c r="Z1762" s="42"/>
      <c r="AA1762" s="42"/>
      <c r="AB1762" s="42"/>
    </row>
    <row r="1763" spans="1:28" x14ac:dyDescent="0.25">
      <c r="A1763" s="42" t="str">
        <v>2.1.6.2.4</v>
      </c>
      <c r="B1763" s="121" t="str">
        <v>Article linked product ordered (quantity, sales price)</v>
      </c>
      <c r="C1763" s="41">
        <v>5</v>
      </c>
      <c r="D1763" s="41" t="str">
        <v>RL</v>
      </c>
      <c r="E1763" s="117" t="str">
        <f t="shared" si="0"/>
        <v>RL</v>
      </c>
      <c r="F1763" s="41" t="str">
        <v/>
      </c>
      <c r="G1763" s="41" t="str">
        <v/>
      </c>
      <c r="H1763" s="117">
        <f t="shared" si="1"/>
        <v>0</v>
      </c>
      <c r="I1763" s="117">
        <f t="shared" si="2"/>
        <v>1</v>
      </c>
      <c r="J1763" s="117">
        <f t="shared" si="3"/>
        <v>1.06</v>
      </c>
      <c r="K1763" s="117" t="str">
        <f t="shared" si="4"/>
        <v>IR</v>
      </c>
      <c r="L1763" s="42" t="str">
        <v>IR0106</v>
      </c>
      <c r="M1763" s="121" t="str">
        <v/>
      </c>
      <c r="N1763" s="121" t="str">
        <v/>
      </c>
      <c r="O1763" s="121" t="str">
        <v/>
      </c>
      <c r="P1763" s="121" t="str">
        <v/>
      </c>
      <c r="Q1763" s="121" t="str">
        <v/>
      </c>
      <c r="R1763" s="121" t="str">
        <v/>
      </c>
      <c r="S1763" s="121" t="str">
        <v>Article linked product ordered (quantity, sales price)</v>
      </c>
      <c r="T1763" s="119" t="str">
        <f>IF($C1763&lt;4,IF($C1763=3,T1764,IF($C1763=2,T$1,"")),Q1763&amp;R1763&amp;IF(LEN(S1763)=0,"",Preferences!$C$2&amp;S1763)&amp;IF(J1764=J1763,IF(LEN(R1763&amp;S1763)=0,"","
")&amp;T1764,""))</f>
        <v xml:space="preserve">	• Article linked product ordered (quantity, sales price)
	• Article linked product added to favourites or wish-list (quantity, sales price)
	• Article linked product purchased (quantity, sales price)</v>
      </c>
      <c r="U1763" s="122" t="str">
        <v/>
      </c>
      <c r="V1763" s="42"/>
      <c r="W1763" s="42"/>
      <c r="X1763" s="42"/>
      <c r="Y1763" s="42"/>
      <c r="Z1763" s="42"/>
      <c r="AA1763" s="42"/>
      <c r="AB1763" s="42"/>
    </row>
    <row r="1764" spans="1:28" x14ac:dyDescent="0.25">
      <c r="A1764" s="42" t="str">
        <v>2.1.6.2.5</v>
      </c>
      <c r="B1764" s="121" t="str">
        <v>Article linked product added to favourites or wish-list (quantity, sales price)</v>
      </c>
      <c r="C1764" s="41">
        <v>5</v>
      </c>
      <c r="D1764" s="41" t="str">
        <v>RL</v>
      </c>
      <c r="E1764" s="117" t="str">
        <f t="shared" si="0"/>
        <v>RL</v>
      </c>
      <c r="F1764" s="41" t="str">
        <v/>
      </c>
      <c r="G1764" s="41" t="str">
        <v/>
      </c>
      <c r="H1764" s="117">
        <f t="shared" si="1"/>
        <v>0</v>
      </c>
      <c r="I1764" s="117">
        <f t="shared" si="2"/>
        <v>1</v>
      </c>
      <c r="J1764" s="117">
        <f t="shared" si="3"/>
        <v>1.06</v>
      </c>
      <c r="K1764" s="117" t="str">
        <f t="shared" si="4"/>
        <v>IR</v>
      </c>
      <c r="L1764" s="42" t="str">
        <v>IR0106</v>
      </c>
      <c r="M1764" s="121" t="str">
        <v/>
      </c>
      <c r="N1764" s="121" t="str">
        <v/>
      </c>
      <c r="O1764" s="121" t="str">
        <v/>
      </c>
      <c r="P1764" s="121" t="str">
        <v/>
      </c>
      <c r="Q1764" s="121" t="str">
        <v/>
      </c>
      <c r="R1764" s="121" t="str">
        <v/>
      </c>
      <c r="S1764" s="121" t="str">
        <v>Article linked product added to favourites or wish-list (quantity, sales price)</v>
      </c>
      <c r="T1764" s="119" t="str">
        <f>IF($C1764&lt;4,IF($C1764=3,T1765,IF($C1764=2,T$1,"")),Q1764&amp;R1764&amp;IF(LEN(S1764)=0,"",Preferences!$C$2&amp;S1764)&amp;IF(J1765=J1764,IF(LEN(R1764&amp;S1764)=0,"","
")&amp;T1765,""))</f>
        <v xml:space="preserve">	• Article linked product added to favourites or wish-list (quantity, sales price)
	• Article linked product purchased (quantity, sales price)</v>
      </c>
      <c r="U1764" s="122" t="str">
        <v/>
      </c>
      <c r="V1764" s="42"/>
      <c r="W1764" s="42"/>
      <c r="X1764" s="42"/>
      <c r="Y1764" s="42"/>
      <c r="Z1764" s="42"/>
      <c r="AA1764" s="42"/>
      <c r="AB1764" s="42"/>
    </row>
    <row r="1765" spans="1:28" x14ac:dyDescent="0.25">
      <c r="A1765" s="42" t="str">
        <v>2.1.6.2.6</v>
      </c>
      <c r="B1765" s="121" t="str">
        <v>Article linked product purchased (quantity, sales price)</v>
      </c>
      <c r="C1765" s="41">
        <v>5</v>
      </c>
      <c r="D1765" s="41" t="str">
        <v>RL</v>
      </c>
      <c r="E1765" s="117" t="str">
        <f t="shared" si="0"/>
        <v>RL</v>
      </c>
      <c r="F1765" s="41" t="str">
        <v/>
      </c>
      <c r="G1765" s="41" t="str">
        <v/>
      </c>
      <c r="H1765" s="117">
        <f t="shared" si="1"/>
        <v>0</v>
      </c>
      <c r="I1765" s="117">
        <f t="shared" si="2"/>
        <v>1</v>
      </c>
      <c r="J1765" s="117">
        <f t="shared" si="3"/>
        <v>1.06</v>
      </c>
      <c r="K1765" s="117" t="str">
        <f t="shared" si="4"/>
        <v>IR</v>
      </c>
      <c r="L1765" s="42" t="str">
        <v>IR0106</v>
      </c>
      <c r="M1765" s="121" t="str">
        <v/>
      </c>
      <c r="N1765" s="121" t="str">
        <v/>
      </c>
      <c r="O1765" s="121" t="str">
        <v/>
      </c>
      <c r="P1765" s="121" t="str">
        <v/>
      </c>
      <c r="Q1765" s="121" t="str">
        <v/>
      </c>
      <c r="R1765" s="121" t="str">
        <v/>
      </c>
      <c r="S1765" s="121" t="str">
        <v>Article linked product purchased (quantity, sales price)</v>
      </c>
      <c r="T1765" s="119" t="str">
        <f>IF($C1765&lt;4,IF($C1765=3,T1766,IF($C1765=2,T$1,"")),Q1765&amp;R1765&amp;IF(LEN(S1765)=0,"",Preferences!$C$2&amp;S1765)&amp;IF(J1766=J1765,IF(LEN(R1765&amp;S1765)=0,"","
")&amp;T1766,""))</f>
        <v xml:space="preserve">	• Article linked product purchased (quantity, sales price)</v>
      </c>
      <c r="U1765" s="122" t="str">
        <v/>
      </c>
      <c r="V1765" s="42"/>
      <c r="W1765" s="42"/>
      <c r="X1765" s="42"/>
      <c r="Y1765" s="42"/>
      <c r="Z1765" s="42"/>
      <c r="AA1765" s="42"/>
      <c r="AB1765" s="42"/>
    </row>
    <row r="1766" spans="1:28" x14ac:dyDescent="0.25">
      <c r="A1766" s="42" t="str">
        <v>2.2</v>
      </c>
      <c r="B1766" s="121" t="str">
        <v>2 Analytical Reports</v>
      </c>
      <c r="C1766" s="41">
        <v>2</v>
      </c>
      <c r="D1766" s="41" t="str">
        <v>RS</v>
      </c>
      <c r="E1766" s="117" t="str">
        <f t="shared" si="0"/>
        <v>RS</v>
      </c>
      <c r="F1766" s="41" t="str">
        <v/>
      </c>
      <c r="G1766" s="41" t="str">
        <v/>
      </c>
      <c r="H1766" s="117">
        <f t="shared" si="1"/>
        <v>0</v>
      </c>
      <c r="I1766" s="117">
        <f t="shared" si="2"/>
        <v>2</v>
      </c>
      <c r="J1766" s="117">
        <f t="shared" si="3"/>
        <v>2</v>
      </c>
      <c r="K1766" s="117" t="str">
        <f t="shared" si="4"/>
        <v>IR</v>
      </c>
      <c r="L1766" s="42">
        <v>2</v>
      </c>
      <c r="M1766" s="121" t="str">
        <v/>
      </c>
      <c r="N1766" s="121" t="str">
        <v>2 Analytical Reports</v>
      </c>
      <c r="O1766" s="121" t="str">
        <v>ReqID</v>
      </c>
      <c r="P1766" s="121" t="e">
        <v>#N/A</v>
      </c>
      <c r="Q1766" s="121" t="str">
        <v/>
      </c>
      <c r="R1766" s="121" t="str">
        <v/>
      </c>
      <c r="S1766" s="121" t="str">
        <v/>
      </c>
      <c r="T1766" s="119" t="str">
        <f>IF($C1766&lt;4,IF($C1766=3,T1767,IF($C1766=2,T$1,"")),Q1766&amp;R1766&amp;IF(LEN(S1766)=0,"",Preferences!$C$2&amp;S1766)&amp;IF(J1767=J1766,IF(LEN(R1766&amp;S1766)=0,"","
")&amp;T1767,""))</f>
        <v>Description</v>
      </c>
      <c r="U1766" s="122" t="str">
        <v/>
      </c>
      <c r="V1766" s="42"/>
      <c r="W1766" s="42"/>
      <c r="X1766" s="42"/>
      <c r="Y1766" s="42"/>
      <c r="Z1766" s="42"/>
      <c r="AA1766" s="42"/>
      <c r="AB1766" s="42"/>
    </row>
    <row r="1767" spans="1:28" x14ac:dyDescent="0.25">
      <c r="A1767" s="42" t="str">
        <v>2.2.1</v>
      </c>
      <c r="B1767" s="121" t="str">
        <v>2.1 Provide business performance reports</v>
      </c>
      <c r="C1767" s="41">
        <v>3</v>
      </c>
      <c r="D1767" s="41" t="str">
        <v>R</v>
      </c>
      <c r="E1767" s="117" t="str">
        <f t="shared" si="0"/>
        <v>R</v>
      </c>
      <c r="F1767" s="41" t="str">
        <v/>
      </c>
      <c r="G1767" s="41" t="str">
        <v/>
      </c>
      <c r="H1767" s="117">
        <f t="shared" si="1"/>
        <v>0</v>
      </c>
      <c r="I1767" s="117">
        <f t="shared" si="2"/>
        <v>2</v>
      </c>
      <c r="J1767" s="117">
        <f t="shared" si="3"/>
        <v>2.0099999999999998</v>
      </c>
      <c r="K1767" s="117" t="str">
        <f t="shared" si="4"/>
        <v>IR</v>
      </c>
      <c r="L1767" s="42" t="str">
        <v>IR0201</v>
      </c>
      <c r="M1767" s="121" t="str">
        <v/>
      </c>
      <c r="N1767" s="121" t="str">
        <v/>
      </c>
      <c r="O1767" s="121" t="str">
        <v>IR0201</v>
      </c>
      <c r="P1767" s="121" t="str">
        <v>Provide business performance reports</v>
      </c>
      <c r="Q1767" s="121" t="str">
        <v/>
      </c>
      <c r="R1767" s="121" t="str">
        <v/>
      </c>
      <c r="S1767" s="121" t="str">
        <v/>
      </c>
      <c r="T1767" s="119" t="str">
        <f>IF($C1767&lt;4,IF($C1767=3,T1768,IF($C1767=2,T$1,"")),Q1767&amp;R1767&amp;IF(LEN(S1767)=0,"",Preferences!$C$2&amp;S1767)&amp;IF(J1768=J1767,IF(LEN(R1767&amp;S1767)=0,"","
")&amp;T1768,""))</f>
        <v xml:space="preserve"> 1. Provide performance (summary) reporting for use by the following areas in the business:
	• Senior Management (overall)
	• Marketing
	• Promotion Management
	• Product Management
	• Orders Management
	• Operations Management (end-to-end)
	• Contact Centre
	• Finance - Banking and Payments
	• Finance - Suppliers</v>
      </c>
      <c r="U1767" s="122" t="str">
        <v/>
      </c>
      <c r="V1767" s="42"/>
      <c r="W1767" s="42"/>
      <c r="X1767" s="42"/>
      <c r="Y1767" s="42"/>
      <c r="Z1767" s="42"/>
      <c r="AA1767" s="42"/>
      <c r="AB1767" s="42"/>
    </row>
    <row r="1768" spans="1:28" x14ac:dyDescent="0.25">
      <c r="A1768" s="42" t="str">
        <v>2.2.1.1</v>
      </c>
      <c r="B1768" s="121" t="str">
        <v>Provide performance (summary) reporting for use by the following areas in the business:</v>
      </c>
      <c r="C1768" s="41">
        <v>4</v>
      </c>
      <c r="D1768" s="41" t="str">
        <v>RD</v>
      </c>
      <c r="E1768" s="117" t="str">
        <f t="shared" si="0"/>
        <v>RD</v>
      </c>
      <c r="F1768" s="41" t="str">
        <v/>
      </c>
      <c r="G1768" s="41" t="str">
        <v/>
      </c>
      <c r="H1768" s="117">
        <f t="shared" si="1"/>
        <v>0</v>
      </c>
      <c r="I1768" s="117">
        <f t="shared" si="2"/>
        <v>2</v>
      </c>
      <c r="J1768" s="117">
        <f t="shared" si="3"/>
        <v>2.0099999999999998</v>
      </c>
      <c r="K1768" s="117" t="str">
        <f t="shared" si="4"/>
        <v>IR</v>
      </c>
      <c r="L1768" s="42" t="str">
        <v>IR0201</v>
      </c>
      <c r="M1768" s="121" t="str">
        <v/>
      </c>
      <c r="N1768" s="121" t="str">
        <v/>
      </c>
      <c r="O1768" s="121" t="str">
        <v/>
      </c>
      <c r="P1768" s="121" t="str">
        <v/>
      </c>
      <c r="Q1768" s="121" t="str">
        <v xml:space="preserve"> 1. </v>
      </c>
      <c r="R1768" s="121" t="str">
        <v>Provide performance (summary) reporting for use by the following areas in the business:</v>
      </c>
      <c r="S1768" s="121" t="str">
        <v/>
      </c>
      <c r="T1768" s="119" t="str">
        <f>IF($C1768&lt;4,IF($C1768=3,T1769,IF($C1768=2,T$1,"")),Q1768&amp;R1768&amp;IF(LEN(S1768)=0,"",Preferences!$C$2&amp;S1768)&amp;IF(J1769=J1768,IF(LEN(R1768&amp;S1768)=0,"","
")&amp;T1769,""))</f>
        <v xml:space="preserve"> 1. Provide performance (summary) reporting for use by the following areas in the business:
	• Senior Management (overall)
	• Marketing
	• Promotion Management
	• Product Management
	• Orders Management
	• Operations Management (end-to-end)
	• Contact Centre
	• Finance - Banking and Payments
	• Finance - Suppliers</v>
      </c>
      <c r="U1768" s="122" t="str">
        <v/>
      </c>
      <c r="V1768" s="42"/>
      <c r="W1768" s="42"/>
      <c r="X1768" s="42"/>
      <c r="Y1768" s="42"/>
      <c r="Z1768" s="42"/>
      <c r="AA1768" s="42"/>
      <c r="AB1768" s="42"/>
    </row>
    <row r="1769" spans="1:28" x14ac:dyDescent="0.25">
      <c r="A1769" s="42" t="str">
        <v>2.2.1.1.1</v>
      </c>
      <c r="B1769" s="121" t="str">
        <v>Senior Management (overall)</v>
      </c>
      <c r="C1769" s="41">
        <v>5</v>
      </c>
      <c r="D1769" s="41" t="str">
        <v>RL</v>
      </c>
      <c r="E1769" s="117" t="str">
        <f t="shared" si="0"/>
        <v>RL</v>
      </c>
      <c r="F1769" s="41" t="str">
        <v/>
      </c>
      <c r="G1769" s="41" t="str">
        <v/>
      </c>
      <c r="H1769" s="117">
        <f t="shared" si="1"/>
        <v>0</v>
      </c>
      <c r="I1769" s="117">
        <f t="shared" si="2"/>
        <v>2</v>
      </c>
      <c r="J1769" s="117">
        <f t="shared" si="3"/>
        <v>2.0099999999999998</v>
      </c>
      <c r="K1769" s="117" t="str">
        <f t="shared" si="4"/>
        <v>IR</v>
      </c>
      <c r="L1769" s="42" t="str">
        <v>IR0201</v>
      </c>
      <c r="M1769" s="121" t="str">
        <v/>
      </c>
      <c r="N1769" s="121" t="str">
        <v/>
      </c>
      <c r="O1769" s="121" t="str">
        <v/>
      </c>
      <c r="P1769" s="121" t="str">
        <v/>
      </c>
      <c r="Q1769" s="121" t="str">
        <v/>
      </c>
      <c r="R1769" s="121" t="str">
        <v/>
      </c>
      <c r="S1769" s="121" t="str">
        <v>Senior Management (overall)</v>
      </c>
      <c r="T1769" s="119" t="str">
        <f>IF($C1769&lt;4,IF($C1769=3,T1770,IF($C1769=2,T$1,"")),Q1769&amp;R1769&amp;IF(LEN(S1769)=0,"",Preferences!$C$2&amp;S1769)&amp;IF(J1770=J1769,IF(LEN(R1769&amp;S1769)=0,"","
")&amp;T1770,""))</f>
        <v xml:space="preserve">	• Senior Management (overall)
	• Marketing
	• Promotion Management
	• Product Management
	• Orders Management
	• Operations Management (end-to-end)
	• Contact Centre
	• Finance - Banking and Payments
	• Finance - Suppliers</v>
      </c>
      <c r="U1769" s="122" t="str">
        <v/>
      </c>
      <c r="V1769" s="42"/>
      <c r="W1769" s="42"/>
      <c r="X1769" s="42"/>
      <c r="Y1769" s="42"/>
      <c r="Z1769" s="42"/>
      <c r="AA1769" s="42"/>
      <c r="AB1769" s="42"/>
    </row>
    <row r="1770" spans="1:28" x14ac:dyDescent="0.25">
      <c r="A1770" s="42" t="str">
        <v>2.2.1.1.2</v>
      </c>
      <c r="B1770" s="121" t="str">
        <v>Marketing</v>
      </c>
      <c r="C1770" s="41">
        <v>5</v>
      </c>
      <c r="D1770" s="41" t="str">
        <v>RL</v>
      </c>
      <c r="E1770" s="117" t="str">
        <f t="shared" si="0"/>
        <v>RL</v>
      </c>
      <c r="F1770" s="41" t="str">
        <v/>
      </c>
      <c r="G1770" s="41" t="str">
        <v/>
      </c>
      <c r="H1770" s="117">
        <f t="shared" si="1"/>
        <v>0</v>
      </c>
      <c r="I1770" s="117">
        <f t="shared" si="2"/>
        <v>2</v>
      </c>
      <c r="J1770" s="117">
        <f t="shared" si="3"/>
        <v>2.0099999999999998</v>
      </c>
      <c r="K1770" s="117" t="str">
        <f t="shared" si="4"/>
        <v>IR</v>
      </c>
      <c r="L1770" s="42" t="str">
        <v>IR0201</v>
      </c>
      <c r="M1770" s="121" t="str">
        <v/>
      </c>
      <c r="N1770" s="121" t="str">
        <v/>
      </c>
      <c r="O1770" s="121" t="str">
        <v/>
      </c>
      <c r="P1770" s="121" t="str">
        <v/>
      </c>
      <c r="Q1770" s="121" t="str">
        <v/>
      </c>
      <c r="R1770" s="121" t="str">
        <v/>
      </c>
      <c r="S1770" s="121" t="str">
        <v>Marketing</v>
      </c>
      <c r="T1770" s="119" t="str">
        <f>IF($C1770&lt;4,IF($C1770=3,T1771,IF($C1770=2,T$1,"")),Q1770&amp;R1770&amp;IF(LEN(S1770)=0,"",Preferences!$C$2&amp;S1770)&amp;IF(J1771=J1770,IF(LEN(R1770&amp;S1770)=0,"","
")&amp;T1771,""))</f>
        <v xml:space="preserve">	• Marketing
	• Promotion Management
	• Product Management
	• Orders Management
	• Operations Management (end-to-end)
	• Contact Centre
	• Finance - Banking and Payments
	• Finance - Suppliers</v>
      </c>
      <c r="U1770" s="122" t="str">
        <v/>
      </c>
      <c r="V1770" s="42"/>
      <c r="W1770" s="42"/>
      <c r="X1770" s="42"/>
      <c r="Y1770" s="42"/>
      <c r="Z1770" s="42"/>
      <c r="AA1770" s="42"/>
      <c r="AB1770" s="42"/>
    </row>
    <row r="1771" spans="1:28" x14ac:dyDescent="0.25">
      <c r="A1771" s="42" t="str">
        <v>2.2.1.1.3</v>
      </c>
      <c r="B1771" s="121" t="str">
        <v>Promotion Management</v>
      </c>
      <c r="C1771" s="41">
        <v>5</v>
      </c>
      <c r="D1771" s="41" t="str">
        <v>RL</v>
      </c>
      <c r="E1771" s="117" t="str">
        <f t="shared" si="0"/>
        <v>RL</v>
      </c>
      <c r="F1771" s="41" t="str">
        <v/>
      </c>
      <c r="G1771" s="41" t="str">
        <v/>
      </c>
      <c r="H1771" s="117">
        <f t="shared" si="1"/>
        <v>0</v>
      </c>
      <c r="I1771" s="117">
        <f t="shared" si="2"/>
        <v>2</v>
      </c>
      <c r="J1771" s="117">
        <f t="shared" si="3"/>
        <v>2.0099999999999998</v>
      </c>
      <c r="K1771" s="117" t="str">
        <f t="shared" si="4"/>
        <v>IR</v>
      </c>
      <c r="L1771" s="42" t="str">
        <v>IR0201</v>
      </c>
      <c r="M1771" s="121" t="str">
        <v/>
      </c>
      <c r="N1771" s="121" t="str">
        <v/>
      </c>
      <c r="O1771" s="121" t="str">
        <v/>
      </c>
      <c r="P1771" s="121" t="str">
        <v/>
      </c>
      <c r="Q1771" s="121" t="str">
        <v/>
      </c>
      <c r="R1771" s="121" t="str">
        <v/>
      </c>
      <c r="S1771" s="121" t="str">
        <v>Promotion Management</v>
      </c>
      <c r="T1771" s="119" t="str">
        <f>IF($C1771&lt;4,IF($C1771=3,T1772,IF($C1771=2,T$1,"")),Q1771&amp;R1771&amp;IF(LEN(S1771)=0,"",Preferences!$C$2&amp;S1771)&amp;IF(J1772=J1771,IF(LEN(R1771&amp;S1771)=0,"","
")&amp;T1772,""))</f>
        <v xml:space="preserve">	• Promotion Management
	• Product Management
	• Orders Management
	• Operations Management (end-to-end)
	• Contact Centre
	• Finance - Banking and Payments
	• Finance - Suppliers</v>
      </c>
      <c r="U1771" s="122" t="str">
        <v/>
      </c>
      <c r="V1771" s="42"/>
      <c r="W1771" s="42"/>
      <c r="X1771" s="42"/>
      <c r="Y1771" s="42"/>
      <c r="Z1771" s="42"/>
      <c r="AA1771" s="42"/>
      <c r="AB1771" s="42"/>
    </row>
    <row r="1772" spans="1:28" x14ac:dyDescent="0.25">
      <c r="A1772" s="42" t="str">
        <v>2.2.1.1.4</v>
      </c>
      <c r="B1772" s="121" t="str">
        <v>Product Management</v>
      </c>
      <c r="C1772" s="41">
        <v>5</v>
      </c>
      <c r="D1772" s="41" t="str">
        <v>RL</v>
      </c>
      <c r="E1772" s="117" t="str">
        <f t="shared" si="0"/>
        <v>RL</v>
      </c>
      <c r="F1772" s="41" t="str">
        <v/>
      </c>
      <c r="G1772" s="41" t="str">
        <v/>
      </c>
      <c r="H1772" s="117">
        <f t="shared" si="1"/>
        <v>0</v>
      </c>
      <c r="I1772" s="117">
        <f t="shared" si="2"/>
        <v>2</v>
      </c>
      <c r="J1772" s="117">
        <f t="shared" si="3"/>
        <v>2.0099999999999998</v>
      </c>
      <c r="K1772" s="117" t="str">
        <f t="shared" si="4"/>
        <v>IR</v>
      </c>
      <c r="L1772" s="42" t="str">
        <v>IR0201</v>
      </c>
      <c r="M1772" s="121" t="str">
        <v/>
      </c>
      <c r="N1772" s="121" t="str">
        <v/>
      </c>
      <c r="O1772" s="121" t="str">
        <v/>
      </c>
      <c r="P1772" s="121" t="str">
        <v/>
      </c>
      <c r="Q1772" s="121" t="str">
        <v/>
      </c>
      <c r="R1772" s="121" t="str">
        <v/>
      </c>
      <c r="S1772" s="121" t="str">
        <v>Product Management</v>
      </c>
      <c r="T1772" s="119" t="str">
        <f>IF($C1772&lt;4,IF($C1772=3,T1773,IF($C1772=2,T$1,"")),Q1772&amp;R1772&amp;IF(LEN(S1772)=0,"",Preferences!$C$2&amp;S1772)&amp;IF(J1773=J1772,IF(LEN(R1772&amp;S1772)=0,"","
")&amp;T1773,""))</f>
        <v xml:space="preserve">	• Product Management
	• Orders Management
	• Operations Management (end-to-end)
	• Contact Centre
	• Finance - Banking and Payments
	• Finance - Suppliers</v>
      </c>
      <c r="U1772" s="122" t="str">
        <v/>
      </c>
      <c r="V1772" s="42"/>
      <c r="W1772" s="42"/>
      <c r="X1772" s="42"/>
      <c r="Y1772" s="42"/>
      <c r="Z1772" s="42"/>
      <c r="AA1772" s="42"/>
      <c r="AB1772" s="42"/>
    </row>
    <row r="1773" spans="1:28" x14ac:dyDescent="0.25">
      <c r="A1773" s="42" t="str">
        <v>2.2.1.1.5</v>
      </c>
      <c r="B1773" s="121" t="str">
        <v>Orders Management</v>
      </c>
      <c r="C1773" s="41">
        <v>5</v>
      </c>
      <c r="D1773" s="41" t="str">
        <v>RL</v>
      </c>
      <c r="E1773" s="117" t="str">
        <f t="shared" si="0"/>
        <v>RL</v>
      </c>
      <c r="F1773" s="41" t="str">
        <v/>
      </c>
      <c r="G1773" s="41" t="str">
        <v/>
      </c>
      <c r="H1773" s="117">
        <f t="shared" si="1"/>
        <v>0</v>
      </c>
      <c r="I1773" s="117">
        <f t="shared" si="2"/>
        <v>2</v>
      </c>
      <c r="J1773" s="117">
        <f t="shared" si="3"/>
        <v>2.0099999999999998</v>
      </c>
      <c r="K1773" s="117" t="str">
        <f t="shared" si="4"/>
        <v>IR</v>
      </c>
      <c r="L1773" s="42" t="str">
        <v>IR0201</v>
      </c>
      <c r="M1773" s="121" t="str">
        <v/>
      </c>
      <c r="N1773" s="121" t="str">
        <v/>
      </c>
      <c r="O1773" s="121" t="str">
        <v/>
      </c>
      <c r="P1773" s="121" t="str">
        <v/>
      </c>
      <c r="Q1773" s="121" t="str">
        <v/>
      </c>
      <c r="R1773" s="121" t="str">
        <v/>
      </c>
      <c r="S1773" s="121" t="str">
        <v>Orders Management</v>
      </c>
      <c r="T1773" s="119" t="str">
        <f>IF($C1773&lt;4,IF($C1773=3,T1774,IF($C1773=2,T$1,"")),Q1773&amp;R1773&amp;IF(LEN(S1773)=0,"",Preferences!$C$2&amp;S1773)&amp;IF(J1774=J1773,IF(LEN(R1773&amp;S1773)=0,"","
")&amp;T1774,""))</f>
        <v xml:space="preserve">	• Orders Management
	• Operations Management (end-to-end)
	• Contact Centre
	• Finance - Banking and Payments
	• Finance - Suppliers</v>
      </c>
      <c r="U1773" s="122" t="str">
        <v/>
      </c>
      <c r="V1773" s="42"/>
      <c r="W1773" s="42"/>
      <c r="X1773" s="42"/>
      <c r="Y1773" s="42"/>
      <c r="Z1773" s="42"/>
      <c r="AA1773" s="42"/>
      <c r="AB1773" s="42"/>
    </row>
    <row r="1774" spans="1:28" x14ac:dyDescent="0.25">
      <c r="A1774" s="42" t="str">
        <v>2.2.1.1.6</v>
      </c>
      <c r="B1774" s="121" t="str">
        <v>Operations Management (end-to-end)</v>
      </c>
      <c r="C1774" s="41">
        <v>5</v>
      </c>
      <c r="D1774" s="41" t="str">
        <v>RL</v>
      </c>
      <c r="E1774" s="117" t="str">
        <f t="shared" si="0"/>
        <v>RL</v>
      </c>
      <c r="F1774" s="41" t="str">
        <v/>
      </c>
      <c r="G1774" s="41" t="str">
        <v/>
      </c>
      <c r="H1774" s="117">
        <f t="shared" si="1"/>
        <v>0</v>
      </c>
      <c r="I1774" s="117">
        <f t="shared" si="2"/>
        <v>2</v>
      </c>
      <c r="J1774" s="117">
        <f t="shared" si="3"/>
        <v>2.0099999999999998</v>
      </c>
      <c r="K1774" s="117" t="str">
        <f t="shared" si="4"/>
        <v>IR</v>
      </c>
      <c r="L1774" s="42" t="str">
        <v>IR0201</v>
      </c>
      <c r="M1774" s="121" t="str">
        <v/>
      </c>
      <c r="N1774" s="121" t="str">
        <v/>
      </c>
      <c r="O1774" s="121" t="str">
        <v/>
      </c>
      <c r="P1774" s="121" t="str">
        <v/>
      </c>
      <c r="Q1774" s="121" t="str">
        <v/>
      </c>
      <c r="R1774" s="121" t="str">
        <v/>
      </c>
      <c r="S1774" s="121" t="str">
        <v>Operations Management (end-to-end)</v>
      </c>
      <c r="T1774" s="119" t="str">
        <f>IF($C1774&lt;4,IF($C1774=3,T1775,IF($C1774=2,T$1,"")),Q1774&amp;R1774&amp;IF(LEN(S1774)=0,"",Preferences!$C$2&amp;S1774)&amp;IF(J1775=J1774,IF(LEN(R1774&amp;S1774)=0,"","
")&amp;T1775,""))</f>
        <v xml:space="preserve">	• Operations Management (end-to-end)
	• Contact Centre
	• Finance - Banking and Payments
	• Finance - Suppliers</v>
      </c>
      <c r="U1774" s="122" t="str">
        <v/>
      </c>
      <c r="V1774" s="42"/>
      <c r="W1774" s="42"/>
      <c r="X1774" s="42"/>
      <c r="Y1774" s="42"/>
      <c r="Z1774" s="42"/>
      <c r="AA1774" s="42"/>
      <c r="AB1774" s="42"/>
    </row>
    <row r="1775" spans="1:28" x14ac:dyDescent="0.25">
      <c r="A1775" s="42" t="str">
        <v>2.2.1.1.7</v>
      </c>
      <c r="B1775" s="121" t="str">
        <v>Contact Centre</v>
      </c>
      <c r="C1775" s="41">
        <v>5</v>
      </c>
      <c r="D1775" s="41" t="str">
        <v>RL</v>
      </c>
      <c r="E1775" s="117" t="str">
        <f t="shared" si="0"/>
        <v>RL</v>
      </c>
      <c r="F1775" s="41" t="str">
        <v/>
      </c>
      <c r="G1775" s="41" t="str">
        <v/>
      </c>
      <c r="H1775" s="117">
        <f t="shared" si="1"/>
        <v>0</v>
      </c>
      <c r="I1775" s="117">
        <f t="shared" si="2"/>
        <v>2</v>
      </c>
      <c r="J1775" s="117">
        <f t="shared" si="3"/>
        <v>2.0099999999999998</v>
      </c>
      <c r="K1775" s="117" t="str">
        <f t="shared" si="4"/>
        <v>IR</v>
      </c>
      <c r="L1775" s="42" t="str">
        <v>IR0201</v>
      </c>
      <c r="M1775" s="121" t="str">
        <v/>
      </c>
      <c r="N1775" s="121" t="str">
        <v/>
      </c>
      <c r="O1775" s="121" t="str">
        <v/>
      </c>
      <c r="P1775" s="121" t="str">
        <v/>
      </c>
      <c r="Q1775" s="121" t="str">
        <v/>
      </c>
      <c r="R1775" s="121" t="str">
        <v/>
      </c>
      <c r="S1775" s="121" t="str">
        <v>Contact Centre</v>
      </c>
      <c r="T1775" s="119" t="str">
        <f>IF($C1775&lt;4,IF($C1775=3,T1776,IF($C1775=2,T$1,"")),Q1775&amp;R1775&amp;IF(LEN(S1775)=0,"",Preferences!$C$2&amp;S1775)&amp;IF(J1776=J1775,IF(LEN(R1775&amp;S1775)=0,"","
")&amp;T1776,""))</f>
        <v xml:space="preserve">	• Contact Centre
	• Finance - Banking and Payments
	• Finance - Suppliers</v>
      </c>
      <c r="U1775" s="122" t="str">
        <v/>
      </c>
      <c r="V1775" s="42"/>
      <c r="W1775" s="42"/>
      <c r="X1775" s="42"/>
      <c r="Y1775" s="42"/>
      <c r="Z1775" s="42"/>
      <c r="AA1775" s="42"/>
      <c r="AB1775" s="42"/>
    </row>
    <row r="1776" spans="1:28" x14ac:dyDescent="0.25">
      <c r="A1776" s="42" t="str">
        <v>2.2.1.1.8</v>
      </c>
      <c r="B1776" s="121" t="str">
        <v>Finance - Banking and Payments</v>
      </c>
      <c r="C1776" s="41">
        <v>5</v>
      </c>
      <c r="D1776" s="41" t="str">
        <v>RL</v>
      </c>
      <c r="E1776" s="117" t="str">
        <f t="shared" si="0"/>
        <v>RL</v>
      </c>
      <c r="F1776" s="41" t="str">
        <v/>
      </c>
      <c r="G1776" s="41" t="str">
        <v/>
      </c>
      <c r="H1776" s="117">
        <f t="shared" si="1"/>
        <v>0</v>
      </c>
      <c r="I1776" s="117">
        <f t="shared" si="2"/>
        <v>2</v>
      </c>
      <c r="J1776" s="117">
        <f t="shared" si="3"/>
        <v>2.0099999999999998</v>
      </c>
      <c r="K1776" s="117" t="str">
        <f t="shared" si="4"/>
        <v>IR</v>
      </c>
      <c r="L1776" s="42" t="str">
        <v>IR0201</v>
      </c>
      <c r="M1776" s="121" t="str">
        <v/>
      </c>
      <c r="N1776" s="121" t="str">
        <v/>
      </c>
      <c r="O1776" s="121" t="str">
        <v/>
      </c>
      <c r="P1776" s="121" t="str">
        <v/>
      </c>
      <c r="Q1776" s="121" t="str">
        <v/>
      </c>
      <c r="R1776" s="121" t="str">
        <v/>
      </c>
      <c r="S1776" s="121" t="str">
        <v>Finance - Banking and Payments</v>
      </c>
      <c r="T1776" s="119" t="str">
        <f>IF($C1776&lt;4,IF($C1776=3,T1777,IF($C1776=2,T$1,"")),Q1776&amp;R1776&amp;IF(LEN(S1776)=0,"",Preferences!$C$2&amp;S1776)&amp;IF(J1777=J1776,IF(LEN(R1776&amp;S1776)=0,"","
")&amp;T1777,""))</f>
        <v xml:space="preserve">	• Finance - Banking and Payments
	• Finance - Suppliers</v>
      </c>
      <c r="U1776" s="122" t="str">
        <v/>
      </c>
      <c r="V1776" s="42"/>
      <c r="W1776" s="42"/>
      <c r="X1776" s="42"/>
      <c r="Y1776" s="42"/>
      <c r="Z1776" s="42"/>
      <c r="AA1776" s="42"/>
      <c r="AB1776" s="42"/>
    </row>
    <row r="1777" spans="1:28" x14ac:dyDescent="0.25">
      <c r="A1777" s="42" t="str">
        <v>2.2.1.1.9</v>
      </c>
      <c r="B1777" s="121" t="str">
        <v>Finance - Suppliers</v>
      </c>
      <c r="C1777" s="41">
        <v>5</v>
      </c>
      <c r="D1777" s="41" t="str">
        <v>RL</v>
      </c>
      <c r="E1777" s="117" t="str">
        <f t="shared" si="0"/>
        <v>RL</v>
      </c>
      <c r="F1777" s="41" t="str">
        <v/>
      </c>
      <c r="G1777" s="41" t="str">
        <v/>
      </c>
      <c r="H1777" s="117">
        <f t="shared" si="1"/>
        <v>0</v>
      </c>
      <c r="I1777" s="117">
        <f t="shared" si="2"/>
        <v>2</v>
      </c>
      <c r="J1777" s="117">
        <f t="shared" si="3"/>
        <v>2.0099999999999998</v>
      </c>
      <c r="K1777" s="117" t="str">
        <f t="shared" si="4"/>
        <v>IR</v>
      </c>
      <c r="L1777" s="42" t="str">
        <v>IR0201</v>
      </c>
      <c r="M1777" s="121" t="str">
        <v/>
      </c>
      <c r="N1777" s="121" t="str">
        <v/>
      </c>
      <c r="O1777" s="121" t="str">
        <v/>
      </c>
      <c r="P1777" s="121" t="str">
        <v/>
      </c>
      <c r="Q1777" s="121" t="str">
        <v/>
      </c>
      <c r="R1777" s="121" t="str">
        <v/>
      </c>
      <c r="S1777" s="121" t="str">
        <v>Finance - Suppliers</v>
      </c>
      <c r="T1777" s="119" t="str">
        <f>IF($C1777&lt;4,IF($C1777=3,T1778,IF($C1777=2,T$1,"")),Q1777&amp;R1777&amp;IF(LEN(S1777)=0,"",Preferences!$C$2&amp;S1777)&amp;IF(J1778=J1777,IF(LEN(R1777&amp;S1777)=0,"","
")&amp;T1778,""))</f>
        <v xml:space="preserve">	• Finance - Suppliers</v>
      </c>
      <c r="U1777" s="122" t="str">
        <v/>
      </c>
      <c r="V1777" s="42"/>
      <c r="W1777" s="42"/>
      <c r="X1777" s="42"/>
      <c r="Y1777" s="42"/>
      <c r="Z1777" s="42"/>
      <c r="AA1777" s="42"/>
      <c r="AB1777" s="42"/>
    </row>
    <row r="1778" spans="1:28" x14ac:dyDescent="0.25">
      <c r="A1778" s="42" t="str">
        <v>2.2.2</v>
      </c>
      <c r="B1778" s="121" t="str">
        <v>2.2 Report on marketing campaign income and expenses</v>
      </c>
      <c r="C1778" s="41">
        <v>3</v>
      </c>
      <c r="D1778" s="41" t="str">
        <v>R</v>
      </c>
      <c r="E1778" s="117" t="str">
        <f t="shared" si="0"/>
        <v>R</v>
      </c>
      <c r="F1778" s="41" t="str">
        <v/>
      </c>
      <c r="G1778" s="41" t="str">
        <v/>
      </c>
      <c r="H1778" s="117">
        <f t="shared" si="1"/>
        <v>0</v>
      </c>
      <c r="I1778" s="117">
        <f t="shared" si="2"/>
        <v>2</v>
      </c>
      <c r="J1778" s="117">
        <f t="shared" si="3"/>
        <v>2.0199999999999996</v>
      </c>
      <c r="K1778" s="117" t="str">
        <f t="shared" si="4"/>
        <v>IR</v>
      </c>
      <c r="L1778" s="42" t="str">
        <v>IR0202</v>
      </c>
      <c r="M1778" s="121" t="str">
        <v/>
      </c>
      <c r="N1778" s="121" t="str">
        <v/>
      </c>
      <c r="O1778" s="121" t="str">
        <v>IR0202</v>
      </c>
      <c r="P1778" s="121" t="str">
        <v>Report on marketing campaign income and expenses</v>
      </c>
      <c r="Q1778" s="121" t="str">
        <v/>
      </c>
      <c r="R1778" s="121" t="str">
        <v/>
      </c>
      <c r="S1778" s="121" t="str">
        <v/>
      </c>
      <c r="T1778" s="119" t="str">
        <f>IF($C1778&lt;4,IF($C1778=3,T1779,IF($C1778=2,T$1,"")),Q1778&amp;R1778&amp;IF(LEN(S1778)=0,"",Preferences!$C$2&amp;S1778)&amp;IF(J1779=J1778,IF(LEN(R1778&amp;S1778)=0,"","
")&amp;T1779,""))</f>
        <v xml:space="preserve"> 1. Utilise online shop and financial data to report on the effectiveness of campaigns and advertisements at least across the following dimensions:
	• Channel
	• Supplier
	• Campaign or Special event</v>
      </c>
      <c r="U1778" s="122" t="str">
        <v/>
      </c>
      <c r="V1778" s="42"/>
      <c r="W1778" s="42"/>
      <c r="X1778" s="42"/>
      <c r="Y1778" s="42"/>
      <c r="Z1778" s="42"/>
      <c r="AA1778" s="42"/>
      <c r="AB1778" s="42"/>
    </row>
    <row r="1779" spans="1:28" x14ac:dyDescent="0.25">
      <c r="A1779" s="42" t="str">
        <v>2.2.2.1</v>
      </c>
      <c r="B1779" s="121" t="str">
        <v>Utilise online shop and financial data to report on the effectiveness of campaigns and advertisements at least across the following dimensions:</v>
      </c>
      <c r="C1779" s="41">
        <v>4</v>
      </c>
      <c r="D1779" s="41" t="str">
        <v>RD</v>
      </c>
      <c r="E1779" s="117" t="str">
        <f t="shared" si="0"/>
        <v>RD</v>
      </c>
      <c r="F1779" s="41" t="str">
        <v/>
      </c>
      <c r="G1779" s="41" t="str">
        <v/>
      </c>
      <c r="H1779" s="117">
        <f t="shared" si="1"/>
        <v>0</v>
      </c>
      <c r="I1779" s="117">
        <f t="shared" si="2"/>
        <v>2</v>
      </c>
      <c r="J1779" s="117">
        <f t="shared" si="3"/>
        <v>2.0199999999999996</v>
      </c>
      <c r="K1779" s="117" t="str">
        <f t="shared" si="4"/>
        <v>IR</v>
      </c>
      <c r="L1779" s="42" t="str">
        <v>IR0202</v>
      </c>
      <c r="M1779" s="121" t="str">
        <v/>
      </c>
      <c r="N1779" s="121" t="str">
        <v/>
      </c>
      <c r="O1779" s="121" t="str">
        <v/>
      </c>
      <c r="P1779" s="121" t="str">
        <v/>
      </c>
      <c r="Q1779" s="121" t="str">
        <v xml:space="preserve"> 1. </v>
      </c>
      <c r="R1779" s="121" t="str">
        <v>Utilise online shop and financial data to report on the effectiveness of campaigns and advertisements at least across the following dimensions:</v>
      </c>
      <c r="S1779" s="121" t="str">
        <v/>
      </c>
      <c r="T1779" s="119" t="str">
        <f>IF($C1779&lt;4,IF($C1779=3,T1780,IF($C1779=2,T$1,"")),Q1779&amp;R1779&amp;IF(LEN(S1779)=0,"",Preferences!$C$2&amp;S1779)&amp;IF(J1780=J1779,IF(LEN(R1779&amp;S1779)=0,"","
")&amp;T1780,""))</f>
        <v xml:space="preserve"> 1. Utilise online shop and financial data to report on the effectiveness of campaigns and advertisements at least across the following dimensions:
	• Channel
	• Supplier
	• Campaign or Special event</v>
      </c>
      <c r="U1779" s="122" t="str">
        <v/>
      </c>
      <c r="V1779" s="42"/>
      <c r="W1779" s="42"/>
      <c r="X1779" s="42"/>
      <c r="Y1779" s="42"/>
      <c r="Z1779" s="42"/>
      <c r="AA1779" s="42"/>
      <c r="AB1779" s="42"/>
    </row>
    <row r="1780" spans="1:28" x14ac:dyDescent="0.25">
      <c r="A1780" s="42" t="str">
        <v>2.2.2.1.1</v>
      </c>
      <c r="B1780" s="121" t="str">
        <v>Channel</v>
      </c>
      <c r="C1780" s="41">
        <v>5</v>
      </c>
      <c r="D1780" s="41" t="str">
        <v>RL</v>
      </c>
      <c r="E1780" s="117" t="str">
        <f t="shared" si="0"/>
        <v>RL</v>
      </c>
      <c r="F1780" s="41" t="str">
        <v/>
      </c>
      <c r="G1780" s="41" t="str">
        <v/>
      </c>
      <c r="H1780" s="117">
        <f t="shared" si="1"/>
        <v>0</v>
      </c>
      <c r="I1780" s="117">
        <f t="shared" si="2"/>
        <v>2</v>
      </c>
      <c r="J1780" s="117">
        <f t="shared" si="3"/>
        <v>2.0199999999999996</v>
      </c>
      <c r="K1780" s="117" t="str">
        <f t="shared" si="4"/>
        <v>IR</v>
      </c>
      <c r="L1780" s="42" t="str">
        <v>IR0202</v>
      </c>
      <c r="M1780" s="121" t="str">
        <v/>
      </c>
      <c r="N1780" s="121" t="str">
        <v/>
      </c>
      <c r="O1780" s="121" t="str">
        <v/>
      </c>
      <c r="P1780" s="121" t="str">
        <v/>
      </c>
      <c r="Q1780" s="121" t="str">
        <v/>
      </c>
      <c r="R1780" s="121" t="str">
        <v/>
      </c>
      <c r="S1780" s="121" t="str">
        <v>Channel</v>
      </c>
      <c r="T1780" s="119" t="str">
        <f>IF($C1780&lt;4,IF($C1780=3,T1781,IF($C1780=2,T$1,"")),Q1780&amp;R1780&amp;IF(LEN(S1780)=0,"",Preferences!$C$2&amp;S1780)&amp;IF(J1781=J1780,IF(LEN(R1780&amp;S1780)=0,"","
")&amp;T1781,""))</f>
        <v xml:space="preserve">	• Channel
	• Supplier
	• Campaign or Special event</v>
      </c>
      <c r="U1780" s="122" t="str">
        <v/>
      </c>
      <c r="V1780" s="42"/>
      <c r="W1780" s="42"/>
      <c r="X1780" s="42"/>
      <c r="Y1780" s="42"/>
      <c r="Z1780" s="42"/>
      <c r="AA1780" s="42"/>
      <c r="AB1780" s="42"/>
    </row>
    <row r="1781" spans="1:28" x14ac:dyDescent="0.25">
      <c r="A1781" s="42" t="str">
        <v>2.2.2.1.2</v>
      </c>
      <c r="B1781" s="121" t="str">
        <v>Supplier</v>
      </c>
      <c r="C1781" s="41">
        <v>5</v>
      </c>
      <c r="D1781" s="41" t="str">
        <v>RL</v>
      </c>
      <c r="E1781" s="117" t="str">
        <f t="shared" si="0"/>
        <v>RL</v>
      </c>
      <c r="F1781" s="41" t="str">
        <v/>
      </c>
      <c r="G1781" s="41" t="str">
        <v/>
      </c>
      <c r="H1781" s="117">
        <f t="shared" si="1"/>
        <v>0</v>
      </c>
      <c r="I1781" s="117">
        <f t="shared" si="2"/>
        <v>2</v>
      </c>
      <c r="J1781" s="117">
        <f t="shared" si="3"/>
        <v>2.0199999999999996</v>
      </c>
      <c r="K1781" s="117" t="str">
        <f t="shared" si="4"/>
        <v>IR</v>
      </c>
      <c r="L1781" s="42" t="str">
        <v>IR0202</v>
      </c>
      <c r="M1781" s="121" t="str">
        <v/>
      </c>
      <c r="N1781" s="121" t="str">
        <v/>
      </c>
      <c r="O1781" s="121" t="str">
        <v/>
      </c>
      <c r="P1781" s="121" t="str">
        <v/>
      </c>
      <c r="Q1781" s="121" t="str">
        <v/>
      </c>
      <c r="R1781" s="121" t="str">
        <v/>
      </c>
      <c r="S1781" s="121" t="str">
        <v>Supplier</v>
      </c>
      <c r="T1781" s="119" t="str">
        <f>IF($C1781&lt;4,IF($C1781=3,T1782,IF($C1781=2,T$1,"")),Q1781&amp;R1781&amp;IF(LEN(S1781)=0,"",Preferences!$C$2&amp;S1781)&amp;IF(J1782=J1781,IF(LEN(R1781&amp;S1781)=0,"","
")&amp;T1782,""))</f>
        <v xml:space="preserve">	• Supplier
	• Campaign or Special event</v>
      </c>
      <c r="U1781" s="122" t="str">
        <v/>
      </c>
      <c r="V1781" s="42"/>
      <c r="W1781" s="42"/>
      <c r="X1781" s="42"/>
      <c r="Y1781" s="42"/>
      <c r="Z1781" s="42"/>
      <c r="AA1781" s="42"/>
      <c r="AB1781" s="42"/>
    </row>
    <row r="1782" spans="1:28" x14ac:dyDescent="0.25">
      <c r="A1782" s="42" t="str">
        <v>2.2.2.1.3</v>
      </c>
      <c r="B1782" s="121" t="str">
        <v>Campaign or Special event</v>
      </c>
      <c r="C1782" s="41">
        <v>5</v>
      </c>
      <c r="D1782" s="41" t="str">
        <v>RL</v>
      </c>
      <c r="E1782" s="117" t="str">
        <f t="shared" si="0"/>
        <v>RL</v>
      </c>
      <c r="F1782" s="41" t="str">
        <v/>
      </c>
      <c r="G1782" s="41" t="str">
        <v/>
      </c>
      <c r="H1782" s="117">
        <f t="shared" si="1"/>
        <v>0</v>
      </c>
      <c r="I1782" s="117">
        <f t="shared" si="2"/>
        <v>2</v>
      </c>
      <c r="J1782" s="117">
        <f t="shared" si="3"/>
        <v>2.0199999999999996</v>
      </c>
      <c r="K1782" s="117" t="str">
        <f t="shared" si="4"/>
        <v>IR</v>
      </c>
      <c r="L1782" s="42" t="str">
        <v>IR0202</v>
      </c>
      <c r="M1782" s="121" t="str">
        <v/>
      </c>
      <c r="N1782" s="121" t="str">
        <v/>
      </c>
      <c r="O1782" s="121" t="str">
        <v/>
      </c>
      <c r="P1782" s="121" t="str">
        <v/>
      </c>
      <c r="Q1782" s="121" t="str">
        <v/>
      </c>
      <c r="R1782" s="121" t="str">
        <v/>
      </c>
      <c r="S1782" s="121" t="str">
        <v>Campaign or Special event</v>
      </c>
      <c r="T1782" s="119" t="str">
        <f>IF($C1782&lt;4,IF($C1782=3,T1783,IF($C1782=2,T$1,"")),Q1782&amp;R1782&amp;IF(LEN(S1782)=0,"",Preferences!$C$2&amp;S1782)&amp;IF(J1783=J1782,IF(LEN(R1782&amp;S1782)=0,"","
")&amp;T1783,""))</f>
        <v xml:space="preserve">	• Campaign or Special event</v>
      </c>
      <c r="U1782" s="122" t="str">
        <v/>
      </c>
      <c r="V1782" s="42"/>
      <c r="W1782" s="42"/>
      <c r="X1782" s="42"/>
      <c r="Y1782" s="42"/>
      <c r="Z1782" s="42"/>
      <c r="AA1782" s="42"/>
      <c r="AB1782" s="42"/>
    </row>
    <row r="1783" spans="1:28" x14ac:dyDescent="0.25">
      <c r="A1783" s="42" t="str">
        <v>2.2.3</v>
      </c>
      <c r="B1783" s="121" t="str">
        <v>2.3 Report on the use of presented content</v>
      </c>
      <c r="C1783" s="41">
        <v>3</v>
      </c>
      <c r="D1783" s="41" t="str">
        <v>R</v>
      </c>
      <c r="E1783" s="117" t="str">
        <f t="shared" si="0"/>
        <v>R</v>
      </c>
      <c r="F1783" s="41" t="str">
        <v/>
      </c>
      <c r="G1783" s="41" t="str">
        <v/>
      </c>
      <c r="H1783" s="117">
        <f t="shared" si="1"/>
        <v>0</v>
      </c>
      <c r="I1783" s="117">
        <f t="shared" si="2"/>
        <v>2</v>
      </c>
      <c r="J1783" s="117">
        <f t="shared" si="3"/>
        <v>2.0299999999999994</v>
      </c>
      <c r="K1783" s="117" t="str">
        <f t="shared" si="4"/>
        <v>IR</v>
      </c>
      <c r="L1783" s="42" t="str">
        <v>IR0203</v>
      </c>
      <c r="M1783" s="121" t="str">
        <v/>
      </c>
      <c r="N1783" s="121" t="str">
        <v/>
      </c>
      <c r="O1783" s="121" t="str">
        <v>IR0203</v>
      </c>
      <c r="P1783" s="121" t="str">
        <v>Report on the use of presented content</v>
      </c>
      <c r="Q1783" s="121" t="str">
        <v/>
      </c>
      <c r="R1783" s="121" t="str">
        <v/>
      </c>
      <c r="S1783" s="121" t="str">
        <v/>
      </c>
      <c r="T1783" s="119" t="str">
        <f>IF($C1783&lt;4,IF($C1783=3,T1784,IF($C1783=2,T$1,"")),Q1783&amp;R1783&amp;IF(LEN(S1783)=0,"",Preferences!$C$2&amp;S1783)&amp;IF(J1784=J1783,IF(LEN(R1783&amp;S1783)=0,"","
")&amp;T1784,""))</f>
        <v xml:space="preserve"> 1. Report on the best and worst performing (sales) products and product categories across the following:
	• Advertisements
	• Products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3" s="122" t="str">
        <v/>
      </c>
      <c r="V1783" s="42"/>
      <c r="W1783" s="42"/>
      <c r="X1783" s="42"/>
      <c r="Y1783" s="42"/>
      <c r="Z1783" s="42"/>
      <c r="AA1783" s="42"/>
      <c r="AB1783" s="42"/>
    </row>
    <row r="1784" spans="1:28" x14ac:dyDescent="0.25">
      <c r="A1784" s="42" t="str">
        <v>2.2.3.1</v>
      </c>
      <c r="B1784" s="121" t="str">
        <v>Report on the best and worst performing (sales) products and product categories across the following:</v>
      </c>
      <c r="C1784" s="41">
        <v>4</v>
      </c>
      <c r="D1784" s="41" t="str">
        <v>RD</v>
      </c>
      <c r="E1784" s="117" t="str">
        <f t="shared" si="0"/>
        <v>RD</v>
      </c>
      <c r="F1784" s="41" t="str">
        <v/>
      </c>
      <c r="G1784" s="41" t="str">
        <v/>
      </c>
      <c r="H1784" s="117">
        <f t="shared" si="1"/>
        <v>0</v>
      </c>
      <c r="I1784" s="117">
        <f t="shared" si="2"/>
        <v>2</v>
      </c>
      <c r="J1784" s="117">
        <f t="shared" si="3"/>
        <v>2.0299999999999994</v>
      </c>
      <c r="K1784" s="117" t="str">
        <f t="shared" si="4"/>
        <v>IR</v>
      </c>
      <c r="L1784" s="42" t="str">
        <v>IR0203</v>
      </c>
      <c r="M1784" s="121" t="str">
        <v/>
      </c>
      <c r="N1784" s="121" t="str">
        <v/>
      </c>
      <c r="O1784" s="121" t="str">
        <v/>
      </c>
      <c r="P1784" s="121" t="str">
        <v/>
      </c>
      <c r="Q1784" s="121" t="str">
        <v xml:space="preserve"> 1. </v>
      </c>
      <c r="R1784" s="121" t="str">
        <v>Report on the best and worst performing (sales) products and product categories across the following:</v>
      </c>
      <c r="S1784" s="121" t="str">
        <v/>
      </c>
      <c r="T1784" s="119" t="str">
        <f>IF($C1784&lt;4,IF($C1784=3,T1785,IF($C1784=2,T$1,"")),Q1784&amp;R1784&amp;IF(LEN(S1784)=0,"",Preferences!$C$2&amp;S1784)&amp;IF(J1785=J1784,IF(LEN(R1784&amp;S1784)=0,"","
")&amp;T1785,""))</f>
        <v xml:space="preserve"> 1. Report on the best and worst performing (sales) products and product categories across the following:
	• Advertisements
	• Products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4" s="122" t="str">
        <v/>
      </c>
      <c r="V1784" s="42"/>
      <c r="W1784" s="42"/>
      <c r="X1784" s="42"/>
      <c r="Y1784" s="42"/>
      <c r="Z1784" s="42"/>
      <c r="AA1784" s="42"/>
      <c r="AB1784" s="42"/>
    </row>
    <row r="1785" spans="1:28" x14ac:dyDescent="0.25">
      <c r="A1785" s="42" t="str">
        <v>2.2.3.1.1</v>
      </c>
      <c r="B1785" s="121" t="str">
        <v>Advertisements</v>
      </c>
      <c r="C1785" s="41">
        <v>5</v>
      </c>
      <c r="D1785" s="41" t="str">
        <v>RL</v>
      </c>
      <c r="E1785" s="117" t="str">
        <f t="shared" si="0"/>
        <v>RL</v>
      </c>
      <c r="F1785" s="41" t="str">
        <v/>
      </c>
      <c r="G1785" s="41" t="str">
        <v/>
      </c>
      <c r="H1785" s="117">
        <f t="shared" si="1"/>
        <v>0</v>
      </c>
      <c r="I1785" s="117">
        <f t="shared" si="2"/>
        <v>2</v>
      </c>
      <c r="J1785" s="117">
        <f t="shared" si="3"/>
        <v>2.0299999999999994</v>
      </c>
      <c r="K1785" s="117" t="str">
        <f t="shared" si="4"/>
        <v>IR</v>
      </c>
      <c r="L1785" s="42" t="str">
        <v>IR0203</v>
      </c>
      <c r="M1785" s="121" t="str">
        <v/>
      </c>
      <c r="N1785" s="121" t="str">
        <v/>
      </c>
      <c r="O1785" s="121" t="str">
        <v/>
      </c>
      <c r="P1785" s="121" t="str">
        <v/>
      </c>
      <c r="Q1785" s="121" t="str">
        <v/>
      </c>
      <c r="R1785" s="121" t="str">
        <v/>
      </c>
      <c r="S1785" s="121" t="str">
        <v>Advertisements</v>
      </c>
      <c r="T1785" s="119" t="str">
        <f>IF($C1785&lt;4,IF($C1785=3,T1786,IF($C1785=2,T$1,"")),Q1785&amp;R1785&amp;IF(LEN(S1785)=0,"",Preferences!$C$2&amp;S1785)&amp;IF(J1786=J1785,IF(LEN(R1785&amp;S1785)=0,"","
")&amp;T1786,""))</f>
        <v xml:space="preserve">	• Advertisements
	• Products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5" s="122" t="str">
        <v/>
      </c>
      <c r="V1785" s="42"/>
      <c r="W1785" s="42"/>
      <c r="X1785" s="42"/>
      <c r="Y1785" s="42"/>
      <c r="Z1785" s="42"/>
      <c r="AA1785" s="42"/>
      <c r="AB1785" s="42"/>
    </row>
    <row r="1786" spans="1:28" x14ac:dyDescent="0.25">
      <c r="A1786" s="42" t="str">
        <v>2.2.3.1.2</v>
      </c>
      <c r="B1786" s="121" t="str">
        <v>Products</v>
      </c>
      <c r="C1786" s="41">
        <v>5</v>
      </c>
      <c r="D1786" s="41" t="str">
        <v>RL</v>
      </c>
      <c r="E1786" s="117" t="str">
        <f t="shared" si="0"/>
        <v>RL</v>
      </c>
      <c r="F1786" s="41" t="str">
        <v/>
      </c>
      <c r="G1786" s="41" t="str">
        <v/>
      </c>
      <c r="H1786" s="117">
        <f t="shared" si="1"/>
        <v>0</v>
      </c>
      <c r="I1786" s="117">
        <f t="shared" si="2"/>
        <v>2</v>
      </c>
      <c r="J1786" s="117">
        <f t="shared" si="3"/>
        <v>2.0299999999999994</v>
      </c>
      <c r="K1786" s="117" t="str">
        <f t="shared" si="4"/>
        <v>IR</v>
      </c>
      <c r="L1786" s="42" t="str">
        <v>IR0203</v>
      </c>
      <c r="M1786" s="121" t="str">
        <v/>
      </c>
      <c r="N1786" s="121" t="str">
        <v/>
      </c>
      <c r="O1786" s="121" t="str">
        <v/>
      </c>
      <c r="P1786" s="121" t="str">
        <v/>
      </c>
      <c r="Q1786" s="121" t="str">
        <v/>
      </c>
      <c r="R1786" s="121" t="str">
        <v/>
      </c>
      <c r="S1786" s="121" t="str">
        <v>Products</v>
      </c>
      <c r="T1786" s="119" t="str">
        <f>IF($C1786&lt;4,IF($C1786=3,T1787,IF($C1786=2,T$1,"")),Q1786&amp;R1786&amp;IF(LEN(S1786)=0,"",Preferences!$C$2&amp;S1786)&amp;IF(J1787=J1786,IF(LEN(R1786&amp;S1786)=0,"","
")&amp;T1787,""))</f>
        <v xml:space="preserve">	• Products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6" s="122" t="str">
        <v/>
      </c>
      <c r="V1786" s="42"/>
      <c r="W1786" s="42"/>
      <c r="X1786" s="42"/>
      <c r="Y1786" s="42"/>
      <c r="Z1786" s="42"/>
      <c r="AA1786" s="42"/>
      <c r="AB1786" s="42"/>
    </row>
    <row r="1787" spans="1:28" x14ac:dyDescent="0.25">
      <c r="A1787" s="42" t="str">
        <v>2.2.3.1.3</v>
      </c>
      <c r="B1787" s="121" t="str">
        <v>Promotions</v>
      </c>
      <c r="C1787" s="41">
        <v>5</v>
      </c>
      <c r="D1787" s="41" t="str">
        <v>RL</v>
      </c>
      <c r="E1787" s="117" t="str">
        <f t="shared" si="0"/>
        <v>RL</v>
      </c>
      <c r="F1787" s="41" t="str">
        <v/>
      </c>
      <c r="G1787" s="41" t="str">
        <v/>
      </c>
      <c r="H1787" s="117">
        <f t="shared" si="1"/>
        <v>0</v>
      </c>
      <c r="I1787" s="117">
        <f t="shared" si="2"/>
        <v>2</v>
      </c>
      <c r="J1787" s="117">
        <f t="shared" si="3"/>
        <v>2.0299999999999994</v>
      </c>
      <c r="K1787" s="117" t="str">
        <f t="shared" si="4"/>
        <v>IR</v>
      </c>
      <c r="L1787" s="42" t="str">
        <v>IR0203</v>
      </c>
      <c r="M1787" s="121" t="str">
        <v/>
      </c>
      <c r="N1787" s="121" t="str">
        <v/>
      </c>
      <c r="O1787" s="121" t="str">
        <v/>
      </c>
      <c r="P1787" s="121" t="str">
        <v/>
      </c>
      <c r="Q1787" s="121" t="str">
        <v/>
      </c>
      <c r="R1787" s="121" t="str">
        <v/>
      </c>
      <c r="S1787" s="121" t="str">
        <v>Promotions</v>
      </c>
      <c r="T1787" s="119" t="str">
        <f>IF($C1787&lt;4,IF($C1787=3,T1788,IF($C1787=2,T$1,"")),Q1787&amp;R1787&amp;IF(LEN(S1787)=0,"",Preferences!$C$2&amp;S1787)&amp;IF(J1788=J1787,IF(LEN(R1787&amp;S1787)=0,"","
")&amp;T1788,""))</f>
        <v xml:space="preserve">	• Promotions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7" s="122" t="str">
        <v/>
      </c>
      <c r="V1787" s="42"/>
      <c r="W1787" s="42"/>
      <c r="X1787" s="42"/>
      <c r="Y1787" s="42"/>
      <c r="Z1787" s="42"/>
      <c r="AA1787" s="42"/>
      <c r="AB1787" s="42"/>
    </row>
    <row r="1788" spans="1:28" x14ac:dyDescent="0.25">
      <c r="A1788" s="42" t="str">
        <v>2.2.3.1.4</v>
      </c>
      <c r="B1788" s="121" t="str">
        <v>Articles</v>
      </c>
      <c r="C1788" s="41">
        <v>5</v>
      </c>
      <c r="D1788" s="41" t="str">
        <v>RL</v>
      </c>
      <c r="E1788" s="117" t="str">
        <f t="shared" si="0"/>
        <v>RL</v>
      </c>
      <c r="F1788" s="41" t="str">
        <v/>
      </c>
      <c r="G1788" s="41" t="str">
        <v/>
      </c>
      <c r="H1788" s="117">
        <f t="shared" si="1"/>
        <v>0</v>
      </c>
      <c r="I1788" s="117">
        <f t="shared" si="2"/>
        <v>2</v>
      </c>
      <c r="J1788" s="117">
        <f t="shared" si="3"/>
        <v>2.0299999999999994</v>
      </c>
      <c r="K1788" s="117" t="str">
        <f t="shared" si="4"/>
        <v>IR</v>
      </c>
      <c r="L1788" s="42" t="str">
        <v>IR0203</v>
      </c>
      <c r="M1788" s="121" t="str">
        <v/>
      </c>
      <c r="N1788" s="121" t="str">
        <v/>
      </c>
      <c r="O1788" s="121" t="str">
        <v/>
      </c>
      <c r="P1788" s="121" t="str">
        <v/>
      </c>
      <c r="Q1788" s="121" t="str">
        <v/>
      </c>
      <c r="R1788" s="121" t="str">
        <v/>
      </c>
      <c r="S1788" s="121" t="str">
        <v>Articles</v>
      </c>
      <c r="T1788" s="119" t="str">
        <f>IF($C1788&lt;4,IF($C1788=3,T1789,IF($C1788=2,T$1,"")),Q1788&amp;R1788&amp;IF(LEN(S1788)=0,"",Preferences!$C$2&amp;S1788)&amp;IF(J1789=J1788,IF(LEN(R1788&amp;S1788)=0,"","
")&amp;T1789,""))</f>
        <v xml:space="preserve">	• Articles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8" s="122" t="str">
        <v/>
      </c>
      <c r="V1788" s="42"/>
      <c r="W1788" s="42"/>
      <c r="X1788" s="42"/>
      <c r="Y1788" s="42"/>
      <c r="Z1788" s="42"/>
      <c r="AA1788" s="42"/>
      <c r="AB1788" s="42"/>
    </row>
    <row r="1789" spans="1:28" x14ac:dyDescent="0.25">
      <c r="A1789" s="42" t="str">
        <v>2.2.3.1.5</v>
      </c>
      <c r="B1789" s="121" t="str">
        <v>Campaign or special event</v>
      </c>
      <c r="C1789" s="41">
        <v>5</v>
      </c>
      <c r="D1789" s="41" t="str">
        <v>RL</v>
      </c>
      <c r="E1789" s="117" t="str">
        <f t="shared" si="0"/>
        <v>RL</v>
      </c>
      <c r="F1789" s="41" t="str">
        <v/>
      </c>
      <c r="G1789" s="41" t="str">
        <v/>
      </c>
      <c r="H1789" s="117">
        <f t="shared" si="1"/>
        <v>0</v>
      </c>
      <c r="I1789" s="117">
        <f t="shared" si="2"/>
        <v>2</v>
      </c>
      <c r="J1789" s="117">
        <f t="shared" si="3"/>
        <v>2.0299999999999994</v>
      </c>
      <c r="K1789" s="117" t="str">
        <f t="shared" si="4"/>
        <v>IR</v>
      </c>
      <c r="L1789" s="42" t="str">
        <v>IR0203</v>
      </c>
      <c r="M1789" s="121" t="str">
        <v/>
      </c>
      <c r="N1789" s="121" t="str">
        <v/>
      </c>
      <c r="O1789" s="121" t="str">
        <v/>
      </c>
      <c r="P1789" s="121" t="str">
        <v/>
      </c>
      <c r="Q1789" s="121" t="str">
        <v/>
      </c>
      <c r="R1789" s="121" t="str">
        <v/>
      </c>
      <c r="S1789" s="121" t="str">
        <v>Campaign or special event</v>
      </c>
      <c r="T1789" s="119" t="str">
        <f>IF($C1789&lt;4,IF($C1789=3,T1790,IF($C1789=2,T$1,"")),Q1789&amp;R1789&amp;IF(LEN(S1789)=0,"",Preferences!$C$2&amp;S1789)&amp;IF(J1790=J1789,IF(LEN(R1789&amp;S1789)=0,"","
")&amp;T1790,""))</f>
        <v xml:space="preserve">	• Campaign or special event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89" s="122" t="str">
        <v/>
      </c>
      <c r="V1789" s="42"/>
      <c r="W1789" s="42"/>
      <c r="X1789" s="42"/>
      <c r="Y1789" s="42"/>
      <c r="Z1789" s="42"/>
      <c r="AA1789" s="42"/>
      <c r="AB1789" s="42"/>
    </row>
    <row r="1790" spans="1:28" x14ac:dyDescent="0.25">
      <c r="A1790" s="42" t="str">
        <v>2.2.3.1.6</v>
      </c>
      <c r="B1790" s="121" t="str">
        <v>Supplier</v>
      </c>
      <c r="C1790" s="41">
        <v>5</v>
      </c>
      <c r="D1790" s="41" t="str">
        <v>RL</v>
      </c>
      <c r="E1790" s="117" t="str">
        <f t="shared" si="0"/>
        <v>RL</v>
      </c>
      <c r="F1790" s="41" t="str">
        <v/>
      </c>
      <c r="G1790" s="41" t="str">
        <v/>
      </c>
      <c r="H1790" s="117">
        <f t="shared" si="1"/>
        <v>0</v>
      </c>
      <c r="I1790" s="117">
        <f t="shared" si="2"/>
        <v>2</v>
      </c>
      <c r="J1790" s="117">
        <f t="shared" si="3"/>
        <v>2.0299999999999994</v>
      </c>
      <c r="K1790" s="117" t="str">
        <f t="shared" si="4"/>
        <v>IR</v>
      </c>
      <c r="L1790" s="42" t="str">
        <v>IR0203</v>
      </c>
      <c r="M1790" s="121" t="str">
        <v/>
      </c>
      <c r="N1790" s="121" t="str">
        <v/>
      </c>
      <c r="O1790" s="121" t="str">
        <v/>
      </c>
      <c r="P1790" s="121" t="str">
        <v/>
      </c>
      <c r="Q1790" s="121" t="str">
        <v/>
      </c>
      <c r="R1790" s="121" t="str">
        <v/>
      </c>
      <c r="S1790" s="121" t="str">
        <v>Supplier</v>
      </c>
      <c r="T1790" s="119" t="str">
        <f>IF($C1790&lt;4,IF($C1790=3,T1791,IF($C1790=2,T$1,"")),Q1790&amp;R1790&amp;IF(LEN(S1790)=0,"",Preferences!$C$2&amp;S1790)&amp;IF(J1791=J1790,IF(LEN(R1790&amp;S1790)=0,"","
")&amp;T1791,""))</f>
        <v xml:space="preserve">	• Supplier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90" s="122" t="str">
        <v/>
      </c>
      <c r="V1790" s="42"/>
      <c r="W1790" s="42"/>
      <c r="X1790" s="42"/>
      <c r="Y1790" s="42"/>
      <c r="Z1790" s="42"/>
      <c r="AA1790" s="42"/>
      <c r="AB1790" s="42"/>
    </row>
    <row r="1791" spans="1:28" x14ac:dyDescent="0.25">
      <c r="A1791" s="42" t="str">
        <v>2.2.3.2</v>
      </c>
      <c r="B1791" s="121" t="str">
        <v>Report on the best and worst performing (sales) meta-tags and search terms across the following:</v>
      </c>
      <c r="C1791" s="41">
        <v>4</v>
      </c>
      <c r="D1791" s="41" t="str">
        <v>RD</v>
      </c>
      <c r="E1791" s="117" t="str">
        <f t="shared" si="0"/>
        <v>RD</v>
      </c>
      <c r="F1791" s="41" t="str">
        <v/>
      </c>
      <c r="G1791" s="41" t="str">
        <v/>
      </c>
      <c r="H1791" s="117">
        <f t="shared" si="1"/>
        <v>0</v>
      </c>
      <c r="I1791" s="117">
        <f t="shared" si="2"/>
        <v>2</v>
      </c>
      <c r="J1791" s="117">
        <f t="shared" si="3"/>
        <v>2.0299999999999994</v>
      </c>
      <c r="K1791" s="117" t="str">
        <f t="shared" si="4"/>
        <v>IR</v>
      </c>
      <c r="L1791" s="42" t="str">
        <v>IR0203</v>
      </c>
      <c r="M1791" s="121" t="str">
        <v/>
      </c>
      <c r="N1791" s="121" t="str">
        <v/>
      </c>
      <c r="O1791" s="121" t="str">
        <v/>
      </c>
      <c r="P1791" s="121" t="str">
        <v/>
      </c>
      <c r="Q1791" s="121" t="str">
        <v xml:space="preserve"> 2. </v>
      </c>
      <c r="R1791" s="121" t="str">
        <v>Report on the best and worst performing (sales) meta-tags and search terms across the following:</v>
      </c>
      <c r="S1791" s="121" t="str">
        <v/>
      </c>
      <c r="T1791" s="119" t="str">
        <f>IF($C1791&lt;4,IF($C1791=3,T1792,IF($C1791=2,T$1,"")),Q1791&amp;R1791&amp;IF(LEN(S1791)=0,"",Preferences!$C$2&amp;S1791)&amp;IF(J1792=J1791,IF(LEN(R1791&amp;S1791)=0,"","
")&amp;T1792,""))</f>
        <v xml:space="preserve"> 2. Report on the best and worst performing (sales) meta-tags and search terms across the following: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91" s="122" t="str">
        <v/>
      </c>
      <c r="V1791" s="42"/>
      <c r="W1791" s="42"/>
      <c r="X1791" s="42"/>
      <c r="Y1791" s="42"/>
      <c r="Z1791" s="42"/>
      <c r="AA1791" s="42"/>
      <c r="AB1791" s="42"/>
    </row>
    <row r="1792" spans="1:28" x14ac:dyDescent="0.25">
      <c r="A1792" s="42" t="str">
        <v>2.2.3.2.1</v>
      </c>
      <c r="B1792" s="121" t="str">
        <v>Advertisements</v>
      </c>
      <c r="C1792" s="41">
        <v>5</v>
      </c>
      <c r="D1792" s="41" t="str">
        <v>RL</v>
      </c>
      <c r="E1792" s="117" t="str">
        <f t="shared" si="0"/>
        <v>RL</v>
      </c>
      <c r="F1792" s="41" t="str">
        <v/>
      </c>
      <c r="G1792" s="41" t="str">
        <v/>
      </c>
      <c r="H1792" s="117">
        <f t="shared" si="1"/>
        <v>0</v>
      </c>
      <c r="I1792" s="117">
        <f t="shared" si="2"/>
        <v>2</v>
      </c>
      <c r="J1792" s="117">
        <f t="shared" si="3"/>
        <v>2.0299999999999994</v>
      </c>
      <c r="K1792" s="117" t="str">
        <f t="shared" si="4"/>
        <v>IR</v>
      </c>
      <c r="L1792" s="42" t="str">
        <v>IR0203</v>
      </c>
      <c r="M1792" s="121" t="str">
        <v/>
      </c>
      <c r="N1792" s="121" t="str">
        <v/>
      </c>
      <c r="O1792" s="121" t="str">
        <v/>
      </c>
      <c r="P1792" s="121" t="str">
        <v/>
      </c>
      <c r="Q1792" s="121" t="str">
        <v/>
      </c>
      <c r="R1792" s="121" t="str">
        <v/>
      </c>
      <c r="S1792" s="121" t="str">
        <v>Advertisements</v>
      </c>
      <c r="T1792" s="119" t="str">
        <f>IF($C1792&lt;4,IF($C1792=3,T1793,IF($C1792=2,T$1,"")),Q1792&amp;R1792&amp;IF(LEN(S1792)=0,"",Preferences!$C$2&amp;S1792)&amp;IF(J1793=J1792,IF(LEN(R1792&amp;S1792)=0,"","
")&amp;T1793,""))</f>
        <v xml:space="preserve">	• Advertisements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92" s="122" t="str">
        <v/>
      </c>
      <c r="V1792" s="42"/>
      <c r="W1792" s="42"/>
      <c r="X1792" s="42"/>
      <c r="Y1792" s="42"/>
      <c r="Z1792" s="42"/>
      <c r="AA1792" s="42"/>
      <c r="AB1792" s="42"/>
    </row>
    <row r="1793" spans="1:28" x14ac:dyDescent="0.25">
      <c r="A1793" s="42" t="str">
        <v>2.2.3.2.2</v>
      </c>
      <c r="B1793" s="121" t="str">
        <v>Products</v>
      </c>
      <c r="C1793" s="41">
        <v>5</v>
      </c>
      <c r="D1793" s="41" t="str">
        <v>RL</v>
      </c>
      <c r="E1793" s="117" t="str">
        <f t="shared" si="0"/>
        <v>RL</v>
      </c>
      <c r="F1793" s="41" t="str">
        <v/>
      </c>
      <c r="G1793" s="41" t="str">
        <v/>
      </c>
      <c r="H1793" s="117">
        <f t="shared" si="1"/>
        <v>0</v>
      </c>
      <c r="I1793" s="117">
        <f t="shared" si="2"/>
        <v>2</v>
      </c>
      <c r="J1793" s="117">
        <f t="shared" si="3"/>
        <v>2.0299999999999994</v>
      </c>
      <c r="K1793" s="117" t="str">
        <f t="shared" si="4"/>
        <v>IR</v>
      </c>
      <c r="L1793" s="42" t="str">
        <v>IR0203</v>
      </c>
      <c r="M1793" s="121" t="str">
        <v/>
      </c>
      <c r="N1793" s="121" t="str">
        <v/>
      </c>
      <c r="O1793" s="121" t="str">
        <v/>
      </c>
      <c r="P1793" s="121" t="str">
        <v/>
      </c>
      <c r="Q1793" s="121" t="str">
        <v/>
      </c>
      <c r="R1793" s="121" t="str">
        <v/>
      </c>
      <c r="S1793" s="121" t="str">
        <v>Products</v>
      </c>
      <c r="T1793" s="119" t="str">
        <f>IF($C1793&lt;4,IF($C1793=3,T1794,IF($C1793=2,T$1,"")),Q1793&amp;R1793&amp;IF(LEN(S1793)=0,"",Preferences!$C$2&amp;S1793)&amp;IF(J1794=J1793,IF(LEN(R1793&amp;S1793)=0,"","
")&amp;T1794,""))</f>
        <v xml:space="preserve">	• Products
	• Promotions
	• Articles
	• Supplier
	• Campaign or special event
 3. Report on the best and worst performing (sales) promoted products across the following:
	• Category and meta-tag priority
	• Product priority
	• Also-bought
	• Similar products
	• Supplier
	• Campaign or special event
</v>
      </c>
      <c r="U1793" s="122" t="str">
        <v/>
      </c>
      <c r="V1793" s="42"/>
      <c r="W1793" s="42"/>
      <c r="X1793" s="42"/>
      <c r="Y1793" s="42"/>
      <c r="Z1793" s="42"/>
      <c r="AA1793" s="42"/>
      <c r="AB1793" s="42"/>
    </row>
    <row r="1794" spans="1:28" x14ac:dyDescent="0.25">
      <c r="A1794" s="42" t="str">
        <v>2.2.3.2.3</v>
      </c>
      <c r="B1794" s="121" t="str">
        <v>Promotions</v>
      </c>
      <c r="C1794" s="41">
        <v>5</v>
      </c>
      <c r="D1794" s="41" t="str">
        <v>RL</v>
      </c>
      <c r="E1794" s="117" t="str">
        <f t="shared" si="0"/>
        <v>RL</v>
      </c>
      <c r="F1794" s="41" t="str">
        <v/>
      </c>
      <c r="G1794" s="41" t="str">
        <v/>
      </c>
      <c r="H1794" s="117">
        <f t="shared" si="1"/>
        <v>0</v>
      </c>
      <c r="I1794" s="117">
        <f t="shared" si="2"/>
        <v>2</v>
      </c>
      <c r="J1794" s="117">
        <f t="shared" si="3"/>
        <v>2.0299999999999994</v>
      </c>
      <c r="K1794" s="117" t="str">
        <f t="shared" si="4"/>
        <v>IR</v>
      </c>
      <c r="L1794" s="42" t="str">
        <v>IR0203</v>
      </c>
      <c r="M1794" s="121" t="str">
        <v/>
      </c>
      <c r="N1794" s="121" t="str">
        <v/>
      </c>
      <c r="O1794" s="121" t="str">
        <v/>
      </c>
      <c r="P1794" s="121" t="str">
        <v/>
      </c>
      <c r="Q1794" s="121" t="str">
        <v/>
      </c>
      <c r="R1794" s="121" t="str">
        <v/>
      </c>
      <c r="S1794" s="121" t="str">
        <v>Promotions</v>
      </c>
      <c r="T1794" s="119" t="str">
        <f>IF($C1794&lt;4,IF($C1794=3,T1795,IF($C1794=2,T$1,"")),Q1794&amp;R1794&amp;IF(LEN(S1794)=0,"",Preferences!$C$2&amp;S1794)&amp;IF(J1795=J1794,IF(LEN(R1794&amp;S1794)=0,"","
")&amp;T1795,""))</f>
        <v xml:space="preserve">	• Promotions
	• Articles
	• Supplier
	• Campaign or special event
 3. Report on the best and worst performing (sales) promoted products across the following:
	• Category and meta-tag priority
	• Product priority
	• Also-bought
	• Similar products
	• Supplier
	• Campaign or special event
</v>
      </c>
      <c r="U1794" s="122" t="str">
        <v/>
      </c>
      <c r="V1794" s="42"/>
      <c r="W1794" s="42"/>
      <c r="X1794" s="42"/>
      <c r="Y1794" s="42"/>
      <c r="Z1794" s="42"/>
      <c r="AA1794" s="42"/>
      <c r="AB1794" s="42"/>
    </row>
    <row r="1795" spans="1:28" x14ac:dyDescent="0.25">
      <c r="A1795" s="42" t="str">
        <v>2.2.3.2.4</v>
      </c>
      <c r="B1795" s="121" t="str">
        <v>Articles</v>
      </c>
      <c r="C1795" s="41">
        <v>5</v>
      </c>
      <c r="D1795" s="41" t="str">
        <v>RL</v>
      </c>
      <c r="E1795" s="117" t="str">
        <f t="shared" si="0"/>
        <v>RL</v>
      </c>
      <c r="F1795" s="41" t="str">
        <v/>
      </c>
      <c r="G1795" s="41" t="str">
        <v/>
      </c>
      <c r="H1795" s="117">
        <f t="shared" si="1"/>
        <v>0</v>
      </c>
      <c r="I1795" s="117">
        <f t="shared" si="2"/>
        <v>2</v>
      </c>
      <c r="J1795" s="117">
        <f t="shared" si="3"/>
        <v>2.0299999999999994</v>
      </c>
      <c r="K1795" s="117" t="str">
        <f t="shared" si="4"/>
        <v>IR</v>
      </c>
      <c r="L1795" s="42" t="str">
        <v>IR0203</v>
      </c>
      <c r="M1795" s="121" t="str">
        <v/>
      </c>
      <c r="N1795" s="121" t="str">
        <v/>
      </c>
      <c r="O1795" s="121" t="str">
        <v/>
      </c>
      <c r="P1795" s="121" t="str">
        <v/>
      </c>
      <c r="Q1795" s="121" t="str">
        <v/>
      </c>
      <c r="R1795" s="121" t="str">
        <v/>
      </c>
      <c r="S1795" s="121" t="str">
        <v>Articles</v>
      </c>
      <c r="T1795" s="119" t="str">
        <f>IF($C1795&lt;4,IF($C1795=3,T1796,IF($C1795=2,T$1,"")),Q1795&amp;R1795&amp;IF(LEN(S1795)=0,"",Preferences!$C$2&amp;S1795)&amp;IF(J1796=J1795,IF(LEN(R1795&amp;S1795)=0,"","
")&amp;T1796,""))</f>
        <v xml:space="preserve">	• Articles
	• Supplier
	• Campaign or special event
 3. Report on the best and worst performing (sales) promoted products across the following:
	• Category and meta-tag priority
	• Product priority
	• Also-bought
	• Similar products
	• Supplier
	• Campaign or special event
</v>
      </c>
      <c r="U1795" s="122" t="str">
        <v/>
      </c>
      <c r="V1795" s="42"/>
      <c r="W1795" s="42"/>
      <c r="X1795" s="42"/>
      <c r="Y1795" s="42"/>
      <c r="Z1795" s="42"/>
      <c r="AA1795" s="42"/>
      <c r="AB1795" s="42"/>
    </row>
    <row r="1796" spans="1:28" x14ac:dyDescent="0.25">
      <c r="A1796" s="42" t="str">
        <v>2.2.3.2.5</v>
      </c>
      <c r="B1796" s="121" t="str">
        <v>Supplier</v>
      </c>
      <c r="C1796" s="41">
        <v>5</v>
      </c>
      <c r="D1796" s="41" t="str">
        <v>RL</v>
      </c>
      <c r="E1796" s="117" t="str">
        <f t="shared" si="0"/>
        <v>RL</v>
      </c>
      <c r="F1796" s="41" t="str">
        <v/>
      </c>
      <c r="G1796" s="41" t="str">
        <v/>
      </c>
      <c r="H1796" s="117">
        <f t="shared" si="1"/>
        <v>0</v>
      </c>
      <c r="I1796" s="117">
        <f t="shared" si="2"/>
        <v>2</v>
      </c>
      <c r="J1796" s="117">
        <f t="shared" si="3"/>
        <v>2.0299999999999994</v>
      </c>
      <c r="K1796" s="117" t="str">
        <f t="shared" si="4"/>
        <v>IR</v>
      </c>
      <c r="L1796" s="42" t="str">
        <v>IR0203</v>
      </c>
      <c r="M1796" s="121" t="str">
        <v/>
      </c>
      <c r="N1796" s="121" t="str">
        <v/>
      </c>
      <c r="O1796" s="121" t="str">
        <v/>
      </c>
      <c r="P1796" s="121" t="str">
        <v/>
      </c>
      <c r="Q1796" s="121" t="str">
        <v/>
      </c>
      <c r="R1796" s="121" t="str">
        <v/>
      </c>
      <c r="S1796" s="121" t="str">
        <v>Supplier</v>
      </c>
      <c r="T1796" s="119" t="str">
        <f>IF($C1796&lt;4,IF($C1796=3,T1797,IF($C1796=2,T$1,"")),Q1796&amp;R1796&amp;IF(LEN(S1796)=0,"",Preferences!$C$2&amp;S1796)&amp;IF(J1797=J1796,IF(LEN(R1796&amp;S1796)=0,"","
")&amp;T1797,""))</f>
        <v xml:space="preserve">	• Supplier
	• Campaign or special event
 3. Report on the best and worst performing (sales) promoted products across the following:
	• Category and meta-tag priority
	• Product priority
	• Also-bought
	• Similar products
	• Supplier
	• Campaign or special event
</v>
      </c>
      <c r="U1796" s="122" t="str">
        <v/>
      </c>
      <c r="V1796" s="42"/>
      <c r="W1796" s="42"/>
      <c r="X1796" s="42"/>
      <c r="Y1796" s="42"/>
      <c r="Z1796" s="42"/>
      <c r="AA1796" s="42"/>
      <c r="AB1796" s="42"/>
    </row>
    <row r="1797" spans="1:28" x14ac:dyDescent="0.25">
      <c r="A1797" s="42" t="str">
        <v>2.2.3.2.6</v>
      </c>
      <c r="B1797" s="121" t="str">
        <v>Campaign or special event</v>
      </c>
      <c r="C1797" s="41">
        <v>5</v>
      </c>
      <c r="D1797" s="41" t="str">
        <v>RL</v>
      </c>
      <c r="E1797" s="117" t="str">
        <f t="shared" si="0"/>
        <v>RL</v>
      </c>
      <c r="F1797" s="41" t="str">
        <v/>
      </c>
      <c r="G1797" s="41" t="str">
        <v/>
      </c>
      <c r="H1797" s="117">
        <f t="shared" si="1"/>
        <v>0</v>
      </c>
      <c r="I1797" s="117">
        <f t="shared" si="2"/>
        <v>2</v>
      </c>
      <c r="J1797" s="117">
        <f t="shared" si="3"/>
        <v>2.0299999999999994</v>
      </c>
      <c r="K1797" s="117" t="str">
        <f t="shared" si="4"/>
        <v>IR</v>
      </c>
      <c r="L1797" s="42" t="str">
        <v>IR0203</v>
      </c>
      <c r="M1797" s="121" t="str">
        <v/>
      </c>
      <c r="N1797" s="121" t="str">
        <v/>
      </c>
      <c r="O1797" s="121" t="str">
        <v/>
      </c>
      <c r="P1797" s="121" t="str">
        <v/>
      </c>
      <c r="Q1797" s="121" t="str">
        <v/>
      </c>
      <c r="R1797" s="121" t="str">
        <v/>
      </c>
      <c r="S1797" s="121" t="str">
        <v>Campaign or special event</v>
      </c>
      <c r="T1797" s="119" t="str">
        <f>IF($C1797&lt;4,IF($C1797=3,T1798,IF($C1797=2,T$1,"")),Q1797&amp;R1797&amp;IF(LEN(S1797)=0,"",Preferences!$C$2&amp;S1797)&amp;IF(J1798=J1797,IF(LEN(R1797&amp;S1797)=0,"","
")&amp;T1798,""))</f>
        <v xml:space="preserve">	• Campaign or special event
 3. Report on the best and worst performing (sales) promoted products across the following:
	• Category and meta-tag priority
	• Product priority
	• Also-bought
	• Similar products
	• Supplier
	• Campaign or special event
</v>
      </c>
      <c r="U1797" s="122" t="str">
        <v/>
      </c>
      <c r="V1797" s="42"/>
      <c r="W1797" s="42"/>
      <c r="X1797" s="42"/>
      <c r="Y1797" s="42"/>
      <c r="Z1797" s="42"/>
      <c r="AA1797" s="42"/>
      <c r="AB1797" s="42"/>
    </row>
    <row r="1798" spans="1:28" x14ac:dyDescent="0.25">
      <c r="A1798" s="42" t="str">
        <v>2.2.3.3</v>
      </c>
      <c r="B1798" s="121" t="str">
        <v>Report on the best and worst performing (sales) promoted products across the following:</v>
      </c>
      <c r="C1798" s="41">
        <v>4</v>
      </c>
      <c r="D1798" s="41" t="str">
        <v>RD</v>
      </c>
      <c r="E1798" s="117" t="str">
        <f t="shared" si="0"/>
        <v>RD</v>
      </c>
      <c r="F1798" s="41" t="str">
        <v/>
      </c>
      <c r="G1798" s="41" t="str">
        <v/>
      </c>
      <c r="H1798" s="117">
        <f t="shared" si="1"/>
        <v>0</v>
      </c>
      <c r="I1798" s="117">
        <f t="shared" si="2"/>
        <v>2</v>
      </c>
      <c r="J1798" s="117">
        <f t="shared" si="3"/>
        <v>2.0299999999999994</v>
      </c>
      <c r="K1798" s="117" t="str">
        <f t="shared" si="4"/>
        <v>IR</v>
      </c>
      <c r="L1798" s="42" t="str">
        <v>IR0203</v>
      </c>
      <c r="M1798" s="121" t="str">
        <v/>
      </c>
      <c r="N1798" s="121" t="str">
        <v/>
      </c>
      <c r="O1798" s="121" t="str">
        <v/>
      </c>
      <c r="P1798" s="121" t="str">
        <v/>
      </c>
      <c r="Q1798" s="121" t="str">
        <v xml:space="preserve"> 3. </v>
      </c>
      <c r="R1798" s="121" t="str">
        <v>Report on the best and worst performing (sales) promoted products across the following:</v>
      </c>
      <c r="S1798" s="121" t="str">
        <v/>
      </c>
      <c r="T1798" s="119" t="str">
        <f>IF($C1798&lt;4,IF($C1798=3,T1799,IF($C1798=2,T$1,"")),Q1798&amp;R1798&amp;IF(LEN(S1798)=0,"",Preferences!$C$2&amp;S1798)&amp;IF(J1799=J1798,IF(LEN(R1798&amp;S1798)=0,"","
")&amp;T1799,""))</f>
        <v xml:space="preserve"> 3. Report on the best and worst performing (sales) promoted products across the following:
	• Category and meta-tag priority
	• Product priority
	• Also-bought
	• Similar products
	• Supplier
	• Campaign or special event
</v>
      </c>
      <c r="U1798" s="122" t="str">
        <v/>
      </c>
      <c r="V1798" s="42"/>
      <c r="W1798" s="42"/>
      <c r="X1798" s="42"/>
      <c r="Y1798" s="42"/>
      <c r="Z1798" s="42"/>
      <c r="AA1798" s="42"/>
      <c r="AB1798" s="42"/>
    </row>
    <row r="1799" spans="1:28" x14ac:dyDescent="0.25">
      <c r="A1799" s="42" t="str">
        <v>2.2.3.3.1</v>
      </c>
      <c r="B1799" s="121" t="str">
        <v>Category and meta-tag priority</v>
      </c>
      <c r="C1799" s="41">
        <v>5</v>
      </c>
      <c r="D1799" s="41" t="str">
        <v>RL</v>
      </c>
      <c r="E1799" s="117" t="str">
        <f t="shared" si="0"/>
        <v>RL</v>
      </c>
      <c r="F1799" s="41" t="str">
        <v/>
      </c>
      <c r="G1799" s="41" t="str">
        <v/>
      </c>
      <c r="H1799" s="117">
        <f t="shared" si="1"/>
        <v>0</v>
      </c>
      <c r="I1799" s="117">
        <f t="shared" si="2"/>
        <v>2</v>
      </c>
      <c r="J1799" s="117">
        <f t="shared" si="3"/>
        <v>2.0299999999999994</v>
      </c>
      <c r="K1799" s="117" t="str">
        <f t="shared" si="4"/>
        <v>IR</v>
      </c>
      <c r="L1799" s="42" t="str">
        <v>IR0203</v>
      </c>
      <c r="M1799" s="121" t="str">
        <v/>
      </c>
      <c r="N1799" s="121" t="str">
        <v/>
      </c>
      <c r="O1799" s="121" t="str">
        <v/>
      </c>
      <c r="P1799" s="121" t="str">
        <v/>
      </c>
      <c r="Q1799" s="121" t="str">
        <v/>
      </c>
      <c r="R1799" s="121" t="str">
        <v/>
      </c>
      <c r="S1799" s="121" t="str">
        <v>Category and meta-tag priority</v>
      </c>
      <c r="T1799" s="119" t="str">
        <f>IF($C1799&lt;4,IF($C1799=3,T1800,IF($C1799=2,T$1,"")),Q1799&amp;R1799&amp;IF(LEN(S1799)=0,"",Preferences!$C$2&amp;S1799)&amp;IF(J1800=J1799,IF(LEN(R1799&amp;S1799)=0,"","
")&amp;T1800,""))</f>
        <v xml:space="preserve">	• Category and meta-tag priority
	• Product priority
	• Also-bought
	• Similar products
	• Supplier
	• Campaign or special event
</v>
      </c>
      <c r="U1799" s="122" t="str">
        <v/>
      </c>
      <c r="V1799" s="42"/>
      <c r="W1799" s="42"/>
      <c r="X1799" s="42"/>
      <c r="Y1799" s="42"/>
      <c r="Z1799" s="42"/>
      <c r="AA1799" s="42"/>
      <c r="AB1799" s="42"/>
    </row>
    <row r="1800" spans="1:28" x14ac:dyDescent="0.25">
      <c r="A1800" s="42" t="str">
        <v>2.2.3.3.2</v>
      </c>
      <c r="B1800" s="121" t="str">
        <v>Product priority</v>
      </c>
      <c r="C1800" s="41">
        <v>5</v>
      </c>
      <c r="D1800" s="41" t="str">
        <v>RL</v>
      </c>
      <c r="E1800" s="117" t="str">
        <f t="shared" si="0"/>
        <v>RL</v>
      </c>
      <c r="F1800" s="41" t="str">
        <v/>
      </c>
      <c r="G1800" s="41" t="str">
        <v/>
      </c>
      <c r="H1800" s="117">
        <f t="shared" si="1"/>
        <v>0</v>
      </c>
      <c r="I1800" s="117">
        <f t="shared" si="2"/>
        <v>2</v>
      </c>
      <c r="J1800" s="117">
        <f t="shared" si="3"/>
        <v>2.0299999999999994</v>
      </c>
      <c r="K1800" s="117" t="str">
        <f t="shared" si="4"/>
        <v>IR</v>
      </c>
      <c r="L1800" s="42" t="str">
        <v>IR0203</v>
      </c>
      <c r="M1800" s="121" t="str">
        <v/>
      </c>
      <c r="N1800" s="121" t="str">
        <v/>
      </c>
      <c r="O1800" s="121" t="str">
        <v/>
      </c>
      <c r="P1800" s="121" t="str">
        <v/>
      </c>
      <c r="Q1800" s="121" t="str">
        <v/>
      </c>
      <c r="R1800" s="121" t="str">
        <v/>
      </c>
      <c r="S1800" s="121" t="str">
        <v>Product priority</v>
      </c>
      <c r="T1800" s="119" t="str">
        <f>IF($C1800&lt;4,IF($C1800=3,T1801,IF($C1800=2,T$1,"")),Q1800&amp;R1800&amp;IF(LEN(S1800)=0,"",Preferences!$C$2&amp;S1800)&amp;IF(J1801=J1800,IF(LEN(R1800&amp;S1800)=0,"","
")&amp;T1801,""))</f>
        <v xml:space="preserve">	• Product priority
	• Also-bought
	• Similar products
	• Supplier
	• Campaign or special event
</v>
      </c>
      <c r="U1800" s="122" t="str">
        <v/>
      </c>
      <c r="V1800" s="42"/>
      <c r="W1800" s="42"/>
      <c r="X1800" s="42"/>
      <c r="Y1800" s="42"/>
      <c r="Z1800" s="42"/>
      <c r="AA1800" s="42"/>
      <c r="AB1800" s="42"/>
    </row>
    <row r="1801" spans="1:28" x14ac:dyDescent="0.25">
      <c r="A1801" s="42" t="str">
        <v>2.2.3.3.3</v>
      </c>
      <c r="B1801" s="121" t="str">
        <v>Also-bought</v>
      </c>
      <c r="C1801" s="41">
        <v>5</v>
      </c>
      <c r="D1801" s="41" t="str">
        <v>RL</v>
      </c>
      <c r="E1801" s="117" t="str">
        <f t="shared" si="0"/>
        <v>RL</v>
      </c>
      <c r="F1801" s="41" t="str">
        <v/>
      </c>
      <c r="G1801" s="41" t="str">
        <v/>
      </c>
      <c r="H1801" s="117">
        <f t="shared" si="1"/>
        <v>0</v>
      </c>
      <c r="I1801" s="117">
        <f t="shared" si="2"/>
        <v>2</v>
      </c>
      <c r="J1801" s="117">
        <f t="shared" si="3"/>
        <v>2.0299999999999994</v>
      </c>
      <c r="K1801" s="117" t="str">
        <f t="shared" si="4"/>
        <v>IR</v>
      </c>
      <c r="L1801" s="42" t="str">
        <v>IR0203</v>
      </c>
      <c r="M1801" s="121" t="str">
        <v/>
      </c>
      <c r="N1801" s="121" t="str">
        <v/>
      </c>
      <c r="O1801" s="121" t="str">
        <v/>
      </c>
      <c r="P1801" s="121" t="str">
        <v/>
      </c>
      <c r="Q1801" s="121" t="str">
        <v/>
      </c>
      <c r="R1801" s="121" t="str">
        <v/>
      </c>
      <c r="S1801" s="121" t="str">
        <v>Also-bought</v>
      </c>
      <c r="T1801" s="119" t="str">
        <f>IF($C1801&lt;4,IF($C1801=3,T1802,IF($C1801=2,T$1,"")),Q1801&amp;R1801&amp;IF(LEN(S1801)=0,"",Preferences!$C$2&amp;S1801)&amp;IF(J1802=J1801,IF(LEN(R1801&amp;S1801)=0,"","
")&amp;T1802,""))</f>
        <v xml:space="preserve">	• Also-bought
	• Similar products
	• Supplier
	• Campaign or special event
</v>
      </c>
      <c r="U1801" s="122" t="str">
        <v/>
      </c>
      <c r="V1801" s="42"/>
      <c r="W1801" s="42"/>
      <c r="X1801" s="42"/>
      <c r="Y1801" s="42"/>
      <c r="Z1801" s="42"/>
      <c r="AA1801" s="42"/>
      <c r="AB1801" s="42"/>
    </row>
    <row r="1802" spans="1:28" x14ac:dyDescent="0.25">
      <c r="A1802" s="42" t="str">
        <v>2.2.3.3.4</v>
      </c>
      <c r="B1802" s="121" t="str">
        <v>Similar products</v>
      </c>
      <c r="C1802" s="41">
        <v>5</v>
      </c>
      <c r="D1802" s="41" t="str">
        <v>RL</v>
      </c>
      <c r="E1802" s="117" t="str">
        <f t="shared" si="0"/>
        <v>RL</v>
      </c>
      <c r="F1802" s="41" t="str">
        <v/>
      </c>
      <c r="G1802" s="41" t="str">
        <v/>
      </c>
      <c r="H1802" s="117">
        <f t="shared" si="1"/>
        <v>0</v>
      </c>
      <c r="I1802" s="117">
        <f t="shared" si="2"/>
        <v>2</v>
      </c>
      <c r="J1802" s="117">
        <f t="shared" si="3"/>
        <v>2.0299999999999994</v>
      </c>
      <c r="K1802" s="117" t="str">
        <f t="shared" si="4"/>
        <v>IR</v>
      </c>
      <c r="L1802" s="42" t="str">
        <v>IR0203</v>
      </c>
      <c r="M1802" s="121" t="str">
        <v/>
      </c>
      <c r="N1802" s="121" t="str">
        <v/>
      </c>
      <c r="O1802" s="121" t="str">
        <v/>
      </c>
      <c r="P1802" s="121" t="str">
        <v/>
      </c>
      <c r="Q1802" s="121" t="str">
        <v/>
      </c>
      <c r="R1802" s="121" t="str">
        <v/>
      </c>
      <c r="S1802" s="121" t="str">
        <v>Similar products</v>
      </c>
      <c r="T1802" s="119" t="str">
        <f>IF($C1802&lt;4,IF($C1802=3,T1803,IF($C1802=2,T$1,"")),Q1802&amp;R1802&amp;IF(LEN(S1802)=0,"",Preferences!$C$2&amp;S1802)&amp;IF(J1803=J1802,IF(LEN(R1802&amp;S1802)=0,"","
")&amp;T1803,""))</f>
        <v xml:space="preserve">	• Similar products
	• Supplier
	• Campaign or special event
</v>
      </c>
      <c r="U1802" s="122" t="str">
        <v/>
      </c>
      <c r="V1802" s="42"/>
      <c r="W1802" s="42"/>
      <c r="X1802" s="42"/>
      <c r="Y1802" s="42"/>
      <c r="Z1802" s="42"/>
      <c r="AA1802" s="42"/>
      <c r="AB1802" s="42"/>
    </row>
    <row r="1803" spans="1:28" x14ac:dyDescent="0.25">
      <c r="A1803" s="42" t="str">
        <v>2.2.3.3.5</v>
      </c>
      <c r="B1803" s="121" t="str">
        <v>Supplier</v>
      </c>
      <c r="C1803" s="41">
        <v>5</v>
      </c>
      <c r="D1803" s="41" t="str">
        <v>RL</v>
      </c>
      <c r="E1803" s="117" t="str">
        <f t="shared" si="0"/>
        <v>RL</v>
      </c>
      <c r="F1803" s="41" t="str">
        <v/>
      </c>
      <c r="G1803" s="41" t="str">
        <v/>
      </c>
      <c r="H1803" s="117">
        <f t="shared" si="1"/>
        <v>0</v>
      </c>
      <c r="I1803" s="117">
        <f t="shared" si="2"/>
        <v>2</v>
      </c>
      <c r="J1803" s="117">
        <f t="shared" si="3"/>
        <v>2.0299999999999994</v>
      </c>
      <c r="K1803" s="117" t="str">
        <f t="shared" si="4"/>
        <v>IR</v>
      </c>
      <c r="L1803" s="42" t="str">
        <v>IR0203</v>
      </c>
      <c r="M1803" s="121" t="str">
        <v/>
      </c>
      <c r="N1803" s="121" t="str">
        <v/>
      </c>
      <c r="O1803" s="121" t="str">
        <v/>
      </c>
      <c r="P1803" s="121" t="str">
        <v/>
      </c>
      <c r="Q1803" s="121" t="str">
        <v/>
      </c>
      <c r="R1803" s="121" t="str">
        <v/>
      </c>
      <c r="S1803" s="121" t="str">
        <v>Supplier</v>
      </c>
      <c r="T1803" s="119" t="str">
        <f>IF($C1803&lt;4,IF($C1803=3,T1804,IF($C1803=2,T$1,"")),Q1803&amp;R1803&amp;IF(LEN(S1803)=0,"",Preferences!$C$2&amp;S1803)&amp;IF(J1804=J1803,IF(LEN(R1803&amp;S1803)=0,"","
")&amp;T1804,""))</f>
        <v xml:space="preserve">	• Supplier
	• Campaign or special event
</v>
      </c>
      <c r="U1803" s="122" t="str">
        <v/>
      </c>
      <c r="V1803" s="42"/>
      <c r="W1803" s="42"/>
      <c r="X1803" s="42"/>
      <c r="Y1803" s="42"/>
      <c r="Z1803" s="42"/>
      <c r="AA1803" s="42"/>
      <c r="AB1803" s="42"/>
    </row>
    <row r="1804" spans="1:28" x14ac:dyDescent="0.25">
      <c r="A1804" s="42" t="str">
        <v>2.2.3.3.6</v>
      </c>
      <c r="B1804" s="121" t="str">
        <v>Campaign or special event</v>
      </c>
      <c r="C1804" s="41">
        <v>5</v>
      </c>
      <c r="D1804" s="41" t="str">
        <v>RL</v>
      </c>
      <c r="E1804" s="117" t="str">
        <f t="shared" si="0"/>
        <v>RL</v>
      </c>
      <c r="F1804" s="41" t="str">
        <v/>
      </c>
      <c r="G1804" s="41" t="str">
        <v/>
      </c>
      <c r="H1804" s="117">
        <f t="shared" si="1"/>
        <v>0</v>
      </c>
      <c r="I1804" s="117">
        <f t="shared" si="2"/>
        <v>2</v>
      </c>
      <c r="J1804" s="117">
        <f t="shared" si="3"/>
        <v>2.0299999999999994</v>
      </c>
      <c r="K1804" s="117" t="str">
        <f t="shared" si="4"/>
        <v>IR</v>
      </c>
      <c r="L1804" s="42" t="str">
        <v>IR0203</v>
      </c>
      <c r="M1804" s="121" t="str">
        <v/>
      </c>
      <c r="N1804" s="121" t="str">
        <v/>
      </c>
      <c r="O1804" s="121" t="str">
        <v/>
      </c>
      <c r="P1804" s="121" t="str">
        <v/>
      </c>
      <c r="Q1804" s="121" t="str">
        <v/>
      </c>
      <c r="R1804" s="121" t="str">
        <v/>
      </c>
      <c r="S1804" s="121" t="str">
        <v>Campaign or special event</v>
      </c>
      <c r="T1804" s="119" t="str">
        <f>IF($C1804&lt;4,IF($C1804=3,T1805,IF($C1804=2,T$1,"")),Q1804&amp;R1804&amp;IF(LEN(S1804)=0,"",Preferences!$C$2&amp;S1804)&amp;IF(J1805=J1804,IF(LEN(R1804&amp;S1804)=0,"","
")&amp;T1805,""))</f>
        <v xml:space="preserve">	• Campaign or special event
</v>
      </c>
      <c r="U1804" s="122" t="str">
        <v/>
      </c>
      <c r="V1804" s="42"/>
      <c r="W1804" s="42"/>
      <c r="X1804" s="42"/>
      <c r="Y1804" s="42"/>
      <c r="Z1804" s="42"/>
      <c r="AA1804" s="42"/>
      <c r="AB1804" s="42"/>
    </row>
    <row r="1805" spans="1:28" x14ac:dyDescent="0.25">
      <c r="A1805" s="42" t="str">
        <v>3</v>
      </c>
      <c r="B1805" s="121" t="str">
        <v>Non-Functional Requirements</v>
      </c>
      <c r="C1805" s="41">
        <v>1</v>
      </c>
      <c r="D1805" s="41" t="str">
        <v>H</v>
      </c>
      <c r="E1805" s="117" t="str">
        <f t="shared" si="0"/>
        <v>H</v>
      </c>
      <c r="F1805" s="41" t="str">
        <v>NF</v>
      </c>
      <c r="G1805" s="41" t="str">
        <v>NF</v>
      </c>
      <c r="H1805" s="117" t="str">
        <f t="shared" si="1"/>
        <v>NF</v>
      </c>
      <c r="I1805" s="117">
        <f t="shared" si="2"/>
        <v>0</v>
      </c>
      <c r="J1805" s="117">
        <f t="shared" si="3"/>
        <v>2.0299999999999994</v>
      </c>
      <c r="K1805" s="117" t="str">
        <f t="shared" si="4"/>
        <v>NF</v>
      </c>
      <c r="L1805" s="42">
        <v>2.0299999999999994</v>
      </c>
      <c r="M1805" s="121" t="str">
        <v>Non-Functional Requirements</v>
      </c>
      <c r="N1805" s="121" t="str">
        <v/>
      </c>
      <c r="O1805" s="121" t="str">
        <v/>
      </c>
      <c r="P1805" s="121" t="str">
        <v/>
      </c>
      <c r="Q1805" s="121" t="str">
        <v/>
      </c>
      <c r="R1805" s="121" t="str">
        <v/>
      </c>
      <c r="S1805" s="121" t="str">
        <v/>
      </c>
      <c r="T1805" s="119" t="str">
        <f>IF($C1805&lt;4,IF($C1805=3,T1806,IF($C1805=2,T$1,"")),Q1805&amp;R1805&amp;IF(LEN(S1805)=0,"",Preferences!$C$2&amp;S1805)&amp;IF(J1806=J1805,IF(LEN(R1805&amp;S1805)=0,"","
")&amp;T1806,""))</f>
        <v/>
      </c>
      <c r="U1805" s="122" t="str">
        <v/>
      </c>
      <c r="V1805" s="42"/>
      <c r="W1805" s="42"/>
      <c r="X1805" s="42"/>
      <c r="Y1805" s="42"/>
      <c r="Z1805" s="42"/>
      <c r="AA1805" s="42"/>
      <c r="AB1805" s="42"/>
    </row>
    <row r="1806" spans="1:28" x14ac:dyDescent="0.25">
      <c r="A1806" s="42" t="str">
        <v>3.1</v>
      </c>
      <c r="B1806" s="121" t="str">
        <v>1 Regulatory and Compliance</v>
      </c>
      <c r="C1806" s="41">
        <v>2</v>
      </c>
      <c r="D1806" s="41" t="str">
        <v>RS</v>
      </c>
      <c r="E1806" s="117" t="str">
        <f t="shared" si="0"/>
        <v>RS</v>
      </c>
      <c r="F1806" s="41" t="str">
        <v/>
      </c>
      <c r="G1806" s="41" t="str">
        <v/>
      </c>
      <c r="H1806" s="117">
        <f t="shared" si="1"/>
        <v>0</v>
      </c>
      <c r="I1806" s="117">
        <f t="shared" si="2"/>
        <v>1</v>
      </c>
      <c r="J1806" s="117">
        <f t="shared" si="3"/>
        <v>1</v>
      </c>
      <c r="K1806" s="117" t="str">
        <f t="shared" si="4"/>
        <v>NF</v>
      </c>
      <c r="L1806" s="42">
        <v>1</v>
      </c>
      <c r="M1806" s="121" t="str">
        <v/>
      </c>
      <c r="N1806" s="121" t="str">
        <v>1 Regulatory and Compliance</v>
      </c>
      <c r="O1806" s="121" t="str">
        <v>ReqID</v>
      </c>
      <c r="P1806" s="121" t="e">
        <v>#N/A</v>
      </c>
      <c r="Q1806" s="121" t="str">
        <v/>
      </c>
      <c r="R1806" s="121" t="str">
        <v/>
      </c>
      <c r="S1806" s="121" t="str">
        <v/>
      </c>
      <c r="T1806" s="119" t="str">
        <f>IF($C1806&lt;4,IF($C1806=3,T1807,IF($C1806=2,T$1,"")),Q1806&amp;R1806&amp;IF(LEN(S1806)=0,"",Preferences!$C$2&amp;S1806)&amp;IF(J1807=J1806,IF(LEN(R1806&amp;S1806)=0,"","
")&amp;T1807,""))</f>
        <v>Description</v>
      </c>
      <c r="U1806" s="122" t="str">
        <v/>
      </c>
      <c r="V1806" s="42"/>
      <c r="W1806" s="42"/>
      <c r="X1806" s="42"/>
      <c r="Y1806" s="42"/>
      <c r="Z1806" s="42"/>
      <c r="AA1806" s="42"/>
      <c r="AB1806" s="42"/>
    </row>
    <row r="1807" spans="1:28" x14ac:dyDescent="0.25">
      <c r="A1807" s="42" t="str">
        <v>3.1.1</v>
      </c>
      <c r="B1807" s="121" t="str">
        <v>1.1 Pharmaceutical regulations</v>
      </c>
      <c r="C1807" s="41">
        <v>3</v>
      </c>
      <c r="D1807" s="41" t="str">
        <v>R</v>
      </c>
      <c r="E1807" s="117" t="str">
        <f t="shared" si="0"/>
        <v>R</v>
      </c>
      <c r="F1807" s="41" t="str">
        <v/>
      </c>
      <c r="G1807" s="41" t="str">
        <v/>
      </c>
      <c r="H1807" s="117">
        <f t="shared" si="1"/>
        <v>0</v>
      </c>
      <c r="I1807" s="117">
        <f t="shared" si="2"/>
        <v>1</v>
      </c>
      <c r="J1807" s="117">
        <f t="shared" si="3"/>
        <v>1.01</v>
      </c>
      <c r="K1807" s="117" t="str">
        <f t="shared" si="4"/>
        <v>NF</v>
      </c>
      <c r="L1807" s="42" t="str">
        <v>NF0101</v>
      </c>
      <c r="M1807" s="121" t="str">
        <v/>
      </c>
      <c r="N1807" s="121" t="str">
        <v/>
      </c>
      <c r="O1807" s="121" t="str">
        <v>NF0101</v>
      </c>
      <c r="P1807" s="121" t="str">
        <v>Pharmaceutical regulations</v>
      </c>
      <c r="Q1807" s="121" t="str">
        <v/>
      </c>
      <c r="R1807" s="121" t="str">
        <v/>
      </c>
      <c r="S1807" s="121" t="str">
        <v/>
      </c>
      <c r="T1807" s="119" t="str">
        <f>IF($C1807&lt;4,IF($C1807=3,T1808,IF($C1807=2,T$1,"")),Q1807&amp;R1807&amp;IF(LEN(S1807)=0,"",Preferences!$C$2&amp;S1807)&amp;IF(J1808=J1807,IF(LEN(R1807&amp;S1807)=0,"","
")&amp;T1808,""))</f>
        <v xml:space="preserve"> 1. The business may not sell pharmaceutical products to the public, as it is not a registered pharmacy.</v>
      </c>
      <c r="U1807" s="122" t="str">
        <v/>
      </c>
      <c r="V1807" s="42"/>
      <c r="W1807" s="42"/>
      <c r="X1807" s="42"/>
      <c r="Y1807" s="42"/>
      <c r="Z1807" s="42"/>
      <c r="AA1807" s="42"/>
      <c r="AB1807" s="42"/>
    </row>
    <row r="1808" spans="1:28" x14ac:dyDescent="0.25">
      <c r="A1808" s="42" t="str">
        <v>3.1.1.1</v>
      </c>
      <c r="B1808" s="121" t="str">
        <v>The business may not sell pharmaceutical products to the public, as it is not a registered pharmacy.</v>
      </c>
      <c r="C1808" s="41">
        <v>4</v>
      </c>
      <c r="D1808" s="41" t="str">
        <v>RD</v>
      </c>
      <c r="E1808" s="117" t="str">
        <f t="shared" si="0"/>
        <v>RD</v>
      </c>
      <c r="F1808" s="41" t="str">
        <v/>
      </c>
      <c r="G1808" s="41" t="str">
        <v/>
      </c>
      <c r="H1808" s="117">
        <f t="shared" si="1"/>
        <v>0</v>
      </c>
      <c r="I1808" s="117">
        <f t="shared" si="2"/>
        <v>1</v>
      </c>
      <c r="J1808" s="117">
        <f t="shared" si="3"/>
        <v>1.01</v>
      </c>
      <c r="K1808" s="117" t="str">
        <f t="shared" si="4"/>
        <v>NF</v>
      </c>
      <c r="L1808" s="42" t="str">
        <v>NF0101</v>
      </c>
      <c r="M1808" s="121" t="str">
        <v/>
      </c>
      <c r="N1808" s="121" t="str">
        <v/>
      </c>
      <c r="O1808" s="121" t="str">
        <v/>
      </c>
      <c r="P1808" s="121" t="str">
        <v/>
      </c>
      <c r="Q1808" s="121" t="str">
        <v xml:space="preserve"> 1. </v>
      </c>
      <c r="R1808" s="121" t="str">
        <v>The business may not sell pharmaceutical products to the public, as it is not a registered pharmacy.</v>
      </c>
      <c r="S1808" s="121" t="str">
        <v/>
      </c>
      <c r="T1808" s="119" t="str">
        <f>IF($C1808&lt;4,IF($C1808=3,T1809,IF($C1808=2,T$1,"")),Q1808&amp;R1808&amp;IF(LEN(S1808)=0,"",Preferences!$C$2&amp;S1808)&amp;IF(J1809=J1808,IF(LEN(R1808&amp;S1808)=0,"","
")&amp;T1809,""))</f>
        <v xml:space="preserve"> 1. The business may not sell pharmaceutical products to the public, as it is not a registered pharmacy.</v>
      </c>
      <c r="U1808" s="122" t="str">
        <v/>
      </c>
      <c r="V1808" s="42"/>
      <c r="W1808" s="42"/>
      <c r="X1808" s="42"/>
      <c r="Y1808" s="42"/>
      <c r="Z1808" s="42"/>
      <c r="AA1808" s="42"/>
      <c r="AB1808" s="42"/>
    </row>
    <row r="1809" spans="1:28" x14ac:dyDescent="0.25">
      <c r="A1809" s="42" t="str">
        <v>3.1.2</v>
      </c>
      <c r="B1809" s="121" t="str">
        <v>1.2 Information Privacy regulations</v>
      </c>
      <c r="C1809" s="41">
        <v>3</v>
      </c>
      <c r="D1809" s="41" t="str">
        <v>R</v>
      </c>
      <c r="E1809" s="117" t="str">
        <f t="shared" si="0"/>
        <v>R</v>
      </c>
      <c r="F1809" s="41" t="str">
        <v/>
      </c>
      <c r="G1809" s="41" t="str">
        <v/>
      </c>
      <c r="H1809" s="117">
        <f t="shared" si="1"/>
        <v>0</v>
      </c>
      <c r="I1809" s="117">
        <f t="shared" si="2"/>
        <v>1</v>
      </c>
      <c r="J1809" s="117">
        <f t="shared" si="3"/>
        <v>1.02</v>
      </c>
      <c r="K1809" s="117" t="str">
        <f t="shared" si="4"/>
        <v>NF</v>
      </c>
      <c r="L1809" s="42" t="str">
        <v>NF0102</v>
      </c>
      <c r="M1809" s="121" t="str">
        <v/>
      </c>
      <c r="N1809" s="121" t="str">
        <v/>
      </c>
      <c r="O1809" s="121" t="str">
        <v>NF0102</v>
      </c>
      <c r="P1809" s="121" t="str">
        <v>Information Privacy regulations</v>
      </c>
      <c r="Q1809" s="121" t="str">
        <v/>
      </c>
      <c r="R1809" s="121" t="str">
        <v/>
      </c>
      <c r="S1809" s="121" t="str">
        <v/>
      </c>
      <c r="T1809" s="119" t="str">
        <f>IF($C1809&lt;4,IF($C1809=3,T1810,IF($C1809=2,T$1,"")),Q1809&amp;R1809&amp;IF(LEN(S1809)=0,"",Preferences!$C$2&amp;S1809)&amp;IF(J1810=J1809,IF(LEN(R1809&amp;S1809)=0,"","
")&amp;T1810,""))</f>
        <v xml:space="preserve"> 1. Customer information must be protected, as required by the POPIa regulations, to protect customer data in transit and at rest.
 2. Customer information may only be shared in the Shoprite group as required by the POPIa act, to be allowed based on explicit customer consent.
 3. Customer information may only be shared with Shoprite service providers and partners as required by the POPIa act, to be allowed based on explicit customer consent.</v>
      </c>
      <c r="U1809" s="122" t="str">
        <v/>
      </c>
      <c r="V1809" s="42"/>
      <c r="W1809" s="42"/>
      <c r="X1809" s="42"/>
      <c r="Y1809" s="42"/>
      <c r="Z1809" s="42"/>
      <c r="AA1809" s="42"/>
      <c r="AB1809" s="42"/>
    </row>
    <row r="1810" spans="1:28" x14ac:dyDescent="0.25">
      <c r="A1810" s="42" t="str">
        <v>3.1.2.1</v>
      </c>
      <c r="B1810" s="121" t="str">
        <v>Customer information must be protected, as required by the POPIa regulations, to protect customer data in transit and at rest.</v>
      </c>
      <c r="C1810" s="41">
        <v>4</v>
      </c>
      <c r="D1810" s="41" t="str">
        <v>RD</v>
      </c>
      <c r="E1810" s="117" t="str">
        <f t="shared" si="0"/>
        <v>RD</v>
      </c>
      <c r="F1810" s="41" t="str">
        <v/>
      </c>
      <c r="G1810" s="41" t="str">
        <v/>
      </c>
      <c r="H1810" s="117">
        <f t="shared" si="1"/>
        <v>0</v>
      </c>
      <c r="I1810" s="117">
        <f t="shared" si="2"/>
        <v>1</v>
      </c>
      <c r="J1810" s="117">
        <f t="shared" si="3"/>
        <v>1.02</v>
      </c>
      <c r="K1810" s="117" t="str">
        <f t="shared" si="4"/>
        <v>NF</v>
      </c>
      <c r="L1810" s="42" t="str">
        <v>NF0102</v>
      </c>
      <c r="M1810" s="121" t="str">
        <v/>
      </c>
      <c r="N1810" s="121" t="str">
        <v/>
      </c>
      <c r="O1810" s="121" t="str">
        <v/>
      </c>
      <c r="P1810" s="121" t="str">
        <v/>
      </c>
      <c r="Q1810" s="121" t="str">
        <v xml:space="preserve"> 1. </v>
      </c>
      <c r="R1810" s="121" t="str">
        <v>Customer information must be protected, as required by the POPIa regulations, to protect customer data in transit and at rest.</v>
      </c>
      <c r="S1810" s="121" t="str">
        <v/>
      </c>
      <c r="T1810" s="119" t="str">
        <f>IF($C1810&lt;4,IF($C1810=3,T1811,IF($C1810=2,T$1,"")),Q1810&amp;R1810&amp;IF(LEN(S1810)=0,"",Preferences!$C$2&amp;S1810)&amp;IF(J1811=J1810,IF(LEN(R1810&amp;S1810)=0,"","
")&amp;T1811,""))</f>
        <v xml:space="preserve"> 1. Customer information must be protected, as required by the POPIa regulations, to protect customer data in transit and at rest.
 2. Customer information may only be shared in the Shoprite group as required by the POPIa act, to be allowed based on explicit customer consent.
 3. Customer information may only be shared with Shoprite service providers and partners as required by the POPIa act, to be allowed based on explicit customer consent.</v>
      </c>
      <c r="U1810" s="122" t="str">
        <v/>
      </c>
      <c r="V1810" s="42"/>
      <c r="W1810" s="42"/>
      <c r="X1810" s="42"/>
      <c r="Y1810" s="42"/>
      <c r="Z1810" s="42"/>
      <c r="AA1810" s="42"/>
      <c r="AB1810" s="42"/>
    </row>
    <row r="1811" spans="1:28" x14ac:dyDescent="0.25">
      <c r="A1811" s="42" t="str">
        <v>3.1.2.2</v>
      </c>
      <c r="B1811" s="121" t="str">
        <v>Customer information may only be shared in the Shoprite group as required by the POPIa act, to be allowed based on explicit customer consent.</v>
      </c>
      <c r="C1811" s="41">
        <v>4</v>
      </c>
      <c r="D1811" s="41" t="str">
        <v>RD</v>
      </c>
      <c r="E1811" s="117" t="str">
        <f t="shared" si="0"/>
        <v>RD</v>
      </c>
      <c r="F1811" s="41" t="str">
        <v/>
      </c>
      <c r="G1811" s="41" t="str">
        <v/>
      </c>
      <c r="H1811" s="117">
        <f t="shared" si="1"/>
        <v>0</v>
      </c>
      <c r="I1811" s="117">
        <f t="shared" si="2"/>
        <v>1</v>
      </c>
      <c r="J1811" s="117">
        <f t="shared" si="3"/>
        <v>1.02</v>
      </c>
      <c r="K1811" s="117" t="str">
        <f t="shared" si="4"/>
        <v>NF</v>
      </c>
      <c r="L1811" s="42" t="str">
        <v>NF0102</v>
      </c>
      <c r="M1811" s="121" t="str">
        <v/>
      </c>
      <c r="N1811" s="121" t="str">
        <v/>
      </c>
      <c r="O1811" s="121" t="str">
        <v/>
      </c>
      <c r="P1811" s="121" t="str">
        <v/>
      </c>
      <c r="Q1811" s="121" t="str">
        <v xml:space="preserve"> 2. </v>
      </c>
      <c r="R1811" s="121" t="str">
        <v>Customer information may only be shared in the Shoprite group as required by the POPIa act, to be allowed based on explicit customer consent.</v>
      </c>
      <c r="S1811" s="121" t="str">
        <v/>
      </c>
      <c r="T1811" s="119" t="str">
        <f>IF($C1811&lt;4,IF($C1811=3,T1812,IF($C1811=2,T$1,"")),Q1811&amp;R1811&amp;IF(LEN(S1811)=0,"",Preferences!$C$2&amp;S1811)&amp;IF(J1812=J1811,IF(LEN(R1811&amp;S1811)=0,"","
")&amp;T1812,""))</f>
        <v xml:space="preserve"> 2. Customer information may only be shared in the Shoprite group as required by the POPIa act, to be allowed based on explicit customer consent.
 3. Customer information may only be shared with Shoprite service providers and partners as required by the POPIa act, to be allowed based on explicit customer consent.</v>
      </c>
      <c r="U1811" s="122" t="str">
        <v/>
      </c>
      <c r="V1811" s="42"/>
      <c r="W1811" s="42"/>
      <c r="X1811" s="42"/>
      <c r="Y1811" s="42"/>
      <c r="Z1811" s="42"/>
      <c r="AA1811" s="42"/>
      <c r="AB1811" s="42"/>
    </row>
    <row r="1812" spans="1:28" x14ac:dyDescent="0.25">
      <c r="A1812" s="42" t="str">
        <v>3.1.2.3</v>
      </c>
      <c r="B1812" s="121" t="str">
        <v>Customer information may only be shared with Shoprite service providers and partners as required by the POPIa act, to be allowed based on explicit customer consent.</v>
      </c>
      <c r="C1812" s="41">
        <v>4</v>
      </c>
      <c r="D1812" s="41" t="str">
        <v>RD</v>
      </c>
      <c r="E1812" s="117" t="str">
        <f t="shared" si="0"/>
        <v>RD</v>
      </c>
      <c r="F1812" s="41" t="str">
        <v/>
      </c>
      <c r="G1812" s="41" t="str">
        <v/>
      </c>
      <c r="H1812" s="117">
        <f t="shared" si="1"/>
        <v>0</v>
      </c>
      <c r="I1812" s="117">
        <f t="shared" si="2"/>
        <v>1</v>
      </c>
      <c r="J1812" s="117">
        <f t="shared" si="3"/>
        <v>1.02</v>
      </c>
      <c r="K1812" s="117" t="str">
        <f t="shared" si="4"/>
        <v>NF</v>
      </c>
      <c r="L1812" s="42" t="str">
        <v>NF0102</v>
      </c>
      <c r="M1812" s="121" t="str">
        <v/>
      </c>
      <c r="N1812" s="121" t="str">
        <v/>
      </c>
      <c r="O1812" s="121" t="str">
        <v/>
      </c>
      <c r="P1812" s="121" t="str">
        <v/>
      </c>
      <c r="Q1812" s="121" t="str">
        <v xml:space="preserve"> 3. </v>
      </c>
      <c r="R1812" s="121" t="str">
        <v>Customer information may only be shared with Shoprite service providers and partners as required by the POPIa act, to be allowed based on explicit customer consent.</v>
      </c>
      <c r="S1812" s="121" t="str">
        <v/>
      </c>
      <c r="T1812" s="119" t="str">
        <f>IF($C1812&lt;4,IF($C1812=3,T1813,IF($C1812=2,T$1,"")),Q1812&amp;R1812&amp;IF(LEN(S1812)=0,"",Preferences!$C$2&amp;S1812)&amp;IF(J1813=J1812,IF(LEN(R1812&amp;S1812)=0,"","
")&amp;T1813,""))</f>
        <v xml:space="preserve"> 3. Customer information may only be shared with Shoprite service providers and partners as required by the POPIa act, to be allowed based on explicit customer consent.</v>
      </c>
      <c r="U1812" s="122" t="str">
        <v/>
      </c>
      <c r="V1812" s="42"/>
      <c r="W1812" s="42"/>
      <c r="X1812" s="42"/>
      <c r="Y1812" s="42"/>
      <c r="Z1812" s="42"/>
      <c r="AA1812" s="42"/>
      <c r="AB1812" s="42"/>
    </row>
    <row r="1813" spans="1:28" x14ac:dyDescent="0.25">
      <c r="A1813" s="42" t="str">
        <v>3.2</v>
      </c>
      <c r="B1813" s="121" t="str">
        <v>2 Operational</v>
      </c>
      <c r="C1813" s="41">
        <v>2</v>
      </c>
      <c r="D1813" s="41" t="str">
        <v>RS</v>
      </c>
      <c r="E1813" s="117" t="str">
        <f t="shared" si="0"/>
        <v>RS</v>
      </c>
      <c r="F1813" s="41" t="str">
        <v/>
      </c>
      <c r="G1813" s="41" t="str">
        <v/>
      </c>
      <c r="H1813" s="117">
        <f t="shared" si="1"/>
        <v>0</v>
      </c>
      <c r="I1813" s="117">
        <f t="shared" si="2"/>
        <v>2</v>
      </c>
      <c r="J1813" s="117">
        <f t="shared" si="3"/>
        <v>2</v>
      </c>
      <c r="K1813" s="117" t="str">
        <f t="shared" si="4"/>
        <v>NF</v>
      </c>
      <c r="L1813" s="42">
        <v>2</v>
      </c>
      <c r="M1813" s="121" t="str">
        <v/>
      </c>
      <c r="N1813" s="121" t="str">
        <v>2 Operational</v>
      </c>
      <c r="O1813" s="121" t="str">
        <v>ReqID</v>
      </c>
      <c r="P1813" s="121" t="e">
        <v>#N/A</v>
      </c>
      <c r="Q1813" s="121" t="str">
        <v/>
      </c>
      <c r="R1813" s="121" t="str">
        <v/>
      </c>
      <c r="S1813" s="121" t="str">
        <v/>
      </c>
      <c r="T1813" s="119" t="str">
        <f>IF($C1813&lt;4,IF($C1813=3,T1814,IF($C1813=2,T$1,"")),Q1813&amp;R1813&amp;IF(LEN(S1813)=0,"",Preferences!$C$2&amp;S1813)&amp;IF(J1814=J1813,IF(LEN(R1813&amp;S1813)=0,"","
")&amp;T1814,""))</f>
        <v>Description</v>
      </c>
      <c r="U1813" s="122" t="str">
        <v/>
      </c>
      <c r="V1813" s="42"/>
      <c r="W1813" s="42"/>
      <c r="X1813" s="42"/>
      <c r="Y1813" s="42"/>
      <c r="Z1813" s="42"/>
      <c r="AA1813" s="42"/>
      <c r="AB1813" s="42"/>
    </row>
    <row r="1814" spans="1:28" x14ac:dyDescent="0.25">
      <c r="A1814" s="42" t="str">
        <v>3.2.1</v>
      </c>
      <c r="B1814" s="121" t="str">
        <v>2.1 Geographic Use</v>
      </c>
      <c r="C1814" s="41">
        <v>3</v>
      </c>
      <c r="D1814" s="41" t="str">
        <v>R</v>
      </c>
      <c r="E1814" s="117" t="str">
        <f t="shared" si="0"/>
        <v>R</v>
      </c>
      <c r="F1814" s="41" t="str">
        <v/>
      </c>
      <c r="G1814" s="41" t="str">
        <v/>
      </c>
      <c r="H1814" s="117">
        <f t="shared" si="1"/>
        <v>0</v>
      </c>
      <c r="I1814" s="117">
        <f t="shared" si="2"/>
        <v>2</v>
      </c>
      <c r="J1814" s="117">
        <f t="shared" si="3"/>
        <v>2.0099999999999998</v>
      </c>
      <c r="K1814" s="117" t="str">
        <f t="shared" si="4"/>
        <v>NF</v>
      </c>
      <c r="L1814" s="42" t="str">
        <v>NF0201</v>
      </c>
      <c r="M1814" s="121" t="str">
        <v/>
      </c>
      <c r="N1814" s="121" t="str">
        <v/>
      </c>
      <c r="O1814" s="121" t="str">
        <v>NF0201</v>
      </c>
      <c r="P1814" s="121" t="str">
        <v>Geographic Use</v>
      </c>
      <c r="Q1814" s="121" t="str">
        <v/>
      </c>
      <c r="R1814" s="121" t="str">
        <v/>
      </c>
      <c r="S1814" s="121" t="str">
        <v/>
      </c>
      <c r="T1814" s="119" t="str">
        <f>IF($C1814&lt;4,IF($C1814=3,T1815,IF($C1814=2,T$1,"")),Q1814&amp;R1814&amp;IF(LEN(S1814)=0,"",Preferences!$C$2&amp;S1814)&amp;IF(J1815=J1814,IF(LEN(R1814&amp;S1814)=0,"","
")&amp;T1815,""))</f>
        <v xml:space="preserve"> 1. The online store will (initially) be available to only customers in South Africa.</v>
      </c>
      <c r="U1814" s="122" t="str">
        <v/>
      </c>
      <c r="V1814" s="42"/>
      <c r="W1814" s="42"/>
      <c r="X1814" s="42"/>
      <c r="Y1814" s="42"/>
      <c r="Z1814" s="42"/>
      <c r="AA1814" s="42"/>
      <c r="AB1814" s="42"/>
    </row>
    <row r="1815" spans="1:28" x14ac:dyDescent="0.25">
      <c r="A1815" s="42" t="str">
        <v>3.2.1.1</v>
      </c>
      <c r="B1815" s="121" t="str">
        <v>The online store will (initially) be available to only customers in South Africa.</v>
      </c>
      <c r="C1815" s="41">
        <v>4</v>
      </c>
      <c r="D1815" s="41" t="str">
        <v>RD</v>
      </c>
      <c r="E1815" s="117" t="str">
        <f t="shared" si="0"/>
        <v>RD</v>
      </c>
      <c r="F1815" s="41" t="str">
        <v/>
      </c>
      <c r="G1815" s="41" t="str">
        <v/>
      </c>
      <c r="H1815" s="117">
        <f t="shared" si="1"/>
        <v>0</v>
      </c>
      <c r="I1815" s="117">
        <f t="shared" si="2"/>
        <v>2</v>
      </c>
      <c r="J1815" s="117">
        <f t="shared" si="3"/>
        <v>2.0099999999999998</v>
      </c>
      <c r="K1815" s="117" t="str">
        <f t="shared" si="4"/>
        <v>NF</v>
      </c>
      <c r="L1815" s="42" t="str">
        <v>NF0201</v>
      </c>
      <c r="M1815" s="121" t="str">
        <v/>
      </c>
      <c r="N1815" s="121" t="str">
        <v/>
      </c>
      <c r="O1815" s="121" t="str">
        <v/>
      </c>
      <c r="P1815" s="121" t="str">
        <v/>
      </c>
      <c r="Q1815" s="121" t="str">
        <v xml:space="preserve"> 1. </v>
      </c>
      <c r="R1815" s="121" t="str">
        <v>The online store will (initially) be available to only customers in South Africa.</v>
      </c>
      <c r="S1815" s="121" t="str">
        <v/>
      </c>
      <c r="T1815" s="119" t="str">
        <f>IF($C1815&lt;4,IF($C1815=3,T1816,IF($C1815=2,T$1,"")),Q1815&amp;R1815&amp;IF(LEN(S1815)=0,"",Preferences!$C$2&amp;S1815)&amp;IF(J1816=J1815,IF(LEN(R1815&amp;S1815)=0,"","
")&amp;T1816,""))</f>
        <v xml:space="preserve"> 1. The online store will (initially) be available to only customers in South Africa.</v>
      </c>
      <c r="U1815" s="122" t="str">
        <v/>
      </c>
      <c r="V1815" s="42"/>
      <c r="W1815" s="42"/>
      <c r="X1815" s="42"/>
      <c r="Y1815" s="42"/>
      <c r="Z1815" s="42"/>
      <c r="AA1815" s="42"/>
      <c r="AB1815" s="42"/>
    </row>
    <row r="1816" spans="1:28" x14ac:dyDescent="0.25">
      <c r="A1816" s="42" t="str">
        <v>3.3</v>
      </c>
      <c r="B1816" s="121" t="str">
        <v>3 Performance</v>
      </c>
      <c r="C1816" s="41">
        <v>2</v>
      </c>
      <c r="D1816" s="41" t="str">
        <v>RS</v>
      </c>
      <c r="E1816" s="117" t="str">
        <f t="shared" si="0"/>
        <v>RS</v>
      </c>
      <c r="F1816" s="41" t="str">
        <v/>
      </c>
      <c r="G1816" s="41" t="str">
        <v/>
      </c>
      <c r="H1816" s="117">
        <f t="shared" si="1"/>
        <v>0</v>
      </c>
      <c r="I1816" s="117">
        <f t="shared" si="2"/>
        <v>3</v>
      </c>
      <c r="J1816" s="117">
        <f t="shared" si="3"/>
        <v>3</v>
      </c>
      <c r="K1816" s="117" t="str">
        <f t="shared" si="4"/>
        <v>NF</v>
      </c>
      <c r="L1816" s="42">
        <v>3</v>
      </c>
      <c r="M1816" s="121" t="str">
        <v/>
      </c>
      <c r="N1816" s="121" t="str">
        <v>3 Performance</v>
      </c>
      <c r="O1816" s="121" t="str">
        <v>ReqID</v>
      </c>
      <c r="P1816" s="121" t="e">
        <v>#N/A</v>
      </c>
      <c r="Q1816" s="121" t="str">
        <v/>
      </c>
      <c r="R1816" s="121" t="str">
        <v/>
      </c>
      <c r="S1816" s="121" t="str">
        <v/>
      </c>
      <c r="T1816" s="119" t="str">
        <f>IF($C1816&lt;4,IF($C1816=3,T1817,IF($C1816=2,T$1,"")),Q1816&amp;R1816&amp;IF(LEN(S1816)=0,"",Preferences!$C$2&amp;S1816)&amp;IF(J1817=J1816,IF(LEN(R1816&amp;S1816)=0,"","
")&amp;T1817,""))</f>
        <v>Description</v>
      </c>
      <c r="U1816" s="122" t="str">
        <v/>
      </c>
      <c r="V1816" s="42"/>
      <c r="W1816" s="42"/>
      <c r="X1816" s="42"/>
      <c r="Y1816" s="42"/>
      <c r="Z1816" s="42"/>
      <c r="AA1816" s="42"/>
      <c r="AB1816" s="42"/>
    </row>
    <row r="1817" spans="1:28" x14ac:dyDescent="0.25">
      <c r="A1817" s="42" t="str">
        <v>3.3.1</v>
      </c>
      <c r="B1817" s="121" t="str">
        <v>3.1 Response time</v>
      </c>
      <c r="C1817" s="41">
        <v>3</v>
      </c>
      <c r="D1817" s="41" t="str">
        <v>R</v>
      </c>
      <c r="E1817" s="117" t="str">
        <f t="shared" si="0"/>
        <v>R</v>
      </c>
      <c r="F1817" s="41" t="str">
        <v/>
      </c>
      <c r="G1817" s="41" t="str">
        <v/>
      </c>
      <c r="H1817" s="117">
        <f t="shared" si="1"/>
        <v>0</v>
      </c>
      <c r="I1817" s="117">
        <f t="shared" si="2"/>
        <v>3</v>
      </c>
      <c r="J1817" s="117">
        <f t="shared" si="3"/>
        <v>3.01</v>
      </c>
      <c r="K1817" s="117" t="str">
        <f t="shared" si="4"/>
        <v>NF</v>
      </c>
      <c r="L1817" s="42" t="str">
        <v>NF0301</v>
      </c>
      <c r="M1817" s="121" t="str">
        <v/>
      </c>
      <c r="N1817" s="121" t="str">
        <v/>
      </c>
      <c r="O1817" s="121" t="str">
        <v>NF0301</v>
      </c>
      <c r="P1817" s="121" t="str">
        <v>Response time</v>
      </c>
      <c r="Q1817" s="121" t="str">
        <v/>
      </c>
      <c r="R1817" s="121" t="str">
        <v/>
      </c>
      <c r="S1817" s="121" t="str">
        <v/>
      </c>
      <c r="T1817" s="119" t="str">
        <f>IF($C1817&lt;4,IF($C1817=3,T1818,IF($C1817=2,T$1,"")),Q1817&amp;R1817&amp;IF(LEN(S1817)=0,"",Preferences!$C$2&amp;S1817)&amp;IF(J1818=J1817,IF(LEN(R1817&amp;S1817)=0,"","
")&amp;T1818,""))</f>
        <v xml:space="preserve"> 1. Under normal usage conditions, pages must load within 7 seconds.
 2. Under heavy load conditions, pages must load within 15 seconds.
 3. Under normal usage conditions, when redirecting between the online shop and the payment gateway, pages must load within 5 seconds.
 4. Under heavy load conditions, when redirecting between the online shop and the payment gateway, pages must load within 10 seconds (might be timeout sensitive).</v>
      </c>
      <c r="U1817" s="122" t="str">
        <v/>
      </c>
      <c r="V1817" s="42"/>
      <c r="W1817" s="42"/>
      <c r="X1817" s="42"/>
      <c r="Y1817" s="42"/>
      <c r="Z1817" s="42"/>
      <c r="AA1817" s="42"/>
      <c r="AB1817" s="42"/>
    </row>
    <row r="1818" spans="1:28" x14ac:dyDescent="0.25">
      <c r="A1818" s="42" t="str">
        <v>3.3.1.1</v>
      </c>
      <c r="B1818" s="121" t="str">
        <v>Under normal usage conditions, pages must load within 7 seconds.</v>
      </c>
      <c r="C1818" s="41">
        <v>4</v>
      </c>
      <c r="D1818" s="41" t="str">
        <v>RD</v>
      </c>
      <c r="E1818" s="117" t="str">
        <f t="shared" si="0"/>
        <v>RD</v>
      </c>
      <c r="F1818" s="41" t="str">
        <v/>
      </c>
      <c r="G1818" s="41" t="str">
        <v/>
      </c>
      <c r="H1818" s="117">
        <f t="shared" si="1"/>
        <v>0</v>
      </c>
      <c r="I1818" s="117">
        <f t="shared" si="2"/>
        <v>3</v>
      </c>
      <c r="J1818" s="117">
        <f t="shared" si="3"/>
        <v>3.01</v>
      </c>
      <c r="K1818" s="117" t="str">
        <f t="shared" si="4"/>
        <v>NF</v>
      </c>
      <c r="L1818" s="42" t="str">
        <v>NF0301</v>
      </c>
      <c r="M1818" s="121" t="str">
        <v/>
      </c>
      <c r="N1818" s="121" t="str">
        <v/>
      </c>
      <c r="O1818" s="121" t="str">
        <v/>
      </c>
      <c r="P1818" s="121" t="str">
        <v/>
      </c>
      <c r="Q1818" s="121" t="str">
        <v xml:space="preserve"> 1. </v>
      </c>
      <c r="R1818" s="121" t="str">
        <v>Under normal usage conditions, pages must load within 7 seconds.</v>
      </c>
      <c r="S1818" s="121" t="str">
        <v/>
      </c>
      <c r="T1818" s="119" t="str">
        <f>IF($C1818&lt;4,IF($C1818=3,T1819,IF($C1818=2,T$1,"")),Q1818&amp;R1818&amp;IF(LEN(S1818)=0,"",Preferences!$C$2&amp;S1818)&amp;IF(J1819=J1818,IF(LEN(R1818&amp;S1818)=0,"","
")&amp;T1819,""))</f>
        <v xml:space="preserve"> 1. Under normal usage conditions, pages must load within 7 seconds.
 2. Under heavy load conditions, pages must load within 15 seconds.
 3. Under normal usage conditions, when redirecting between the online shop and the payment gateway, pages must load within 5 seconds.
 4. Under heavy load conditions, when redirecting between the online shop and the payment gateway, pages must load within 10 seconds (might be timeout sensitive).</v>
      </c>
      <c r="U1818" s="122" t="str">
        <v/>
      </c>
      <c r="V1818" s="42"/>
      <c r="W1818" s="42"/>
      <c r="X1818" s="42"/>
      <c r="Y1818" s="42"/>
      <c r="Z1818" s="42"/>
      <c r="AA1818" s="42"/>
      <c r="AB1818" s="42"/>
    </row>
    <row r="1819" spans="1:28" x14ac:dyDescent="0.25">
      <c r="A1819" s="42" t="str">
        <v>3.3.1.2</v>
      </c>
      <c r="B1819" s="121" t="str">
        <v>Under heavy load conditions, pages must load within 15 seconds.</v>
      </c>
      <c r="C1819" s="41">
        <v>4</v>
      </c>
      <c r="D1819" s="41" t="str">
        <v>RD</v>
      </c>
      <c r="E1819" s="117" t="str">
        <f t="shared" si="0"/>
        <v>RD</v>
      </c>
      <c r="F1819" s="41" t="str">
        <v/>
      </c>
      <c r="G1819" s="41" t="str">
        <v/>
      </c>
      <c r="H1819" s="117">
        <f t="shared" si="1"/>
        <v>0</v>
      </c>
      <c r="I1819" s="117">
        <f t="shared" si="2"/>
        <v>3</v>
      </c>
      <c r="J1819" s="117">
        <f t="shared" si="3"/>
        <v>3.01</v>
      </c>
      <c r="K1819" s="117" t="str">
        <f t="shared" si="4"/>
        <v>NF</v>
      </c>
      <c r="L1819" s="42" t="str">
        <v>NF0301</v>
      </c>
      <c r="M1819" s="121" t="str">
        <v/>
      </c>
      <c r="N1819" s="121" t="str">
        <v/>
      </c>
      <c r="O1819" s="121" t="str">
        <v/>
      </c>
      <c r="P1819" s="121" t="str">
        <v/>
      </c>
      <c r="Q1819" s="121" t="str">
        <v xml:space="preserve"> 2. </v>
      </c>
      <c r="R1819" s="121" t="str">
        <v>Under heavy load conditions, pages must load within 15 seconds.</v>
      </c>
      <c r="S1819" s="121" t="str">
        <v/>
      </c>
      <c r="T1819" s="119" t="str">
        <f>IF($C1819&lt;4,IF($C1819=3,T1820,IF($C1819=2,T$1,"")),Q1819&amp;R1819&amp;IF(LEN(S1819)=0,"",Preferences!$C$2&amp;S1819)&amp;IF(J1820=J1819,IF(LEN(R1819&amp;S1819)=0,"","
")&amp;T1820,""))</f>
        <v xml:space="preserve"> 2. Under heavy load conditions, pages must load within 15 seconds.
 3. Under normal usage conditions, when redirecting between the online shop and the payment gateway, pages must load within 5 seconds.
 4. Under heavy load conditions, when redirecting between the online shop and the payment gateway, pages must load within 10 seconds (might be timeout sensitive).</v>
      </c>
      <c r="U1819" s="122" t="str">
        <v/>
      </c>
      <c r="V1819" s="42"/>
      <c r="W1819" s="42"/>
      <c r="X1819" s="42"/>
      <c r="Y1819" s="42"/>
      <c r="Z1819" s="42"/>
      <c r="AA1819" s="42"/>
      <c r="AB1819" s="42"/>
    </row>
    <row r="1820" spans="1:28" x14ac:dyDescent="0.25">
      <c r="A1820" s="42" t="str">
        <v>3.3.1.3</v>
      </c>
      <c r="B1820" s="121" t="str">
        <v>Under normal usage conditions, when redirecting between the online shop and the payment gateway, pages must load within 5 seconds.</v>
      </c>
      <c r="C1820" s="41">
        <v>4</v>
      </c>
      <c r="D1820" s="41" t="str">
        <v>RD</v>
      </c>
      <c r="E1820" s="117" t="str">
        <f t="shared" si="0"/>
        <v>RD</v>
      </c>
      <c r="F1820" s="41" t="str">
        <v/>
      </c>
      <c r="G1820" s="41" t="str">
        <v/>
      </c>
      <c r="H1820" s="117">
        <f t="shared" si="1"/>
        <v>0</v>
      </c>
      <c r="I1820" s="117">
        <f t="shared" si="2"/>
        <v>3</v>
      </c>
      <c r="J1820" s="117">
        <f t="shared" si="3"/>
        <v>3.01</v>
      </c>
      <c r="K1820" s="117" t="str">
        <f t="shared" si="4"/>
        <v>NF</v>
      </c>
      <c r="L1820" s="42" t="str">
        <v>NF0301</v>
      </c>
      <c r="M1820" s="121" t="str">
        <v/>
      </c>
      <c r="N1820" s="121" t="str">
        <v/>
      </c>
      <c r="O1820" s="121" t="str">
        <v/>
      </c>
      <c r="P1820" s="121" t="str">
        <v/>
      </c>
      <c r="Q1820" s="121" t="str">
        <v xml:space="preserve"> 3. </v>
      </c>
      <c r="R1820" s="121" t="str">
        <v>Under normal usage conditions, when redirecting between the online shop and the payment gateway, pages must load within 5 seconds.</v>
      </c>
      <c r="S1820" s="121" t="str">
        <v/>
      </c>
      <c r="T1820" s="119" t="str">
        <f>IF($C1820&lt;4,IF($C1820=3,T1821,IF($C1820=2,T$1,"")),Q1820&amp;R1820&amp;IF(LEN(S1820)=0,"",Preferences!$C$2&amp;S1820)&amp;IF(J1821=J1820,IF(LEN(R1820&amp;S1820)=0,"","
")&amp;T1821,""))</f>
        <v xml:space="preserve"> 3. Under normal usage conditions, when redirecting between the online shop and the payment gateway, pages must load within 5 seconds.
 4. Under heavy load conditions, when redirecting between the online shop and the payment gateway, pages must load within 10 seconds (might be timeout sensitive).</v>
      </c>
      <c r="U1820" s="122" t="str">
        <v/>
      </c>
      <c r="V1820" s="42"/>
      <c r="W1820" s="42"/>
      <c r="X1820" s="42"/>
      <c r="Y1820" s="42"/>
      <c r="Z1820" s="42"/>
      <c r="AA1820" s="42"/>
      <c r="AB1820" s="42"/>
    </row>
    <row r="1821" spans="1:28" x14ac:dyDescent="0.25">
      <c r="A1821" s="42" t="str">
        <v>3.3.1.4</v>
      </c>
      <c r="B1821" s="121" t="str">
        <v>Under heavy load conditions, when redirecting between the online shop and the payment gateway, pages must load within 10 seconds (might be timeout sensitive).</v>
      </c>
      <c r="C1821" s="41">
        <v>4</v>
      </c>
      <c r="D1821" s="41" t="str">
        <v>RD</v>
      </c>
      <c r="E1821" s="117" t="str">
        <f t="shared" si="0"/>
        <v>RD</v>
      </c>
      <c r="F1821" s="41" t="str">
        <v/>
      </c>
      <c r="G1821" s="41" t="str">
        <v/>
      </c>
      <c r="H1821" s="117">
        <f t="shared" si="1"/>
        <v>0</v>
      </c>
      <c r="I1821" s="117">
        <f t="shared" si="2"/>
        <v>3</v>
      </c>
      <c r="J1821" s="117">
        <f t="shared" si="3"/>
        <v>3.01</v>
      </c>
      <c r="K1821" s="117" t="str">
        <f t="shared" si="4"/>
        <v>NF</v>
      </c>
      <c r="L1821" s="42" t="str">
        <v>NF0301</v>
      </c>
      <c r="M1821" s="121" t="str">
        <v/>
      </c>
      <c r="N1821" s="121" t="str">
        <v/>
      </c>
      <c r="O1821" s="121" t="str">
        <v/>
      </c>
      <c r="P1821" s="121" t="str">
        <v/>
      </c>
      <c r="Q1821" s="121" t="str">
        <v xml:space="preserve"> 4. </v>
      </c>
      <c r="R1821" s="121" t="str">
        <v>Under heavy load conditions, when redirecting between the online shop and the payment gateway, pages must load within 10 seconds (might be timeout sensitive).</v>
      </c>
      <c r="S1821" s="121" t="str">
        <v/>
      </c>
      <c r="T1821" s="119" t="str">
        <f>IF($C1821&lt;4,IF($C1821=3,T1822,IF($C1821=2,T$1,"")),Q1821&amp;R1821&amp;IF(LEN(S1821)=0,"",Preferences!$C$2&amp;S1821)&amp;IF(J1822=J1821,IF(LEN(R1821&amp;S1821)=0,"","
")&amp;T1822,""))</f>
        <v xml:space="preserve"> 4. Under heavy load conditions, when redirecting between the online shop and the payment gateway, pages must load within 10 seconds (might be timeout sensitive).</v>
      </c>
      <c r="U1821" s="122" t="str">
        <v/>
      </c>
      <c r="V1821" s="42"/>
      <c r="W1821" s="42"/>
      <c r="X1821" s="42"/>
      <c r="Y1821" s="42"/>
      <c r="Z1821" s="42"/>
      <c r="AA1821" s="42"/>
      <c r="AB1821" s="42"/>
    </row>
    <row r="1822" spans="1:28" x14ac:dyDescent="0.25">
      <c r="A1822" s="42" t="str">
        <v>3.3.2</v>
      </c>
      <c r="B1822" s="121" t="str">
        <v>3.2 Throughput</v>
      </c>
      <c r="C1822" s="41">
        <v>3</v>
      </c>
      <c r="D1822" s="41" t="str">
        <v>R</v>
      </c>
      <c r="E1822" s="117" t="str">
        <f t="shared" si="0"/>
        <v>R</v>
      </c>
      <c r="F1822" s="41" t="str">
        <v/>
      </c>
      <c r="G1822" s="41" t="str">
        <v/>
      </c>
      <c r="H1822" s="117">
        <f t="shared" si="1"/>
        <v>0</v>
      </c>
      <c r="I1822" s="117">
        <f t="shared" si="2"/>
        <v>3</v>
      </c>
      <c r="J1822" s="117">
        <f t="shared" si="3"/>
        <v>3.0199999999999996</v>
      </c>
      <c r="K1822" s="117" t="str">
        <f t="shared" si="4"/>
        <v>NF</v>
      </c>
      <c r="L1822" s="42" t="str">
        <v>NF0302</v>
      </c>
      <c r="M1822" s="121" t="str">
        <v/>
      </c>
      <c r="N1822" s="121" t="str">
        <v/>
      </c>
      <c r="O1822" s="121" t="str">
        <v>NF0302</v>
      </c>
      <c r="P1822" s="121" t="str">
        <v>Throughput</v>
      </c>
      <c r="Q1822" s="121" t="str">
        <v/>
      </c>
      <c r="R1822" s="121" t="str">
        <v/>
      </c>
      <c r="S1822" s="121" t="str">
        <v/>
      </c>
      <c r="T1822" s="119" t="str">
        <f>IF($C1822&lt;4,IF($C1822=3,T1823,IF($C1822=2,T$1,"")),Q1822&amp;R1822&amp;IF(LEN(S1822)=0,"",Preferences!$C$2&amp;S1822)&amp;IF(J1823=J1822,IF(LEN(R1822&amp;S1822)=0,"","
")&amp;T1823,""))</f>
        <v xml:space="preserve"> 1. Throughput (e.g. transactions per second)
 2. The payment gateway must cater for at least 10 transactions per second.</v>
      </c>
      <c r="U1822" s="122" t="str">
        <v/>
      </c>
      <c r="V1822" s="42"/>
      <c r="W1822" s="42"/>
      <c r="X1822" s="42"/>
      <c r="Y1822" s="42"/>
      <c r="Z1822" s="42"/>
      <c r="AA1822" s="42"/>
      <c r="AB1822" s="42"/>
    </row>
    <row r="1823" spans="1:28" x14ac:dyDescent="0.25">
      <c r="A1823" s="42" t="str">
        <v>3.3.2.1</v>
      </c>
      <c r="B1823" s="121" t="str">
        <v>Throughput (e.g. transactions per second)</v>
      </c>
      <c r="C1823" s="41">
        <v>4</v>
      </c>
      <c r="D1823" s="41" t="str">
        <v>RD</v>
      </c>
      <c r="E1823" s="117" t="str">
        <f t="shared" si="0"/>
        <v>RD</v>
      </c>
      <c r="F1823" s="41" t="str">
        <v/>
      </c>
      <c r="G1823" s="41" t="str">
        <v/>
      </c>
      <c r="H1823" s="117">
        <f t="shared" si="1"/>
        <v>0</v>
      </c>
      <c r="I1823" s="117">
        <f t="shared" si="2"/>
        <v>3</v>
      </c>
      <c r="J1823" s="117">
        <f t="shared" si="3"/>
        <v>3.0199999999999996</v>
      </c>
      <c r="K1823" s="117" t="str">
        <f t="shared" si="4"/>
        <v>NF</v>
      </c>
      <c r="L1823" s="42" t="str">
        <v>NF0302</v>
      </c>
      <c r="M1823" s="121" t="str">
        <v/>
      </c>
      <c r="N1823" s="121" t="str">
        <v/>
      </c>
      <c r="O1823" s="121" t="str">
        <v/>
      </c>
      <c r="P1823" s="121" t="str">
        <v/>
      </c>
      <c r="Q1823" s="121" t="str">
        <v xml:space="preserve"> 1. </v>
      </c>
      <c r="R1823" s="121" t="str">
        <v>Throughput (e.g. transactions per second)</v>
      </c>
      <c r="S1823" s="121" t="str">
        <v/>
      </c>
      <c r="T1823" s="119" t="str">
        <f>IF($C1823&lt;4,IF($C1823=3,T1824,IF($C1823=2,T$1,"")),Q1823&amp;R1823&amp;IF(LEN(S1823)=0,"",Preferences!$C$2&amp;S1823)&amp;IF(J1824=J1823,IF(LEN(R1823&amp;S1823)=0,"","
")&amp;T1824,""))</f>
        <v xml:space="preserve"> 1. Throughput (e.g. transactions per second)
 2. The payment gateway must cater for at least 10 transactions per second.</v>
      </c>
      <c r="U1823" s="122" t="str">
        <v/>
      </c>
      <c r="V1823" s="42"/>
      <c r="W1823" s="42"/>
      <c r="X1823" s="42"/>
      <c r="Y1823" s="42"/>
      <c r="Z1823" s="42"/>
      <c r="AA1823" s="42"/>
      <c r="AB1823" s="42"/>
    </row>
    <row r="1824" spans="1:28" x14ac:dyDescent="0.25">
      <c r="A1824" s="42" t="str">
        <v>3.3.2.2</v>
      </c>
      <c r="B1824" s="121" t="str">
        <v>The payment gateway must cater for at least 10 transactions per second.</v>
      </c>
      <c r="C1824" s="41">
        <v>4</v>
      </c>
      <c r="D1824" s="41" t="str">
        <v>RD</v>
      </c>
      <c r="E1824" s="117" t="str">
        <f t="shared" si="0"/>
        <v>RD</v>
      </c>
      <c r="F1824" s="41" t="str">
        <v/>
      </c>
      <c r="G1824" s="41" t="str">
        <v/>
      </c>
      <c r="H1824" s="117">
        <f t="shared" si="1"/>
        <v>0</v>
      </c>
      <c r="I1824" s="117">
        <f t="shared" si="2"/>
        <v>3</v>
      </c>
      <c r="J1824" s="117">
        <f t="shared" si="3"/>
        <v>3.0199999999999996</v>
      </c>
      <c r="K1824" s="117" t="str">
        <f t="shared" si="4"/>
        <v>NF</v>
      </c>
      <c r="L1824" s="42" t="str">
        <v>NF0302</v>
      </c>
      <c r="M1824" s="121" t="str">
        <v/>
      </c>
      <c r="N1824" s="121" t="str">
        <v/>
      </c>
      <c r="O1824" s="121" t="str">
        <v/>
      </c>
      <c r="P1824" s="121" t="str">
        <v/>
      </c>
      <c r="Q1824" s="121" t="str">
        <v xml:space="preserve"> 2. </v>
      </c>
      <c r="R1824" s="121" t="str">
        <v>The payment gateway must cater for at least 10 transactions per second.</v>
      </c>
      <c r="S1824" s="121" t="str">
        <v/>
      </c>
      <c r="T1824" s="119" t="str">
        <f>IF($C1824&lt;4,IF($C1824=3,T1825,IF($C1824=2,T$1,"")),Q1824&amp;R1824&amp;IF(LEN(S1824)=0,"",Preferences!$C$2&amp;S1824)&amp;IF(J1825=J1824,IF(LEN(R1824&amp;S1824)=0,"","
")&amp;T1825,""))</f>
        <v xml:space="preserve"> 2. The payment gateway must cater for at least 10 transactions per second.</v>
      </c>
      <c r="U1824" s="122" t="str">
        <v/>
      </c>
      <c r="V1824" s="42"/>
      <c r="W1824" s="42"/>
      <c r="X1824" s="42"/>
      <c r="Y1824" s="42"/>
      <c r="Z1824" s="42"/>
      <c r="AA1824" s="42"/>
      <c r="AB1824" s="42"/>
    </row>
    <row r="1825" spans="1:28" x14ac:dyDescent="0.25">
      <c r="A1825" s="42" t="str">
        <v>3.3.3</v>
      </c>
      <c r="B1825" s="121" t="str">
        <v>3.3 Capacity</v>
      </c>
      <c r="C1825" s="41">
        <v>3</v>
      </c>
      <c r="D1825" s="41" t="str">
        <v>R</v>
      </c>
      <c r="E1825" s="117" t="str">
        <f t="shared" si="0"/>
        <v>R</v>
      </c>
      <c r="F1825" s="41" t="str">
        <v/>
      </c>
      <c r="G1825" s="41" t="str">
        <v/>
      </c>
      <c r="H1825" s="117">
        <f t="shared" si="1"/>
        <v>0</v>
      </c>
      <c r="I1825" s="117">
        <f t="shared" si="2"/>
        <v>3</v>
      </c>
      <c r="J1825" s="117">
        <f t="shared" si="3"/>
        <v>3.0299999999999994</v>
      </c>
      <c r="K1825" s="117" t="str">
        <f t="shared" si="4"/>
        <v>NF</v>
      </c>
      <c r="L1825" s="42" t="str">
        <v>NF0303</v>
      </c>
      <c r="M1825" s="121" t="str">
        <v/>
      </c>
      <c r="N1825" s="121" t="str">
        <v/>
      </c>
      <c r="O1825" s="121" t="str">
        <v>NF0303</v>
      </c>
      <c r="P1825" s="121" t="str">
        <v>Capacity</v>
      </c>
      <c r="Q1825" s="121" t="str">
        <v/>
      </c>
      <c r="R1825" s="121" t="str">
        <v/>
      </c>
      <c r="S1825" s="121" t="str">
        <v/>
      </c>
      <c r="T1825" s="119" t="str">
        <f>IF($C1825&lt;4,IF($C1825=3,T1826,IF($C1825=2,T$1,"")),Q1825&amp;R1825&amp;IF(LEN(S1825)=0,"",Preferences!$C$2&amp;S1825)&amp;IF(J1826=J1825,IF(LEN(R1825&amp;S1825)=0,"","
")&amp;T1826,""))</f>
        <v xml:space="preserve"> 1. Under normal usage conditions, the online shop must cater for at least the following number of concurrent users:
	• 50 anonymous
	• 10 customers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25" s="122" t="str">
        <v/>
      </c>
      <c r="V1825" s="42"/>
      <c r="W1825" s="42"/>
      <c r="X1825" s="42"/>
      <c r="Y1825" s="42"/>
      <c r="Z1825" s="42"/>
      <c r="AA1825" s="42"/>
      <c r="AB1825" s="42"/>
    </row>
    <row r="1826" spans="1:28" x14ac:dyDescent="0.25">
      <c r="A1826" s="42" t="str">
        <v>3.3.3.1</v>
      </c>
      <c r="B1826" s="121" t="str">
        <v>Under normal usage conditions, the online shop must cater for at least the following number of concurrent users:</v>
      </c>
      <c r="C1826" s="41">
        <v>4</v>
      </c>
      <c r="D1826" s="41" t="str">
        <v>RD</v>
      </c>
      <c r="E1826" s="117" t="str">
        <f t="shared" si="0"/>
        <v>RD</v>
      </c>
      <c r="F1826" s="41" t="str">
        <v/>
      </c>
      <c r="G1826" s="41" t="str">
        <v/>
      </c>
      <c r="H1826" s="117">
        <f t="shared" si="1"/>
        <v>0</v>
      </c>
      <c r="I1826" s="117">
        <f t="shared" si="2"/>
        <v>3</v>
      </c>
      <c r="J1826" s="117">
        <f t="shared" si="3"/>
        <v>3.0299999999999994</v>
      </c>
      <c r="K1826" s="117" t="str">
        <f t="shared" si="4"/>
        <v>NF</v>
      </c>
      <c r="L1826" s="42" t="str">
        <v>NF0303</v>
      </c>
      <c r="M1826" s="121" t="str">
        <v/>
      </c>
      <c r="N1826" s="121" t="str">
        <v/>
      </c>
      <c r="O1826" s="121" t="str">
        <v/>
      </c>
      <c r="P1826" s="121" t="str">
        <v/>
      </c>
      <c r="Q1826" s="121" t="str">
        <v xml:space="preserve"> 1. </v>
      </c>
      <c r="R1826" s="121" t="str">
        <v>Under normal usage conditions, the online shop must cater for at least the following number of concurrent users:</v>
      </c>
      <c r="S1826" s="121" t="str">
        <v/>
      </c>
      <c r="T1826" s="119" t="str">
        <f>IF($C1826&lt;4,IF($C1826=3,T1827,IF($C1826=2,T$1,"")),Q1826&amp;R1826&amp;IF(LEN(S1826)=0,"",Preferences!$C$2&amp;S1826)&amp;IF(J1827=J1826,IF(LEN(R1826&amp;S1826)=0,"","
")&amp;T1827,""))</f>
        <v xml:space="preserve"> 1. Under normal usage conditions, the online shop must cater for at least the following number of concurrent users:
	• 50 anonymous
	• 10 customers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26" s="122" t="str">
        <v/>
      </c>
      <c r="V1826" s="42"/>
      <c r="W1826" s="42"/>
      <c r="X1826" s="42"/>
      <c r="Y1826" s="42"/>
      <c r="Z1826" s="42"/>
      <c r="AA1826" s="42"/>
      <c r="AB1826" s="42"/>
    </row>
    <row r="1827" spans="1:28" x14ac:dyDescent="0.25">
      <c r="A1827" s="42" t="str">
        <v>3.3.3.1.1</v>
      </c>
      <c r="B1827" s="121" t="str">
        <v>50 anonymous</v>
      </c>
      <c r="C1827" s="41">
        <v>5</v>
      </c>
      <c r="D1827" s="41" t="str">
        <v>RL</v>
      </c>
      <c r="E1827" s="117" t="str">
        <f t="shared" si="0"/>
        <v>RL</v>
      </c>
      <c r="F1827" s="41" t="str">
        <v/>
      </c>
      <c r="G1827" s="41" t="str">
        <v/>
      </c>
      <c r="H1827" s="117">
        <f t="shared" si="1"/>
        <v>0</v>
      </c>
      <c r="I1827" s="117">
        <f t="shared" si="2"/>
        <v>3</v>
      </c>
      <c r="J1827" s="117">
        <f t="shared" si="3"/>
        <v>3.0299999999999994</v>
      </c>
      <c r="K1827" s="117" t="str">
        <f t="shared" si="4"/>
        <v>NF</v>
      </c>
      <c r="L1827" s="42" t="str">
        <v>NF0303</v>
      </c>
      <c r="M1827" s="121" t="str">
        <v/>
      </c>
      <c r="N1827" s="121" t="str">
        <v/>
      </c>
      <c r="O1827" s="121" t="str">
        <v/>
      </c>
      <c r="P1827" s="121" t="str">
        <v/>
      </c>
      <c r="Q1827" s="121" t="str">
        <v/>
      </c>
      <c r="R1827" s="121" t="str">
        <v/>
      </c>
      <c r="S1827" s="121" t="str">
        <v>50 anonymous</v>
      </c>
      <c r="T1827" s="119" t="str">
        <f>IF($C1827&lt;4,IF($C1827=3,T1828,IF($C1827=2,T$1,"")),Q1827&amp;R1827&amp;IF(LEN(S1827)=0,"",Preferences!$C$2&amp;S1827)&amp;IF(J1828=J1827,IF(LEN(R1827&amp;S1827)=0,"","
")&amp;T1828,""))</f>
        <v xml:space="preserve">	• 50 anonymous
	• 10 customers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27" s="122" t="str">
        <v/>
      </c>
      <c r="V1827" s="42"/>
      <c r="W1827" s="42"/>
      <c r="X1827" s="42"/>
      <c r="Y1827" s="42"/>
      <c r="Z1827" s="42"/>
      <c r="AA1827" s="42"/>
      <c r="AB1827" s="42"/>
    </row>
    <row r="1828" spans="1:28" x14ac:dyDescent="0.25">
      <c r="A1828" s="42" t="str">
        <v>3.3.3.1.2</v>
      </c>
      <c r="B1828" s="121" t="str">
        <v>10 customers</v>
      </c>
      <c r="C1828" s="41">
        <v>5</v>
      </c>
      <c r="D1828" s="41" t="str">
        <v>RL</v>
      </c>
      <c r="E1828" s="117" t="str">
        <f t="shared" si="0"/>
        <v>RL</v>
      </c>
      <c r="F1828" s="41" t="str">
        <v/>
      </c>
      <c r="G1828" s="41" t="str">
        <v/>
      </c>
      <c r="H1828" s="117">
        <f t="shared" si="1"/>
        <v>0</v>
      </c>
      <c r="I1828" s="117">
        <f t="shared" si="2"/>
        <v>3</v>
      </c>
      <c r="J1828" s="117">
        <f t="shared" si="3"/>
        <v>3.0299999999999994</v>
      </c>
      <c r="K1828" s="117" t="str">
        <f t="shared" si="4"/>
        <v>NF</v>
      </c>
      <c r="L1828" s="42" t="str">
        <v>NF0303</v>
      </c>
      <c r="M1828" s="121" t="str">
        <v/>
      </c>
      <c r="N1828" s="121" t="str">
        <v/>
      </c>
      <c r="O1828" s="121" t="str">
        <v/>
      </c>
      <c r="P1828" s="121" t="str">
        <v/>
      </c>
      <c r="Q1828" s="121" t="str">
        <v/>
      </c>
      <c r="R1828" s="121" t="str">
        <v/>
      </c>
      <c r="S1828" s="121" t="str">
        <v>10 customers</v>
      </c>
      <c r="T1828" s="119" t="str">
        <f>IF($C1828&lt;4,IF($C1828=3,T1829,IF($C1828=2,T$1,"")),Q1828&amp;R1828&amp;IF(LEN(S1828)=0,"",Preferences!$C$2&amp;S1828)&amp;IF(J1829=J1828,IF(LEN(R1828&amp;S1828)=0,"","
")&amp;T1829,""))</f>
        <v xml:space="preserve">	• 10 customers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28" s="122" t="str">
        <v/>
      </c>
      <c r="V1828" s="42"/>
      <c r="W1828" s="42"/>
      <c r="X1828" s="42"/>
      <c r="Y1828" s="42"/>
      <c r="Z1828" s="42"/>
      <c r="AA1828" s="42"/>
      <c r="AB1828" s="42"/>
    </row>
    <row r="1829" spans="1:28" x14ac:dyDescent="0.25">
      <c r="A1829" s="42" t="str">
        <v>3.3.3.1.3</v>
      </c>
      <c r="B1829" s="121" t="str">
        <v>10 back-office users</v>
      </c>
      <c r="C1829" s="41">
        <v>5</v>
      </c>
      <c r="D1829" s="41" t="str">
        <v>RL</v>
      </c>
      <c r="E1829" s="117" t="str">
        <f t="shared" si="0"/>
        <v>RL</v>
      </c>
      <c r="F1829" s="41" t="str">
        <v/>
      </c>
      <c r="G1829" s="41" t="str">
        <v/>
      </c>
      <c r="H1829" s="117">
        <f t="shared" si="1"/>
        <v>0</v>
      </c>
      <c r="I1829" s="117">
        <f t="shared" si="2"/>
        <v>3</v>
      </c>
      <c r="J1829" s="117">
        <f t="shared" si="3"/>
        <v>3.0299999999999994</v>
      </c>
      <c r="K1829" s="117" t="str">
        <f t="shared" si="4"/>
        <v>NF</v>
      </c>
      <c r="L1829" s="42" t="str">
        <v>NF0303</v>
      </c>
      <c r="M1829" s="121" t="str">
        <v/>
      </c>
      <c r="N1829" s="121" t="str">
        <v/>
      </c>
      <c r="O1829" s="121" t="str">
        <v/>
      </c>
      <c r="P1829" s="121" t="str">
        <v/>
      </c>
      <c r="Q1829" s="121" t="str">
        <v/>
      </c>
      <c r="R1829" s="121" t="str">
        <v/>
      </c>
      <c r="S1829" s="121" t="str">
        <v>10 back-office users</v>
      </c>
      <c r="T1829" s="119" t="str">
        <f>IF($C1829&lt;4,IF($C1829=3,T1830,IF($C1829=2,T$1,"")),Q1829&amp;R1829&amp;IF(LEN(S1829)=0,"",Preferences!$C$2&amp;S1829)&amp;IF(J1830=J1829,IF(LEN(R1829&amp;S1829)=0,"","
")&amp;T1830,""))</f>
        <v xml:space="preserve">	• 10 back-office users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29" s="122" t="str">
        <v/>
      </c>
      <c r="V1829" s="42"/>
      <c r="W1829" s="42"/>
      <c r="X1829" s="42"/>
      <c r="Y1829" s="42"/>
      <c r="Z1829" s="42"/>
      <c r="AA1829" s="42"/>
      <c r="AB1829" s="42"/>
    </row>
    <row r="1830" spans="1:28" x14ac:dyDescent="0.25">
      <c r="A1830" s="42" t="str">
        <v>3.3.3.2</v>
      </c>
      <c r="B1830" s="121" t="str">
        <v>Under normal usage conditions, online shop must cater for at least the following number of transactions (per second):</v>
      </c>
      <c r="C1830" s="41">
        <v>4</v>
      </c>
      <c r="D1830" s="41" t="str">
        <v>RD</v>
      </c>
      <c r="E1830" s="117" t="str">
        <f t="shared" si="0"/>
        <v>RD</v>
      </c>
      <c r="F1830" s="41" t="str">
        <v/>
      </c>
      <c r="G1830" s="41" t="str">
        <v/>
      </c>
      <c r="H1830" s="117">
        <f t="shared" si="1"/>
        <v>0</v>
      </c>
      <c r="I1830" s="117">
        <f t="shared" si="2"/>
        <v>3</v>
      </c>
      <c r="J1830" s="117">
        <f t="shared" si="3"/>
        <v>3.0299999999999994</v>
      </c>
      <c r="K1830" s="117" t="str">
        <f t="shared" si="4"/>
        <v>NF</v>
      </c>
      <c r="L1830" s="42" t="str">
        <v>NF0303</v>
      </c>
      <c r="M1830" s="121" t="str">
        <v/>
      </c>
      <c r="N1830" s="121" t="str">
        <v/>
      </c>
      <c r="O1830" s="121" t="str">
        <v/>
      </c>
      <c r="P1830" s="121" t="str">
        <v/>
      </c>
      <c r="Q1830" s="121" t="str">
        <v xml:space="preserve"> 2. </v>
      </c>
      <c r="R1830" s="121" t="str">
        <v>Under normal usage conditions, online shop must cater for at least the following number of transactions (per second):</v>
      </c>
      <c r="S1830" s="121" t="str">
        <v/>
      </c>
      <c r="T1830" s="119" t="str">
        <f>IF($C1830&lt;4,IF($C1830=3,T1831,IF($C1830=2,T$1,"")),Q1830&amp;R1830&amp;IF(LEN(S1830)=0,"",Preferences!$C$2&amp;S1830)&amp;IF(J1831=J1830,IF(LEN(R1830&amp;S1830)=0,"","
")&amp;T1831,""))</f>
        <v xml:space="preserve"> 2. Under normal usage conditions, online shop must cater for at least the following number of transactions (per second):
	• 10 searches
	• 20 shopping cart additions/removals
	• 10 payment transactions
 3. Under load conditions, it must be possible to scale the capacity dynamically by adding processing and storage resources (e.g. Black Friday).</v>
      </c>
      <c r="U1830" s="122" t="str">
        <v/>
      </c>
      <c r="V1830" s="42"/>
      <c r="W1830" s="42"/>
      <c r="X1830" s="42"/>
      <c r="Y1830" s="42"/>
      <c r="Z1830" s="42"/>
      <c r="AA1830" s="42"/>
      <c r="AB1830" s="42"/>
    </row>
    <row r="1831" spans="1:28" x14ac:dyDescent="0.25">
      <c r="A1831" s="42" t="str">
        <v>3.3.3.2.1</v>
      </c>
      <c r="B1831" s="121" t="str">
        <v>10 searches</v>
      </c>
      <c r="C1831" s="41">
        <v>5</v>
      </c>
      <c r="D1831" s="41" t="str">
        <v>RL</v>
      </c>
      <c r="E1831" s="117" t="str">
        <f t="shared" si="0"/>
        <v>RL</v>
      </c>
      <c r="F1831" s="41" t="str">
        <v/>
      </c>
      <c r="G1831" s="41" t="str">
        <v/>
      </c>
      <c r="H1831" s="117">
        <f t="shared" si="1"/>
        <v>0</v>
      </c>
      <c r="I1831" s="117">
        <f t="shared" si="2"/>
        <v>3</v>
      </c>
      <c r="J1831" s="117">
        <f t="shared" si="3"/>
        <v>3.0299999999999994</v>
      </c>
      <c r="K1831" s="117" t="str">
        <f t="shared" si="4"/>
        <v>NF</v>
      </c>
      <c r="L1831" s="42" t="str">
        <v>NF0303</v>
      </c>
      <c r="M1831" s="121" t="str">
        <v/>
      </c>
      <c r="N1831" s="121" t="str">
        <v/>
      </c>
      <c r="O1831" s="121" t="str">
        <v/>
      </c>
      <c r="P1831" s="121" t="str">
        <v/>
      </c>
      <c r="Q1831" s="121" t="str">
        <v/>
      </c>
      <c r="R1831" s="121" t="str">
        <v/>
      </c>
      <c r="S1831" s="121" t="str">
        <v>10 searches</v>
      </c>
      <c r="T1831" s="119" t="str">
        <f>IF($C1831&lt;4,IF($C1831=3,T1832,IF($C1831=2,T$1,"")),Q1831&amp;R1831&amp;IF(LEN(S1831)=0,"",Preferences!$C$2&amp;S1831)&amp;IF(J1832=J1831,IF(LEN(R1831&amp;S1831)=0,"","
")&amp;T1832,""))</f>
        <v xml:space="preserve">	• 10 searches
	• 20 shopping cart additions/removals
	• 10 payment transactions
 3. Under load conditions, it must be possible to scale the capacity dynamically by adding processing and storage resources (e.g. Black Friday).</v>
      </c>
      <c r="U1831" s="122" t="str">
        <v/>
      </c>
      <c r="V1831" s="42"/>
      <c r="W1831" s="42"/>
      <c r="X1831" s="42"/>
      <c r="Y1831" s="42"/>
      <c r="Z1831" s="42"/>
      <c r="AA1831" s="42"/>
      <c r="AB1831" s="42"/>
    </row>
    <row r="1832" spans="1:28" x14ac:dyDescent="0.25">
      <c r="A1832" s="42" t="str">
        <v>3.3.3.2.2</v>
      </c>
      <c r="B1832" s="121" t="str">
        <v>20 shopping cart additions/removals</v>
      </c>
      <c r="C1832" s="41">
        <v>5</v>
      </c>
      <c r="D1832" s="41" t="str">
        <v>RL</v>
      </c>
      <c r="E1832" s="117" t="str">
        <f t="shared" si="0"/>
        <v>RL</v>
      </c>
      <c r="F1832" s="41" t="str">
        <v/>
      </c>
      <c r="G1832" s="41" t="str">
        <v/>
      </c>
      <c r="H1832" s="117">
        <f t="shared" si="1"/>
        <v>0</v>
      </c>
      <c r="I1832" s="117">
        <f t="shared" si="2"/>
        <v>3</v>
      </c>
      <c r="J1832" s="117">
        <f t="shared" si="3"/>
        <v>3.0299999999999994</v>
      </c>
      <c r="K1832" s="117" t="str">
        <f t="shared" si="4"/>
        <v>NF</v>
      </c>
      <c r="L1832" s="42" t="str">
        <v>NF0303</v>
      </c>
      <c r="M1832" s="121" t="str">
        <v/>
      </c>
      <c r="N1832" s="121" t="str">
        <v/>
      </c>
      <c r="O1832" s="121" t="str">
        <v/>
      </c>
      <c r="P1832" s="121" t="str">
        <v/>
      </c>
      <c r="Q1832" s="121" t="str">
        <v/>
      </c>
      <c r="R1832" s="121" t="str">
        <v/>
      </c>
      <c r="S1832" s="121" t="str">
        <v>20 shopping cart additions/removals</v>
      </c>
      <c r="T1832" s="119" t="str">
        <f>IF($C1832&lt;4,IF($C1832=3,T1833,IF($C1832=2,T$1,"")),Q1832&amp;R1832&amp;IF(LEN(S1832)=0,"",Preferences!$C$2&amp;S1832)&amp;IF(J1833=J1832,IF(LEN(R1832&amp;S1832)=0,"","
")&amp;T1833,""))</f>
        <v xml:space="preserve">	• 20 shopping cart additions/removals
	• 10 payment transactions
 3. Under load conditions, it must be possible to scale the capacity dynamically by adding processing and storage resources (e.g. Black Friday).</v>
      </c>
      <c r="U1832" s="122" t="str">
        <v/>
      </c>
      <c r="V1832" s="42"/>
      <c r="W1832" s="42"/>
      <c r="X1832" s="42"/>
      <c r="Y1832" s="42"/>
      <c r="Z1832" s="42"/>
      <c r="AA1832" s="42"/>
      <c r="AB1832" s="42"/>
    </row>
    <row r="1833" spans="1:28" x14ac:dyDescent="0.25">
      <c r="A1833" s="42" t="str">
        <v>3.3.3.2.3</v>
      </c>
      <c r="B1833" s="121" t="str">
        <v>10 payment transactions</v>
      </c>
      <c r="C1833" s="41">
        <v>5</v>
      </c>
      <c r="D1833" s="41" t="str">
        <v>RL</v>
      </c>
      <c r="E1833" s="117" t="str">
        <f t="shared" si="0"/>
        <v>RL</v>
      </c>
      <c r="F1833" s="41" t="str">
        <v/>
      </c>
      <c r="G1833" s="41" t="str">
        <v/>
      </c>
      <c r="H1833" s="117">
        <f t="shared" si="1"/>
        <v>0</v>
      </c>
      <c r="I1833" s="117">
        <f t="shared" si="2"/>
        <v>3</v>
      </c>
      <c r="J1833" s="117">
        <f t="shared" si="3"/>
        <v>3.0299999999999994</v>
      </c>
      <c r="K1833" s="117" t="str">
        <f t="shared" si="4"/>
        <v>NF</v>
      </c>
      <c r="L1833" s="42" t="str">
        <v>NF0303</v>
      </c>
      <c r="M1833" s="121" t="str">
        <v/>
      </c>
      <c r="N1833" s="121" t="str">
        <v/>
      </c>
      <c r="O1833" s="121" t="str">
        <v/>
      </c>
      <c r="P1833" s="121" t="str">
        <v/>
      </c>
      <c r="Q1833" s="121" t="str">
        <v/>
      </c>
      <c r="R1833" s="121" t="str">
        <v/>
      </c>
      <c r="S1833" s="121" t="str">
        <v>10 payment transactions</v>
      </c>
      <c r="T1833" s="119" t="str">
        <f>IF($C1833&lt;4,IF($C1833=3,T1834,IF($C1833=2,T$1,"")),Q1833&amp;R1833&amp;IF(LEN(S1833)=0,"",Preferences!$C$2&amp;S1833)&amp;IF(J1834=J1833,IF(LEN(R1833&amp;S1833)=0,"","
")&amp;T1834,""))</f>
        <v xml:space="preserve">	• 10 payment transactions
 3. Under load conditions, it must be possible to scale the capacity dynamically by adding processing and storage resources (e.g. Black Friday).</v>
      </c>
      <c r="U1833" s="122" t="str">
        <v/>
      </c>
      <c r="V1833" s="42"/>
      <c r="W1833" s="42"/>
      <c r="X1833" s="42"/>
      <c r="Y1833" s="42"/>
      <c r="Z1833" s="42"/>
      <c r="AA1833" s="42"/>
      <c r="AB1833" s="42"/>
    </row>
    <row r="1834" spans="1:28" x14ac:dyDescent="0.25">
      <c r="A1834" s="42" t="str">
        <v>3.3.3.3</v>
      </c>
      <c r="B1834" s="121" t="str">
        <v>Under load conditions, it must be possible to scale the capacity dynamically by adding processing and storage resources (e.g. Black Friday).</v>
      </c>
      <c r="C1834" s="41">
        <v>4</v>
      </c>
      <c r="D1834" s="41" t="str">
        <v>RD</v>
      </c>
      <c r="E1834" s="117" t="str">
        <f t="shared" si="0"/>
        <v>RD</v>
      </c>
      <c r="F1834" s="41" t="str">
        <v/>
      </c>
      <c r="G1834" s="41" t="str">
        <v/>
      </c>
      <c r="H1834" s="117">
        <f t="shared" si="1"/>
        <v>0</v>
      </c>
      <c r="I1834" s="117">
        <f t="shared" si="2"/>
        <v>3</v>
      </c>
      <c r="J1834" s="117">
        <f t="shared" si="3"/>
        <v>3.0299999999999994</v>
      </c>
      <c r="K1834" s="117" t="str">
        <f t="shared" si="4"/>
        <v>NF</v>
      </c>
      <c r="L1834" s="42" t="str">
        <v>NF0303</v>
      </c>
      <c r="M1834" s="121" t="str">
        <v/>
      </c>
      <c r="N1834" s="121" t="str">
        <v/>
      </c>
      <c r="O1834" s="121" t="str">
        <v/>
      </c>
      <c r="P1834" s="121" t="str">
        <v/>
      </c>
      <c r="Q1834" s="121" t="str">
        <v xml:space="preserve"> 3. </v>
      </c>
      <c r="R1834" s="121" t="str">
        <v>Under load conditions, it must be possible to scale the capacity dynamically by adding processing and storage resources (e.g. Black Friday).</v>
      </c>
      <c r="S1834" s="121" t="str">
        <v/>
      </c>
      <c r="T1834" s="119" t="str">
        <f>IF($C1834&lt;4,IF($C1834=3,T1835,IF($C1834=2,T$1,"")),Q1834&amp;R1834&amp;IF(LEN(S1834)=0,"",Preferences!$C$2&amp;S1834)&amp;IF(J1835=J1834,IF(LEN(R1834&amp;S1834)=0,"","
")&amp;T1835,""))</f>
        <v xml:space="preserve"> 3. Under load conditions, it must be possible to scale the capacity dynamically by adding processing and storage resources (e.g. Black Friday).</v>
      </c>
      <c r="U1834" s="122" t="str">
        <v/>
      </c>
      <c r="V1834" s="42"/>
      <c r="W1834" s="42"/>
      <c r="X1834" s="42"/>
      <c r="Y1834" s="42"/>
      <c r="Z1834" s="42"/>
      <c r="AA1834" s="42"/>
      <c r="AB1834" s="42"/>
    </row>
    <row r="1835" spans="1:28" x14ac:dyDescent="0.25">
      <c r="A1835" s="42" t="str">
        <v>3.3.4</v>
      </c>
      <c r="B1835" s="121" t="str">
        <v>3.4 Degradation</v>
      </c>
      <c r="C1835" s="41">
        <v>3</v>
      </c>
      <c r="D1835" s="41" t="str">
        <v>R</v>
      </c>
      <c r="E1835" s="117" t="str">
        <f t="shared" si="0"/>
        <v>R</v>
      </c>
      <c r="F1835" s="41" t="str">
        <v/>
      </c>
      <c r="G1835" s="41" t="str">
        <v/>
      </c>
      <c r="H1835" s="117">
        <f t="shared" si="1"/>
        <v>0</v>
      </c>
      <c r="I1835" s="117">
        <f t="shared" si="2"/>
        <v>3</v>
      </c>
      <c r="J1835" s="117">
        <f t="shared" si="3"/>
        <v>3.0399999999999991</v>
      </c>
      <c r="K1835" s="117" t="str">
        <f t="shared" si="4"/>
        <v>NF</v>
      </c>
      <c r="L1835" s="42" t="str">
        <v>NF0304</v>
      </c>
      <c r="M1835" s="121" t="str">
        <v/>
      </c>
      <c r="N1835" s="121" t="str">
        <v/>
      </c>
      <c r="O1835" s="121" t="str">
        <v>NF0304</v>
      </c>
      <c r="P1835" s="121" t="str">
        <v>Degradation</v>
      </c>
      <c r="Q1835" s="121" t="str">
        <v/>
      </c>
      <c r="R1835" s="121" t="str">
        <v/>
      </c>
      <c r="S1835" s="121" t="str">
        <v/>
      </c>
      <c r="T1835" s="119" t="str">
        <f>IF($C1835&lt;4,IF($C1835=3,T1836,IF($C1835=2,T$1,"")),Q1835&amp;R1835&amp;IF(LEN(S1835)=0,"",Preferences!$C$2&amp;S1835)&amp;IF(J1836=J1835,IF(LEN(R1835&amp;S1835)=0,"","
")&amp;T1836,""))</f>
        <v xml:space="preserve"> 1. Under load, the online shop must reduce the number of products returned in a search.
 2. The online shop must queue paid for customer orders for processing.</v>
      </c>
      <c r="U1835" s="122" t="str">
        <v/>
      </c>
      <c r="V1835" s="42"/>
      <c r="W1835" s="42"/>
      <c r="X1835" s="42"/>
      <c r="Y1835" s="42"/>
      <c r="Z1835" s="42"/>
      <c r="AA1835" s="42"/>
      <c r="AB1835" s="42"/>
    </row>
    <row r="1836" spans="1:28" x14ac:dyDescent="0.25">
      <c r="A1836" s="42" t="str">
        <v>3.3.4.1</v>
      </c>
      <c r="B1836" s="121" t="str">
        <v>Under load, the online shop must reduce the number of products returned in a search.</v>
      </c>
      <c r="C1836" s="41">
        <v>4</v>
      </c>
      <c r="D1836" s="41" t="str">
        <v>RD</v>
      </c>
      <c r="E1836" s="117" t="str">
        <f t="shared" si="0"/>
        <v>RD</v>
      </c>
      <c r="F1836" s="41" t="str">
        <v/>
      </c>
      <c r="G1836" s="41" t="str">
        <v/>
      </c>
      <c r="H1836" s="117">
        <f t="shared" si="1"/>
        <v>0</v>
      </c>
      <c r="I1836" s="117">
        <f t="shared" si="2"/>
        <v>3</v>
      </c>
      <c r="J1836" s="117">
        <f t="shared" si="3"/>
        <v>3.0399999999999991</v>
      </c>
      <c r="K1836" s="117" t="str">
        <f t="shared" si="4"/>
        <v>NF</v>
      </c>
      <c r="L1836" s="42" t="str">
        <v>NF0304</v>
      </c>
      <c r="M1836" s="121" t="str">
        <v/>
      </c>
      <c r="N1836" s="121" t="str">
        <v/>
      </c>
      <c r="O1836" s="121" t="str">
        <v/>
      </c>
      <c r="P1836" s="121" t="str">
        <v/>
      </c>
      <c r="Q1836" s="121" t="str">
        <v xml:space="preserve"> 1. </v>
      </c>
      <c r="R1836" s="121" t="str">
        <v>Under load, the online shop must reduce the number of products returned in a search.</v>
      </c>
      <c r="S1836" s="121" t="str">
        <v/>
      </c>
      <c r="T1836" s="119" t="str">
        <f>IF($C1836&lt;4,IF($C1836=3,T1837,IF($C1836=2,T$1,"")),Q1836&amp;R1836&amp;IF(LEN(S1836)=0,"",Preferences!$C$2&amp;S1836)&amp;IF(J1837=J1836,IF(LEN(R1836&amp;S1836)=0,"","
")&amp;T1837,""))</f>
        <v xml:space="preserve"> 1. Under load, the online shop must reduce the number of products returned in a search.
 2. The online shop must queue paid for customer orders for processing.</v>
      </c>
      <c r="U1836" s="122" t="str">
        <v/>
      </c>
      <c r="V1836" s="42"/>
      <c r="W1836" s="42"/>
      <c r="X1836" s="42"/>
      <c r="Y1836" s="42"/>
      <c r="Z1836" s="42"/>
      <c r="AA1836" s="42"/>
      <c r="AB1836" s="42"/>
    </row>
    <row r="1837" spans="1:28" x14ac:dyDescent="0.25">
      <c r="A1837" s="42" t="str">
        <v>3.3.4.2</v>
      </c>
      <c r="B1837" s="121" t="str">
        <v>The online shop must queue paid for customer orders for processing.</v>
      </c>
      <c r="C1837" s="41">
        <v>4</v>
      </c>
      <c r="D1837" s="41" t="str">
        <v>RD</v>
      </c>
      <c r="E1837" s="117" t="str">
        <f t="shared" si="0"/>
        <v>RD</v>
      </c>
      <c r="F1837" s="41" t="str">
        <v/>
      </c>
      <c r="G1837" s="41" t="str">
        <v/>
      </c>
      <c r="H1837" s="117">
        <f t="shared" si="1"/>
        <v>0</v>
      </c>
      <c r="I1837" s="117">
        <f t="shared" si="2"/>
        <v>3</v>
      </c>
      <c r="J1837" s="117">
        <f t="shared" si="3"/>
        <v>3.0399999999999991</v>
      </c>
      <c r="K1837" s="117" t="str">
        <f t="shared" si="4"/>
        <v>NF</v>
      </c>
      <c r="L1837" s="42" t="str">
        <v>NF0304</v>
      </c>
      <c r="M1837" s="121" t="str">
        <v/>
      </c>
      <c r="N1837" s="121" t="str">
        <v/>
      </c>
      <c r="O1837" s="121" t="str">
        <v/>
      </c>
      <c r="P1837" s="121" t="str">
        <v/>
      </c>
      <c r="Q1837" s="121" t="str">
        <v xml:space="preserve"> 2. </v>
      </c>
      <c r="R1837" s="121" t="str">
        <v>The online shop must queue paid for customer orders for processing.</v>
      </c>
      <c r="S1837" s="121" t="str">
        <v/>
      </c>
      <c r="T1837" s="119" t="str">
        <f>IF($C1837&lt;4,IF($C1837=3,T1838,IF($C1837=2,T$1,"")),Q1837&amp;R1837&amp;IF(LEN(S1837)=0,"",Preferences!$C$2&amp;S1837)&amp;IF(J1838=J1837,IF(LEN(R1837&amp;S1837)=0,"","
")&amp;T1838,""))</f>
        <v xml:space="preserve"> 2. The online shop must queue paid for customer orders for processing.</v>
      </c>
      <c r="U1837" s="122" t="str">
        <v/>
      </c>
      <c r="V1837" s="42"/>
      <c r="W1837" s="42"/>
      <c r="X1837" s="42"/>
      <c r="Y1837" s="42"/>
      <c r="Z1837" s="42"/>
      <c r="AA1837" s="42"/>
      <c r="AB1837" s="42"/>
    </row>
    <row r="1838" spans="1:28" x14ac:dyDescent="0.25">
      <c r="A1838" s="42" t="str">
        <v>3.3.5</v>
      </c>
      <c r="B1838" s="121" t="str">
        <v>3.5 Backup</v>
      </c>
      <c r="C1838" s="41">
        <v>3</v>
      </c>
      <c r="D1838" s="41" t="str">
        <v>R</v>
      </c>
      <c r="E1838" s="117" t="str">
        <f t="shared" si="0"/>
        <v>R</v>
      </c>
      <c r="F1838" s="41" t="str">
        <v/>
      </c>
      <c r="G1838" s="41" t="str">
        <v/>
      </c>
      <c r="H1838" s="117">
        <f t="shared" si="1"/>
        <v>0</v>
      </c>
      <c r="I1838" s="117">
        <f t="shared" si="2"/>
        <v>3</v>
      </c>
      <c r="J1838" s="117">
        <f t="shared" si="3"/>
        <v>3.0499999999999989</v>
      </c>
      <c r="K1838" s="117" t="str">
        <f t="shared" si="4"/>
        <v>NF</v>
      </c>
      <c r="L1838" s="42" t="str">
        <v>NF0305</v>
      </c>
      <c r="M1838" s="121" t="str">
        <v/>
      </c>
      <c r="N1838" s="121" t="str">
        <v/>
      </c>
      <c r="O1838" s="121" t="str">
        <v>NF0305</v>
      </c>
      <c r="P1838" s="121" t="str">
        <v>Backup</v>
      </c>
      <c r="Q1838" s="121" t="str">
        <v/>
      </c>
      <c r="R1838" s="121" t="str">
        <v/>
      </c>
      <c r="S1838" s="121" t="str">
        <v/>
      </c>
      <c r="T1838" s="119" t="str">
        <f>IF($C1838&lt;4,IF($C1838=3,T1839,IF($C1838=2,T$1,"")),Q1838&amp;R1838&amp;IF(LEN(S1838)=0,"",Preferences!$C$2&amp;S1838)&amp;IF(J1839=J1838,IF(LEN(R1838&amp;S1838)=0,"","
")&amp;T1839,""))</f>
        <v xml:space="preserve"> 1. Transactions must be backed up within 5 minutes.
 2. New and changed customer profiles must be backed up within 1 hour.
 3. Product and promotion changes must be backed up at least daily.
 4. Advertisement changes must be backed up at least daily.</v>
      </c>
      <c r="U1838" s="122" t="str">
        <v/>
      </c>
      <c r="V1838" s="42"/>
      <c r="W1838" s="42"/>
      <c r="X1838" s="42"/>
      <c r="Y1838" s="42"/>
      <c r="Z1838" s="42"/>
      <c r="AA1838" s="42"/>
      <c r="AB1838" s="42"/>
    </row>
    <row r="1839" spans="1:28" x14ac:dyDescent="0.25">
      <c r="A1839" s="42" t="str">
        <v>3.3.5.1</v>
      </c>
      <c r="B1839" s="121" t="str">
        <v>Transactions must be backed up within 5 minutes.</v>
      </c>
      <c r="C1839" s="41">
        <v>4</v>
      </c>
      <c r="D1839" s="41" t="str">
        <v>RD</v>
      </c>
      <c r="E1839" s="117" t="str">
        <f t="shared" si="0"/>
        <v>RD</v>
      </c>
      <c r="F1839" s="41" t="str">
        <v/>
      </c>
      <c r="G1839" s="41" t="str">
        <v/>
      </c>
      <c r="H1839" s="117">
        <f t="shared" si="1"/>
        <v>0</v>
      </c>
      <c r="I1839" s="117">
        <f t="shared" si="2"/>
        <v>3</v>
      </c>
      <c r="J1839" s="117">
        <f t="shared" si="3"/>
        <v>3.0499999999999989</v>
      </c>
      <c r="K1839" s="117" t="str">
        <f t="shared" si="4"/>
        <v>NF</v>
      </c>
      <c r="L1839" s="42" t="str">
        <v>NF0305</v>
      </c>
      <c r="M1839" s="121" t="str">
        <v/>
      </c>
      <c r="N1839" s="121" t="str">
        <v/>
      </c>
      <c r="O1839" s="121" t="str">
        <v/>
      </c>
      <c r="P1839" s="121" t="str">
        <v/>
      </c>
      <c r="Q1839" s="121" t="str">
        <v xml:space="preserve"> 1. </v>
      </c>
      <c r="R1839" s="121" t="str">
        <v>Transactions must be backed up within 5 minutes.</v>
      </c>
      <c r="S1839" s="121" t="str">
        <v/>
      </c>
      <c r="T1839" s="119" t="str">
        <f>IF($C1839&lt;4,IF($C1839=3,T1840,IF($C1839=2,T$1,"")),Q1839&amp;R1839&amp;IF(LEN(S1839)=0,"",Preferences!$C$2&amp;S1839)&amp;IF(J1840=J1839,IF(LEN(R1839&amp;S1839)=0,"","
")&amp;T1840,""))</f>
        <v xml:space="preserve"> 1. Transactions must be backed up within 5 minutes.
 2. New and changed customer profiles must be backed up within 1 hour.
 3. Product and promotion changes must be backed up at least daily.
 4. Advertisement changes must be backed up at least daily.</v>
      </c>
      <c r="U1839" s="122" t="str">
        <v/>
      </c>
      <c r="V1839" s="42"/>
      <c r="W1839" s="42"/>
      <c r="X1839" s="42"/>
      <c r="Y1839" s="42"/>
      <c r="Z1839" s="42"/>
      <c r="AA1839" s="42"/>
      <c r="AB1839" s="42"/>
    </row>
    <row r="1840" spans="1:28" x14ac:dyDescent="0.25">
      <c r="A1840" s="42" t="str">
        <v>3.3.5.2</v>
      </c>
      <c r="B1840" s="121" t="str">
        <v>New and changed customer profiles must be backed up within 1 hour.</v>
      </c>
      <c r="C1840" s="41">
        <v>4</v>
      </c>
      <c r="D1840" s="41" t="str">
        <v>RD</v>
      </c>
      <c r="E1840" s="117" t="str">
        <f t="shared" si="0"/>
        <v>RD</v>
      </c>
      <c r="F1840" s="41" t="str">
        <v/>
      </c>
      <c r="G1840" s="41" t="str">
        <v/>
      </c>
      <c r="H1840" s="117">
        <f t="shared" si="1"/>
        <v>0</v>
      </c>
      <c r="I1840" s="117">
        <f t="shared" si="2"/>
        <v>3</v>
      </c>
      <c r="J1840" s="117">
        <f t="shared" si="3"/>
        <v>3.0499999999999989</v>
      </c>
      <c r="K1840" s="117" t="str">
        <f t="shared" si="4"/>
        <v>NF</v>
      </c>
      <c r="L1840" s="42" t="str">
        <v>NF0305</v>
      </c>
      <c r="M1840" s="121" t="str">
        <v/>
      </c>
      <c r="N1840" s="121" t="str">
        <v/>
      </c>
      <c r="O1840" s="121" t="str">
        <v/>
      </c>
      <c r="P1840" s="121" t="str">
        <v/>
      </c>
      <c r="Q1840" s="121" t="str">
        <v xml:space="preserve"> 2. </v>
      </c>
      <c r="R1840" s="121" t="str">
        <v>New and changed customer profiles must be backed up within 1 hour.</v>
      </c>
      <c r="S1840" s="121" t="str">
        <v/>
      </c>
      <c r="T1840" s="119" t="str">
        <f>IF($C1840&lt;4,IF($C1840=3,T1841,IF($C1840=2,T$1,"")),Q1840&amp;R1840&amp;IF(LEN(S1840)=0,"",Preferences!$C$2&amp;S1840)&amp;IF(J1841=J1840,IF(LEN(R1840&amp;S1840)=0,"","
")&amp;T1841,""))</f>
        <v xml:space="preserve"> 2. New and changed customer profiles must be backed up within 1 hour.
 3. Product and promotion changes must be backed up at least daily.
 4. Advertisement changes must be backed up at least daily.</v>
      </c>
      <c r="U1840" s="122" t="str">
        <v/>
      </c>
      <c r="V1840" s="42"/>
      <c r="W1840" s="42"/>
      <c r="X1840" s="42"/>
      <c r="Y1840" s="42"/>
      <c r="Z1840" s="42"/>
      <c r="AA1840" s="42"/>
      <c r="AB1840" s="42"/>
    </row>
    <row r="1841" spans="1:28" x14ac:dyDescent="0.25">
      <c r="A1841" s="42" t="str">
        <v>3.3.5.3</v>
      </c>
      <c r="B1841" s="121" t="str">
        <v>Product and promotion changes must be backed up at least daily.</v>
      </c>
      <c r="C1841" s="41">
        <v>4</v>
      </c>
      <c r="D1841" s="41" t="str">
        <v>RD</v>
      </c>
      <c r="E1841" s="117" t="str">
        <f t="shared" si="0"/>
        <v>RD</v>
      </c>
      <c r="F1841" s="41" t="str">
        <v/>
      </c>
      <c r="G1841" s="41" t="str">
        <v/>
      </c>
      <c r="H1841" s="117">
        <f t="shared" si="1"/>
        <v>0</v>
      </c>
      <c r="I1841" s="117">
        <f t="shared" si="2"/>
        <v>3</v>
      </c>
      <c r="J1841" s="117">
        <f t="shared" si="3"/>
        <v>3.0499999999999989</v>
      </c>
      <c r="K1841" s="117" t="str">
        <f t="shared" si="4"/>
        <v>NF</v>
      </c>
      <c r="L1841" s="42" t="str">
        <v>NF0305</v>
      </c>
      <c r="M1841" s="121" t="str">
        <v/>
      </c>
      <c r="N1841" s="121" t="str">
        <v/>
      </c>
      <c r="O1841" s="121" t="str">
        <v/>
      </c>
      <c r="P1841" s="121" t="str">
        <v/>
      </c>
      <c r="Q1841" s="121" t="str">
        <v xml:space="preserve"> 3. </v>
      </c>
      <c r="R1841" s="121" t="str">
        <v>Product and promotion changes must be backed up at least daily.</v>
      </c>
      <c r="S1841" s="121" t="str">
        <v/>
      </c>
      <c r="T1841" s="119" t="str">
        <f>IF($C1841&lt;4,IF($C1841=3,T1842,IF($C1841=2,T$1,"")),Q1841&amp;R1841&amp;IF(LEN(S1841)=0,"",Preferences!$C$2&amp;S1841)&amp;IF(J1842=J1841,IF(LEN(R1841&amp;S1841)=0,"","
")&amp;T1842,""))</f>
        <v xml:space="preserve"> 3. Product and promotion changes must be backed up at least daily.
 4. Advertisement changes must be backed up at least daily.</v>
      </c>
      <c r="U1841" s="122" t="str">
        <v/>
      </c>
      <c r="V1841" s="42"/>
      <c r="W1841" s="42"/>
      <c r="X1841" s="42"/>
      <c r="Y1841" s="42"/>
      <c r="Z1841" s="42"/>
      <c r="AA1841" s="42"/>
      <c r="AB1841" s="42"/>
    </row>
    <row r="1842" spans="1:28" x14ac:dyDescent="0.25">
      <c r="A1842" s="42" t="str">
        <v>3.3.5.4</v>
      </c>
      <c r="B1842" s="121" t="str">
        <v>Advertisement changes must be backed up at least daily.</v>
      </c>
      <c r="C1842" s="41">
        <v>4</v>
      </c>
      <c r="D1842" s="41" t="str">
        <v>RD</v>
      </c>
      <c r="E1842" s="117" t="str">
        <f t="shared" si="0"/>
        <v>RD</v>
      </c>
      <c r="F1842" s="41" t="str">
        <v/>
      </c>
      <c r="G1842" s="41" t="str">
        <v/>
      </c>
      <c r="H1842" s="117">
        <f t="shared" si="1"/>
        <v>0</v>
      </c>
      <c r="I1842" s="117">
        <f t="shared" si="2"/>
        <v>3</v>
      </c>
      <c r="J1842" s="117">
        <f t="shared" si="3"/>
        <v>3.0499999999999989</v>
      </c>
      <c r="K1842" s="117" t="str">
        <f t="shared" si="4"/>
        <v>NF</v>
      </c>
      <c r="L1842" s="42" t="str">
        <v>NF0305</v>
      </c>
      <c r="M1842" s="121" t="str">
        <v/>
      </c>
      <c r="N1842" s="121" t="str">
        <v/>
      </c>
      <c r="O1842" s="121" t="str">
        <v/>
      </c>
      <c r="P1842" s="121" t="str">
        <v/>
      </c>
      <c r="Q1842" s="121" t="str">
        <v xml:space="preserve"> 4. </v>
      </c>
      <c r="R1842" s="121" t="str">
        <v>Advertisement changes must be backed up at least daily.</v>
      </c>
      <c r="S1842" s="121" t="str">
        <v/>
      </c>
      <c r="T1842" s="119" t="str">
        <f>IF($C1842&lt;4,IF($C1842=3,T1843,IF($C1842=2,T$1,"")),Q1842&amp;R1842&amp;IF(LEN(S1842)=0,"",Preferences!$C$2&amp;S1842)&amp;IF(J1843=J1842,IF(LEN(R1842&amp;S1842)=0,"","
")&amp;T1843,""))</f>
        <v xml:space="preserve"> 4. Advertisement changes must be backed up at least daily.</v>
      </c>
      <c r="U1842" s="122" t="str">
        <v/>
      </c>
      <c r="V1842" s="42"/>
      <c r="W1842" s="42"/>
      <c r="X1842" s="42"/>
      <c r="Y1842" s="42"/>
      <c r="Z1842" s="42"/>
      <c r="AA1842" s="42"/>
      <c r="AB1842" s="42"/>
    </row>
    <row r="1843" spans="1:28" x14ac:dyDescent="0.25">
      <c r="A1843" s="42" t="str">
        <v>3.4</v>
      </c>
      <c r="B1843" s="121" t="str">
        <v>4 Reliability, Availability and Integrity</v>
      </c>
      <c r="C1843" s="41">
        <v>2</v>
      </c>
      <c r="D1843" s="41" t="str">
        <v>RS</v>
      </c>
      <c r="E1843" s="117" t="str">
        <f t="shared" si="0"/>
        <v>RS</v>
      </c>
      <c r="F1843" s="41" t="str">
        <v/>
      </c>
      <c r="G1843" s="41" t="str">
        <v/>
      </c>
      <c r="H1843" s="117">
        <f t="shared" si="1"/>
        <v>0</v>
      </c>
      <c r="I1843" s="117">
        <f t="shared" si="2"/>
        <v>4</v>
      </c>
      <c r="J1843" s="117">
        <f t="shared" si="3"/>
        <v>4</v>
      </c>
      <c r="K1843" s="117" t="str">
        <f t="shared" si="4"/>
        <v>NF</v>
      </c>
      <c r="L1843" s="42">
        <v>4</v>
      </c>
      <c r="M1843" s="121" t="str">
        <v/>
      </c>
      <c r="N1843" s="121" t="str">
        <v>4 Reliability, Availability and Integrity</v>
      </c>
      <c r="O1843" s="121" t="str">
        <v>ReqID</v>
      </c>
      <c r="P1843" s="121" t="e">
        <v>#N/A</v>
      </c>
      <c r="Q1843" s="121" t="str">
        <v/>
      </c>
      <c r="R1843" s="121" t="str">
        <v/>
      </c>
      <c r="S1843" s="121" t="str">
        <v/>
      </c>
      <c r="T1843" s="119" t="str">
        <f>IF($C1843&lt;4,IF($C1843=3,T1844,IF($C1843=2,T$1,"")),Q1843&amp;R1843&amp;IF(LEN(S1843)=0,"",Preferences!$C$2&amp;S1843)&amp;IF(J1844=J1843,IF(LEN(R1843&amp;S1843)=0,"","
")&amp;T1844,""))</f>
        <v>Description</v>
      </c>
      <c r="U1843" s="122" t="str">
        <v/>
      </c>
      <c r="V1843" s="42"/>
      <c r="W1843" s="42"/>
      <c r="X1843" s="42"/>
      <c r="Y1843" s="42"/>
      <c r="Z1843" s="42"/>
      <c r="AA1843" s="42"/>
      <c r="AB1843" s="42"/>
    </row>
    <row r="1844" spans="1:28" x14ac:dyDescent="0.25">
      <c r="A1844" s="42" t="str">
        <v>3.4.1</v>
      </c>
      <c r="B1844" s="121" t="str">
        <v>4.1 Reliability</v>
      </c>
      <c r="C1844" s="41">
        <v>3</v>
      </c>
      <c r="D1844" s="41" t="str">
        <v>R</v>
      </c>
      <c r="E1844" s="117" t="str">
        <f t="shared" si="0"/>
        <v>R</v>
      </c>
      <c r="F1844" s="41" t="str">
        <v/>
      </c>
      <c r="G1844" s="41" t="str">
        <v/>
      </c>
      <c r="H1844" s="117">
        <f t="shared" si="1"/>
        <v>0</v>
      </c>
      <c r="I1844" s="117">
        <f t="shared" si="2"/>
        <v>4</v>
      </c>
      <c r="J1844" s="117">
        <f t="shared" si="3"/>
        <v>4.01</v>
      </c>
      <c r="K1844" s="117" t="str">
        <f t="shared" si="4"/>
        <v>NF</v>
      </c>
      <c r="L1844" s="42" t="str">
        <v>NF0401</v>
      </c>
      <c r="M1844" s="121" t="str">
        <v/>
      </c>
      <c r="N1844" s="121" t="str">
        <v/>
      </c>
      <c r="O1844" s="121" t="str">
        <v>NF0401</v>
      </c>
      <c r="P1844" s="121" t="str">
        <v>Reliability</v>
      </c>
      <c r="Q1844" s="121" t="str">
        <v/>
      </c>
      <c r="R1844" s="121" t="str">
        <v/>
      </c>
      <c r="S1844" s="121" t="str">
        <v/>
      </c>
      <c r="T1844" s="119" t="str">
        <f>IF($C1844&lt;4,IF($C1844=3,T1845,IF($C1844=2,T$1,"")),Q1844&amp;R1844&amp;IF(LEN(S1844)=0,"",Preferences!$C$2&amp;S1844)&amp;IF(J1845=J1844,IF(LEN(R1844&amp;S1844)=0,"","
")&amp;T1845,""))</f>
        <v xml:space="preserve"> 1. The online shop must always record a full transaction, never a partial transaction.
 2. Confirmation that a change has been applied must always only be reflected/reported one the change has been applied in full.</v>
      </c>
      <c r="U1844" s="122" t="str">
        <v/>
      </c>
      <c r="V1844" s="42"/>
      <c r="W1844" s="42"/>
      <c r="X1844" s="42"/>
      <c r="Y1844" s="42"/>
      <c r="Z1844" s="42"/>
      <c r="AA1844" s="42"/>
      <c r="AB1844" s="42"/>
    </row>
    <row r="1845" spans="1:28" x14ac:dyDescent="0.25">
      <c r="A1845" s="42" t="str">
        <v>3.4.1.1</v>
      </c>
      <c r="B1845" s="121" t="str">
        <v>The online shop must always record a full transaction, never a partial transaction.</v>
      </c>
      <c r="C1845" s="41">
        <v>4</v>
      </c>
      <c r="D1845" s="41" t="str">
        <v>RD</v>
      </c>
      <c r="E1845" s="117" t="str">
        <f t="shared" si="0"/>
        <v>RD</v>
      </c>
      <c r="F1845" s="41" t="str">
        <v/>
      </c>
      <c r="G1845" s="41" t="str">
        <v/>
      </c>
      <c r="H1845" s="117">
        <f t="shared" si="1"/>
        <v>0</v>
      </c>
      <c r="I1845" s="117">
        <f t="shared" si="2"/>
        <v>4</v>
      </c>
      <c r="J1845" s="117">
        <f t="shared" si="3"/>
        <v>4.01</v>
      </c>
      <c r="K1845" s="117" t="str">
        <f t="shared" si="4"/>
        <v>NF</v>
      </c>
      <c r="L1845" s="42" t="str">
        <v>NF0401</v>
      </c>
      <c r="M1845" s="121" t="str">
        <v/>
      </c>
      <c r="N1845" s="121" t="str">
        <v/>
      </c>
      <c r="O1845" s="121" t="str">
        <v/>
      </c>
      <c r="P1845" s="121" t="str">
        <v/>
      </c>
      <c r="Q1845" s="121" t="str">
        <v xml:space="preserve"> 1. </v>
      </c>
      <c r="R1845" s="121" t="str">
        <v>The online shop must always record a full transaction, never a partial transaction.</v>
      </c>
      <c r="S1845" s="121" t="str">
        <v/>
      </c>
      <c r="T1845" s="119" t="str">
        <f>IF($C1845&lt;4,IF($C1845=3,T1846,IF($C1845=2,T$1,"")),Q1845&amp;R1845&amp;IF(LEN(S1845)=0,"",Preferences!$C$2&amp;S1845)&amp;IF(J1846=J1845,IF(LEN(R1845&amp;S1845)=0,"","
")&amp;T1846,""))</f>
        <v xml:space="preserve"> 1. The online shop must always record a full transaction, never a partial transaction.
 2. Confirmation that a change has been applied must always only be reflected/reported one the change has been applied in full.</v>
      </c>
      <c r="U1845" s="122" t="str">
        <v/>
      </c>
      <c r="V1845" s="42"/>
      <c r="W1845" s="42"/>
      <c r="X1845" s="42"/>
      <c r="Y1845" s="42"/>
      <c r="Z1845" s="42"/>
      <c r="AA1845" s="42"/>
      <c r="AB1845" s="42"/>
    </row>
    <row r="1846" spans="1:28" x14ac:dyDescent="0.25">
      <c r="A1846" s="42" t="str">
        <v>3.4.1.2</v>
      </c>
      <c r="B1846" s="121" t="str">
        <v>Confirmation that a change has been applied must always only be reflected/reported one the change has been applied in full.</v>
      </c>
      <c r="C1846" s="41">
        <v>4</v>
      </c>
      <c r="D1846" s="41" t="str">
        <v>RD</v>
      </c>
      <c r="E1846" s="117" t="str">
        <f t="shared" si="0"/>
        <v>RD</v>
      </c>
      <c r="F1846" s="41" t="str">
        <v/>
      </c>
      <c r="G1846" s="41" t="str">
        <v/>
      </c>
      <c r="H1846" s="117">
        <f t="shared" si="1"/>
        <v>0</v>
      </c>
      <c r="I1846" s="117">
        <f t="shared" si="2"/>
        <v>4</v>
      </c>
      <c r="J1846" s="117">
        <f t="shared" si="3"/>
        <v>4.01</v>
      </c>
      <c r="K1846" s="117" t="str">
        <f t="shared" si="4"/>
        <v>NF</v>
      </c>
      <c r="L1846" s="42" t="str">
        <v>NF0401</v>
      </c>
      <c r="M1846" s="121" t="str">
        <v/>
      </c>
      <c r="N1846" s="121" t="str">
        <v/>
      </c>
      <c r="O1846" s="121" t="str">
        <v/>
      </c>
      <c r="P1846" s="121" t="str">
        <v/>
      </c>
      <c r="Q1846" s="121" t="str">
        <v xml:space="preserve"> 2. </v>
      </c>
      <c r="R1846" s="121" t="str">
        <v>Confirmation that a change has been applied must always only be reflected/reported one the change has been applied in full.</v>
      </c>
      <c r="S1846" s="121" t="str">
        <v/>
      </c>
      <c r="T1846" s="119" t="str">
        <f>IF($C1846&lt;4,IF($C1846=3,T1847,IF($C1846=2,T$1,"")),Q1846&amp;R1846&amp;IF(LEN(S1846)=0,"",Preferences!$C$2&amp;S1846)&amp;IF(J1847=J1846,IF(LEN(R1846&amp;S1846)=0,"","
")&amp;T1847,""))</f>
        <v xml:space="preserve"> 2. Confirmation that a change has been applied must always only be reflected/reported one the change has been applied in full.</v>
      </c>
      <c r="U1846" s="122" t="str">
        <v/>
      </c>
      <c r="V1846" s="42"/>
      <c r="W1846" s="42"/>
      <c r="X1846" s="42"/>
      <c r="Y1846" s="42"/>
      <c r="Z1846" s="42"/>
      <c r="AA1846" s="42"/>
      <c r="AB1846" s="42"/>
    </row>
    <row r="1847" spans="1:28" x14ac:dyDescent="0.25">
      <c r="A1847" s="42" t="str">
        <v>3.4.2</v>
      </c>
      <c r="B1847" s="121" t="str">
        <v>4.2 Availability</v>
      </c>
      <c r="C1847" s="41">
        <v>3</v>
      </c>
      <c r="D1847" s="41" t="str">
        <v>R</v>
      </c>
      <c r="E1847" s="117" t="str">
        <f t="shared" si="0"/>
        <v>R</v>
      </c>
      <c r="F1847" s="41" t="str">
        <v/>
      </c>
      <c r="G1847" s="41" t="str">
        <v/>
      </c>
      <c r="H1847" s="117">
        <f t="shared" si="1"/>
        <v>0</v>
      </c>
      <c r="I1847" s="117">
        <f t="shared" si="2"/>
        <v>4</v>
      </c>
      <c r="J1847" s="117">
        <f t="shared" si="3"/>
        <v>4.0199999999999996</v>
      </c>
      <c r="K1847" s="117" t="str">
        <f t="shared" si="4"/>
        <v>NF</v>
      </c>
      <c r="L1847" s="42" t="str">
        <v>NF0402</v>
      </c>
      <c r="M1847" s="121" t="str">
        <v/>
      </c>
      <c r="N1847" s="121" t="str">
        <v/>
      </c>
      <c r="O1847" s="121" t="str">
        <v>NF0402</v>
      </c>
      <c r="P1847" s="121" t="str">
        <v>Availability</v>
      </c>
      <c r="Q1847" s="121" t="str">
        <v/>
      </c>
      <c r="R1847" s="121" t="str">
        <v/>
      </c>
      <c r="S1847" s="121" t="str">
        <v/>
      </c>
      <c r="T1847" s="119" t="str">
        <f>IF($C1847&lt;4,IF($C1847=3,T1848,IF($C1847=2,T$1,"")),Q1847&amp;R1847&amp;IF(LEN(S1847)=0,"",Preferences!$C$2&amp;S1847)&amp;IF(J1848=J1847,IF(LEN(R1847&amp;S1847)=0,"","
")&amp;T1848,""))</f>
        <v xml:space="preserve"> 1. The online shop must be available to process to be used from at least 4am until 2am, but preferably 24x7x365..
 2. The online shop may be down for scheduled maintenance during non-peak times of the night, for no longer than 4 hours at a time.
 3. Also refer to the Response times requirement in the Performance section.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U1847" s="122" t="str">
        <v/>
      </c>
      <c r="V1847" s="42"/>
      <c r="W1847" s="42"/>
      <c r="X1847" s="42"/>
      <c r="Y1847" s="42"/>
      <c r="Z1847" s="42"/>
      <c r="AA1847" s="42"/>
      <c r="AB1847" s="42"/>
    </row>
    <row r="1848" spans="1:28" x14ac:dyDescent="0.25">
      <c r="A1848" s="42" t="str">
        <v>3.4.2.1</v>
      </c>
      <c r="B1848" s="121" t="str">
        <v>The online shop must be available to process to be used from at least 4am until 2am, but preferably 24x7x365..</v>
      </c>
      <c r="C1848" s="41">
        <v>4</v>
      </c>
      <c r="D1848" s="41" t="str">
        <v>RD</v>
      </c>
      <c r="E1848" s="117" t="str">
        <f t="shared" si="0"/>
        <v>RD</v>
      </c>
      <c r="F1848" s="41" t="str">
        <v/>
      </c>
      <c r="G1848" s="41" t="str">
        <v/>
      </c>
      <c r="H1848" s="117">
        <f t="shared" si="1"/>
        <v>0</v>
      </c>
      <c r="I1848" s="117">
        <f t="shared" si="2"/>
        <v>4</v>
      </c>
      <c r="J1848" s="117">
        <f t="shared" si="3"/>
        <v>4.0199999999999996</v>
      </c>
      <c r="K1848" s="117" t="str">
        <f t="shared" si="4"/>
        <v>NF</v>
      </c>
      <c r="L1848" s="42" t="str">
        <v>NF0402</v>
      </c>
      <c r="M1848" s="121" t="str">
        <v/>
      </c>
      <c r="N1848" s="121" t="str">
        <v/>
      </c>
      <c r="O1848" s="121" t="str">
        <v/>
      </c>
      <c r="P1848" s="121" t="str">
        <v/>
      </c>
      <c r="Q1848" s="121" t="str">
        <v xml:space="preserve"> 1. </v>
      </c>
      <c r="R1848" s="121" t="str">
        <v>The online shop must be available to process to be used from at least 4am until 2am, but preferably 24x7x365..</v>
      </c>
      <c r="S1848" s="121" t="str">
        <v/>
      </c>
      <c r="T1848" s="119" t="str">
        <f>IF($C1848&lt;4,IF($C1848=3,T1849,IF($C1848=2,T$1,"")),Q1848&amp;R1848&amp;IF(LEN(S1848)=0,"",Preferences!$C$2&amp;S1848)&amp;IF(J1849=J1848,IF(LEN(R1848&amp;S1848)=0,"","
")&amp;T1849,""))</f>
        <v xml:space="preserve"> 1. The online shop must be available to process to be used from at least 4am until 2am, but preferably 24x7x365..
 2. The online shop may be down for scheduled maintenance during non-peak times of the night, for no longer than 4 hours at a time.
 3. Also refer to the Response times requirement in the Performance section.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U1848" s="122" t="str">
        <v/>
      </c>
      <c r="V1848" s="42"/>
      <c r="W1848" s="42"/>
      <c r="X1848" s="42"/>
      <c r="Y1848" s="42"/>
      <c r="Z1848" s="42"/>
      <c r="AA1848" s="42"/>
      <c r="AB1848" s="42"/>
    </row>
    <row r="1849" spans="1:28" x14ac:dyDescent="0.25">
      <c r="A1849" s="42" t="str">
        <v>3.4.2.2</v>
      </c>
      <c r="B1849" s="121" t="str">
        <v>The online shop may be down for scheduled maintenance during non-peak times of the night, for no longer than 4 hours at a time.</v>
      </c>
      <c r="C1849" s="41">
        <v>4</v>
      </c>
      <c r="D1849" s="41" t="str">
        <v>RD</v>
      </c>
      <c r="E1849" s="117" t="str">
        <f t="shared" si="0"/>
        <v>RD</v>
      </c>
      <c r="F1849" s="41" t="str">
        <v/>
      </c>
      <c r="G1849" s="41" t="str">
        <v/>
      </c>
      <c r="H1849" s="117">
        <f t="shared" si="1"/>
        <v>0</v>
      </c>
      <c r="I1849" s="117">
        <f t="shared" si="2"/>
        <v>4</v>
      </c>
      <c r="J1849" s="117">
        <f t="shared" si="3"/>
        <v>4.0199999999999996</v>
      </c>
      <c r="K1849" s="117" t="str">
        <f t="shared" si="4"/>
        <v>NF</v>
      </c>
      <c r="L1849" s="42" t="str">
        <v>NF0402</v>
      </c>
      <c r="M1849" s="121" t="str">
        <v/>
      </c>
      <c r="N1849" s="121" t="str">
        <v/>
      </c>
      <c r="O1849" s="121" t="str">
        <v/>
      </c>
      <c r="P1849" s="121" t="str">
        <v/>
      </c>
      <c r="Q1849" s="121" t="str">
        <v xml:space="preserve"> 2. </v>
      </c>
      <c r="R1849" s="121" t="str">
        <v>The online shop may be down for scheduled maintenance during non-peak times of the night, for no longer than 4 hours at a time.</v>
      </c>
      <c r="S1849" s="121" t="str">
        <v/>
      </c>
      <c r="T1849" s="119" t="str">
        <f>IF($C1849&lt;4,IF($C1849=3,T1850,IF($C1849=2,T$1,"")),Q1849&amp;R1849&amp;IF(LEN(S1849)=0,"",Preferences!$C$2&amp;S1849)&amp;IF(J1850=J1849,IF(LEN(R1849&amp;S1849)=0,"","
")&amp;T1850,""))</f>
        <v xml:space="preserve"> 2. The online shop may be down for scheduled maintenance during non-peak times of the night, for no longer than 4 hours at a time.
 3. Also refer to the Response times requirement in the Performance section.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U1849" s="122" t="str">
        <v/>
      </c>
      <c r="V1849" s="42"/>
      <c r="W1849" s="42"/>
      <c r="X1849" s="42"/>
      <c r="Y1849" s="42"/>
      <c r="Z1849" s="42"/>
      <c r="AA1849" s="42"/>
      <c r="AB1849" s="42"/>
    </row>
    <row r="1850" spans="1:28" x14ac:dyDescent="0.25">
      <c r="A1850" s="42" t="str">
        <v>3.4.2.3</v>
      </c>
      <c r="B1850" s="121" t="str">
        <v>Also refer to the Response times requirement in the Performance section.</v>
      </c>
      <c r="C1850" s="41">
        <v>4</v>
      </c>
      <c r="D1850" s="41" t="str">
        <v>RD</v>
      </c>
      <c r="E1850" s="117" t="str">
        <f t="shared" si="0"/>
        <v>RD</v>
      </c>
      <c r="F1850" s="41" t="str">
        <v/>
      </c>
      <c r="G1850" s="41" t="str">
        <v/>
      </c>
      <c r="H1850" s="117">
        <f t="shared" si="1"/>
        <v>0</v>
      </c>
      <c r="I1850" s="117">
        <f t="shared" si="2"/>
        <v>4</v>
      </c>
      <c r="J1850" s="117">
        <f t="shared" si="3"/>
        <v>4.0199999999999996</v>
      </c>
      <c r="K1850" s="117" t="str">
        <f t="shared" si="4"/>
        <v>NF</v>
      </c>
      <c r="L1850" s="42" t="str">
        <v>NF0402</v>
      </c>
      <c r="M1850" s="121" t="str">
        <v/>
      </c>
      <c r="N1850" s="121" t="str">
        <v/>
      </c>
      <c r="O1850" s="121" t="str">
        <v/>
      </c>
      <c r="P1850" s="121" t="str">
        <v/>
      </c>
      <c r="Q1850" s="121" t="str">
        <v xml:space="preserve"> 3. </v>
      </c>
      <c r="R1850" s="121" t="str">
        <v>Also refer to the Response times requirement in the Performance section.</v>
      </c>
      <c r="S1850" s="121" t="str">
        <v/>
      </c>
      <c r="T1850" s="119" t="str">
        <f>IF($C1850&lt;4,IF($C1850=3,T1851,IF($C1850=2,T$1,"")),Q1850&amp;R1850&amp;IF(LEN(S1850)=0,"",Preferences!$C$2&amp;S1850)&amp;IF(J1851=J1850,IF(LEN(R1850&amp;S1850)=0,"","
")&amp;T1851,""))</f>
        <v xml:space="preserve"> 3. Also refer to the Response times requirement in the Performance section.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U1850" s="122" t="str">
        <v/>
      </c>
      <c r="V1850" s="42"/>
      <c r="W1850" s="42"/>
      <c r="X1850" s="42"/>
      <c r="Y1850" s="42"/>
      <c r="Z1850" s="42"/>
      <c r="AA1850" s="42"/>
      <c r="AB1850" s="42"/>
    </row>
    <row r="1851" spans="1:28" x14ac:dyDescent="0.25">
      <c r="A1851" s="42" t="str">
        <v>3.4.2.4</v>
      </c>
      <c r="B1851" s="121" t="str">
        <v>Availability Requirements: Specify % of time available ( xx.xx%), hours of use, maintenance access, degraded mode operations etc.</v>
      </c>
      <c r="C1851" s="41">
        <v>4</v>
      </c>
      <c r="D1851" s="41" t="str">
        <v>RD</v>
      </c>
      <c r="E1851" s="117" t="str">
        <f t="shared" si="0"/>
        <v>RD</v>
      </c>
      <c r="F1851" s="41" t="str">
        <v/>
      </c>
      <c r="G1851" s="41" t="str">
        <v/>
      </c>
      <c r="H1851" s="117">
        <f t="shared" si="1"/>
        <v>0</v>
      </c>
      <c r="I1851" s="117">
        <f t="shared" si="2"/>
        <v>4</v>
      </c>
      <c r="J1851" s="117">
        <f t="shared" si="3"/>
        <v>4.0199999999999996</v>
      </c>
      <c r="K1851" s="117" t="str">
        <f t="shared" si="4"/>
        <v>NF</v>
      </c>
      <c r="L1851" s="42" t="str">
        <v>NF0402</v>
      </c>
      <c r="M1851" s="121" t="str">
        <v/>
      </c>
      <c r="N1851" s="121" t="str">
        <v/>
      </c>
      <c r="O1851" s="121" t="str">
        <v/>
      </c>
      <c r="P1851" s="121" t="str">
        <v/>
      </c>
      <c r="Q1851" s="121" t="str">
        <v xml:space="preserve"> 4. </v>
      </c>
      <c r="R1851" s="121" t="str">
        <v>Availability Requirements: Specify % of time available ( xx.xx%), hours of use, maintenance access, degraded mode operations etc.</v>
      </c>
      <c r="S1851" s="121" t="str">
        <v/>
      </c>
      <c r="T1851" s="119" t="str">
        <f>IF($C1851&lt;4,IF($C1851=3,T1852,IF($C1851=2,T$1,"")),Q1851&amp;R1851&amp;IF(LEN(S1851)=0,"",Preferences!$C$2&amp;S1851)&amp;IF(J1852=J1851,IF(LEN(R1851&amp;S1851)=0,"","
")&amp;T1852,""))</f>
        <v xml:space="preserve"> 4. Availability Requirements: Specify % of time available ( xx.xx%), hours of use, maintenance access, degraded mode operations etc.
 5. Mean Time Between Failures (MTBF) – this is usually specified in hours, but it could also be specified in terms of days, months, or years.
 6. Mean Time To Repair (MTTR) – how long is the system allowed to be out of operation after it has failed?</v>
      </c>
      <c r="U1851" s="122" t="str">
        <v/>
      </c>
      <c r="V1851" s="42"/>
      <c r="W1851" s="42"/>
      <c r="X1851" s="42"/>
      <c r="Y1851" s="42"/>
      <c r="Z1851" s="42"/>
      <c r="AA1851" s="42"/>
      <c r="AB1851" s="42"/>
    </row>
    <row r="1852" spans="1:28" x14ac:dyDescent="0.25">
      <c r="A1852" s="42" t="str">
        <v>3.4.2.5</v>
      </c>
      <c r="B1852" s="121" t="str">
        <v>Mean Time Between Failures (MTBF) – this is usually specified in hours, but it could also be specified in terms of days, months, or years.</v>
      </c>
      <c r="C1852" s="41">
        <v>4</v>
      </c>
      <c r="D1852" s="41" t="str">
        <v>RD</v>
      </c>
      <c r="E1852" s="117" t="str">
        <f t="shared" si="0"/>
        <v>RD</v>
      </c>
      <c r="F1852" s="41" t="str">
        <v/>
      </c>
      <c r="G1852" s="41" t="str">
        <v/>
      </c>
      <c r="H1852" s="117">
        <f t="shared" si="1"/>
        <v>0</v>
      </c>
      <c r="I1852" s="117">
        <f t="shared" si="2"/>
        <v>4</v>
      </c>
      <c r="J1852" s="117">
        <f t="shared" si="3"/>
        <v>4.0199999999999996</v>
      </c>
      <c r="K1852" s="117" t="str">
        <f t="shared" si="4"/>
        <v>NF</v>
      </c>
      <c r="L1852" s="42" t="str">
        <v>NF0402</v>
      </c>
      <c r="M1852" s="121" t="str">
        <v/>
      </c>
      <c r="N1852" s="121" t="str">
        <v/>
      </c>
      <c r="O1852" s="121" t="str">
        <v/>
      </c>
      <c r="P1852" s="121" t="str">
        <v/>
      </c>
      <c r="Q1852" s="121" t="str">
        <v xml:space="preserve"> 5. </v>
      </c>
      <c r="R1852" s="121" t="str">
        <v>Mean Time Between Failures (MTBF) – this is usually specified in hours, but it could also be specified in terms of days, months, or years.</v>
      </c>
      <c r="S1852" s="121" t="str">
        <v/>
      </c>
      <c r="T1852" s="119" t="str">
        <f>IF($C1852&lt;4,IF($C1852=3,T1853,IF($C1852=2,T$1,"")),Q1852&amp;R1852&amp;IF(LEN(S1852)=0,"",Preferences!$C$2&amp;S1852)&amp;IF(J1853=J1852,IF(LEN(R1852&amp;S1852)=0,"","
")&amp;T1853,""))</f>
        <v xml:space="preserve"> 5. Mean Time Between Failures (MTBF) – this is usually specified in hours, but it could also be specified in terms of days, months, or years.
 6. Mean Time To Repair (MTTR) – how long is the system allowed to be out of operation after it has failed?</v>
      </c>
      <c r="U1852" s="122" t="str">
        <v/>
      </c>
      <c r="V1852" s="42"/>
      <c r="W1852" s="42"/>
      <c r="X1852" s="42"/>
      <c r="Y1852" s="42"/>
      <c r="Z1852" s="42"/>
      <c r="AA1852" s="42"/>
      <c r="AB1852" s="42"/>
    </row>
    <row r="1853" spans="1:28" x14ac:dyDescent="0.25">
      <c r="A1853" s="42" t="str">
        <v>3.4.2.6</v>
      </c>
      <c r="B1853" s="121" t="str">
        <v>Mean Time To Repair (MTTR) – how long is the system allowed to be out of operation after it has failed?</v>
      </c>
      <c r="C1853" s="41">
        <v>4</v>
      </c>
      <c r="D1853" s="41" t="str">
        <v>RD</v>
      </c>
      <c r="E1853" s="117" t="str">
        <f t="shared" si="0"/>
        <v>RD</v>
      </c>
      <c r="F1853" s="41" t="str">
        <v/>
      </c>
      <c r="G1853" s="41" t="str">
        <v/>
      </c>
      <c r="H1853" s="117">
        <f t="shared" si="1"/>
        <v>0</v>
      </c>
      <c r="I1853" s="117">
        <f t="shared" si="2"/>
        <v>4</v>
      </c>
      <c r="J1853" s="117">
        <f t="shared" si="3"/>
        <v>4.0199999999999996</v>
      </c>
      <c r="K1853" s="117" t="str">
        <f t="shared" si="4"/>
        <v>NF</v>
      </c>
      <c r="L1853" s="42" t="str">
        <v>NF0402</v>
      </c>
      <c r="M1853" s="121" t="str">
        <v/>
      </c>
      <c r="N1853" s="121" t="str">
        <v/>
      </c>
      <c r="O1853" s="121" t="str">
        <v/>
      </c>
      <c r="P1853" s="121" t="str">
        <v/>
      </c>
      <c r="Q1853" s="121" t="str">
        <v xml:space="preserve"> 6. </v>
      </c>
      <c r="R1853" s="121" t="str">
        <v>Mean Time To Repair (MTTR) – how long is the system allowed to be out of operation after it has failed?</v>
      </c>
      <c r="S1853" s="121" t="str">
        <v/>
      </c>
      <c r="T1853" s="119" t="str">
        <f>IF($C1853&lt;4,IF($C1853=3,T1854,IF($C1853=2,T$1,"")),Q1853&amp;R1853&amp;IF(LEN(S1853)=0,"",Preferences!$C$2&amp;S1853)&amp;IF(J1854=J1853,IF(LEN(R1853&amp;S1853)=0,"","
")&amp;T1854,""))</f>
        <v xml:space="preserve"> 6. Mean Time To Repair (MTTR) – how long is the system allowed to be out of operation after it has failed?</v>
      </c>
      <c r="U1853" s="122" t="str">
        <v/>
      </c>
      <c r="V1853" s="42"/>
      <c r="W1853" s="42"/>
      <c r="X1853" s="42"/>
      <c r="Y1853" s="42"/>
      <c r="Z1853" s="42"/>
      <c r="AA1853" s="42"/>
      <c r="AB1853" s="42"/>
    </row>
    <row r="1854" spans="1:28" x14ac:dyDescent="0.25">
      <c r="A1854" s="42" t="str">
        <v>3.4.3</v>
      </c>
      <c r="B1854" s="121" t="str">
        <v>4.3 Storage</v>
      </c>
      <c r="C1854" s="41">
        <v>3</v>
      </c>
      <c r="D1854" s="41" t="str">
        <v>R</v>
      </c>
      <c r="E1854" s="117" t="str">
        <f t="shared" si="0"/>
        <v>R</v>
      </c>
      <c r="F1854" s="41" t="str">
        <v/>
      </c>
      <c r="G1854" s="41" t="str">
        <v/>
      </c>
      <c r="H1854" s="117">
        <f t="shared" si="1"/>
        <v>0</v>
      </c>
      <c r="I1854" s="117">
        <f t="shared" si="2"/>
        <v>4</v>
      </c>
      <c r="J1854" s="117">
        <f t="shared" si="3"/>
        <v>4.0299999999999994</v>
      </c>
      <c r="K1854" s="117" t="str">
        <f t="shared" si="4"/>
        <v>NF</v>
      </c>
      <c r="L1854" s="42" t="str">
        <v>NF0403</v>
      </c>
      <c r="M1854" s="121" t="str">
        <v/>
      </c>
      <c r="N1854" s="121" t="str">
        <v/>
      </c>
      <c r="O1854" s="121" t="str">
        <v>NF0403</v>
      </c>
      <c r="P1854" s="121" t="str">
        <v>Storage</v>
      </c>
      <c r="Q1854" s="121" t="str">
        <v/>
      </c>
      <c r="R1854" s="121" t="str">
        <v/>
      </c>
      <c r="S1854" s="121" t="str">
        <v/>
      </c>
      <c r="T1854" s="119" t="str">
        <f>IF($C1854&lt;4,IF($C1854=3,T1855,IF($C1854=2,T$1,"")),Q1854&amp;R1854&amp;IF(LEN(S1854)=0,"",Preferences!$C$2&amp;S1854)&amp;IF(J1855=J1854,IF(LEN(R1854&amp;S1854)=0,"","
")&amp;T1855,""))</f>
        <v xml:space="preserve"> 1. New storage will be required for the following:
	• Online shop infrastructure
	• Users and customers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4" s="122" t="str">
        <v/>
      </c>
      <c r="V1854" s="42"/>
      <c r="W1854" s="42"/>
      <c r="X1854" s="42"/>
      <c r="Y1854" s="42"/>
      <c r="Z1854" s="42"/>
      <c r="AA1854" s="42"/>
      <c r="AB1854" s="42"/>
    </row>
    <row r="1855" spans="1:28" x14ac:dyDescent="0.25">
      <c r="A1855" s="42" t="str">
        <v>3.4.3.1</v>
      </c>
      <c r="B1855" s="121" t="str">
        <v>New storage will be required for the following:</v>
      </c>
      <c r="C1855" s="41">
        <v>4</v>
      </c>
      <c r="D1855" s="41" t="str">
        <v>RD</v>
      </c>
      <c r="E1855" s="117" t="str">
        <f t="shared" si="0"/>
        <v>RD</v>
      </c>
      <c r="F1855" s="41" t="str">
        <v/>
      </c>
      <c r="G1855" s="41" t="str">
        <v/>
      </c>
      <c r="H1855" s="117">
        <f t="shared" si="1"/>
        <v>0</v>
      </c>
      <c r="I1855" s="117">
        <f t="shared" si="2"/>
        <v>4</v>
      </c>
      <c r="J1855" s="117">
        <f t="shared" si="3"/>
        <v>4.0299999999999994</v>
      </c>
      <c r="K1855" s="117" t="str">
        <f t="shared" si="4"/>
        <v>NF</v>
      </c>
      <c r="L1855" s="42" t="str">
        <v>NF0403</v>
      </c>
      <c r="M1855" s="121" t="str">
        <v/>
      </c>
      <c r="N1855" s="121" t="str">
        <v/>
      </c>
      <c r="O1855" s="121" t="str">
        <v/>
      </c>
      <c r="P1855" s="121" t="str">
        <v/>
      </c>
      <c r="Q1855" s="121" t="str">
        <v xml:space="preserve"> 1. </v>
      </c>
      <c r="R1855" s="121" t="str">
        <v>New storage will be required for the following:</v>
      </c>
      <c r="S1855" s="121" t="str">
        <v/>
      </c>
      <c r="T1855" s="119" t="str">
        <f>IF($C1855&lt;4,IF($C1855=3,T1856,IF($C1855=2,T$1,"")),Q1855&amp;R1855&amp;IF(LEN(S1855)=0,"",Preferences!$C$2&amp;S1855)&amp;IF(J1856=J1855,IF(LEN(R1855&amp;S1855)=0,"","
")&amp;T1856,""))</f>
        <v xml:space="preserve"> 1. New storage will be required for the following:
	• Online shop infrastructure
	• Users and customers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5" s="122" t="str">
        <v/>
      </c>
      <c r="V1855" s="42"/>
      <c r="W1855" s="42"/>
      <c r="X1855" s="42"/>
      <c r="Y1855" s="42"/>
      <c r="Z1855" s="42"/>
      <c r="AA1855" s="42"/>
      <c r="AB1855" s="42"/>
    </row>
    <row r="1856" spans="1:28" x14ac:dyDescent="0.25">
      <c r="A1856" s="42" t="str">
        <v>3.4.3.1.1</v>
      </c>
      <c r="B1856" s="121" t="str">
        <v>Online shop infrastructure</v>
      </c>
      <c r="C1856" s="41">
        <v>5</v>
      </c>
      <c r="D1856" s="41" t="str">
        <v>RL</v>
      </c>
      <c r="E1856" s="117" t="str">
        <f t="shared" si="0"/>
        <v>RL</v>
      </c>
      <c r="F1856" s="41" t="str">
        <v/>
      </c>
      <c r="G1856" s="41" t="str">
        <v/>
      </c>
      <c r="H1856" s="117">
        <f t="shared" si="1"/>
        <v>0</v>
      </c>
      <c r="I1856" s="117">
        <f t="shared" si="2"/>
        <v>4</v>
      </c>
      <c r="J1856" s="117">
        <f t="shared" si="3"/>
        <v>4.0299999999999994</v>
      </c>
      <c r="K1856" s="117" t="str">
        <f t="shared" si="4"/>
        <v>NF</v>
      </c>
      <c r="L1856" s="42" t="str">
        <v>NF0403</v>
      </c>
      <c r="M1856" s="121" t="str">
        <v/>
      </c>
      <c r="N1856" s="121" t="str">
        <v/>
      </c>
      <c r="O1856" s="121" t="str">
        <v/>
      </c>
      <c r="P1856" s="121" t="str">
        <v/>
      </c>
      <c r="Q1856" s="121" t="str">
        <v/>
      </c>
      <c r="R1856" s="121" t="str">
        <v/>
      </c>
      <c r="S1856" s="121" t="str">
        <v>Online shop infrastructure</v>
      </c>
      <c r="T1856" s="119" t="str">
        <f>IF($C1856&lt;4,IF($C1856=3,T1857,IF($C1856=2,T$1,"")),Q1856&amp;R1856&amp;IF(LEN(S1856)=0,"",Preferences!$C$2&amp;S1856)&amp;IF(J1857=J1856,IF(LEN(R1856&amp;S1856)=0,"","
")&amp;T1857,""))</f>
        <v xml:space="preserve">	• Online shop infrastructure
	• Users and customers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6" s="122" t="str">
        <v/>
      </c>
      <c r="V1856" s="42"/>
      <c r="W1856" s="42"/>
      <c r="X1856" s="42"/>
      <c r="Y1856" s="42"/>
      <c r="Z1856" s="42"/>
      <c r="AA1856" s="42"/>
      <c r="AB1856" s="42"/>
    </row>
    <row r="1857" spans="1:28" x14ac:dyDescent="0.25">
      <c r="A1857" s="42" t="str">
        <v>3.4.3.1.2</v>
      </c>
      <c r="B1857" s="121" t="str">
        <v>Users and customers</v>
      </c>
      <c r="C1857" s="41">
        <v>5</v>
      </c>
      <c r="D1857" s="41" t="str">
        <v>RL</v>
      </c>
      <c r="E1857" s="117" t="str">
        <f t="shared" si="0"/>
        <v>RL</v>
      </c>
      <c r="F1857" s="41" t="str">
        <v/>
      </c>
      <c r="G1857" s="41" t="str">
        <v/>
      </c>
      <c r="H1857" s="117">
        <f t="shared" si="1"/>
        <v>0</v>
      </c>
      <c r="I1857" s="117">
        <f t="shared" si="2"/>
        <v>4</v>
      </c>
      <c r="J1857" s="117">
        <f t="shared" si="3"/>
        <v>4.0299999999999994</v>
      </c>
      <c r="K1857" s="117" t="str">
        <f t="shared" si="4"/>
        <v>NF</v>
      </c>
      <c r="L1857" s="42" t="str">
        <v>NF0403</v>
      </c>
      <c r="M1857" s="121" t="str">
        <v/>
      </c>
      <c r="N1857" s="121" t="str">
        <v/>
      </c>
      <c r="O1857" s="121" t="str">
        <v/>
      </c>
      <c r="P1857" s="121" t="str">
        <v/>
      </c>
      <c r="Q1857" s="121" t="str">
        <v/>
      </c>
      <c r="R1857" s="121" t="str">
        <v/>
      </c>
      <c r="S1857" s="121" t="str">
        <v>Users and customers</v>
      </c>
      <c r="T1857" s="119" t="str">
        <f>IF($C1857&lt;4,IF($C1857=3,T1858,IF($C1857=2,T$1,"")),Q1857&amp;R1857&amp;IF(LEN(S1857)=0,"",Preferences!$C$2&amp;S1857)&amp;IF(J1858=J1857,IF(LEN(R1857&amp;S1857)=0,"","
")&amp;T1858,""))</f>
        <v xml:space="preserve">	• Users and customers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7" s="122" t="str">
        <v/>
      </c>
      <c r="V1857" s="42"/>
      <c r="W1857" s="42"/>
      <c r="X1857" s="42"/>
      <c r="Y1857" s="42"/>
      <c r="Z1857" s="42"/>
      <c r="AA1857" s="42"/>
      <c r="AB1857" s="42"/>
    </row>
    <row r="1858" spans="1:28" x14ac:dyDescent="0.25">
      <c r="A1858" s="42" t="str">
        <v>3.4.3.1.3</v>
      </c>
      <c r="B1858" s="121" t="str">
        <v>Products and their enrichment</v>
      </c>
      <c r="C1858" s="41">
        <v>5</v>
      </c>
      <c r="D1858" s="41" t="str">
        <v>RL</v>
      </c>
      <c r="E1858" s="117" t="str">
        <f t="shared" si="0"/>
        <v>RL</v>
      </c>
      <c r="F1858" s="41" t="str">
        <v/>
      </c>
      <c r="G1858" s="41" t="str">
        <v/>
      </c>
      <c r="H1858" s="117">
        <f t="shared" si="1"/>
        <v>0</v>
      </c>
      <c r="I1858" s="117">
        <f t="shared" si="2"/>
        <v>4</v>
      </c>
      <c r="J1858" s="117">
        <f t="shared" si="3"/>
        <v>4.0299999999999994</v>
      </c>
      <c r="K1858" s="117" t="str">
        <f t="shared" si="4"/>
        <v>NF</v>
      </c>
      <c r="L1858" s="42" t="str">
        <v>NF0403</v>
      </c>
      <c r="M1858" s="121" t="str">
        <v/>
      </c>
      <c r="N1858" s="121" t="str">
        <v/>
      </c>
      <c r="O1858" s="121" t="str">
        <v/>
      </c>
      <c r="P1858" s="121" t="str">
        <v/>
      </c>
      <c r="Q1858" s="121" t="str">
        <v/>
      </c>
      <c r="R1858" s="121" t="str">
        <v/>
      </c>
      <c r="S1858" s="121" t="str">
        <v>Products and their enrichment</v>
      </c>
      <c r="T1858" s="119" t="str">
        <f>IF($C1858&lt;4,IF($C1858=3,T1859,IF($C1858=2,T$1,"")),Q1858&amp;R1858&amp;IF(LEN(S1858)=0,"",Preferences!$C$2&amp;S1858)&amp;IF(J1859=J1858,IF(LEN(R1858&amp;S1858)=0,"","
")&amp;T1859,""))</f>
        <v xml:space="preserve">	• Products and their enrichment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8" s="122" t="str">
        <v/>
      </c>
      <c r="V1858" s="42"/>
      <c r="W1858" s="42"/>
      <c r="X1858" s="42"/>
      <c r="Y1858" s="42"/>
      <c r="Z1858" s="42"/>
      <c r="AA1858" s="42"/>
      <c r="AB1858" s="42"/>
    </row>
    <row r="1859" spans="1:28" x14ac:dyDescent="0.25">
      <c r="A1859" s="42" t="str">
        <v>3.4.3.1.4</v>
      </c>
      <c r="B1859" s="121" t="str">
        <v>Advertisements</v>
      </c>
      <c r="C1859" s="41">
        <v>5</v>
      </c>
      <c r="D1859" s="41" t="str">
        <v>RL</v>
      </c>
      <c r="E1859" s="117" t="str">
        <f t="shared" si="0"/>
        <v>RL</v>
      </c>
      <c r="F1859" s="41" t="str">
        <v/>
      </c>
      <c r="G1859" s="41" t="str">
        <v/>
      </c>
      <c r="H1859" s="117">
        <f t="shared" si="1"/>
        <v>0</v>
      </c>
      <c r="I1859" s="117">
        <f t="shared" si="2"/>
        <v>4</v>
      </c>
      <c r="J1859" s="117">
        <f t="shared" si="3"/>
        <v>4.0299999999999994</v>
      </c>
      <c r="K1859" s="117" t="str">
        <f t="shared" si="4"/>
        <v>NF</v>
      </c>
      <c r="L1859" s="42" t="str">
        <v>NF0403</v>
      </c>
      <c r="M1859" s="121" t="str">
        <v/>
      </c>
      <c r="N1859" s="121" t="str">
        <v/>
      </c>
      <c r="O1859" s="121" t="str">
        <v/>
      </c>
      <c r="P1859" s="121" t="str">
        <v/>
      </c>
      <c r="Q1859" s="121" t="str">
        <v/>
      </c>
      <c r="R1859" s="121" t="str">
        <v/>
      </c>
      <c r="S1859" s="121" t="str">
        <v>Advertisements</v>
      </c>
      <c r="T1859" s="119" t="str">
        <f>IF($C1859&lt;4,IF($C1859=3,T1860,IF($C1859=2,T$1,"")),Q1859&amp;R1859&amp;IF(LEN(S1859)=0,"",Preferences!$C$2&amp;S1859)&amp;IF(J1860=J1859,IF(LEN(R1859&amp;S1859)=0,"","
")&amp;T1860,""))</f>
        <v xml:space="preserve">	• Advertisements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59" s="122" t="str">
        <v/>
      </c>
      <c r="V1859" s="42"/>
      <c r="W1859" s="42"/>
      <c r="X1859" s="42"/>
      <c r="Y1859" s="42"/>
      <c r="Z1859" s="42"/>
      <c r="AA1859" s="42"/>
      <c r="AB1859" s="42"/>
    </row>
    <row r="1860" spans="1:28" x14ac:dyDescent="0.25">
      <c r="A1860" s="42" t="str">
        <v>3.4.3.1.5</v>
      </c>
      <c r="B1860" s="121" t="str">
        <v>Articles</v>
      </c>
      <c r="C1860" s="41">
        <v>5</v>
      </c>
      <c r="D1860" s="41" t="str">
        <v>RL</v>
      </c>
      <c r="E1860" s="117" t="str">
        <f t="shared" si="0"/>
        <v>RL</v>
      </c>
      <c r="F1860" s="41" t="str">
        <v/>
      </c>
      <c r="G1860" s="41" t="str">
        <v/>
      </c>
      <c r="H1860" s="117">
        <f t="shared" si="1"/>
        <v>0</v>
      </c>
      <c r="I1860" s="117">
        <f t="shared" si="2"/>
        <v>4</v>
      </c>
      <c r="J1860" s="117">
        <f t="shared" si="3"/>
        <v>4.0299999999999994</v>
      </c>
      <c r="K1860" s="117" t="str">
        <f t="shared" si="4"/>
        <v>NF</v>
      </c>
      <c r="L1860" s="42" t="str">
        <v>NF0403</v>
      </c>
      <c r="M1860" s="121" t="str">
        <v/>
      </c>
      <c r="N1860" s="121" t="str">
        <v/>
      </c>
      <c r="O1860" s="121" t="str">
        <v/>
      </c>
      <c r="P1860" s="121" t="str">
        <v/>
      </c>
      <c r="Q1860" s="121" t="str">
        <v/>
      </c>
      <c r="R1860" s="121" t="str">
        <v/>
      </c>
      <c r="S1860" s="121" t="str">
        <v>Articles</v>
      </c>
      <c r="T1860" s="119" t="str">
        <f>IF($C1860&lt;4,IF($C1860=3,T1861,IF($C1860=2,T$1,"")),Q1860&amp;R1860&amp;IF(LEN(S1860)=0,"",Preferences!$C$2&amp;S1860)&amp;IF(J1861=J1860,IF(LEN(R1860&amp;S1860)=0,"","
")&amp;T1861,""))</f>
        <v xml:space="preserve">	• Articles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0" s="122" t="str">
        <v/>
      </c>
      <c r="V1860" s="42"/>
      <c r="W1860" s="42"/>
      <c r="X1860" s="42"/>
      <c r="Y1860" s="42"/>
      <c r="Z1860" s="42"/>
      <c r="AA1860" s="42"/>
      <c r="AB1860" s="42"/>
    </row>
    <row r="1861" spans="1:28" x14ac:dyDescent="0.25">
      <c r="A1861" s="42" t="str">
        <v>3.4.3.1.6</v>
      </c>
      <c r="B1861" s="121" t="str">
        <v>Shopping carts</v>
      </c>
      <c r="C1861" s="41">
        <v>5</v>
      </c>
      <c r="D1861" s="41" t="str">
        <v>RL</v>
      </c>
      <c r="E1861" s="117" t="str">
        <f t="shared" si="0"/>
        <v>RL</v>
      </c>
      <c r="F1861" s="41" t="str">
        <v/>
      </c>
      <c r="G1861" s="41" t="str">
        <v/>
      </c>
      <c r="H1861" s="117">
        <f t="shared" si="1"/>
        <v>0</v>
      </c>
      <c r="I1861" s="117">
        <f t="shared" si="2"/>
        <v>4</v>
      </c>
      <c r="J1861" s="117">
        <f t="shared" si="3"/>
        <v>4.0299999999999994</v>
      </c>
      <c r="K1861" s="117" t="str">
        <f t="shared" si="4"/>
        <v>NF</v>
      </c>
      <c r="L1861" s="42" t="str">
        <v>NF0403</v>
      </c>
      <c r="M1861" s="121" t="str">
        <v/>
      </c>
      <c r="N1861" s="121" t="str">
        <v/>
      </c>
      <c r="O1861" s="121" t="str">
        <v/>
      </c>
      <c r="P1861" s="121" t="str">
        <v/>
      </c>
      <c r="Q1861" s="121" t="str">
        <v/>
      </c>
      <c r="R1861" s="121" t="str">
        <v/>
      </c>
      <c r="S1861" s="121" t="str">
        <v>Shopping carts</v>
      </c>
      <c r="T1861" s="119" t="str">
        <f>IF($C1861&lt;4,IF($C1861=3,T1862,IF($C1861=2,T$1,"")),Q1861&amp;R1861&amp;IF(LEN(S1861)=0,"",Preferences!$C$2&amp;S1861)&amp;IF(J1862=J1861,IF(LEN(R1861&amp;S1861)=0,"","
")&amp;T1862,""))</f>
        <v xml:space="preserve">	• Shopping carts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1" s="122" t="str">
        <v/>
      </c>
      <c r="V1861" s="42"/>
      <c r="W1861" s="42"/>
      <c r="X1861" s="42"/>
      <c r="Y1861" s="42"/>
      <c r="Z1861" s="42"/>
      <c r="AA1861" s="42"/>
      <c r="AB1861" s="42"/>
    </row>
    <row r="1862" spans="1:28" x14ac:dyDescent="0.25">
      <c r="A1862" s="42" t="str">
        <v>3.4.3.1.7</v>
      </c>
      <c r="B1862" s="121" t="str">
        <v>Online transactions</v>
      </c>
      <c r="C1862" s="41">
        <v>5</v>
      </c>
      <c r="D1862" s="41" t="str">
        <v>RL</v>
      </c>
      <c r="E1862" s="117" t="str">
        <f t="shared" si="0"/>
        <v>RL</v>
      </c>
      <c r="F1862" s="41" t="str">
        <v/>
      </c>
      <c r="G1862" s="41" t="str">
        <v/>
      </c>
      <c r="H1862" s="117">
        <f t="shared" si="1"/>
        <v>0</v>
      </c>
      <c r="I1862" s="117">
        <f t="shared" si="2"/>
        <v>4</v>
      </c>
      <c r="J1862" s="117">
        <f t="shared" si="3"/>
        <v>4.0299999999999994</v>
      </c>
      <c r="K1862" s="117" t="str">
        <f t="shared" si="4"/>
        <v>NF</v>
      </c>
      <c r="L1862" s="42" t="str">
        <v>NF0403</v>
      </c>
      <c r="M1862" s="121" t="str">
        <v/>
      </c>
      <c r="N1862" s="121" t="str">
        <v/>
      </c>
      <c r="O1862" s="121" t="str">
        <v/>
      </c>
      <c r="P1862" s="121" t="str">
        <v/>
      </c>
      <c r="Q1862" s="121" t="str">
        <v/>
      </c>
      <c r="R1862" s="121" t="str">
        <v/>
      </c>
      <c r="S1862" s="121" t="str">
        <v>Online transactions</v>
      </c>
      <c r="T1862" s="119" t="str">
        <f>IF($C1862&lt;4,IF($C1862=3,T1863,IF($C1862=2,T$1,"")),Q1862&amp;R1862&amp;IF(LEN(S1862)=0,"",Preferences!$C$2&amp;S1862)&amp;IF(J1863=J1862,IF(LEN(R1862&amp;S1862)=0,"","
")&amp;T1863,""))</f>
        <v xml:space="preserve">	• Online transactions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2" s="122" t="str">
        <v/>
      </c>
      <c r="V1862" s="42"/>
      <c r="W1862" s="42"/>
      <c r="X1862" s="42"/>
      <c r="Y1862" s="42"/>
      <c r="Z1862" s="42"/>
      <c r="AA1862" s="42"/>
      <c r="AB1862" s="42"/>
    </row>
    <row r="1863" spans="1:28" x14ac:dyDescent="0.25">
      <c r="A1863" s="42" t="str">
        <v>3.4.3.1.8</v>
      </c>
      <c r="B1863" s="121" t="str">
        <v>Customer Orders</v>
      </c>
      <c r="C1863" s="41">
        <v>5</v>
      </c>
      <c r="D1863" s="41" t="str">
        <v>RL</v>
      </c>
      <c r="E1863" s="117" t="str">
        <f t="shared" si="0"/>
        <v>RL</v>
      </c>
      <c r="F1863" s="41" t="str">
        <v/>
      </c>
      <c r="G1863" s="41" t="str">
        <v/>
      </c>
      <c r="H1863" s="117">
        <f t="shared" si="1"/>
        <v>0</v>
      </c>
      <c r="I1863" s="117">
        <f t="shared" si="2"/>
        <v>4</v>
      </c>
      <c r="J1863" s="117">
        <f t="shared" si="3"/>
        <v>4.0299999999999994</v>
      </c>
      <c r="K1863" s="117" t="str">
        <f t="shared" si="4"/>
        <v>NF</v>
      </c>
      <c r="L1863" s="42" t="str">
        <v>NF0403</v>
      </c>
      <c r="M1863" s="121" t="str">
        <v/>
      </c>
      <c r="N1863" s="121" t="str">
        <v/>
      </c>
      <c r="O1863" s="121" t="str">
        <v/>
      </c>
      <c r="P1863" s="121" t="str">
        <v/>
      </c>
      <c r="Q1863" s="121" t="str">
        <v/>
      </c>
      <c r="R1863" s="121" t="str">
        <v/>
      </c>
      <c r="S1863" s="121" t="str">
        <v>Customer Orders</v>
      </c>
      <c r="T1863" s="119" t="str">
        <f>IF($C1863&lt;4,IF($C1863=3,T1864,IF($C1863=2,T$1,"")),Q1863&amp;R1863&amp;IF(LEN(S1863)=0,"",Preferences!$C$2&amp;S1863)&amp;IF(J1864=J1863,IF(LEN(R1863&amp;S1863)=0,"","
")&amp;T1864,""))</f>
        <v xml:space="preserve">	• Customer Orders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3" s="122" t="str">
        <v/>
      </c>
      <c r="V1863" s="42"/>
      <c r="W1863" s="42"/>
      <c r="X1863" s="42"/>
      <c r="Y1863" s="42"/>
      <c r="Z1863" s="42"/>
      <c r="AA1863" s="42"/>
      <c r="AB1863" s="42"/>
    </row>
    <row r="1864" spans="1:28" x14ac:dyDescent="0.25">
      <c r="A1864" s="42" t="str">
        <v>3.4.3.1.9</v>
      </c>
      <c r="B1864" s="121" t="str">
        <v>Customer Returns, Return requests</v>
      </c>
      <c r="C1864" s="41">
        <v>5</v>
      </c>
      <c r="D1864" s="41" t="str">
        <v>RL</v>
      </c>
      <c r="E1864" s="117" t="str">
        <f t="shared" si="0"/>
        <v>RL</v>
      </c>
      <c r="F1864" s="41" t="str">
        <v/>
      </c>
      <c r="G1864" s="41" t="str">
        <v/>
      </c>
      <c r="H1864" s="117">
        <f t="shared" si="1"/>
        <v>0</v>
      </c>
      <c r="I1864" s="117">
        <f t="shared" si="2"/>
        <v>4</v>
      </c>
      <c r="J1864" s="117">
        <f t="shared" si="3"/>
        <v>4.0299999999999994</v>
      </c>
      <c r="K1864" s="117" t="str">
        <f t="shared" si="4"/>
        <v>NF</v>
      </c>
      <c r="L1864" s="42" t="str">
        <v>NF0403</v>
      </c>
      <c r="M1864" s="121" t="str">
        <v/>
      </c>
      <c r="N1864" s="121" t="str">
        <v/>
      </c>
      <c r="O1864" s="121" t="str">
        <v/>
      </c>
      <c r="P1864" s="121" t="str">
        <v/>
      </c>
      <c r="Q1864" s="121" t="str">
        <v/>
      </c>
      <c r="R1864" s="121" t="str">
        <v/>
      </c>
      <c r="S1864" s="121" t="str">
        <v>Customer Returns, Return requests</v>
      </c>
      <c r="T1864" s="119" t="str">
        <f>IF($C1864&lt;4,IF($C1864=3,T1865,IF($C1864=2,T$1,"")),Q1864&amp;R1864&amp;IF(LEN(S1864)=0,"",Preferences!$C$2&amp;S1864)&amp;IF(J1865=J1864,IF(LEN(R1864&amp;S1864)=0,"","
")&amp;T1865,""))</f>
        <v xml:space="preserve">	• Customer Returns, Return requests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4" s="122" t="str">
        <v/>
      </c>
      <c r="V1864" s="42"/>
      <c r="W1864" s="42"/>
      <c r="X1864" s="42"/>
      <c r="Y1864" s="42"/>
      <c r="Z1864" s="42"/>
      <c r="AA1864" s="42"/>
      <c r="AB1864" s="42"/>
    </row>
    <row r="1865" spans="1:28" x14ac:dyDescent="0.25">
      <c r="A1865" s="42" t="str">
        <v>3.4.3.1.10</v>
      </c>
      <c r="B1865" s="121" t="str">
        <v>Supplier Orders, Order Confirmations</v>
      </c>
      <c r="C1865" s="41">
        <v>5</v>
      </c>
      <c r="D1865" s="41" t="str">
        <v>RL</v>
      </c>
      <c r="E1865" s="117" t="str">
        <f t="shared" si="0"/>
        <v>RL</v>
      </c>
      <c r="F1865" s="41" t="str">
        <v/>
      </c>
      <c r="G1865" s="41" t="str">
        <v/>
      </c>
      <c r="H1865" s="117">
        <f t="shared" si="1"/>
        <v>0</v>
      </c>
      <c r="I1865" s="117">
        <f t="shared" si="2"/>
        <v>4</v>
      </c>
      <c r="J1865" s="117">
        <f t="shared" si="3"/>
        <v>4.0299999999999994</v>
      </c>
      <c r="K1865" s="117" t="str">
        <f t="shared" si="4"/>
        <v>NF</v>
      </c>
      <c r="L1865" s="42" t="str">
        <v>NF0403</v>
      </c>
      <c r="M1865" s="121" t="str">
        <v/>
      </c>
      <c r="N1865" s="121" t="str">
        <v/>
      </c>
      <c r="O1865" s="121" t="str">
        <v/>
      </c>
      <c r="P1865" s="121" t="str">
        <v/>
      </c>
      <c r="Q1865" s="121" t="str">
        <v/>
      </c>
      <c r="R1865" s="121" t="str">
        <v/>
      </c>
      <c r="S1865" s="121" t="str">
        <v>Supplier Orders, Order Confirmations</v>
      </c>
      <c r="T1865" s="119" t="str">
        <f>IF($C1865&lt;4,IF($C1865=3,T1866,IF($C1865=2,T$1,"")),Q1865&amp;R1865&amp;IF(LEN(S1865)=0,"",Preferences!$C$2&amp;S1865)&amp;IF(J1866=J1865,IF(LEN(R1865&amp;S1865)=0,"","
")&amp;T1866,""))</f>
        <v xml:space="preserve">	• Supplier Orders, Order Confirmations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5" s="122" t="str">
        <v/>
      </c>
      <c r="V1865" s="42"/>
      <c r="W1865" s="42"/>
      <c r="X1865" s="42"/>
      <c r="Y1865" s="42"/>
      <c r="Z1865" s="42"/>
      <c r="AA1865" s="42"/>
      <c r="AB1865" s="42"/>
    </row>
    <row r="1866" spans="1:28" x14ac:dyDescent="0.25">
      <c r="A1866" s="42" t="str">
        <v>3.4.3.1.11</v>
      </c>
      <c r="B1866" s="121" t="str">
        <v>Customer messages</v>
      </c>
      <c r="C1866" s="41">
        <v>5</v>
      </c>
      <c r="D1866" s="41" t="str">
        <v>RL</v>
      </c>
      <c r="E1866" s="117" t="str">
        <f t="shared" si="0"/>
        <v>RL</v>
      </c>
      <c r="F1866" s="41" t="str">
        <v/>
      </c>
      <c r="G1866" s="41" t="str">
        <v/>
      </c>
      <c r="H1866" s="117">
        <f t="shared" si="1"/>
        <v>0</v>
      </c>
      <c r="I1866" s="117">
        <f t="shared" si="2"/>
        <v>4</v>
      </c>
      <c r="J1866" s="117">
        <f t="shared" si="3"/>
        <v>4.0299999999999994</v>
      </c>
      <c r="K1866" s="117" t="str">
        <f t="shared" si="4"/>
        <v>NF</v>
      </c>
      <c r="L1866" s="42" t="str">
        <v>NF0403</v>
      </c>
      <c r="M1866" s="121" t="str">
        <v/>
      </c>
      <c r="N1866" s="121" t="str">
        <v/>
      </c>
      <c r="O1866" s="121" t="str">
        <v/>
      </c>
      <c r="P1866" s="121" t="str">
        <v/>
      </c>
      <c r="Q1866" s="121" t="str">
        <v/>
      </c>
      <c r="R1866" s="121" t="str">
        <v/>
      </c>
      <c r="S1866" s="121" t="str">
        <v>Customer messages</v>
      </c>
      <c r="T1866" s="119" t="str">
        <f>IF($C1866&lt;4,IF($C1866=3,T1867,IF($C1866=2,T$1,"")),Q1866&amp;R1866&amp;IF(LEN(S1866)=0,"",Preferences!$C$2&amp;S1866)&amp;IF(J1867=J1866,IF(LEN(R1866&amp;S1866)=0,"","
")&amp;T1867,""))</f>
        <v xml:space="preserve">	• Customer messages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6" s="122" t="str">
        <v/>
      </c>
      <c r="V1866" s="42"/>
      <c r="W1866" s="42"/>
      <c r="X1866" s="42"/>
      <c r="Y1866" s="42"/>
      <c r="Z1866" s="42"/>
      <c r="AA1866" s="42"/>
      <c r="AB1866" s="42"/>
    </row>
    <row r="1867" spans="1:28" x14ac:dyDescent="0.25">
      <c r="A1867" s="42" t="str">
        <v>3.4.3.1.12</v>
      </c>
      <c r="B1867" s="121" t="str">
        <v>Payment transactions</v>
      </c>
      <c r="C1867" s="41">
        <v>5</v>
      </c>
      <c r="D1867" s="41" t="str">
        <v>RL</v>
      </c>
      <c r="E1867" s="117" t="str">
        <f t="shared" si="0"/>
        <v>RL</v>
      </c>
      <c r="F1867" s="41" t="str">
        <v/>
      </c>
      <c r="G1867" s="41" t="str">
        <v/>
      </c>
      <c r="H1867" s="117">
        <f t="shared" si="1"/>
        <v>0</v>
      </c>
      <c r="I1867" s="117">
        <f t="shared" si="2"/>
        <v>4</v>
      </c>
      <c r="J1867" s="117">
        <f t="shared" si="3"/>
        <v>4.0299999999999994</v>
      </c>
      <c r="K1867" s="117" t="str">
        <f t="shared" si="4"/>
        <v>NF</v>
      </c>
      <c r="L1867" s="42" t="str">
        <v>NF0403</v>
      </c>
      <c r="M1867" s="121" t="str">
        <v/>
      </c>
      <c r="N1867" s="121" t="str">
        <v/>
      </c>
      <c r="O1867" s="121" t="str">
        <v/>
      </c>
      <c r="P1867" s="121" t="str">
        <v/>
      </c>
      <c r="Q1867" s="121" t="str">
        <v/>
      </c>
      <c r="R1867" s="121" t="str">
        <v/>
      </c>
      <c r="S1867" s="121" t="str">
        <v>Payment transactions</v>
      </c>
      <c r="T1867" s="119" t="str">
        <f>IF($C1867&lt;4,IF($C1867=3,T1868,IF($C1867=2,T$1,"")),Q1867&amp;R1867&amp;IF(LEN(S1867)=0,"",Preferences!$C$2&amp;S1867)&amp;IF(J1868=J1867,IF(LEN(R1867&amp;S1867)=0,"","
")&amp;T1868,""))</f>
        <v xml:space="preserve">	• Payment transactions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7" s="122" t="str">
        <v/>
      </c>
      <c r="V1867" s="42"/>
      <c r="W1867" s="42"/>
      <c r="X1867" s="42"/>
      <c r="Y1867" s="42"/>
      <c r="Z1867" s="42"/>
      <c r="AA1867" s="42"/>
      <c r="AB1867" s="42"/>
    </row>
    <row r="1868" spans="1:28" x14ac:dyDescent="0.25">
      <c r="A1868" s="42" t="str">
        <v>3.4.3.1.13</v>
      </c>
      <c r="B1868" s="121" t="str">
        <v>Temporary storage for supplier ad courier integration</v>
      </c>
      <c r="C1868" s="41">
        <v>5</v>
      </c>
      <c r="D1868" s="41" t="str">
        <v>RL</v>
      </c>
      <c r="E1868" s="117" t="str">
        <f t="shared" si="0"/>
        <v>RL</v>
      </c>
      <c r="F1868" s="41" t="str">
        <v/>
      </c>
      <c r="G1868" s="41" t="str">
        <v/>
      </c>
      <c r="H1868" s="117">
        <f t="shared" si="1"/>
        <v>0</v>
      </c>
      <c r="I1868" s="117">
        <f t="shared" si="2"/>
        <v>4</v>
      </c>
      <c r="J1868" s="117">
        <f t="shared" si="3"/>
        <v>4.0299999999999994</v>
      </c>
      <c r="K1868" s="117" t="str">
        <f t="shared" si="4"/>
        <v>NF</v>
      </c>
      <c r="L1868" s="42" t="str">
        <v>NF0403</v>
      </c>
      <c r="M1868" s="121" t="str">
        <v/>
      </c>
      <c r="N1868" s="121" t="str">
        <v/>
      </c>
      <c r="O1868" s="121" t="str">
        <v/>
      </c>
      <c r="P1868" s="121" t="str">
        <v/>
      </c>
      <c r="Q1868" s="121" t="str">
        <v/>
      </c>
      <c r="R1868" s="121" t="str">
        <v/>
      </c>
      <c r="S1868" s="121" t="str">
        <v>Temporary storage for supplier ad courier integration</v>
      </c>
      <c r="T1868" s="119" t="str">
        <f>IF($C1868&lt;4,IF($C1868=3,T1869,IF($C1868=2,T$1,"")),Q1868&amp;R1868&amp;IF(LEN(S1868)=0,"",Preferences!$C$2&amp;S1868)&amp;IF(J1869=J1868,IF(LEN(R1868&amp;S1868)=0,"","
")&amp;T1869,""))</f>
        <v xml:space="preserve">	• Temporary storage for supplier ad courier integration
 2. Additional storage will be required for the following:
	• Transpharm call centre infrastructure, where the new call centre will be hosted (up-scale over time)
	• Financial accounting
	• Financial transactions
 3. Articles may be retained indefinitely, or a number of years.</v>
      </c>
      <c r="U1868" s="122" t="str">
        <v/>
      </c>
      <c r="V1868" s="42"/>
      <c r="W1868" s="42"/>
      <c r="X1868" s="42"/>
      <c r="Y1868" s="42"/>
      <c r="Z1868" s="42"/>
      <c r="AA1868" s="42"/>
      <c r="AB1868" s="42"/>
    </row>
    <row r="1869" spans="1:28" x14ac:dyDescent="0.25">
      <c r="A1869" s="42" t="str">
        <v>3.4.3.2</v>
      </c>
      <c r="B1869" s="121" t="str">
        <v>Additional storage will be required for the following:</v>
      </c>
      <c r="C1869" s="41">
        <v>4</v>
      </c>
      <c r="D1869" s="41" t="str">
        <v>RD</v>
      </c>
      <c r="E1869" s="117" t="str">
        <f t="shared" si="0"/>
        <v>RD</v>
      </c>
      <c r="F1869" s="41" t="str">
        <v/>
      </c>
      <c r="G1869" s="41" t="str">
        <v/>
      </c>
      <c r="H1869" s="117">
        <f t="shared" si="1"/>
        <v>0</v>
      </c>
      <c r="I1869" s="117">
        <f t="shared" si="2"/>
        <v>4</v>
      </c>
      <c r="J1869" s="117">
        <f t="shared" si="3"/>
        <v>4.0299999999999994</v>
      </c>
      <c r="K1869" s="117" t="str">
        <f t="shared" si="4"/>
        <v>NF</v>
      </c>
      <c r="L1869" s="42" t="str">
        <v>NF0403</v>
      </c>
      <c r="M1869" s="121" t="str">
        <v/>
      </c>
      <c r="N1869" s="121" t="str">
        <v/>
      </c>
      <c r="O1869" s="121" t="str">
        <v/>
      </c>
      <c r="P1869" s="121" t="str">
        <v/>
      </c>
      <c r="Q1869" s="121" t="str">
        <v xml:space="preserve"> 2. </v>
      </c>
      <c r="R1869" s="121" t="str">
        <v>Additional storage will be required for the following:</v>
      </c>
      <c r="S1869" s="121" t="str">
        <v/>
      </c>
      <c r="T1869" s="119" t="str">
        <f>IF($C1869&lt;4,IF($C1869=3,T1870,IF($C1869=2,T$1,"")),Q1869&amp;R1869&amp;IF(LEN(S1869)=0,"",Preferences!$C$2&amp;S1869)&amp;IF(J1870=J1869,IF(LEN(R1869&amp;S1869)=0,"","
")&amp;T1870,""))</f>
        <v xml:space="preserve"> 2. Additional storage will be required for the following:
	• Transpharm call centre infrastructure, where the new call centre will be hosted (up-scale over time)
	• Financial accounting
	• Financial transactions
 3. Articles may be retained indefinitely, or a number of years.</v>
      </c>
      <c r="U1869" s="122" t="str">
        <v/>
      </c>
      <c r="V1869" s="42"/>
      <c r="W1869" s="42"/>
      <c r="X1869" s="42"/>
      <c r="Y1869" s="42"/>
      <c r="Z1869" s="42"/>
      <c r="AA1869" s="42"/>
      <c r="AB1869" s="42"/>
    </row>
    <row r="1870" spans="1:28" x14ac:dyDescent="0.25">
      <c r="A1870" s="42" t="str">
        <v>3.4.3.2.1</v>
      </c>
      <c r="B1870" s="121" t="str">
        <v>Transpharm call centre infrastructure, where the new call centre will be hosted (up-scale over time)</v>
      </c>
      <c r="C1870" s="41">
        <v>5</v>
      </c>
      <c r="D1870" s="41" t="str">
        <v>RL</v>
      </c>
      <c r="E1870" s="117" t="str">
        <f t="shared" si="0"/>
        <v>RL</v>
      </c>
      <c r="F1870" s="41" t="str">
        <v/>
      </c>
      <c r="G1870" s="41" t="str">
        <v/>
      </c>
      <c r="H1870" s="117">
        <f t="shared" si="1"/>
        <v>0</v>
      </c>
      <c r="I1870" s="117">
        <f t="shared" si="2"/>
        <v>4</v>
      </c>
      <c r="J1870" s="117">
        <f t="shared" si="3"/>
        <v>4.0299999999999994</v>
      </c>
      <c r="K1870" s="117" t="str">
        <f t="shared" si="4"/>
        <v>NF</v>
      </c>
      <c r="L1870" s="42" t="str">
        <v>NF0403</v>
      </c>
      <c r="M1870" s="121" t="str">
        <v/>
      </c>
      <c r="N1870" s="121" t="str">
        <v/>
      </c>
      <c r="O1870" s="121" t="str">
        <v/>
      </c>
      <c r="P1870" s="121" t="str">
        <v/>
      </c>
      <c r="Q1870" s="121" t="str">
        <v/>
      </c>
      <c r="R1870" s="121" t="str">
        <v/>
      </c>
      <c r="S1870" s="121" t="str">
        <v>Transpharm call centre infrastructure, where the new call centre will be hosted (up-scale over time)</v>
      </c>
      <c r="T1870" s="119" t="str">
        <f>IF($C1870&lt;4,IF($C1870=3,T1871,IF($C1870=2,T$1,"")),Q1870&amp;R1870&amp;IF(LEN(S1870)=0,"",Preferences!$C$2&amp;S1870)&amp;IF(J1871=J1870,IF(LEN(R1870&amp;S1870)=0,"","
")&amp;T1871,""))</f>
        <v xml:space="preserve">	• Transpharm call centre infrastructure, where the new call centre will be hosted (up-scale over time)
	• Financial accounting
	• Financial transactions
 3. Articles may be retained indefinitely, or a number of years.</v>
      </c>
      <c r="U1870" s="122" t="str">
        <v/>
      </c>
      <c r="V1870" s="42"/>
      <c r="W1870" s="42"/>
      <c r="X1870" s="42"/>
      <c r="Y1870" s="42"/>
      <c r="Z1870" s="42"/>
      <c r="AA1870" s="42"/>
      <c r="AB1870" s="42"/>
    </row>
    <row r="1871" spans="1:28" x14ac:dyDescent="0.25">
      <c r="A1871" s="42" t="str">
        <v>3.4.3.2.2</v>
      </c>
      <c r="B1871" s="121" t="str">
        <v>Financial accounting</v>
      </c>
      <c r="C1871" s="41">
        <v>5</v>
      </c>
      <c r="D1871" s="41" t="str">
        <v>RL</v>
      </c>
      <c r="E1871" s="117" t="str">
        <f t="shared" si="0"/>
        <v>RL</v>
      </c>
      <c r="F1871" s="41" t="str">
        <v/>
      </c>
      <c r="G1871" s="41" t="str">
        <v/>
      </c>
      <c r="H1871" s="117">
        <f t="shared" si="1"/>
        <v>0</v>
      </c>
      <c r="I1871" s="117">
        <f t="shared" si="2"/>
        <v>4</v>
      </c>
      <c r="J1871" s="117">
        <f t="shared" si="3"/>
        <v>4.0299999999999994</v>
      </c>
      <c r="K1871" s="117" t="str">
        <f t="shared" si="4"/>
        <v>NF</v>
      </c>
      <c r="L1871" s="42" t="str">
        <v>NF0403</v>
      </c>
      <c r="M1871" s="121" t="str">
        <v/>
      </c>
      <c r="N1871" s="121" t="str">
        <v/>
      </c>
      <c r="O1871" s="121" t="str">
        <v/>
      </c>
      <c r="P1871" s="121" t="str">
        <v/>
      </c>
      <c r="Q1871" s="121" t="str">
        <v/>
      </c>
      <c r="R1871" s="121" t="str">
        <v/>
      </c>
      <c r="S1871" s="121" t="str">
        <v>Financial accounting</v>
      </c>
      <c r="T1871" s="119" t="str">
        <f>IF($C1871&lt;4,IF($C1871=3,T1872,IF($C1871=2,T$1,"")),Q1871&amp;R1871&amp;IF(LEN(S1871)=0,"",Preferences!$C$2&amp;S1871)&amp;IF(J1872=J1871,IF(LEN(R1871&amp;S1871)=0,"","
")&amp;T1872,""))</f>
        <v xml:space="preserve">	• Financial accounting
	• Financial transactions
 3. Articles may be retained indefinitely, or a number of years.</v>
      </c>
      <c r="U1871" s="122" t="str">
        <v/>
      </c>
      <c r="V1871" s="42"/>
      <c r="W1871" s="42"/>
      <c r="X1871" s="42"/>
      <c r="Y1871" s="42"/>
      <c r="Z1871" s="42"/>
      <c r="AA1871" s="42"/>
      <c r="AB1871" s="42"/>
    </row>
    <row r="1872" spans="1:28" x14ac:dyDescent="0.25">
      <c r="A1872" s="42" t="str">
        <v>3.4.3.2.3</v>
      </c>
      <c r="B1872" s="121" t="str">
        <v>Financial transactions</v>
      </c>
      <c r="C1872" s="41">
        <v>5</v>
      </c>
      <c r="D1872" s="41" t="str">
        <v>RL</v>
      </c>
      <c r="E1872" s="117" t="str">
        <f t="shared" si="0"/>
        <v>RL</v>
      </c>
      <c r="F1872" s="41" t="str">
        <v/>
      </c>
      <c r="G1872" s="41" t="str">
        <v/>
      </c>
      <c r="H1872" s="117">
        <f t="shared" si="1"/>
        <v>0</v>
      </c>
      <c r="I1872" s="117">
        <f t="shared" si="2"/>
        <v>4</v>
      </c>
      <c r="J1872" s="117">
        <f t="shared" si="3"/>
        <v>4.0299999999999994</v>
      </c>
      <c r="K1872" s="117" t="str">
        <f t="shared" si="4"/>
        <v>NF</v>
      </c>
      <c r="L1872" s="42" t="str">
        <v>NF0403</v>
      </c>
      <c r="M1872" s="121" t="str">
        <v/>
      </c>
      <c r="N1872" s="121" t="str">
        <v/>
      </c>
      <c r="O1872" s="121" t="str">
        <v/>
      </c>
      <c r="P1872" s="121" t="str">
        <v/>
      </c>
      <c r="Q1872" s="121" t="str">
        <v/>
      </c>
      <c r="R1872" s="121" t="str">
        <v/>
      </c>
      <c r="S1872" s="121" t="str">
        <v>Financial transactions</v>
      </c>
      <c r="T1872" s="119" t="str">
        <f>IF($C1872&lt;4,IF($C1872=3,T1873,IF($C1872=2,T$1,"")),Q1872&amp;R1872&amp;IF(LEN(S1872)=0,"",Preferences!$C$2&amp;S1872)&amp;IF(J1873=J1872,IF(LEN(R1872&amp;S1872)=0,"","
")&amp;T1873,""))</f>
        <v xml:space="preserve">	• Financial transactions
 3. Articles may be retained indefinitely, or a number of years.</v>
      </c>
      <c r="U1872" s="122" t="str">
        <v/>
      </c>
      <c r="V1872" s="42"/>
      <c r="W1872" s="42"/>
      <c r="X1872" s="42"/>
      <c r="Y1872" s="42"/>
      <c r="Z1872" s="42"/>
      <c r="AA1872" s="42"/>
      <c r="AB1872" s="42"/>
    </row>
    <row r="1873" spans="1:28" x14ac:dyDescent="0.25">
      <c r="A1873" s="42" t="str">
        <v>3.4.3.3</v>
      </c>
      <c r="B1873" s="121" t="str">
        <v>Articles may be retained indefinitely, or a number of years.</v>
      </c>
      <c r="C1873" s="41">
        <v>4</v>
      </c>
      <c r="D1873" s="41" t="str">
        <v>RD</v>
      </c>
      <c r="E1873" s="117" t="str">
        <f t="shared" si="0"/>
        <v>RD</v>
      </c>
      <c r="F1873" s="41" t="str">
        <v/>
      </c>
      <c r="G1873" s="41" t="str">
        <v/>
      </c>
      <c r="H1873" s="117">
        <f t="shared" si="1"/>
        <v>0</v>
      </c>
      <c r="I1873" s="117">
        <f t="shared" si="2"/>
        <v>4</v>
      </c>
      <c r="J1873" s="117">
        <f t="shared" si="3"/>
        <v>4.0299999999999994</v>
      </c>
      <c r="K1873" s="117" t="str">
        <f t="shared" si="4"/>
        <v>NF</v>
      </c>
      <c r="L1873" s="42" t="str">
        <v>NF0403</v>
      </c>
      <c r="M1873" s="121" t="str">
        <v/>
      </c>
      <c r="N1873" s="121" t="str">
        <v/>
      </c>
      <c r="O1873" s="121" t="str">
        <v/>
      </c>
      <c r="P1873" s="121" t="str">
        <v/>
      </c>
      <c r="Q1873" s="121" t="str">
        <v xml:space="preserve"> 3. </v>
      </c>
      <c r="R1873" s="121" t="str">
        <v>Articles may be retained indefinitely, or a number of years.</v>
      </c>
      <c r="S1873" s="121" t="str">
        <v/>
      </c>
      <c r="T1873" s="119" t="str">
        <f>IF($C1873&lt;4,IF($C1873=3,T1874,IF($C1873=2,T$1,"")),Q1873&amp;R1873&amp;IF(LEN(S1873)=0,"",Preferences!$C$2&amp;S1873)&amp;IF(J1874=J1873,IF(LEN(R1873&amp;S1873)=0,"","
")&amp;T1874,""))</f>
        <v xml:space="preserve"> 3. Articles may be retained indefinitely, or a number of years.</v>
      </c>
      <c r="U1873" s="122" t="str">
        <v/>
      </c>
      <c r="V1873" s="42"/>
      <c r="W1873" s="42"/>
      <c r="X1873" s="42"/>
      <c r="Y1873" s="42"/>
      <c r="Z1873" s="42"/>
      <c r="AA1873" s="42"/>
      <c r="AB1873" s="42"/>
    </row>
    <row r="1874" spans="1:28" x14ac:dyDescent="0.25">
      <c r="A1874" s="42" t="str">
        <v>3.4.4</v>
      </c>
      <c r="B1874" s="121" t="str">
        <v>4.4 Usability and Channel requirements</v>
      </c>
      <c r="C1874" s="41">
        <v>3</v>
      </c>
      <c r="D1874" s="41" t="str">
        <v>R</v>
      </c>
      <c r="E1874" s="117" t="str">
        <f t="shared" si="0"/>
        <v>R</v>
      </c>
      <c r="F1874" s="41" t="str">
        <v/>
      </c>
      <c r="G1874" s="41" t="str">
        <v/>
      </c>
      <c r="H1874" s="117">
        <f t="shared" si="1"/>
        <v>0</v>
      </c>
      <c r="I1874" s="117">
        <f t="shared" si="2"/>
        <v>4</v>
      </c>
      <c r="J1874" s="117">
        <f t="shared" si="3"/>
        <v>4.0399999999999991</v>
      </c>
      <c r="K1874" s="117" t="str">
        <f t="shared" si="4"/>
        <v>NF</v>
      </c>
      <c r="L1874" s="42" t="str">
        <v>NF0404</v>
      </c>
      <c r="M1874" s="121" t="str">
        <v/>
      </c>
      <c r="N1874" s="121" t="str">
        <v/>
      </c>
      <c r="O1874" s="121" t="str">
        <v>NF0404</v>
      </c>
      <c r="P1874" s="121" t="str">
        <v>Usability and Channel requirements</v>
      </c>
      <c r="Q1874" s="121" t="str">
        <v/>
      </c>
      <c r="R1874" s="121" t="str">
        <v/>
      </c>
      <c r="S1874" s="121" t="str">
        <v/>
      </c>
      <c r="T1874" s="119" t="str">
        <f>IF($C1874&lt;4,IF($C1874=3,T1875,IF($C1874=2,T$1,"")),Q1874&amp;R1874&amp;IF(LEN(S1874)=0,"",Preferences!$C$2&amp;S1874)&amp;IF(J1875=J1874,IF(LEN(R1874&amp;S1874)=0,"","
")&amp;T1875,""))</f>
        <v xml:space="preserve"> 1. Initially, the online shop will only be available as a website.
 2. Communication with customers may be added via WhatsApp.
 3. The online shop must use language that is easy to understand for its intended audience and demographics.</v>
      </c>
      <c r="U1874" s="122" t="str">
        <v/>
      </c>
      <c r="V1874" s="42"/>
      <c r="W1874" s="42"/>
      <c r="X1874" s="42"/>
      <c r="Y1874" s="42"/>
      <c r="Z1874" s="42"/>
      <c r="AA1874" s="42"/>
      <c r="AB1874" s="42"/>
    </row>
    <row r="1875" spans="1:28" x14ac:dyDescent="0.25">
      <c r="A1875" s="42" t="str">
        <v>3.4.4.1</v>
      </c>
      <c r="B1875" s="121" t="str">
        <v>Initially, the online shop will only be available as a website.</v>
      </c>
      <c r="C1875" s="41">
        <v>4</v>
      </c>
      <c r="D1875" s="41" t="str">
        <v>RD</v>
      </c>
      <c r="E1875" s="117" t="str">
        <f t="shared" si="0"/>
        <v>RD</v>
      </c>
      <c r="F1875" s="41" t="str">
        <v/>
      </c>
      <c r="G1875" s="41" t="str">
        <v/>
      </c>
      <c r="H1875" s="117">
        <f t="shared" si="1"/>
        <v>0</v>
      </c>
      <c r="I1875" s="117">
        <f t="shared" si="2"/>
        <v>4</v>
      </c>
      <c r="J1875" s="117">
        <f t="shared" si="3"/>
        <v>4.0399999999999991</v>
      </c>
      <c r="K1875" s="117" t="str">
        <f t="shared" si="4"/>
        <v>NF</v>
      </c>
      <c r="L1875" s="42" t="str">
        <v>NF0404</v>
      </c>
      <c r="M1875" s="121" t="str">
        <v/>
      </c>
      <c r="N1875" s="121" t="str">
        <v/>
      </c>
      <c r="O1875" s="121" t="str">
        <v/>
      </c>
      <c r="P1875" s="121" t="str">
        <v/>
      </c>
      <c r="Q1875" s="121" t="str">
        <v xml:space="preserve"> 1. </v>
      </c>
      <c r="R1875" s="121" t="str">
        <v>Initially, the online shop will only be available as a website.</v>
      </c>
      <c r="S1875" s="121" t="str">
        <v/>
      </c>
      <c r="T1875" s="119" t="str">
        <f>IF($C1875&lt;4,IF($C1875=3,T1876,IF($C1875=2,T$1,"")),Q1875&amp;R1875&amp;IF(LEN(S1875)=0,"",Preferences!$C$2&amp;S1875)&amp;IF(J1876=J1875,IF(LEN(R1875&amp;S1875)=0,"","
")&amp;T1876,""))</f>
        <v xml:space="preserve"> 1. Initially, the online shop will only be available as a website.
 2. Communication with customers may be added via WhatsApp.
 3. The online shop must use language that is easy to understand for its intended audience and demographics.</v>
      </c>
      <c r="U1875" s="122" t="str">
        <v/>
      </c>
      <c r="V1875" s="42"/>
      <c r="W1875" s="42"/>
      <c r="X1875" s="42"/>
      <c r="Y1875" s="42"/>
      <c r="Z1875" s="42"/>
      <c r="AA1875" s="42"/>
      <c r="AB1875" s="42"/>
    </row>
    <row r="1876" spans="1:28" x14ac:dyDescent="0.25">
      <c r="A1876" s="42" t="str">
        <v>3.4.4.2</v>
      </c>
      <c r="B1876" s="121" t="str">
        <v>Communication with customers may be added via WhatsApp.</v>
      </c>
      <c r="C1876" s="41">
        <v>4</v>
      </c>
      <c r="D1876" s="41" t="str">
        <v>RD</v>
      </c>
      <c r="E1876" s="117" t="str">
        <f t="shared" si="0"/>
        <v>RD</v>
      </c>
      <c r="F1876" s="41" t="str">
        <v/>
      </c>
      <c r="G1876" s="41" t="str">
        <v/>
      </c>
      <c r="H1876" s="117">
        <f t="shared" si="1"/>
        <v>0</v>
      </c>
      <c r="I1876" s="117">
        <f t="shared" si="2"/>
        <v>4</v>
      </c>
      <c r="J1876" s="117">
        <f t="shared" si="3"/>
        <v>4.0399999999999991</v>
      </c>
      <c r="K1876" s="117" t="str">
        <f t="shared" si="4"/>
        <v>NF</v>
      </c>
      <c r="L1876" s="42" t="str">
        <v>NF0404</v>
      </c>
      <c r="M1876" s="121" t="str">
        <v/>
      </c>
      <c r="N1876" s="121" t="str">
        <v/>
      </c>
      <c r="O1876" s="121" t="str">
        <v/>
      </c>
      <c r="P1876" s="121" t="str">
        <v/>
      </c>
      <c r="Q1876" s="121" t="str">
        <v xml:space="preserve"> 2. </v>
      </c>
      <c r="R1876" s="121" t="str">
        <v>Communication with customers may be added via WhatsApp.</v>
      </c>
      <c r="S1876" s="121" t="str">
        <v/>
      </c>
      <c r="T1876" s="119" t="str">
        <f>IF($C1876&lt;4,IF($C1876=3,T1877,IF($C1876=2,T$1,"")),Q1876&amp;R1876&amp;IF(LEN(S1876)=0,"",Preferences!$C$2&amp;S1876)&amp;IF(J1877=J1876,IF(LEN(R1876&amp;S1876)=0,"","
")&amp;T1877,""))</f>
        <v xml:space="preserve"> 2. Communication with customers may be added via WhatsApp.
 3. The online shop must use language that is easy to understand for its intended audience and demographics.</v>
      </c>
      <c r="U1876" s="122" t="str">
        <v/>
      </c>
      <c r="V1876" s="42"/>
      <c r="W1876" s="42"/>
      <c r="X1876" s="42"/>
      <c r="Y1876" s="42"/>
      <c r="Z1876" s="42"/>
      <c r="AA1876" s="42"/>
      <c r="AB1876" s="42"/>
    </row>
    <row r="1877" spans="1:28" x14ac:dyDescent="0.25">
      <c r="A1877" s="42" t="str">
        <v>3.4.4.3</v>
      </c>
      <c r="B1877" s="121" t="str">
        <v>The online shop must use language that is easy to understand for its intended audience and demographics.</v>
      </c>
      <c r="C1877" s="41">
        <v>4</v>
      </c>
      <c r="D1877" s="41" t="str">
        <v>RD</v>
      </c>
      <c r="E1877" s="117" t="str">
        <f t="shared" si="0"/>
        <v>RD</v>
      </c>
      <c r="F1877" s="41" t="str">
        <v/>
      </c>
      <c r="G1877" s="41" t="str">
        <v/>
      </c>
      <c r="H1877" s="117">
        <f t="shared" si="1"/>
        <v>0</v>
      </c>
      <c r="I1877" s="117">
        <f t="shared" si="2"/>
        <v>4</v>
      </c>
      <c r="J1877" s="117">
        <f t="shared" si="3"/>
        <v>4.0399999999999991</v>
      </c>
      <c r="K1877" s="117" t="str">
        <f t="shared" si="4"/>
        <v>NF</v>
      </c>
      <c r="L1877" s="42" t="str">
        <v>NF0404</v>
      </c>
      <c r="M1877" s="121" t="str">
        <v/>
      </c>
      <c r="N1877" s="121" t="str">
        <v/>
      </c>
      <c r="O1877" s="121" t="str">
        <v/>
      </c>
      <c r="P1877" s="121" t="str">
        <v/>
      </c>
      <c r="Q1877" s="121" t="str">
        <v xml:space="preserve"> 3. </v>
      </c>
      <c r="R1877" s="121" t="str">
        <v>The online shop must use language that is easy to understand for its intended audience and demographics.</v>
      </c>
      <c r="S1877" s="121" t="str">
        <v/>
      </c>
      <c r="T1877" s="119" t="str">
        <f>IF($C1877&lt;4,IF($C1877=3,T1878,IF($C1877=2,T$1,"")),Q1877&amp;R1877&amp;IF(LEN(S1877)=0,"",Preferences!$C$2&amp;S1877)&amp;IF(J1878=J1877,IF(LEN(R1877&amp;S1877)=0,"","
")&amp;T1878,""))</f>
        <v xml:space="preserve"> 3. The online shop must use language that is easy to understand for its intended audience and demographics.</v>
      </c>
      <c r="U1877" s="122" t="str">
        <v/>
      </c>
      <c r="V1877" s="42"/>
      <c r="W1877" s="42"/>
      <c r="X1877" s="42"/>
      <c r="Y1877" s="42"/>
      <c r="Z1877" s="42"/>
      <c r="AA1877" s="42"/>
      <c r="AB1877" s="42"/>
    </row>
    <row r="1878" spans="1:28" x14ac:dyDescent="0.25">
      <c r="A1878" s="42" t="str">
        <v>3.4.5</v>
      </c>
      <c r="B1878" s="121" t="str">
        <v>4.5 Styling</v>
      </c>
      <c r="C1878" s="41">
        <v>3</v>
      </c>
      <c r="D1878" s="41" t="str">
        <v>R</v>
      </c>
      <c r="E1878" s="117" t="str">
        <f t="shared" si="0"/>
        <v>R</v>
      </c>
      <c r="F1878" s="41" t="str">
        <v/>
      </c>
      <c r="G1878" s="41" t="str">
        <v/>
      </c>
      <c r="H1878" s="117">
        <f t="shared" si="1"/>
        <v>0</v>
      </c>
      <c r="I1878" s="117">
        <f t="shared" si="2"/>
        <v>4</v>
      </c>
      <c r="J1878" s="117">
        <f t="shared" si="3"/>
        <v>4.0499999999999989</v>
      </c>
      <c r="K1878" s="117" t="str">
        <f t="shared" si="4"/>
        <v>NF</v>
      </c>
      <c r="L1878" s="42" t="str">
        <v>NF0405</v>
      </c>
      <c r="M1878" s="121" t="str">
        <v/>
      </c>
      <c r="N1878" s="121" t="str">
        <v/>
      </c>
      <c r="O1878" s="121" t="str">
        <v>NF0405</v>
      </c>
      <c r="P1878" s="121" t="str">
        <v>Styling</v>
      </c>
      <c r="Q1878" s="121" t="str">
        <v/>
      </c>
      <c r="R1878" s="121" t="str">
        <v/>
      </c>
      <c r="S1878" s="121" t="str">
        <v/>
      </c>
      <c r="T1878" s="119" t="str">
        <f>IF($C1878&lt;4,IF($C1878=3,T1879,IF($C1878=2,T$1,"")),Q1878&amp;R1878&amp;IF(LEN(S1878)=0,"",Preferences!$C$2&amp;S1878)&amp;IF(J1879=J1878,IF(LEN(R1878&amp;S1878)=0,"","
")&amp;T1879,""))</f>
        <v xml:space="preserve"> 1. The online shop must be clearly branded to differentiate the business.
 2. The online store must apply modern styling standards, methods and technologies to ensure it is:
	• Easy and intuitive to use
	• Quick to load
	• Responsive to different display form factors (phone, tablet, pc)</v>
      </c>
      <c r="U1878" s="122" t="str">
        <v/>
      </c>
      <c r="V1878" s="42"/>
      <c r="W1878" s="42"/>
      <c r="X1878" s="42"/>
      <c r="Y1878" s="42"/>
      <c r="Z1878" s="42"/>
      <c r="AA1878" s="42"/>
      <c r="AB1878" s="42"/>
    </row>
    <row r="1879" spans="1:28" x14ac:dyDescent="0.25">
      <c r="A1879" s="42" t="str">
        <v>3.4.5.1</v>
      </c>
      <c r="B1879" s="121" t="str">
        <v>The online shop must be clearly branded to differentiate the business.</v>
      </c>
      <c r="C1879" s="41">
        <v>4</v>
      </c>
      <c r="D1879" s="41" t="str">
        <v>RD</v>
      </c>
      <c r="E1879" s="117" t="str">
        <f t="shared" si="0"/>
        <v>RD</v>
      </c>
      <c r="F1879" s="41" t="str">
        <v/>
      </c>
      <c r="G1879" s="41" t="str">
        <v/>
      </c>
      <c r="H1879" s="117">
        <f t="shared" si="1"/>
        <v>0</v>
      </c>
      <c r="I1879" s="117">
        <f t="shared" si="2"/>
        <v>4</v>
      </c>
      <c r="J1879" s="117">
        <f t="shared" si="3"/>
        <v>4.0499999999999989</v>
      </c>
      <c r="K1879" s="117" t="str">
        <f t="shared" si="4"/>
        <v>NF</v>
      </c>
      <c r="L1879" s="42" t="str">
        <v>NF0405</v>
      </c>
      <c r="M1879" s="121" t="str">
        <v/>
      </c>
      <c r="N1879" s="121" t="str">
        <v/>
      </c>
      <c r="O1879" s="121" t="str">
        <v/>
      </c>
      <c r="P1879" s="121" t="str">
        <v/>
      </c>
      <c r="Q1879" s="121" t="str">
        <v xml:space="preserve"> 1. </v>
      </c>
      <c r="R1879" s="121" t="str">
        <v>The online shop must be clearly branded to differentiate the business.</v>
      </c>
      <c r="S1879" s="121" t="str">
        <v/>
      </c>
      <c r="T1879" s="119" t="str">
        <f>IF($C1879&lt;4,IF($C1879=3,T1880,IF($C1879=2,T$1,"")),Q1879&amp;R1879&amp;IF(LEN(S1879)=0,"",Preferences!$C$2&amp;S1879)&amp;IF(J1880=J1879,IF(LEN(R1879&amp;S1879)=0,"","
")&amp;T1880,""))</f>
        <v xml:space="preserve"> 1. The online shop must be clearly branded to differentiate the business.
 2. The online store must apply modern styling standards, methods and technologies to ensure it is:
	• Easy and intuitive to use
	• Quick to load
	• Responsive to different display form factors (phone, tablet, pc)</v>
      </c>
      <c r="U1879" s="122" t="str">
        <v/>
      </c>
      <c r="V1879" s="42"/>
      <c r="W1879" s="42"/>
      <c r="X1879" s="42"/>
      <c r="Y1879" s="42"/>
      <c r="Z1879" s="42"/>
      <c r="AA1879" s="42"/>
      <c r="AB1879" s="42"/>
    </row>
    <row r="1880" spans="1:28" x14ac:dyDescent="0.25">
      <c r="A1880" s="42" t="str">
        <v>3.4.5.2</v>
      </c>
      <c r="B1880" s="121" t="str">
        <v>The online store must apply modern styling standards, methods and technologies to ensure it is:</v>
      </c>
      <c r="C1880" s="41">
        <v>4</v>
      </c>
      <c r="D1880" s="41" t="str">
        <v>RD</v>
      </c>
      <c r="E1880" s="117" t="str">
        <f t="shared" si="0"/>
        <v>RD</v>
      </c>
      <c r="F1880" s="41" t="str">
        <v/>
      </c>
      <c r="G1880" s="41" t="str">
        <v/>
      </c>
      <c r="H1880" s="117">
        <f t="shared" si="1"/>
        <v>0</v>
      </c>
      <c r="I1880" s="117">
        <f t="shared" si="2"/>
        <v>4</v>
      </c>
      <c r="J1880" s="117">
        <f t="shared" si="3"/>
        <v>4.0499999999999989</v>
      </c>
      <c r="K1880" s="117" t="str">
        <f t="shared" si="4"/>
        <v>NF</v>
      </c>
      <c r="L1880" s="42" t="str">
        <v>NF0405</v>
      </c>
      <c r="M1880" s="121" t="str">
        <v/>
      </c>
      <c r="N1880" s="121" t="str">
        <v/>
      </c>
      <c r="O1880" s="121" t="str">
        <v/>
      </c>
      <c r="P1880" s="121" t="str">
        <v/>
      </c>
      <c r="Q1880" s="121" t="str">
        <v xml:space="preserve"> 2. </v>
      </c>
      <c r="R1880" s="121" t="str">
        <v>The online store must apply modern styling standards, methods and technologies to ensure it is:</v>
      </c>
      <c r="S1880" s="121" t="str">
        <v/>
      </c>
      <c r="T1880" s="119" t="str">
        <f>IF($C1880&lt;4,IF($C1880=3,T1881,IF($C1880=2,T$1,"")),Q1880&amp;R1880&amp;IF(LEN(S1880)=0,"",Preferences!$C$2&amp;S1880)&amp;IF(J1881=J1880,IF(LEN(R1880&amp;S1880)=0,"","
")&amp;T1881,""))</f>
        <v xml:space="preserve"> 2. The online store must apply modern styling standards, methods and technologies to ensure it is:
	• Easy and intuitive to use
	• Quick to load
	• Responsive to different display form factors (phone, tablet, pc)</v>
      </c>
      <c r="U1880" s="122" t="str">
        <v/>
      </c>
      <c r="V1880" s="42"/>
      <c r="W1880" s="42"/>
      <c r="X1880" s="42"/>
      <c r="Y1880" s="42"/>
      <c r="Z1880" s="42"/>
      <c r="AA1880" s="42"/>
      <c r="AB1880" s="42"/>
    </row>
    <row r="1881" spans="1:28" x14ac:dyDescent="0.25">
      <c r="A1881" s="42" t="str">
        <v>3.4.5.2.1</v>
      </c>
      <c r="B1881" s="121" t="str">
        <v>Easy and intuitive to use</v>
      </c>
      <c r="C1881" s="41">
        <v>5</v>
      </c>
      <c r="D1881" s="41" t="str">
        <v>RL</v>
      </c>
      <c r="E1881" s="117" t="str">
        <f t="shared" si="0"/>
        <v>RL</v>
      </c>
      <c r="F1881" s="41" t="str">
        <v/>
      </c>
      <c r="G1881" s="41" t="str">
        <v/>
      </c>
      <c r="H1881" s="117">
        <f t="shared" si="1"/>
        <v>0</v>
      </c>
      <c r="I1881" s="117">
        <f t="shared" si="2"/>
        <v>4</v>
      </c>
      <c r="J1881" s="117">
        <f t="shared" si="3"/>
        <v>4.0499999999999989</v>
      </c>
      <c r="K1881" s="117" t="str">
        <f t="shared" si="4"/>
        <v>NF</v>
      </c>
      <c r="L1881" s="42" t="str">
        <v>NF0405</v>
      </c>
      <c r="M1881" s="121" t="str">
        <v/>
      </c>
      <c r="N1881" s="121" t="str">
        <v/>
      </c>
      <c r="O1881" s="121" t="str">
        <v/>
      </c>
      <c r="P1881" s="121" t="str">
        <v/>
      </c>
      <c r="Q1881" s="121" t="str">
        <v/>
      </c>
      <c r="R1881" s="121" t="str">
        <v/>
      </c>
      <c r="S1881" s="121" t="str">
        <v>Easy and intuitive to use</v>
      </c>
      <c r="T1881" s="119" t="str">
        <f>IF($C1881&lt;4,IF($C1881=3,T1882,IF($C1881=2,T$1,"")),Q1881&amp;R1881&amp;IF(LEN(S1881)=0,"",Preferences!$C$2&amp;S1881)&amp;IF(J1882=J1881,IF(LEN(R1881&amp;S1881)=0,"","
")&amp;T1882,""))</f>
        <v xml:space="preserve">	• Easy and intuitive to use
	• Quick to load
	• Responsive to different display form factors (phone, tablet, pc)</v>
      </c>
      <c r="U1881" s="122" t="str">
        <v/>
      </c>
      <c r="V1881" s="42"/>
      <c r="W1881" s="42"/>
      <c r="X1881" s="42"/>
      <c r="Y1881" s="42"/>
      <c r="Z1881" s="42"/>
      <c r="AA1881" s="42"/>
      <c r="AB1881" s="42"/>
    </row>
    <row r="1882" spans="1:28" x14ac:dyDescent="0.25">
      <c r="A1882" s="42" t="str">
        <v>3.4.5.2.2</v>
      </c>
      <c r="B1882" s="121" t="str">
        <v>Quick to load</v>
      </c>
      <c r="C1882" s="41">
        <v>5</v>
      </c>
      <c r="D1882" s="41" t="str">
        <v>RL</v>
      </c>
      <c r="E1882" s="117" t="str">
        <f t="shared" si="0"/>
        <v>RL</v>
      </c>
      <c r="F1882" s="41" t="str">
        <v/>
      </c>
      <c r="G1882" s="41" t="str">
        <v/>
      </c>
      <c r="H1882" s="117">
        <f t="shared" si="1"/>
        <v>0</v>
      </c>
      <c r="I1882" s="117">
        <f t="shared" si="2"/>
        <v>4</v>
      </c>
      <c r="J1882" s="117">
        <f t="shared" si="3"/>
        <v>4.0499999999999989</v>
      </c>
      <c r="K1882" s="117" t="str">
        <f t="shared" si="4"/>
        <v>NF</v>
      </c>
      <c r="L1882" s="42" t="str">
        <v>NF0405</v>
      </c>
      <c r="M1882" s="121" t="str">
        <v/>
      </c>
      <c r="N1882" s="121" t="str">
        <v/>
      </c>
      <c r="O1882" s="121" t="str">
        <v/>
      </c>
      <c r="P1882" s="121" t="str">
        <v/>
      </c>
      <c r="Q1882" s="121" t="str">
        <v/>
      </c>
      <c r="R1882" s="121" t="str">
        <v/>
      </c>
      <c r="S1882" s="121" t="str">
        <v>Quick to load</v>
      </c>
      <c r="T1882" s="119" t="str">
        <f>IF($C1882&lt;4,IF($C1882=3,T1883,IF($C1882=2,T$1,"")),Q1882&amp;R1882&amp;IF(LEN(S1882)=0,"",Preferences!$C$2&amp;S1882)&amp;IF(J1883=J1882,IF(LEN(R1882&amp;S1882)=0,"","
")&amp;T1883,""))</f>
        <v xml:space="preserve">	• Quick to load
	• Responsive to different display form factors (phone, tablet, pc)</v>
      </c>
      <c r="U1882" s="122" t="str">
        <v/>
      </c>
      <c r="V1882" s="42"/>
      <c r="W1882" s="42"/>
      <c r="X1882" s="42"/>
      <c r="Y1882" s="42"/>
      <c r="Z1882" s="42"/>
      <c r="AA1882" s="42"/>
      <c r="AB1882" s="42"/>
    </row>
    <row r="1883" spans="1:28" x14ac:dyDescent="0.25">
      <c r="A1883" s="42" t="str">
        <v>3.4.5.2.3</v>
      </c>
      <c r="B1883" s="121" t="str">
        <v>Responsive to different display form factors (phone, tablet, pc)</v>
      </c>
      <c r="C1883" s="41">
        <v>5</v>
      </c>
      <c r="D1883" s="41" t="str">
        <v>RL</v>
      </c>
      <c r="E1883" s="117" t="str">
        <f t="shared" si="0"/>
        <v>RL</v>
      </c>
      <c r="F1883" s="41" t="str">
        <v/>
      </c>
      <c r="G1883" s="41" t="str">
        <v/>
      </c>
      <c r="H1883" s="117">
        <f t="shared" si="1"/>
        <v>0</v>
      </c>
      <c r="I1883" s="117">
        <f t="shared" si="2"/>
        <v>4</v>
      </c>
      <c r="J1883" s="117">
        <f t="shared" si="3"/>
        <v>4.0499999999999989</v>
      </c>
      <c r="K1883" s="117" t="str">
        <f t="shared" si="4"/>
        <v>NF</v>
      </c>
      <c r="L1883" s="42" t="str">
        <v>NF0405</v>
      </c>
      <c r="M1883" s="121" t="str">
        <v/>
      </c>
      <c r="N1883" s="121" t="str">
        <v/>
      </c>
      <c r="O1883" s="121" t="str">
        <v/>
      </c>
      <c r="P1883" s="121" t="str">
        <v/>
      </c>
      <c r="Q1883" s="121" t="str">
        <v/>
      </c>
      <c r="R1883" s="121" t="str">
        <v/>
      </c>
      <c r="S1883" s="121" t="str">
        <v>Responsive to different display form factors (phone, tablet, pc)</v>
      </c>
      <c r="T1883" s="119" t="str">
        <f>IF($C1883&lt;4,IF($C1883=3,T1884,IF($C1883=2,T$1,"")),Q1883&amp;R1883&amp;IF(LEN(S1883)=0,"",Preferences!$C$2&amp;S1883)&amp;IF(J1884=J1883,IF(LEN(R1883&amp;S1883)=0,"","
")&amp;T1884,""))</f>
        <v xml:space="preserve">	• Responsive to different display form factors (phone, tablet, pc)</v>
      </c>
      <c r="U1883" s="122" t="str">
        <v/>
      </c>
      <c r="V1883" s="42"/>
      <c r="W1883" s="42"/>
      <c r="X1883" s="42"/>
      <c r="Y1883" s="42"/>
      <c r="Z1883" s="42"/>
      <c r="AA1883" s="42"/>
      <c r="AB1883" s="42"/>
    </row>
    <row r="1884" spans="1:28" x14ac:dyDescent="0.25">
      <c r="A1884" s="42" t="str">
        <v>3.5</v>
      </c>
      <c r="B1884" s="121" t="str">
        <v>5 Security</v>
      </c>
      <c r="C1884" s="41">
        <v>2</v>
      </c>
      <c r="D1884" s="41" t="str">
        <v>RS</v>
      </c>
      <c r="E1884" s="117" t="str">
        <f t="shared" si="0"/>
        <v>RS</v>
      </c>
      <c r="F1884" s="41" t="str">
        <v/>
      </c>
      <c r="G1884" s="41" t="str">
        <v/>
      </c>
      <c r="H1884" s="117">
        <f t="shared" si="1"/>
        <v>0</v>
      </c>
      <c r="I1884" s="117">
        <f t="shared" si="2"/>
        <v>5</v>
      </c>
      <c r="J1884" s="117">
        <f t="shared" si="3"/>
        <v>5</v>
      </c>
      <c r="K1884" s="117" t="str">
        <f t="shared" si="4"/>
        <v>NF</v>
      </c>
      <c r="L1884" s="42">
        <v>5</v>
      </c>
      <c r="M1884" s="121" t="str">
        <v/>
      </c>
      <c r="N1884" s="121" t="str">
        <v>5 Security</v>
      </c>
      <c r="O1884" s="121" t="str">
        <v>ReqID</v>
      </c>
      <c r="P1884" s="121" t="e">
        <v>#N/A</v>
      </c>
      <c r="Q1884" s="121" t="str">
        <v/>
      </c>
      <c r="R1884" s="121" t="str">
        <v/>
      </c>
      <c r="S1884" s="121" t="str">
        <v/>
      </c>
      <c r="T1884" s="119" t="str">
        <f>IF($C1884&lt;4,IF($C1884=3,T1885,IF($C1884=2,T$1,"")),Q1884&amp;R1884&amp;IF(LEN(S1884)=0,"",Preferences!$C$2&amp;S1884)&amp;IF(J1885=J1884,IF(LEN(R1884&amp;S1884)=0,"","
")&amp;T1885,""))</f>
        <v>Description</v>
      </c>
      <c r="U1884" s="122" t="str">
        <v/>
      </c>
      <c r="V1884" s="42"/>
      <c r="W1884" s="42"/>
      <c r="X1884" s="42"/>
      <c r="Y1884" s="42"/>
      <c r="Z1884" s="42"/>
      <c r="AA1884" s="42"/>
      <c r="AB1884" s="42"/>
    </row>
    <row r="1885" spans="1:28" x14ac:dyDescent="0.25">
      <c r="A1885" s="42" t="str">
        <v>3.5.1</v>
      </c>
      <c r="B1885" s="121" t="str">
        <v>5.1 Access Control</v>
      </c>
      <c r="C1885" s="41">
        <v>3</v>
      </c>
      <c r="D1885" s="41" t="str">
        <v>R</v>
      </c>
      <c r="E1885" s="117" t="str">
        <f t="shared" si="0"/>
        <v>R</v>
      </c>
      <c r="F1885" s="41" t="str">
        <v/>
      </c>
      <c r="G1885" s="41" t="str">
        <v/>
      </c>
      <c r="H1885" s="117">
        <f t="shared" si="1"/>
        <v>0</v>
      </c>
      <c r="I1885" s="117">
        <f t="shared" si="2"/>
        <v>5</v>
      </c>
      <c r="J1885" s="117">
        <f t="shared" si="3"/>
        <v>5.01</v>
      </c>
      <c r="K1885" s="117" t="str">
        <f t="shared" si="4"/>
        <v>NF</v>
      </c>
      <c r="L1885" s="42" t="str">
        <v>NF0501</v>
      </c>
      <c r="M1885" s="121" t="str">
        <v/>
      </c>
      <c r="N1885" s="121" t="str">
        <v/>
      </c>
      <c r="O1885" s="121" t="str">
        <v>NF0501</v>
      </c>
      <c r="P1885" s="121" t="str">
        <v>Access Control</v>
      </c>
      <c r="Q1885" s="121" t="str">
        <v/>
      </c>
      <c r="R1885" s="121" t="str">
        <v/>
      </c>
      <c r="S1885" s="121" t="str">
        <v/>
      </c>
      <c r="T1885" s="119" t="str">
        <f>IF($C1885&lt;4,IF($C1885=3,T1886,IF($C1885=2,T$1,"")),Q1885&amp;R1885&amp;IF(LEN(S1885)=0,"",Preferences!$C$2&amp;S1885)&amp;IF(J1886=J1885,IF(LEN(R1885&amp;S1885)=0,"","
")&amp;T1886,""))</f>
        <v xml:space="preserve"> 1. User access to the online shop must be controlled using username and password.
 2. Consider using two-factor authentication for selected customer profile actions.
 3. Encrypt customer data in transit and at rest, to ensure compliance to Shoprite and regulatory information protection standards.
 4. Limit access to customer details by back-office role, as well as on the system and storage levels.</v>
      </c>
      <c r="U1885" s="122" t="str">
        <v/>
      </c>
      <c r="V1885" s="42"/>
      <c r="W1885" s="42"/>
      <c r="X1885" s="42"/>
      <c r="Y1885" s="42"/>
      <c r="Z1885" s="42"/>
      <c r="AA1885" s="42"/>
      <c r="AB1885" s="42"/>
    </row>
    <row r="1886" spans="1:28" x14ac:dyDescent="0.25">
      <c r="A1886" s="42" t="str">
        <v>3.5.1.1</v>
      </c>
      <c r="B1886" s="121" t="str">
        <v>User access to the online shop must be controlled using username and password.</v>
      </c>
      <c r="C1886" s="41">
        <v>4</v>
      </c>
      <c r="D1886" s="41" t="str">
        <v>RD</v>
      </c>
      <c r="E1886" s="117" t="str">
        <f t="shared" si="0"/>
        <v>RD</v>
      </c>
      <c r="F1886" s="41" t="str">
        <v/>
      </c>
      <c r="G1886" s="41" t="str">
        <v/>
      </c>
      <c r="H1886" s="117">
        <f t="shared" si="1"/>
        <v>0</v>
      </c>
      <c r="I1886" s="117">
        <f t="shared" si="2"/>
        <v>5</v>
      </c>
      <c r="J1886" s="117">
        <f t="shared" si="3"/>
        <v>5.01</v>
      </c>
      <c r="K1886" s="117" t="str">
        <f t="shared" si="4"/>
        <v>NF</v>
      </c>
      <c r="L1886" s="42" t="str">
        <v>NF0501</v>
      </c>
      <c r="M1886" s="121" t="str">
        <v/>
      </c>
      <c r="N1886" s="121" t="str">
        <v/>
      </c>
      <c r="O1886" s="121" t="str">
        <v/>
      </c>
      <c r="P1886" s="121" t="str">
        <v/>
      </c>
      <c r="Q1886" s="121" t="str">
        <v xml:space="preserve"> 1. </v>
      </c>
      <c r="R1886" s="121" t="str">
        <v>User access to the online shop must be controlled using username and password.</v>
      </c>
      <c r="S1886" s="121" t="str">
        <v/>
      </c>
      <c r="T1886" s="119" t="str">
        <f>IF($C1886&lt;4,IF($C1886=3,T1887,IF($C1886=2,T$1,"")),Q1886&amp;R1886&amp;IF(LEN(S1886)=0,"",Preferences!$C$2&amp;S1886)&amp;IF(J1887=J1886,IF(LEN(R1886&amp;S1886)=0,"","
")&amp;T1887,""))</f>
        <v xml:space="preserve"> 1. User access to the online shop must be controlled using username and password.
 2. Consider using two-factor authentication for selected customer profile actions.
 3. Encrypt customer data in transit and at rest, to ensure compliance to Shoprite and regulatory information protection standards.
 4. Limit access to customer details by back-office role, as well as on the system and storage levels.</v>
      </c>
      <c r="U1886" s="122" t="str">
        <v/>
      </c>
      <c r="V1886" s="42"/>
      <c r="W1886" s="42"/>
      <c r="X1886" s="42"/>
      <c r="Y1886" s="42"/>
      <c r="Z1886" s="42"/>
      <c r="AA1886" s="42"/>
      <c r="AB1886" s="42"/>
    </row>
    <row r="1887" spans="1:28" x14ac:dyDescent="0.25">
      <c r="A1887" s="42" t="str">
        <v>3.5.1.2</v>
      </c>
      <c r="B1887" s="121" t="str">
        <v>Consider using two-factor authentication for selected customer profile actions.</v>
      </c>
      <c r="C1887" s="41">
        <v>4</v>
      </c>
      <c r="D1887" s="41" t="str">
        <v>RD</v>
      </c>
      <c r="E1887" s="117" t="str">
        <f t="shared" si="0"/>
        <v>RD</v>
      </c>
      <c r="F1887" s="41" t="str">
        <v/>
      </c>
      <c r="G1887" s="41" t="str">
        <v/>
      </c>
      <c r="H1887" s="117">
        <f t="shared" si="1"/>
        <v>0</v>
      </c>
      <c r="I1887" s="117">
        <f t="shared" si="2"/>
        <v>5</v>
      </c>
      <c r="J1887" s="117">
        <f t="shared" si="3"/>
        <v>5.01</v>
      </c>
      <c r="K1887" s="117" t="str">
        <f t="shared" si="4"/>
        <v>NF</v>
      </c>
      <c r="L1887" s="42" t="str">
        <v>NF0501</v>
      </c>
      <c r="M1887" s="121" t="str">
        <v/>
      </c>
      <c r="N1887" s="121" t="str">
        <v/>
      </c>
      <c r="O1887" s="121" t="str">
        <v/>
      </c>
      <c r="P1887" s="121" t="str">
        <v/>
      </c>
      <c r="Q1887" s="121" t="str">
        <v xml:space="preserve"> 2. </v>
      </c>
      <c r="R1887" s="121" t="str">
        <v>Consider using two-factor authentication for selected customer profile actions.</v>
      </c>
      <c r="S1887" s="121" t="str">
        <v/>
      </c>
      <c r="T1887" s="119" t="str">
        <f>IF($C1887&lt;4,IF($C1887=3,T1888,IF($C1887=2,T$1,"")),Q1887&amp;R1887&amp;IF(LEN(S1887)=0,"",Preferences!$C$2&amp;S1887)&amp;IF(J1888=J1887,IF(LEN(R1887&amp;S1887)=0,"","
")&amp;T1888,""))</f>
        <v xml:space="preserve"> 2. Consider using two-factor authentication for selected customer profile actions.
 3. Encrypt customer data in transit and at rest, to ensure compliance to Shoprite and regulatory information protection standards.
 4. Limit access to customer details by back-office role, as well as on the system and storage levels.</v>
      </c>
      <c r="U1887" s="122" t="str">
        <v/>
      </c>
      <c r="V1887" s="42"/>
      <c r="W1887" s="42"/>
      <c r="X1887" s="42"/>
      <c r="Y1887" s="42"/>
      <c r="Z1887" s="42"/>
      <c r="AA1887" s="42"/>
      <c r="AB1887" s="42"/>
    </row>
    <row r="1888" spans="1:28" x14ac:dyDescent="0.25">
      <c r="A1888" s="42" t="str">
        <v>3.5.1.3</v>
      </c>
      <c r="B1888" s="121" t="str">
        <v>Encrypt customer data in transit and at rest, to ensure compliance to Shoprite and regulatory information protection standards.</v>
      </c>
      <c r="C1888" s="41">
        <v>4</v>
      </c>
      <c r="D1888" s="41" t="str">
        <v>RD</v>
      </c>
      <c r="E1888" s="117" t="str">
        <f t="shared" si="0"/>
        <v>RD</v>
      </c>
      <c r="F1888" s="41" t="str">
        <v/>
      </c>
      <c r="G1888" s="41" t="str">
        <v/>
      </c>
      <c r="H1888" s="117">
        <f t="shared" si="1"/>
        <v>0</v>
      </c>
      <c r="I1888" s="117">
        <f t="shared" si="2"/>
        <v>5</v>
      </c>
      <c r="J1888" s="117">
        <f t="shared" si="3"/>
        <v>5.01</v>
      </c>
      <c r="K1888" s="117" t="str">
        <f t="shared" si="4"/>
        <v>NF</v>
      </c>
      <c r="L1888" s="42" t="str">
        <v>NF0501</v>
      </c>
      <c r="M1888" s="121" t="str">
        <v/>
      </c>
      <c r="N1888" s="121" t="str">
        <v/>
      </c>
      <c r="O1888" s="121" t="str">
        <v/>
      </c>
      <c r="P1888" s="121" t="str">
        <v/>
      </c>
      <c r="Q1888" s="121" t="str">
        <v xml:space="preserve"> 3. </v>
      </c>
      <c r="R1888" s="121" t="str">
        <v>Encrypt customer data in transit and at rest, to ensure compliance to Shoprite and regulatory information protection standards.</v>
      </c>
      <c r="S1888" s="121" t="str">
        <v/>
      </c>
      <c r="T1888" s="119" t="str">
        <f>IF($C1888&lt;4,IF($C1888=3,T1889,IF($C1888=2,T$1,"")),Q1888&amp;R1888&amp;IF(LEN(S1888)=0,"",Preferences!$C$2&amp;S1888)&amp;IF(J1889=J1888,IF(LEN(R1888&amp;S1888)=0,"","
")&amp;T1889,""))</f>
        <v xml:space="preserve"> 3. Encrypt customer data in transit and at rest, to ensure compliance to Shoprite and regulatory information protection standards.
 4. Limit access to customer details by back-office role, as well as on the system and storage levels.</v>
      </c>
      <c r="U1888" s="122" t="str">
        <v/>
      </c>
      <c r="V1888" s="42"/>
      <c r="W1888" s="42"/>
      <c r="X1888" s="42"/>
      <c r="Y1888" s="42"/>
      <c r="Z1888" s="42"/>
      <c r="AA1888" s="42"/>
      <c r="AB1888" s="42"/>
    </row>
    <row r="1889" spans="1:28" x14ac:dyDescent="0.25">
      <c r="A1889" s="42" t="str">
        <v>3.5.1.4</v>
      </c>
      <c r="B1889" s="121" t="str">
        <v>Limit access to customer details by back-office role, as well as on the system and storage levels.</v>
      </c>
      <c r="C1889" s="41">
        <v>4</v>
      </c>
      <c r="D1889" s="41" t="str">
        <v>RD</v>
      </c>
      <c r="E1889" s="117" t="str">
        <f t="shared" si="0"/>
        <v>RD</v>
      </c>
      <c r="F1889" s="41" t="str">
        <v/>
      </c>
      <c r="G1889" s="41" t="str">
        <v/>
      </c>
      <c r="H1889" s="117">
        <f t="shared" si="1"/>
        <v>0</v>
      </c>
      <c r="I1889" s="117">
        <f t="shared" si="2"/>
        <v>5</v>
      </c>
      <c r="J1889" s="117">
        <f t="shared" si="3"/>
        <v>5.01</v>
      </c>
      <c r="K1889" s="117" t="str">
        <f t="shared" si="4"/>
        <v>NF</v>
      </c>
      <c r="L1889" s="42" t="str">
        <v>NF0501</v>
      </c>
      <c r="M1889" s="121" t="str">
        <v/>
      </c>
      <c r="N1889" s="121" t="str">
        <v/>
      </c>
      <c r="O1889" s="121" t="str">
        <v/>
      </c>
      <c r="P1889" s="121" t="str">
        <v/>
      </c>
      <c r="Q1889" s="121" t="str">
        <v xml:space="preserve"> 4. </v>
      </c>
      <c r="R1889" s="121" t="str">
        <v>Limit access to customer details by back-office role, as well as on the system and storage levels.</v>
      </c>
      <c r="S1889" s="121" t="str">
        <v/>
      </c>
      <c r="T1889" s="119" t="str">
        <f>IF($C1889&lt;4,IF($C1889=3,T1890,IF($C1889=2,T$1,"")),Q1889&amp;R1889&amp;IF(LEN(S1889)=0,"",Preferences!$C$2&amp;S1889)&amp;IF(J1890=J1889,IF(LEN(R1889&amp;S1889)=0,"","
")&amp;T1890,""))</f>
        <v xml:space="preserve"> 4. Limit access to customer details by back-office role, as well as on the system and storage levels.</v>
      </c>
      <c r="U1889" s="122" t="str">
        <v/>
      </c>
      <c r="V1889" s="42"/>
      <c r="W1889" s="42"/>
      <c r="X1889" s="42"/>
      <c r="Y1889" s="42"/>
      <c r="Z1889" s="42"/>
      <c r="AA1889" s="42"/>
      <c r="AB1889" s="42"/>
    </row>
    <row r="1890" spans="1:28" x14ac:dyDescent="0.25">
      <c r="A1890" s="42" t="str">
        <v>3.5.2</v>
      </c>
      <c r="B1890" s="121" t="str">
        <v>5.2 Hacking Protection</v>
      </c>
      <c r="C1890" s="41">
        <v>3</v>
      </c>
      <c r="D1890" s="41" t="str">
        <v>R</v>
      </c>
      <c r="E1890" s="117" t="str">
        <f t="shared" si="0"/>
        <v>R</v>
      </c>
      <c r="F1890" s="41" t="str">
        <v/>
      </c>
      <c r="G1890" s="41" t="str">
        <v/>
      </c>
      <c r="H1890" s="117">
        <f t="shared" si="1"/>
        <v>0</v>
      </c>
      <c r="I1890" s="117">
        <f t="shared" si="2"/>
        <v>5</v>
      </c>
      <c r="J1890" s="117">
        <f t="shared" si="3"/>
        <v>5.0199999999999996</v>
      </c>
      <c r="K1890" s="117" t="str">
        <f t="shared" si="4"/>
        <v>NF</v>
      </c>
      <c r="L1890" s="42" t="str">
        <v>NF0502</v>
      </c>
      <c r="M1890" s="121" t="str">
        <v/>
      </c>
      <c r="N1890" s="121" t="str">
        <v/>
      </c>
      <c r="O1890" s="121" t="str">
        <v>NF0502</v>
      </c>
      <c r="P1890" s="121" t="str">
        <v>Hacking Protection</v>
      </c>
      <c r="Q1890" s="121" t="str">
        <v/>
      </c>
      <c r="R1890" s="121" t="str">
        <v/>
      </c>
      <c r="S1890" s="121" t="str">
        <v/>
      </c>
      <c r="T1890" s="119" t="str">
        <f>IF($C1890&lt;4,IF($C1890=3,T1891,IF($C1890=2,T$1,"")),Q1890&amp;R1890&amp;IF(LEN(S1890)=0,"",Preferences!$C$2&amp;S1890)&amp;IF(J1891=J1890,IF(LEN(R1890&amp;S1890)=0,"","
")&amp;T1891,""))</f>
        <v xml:space="preserve"> 1. Apply security measures to protect the online shop and customer data from impersonation, hacking/exploitation and denial of service attacks.
</v>
      </c>
      <c r="U1890" s="122" t="str">
        <v/>
      </c>
      <c r="V1890" s="42"/>
      <c r="W1890" s="42"/>
      <c r="X1890" s="42"/>
      <c r="Y1890" s="42"/>
      <c r="Z1890" s="42"/>
      <c r="AA1890" s="42"/>
      <c r="AB1890" s="42"/>
    </row>
    <row r="1891" spans="1:28" x14ac:dyDescent="0.25">
      <c r="A1891" s="42" t="str">
        <v>3.5.2.1</v>
      </c>
      <c r="B1891" s="121" t="str">
        <v>Apply security measures to protect the online shop and customer data from impersonation, hacking/exploitation and denial of service attacks.</v>
      </c>
      <c r="C1891" s="41">
        <v>4</v>
      </c>
      <c r="D1891" s="41" t="str">
        <v>RD</v>
      </c>
      <c r="E1891" s="117" t="str">
        <f t="shared" si="0"/>
        <v>RD</v>
      </c>
      <c r="F1891" s="41" t="str">
        <v/>
      </c>
      <c r="G1891" s="41" t="str">
        <v/>
      </c>
      <c r="H1891" s="117">
        <f t="shared" si="1"/>
        <v>0</v>
      </c>
      <c r="I1891" s="117">
        <f t="shared" si="2"/>
        <v>5</v>
      </c>
      <c r="J1891" s="117">
        <f t="shared" si="3"/>
        <v>5.0199999999999996</v>
      </c>
      <c r="K1891" s="117" t="str">
        <f t="shared" si="4"/>
        <v>NF</v>
      </c>
      <c r="L1891" s="42" t="str">
        <v>NF0502</v>
      </c>
      <c r="M1891" s="121" t="str">
        <v/>
      </c>
      <c r="N1891" s="121" t="str">
        <v/>
      </c>
      <c r="O1891" s="121" t="str">
        <v/>
      </c>
      <c r="P1891" s="121" t="str">
        <v/>
      </c>
      <c r="Q1891" s="121" t="str">
        <v xml:space="preserve"> 1. </v>
      </c>
      <c r="R1891" s="121" t="str">
        <v>Apply security measures to protect the online shop and customer data from impersonation, hacking/exploitation and denial of service attacks.</v>
      </c>
      <c r="S1891" s="121" t="str">
        <v/>
      </c>
      <c r="T1891" s="119" t="str">
        <f>IF($C1891&lt;4,IF($C1891=3,T1892,IF($C1891=2,T$1,"")),Q1891&amp;R1891&amp;IF(LEN(S1891)=0,"",Preferences!$C$2&amp;S1891)&amp;IF(J1892=J1891,IF(LEN(R1891&amp;S1891)=0,"","
")&amp;T1892,""))</f>
        <v xml:space="preserve"> 1. Apply security measures to protect the online shop and customer data from impersonation, hacking/exploitation and denial of service attacks.
</v>
      </c>
      <c r="U1891" s="122" t="str">
        <v/>
      </c>
      <c r="V1891" s="42"/>
      <c r="W1891" s="42"/>
      <c r="X1891" s="42"/>
      <c r="Y1891" s="42"/>
      <c r="Z1891" s="42"/>
      <c r="AA1891" s="42"/>
      <c r="AB1891" s="42"/>
    </row>
    <row r="1892" spans="1:28" x14ac:dyDescent="0.25">
      <c r="A1892" s="42" t="str">
        <v>4</v>
      </c>
      <c r="B1892" s="121" t="str">
        <v>Data Requirements</v>
      </c>
      <c r="C1892" s="41">
        <v>1</v>
      </c>
      <c r="D1892" s="41" t="str">
        <v>H</v>
      </c>
      <c r="E1892" s="117" t="str">
        <f t="shared" si="0"/>
        <v>H</v>
      </c>
      <c r="F1892" s="41" t="str">
        <v>DR</v>
      </c>
      <c r="G1892" s="41" t="str">
        <v>DR</v>
      </c>
      <c r="H1892" s="117" t="str">
        <f t="shared" si="1"/>
        <v>DR</v>
      </c>
      <c r="I1892" s="117">
        <f t="shared" si="2"/>
        <v>0</v>
      </c>
      <c r="J1892" s="117">
        <f t="shared" si="3"/>
        <v>5.0199999999999996</v>
      </c>
      <c r="K1892" s="117" t="str">
        <f t="shared" si="4"/>
        <v>DR</v>
      </c>
      <c r="L1892" s="42">
        <v>5.0199999999999996</v>
      </c>
      <c r="M1892" s="121" t="str">
        <v>Data Requirements</v>
      </c>
      <c r="N1892" s="121" t="str">
        <v/>
      </c>
      <c r="O1892" s="121" t="str">
        <v/>
      </c>
      <c r="P1892" s="121" t="str">
        <v/>
      </c>
      <c r="Q1892" s="121" t="str">
        <v/>
      </c>
      <c r="R1892" s="121" t="str">
        <v/>
      </c>
      <c r="S1892" s="121" t="str">
        <v/>
      </c>
      <c r="T1892" s="119" t="str">
        <f>IF($C1892&lt;4,IF($C1892=3,T1893,IF($C1892=2,T$1,"")),Q1892&amp;R1892&amp;IF(LEN(S1892)=0,"",Preferences!$C$2&amp;S1892)&amp;IF(J1893=J1892,IF(LEN(R1892&amp;S1892)=0,"","
")&amp;T1893,""))</f>
        <v/>
      </c>
      <c r="U1892" s="122" t="str">
        <v/>
      </c>
      <c r="V1892" s="42"/>
      <c r="W1892" s="42"/>
      <c r="X1892" s="42"/>
      <c r="Y1892" s="42"/>
      <c r="Z1892" s="42"/>
      <c r="AA1892" s="42"/>
      <c r="AB1892" s="42"/>
    </row>
    <row r="1893" spans="1:28" x14ac:dyDescent="0.25">
      <c r="A1893" s="42" t="str">
        <v>4.1</v>
      </c>
      <c r="B1893" s="121" t="str">
        <v>1 Customer Data Security</v>
      </c>
      <c r="C1893" s="41">
        <v>2</v>
      </c>
      <c r="D1893" s="41" t="str">
        <v>RS</v>
      </c>
      <c r="E1893" s="117" t="str">
        <f t="shared" si="0"/>
        <v>RS</v>
      </c>
      <c r="F1893" s="41" t="str">
        <v/>
      </c>
      <c r="G1893" s="41" t="str">
        <v/>
      </c>
      <c r="H1893" s="117">
        <f t="shared" si="1"/>
        <v>0</v>
      </c>
      <c r="I1893" s="117">
        <f t="shared" si="2"/>
        <v>1</v>
      </c>
      <c r="J1893" s="117">
        <f t="shared" si="3"/>
        <v>1</v>
      </c>
      <c r="K1893" s="117" t="str">
        <f t="shared" si="4"/>
        <v>DR</v>
      </c>
      <c r="L1893" s="42">
        <v>1</v>
      </c>
      <c r="M1893" s="121" t="str">
        <v/>
      </c>
      <c r="N1893" s="121" t="str">
        <v>1 Customer Data Security</v>
      </c>
      <c r="O1893" s="121" t="str">
        <v>ReqID</v>
      </c>
      <c r="P1893" s="121" t="e">
        <v>#N/A</v>
      </c>
      <c r="Q1893" s="121" t="str">
        <v/>
      </c>
      <c r="R1893" s="121" t="str">
        <v/>
      </c>
      <c r="S1893" s="121" t="str">
        <v/>
      </c>
      <c r="T1893" s="119" t="str">
        <f>IF($C1893&lt;4,IF($C1893=3,T1894,IF($C1893=2,T$1,"")),Q1893&amp;R1893&amp;IF(LEN(S1893)=0,"",Preferences!$C$2&amp;S1893)&amp;IF(J1894=J1893,IF(LEN(R1893&amp;S1893)=0,"","
")&amp;T1894,""))</f>
        <v>Description</v>
      </c>
      <c r="U1893" s="122" t="str">
        <v/>
      </c>
      <c r="V1893" s="42"/>
      <c r="W1893" s="42"/>
      <c r="X1893" s="42"/>
      <c r="Y1893" s="42"/>
      <c r="Z1893" s="42"/>
      <c r="AA1893" s="42"/>
      <c r="AB1893" s="42"/>
    </row>
    <row r="1894" spans="1:28" x14ac:dyDescent="0.25">
      <c r="A1894" s="42" t="str">
        <v>4.1.1</v>
      </c>
      <c r="B1894" s="121" t="str">
        <v>1.1 Securely store customer profile</v>
      </c>
      <c r="C1894" s="41">
        <v>3</v>
      </c>
      <c r="D1894" s="41" t="str">
        <v>R</v>
      </c>
      <c r="E1894" s="117" t="str">
        <f t="shared" si="0"/>
        <v>R</v>
      </c>
      <c r="F1894" s="41" t="str">
        <v/>
      </c>
      <c r="G1894" s="41" t="str">
        <v/>
      </c>
      <c r="H1894" s="117">
        <f t="shared" si="1"/>
        <v>0</v>
      </c>
      <c r="I1894" s="117">
        <f t="shared" si="2"/>
        <v>1</v>
      </c>
      <c r="J1894" s="117">
        <f t="shared" si="3"/>
        <v>1.01</v>
      </c>
      <c r="K1894" s="117" t="str">
        <f t="shared" si="4"/>
        <v>DR</v>
      </c>
      <c r="L1894" s="42" t="str">
        <v>DR0101</v>
      </c>
      <c r="M1894" s="121" t="str">
        <v/>
      </c>
      <c r="N1894" s="121" t="str">
        <v/>
      </c>
      <c r="O1894" s="121" t="str">
        <v>DR0101</v>
      </c>
      <c r="P1894" s="121" t="str">
        <v>Securely store customer profile</v>
      </c>
      <c r="Q1894" s="121" t="str">
        <v/>
      </c>
      <c r="R1894" s="121" t="str">
        <v/>
      </c>
      <c r="S1894" s="121" t="str">
        <v/>
      </c>
      <c r="T1894" s="119" t="str">
        <f>IF($C1894&lt;4,IF($C1894=3,T1895,IF($C1894=2,T$1,"")),Q1894&amp;R1894&amp;IF(LEN(S1894)=0,"",Preferences!$C$2&amp;S1894)&amp;IF(J1895=J1894,IF(LEN(R1894&amp;S1894)=0,"","
")&amp;T1895,""))</f>
        <v xml:space="preserve"> 1. Customer profile data must be stored securely.
 2. Customer transaction data must be stored securely.
 3. Customer transaction data may only be shared with partners of the business if explicit consent from the customer is recorded.</v>
      </c>
      <c r="U1894" s="122" t="str">
        <v/>
      </c>
      <c r="V1894" s="42"/>
      <c r="W1894" s="42"/>
      <c r="X1894" s="42"/>
      <c r="Y1894" s="42"/>
      <c r="Z1894" s="42"/>
      <c r="AA1894" s="42"/>
      <c r="AB1894" s="42"/>
    </row>
    <row r="1895" spans="1:28" x14ac:dyDescent="0.25">
      <c r="A1895" s="42" t="str">
        <v>4.1.1.1</v>
      </c>
      <c r="B1895" s="121" t="str">
        <v>Customer profile data must be stored securely.</v>
      </c>
      <c r="C1895" s="41">
        <v>4</v>
      </c>
      <c r="D1895" s="41" t="str">
        <v>RD</v>
      </c>
      <c r="E1895" s="117" t="str">
        <f t="shared" si="0"/>
        <v>RD</v>
      </c>
      <c r="F1895" s="41" t="str">
        <v/>
      </c>
      <c r="G1895" s="41" t="str">
        <v/>
      </c>
      <c r="H1895" s="117">
        <f t="shared" si="1"/>
        <v>0</v>
      </c>
      <c r="I1895" s="117">
        <f t="shared" si="2"/>
        <v>1</v>
      </c>
      <c r="J1895" s="117">
        <f t="shared" si="3"/>
        <v>1.01</v>
      </c>
      <c r="K1895" s="117" t="str">
        <f t="shared" si="4"/>
        <v>DR</v>
      </c>
      <c r="L1895" s="42" t="str">
        <v>DR0101</v>
      </c>
      <c r="M1895" s="121" t="str">
        <v/>
      </c>
      <c r="N1895" s="121" t="str">
        <v/>
      </c>
      <c r="O1895" s="121" t="str">
        <v/>
      </c>
      <c r="P1895" s="121" t="str">
        <v/>
      </c>
      <c r="Q1895" s="121" t="str">
        <v xml:space="preserve"> 1. </v>
      </c>
      <c r="R1895" s="121" t="str">
        <v>Customer profile data must be stored securely.</v>
      </c>
      <c r="S1895" s="121" t="str">
        <v/>
      </c>
      <c r="T1895" s="119" t="str">
        <f>IF($C1895&lt;4,IF($C1895=3,T1896,IF($C1895=2,T$1,"")),Q1895&amp;R1895&amp;IF(LEN(S1895)=0,"",Preferences!$C$2&amp;S1895)&amp;IF(J1896=J1895,IF(LEN(R1895&amp;S1895)=0,"","
")&amp;T1896,""))</f>
        <v xml:space="preserve"> 1. Customer profile data must be stored securely.
 2. Customer transaction data must be stored securely.
 3. Customer transaction data may only be shared with partners of the business if explicit consent from the customer is recorded.</v>
      </c>
      <c r="U1895" s="122" t="str">
        <v/>
      </c>
      <c r="V1895" s="42"/>
      <c r="W1895" s="42"/>
      <c r="X1895" s="42"/>
      <c r="Y1895" s="42"/>
      <c r="Z1895" s="42"/>
      <c r="AA1895" s="42"/>
      <c r="AB1895" s="42"/>
    </row>
    <row r="1896" spans="1:28" x14ac:dyDescent="0.25">
      <c r="A1896" s="42" t="str">
        <v>4.1.1.2</v>
      </c>
      <c r="B1896" s="121" t="str">
        <v>Customer transaction data must be stored securely.</v>
      </c>
      <c r="C1896" s="41">
        <v>4</v>
      </c>
      <c r="D1896" s="41" t="str">
        <v>RD</v>
      </c>
      <c r="E1896" s="117" t="str">
        <f t="shared" si="0"/>
        <v>RD</v>
      </c>
      <c r="F1896" s="41" t="str">
        <v/>
      </c>
      <c r="G1896" s="41" t="str">
        <v/>
      </c>
      <c r="H1896" s="117">
        <f t="shared" si="1"/>
        <v>0</v>
      </c>
      <c r="I1896" s="117">
        <f t="shared" si="2"/>
        <v>1</v>
      </c>
      <c r="J1896" s="117">
        <f t="shared" si="3"/>
        <v>1.01</v>
      </c>
      <c r="K1896" s="117" t="str">
        <f t="shared" si="4"/>
        <v>DR</v>
      </c>
      <c r="L1896" s="42" t="str">
        <v>DR0101</v>
      </c>
      <c r="M1896" s="121" t="str">
        <v/>
      </c>
      <c r="N1896" s="121" t="str">
        <v/>
      </c>
      <c r="O1896" s="121" t="str">
        <v/>
      </c>
      <c r="P1896" s="121" t="str">
        <v/>
      </c>
      <c r="Q1896" s="121" t="str">
        <v xml:space="preserve"> 2. </v>
      </c>
      <c r="R1896" s="121" t="str">
        <v>Customer transaction data must be stored securely.</v>
      </c>
      <c r="S1896" s="121" t="str">
        <v/>
      </c>
      <c r="T1896" s="119" t="str">
        <f>IF($C1896&lt;4,IF($C1896=3,T1897,IF($C1896=2,T$1,"")),Q1896&amp;R1896&amp;IF(LEN(S1896)=0,"",Preferences!$C$2&amp;S1896)&amp;IF(J1897=J1896,IF(LEN(R1896&amp;S1896)=0,"","
")&amp;T1897,""))</f>
        <v xml:space="preserve"> 2. Customer transaction data must be stored securely.
 3. Customer transaction data may only be shared with partners of the business if explicit consent from the customer is recorded.</v>
      </c>
      <c r="U1896" s="122" t="str">
        <v/>
      </c>
      <c r="V1896" s="42"/>
      <c r="W1896" s="42"/>
      <c r="X1896" s="42"/>
      <c r="Y1896" s="42"/>
      <c r="Z1896" s="42"/>
      <c r="AA1896" s="42"/>
      <c r="AB1896" s="42"/>
    </row>
    <row r="1897" spans="1:28" x14ac:dyDescent="0.25">
      <c r="A1897" s="42" t="str">
        <v>4.1.1.3</v>
      </c>
      <c r="B1897" s="121" t="str">
        <v>Customer transaction data may only be shared with partners of the business if explicit consent from the customer is recorded.</v>
      </c>
      <c r="C1897" s="41">
        <v>4</v>
      </c>
      <c r="D1897" s="41" t="str">
        <v>RD</v>
      </c>
      <c r="E1897" s="117" t="str">
        <f t="shared" si="0"/>
        <v>RD</v>
      </c>
      <c r="F1897" s="41" t="str">
        <v/>
      </c>
      <c r="G1897" s="41" t="str">
        <v/>
      </c>
      <c r="H1897" s="117">
        <f t="shared" si="1"/>
        <v>0</v>
      </c>
      <c r="I1897" s="117">
        <f t="shared" si="2"/>
        <v>1</v>
      </c>
      <c r="J1897" s="117">
        <f t="shared" si="3"/>
        <v>1.01</v>
      </c>
      <c r="K1897" s="117" t="str">
        <f t="shared" si="4"/>
        <v>DR</v>
      </c>
      <c r="L1897" s="42" t="str">
        <v>DR0101</v>
      </c>
      <c r="M1897" s="121" t="str">
        <v/>
      </c>
      <c r="N1897" s="121" t="str">
        <v/>
      </c>
      <c r="O1897" s="121" t="str">
        <v/>
      </c>
      <c r="P1897" s="121" t="str">
        <v/>
      </c>
      <c r="Q1897" s="121" t="str">
        <v xml:space="preserve"> 3. </v>
      </c>
      <c r="R1897" s="121" t="str">
        <v>Customer transaction data may only be shared with partners of the business if explicit consent from the customer is recorded.</v>
      </c>
      <c r="S1897" s="121" t="str">
        <v/>
      </c>
      <c r="T1897" s="119" t="str">
        <f>IF($C1897&lt;4,IF($C1897=3,T1898,IF($C1897=2,T$1,"")),Q1897&amp;R1897&amp;IF(LEN(S1897)=0,"",Preferences!$C$2&amp;S1897)&amp;IF(J1898=J1897,IF(LEN(R1897&amp;S1897)=0,"","
")&amp;T1898,""))</f>
        <v xml:space="preserve"> 3. Customer transaction data may only be shared with partners of the business if explicit consent from the customer is recorded.</v>
      </c>
      <c r="U1897" s="122" t="str">
        <v/>
      </c>
      <c r="V1897" s="42"/>
      <c r="W1897" s="42"/>
      <c r="X1897" s="42"/>
      <c r="Y1897" s="42"/>
      <c r="Z1897" s="42"/>
      <c r="AA1897" s="42"/>
      <c r="AB1897" s="42"/>
    </row>
    <row r="1898" spans="1:28" x14ac:dyDescent="0.25">
      <c r="A1898" s="42" t="str">
        <v>4.1.2</v>
      </c>
      <c r="B1898" s="121" t="str">
        <v>1.2 Archive old customer profiles</v>
      </c>
      <c r="C1898" s="41">
        <v>3</v>
      </c>
      <c r="D1898" s="41" t="str">
        <v>R</v>
      </c>
      <c r="E1898" s="117" t="str">
        <f t="shared" si="0"/>
        <v>R</v>
      </c>
      <c r="F1898" s="41" t="str">
        <v/>
      </c>
      <c r="G1898" s="41" t="str">
        <v/>
      </c>
      <c r="H1898" s="117">
        <f t="shared" si="1"/>
        <v>0</v>
      </c>
      <c r="I1898" s="117">
        <f t="shared" si="2"/>
        <v>1</v>
      </c>
      <c r="J1898" s="117">
        <f t="shared" si="3"/>
        <v>1.02</v>
      </c>
      <c r="K1898" s="117" t="str">
        <f t="shared" si="4"/>
        <v>DR</v>
      </c>
      <c r="L1898" s="42" t="str">
        <v>DR0102</v>
      </c>
      <c r="M1898" s="121" t="str">
        <v/>
      </c>
      <c r="N1898" s="121" t="str">
        <v/>
      </c>
      <c r="O1898" s="121" t="str">
        <v>DR0102</v>
      </c>
      <c r="P1898" s="121" t="str">
        <v>Archive old customer profiles</v>
      </c>
      <c r="Q1898" s="121" t="str">
        <v/>
      </c>
      <c r="R1898" s="121" t="str">
        <v/>
      </c>
      <c r="S1898" s="121" t="str">
        <v/>
      </c>
      <c r="T1898" s="119" t="str">
        <f>IF($C1898&lt;4,IF($C1898=3,T1899,IF($C1898=2,T$1,"")),Q1898&amp;R1898&amp;IF(LEN(S1898)=0,"",Preferences!$C$2&amp;S1898)&amp;IF(J1899=J1898,IF(LEN(R1898&amp;S1898)=0,"","
")&amp;T1899,""))</f>
        <v xml:space="preserve"> 1. The customer profile of resigned, or abandoned users must be anonymised for use in statistical analysis only.
 2. The full profile must be removed from operational use.</v>
      </c>
      <c r="U1898" s="122" t="str">
        <v/>
      </c>
      <c r="V1898" s="42"/>
      <c r="W1898" s="42"/>
      <c r="X1898" s="42"/>
      <c r="Y1898" s="42"/>
      <c r="Z1898" s="42"/>
      <c r="AA1898" s="42"/>
      <c r="AB1898" s="42"/>
    </row>
    <row r="1899" spans="1:28" x14ac:dyDescent="0.25">
      <c r="A1899" s="42" t="str">
        <v>4.1.2.1</v>
      </c>
      <c r="B1899" s="121" t="str">
        <v>The customer profile of resigned, or abandoned users must be anonymised for use in statistical analysis only.</v>
      </c>
      <c r="C1899" s="41">
        <v>4</v>
      </c>
      <c r="D1899" s="41" t="str">
        <v>RD</v>
      </c>
      <c r="E1899" s="117" t="str">
        <f t="shared" si="0"/>
        <v>RD</v>
      </c>
      <c r="F1899" s="41" t="str">
        <v/>
      </c>
      <c r="G1899" s="41" t="str">
        <v/>
      </c>
      <c r="H1899" s="117">
        <f t="shared" si="1"/>
        <v>0</v>
      </c>
      <c r="I1899" s="117">
        <f t="shared" si="2"/>
        <v>1</v>
      </c>
      <c r="J1899" s="117">
        <f t="shared" si="3"/>
        <v>1.02</v>
      </c>
      <c r="K1899" s="117" t="str">
        <f t="shared" si="4"/>
        <v>DR</v>
      </c>
      <c r="L1899" s="42" t="str">
        <v>DR0102</v>
      </c>
      <c r="M1899" s="121" t="str">
        <v/>
      </c>
      <c r="N1899" s="121" t="str">
        <v/>
      </c>
      <c r="O1899" s="121" t="str">
        <v/>
      </c>
      <c r="P1899" s="121" t="str">
        <v/>
      </c>
      <c r="Q1899" s="121" t="str">
        <v xml:space="preserve"> 1. </v>
      </c>
      <c r="R1899" s="121" t="str">
        <v>The customer profile of resigned, or abandoned users must be anonymised for use in statistical analysis only.</v>
      </c>
      <c r="S1899" s="121" t="str">
        <v/>
      </c>
      <c r="T1899" s="119" t="str">
        <f>IF($C1899&lt;4,IF($C1899=3,T1900,IF($C1899=2,T$1,"")),Q1899&amp;R1899&amp;IF(LEN(S1899)=0,"",Preferences!$C$2&amp;S1899)&amp;IF(J1900=J1899,IF(LEN(R1899&amp;S1899)=0,"","
")&amp;T1900,""))</f>
        <v xml:space="preserve"> 1. The customer profile of resigned, or abandoned users must be anonymised for use in statistical analysis only.
 2. The full profile must be removed from operational use.</v>
      </c>
      <c r="U1899" s="122" t="str">
        <v/>
      </c>
      <c r="V1899" s="42"/>
      <c r="W1899" s="42"/>
      <c r="X1899" s="42"/>
      <c r="Y1899" s="42"/>
      <c r="Z1899" s="42"/>
      <c r="AA1899" s="42"/>
      <c r="AB1899" s="42"/>
    </row>
    <row r="1900" spans="1:28" x14ac:dyDescent="0.25">
      <c r="A1900" s="42" t="str">
        <v>4.1.2.2</v>
      </c>
      <c r="B1900" s="121" t="str">
        <v>The full profile must be removed from operational use.</v>
      </c>
      <c r="C1900" s="41">
        <v>4</v>
      </c>
      <c r="D1900" s="41" t="str">
        <v>RD</v>
      </c>
      <c r="E1900" s="117" t="str">
        <f t="shared" si="0"/>
        <v>RD</v>
      </c>
      <c r="F1900" s="41" t="str">
        <v/>
      </c>
      <c r="G1900" s="41" t="str">
        <v/>
      </c>
      <c r="H1900" s="117">
        <f t="shared" si="1"/>
        <v>0</v>
      </c>
      <c r="I1900" s="117">
        <f t="shared" si="2"/>
        <v>1</v>
      </c>
      <c r="J1900" s="117">
        <f t="shared" si="3"/>
        <v>1.02</v>
      </c>
      <c r="K1900" s="117" t="str">
        <f t="shared" si="4"/>
        <v>DR</v>
      </c>
      <c r="L1900" s="42" t="str">
        <v>DR0102</v>
      </c>
      <c r="M1900" s="121" t="str">
        <v/>
      </c>
      <c r="N1900" s="121" t="str">
        <v/>
      </c>
      <c r="O1900" s="121" t="str">
        <v/>
      </c>
      <c r="P1900" s="121" t="str">
        <v/>
      </c>
      <c r="Q1900" s="121" t="str">
        <v xml:space="preserve"> 2. </v>
      </c>
      <c r="R1900" s="121" t="str">
        <v>The full profile must be removed from operational use.</v>
      </c>
      <c r="S1900" s="121" t="str">
        <v/>
      </c>
      <c r="T1900" s="119" t="str">
        <f>IF($C1900&lt;4,IF($C1900=3,T1901,IF($C1900=2,T$1,"")),Q1900&amp;R1900&amp;IF(LEN(S1900)=0,"",Preferences!$C$2&amp;S1900)&amp;IF(J1901=J1900,IF(LEN(R1900&amp;S1900)=0,"","
")&amp;T1901,""))</f>
        <v xml:space="preserve"> 2. The full profile must be removed from operational use.</v>
      </c>
      <c r="U1900" s="122" t="str">
        <v/>
      </c>
      <c r="V1900" s="42"/>
      <c r="W1900" s="42"/>
      <c r="X1900" s="42"/>
      <c r="Y1900" s="42"/>
      <c r="Z1900" s="42"/>
      <c r="AA1900" s="42"/>
      <c r="AB1900" s="42"/>
    </row>
    <row r="1901" spans="1:28" x14ac:dyDescent="0.25">
      <c r="A1901" s="42" t="str">
        <v>4.2</v>
      </c>
      <c r="B1901" s="121" t="str">
        <v>2 Customer Data Sharing</v>
      </c>
      <c r="C1901" s="41">
        <v>2</v>
      </c>
      <c r="D1901" s="41" t="str">
        <v>RS</v>
      </c>
      <c r="E1901" s="117" t="str">
        <f t="shared" si="0"/>
        <v>RS</v>
      </c>
      <c r="F1901" s="41" t="str">
        <v/>
      </c>
      <c r="G1901" s="41" t="str">
        <v/>
      </c>
      <c r="H1901" s="117">
        <f t="shared" si="1"/>
        <v>0</v>
      </c>
      <c r="I1901" s="117">
        <f t="shared" si="2"/>
        <v>2</v>
      </c>
      <c r="J1901" s="117">
        <f t="shared" si="3"/>
        <v>2</v>
      </c>
      <c r="K1901" s="117" t="str">
        <f t="shared" si="4"/>
        <v>DR</v>
      </c>
      <c r="L1901" s="42">
        <v>2</v>
      </c>
      <c r="M1901" s="121" t="str">
        <v/>
      </c>
      <c r="N1901" s="121" t="str">
        <v>2 Customer Data Sharing</v>
      </c>
      <c r="O1901" s="121" t="str">
        <v>ReqID</v>
      </c>
      <c r="P1901" s="121" t="e">
        <v>#N/A</v>
      </c>
      <c r="Q1901" s="121" t="str">
        <v/>
      </c>
      <c r="R1901" s="121" t="str">
        <v/>
      </c>
      <c r="S1901" s="121" t="str">
        <v/>
      </c>
      <c r="T1901" s="119" t="str">
        <f>IF($C1901&lt;4,IF($C1901=3,T1902,IF($C1901=2,T$1,"")),Q1901&amp;R1901&amp;IF(LEN(S1901)=0,"",Preferences!$C$2&amp;S1901)&amp;IF(J1902=J1901,IF(LEN(R1901&amp;S1901)=0,"","
")&amp;T1902,""))</f>
        <v>Description</v>
      </c>
      <c r="U1901" s="122" t="str">
        <v/>
      </c>
      <c r="V1901" s="42"/>
      <c r="W1901" s="42"/>
      <c r="X1901" s="42"/>
      <c r="Y1901" s="42"/>
      <c r="Z1901" s="42"/>
      <c r="AA1901" s="42"/>
      <c r="AB1901" s="42"/>
    </row>
    <row r="1902" spans="1:28" x14ac:dyDescent="0.25">
      <c r="A1902" s="42" t="str">
        <v>4.2.1</v>
      </c>
      <c r="B1902" s="121" t="str">
        <v>2.1 Adhere to customer consent to share</v>
      </c>
      <c r="C1902" s="41">
        <v>3</v>
      </c>
      <c r="D1902" s="41" t="str">
        <v>R</v>
      </c>
      <c r="E1902" s="117" t="str">
        <f t="shared" si="0"/>
        <v>R</v>
      </c>
      <c r="F1902" s="41" t="str">
        <v/>
      </c>
      <c r="G1902" s="41" t="str">
        <v/>
      </c>
      <c r="H1902" s="117">
        <f t="shared" si="1"/>
        <v>0</v>
      </c>
      <c r="I1902" s="117">
        <f t="shared" si="2"/>
        <v>2</v>
      </c>
      <c r="J1902" s="117">
        <f t="shared" si="3"/>
        <v>2.0099999999999998</v>
      </c>
      <c r="K1902" s="117" t="str">
        <f t="shared" si="4"/>
        <v>DR</v>
      </c>
      <c r="L1902" s="42" t="str">
        <v>DR0201</v>
      </c>
      <c r="M1902" s="121" t="str">
        <v/>
      </c>
      <c r="N1902" s="121" t="str">
        <v/>
      </c>
      <c r="O1902" s="121" t="str">
        <v>DR0201</v>
      </c>
      <c r="P1902" s="121" t="str">
        <v>Adhere to customer consent to share</v>
      </c>
      <c r="Q1902" s="121" t="str">
        <v/>
      </c>
      <c r="R1902" s="121" t="str">
        <v/>
      </c>
      <c r="S1902" s="121" t="str">
        <v/>
      </c>
      <c r="T1902" s="119" t="str">
        <f>IF($C1902&lt;4,IF($C1902=3,T1903,IF($C1902=2,T$1,"")),Q1902&amp;R1902&amp;IF(LEN(S1902)=0,"",Preferences!$C$2&amp;S1902)&amp;IF(J1903=J1902,IF(LEN(R1902&amp;S1902)=0,"","
")&amp;T1903,""))</f>
        <v xml:space="preserve"> 1. The online store terms and conditions must explicitly state the legal entities that will have access to a customer's data.
 2. Explicit mention must be made of the privacy of their children's details.
</v>
      </c>
      <c r="U1902" s="122" t="str">
        <v/>
      </c>
      <c r="V1902" s="42"/>
      <c r="W1902" s="42"/>
      <c r="X1902" s="42"/>
      <c r="Y1902" s="42"/>
      <c r="Z1902" s="42"/>
      <c r="AA1902" s="42"/>
      <c r="AB1902" s="42"/>
    </row>
    <row r="1903" spans="1:28" x14ac:dyDescent="0.25">
      <c r="A1903" s="42" t="str">
        <v>4.2.1.1</v>
      </c>
      <c r="B1903" s="121" t="str">
        <v>The online store terms and conditions must explicitly state the legal entities that will have access to a customer's data.</v>
      </c>
      <c r="C1903" s="41">
        <v>4</v>
      </c>
      <c r="D1903" s="41" t="str">
        <v>RD</v>
      </c>
      <c r="E1903" s="117" t="str">
        <f t="shared" si="0"/>
        <v>RD</v>
      </c>
      <c r="F1903" s="41" t="str">
        <v/>
      </c>
      <c r="G1903" s="41" t="str">
        <v/>
      </c>
      <c r="H1903" s="117">
        <f t="shared" si="1"/>
        <v>0</v>
      </c>
      <c r="I1903" s="117">
        <f t="shared" si="2"/>
        <v>2</v>
      </c>
      <c r="J1903" s="117">
        <f t="shared" si="3"/>
        <v>2.0099999999999998</v>
      </c>
      <c r="K1903" s="117" t="str">
        <f t="shared" si="4"/>
        <v>DR</v>
      </c>
      <c r="L1903" s="42" t="str">
        <v>DR0201</v>
      </c>
      <c r="M1903" s="121" t="str">
        <v/>
      </c>
      <c r="N1903" s="121" t="str">
        <v/>
      </c>
      <c r="O1903" s="121" t="str">
        <v/>
      </c>
      <c r="P1903" s="121" t="str">
        <v/>
      </c>
      <c r="Q1903" s="121" t="str">
        <v xml:space="preserve"> 1. </v>
      </c>
      <c r="R1903" s="121" t="str">
        <v>The online store terms and conditions must explicitly state the legal entities that will have access to a customer's data.</v>
      </c>
      <c r="S1903" s="121" t="str">
        <v/>
      </c>
      <c r="T1903" s="119" t="str">
        <f>IF($C1903&lt;4,IF($C1903=3,T1904,IF($C1903=2,T$1,"")),Q1903&amp;R1903&amp;IF(LEN(S1903)=0,"",Preferences!$C$2&amp;S1903)&amp;IF(J1904=J1903,IF(LEN(R1903&amp;S1903)=0,"","
")&amp;T1904,""))</f>
        <v xml:space="preserve"> 1. The online store terms and conditions must explicitly state the legal entities that will have access to a customer's data.
 2. Explicit mention must be made of the privacy of their children's details.
</v>
      </c>
      <c r="U1903" s="122" t="str">
        <v/>
      </c>
      <c r="V1903" s="42"/>
      <c r="W1903" s="42"/>
      <c r="X1903" s="42"/>
      <c r="Y1903" s="42"/>
      <c r="Z1903" s="42"/>
      <c r="AA1903" s="42"/>
      <c r="AB1903" s="42"/>
    </row>
    <row r="1904" spans="1:28" x14ac:dyDescent="0.25">
      <c r="A1904" s="42" t="str">
        <v>4.2.1.2</v>
      </c>
      <c r="B1904" s="121" t="str">
        <v>Explicit mention must be made of the privacy of their children's details.</v>
      </c>
      <c r="C1904" s="41">
        <v>4</v>
      </c>
      <c r="D1904" s="41" t="str">
        <v>RD</v>
      </c>
      <c r="E1904" s="117" t="str">
        <f t="shared" si="0"/>
        <v>RD</v>
      </c>
      <c r="F1904" s="41" t="str">
        <v/>
      </c>
      <c r="G1904" s="41" t="str">
        <v/>
      </c>
      <c r="H1904" s="117">
        <f t="shared" si="1"/>
        <v>0</v>
      </c>
      <c r="I1904" s="117">
        <f t="shared" si="2"/>
        <v>2</v>
      </c>
      <c r="J1904" s="117">
        <f t="shared" si="3"/>
        <v>2.0099999999999998</v>
      </c>
      <c r="K1904" s="117" t="str">
        <f t="shared" si="4"/>
        <v>DR</v>
      </c>
      <c r="L1904" s="42" t="str">
        <v>DR0201</v>
      </c>
      <c r="M1904" s="121" t="str">
        <v/>
      </c>
      <c r="N1904" s="121" t="str">
        <v/>
      </c>
      <c r="O1904" s="121" t="str">
        <v/>
      </c>
      <c r="P1904" s="121" t="str">
        <v/>
      </c>
      <c r="Q1904" s="121" t="str">
        <v xml:space="preserve"> 2. </v>
      </c>
      <c r="R1904" s="121" t="str">
        <v>Explicit mention must be made of the privacy of their children's details.</v>
      </c>
      <c r="S1904" s="121" t="str">
        <v/>
      </c>
      <c r="T1904" s="119" t="str">
        <f>IF($C1904&lt;4,IF($C1904=3,T1905,IF($C1904=2,T$1,"")),Q1904&amp;R1904&amp;IF(LEN(S1904)=0,"",Preferences!$C$2&amp;S1904)&amp;IF(J1905=J1904,IF(LEN(R1904&amp;S1904)=0,"","
")&amp;T1905,""))</f>
        <v xml:space="preserve"> 2. Explicit mention must be made of the privacy of their children's details.
</v>
      </c>
      <c r="U1904" s="122" t="str">
        <v/>
      </c>
      <c r="V1904" s="42"/>
      <c r="W1904" s="42"/>
      <c r="X1904" s="42"/>
      <c r="Y1904" s="42"/>
      <c r="Z1904" s="42"/>
      <c r="AA1904" s="42"/>
      <c r="AB1904" s="42"/>
    </row>
    <row r="1905" spans="1:28" x14ac:dyDescent="0.25">
      <c r="A1905" s="42" t="str">
        <v>5</v>
      </c>
      <c r="B1905" s="121" t="str">
        <v>Constraints, Assumptions, Issues, Risks</v>
      </c>
      <c r="C1905" s="41">
        <v>1</v>
      </c>
      <c r="D1905" s="41" t="str">
        <v>H</v>
      </c>
      <c r="E1905" s="117" t="str">
        <f t="shared" si="0"/>
        <v>H</v>
      </c>
      <c r="F1905" s="41">
        <v>0</v>
      </c>
      <c r="G1905" s="41">
        <v>0</v>
      </c>
      <c r="H1905" s="117">
        <f t="shared" si="1"/>
        <v>0</v>
      </c>
      <c r="I1905" s="117">
        <f t="shared" si="2"/>
        <v>0</v>
      </c>
      <c r="J1905" s="117">
        <f t="shared" si="3"/>
        <v>2.0099999999999998</v>
      </c>
      <c r="K1905" s="117">
        <f t="shared" si="4"/>
        <v>0</v>
      </c>
      <c r="L1905" s="42">
        <v>2.0099999999999998</v>
      </c>
      <c r="M1905" s="121" t="str">
        <v>Constraints, Assumptions, Issues, Risks</v>
      </c>
      <c r="N1905" s="121" t="str">
        <v/>
      </c>
      <c r="O1905" s="121" t="str">
        <v/>
      </c>
      <c r="P1905" s="121" t="str">
        <v/>
      </c>
      <c r="Q1905" s="121" t="str">
        <v/>
      </c>
      <c r="R1905" s="121" t="str">
        <v/>
      </c>
      <c r="S1905" s="121" t="str">
        <v/>
      </c>
      <c r="T1905" s="119" t="str">
        <f>IF($C1905&lt;4,IF($C1905=3,T1906,IF($C1905=2,T$1,"")),Q1905&amp;R1905&amp;IF(LEN(S1905)=0,"",Preferences!$C$2&amp;S1905)&amp;IF(J1906=J1905,IF(LEN(R1905&amp;S1905)=0,"","
")&amp;T1906,""))</f>
        <v/>
      </c>
      <c r="U1905" s="122" t="str">
        <v/>
      </c>
      <c r="V1905" s="42"/>
      <c r="W1905" s="42"/>
      <c r="X1905" s="42"/>
      <c r="Y1905" s="42"/>
      <c r="Z1905" s="42"/>
      <c r="AA1905" s="42"/>
      <c r="AB1905" s="42"/>
    </row>
    <row r="1906" spans="1:28" x14ac:dyDescent="0.25">
      <c r="A1906" s="42" t="str">
        <v>5.1</v>
      </c>
      <c r="B1906" s="121" t="str">
        <v>1 Constraints, Assumptions, Issues, Risks</v>
      </c>
      <c r="C1906" s="41">
        <v>2</v>
      </c>
      <c r="D1906" s="41" t="str">
        <v>RS</v>
      </c>
      <c r="E1906" s="117" t="str">
        <f t="shared" si="0"/>
        <v>RS</v>
      </c>
      <c r="F1906" s="41" t="str">
        <v/>
      </c>
      <c r="G1906" s="41" t="str">
        <v/>
      </c>
      <c r="H1906" s="117">
        <f t="shared" si="1"/>
        <v>0</v>
      </c>
      <c r="I1906" s="117">
        <f t="shared" si="2"/>
        <v>1</v>
      </c>
      <c r="J1906" s="117">
        <f t="shared" si="3"/>
        <v>1</v>
      </c>
      <c r="K1906" s="117">
        <f t="shared" si="4"/>
        <v>0</v>
      </c>
      <c r="L1906" s="42">
        <v>1</v>
      </c>
      <c r="M1906" s="121" t="str">
        <v/>
      </c>
      <c r="N1906" s="121" t="str">
        <v>1 Constraints, Assumptions, Issues, Risks</v>
      </c>
      <c r="O1906" s="121" t="str">
        <v>ReqID</v>
      </c>
      <c r="P1906" s="121" t="e">
        <v>#N/A</v>
      </c>
      <c r="Q1906" s="121" t="str">
        <v/>
      </c>
      <c r="R1906" s="121" t="str">
        <v/>
      </c>
      <c r="S1906" s="121" t="str">
        <v/>
      </c>
      <c r="T1906" s="119" t="str">
        <f>IF($C1906&lt;4,IF($C1906=3,T1907,IF($C1906=2,T$1,"")),Q1906&amp;R1906&amp;IF(LEN(S1906)=0,"",Preferences!$C$2&amp;S1906)&amp;IF(J1907=J1906,IF(LEN(R1906&amp;S1906)=0,"","
")&amp;T1907,""))</f>
        <v>Description</v>
      </c>
      <c r="U1906" s="122" t="str">
        <v/>
      </c>
      <c r="V1906" s="42"/>
      <c r="W1906" s="42"/>
      <c r="X1906" s="42"/>
      <c r="Y1906" s="42"/>
      <c r="Z1906" s="42"/>
      <c r="AA1906" s="42"/>
      <c r="AB1906" s="42"/>
    </row>
    <row r="1907" spans="1:28" x14ac:dyDescent="0.25">
      <c r="A1907" s="42" t="str">
        <v>5.1.1</v>
      </c>
      <c r="B1907" s="121" t="str">
        <v>1.1 Constraints</v>
      </c>
      <c r="C1907" s="41">
        <v>3</v>
      </c>
      <c r="D1907" s="41" t="str">
        <v>R</v>
      </c>
      <c r="E1907" s="117" t="str">
        <f t="shared" si="0"/>
        <v>R</v>
      </c>
      <c r="F1907" s="41" t="str">
        <v/>
      </c>
      <c r="G1907" s="41" t="str">
        <v/>
      </c>
      <c r="H1907" s="117">
        <f t="shared" si="1"/>
        <v>0</v>
      </c>
      <c r="I1907" s="117">
        <f t="shared" si="2"/>
        <v>1</v>
      </c>
      <c r="J1907" s="117">
        <f t="shared" si="3"/>
        <v>1.01</v>
      </c>
      <c r="K1907" s="117">
        <f t="shared" si="4"/>
        <v>0</v>
      </c>
      <c r="L1907" s="42" t="str">
        <v>00101</v>
      </c>
      <c r="M1907" s="121" t="str">
        <v/>
      </c>
      <c r="N1907" s="121" t="str">
        <v/>
      </c>
      <c r="O1907" s="121" t="str">
        <v>00101</v>
      </c>
      <c r="P1907" s="121" t="str">
        <v>Constraints</v>
      </c>
      <c r="Q1907" s="121" t="str">
        <v/>
      </c>
      <c r="R1907" s="121" t="str">
        <v/>
      </c>
      <c r="S1907" s="121" t="str">
        <v/>
      </c>
      <c r="T1907" s="119" t="str">
        <f>IF($C1907&lt;4,IF($C1907=3,T1908,IF($C1907=2,T$1,"")),Q1907&amp;R1907&amp;IF(LEN(S1907)=0,"",Preferences!$C$2&amp;S1907)&amp;IF(J1908=J1907,IF(LEN(R1907&amp;S1907)=0,"","
")&amp;T1908,""))</f>
        <v xml:space="preserve"> 1. The ability to deliver the solution is subject to the availability of the resources of the Shoprite IT and related software service providers required to deliver the solution.
 2. The business solution will only implement capabilities that are available in the chosen IT systems and technologies.
 3. Communication with suppliers will be automated by using systems integration technologies that meet Shoprite standards.
 4. Communication with couriers will be automated by using systems integration technologies that meet Shoprite standards.</v>
      </c>
      <c r="U1907" s="122" t="str">
        <v/>
      </c>
      <c r="V1907" s="42"/>
      <c r="W1907" s="42"/>
      <c r="X1907" s="42"/>
      <c r="Y1907" s="42"/>
      <c r="Z1907" s="42"/>
      <c r="AA1907" s="42"/>
      <c r="AB1907" s="42"/>
    </row>
    <row r="1908" spans="1:28" x14ac:dyDescent="0.25">
      <c r="A1908" s="42" t="str">
        <v>5.1.1.1</v>
      </c>
      <c r="B1908" s="121" t="str">
        <v>The ability to deliver the solution is subject to the availability of the resources of the Shoprite IT and related software service providers required to deliver the solution.</v>
      </c>
      <c r="C1908" s="41">
        <v>4</v>
      </c>
      <c r="D1908" s="41" t="str">
        <v>RD</v>
      </c>
      <c r="E1908" s="117" t="str">
        <f t="shared" si="0"/>
        <v>RD</v>
      </c>
      <c r="F1908" s="41" t="str">
        <v/>
      </c>
      <c r="G1908" s="41" t="str">
        <v/>
      </c>
      <c r="H1908" s="117">
        <f t="shared" si="1"/>
        <v>0</v>
      </c>
      <c r="I1908" s="117">
        <f t="shared" si="2"/>
        <v>1</v>
      </c>
      <c r="J1908" s="117">
        <f t="shared" si="3"/>
        <v>1.01</v>
      </c>
      <c r="K1908" s="117">
        <f t="shared" si="4"/>
        <v>0</v>
      </c>
      <c r="L1908" s="42" t="str">
        <v>00101</v>
      </c>
      <c r="M1908" s="121" t="str">
        <v/>
      </c>
      <c r="N1908" s="121" t="str">
        <v/>
      </c>
      <c r="O1908" s="121" t="str">
        <v/>
      </c>
      <c r="P1908" s="121" t="str">
        <v/>
      </c>
      <c r="Q1908" s="121" t="str">
        <v xml:space="preserve"> 1. </v>
      </c>
      <c r="R1908" s="121" t="str">
        <v>The ability to deliver the solution is subject to the availability of the resources of the Shoprite IT and related software service providers required to deliver the solution.</v>
      </c>
      <c r="S1908" s="121" t="str">
        <v/>
      </c>
      <c r="T1908" s="119" t="str">
        <f>IF($C1908&lt;4,IF($C1908=3,T1909,IF($C1908=2,T$1,"")),Q1908&amp;R1908&amp;IF(LEN(S1908)=0,"",Preferences!$C$2&amp;S1908)&amp;IF(J1909=J1908,IF(LEN(R1908&amp;S1908)=0,"","
")&amp;T1909,""))</f>
        <v xml:space="preserve"> 1. The ability to deliver the solution is subject to the availability of the resources of the Shoprite IT and related software service providers required to deliver the solution.
 2. The business solution will only implement capabilities that are available in the chosen IT systems and technologies.
 3. Communication with suppliers will be automated by using systems integration technologies that meet Shoprite standards.
 4. Communication with couriers will be automated by using systems integration technologies that meet Shoprite standards.</v>
      </c>
      <c r="U1908" s="122" t="str">
        <v/>
      </c>
      <c r="V1908" s="42"/>
      <c r="W1908" s="42"/>
      <c r="X1908" s="42"/>
      <c r="Y1908" s="42"/>
      <c r="Z1908" s="42"/>
      <c r="AA1908" s="42"/>
      <c r="AB1908" s="42"/>
    </row>
    <row r="1909" spans="1:28" x14ac:dyDescent="0.25">
      <c r="A1909" s="42" t="str">
        <v>5.1.1.2</v>
      </c>
      <c r="B1909" s="121" t="str">
        <v>The business solution will only implement capabilities that are available in the chosen IT systems and technologies.</v>
      </c>
      <c r="C1909" s="41">
        <v>4</v>
      </c>
      <c r="D1909" s="41" t="str">
        <v>RD</v>
      </c>
      <c r="E1909" s="117" t="str">
        <f t="shared" si="0"/>
        <v>RD</v>
      </c>
      <c r="F1909" s="41" t="str">
        <v/>
      </c>
      <c r="G1909" s="41" t="str">
        <v/>
      </c>
      <c r="H1909" s="117">
        <f t="shared" si="1"/>
        <v>0</v>
      </c>
      <c r="I1909" s="117">
        <f t="shared" si="2"/>
        <v>1</v>
      </c>
      <c r="J1909" s="117">
        <f t="shared" si="3"/>
        <v>1.01</v>
      </c>
      <c r="K1909" s="117">
        <f t="shared" si="4"/>
        <v>0</v>
      </c>
      <c r="L1909" s="42" t="str">
        <v>00101</v>
      </c>
      <c r="M1909" s="121" t="str">
        <v/>
      </c>
      <c r="N1909" s="121" t="str">
        <v/>
      </c>
      <c r="O1909" s="121" t="str">
        <v/>
      </c>
      <c r="P1909" s="121" t="str">
        <v/>
      </c>
      <c r="Q1909" s="121" t="str">
        <v xml:space="preserve"> 2. </v>
      </c>
      <c r="R1909" s="121" t="str">
        <v>The business solution will only implement capabilities that are available in the chosen IT systems and technologies.</v>
      </c>
      <c r="S1909" s="121" t="str">
        <v/>
      </c>
      <c r="T1909" s="119" t="str">
        <f>IF($C1909&lt;4,IF($C1909=3,T1910,IF($C1909=2,T$1,"")),Q1909&amp;R1909&amp;IF(LEN(S1909)=0,"",Preferences!$C$2&amp;S1909)&amp;IF(J1910=J1909,IF(LEN(R1909&amp;S1909)=0,"","
")&amp;T1910,""))</f>
        <v xml:space="preserve"> 2. The business solution will only implement capabilities that are available in the chosen IT systems and technologies.
 3. Communication with suppliers will be automated by using systems integration technologies that meet Shoprite standards.
 4. Communication with couriers will be automated by using systems integration technologies that meet Shoprite standards.</v>
      </c>
      <c r="U1909" s="122" t="str">
        <v/>
      </c>
      <c r="V1909" s="42"/>
      <c r="W1909" s="42"/>
      <c r="X1909" s="42"/>
      <c r="Y1909" s="42"/>
      <c r="Z1909" s="42"/>
      <c r="AA1909" s="42"/>
      <c r="AB1909" s="42"/>
    </row>
    <row r="1910" spans="1:28" x14ac:dyDescent="0.25">
      <c r="A1910" s="42" t="str">
        <v>5.1.1.3</v>
      </c>
      <c r="B1910" s="121" t="str">
        <v>Communication with suppliers will be automated by using systems integration technologies that meet Shoprite standards.</v>
      </c>
      <c r="C1910" s="41">
        <v>4</v>
      </c>
      <c r="D1910" s="41" t="str">
        <v>RD</v>
      </c>
      <c r="E1910" s="117" t="str">
        <f t="shared" si="0"/>
        <v>RD</v>
      </c>
      <c r="F1910" s="41" t="str">
        <v/>
      </c>
      <c r="G1910" s="41" t="str">
        <v/>
      </c>
      <c r="H1910" s="117">
        <f t="shared" si="1"/>
        <v>0</v>
      </c>
      <c r="I1910" s="117">
        <f t="shared" si="2"/>
        <v>1</v>
      </c>
      <c r="J1910" s="117">
        <f t="shared" si="3"/>
        <v>1.01</v>
      </c>
      <c r="K1910" s="117">
        <f t="shared" si="4"/>
        <v>0</v>
      </c>
      <c r="L1910" s="42" t="str">
        <v>00101</v>
      </c>
      <c r="M1910" s="121" t="str">
        <v/>
      </c>
      <c r="N1910" s="121" t="str">
        <v/>
      </c>
      <c r="O1910" s="121" t="str">
        <v/>
      </c>
      <c r="P1910" s="121" t="str">
        <v/>
      </c>
      <c r="Q1910" s="121" t="str">
        <v xml:space="preserve"> 3. </v>
      </c>
      <c r="R1910" s="121" t="str">
        <v>Communication with suppliers will be automated by using systems integration technologies that meet Shoprite standards.</v>
      </c>
      <c r="S1910" s="121" t="str">
        <v/>
      </c>
      <c r="T1910" s="119" t="str">
        <f>IF($C1910&lt;4,IF($C1910=3,T1911,IF($C1910=2,T$1,"")),Q1910&amp;R1910&amp;IF(LEN(S1910)=0,"",Preferences!$C$2&amp;S1910)&amp;IF(J1911=J1910,IF(LEN(R1910&amp;S1910)=0,"","
")&amp;T1911,""))</f>
        <v xml:space="preserve"> 3. Communication with suppliers will be automated by using systems integration technologies that meet Shoprite standards.
 4. Communication with couriers will be automated by using systems integration technologies that meet Shoprite standards.</v>
      </c>
      <c r="U1910" s="122" t="str">
        <v/>
      </c>
      <c r="V1910" s="42"/>
      <c r="W1910" s="42"/>
      <c r="X1910" s="42"/>
      <c r="Y1910" s="42"/>
      <c r="Z1910" s="42"/>
      <c r="AA1910" s="42"/>
      <c r="AB1910" s="42"/>
    </row>
    <row r="1911" spans="1:28" x14ac:dyDescent="0.25">
      <c r="A1911" s="42" t="str">
        <v>5.1.1.4</v>
      </c>
      <c r="B1911" s="121" t="str">
        <v>Communication with couriers will be automated by using systems integration technologies that meet Shoprite standards.</v>
      </c>
      <c r="C1911" s="41">
        <v>4</v>
      </c>
      <c r="D1911" s="41" t="str">
        <v>RD</v>
      </c>
      <c r="E1911" s="117" t="str">
        <f t="shared" si="0"/>
        <v>RD</v>
      </c>
      <c r="F1911" s="41" t="str">
        <v/>
      </c>
      <c r="G1911" s="41" t="str">
        <v/>
      </c>
      <c r="H1911" s="117">
        <f t="shared" si="1"/>
        <v>0</v>
      </c>
      <c r="I1911" s="117">
        <f t="shared" si="2"/>
        <v>1</v>
      </c>
      <c r="J1911" s="117">
        <f t="shared" si="3"/>
        <v>1.01</v>
      </c>
      <c r="K1911" s="117">
        <f t="shared" si="4"/>
        <v>0</v>
      </c>
      <c r="L1911" s="42" t="str">
        <v>00101</v>
      </c>
      <c r="M1911" s="121" t="str">
        <v/>
      </c>
      <c r="N1911" s="121" t="str">
        <v/>
      </c>
      <c r="O1911" s="121" t="str">
        <v/>
      </c>
      <c r="P1911" s="121" t="str">
        <v/>
      </c>
      <c r="Q1911" s="121" t="str">
        <v xml:space="preserve"> 4. </v>
      </c>
      <c r="R1911" s="121" t="str">
        <v>Communication with couriers will be automated by using systems integration technologies that meet Shoprite standards.</v>
      </c>
      <c r="S1911" s="121" t="str">
        <v/>
      </c>
      <c r="T1911" s="119" t="str">
        <f>IF($C1911&lt;4,IF($C1911=3,T1912,IF($C1911=2,T$1,"")),Q1911&amp;R1911&amp;IF(LEN(S1911)=0,"",Preferences!$C$2&amp;S1911)&amp;IF(J1912=J1911,IF(LEN(R1911&amp;S1911)=0,"","
")&amp;T1912,""))</f>
        <v xml:space="preserve"> 4. Communication with couriers will be automated by using systems integration technologies that meet Shoprite standards.</v>
      </c>
      <c r="U1911" s="122" t="str">
        <v/>
      </c>
      <c r="V1911" s="42"/>
      <c r="W1911" s="42"/>
      <c r="X1911" s="42"/>
      <c r="Y1911" s="42"/>
      <c r="Z1911" s="42"/>
      <c r="AA1911" s="42"/>
      <c r="AB1911" s="42"/>
    </row>
    <row r="1912" spans="1:28" x14ac:dyDescent="0.25">
      <c r="A1912" s="42" t="str">
        <v>5.1.2</v>
      </c>
      <c r="B1912" s="121" t="str">
        <v>1.2 Assumptions</v>
      </c>
      <c r="C1912" s="41">
        <v>3</v>
      </c>
      <c r="D1912" s="41" t="str">
        <v>R</v>
      </c>
      <c r="E1912" s="117" t="str">
        <f t="shared" si="0"/>
        <v>R</v>
      </c>
      <c r="F1912" s="41" t="str">
        <v/>
      </c>
      <c r="G1912" s="41" t="str">
        <v/>
      </c>
      <c r="H1912" s="117">
        <f t="shared" si="1"/>
        <v>0</v>
      </c>
      <c r="I1912" s="117">
        <f t="shared" si="2"/>
        <v>1</v>
      </c>
      <c r="J1912" s="117">
        <f t="shared" si="3"/>
        <v>1.02</v>
      </c>
      <c r="K1912" s="117">
        <f t="shared" si="4"/>
        <v>0</v>
      </c>
      <c r="L1912" s="42" t="str">
        <v>00102</v>
      </c>
      <c r="M1912" s="121" t="str">
        <v/>
      </c>
      <c r="N1912" s="121" t="str">
        <v/>
      </c>
      <c r="O1912" s="121" t="str">
        <v>00102</v>
      </c>
      <c r="P1912" s="121" t="str">
        <v>Assumptions</v>
      </c>
      <c r="Q1912" s="121" t="str">
        <v/>
      </c>
      <c r="R1912" s="121" t="str">
        <v/>
      </c>
      <c r="S1912" s="121" t="str">
        <v/>
      </c>
      <c r="T1912" s="119" t="str">
        <f>IF($C1912&lt;4,IF($C1912=3,T1913,IF($C1912=2,T$1,"")),Q1912&amp;R1912&amp;IF(LEN(S1912)=0,"",Preferences!$C$2&amp;S1912)&amp;IF(J1913=J1912,IF(LEN(R1912&amp;S1912)=0,"","
")&amp;T1913,""))</f>
        <v xml:space="preserve"> 1. Each B2C Co product will be supplied by a specific supplier (not multiple sources).</v>
      </c>
      <c r="U1912" s="122" t="str">
        <v/>
      </c>
      <c r="V1912" s="42"/>
      <c r="W1912" s="42"/>
      <c r="X1912" s="42"/>
      <c r="Y1912" s="42"/>
      <c r="Z1912" s="42"/>
      <c r="AA1912" s="42"/>
      <c r="AB1912" s="42"/>
    </row>
    <row r="1913" spans="1:28" x14ac:dyDescent="0.25">
      <c r="A1913" s="42" t="str">
        <v>5.1.2.1</v>
      </c>
      <c r="B1913" s="121" t="str">
        <v>Each B2C Co product will be supplied by a specific supplier (not multiple sources).</v>
      </c>
      <c r="C1913" s="41">
        <v>4</v>
      </c>
      <c r="D1913" s="41" t="str">
        <v>RD</v>
      </c>
      <c r="E1913" s="117" t="str">
        <f t="shared" si="0"/>
        <v>RD</v>
      </c>
      <c r="F1913" s="41" t="str">
        <v/>
      </c>
      <c r="G1913" s="41" t="str">
        <v/>
      </c>
      <c r="H1913" s="117">
        <f t="shared" si="1"/>
        <v>0</v>
      </c>
      <c r="I1913" s="117">
        <f t="shared" si="2"/>
        <v>1</v>
      </c>
      <c r="J1913" s="117">
        <f t="shared" si="3"/>
        <v>1.02</v>
      </c>
      <c r="K1913" s="117">
        <f t="shared" si="4"/>
        <v>0</v>
      </c>
      <c r="L1913" s="42" t="str">
        <v>00102</v>
      </c>
      <c r="M1913" s="121" t="str">
        <v/>
      </c>
      <c r="N1913" s="121" t="str">
        <v/>
      </c>
      <c r="O1913" s="121" t="str">
        <v/>
      </c>
      <c r="P1913" s="121" t="str">
        <v/>
      </c>
      <c r="Q1913" s="121" t="str">
        <v xml:space="preserve"> 1. </v>
      </c>
      <c r="R1913" s="121" t="str">
        <v>Each B2C Co product will be supplied by a specific supplier (not multiple sources).</v>
      </c>
      <c r="S1913" s="121" t="str">
        <v/>
      </c>
      <c r="T1913" s="119" t="str">
        <f>IF($C1913&lt;4,IF($C1913=3,T1914,IF($C1913=2,T$1,"")),Q1913&amp;R1913&amp;IF(LEN(S1913)=0,"",Preferences!$C$2&amp;S1913)&amp;IF(J1914=J1913,IF(LEN(R1913&amp;S1913)=0,"","
")&amp;T1914,""))</f>
        <v xml:space="preserve"> 1. Each B2C Co product will be supplied by a specific supplier (not multiple sources).</v>
      </c>
      <c r="U1913" s="122" t="str">
        <v/>
      </c>
      <c r="V1913" s="42"/>
      <c r="W1913" s="42"/>
      <c r="X1913" s="42"/>
      <c r="Y1913" s="42"/>
      <c r="Z1913" s="42"/>
      <c r="AA1913" s="42"/>
      <c r="AB1913" s="42"/>
    </row>
    <row r="1914" spans="1:28" x14ac:dyDescent="0.25">
      <c r="A1914" s="42" t="str">
        <v>5.1.3</v>
      </c>
      <c r="B1914" s="121" t="str">
        <v>1.3 Issues</v>
      </c>
      <c r="C1914" s="41">
        <v>3</v>
      </c>
      <c r="D1914" s="41" t="str">
        <v>R</v>
      </c>
      <c r="E1914" s="117" t="str">
        <f t="shared" si="0"/>
        <v>R</v>
      </c>
      <c r="F1914" s="41" t="str">
        <v/>
      </c>
      <c r="G1914" s="41" t="str">
        <v/>
      </c>
      <c r="H1914" s="117">
        <f t="shared" si="1"/>
        <v>0</v>
      </c>
      <c r="I1914" s="117">
        <f t="shared" si="2"/>
        <v>1</v>
      </c>
      <c r="J1914" s="117">
        <f t="shared" si="3"/>
        <v>1.03</v>
      </c>
      <c r="K1914" s="117">
        <f t="shared" si="4"/>
        <v>0</v>
      </c>
      <c r="L1914" s="42" t="str">
        <v>00103</v>
      </c>
      <c r="M1914" s="121" t="str">
        <v/>
      </c>
      <c r="N1914" s="121" t="str">
        <v/>
      </c>
      <c r="O1914" s="121" t="str">
        <v>00103</v>
      </c>
      <c r="P1914" s="121" t="str">
        <v>Issues</v>
      </c>
      <c r="Q1914" s="121" t="str">
        <v/>
      </c>
      <c r="R1914" s="121" t="str">
        <v/>
      </c>
      <c r="S1914" s="121" t="str">
        <v/>
      </c>
      <c r="T1914" s="119" t="str">
        <f>IF($C1914&lt;4,IF($C1914=3,T1915,IF($C1914=2,T$1,"")),Q1914&amp;R1914&amp;IF(LEN(S1914)=0,"",Preferences!$C$2&amp;S1914)&amp;IF(J1915=J1914,IF(LEN(R1914&amp;S1914)=0,"","
")&amp;T1915,""))</f>
        <v xml:space="preserve"> 1. To limit/prevent possible market cannibalisation of the market, the envisaged brand and how it fits into the bigger Shoprite strategic roadmap will have to be agreed with Shoprite senior management.
 2. In order to provide a minimum viable solution in as short a time as possible, the capabilities and functions required for the business solution will have to be prioritised (extending capabilities and functions in an agreed roadmap and maturing over time).
 3. In order to be able to deliver the solution, budget allocation and delivery prioritisation will have to be agreed with Shoprite senior management.</v>
      </c>
      <c r="U1914" s="122" t="str">
        <v/>
      </c>
      <c r="V1914" s="42"/>
      <c r="W1914" s="42"/>
      <c r="X1914" s="42"/>
      <c r="Y1914" s="42"/>
      <c r="Z1914" s="42"/>
      <c r="AA1914" s="42"/>
      <c r="AB1914" s="42"/>
    </row>
    <row r="1915" spans="1:28" x14ac:dyDescent="0.25">
      <c r="A1915" s="42" t="str">
        <v>5.1.3.1</v>
      </c>
      <c r="B1915" s="121" t="str">
        <v>To limit/prevent possible market cannibalisation of the market, the envisaged brand and how it fits into the bigger Shoprite strategic roadmap will have to be agreed with Shoprite senior management.</v>
      </c>
      <c r="C1915" s="41">
        <v>4</v>
      </c>
      <c r="D1915" s="41" t="str">
        <v>RD</v>
      </c>
      <c r="E1915" s="117" t="str">
        <f t="shared" si="0"/>
        <v>RD</v>
      </c>
      <c r="F1915" s="41" t="str">
        <v/>
      </c>
      <c r="G1915" s="41" t="str">
        <v/>
      </c>
      <c r="H1915" s="117">
        <f t="shared" si="1"/>
        <v>0</v>
      </c>
      <c r="I1915" s="117">
        <f t="shared" si="2"/>
        <v>1</v>
      </c>
      <c r="J1915" s="117">
        <f t="shared" si="3"/>
        <v>1.03</v>
      </c>
      <c r="K1915" s="117">
        <f t="shared" si="4"/>
        <v>0</v>
      </c>
      <c r="L1915" s="42" t="str">
        <v>00103</v>
      </c>
      <c r="M1915" s="121" t="str">
        <v/>
      </c>
      <c r="N1915" s="121" t="str">
        <v/>
      </c>
      <c r="O1915" s="121" t="str">
        <v/>
      </c>
      <c r="P1915" s="121" t="str">
        <v/>
      </c>
      <c r="Q1915" s="121" t="str">
        <v xml:space="preserve"> 1. </v>
      </c>
      <c r="R1915" s="121" t="str">
        <v>To limit/prevent possible market cannibalisation of the market, the envisaged brand and how it fits into the bigger Shoprite strategic roadmap will have to be agreed with Shoprite senior management.</v>
      </c>
      <c r="S1915" s="121" t="str">
        <v/>
      </c>
      <c r="T1915" s="119" t="str">
        <f>IF($C1915&lt;4,IF($C1915=3,T1916,IF($C1915=2,T$1,"")),Q1915&amp;R1915&amp;IF(LEN(S1915)=0,"",Preferences!$C$2&amp;S1915)&amp;IF(J1916=J1915,IF(LEN(R1915&amp;S1915)=0,"","
")&amp;T1916,""))</f>
        <v xml:space="preserve"> 1. To limit/prevent possible market cannibalisation of the market, the envisaged brand and how it fits into the bigger Shoprite strategic roadmap will have to be agreed with Shoprite senior management.
 2. In order to provide a minimum viable solution in as short a time as possible, the capabilities and functions required for the business solution will have to be prioritised (extending capabilities and functions in an agreed roadmap and maturing over time).
 3. In order to be able to deliver the solution, budget allocation and delivery prioritisation will have to be agreed with Shoprite senior management.</v>
      </c>
      <c r="U1915" s="122" t="str">
        <v/>
      </c>
      <c r="V1915" s="42"/>
      <c r="W1915" s="42"/>
      <c r="X1915" s="42"/>
      <c r="Y1915" s="42"/>
      <c r="Z1915" s="42"/>
      <c r="AA1915" s="42"/>
      <c r="AB1915" s="42"/>
    </row>
    <row r="1916" spans="1:28" x14ac:dyDescent="0.25">
      <c r="A1916" s="42" t="str">
        <v>5.1.3.2</v>
      </c>
      <c r="B1916" s="121" t="str">
        <v>In order to provide a minimum viable solution in as short a time as possible, the capabilities and functions required for the business solution will have to be prioritised (extending capabilities and functions in an agreed roadmap and maturing over time).</v>
      </c>
      <c r="C1916" s="41">
        <v>4</v>
      </c>
      <c r="D1916" s="41" t="str">
        <v>RD</v>
      </c>
      <c r="E1916" s="117" t="str">
        <f t="shared" si="0"/>
        <v>RD</v>
      </c>
      <c r="F1916" s="41" t="str">
        <v/>
      </c>
      <c r="G1916" s="41" t="str">
        <v/>
      </c>
      <c r="H1916" s="117">
        <f t="shared" si="1"/>
        <v>0</v>
      </c>
      <c r="I1916" s="117">
        <f t="shared" si="2"/>
        <v>1</v>
      </c>
      <c r="J1916" s="117">
        <f t="shared" si="3"/>
        <v>1.03</v>
      </c>
      <c r="K1916" s="117">
        <f t="shared" si="4"/>
        <v>0</v>
      </c>
      <c r="L1916" s="42" t="str">
        <v>00103</v>
      </c>
      <c r="M1916" s="121" t="str">
        <v/>
      </c>
      <c r="N1916" s="121" t="str">
        <v/>
      </c>
      <c r="O1916" s="121" t="str">
        <v/>
      </c>
      <c r="P1916" s="121" t="str">
        <v/>
      </c>
      <c r="Q1916" s="121" t="str">
        <v xml:space="preserve"> 2. </v>
      </c>
      <c r="R1916" s="121" t="str">
        <v>In order to provide a minimum viable solution in as short a time as possible, the capabilities and functions required for the business solution will have to be prioritised (extending capabilities and functions in an agreed roadmap and maturing over time).</v>
      </c>
      <c r="S1916" s="121" t="str">
        <v/>
      </c>
      <c r="T1916" s="119" t="str">
        <f>IF($C1916&lt;4,IF($C1916=3,T1917,IF($C1916=2,T$1,"")),Q1916&amp;R1916&amp;IF(LEN(S1916)=0,"",Preferences!$C$2&amp;S1916)&amp;IF(J1917=J1916,IF(LEN(R1916&amp;S1916)=0,"","
")&amp;T1917,""))</f>
        <v xml:space="preserve"> 2. In order to provide a minimum viable solution in as short a time as possible, the capabilities and functions required for the business solution will have to be prioritised (extending capabilities and functions in an agreed roadmap and maturing over time).
 3. In order to be able to deliver the solution, budget allocation and delivery prioritisation will have to be agreed with Shoprite senior management.</v>
      </c>
      <c r="U1916" s="122" t="str">
        <v/>
      </c>
      <c r="V1916" s="42"/>
      <c r="W1916" s="42"/>
      <c r="X1916" s="42"/>
      <c r="Y1916" s="42"/>
      <c r="Z1916" s="42"/>
      <c r="AA1916" s="42"/>
      <c r="AB1916" s="42"/>
    </row>
    <row r="1917" spans="1:28" x14ac:dyDescent="0.25">
      <c r="A1917" s="42" t="str">
        <v>5.1.3.3</v>
      </c>
      <c r="B1917" s="121" t="str">
        <v>In order to be able to deliver the solution, budget allocation and delivery prioritisation will have to be agreed with Shoprite senior management.</v>
      </c>
      <c r="C1917" s="41">
        <v>4</v>
      </c>
      <c r="D1917" s="41" t="str">
        <v>RD</v>
      </c>
      <c r="E1917" s="117" t="str">
        <f t="shared" si="0"/>
        <v>RD</v>
      </c>
      <c r="F1917" s="41" t="str">
        <v/>
      </c>
      <c r="G1917" s="41" t="str">
        <v/>
      </c>
      <c r="H1917" s="117">
        <f t="shared" si="1"/>
        <v>0</v>
      </c>
      <c r="I1917" s="117">
        <f t="shared" si="2"/>
        <v>1</v>
      </c>
      <c r="J1917" s="117">
        <f t="shared" si="3"/>
        <v>1.03</v>
      </c>
      <c r="K1917" s="117">
        <f t="shared" si="4"/>
        <v>0</v>
      </c>
      <c r="L1917" s="42" t="str">
        <v>00103</v>
      </c>
      <c r="M1917" s="121" t="str">
        <v/>
      </c>
      <c r="N1917" s="121" t="str">
        <v/>
      </c>
      <c r="O1917" s="121" t="str">
        <v/>
      </c>
      <c r="P1917" s="121" t="str">
        <v/>
      </c>
      <c r="Q1917" s="121" t="str">
        <v xml:space="preserve"> 3. </v>
      </c>
      <c r="R1917" s="121" t="str">
        <v>In order to be able to deliver the solution, budget allocation and delivery prioritisation will have to be agreed with Shoprite senior management.</v>
      </c>
      <c r="S1917" s="121" t="str">
        <v/>
      </c>
      <c r="T1917" s="119" t="str">
        <f>IF($C1917&lt;4,IF($C1917=3,T1918,IF($C1917=2,T$1,"")),Q1917&amp;R1917&amp;IF(LEN(S1917)=0,"",Preferences!$C$2&amp;S1917)&amp;IF(J1918=J1917,IF(LEN(R1917&amp;S1917)=0,"","
")&amp;T1918,""))</f>
        <v xml:space="preserve"> 3. In order to be able to deliver the solution, budget allocation and delivery prioritisation will have to be agreed with Shoprite senior management.</v>
      </c>
      <c r="U1917" s="122" t="str">
        <v/>
      </c>
      <c r="V1917" s="42"/>
      <c r="W1917" s="42"/>
      <c r="X1917" s="42"/>
      <c r="Y1917" s="42"/>
      <c r="Z1917" s="42"/>
      <c r="AA1917" s="42"/>
      <c r="AB1917" s="42"/>
    </row>
    <row r="1918" spans="1:28" x14ac:dyDescent="0.25">
      <c r="A1918" s="42" t="str">
        <v>5.1.4</v>
      </c>
      <c r="B1918" s="121" t="str">
        <v>1.4 Risks</v>
      </c>
      <c r="C1918" s="41">
        <v>3</v>
      </c>
      <c r="D1918" s="41" t="str">
        <v>R</v>
      </c>
      <c r="E1918" s="117" t="str">
        <f t="shared" si="0"/>
        <v>R</v>
      </c>
      <c r="F1918" s="41" t="str">
        <v/>
      </c>
      <c r="G1918" s="41" t="str">
        <v/>
      </c>
      <c r="H1918" s="117">
        <f t="shared" si="1"/>
        <v>0</v>
      </c>
      <c r="I1918" s="117">
        <f t="shared" si="2"/>
        <v>1</v>
      </c>
      <c r="J1918" s="117">
        <f t="shared" si="3"/>
        <v>1.04</v>
      </c>
      <c r="K1918" s="117">
        <f t="shared" si="4"/>
        <v>0</v>
      </c>
      <c r="L1918" s="42" t="str">
        <v>00104</v>
      </c>
      <c r="M1918" s="121" t="str">
        <v/>
      </c>
      <c r="N1918" s="121" t="str">
        <v/>
      </c>
      <c r="O1918" s="121" t="str">
        <v>00104</v>
      </c>
      <c r="P1918" s="121" t="str">
        <v>Risks</v>
      </c>
      <c r="Q1918" s="121" t="str">
        <v/>
      </c>
      <c r="R1918" s="121" t="str">
        <v/>
      </c>
      <c r="S1918" s="121" t="str">
        <v/>
      </c>
      <c r="T1918" s="119" t="str">
        <f>IF($C1918&lt;4,IF($C1918=3,T1919,IF($C1918=2,T$1,"")),Q1918&amp;R1918&amp;IF(LEN(S1918)=0,"",Preferences!$C$2&amp;S1918)&amp;IF(J1919=J1918,IF(LEN(R1918&amp;S1918)=0,"","
")&amp;T1919,""))</f>
        <v xml:space="preserve"> 1. The initiative may be merged into a bigger Shoprite initiative focused on the same/similar market.
 2. The initiative may be delayed due to it not being prioritised for the 20201 financial year.</v>
      </c>
      <c r="U1918" s="122" t="str">
        <v/>
      </c>
      <c r="V1918" s="42"/>
      <c r="W1918" s="42"/>
      <c r="X1918" s="42"/>
      <c r="Y1918" s="42"/>
      <c r="Z1918" s="42"/>
      <c r="AA1918" s="42"/>
      <c r="AB1918" s="42"/>
    </row>
    <row r="1919" spans="1:28" x14ac:dyDescent="0.25">
      <c r="A1919" s="42" t="str">
        <v>5.1.4.1</v>
      </c>
      <c r="B1919" s="121" t="str">
        <v>The initiative may be merged into a bigger Shoprite initiative focused on the same/similar market.</v>
      </c>
      <c r="C1919" s="41">
        <v>4</v>
      </c>
      <c r="D1919" s="41" t="str">
        <v>RD</v>
      </c>
      <c r="E1919" s="117" t="str">
        <f t="shared" si="0"/>
        <v>RD</v>
      </c>
      <c r="F1919" s="41" t="str">
        <v/>
      </c>
      <c r="G1919" s="41" t="str">
        <v/>
      </c>
      <c r="H1919" s="117">
        <f t="shared" si="1"/>
        <v>0</v>
      </c>
      <c r="I1919" s="117">
        <f t="shared" si="2"/>
        <v>1</v>
      </c>
      <c r="J1919" s="117">
        <f t="shared" si="3"/>
        <v>1.04</v>
      </c>
      <c r="K1919" s="117">
        <f t="shared" si="4"/>
        <v>0</v>
      </c>
      <c r="L1919" s="42" t="str">
        <v>00104</v>
      </c>
      <c r="M1919" s="121" t="str">
        <v/>
      </c>
      <c r="N1919" s="121" t="str">
        <v/>
      </c>
      <c r="O1919" s="121" t="str">
        <v/>
      </c>
      <c r="P1919" s="121" t="str">
        <v/>
      </c>
      <c r="Q1919" s="121" t="str">
        <v xml:space="preserve"> 1. </v>
      </c>
      <c r="R1919" s="121" t="str">
        <v>The initiative may be merged into a bigger Shoprite initiative focused on the same/similar market.</v>
      </c>
      <c r="S1919" s="121" t="str">
        <v/>
      </c>
      <c r="T1919" s="119" t="str">
        <f>IF($C1919&lt;4,IF($C1919=3,T1920,IF($C1919=2,T$1,"")),Q1919&amp;R1919&amp;IF(LEN(S1919)=0,"",Preferences!$C$2&amp;S1919)&amp;IF(J1920=J1919,IF(LEN(R1919&amp;S1919)=0,"","
")&amp;T1920,""))</f>
        <v xml:space="preserve"> 1. The initiative may be merged into a bigger Shoprite initiative focused on the same/similar market.
 2. The initiative may be delayed due to it not being prioritised for the 20201 financial year.</v>
      </c>
      <c r="U1919" s="122" t="str">
        <v/>
      </c>
      <c r="V1919" s="42"/>
      <c r="W1919" s="42"/>
      <c r="X1919" s="42"/>
      <c r="Y1919" s="42"/>
      <c r="Z1919" s="42"/>
      <c r="AA1919" s="42"/>
      <c r="AB1919" s="42"/>
    </row>
    <row r="1920" spans="1:28" x14ac:dyDescent="0.25">
      <c r="A1920" s="42" t="str">
        <v>5.1.4.2</v>
      </c>
      <c r="B1920" s="121" t="str">
        <v>The initiative may be delayed due to it not being prioritised for the 20201 financial year.</v>
      </c>
      <c r="C1920" s="41">
        <v>4</v>
      </c>
      <c r="D1920" s="41" t="str">
        <v>RD</v>
      </c>
      <c r="E1920" s="117" t="str">
        <f t="shared" si="0"/>
        <v>RD</v>
      </c>
      <c r="F1920" s="41" t="str">
        <v/>
      </c>
      <c r="G1920" s="41" t="str">
        <v/>
      </c>
      <c r="H1920" s="117">
        <f t="shared" si="1"/>
        <v>0</v>
      </c>
      <c r="I1920" s="117">
        <f t="shared" si="2"/>
        <v>1</v>
      </c>
      <c r="J1920" s="117">
        <f t="shared" si="3"/>
        <v>1.04</v>
      </c>
      <c r="K1920" s="117">
        <f t="shared" si="4"/>
        <v>0</v>
      </c>
      <c r="L1920" s="42" t="str">
        <v>00104</v>
      </c>
      <c r="M1920" s="121" t="str">
        <v/>
      </c>
      <c r="N1920" s="121" t="str">
        <v/>
      </c>
      <c r="O1920" s="121" t="str">
        <v/>
      </c>
      <c r="P1920" s="121" t="str">
        <v/>
      </c>
      <c r="Q1920" s="121" t="str">
        <v xml:space="preserve"> 2. </v>
      </c>
      <c r="R1920" s="121" t="str">
        <v>The initiative may be delayed due to it not being prioritised for the 20201 financial year.</v>
      </c>
      <c r="S1920" s="121" t="str">
        <v/>
      </c>
      <c r="T1920" s="119" t="str">
        <f>IF($C1920&lt;4,IF($C1920=3,T1921,IF($C1920=2,T$1,"")),Q1920&amp;R1920&amp;IF(LEN(S1920)=0,"",Preferences!$C$2&amp;S1920)&amp;IF(J1921=J1920,IF(LEN(R1920&amp;S1920)=0,"","
")&amp;T1921,""))</f>
        <v xml:space="preserve"> 2. The initiative may be delayed due to it not being prioritised for the 20201 financial year.</v>
      </c>
      <c r="U1920" s="122" t="str">
        <v/>
      </c>
      <c r="V1920" s="42"/>
      <c r="W1920" s="42"/>
      <c r="X1920" s="42"/>
      <c r="Y1920" s="42"/>
      <c r="Z1920" s="42"/>
      <c r="AA1920" s="42"/>
      <c r="AB1920" s="42"/>
    </row>
    <row r="1921" spans="1:28" x14ac:dyDescent="0.25">
      <c r="A1921" s="42" t="str">
        <v>5.1.5</v>
      </c>
      <c r="B1921" s="121" t="str">
        <v>1.5 Organisational Change</v>
      </c>
      <c r="C1921" s="41">
        <v>3</v>
      </c>
      <c r="D1921" s="41" t="str">
        <v>R</v>
      </c>
      <c r="E1921" s="117" t="str">
        <f t="shared" si="0"/>
        <v>R</v>
      </c>
      <c r="F1921" s="41" t="str">
        <v/>
      </c>
      <c r="G1921" s="41" t="str">
        <v/>
      </c>
      <c r="H1921" s="117">
        <f t="shared" si="1"/>
        <v>0</v>
      </c>
      <c r="I1921" s="117">
        <f t="shared" si="2"/>
        <v>1</v>
      </c>
      <c r="J1921" s="117">
        <f t="shared" si="3"/>
        <v>1.05</v>
      </c>
      <c r="K1921" s="117">
        <f t="shared" si="4"/>
        <v>0</v>
      </c>
      <c r="L1921" s="42" t="str">
        <v>00105</v>
      </c>
      <c r="M1921" s="121" t="str">
        <v/>
      </c>
      <c r="N1921" s="121" t="str">
        <v/>
      </c>
      <c r="O1921" s="121" t="str">
        <v>00105</v>
      </c>
      <c r="P1921" s="121" t="str">
        <v>Organisational Change</v>
      </c>
      <c r="Q1921" s="121" t="str">
        <v/>
      </c>
      <c r="R1921" s="121" t="str">
        <v/>
      </c>
      <c r="S1921" s="121" t="str">
        <v/>
      </c>
      <c r="T1921" s="119" t="str">
        <f>IF($C1921&lt;4,IF($C1921=3,T1922,IF($C1921=2,T$1,"")),Q1921&amp;R1921&amp;IF(LEN(S1921)=0,"",Preferences!$C$2&amp;S1921)&amp;IF(J1922=J1921,IF(LEN(R1921&amp;S1921)=0,"","
")&amp;T1922,""))</f>
        <v xml:space="preserve"> 1. This is a new business being established, to operate in South Africa.
 2. Initially, the business will be supported by existing Transpharm staff in the following areas:
	• Contact centre
	• Buying
	• Marketing
	• Operations
	• Finance
	• HR
 3. The following key positions will require dedicated staff:
	• Buyer
	• Marketing
</v>
      </c>
      <c r="U1921" s="122" t="str">
        <v/>
      </c>
      <c r="V1921" s="42"/>
      <c r="W1921" s="42"/>
      <c r="X1921" s="42"/>
      <c r="Y1921" s="42"/>
      <c r="Z1921" s="42"/>
      <c r="AA1921" s="42"/>
      <c r="AB1921" s="42"/>
    </row>
    <row r="1922" spans="1:28" x14ac:dyDescent="0.25">
      <c r="A1922" s="42" t="str">
        <v>5.1.5.1</v>
      </c>
      <c r="B1922" s="121" t="str">
        <v>This is a new business being established, to operate in South Africa.</v>
      </c>
      <c r="C1922" s="41">
        <v>4</v>
      </c>
      <c r="D1922" s="41" t="str">
        <v>RD</v>
      </c>
      <c r="E1922" s="117" t="str">
        <f t="shared" si="0"/>
        <v>RD</v>
      </c>
      <c r="F1922" s="41" t="str">
        <v/>
      </c>
      <c r="G1922" s="41" t="str">
        <v/>
      </c>
      <c r="H1922" s="117">
        <f t="shared" si="1"/>
        <v>0</v>
      </c>
      <c r="I1922" s="117">
        <f t="shared" si="2"/>
        <v>1</v>
      </c>
      <c r="J1922" s="117">
        <f t="shared" si="3"/>
        <v>1.05</v>
      </c>
      <c r="K1922" s="117">
        <f t="shared" si="4"/>
        <v>0</v>
      </c>
      <c r="L1922" s="42" t="str">
        <v>00105</v>
      </c>
      <c r="M1922" s="121" t="str">
        <v/>
      </c>
      <c r="N1922" s="121" t="str">
        <v/>
      </c>
      <c r="O1922" s="121" t="str">
        <v/>
      </c>
      <c r="P1922" s="121" t="str">
        <v/>
      </c>
      <c r="Q1922" s="121" t="str">
        <v xml:space="preserve"> 1. </v>
      </c>
      <c r="R1922" s="121" t="str">
        <v>This is a new business being established, to operate in South Africa.</v>
      </c>
      <c r="S1922" s="121" t="str">
        <v/>
      </c>
      <c r="T1922" s="119" t="str">
        <f>IF($C1922&lt;4,IF($C1922=3,T1923,IF($C1922=2,T$1,"")),Q1922&amp;R1922&amp;IF(LEN(S1922)=0,"",Preferences!$C$2&amp;S1922)&amp;IF(J1923=J1922,IF(LEN(R1922&amp;S1922)=0,"","
")&amp;T1923,""))</f>
        <v xml:space="preserve"> 1. This is a new business being established, to operate in South Africa.
 2. Initially, the business will be supported by existing Transpharm staff in the following areas:
	• Contact centre
	• Buying
	• Marketing
	• Operations
	• Finance
	• HR
 3. The following key positions will require dedicated staff:
	• Buyer
	• Marketing
</v>
      </c>
      <c r="U1922" s="122" t="str">
        <v/>
      </c>
      <c r="V1922" s="42"/>
      <c r="W1922" s="42"/>
      <c r="X1922" s="42"/>
      <c r="Y1922" s="42"/>
      <c r="Z1922" s="42"/>
      <c r="AA1922" s="42"/>
      <c r="AB1922" s="42"/>
    </row>
    <row r="1923" spans="1:28" x14ac:dyDescent="0.25">
      <c r="A1923" s="42" t="str">
        <v>5.1.5.2</v>
      </c>
      <c r="B1923" s="121" t="str">
        <v>Initially, the business will be supported by existing Transpharm staff in the following areas:</v>
      </c>
      <c r="C1923" s="41">
        <v>4</v>
      </c>
      <c r="D1923" s="41" t="str">
        <v>RD</v>
      </c>
      <c r="E1923" s="117" t="str">
        <f t="shared" si="0"/>
        <v>RD</v>
      </c>
      <c r="F1923" s="41" t="str">
        <v/>
      </c>
      <c r="G1923" s="41" t="str">
        <v/>
      </c>
      <c r="H1923" s="117">
        <f t="shared" si="1"/>
        <v>0</v>
      </c>
      <c r="I1923" s="117">
        <f t="shared" si="2"/>
        <v>1</v>
      </c>
      <c r="J1923" s="117">
        <f t="shared" si="3"/>
        <v>1.05</v>
      </c>
      <c r="K1923" s="117">
        <f t="shared" si="4"/>
        <v>0</v>
      </c>
      <c r="L1923" s="42" t="str">
        <v>00105</v>
      </c>
      <c r="M1923" s="121" t="str">
        <v/>
      </c>
      <c r="N1923" s="121" t="str">
        <v/>
      </c>
      <c r="O1923" s="121" t="str">
        <v/>
      </c>
      <c r="P1923" s="121" t="str">
        <v/>
      </c>
      <c r="Q1923" s="121" t="str">
        <v xml:space="preserve"> 2. </v>
      </c>
      <c r="R1923" s="121" t="str">
        <v>Initially, the business will be supported by existing Transpharm staff in the following areas:</v>
      </c>
      <c r="S1923" s="121" t="str">
        <v/>
      </c>
      <c r="T1923" s="119" t="str">
        <f>IF($C1923&lt;4,IF($C1923=3,T1924,IF($C1923=2,T$1,"")),Q1923&amp;R1923&amp;IF(LEN(S1923)=0,"",Preferences!$C$2&amp;S1923)&amp;IF(J1924=J1923,IF(LEN(R1923&amp;S1923)=0,"","
")&amp;T1924,""))</f>
        <v xml:space="preserve"> 2. Initially, the business will be supported by existing Transpharm staff in the following areas:
	• Contact centre
	• Buying
	• Marketing
	• Operations
	• Finance
	• HR
 3. The following key positions will require dedicated staff:
	• Buyer
	• Marketing
</v>
      </c>
      <c r="U1923" s="122" t="str">
        <v/>
      </c>
      <c r="V1923" s="42"/>
      <c r="W1923" s="42"/>
      <c r="X1923" s="42"/>
      <c r="Y1923" s="42"/>
      <c r="Z1923" s="42"/>
      <c r="AA1923" s="42"/>
      <c r="AB1923" s="42"/>
    </row>
    <row r="1924" spans="1:28" x14ac:dyDescent="0.25">
      <c r="A1924" s="42" t="str">
        <v>5.1.5.2.1</v>
      </c>
      <c r="B1924" s="121" t="str">
        <v>Contact centre</v>
      </c>
      <c r="C1924" s="41">
        <v>5</v>
      </c>
      <c r="D1924" s="41" t="str">
        <v>RL</v>
      </c>
      <c r="E1924" s="117" t="str">
        <f t="shared" si="0"/>
        <v>RL</v>
      </c>
      <c r="F1924" s="41" t="str">
        <v/>
      </c>
      <c r="G1924" s="41" t="str">
        <v/>
      </c>
      <c r="H1924" s="117">
        <f t="shared" si="1"/>
        <v>0</v>
      </c>
      <c r="I1924" s="117">
        <f t="shared" si="2"/>
        <v>1</v>
      </c>
      <c r="J1924" s="117">
        <f t="shared" si="3"/>
        <v>1.05</v>
      </c>
      <c r="K1924" s="117">
        <f t="shared" si="4"/>
        <v>0</v>
      </c>
      <c r="L1924" s="42" t="str">
        <v>00105</v>
      </c>
      <c r="M1924" s="121" t="str">
        <v/>
      </c>
      <c r="N1924" s="121" t="str">
        <v/>
      </c>
      <c r="O1924" s="121" t="str">
        <v/>
      </c>
      <c r="P1924" s="121" t="str">
        <v/>
      </c>
      <c r="Q1924" s="121" t="str">
        <v/>
      </c>
      <c r="R1924" s="121" t="str">
        <v/>
      </c>
      <c r="S1924" s="121" t="str">
        <v>Contact centre</v>
      </c>
      <c r="T1924" s="119" t="str">
        <f>IF($C1924&lt;4,IF($C1924=3,T1925,IF($C1924=2,T$1,"")),Q1924&amp;R1924&amp;IF(LEN(S1924)=0,"",Preferences!$C$2&amp;S1924)&amp;IF(J1925=J1924,IF(LEN(R1924&amp;S1924)=0,"","
")&amp;T1925,""))</f>
        <v xml:space="preserve">	• Contact centre
	• Buying
	• Marketing
	• Operations
	• Finance
	• HR
 3. The following key positions will require dedicated staff:
	• Buyer
	• Marketing
</v>
      </c>
      <c r="U1924" s="122" t="str">
        <v/>
      </c>
      <c r="V1924" s="42"/>
      <c r="W1924" s="42"/>
      <c r="X1924" s="42"/>
      <c r="Y1924" s="42"/>
      <c r="Z1924" s="42"/>
      <c r="AA1924" s="42"/>
      <c r="AB1924" s="42"/>
    </row>
    <row r="1925" spans="1:28" x14ac:dyDescent="0.25">
      <c r="A1925" s="42" t="str">
        <v>5.1.5.2.2</v>
      </c>
      <c r="B1925" s="121" t="str">
        <v>Buying</v>
      </c>
      <c r="C1925" s="41">
        <v>5</v>
      </c>
      <c r="D1925" s="41" t="str">
        <v>RL</v>
      </c>
      <c r="E1925" s="117" t="str">
        <f t="shared" si="0"/>
        <v>RL</v>
      </c>
      <c r="F1925" s="41" t="str">
        <v/>
      </c>
      <c r="G1925" s="41" t="str">
        <v/>
      </c>
      <c r="H1925" s="117">
        <f t="shared" si="1"/>
        <v>0</v>
      </c>
      <c r="I1925" s="117">
        <f t="shared" si="2"/>
        <v>1</v>
      </c>
      <c r="J1925" s="117">
        <f t="shared" si="3"/>
        <v>1.05</v>
      </c>
      <c r="K1925" s="117">
        <f t="shared" si="4"/>
        <v>0</v>
      </c>
      <c r="L1925" s="42" t="str">
        <v>00105</v>
      </c>
      <c r="M1925" s="121" t="str">
        <v/>
      </c>
      <c r="N1925" s="121" t="str">
        <v/>
      </c>
      <c r="O1925" s="121" t="str">
        <v/>
      </c>
      <c r="P1925" s="121" t="str">
        <v/>
      </c>
      <c r="Q1925" s="121" t="str">
        <v/>
      </c>
      <c r="R1925" s="121" t="str">
        <v/>
      </c>
      <c r="S1925" s="121" t="str">
        <v>Buying</v>
      </c>
      <c r="T1925" s="119" t="str">
        <f>IF($C1925&lt;4,IF($C1925=3,T1926,IF($C1925=2,T$1,"")),Q1925&amp;R1925&amp;IF(LEN(S1925)=0,"",Preferences!$C$2&amp;S1925)&amp;IF(J1926=J1925,IF(LEN(R1925&amp;S1925)=0,"","
")&amp;T1926,""))</f>
        <v xml:space="preserve">	• Buying
	• Marketing
	• Operations
	• Finance
	• HR
 3. The following key positions will require dedicated staff:
	• Buyer
	• Marketing
</v>
      </c>
      <c r="U1925" s="122" t="str">
        <v/>
      </c>
      <c r="V1925" s="42"/>
      <c r="W1925" s="42"/>
      <c r="X1925" s="42"/>
      <c r="Y1925" s="42"/>
      <c r="Z1925" s="42"/>
      <c r="AA1925" s="42"/>
      <c r="AB1925" s="42"/>
    </row>
    <row r="1926" spans="1:28" x14ac:dyDescent="0.25">
      <c r="A1926" s="42" t="str">
        <v>5.1.5.2.3</v>
      </c>
      <c r="B1926" s="121" t="str">
        <v>Marketing</v>
      </c>
      <c r="C1926" s="41">
        <v>5</v>
      </c>
      <c r="D1926" s="41" t="str">
        <v>RL</v>
      </c>
      <c r="E1926" s="117" t="str">
        <f t="shared" si="0"/>
        <v>RL</v>
      </c>
      <c r="F1926" s="41" t="str">
        <v/>
      </c>
      <c r="G1926" s="41" t="str">
        <v/>
      </c>
      <c r="H1926" s="117">
        <f t="shared" si="1"/>
        <v>0</v>
      </c>
      <c r="I1926" s="117">
        <f t="shared" si="2"/>
        <v>1</v>
      </c>
      <c r="J1926" s="117">
        <f t="shared" si="3"/>
        <v>1.05</v>
      </c>
      <c r="K1926" s="117">
        <f t="shared" si="4"/>
        <v>0</v>
      </c>
      <c r="L1926" s="42" t="str">
        <v>00105</v>
      </c>
      <c r="M1926" s="121" t="str">
        <v/>
      </c>
      <c r="N1926" s="121" t="str">
        <v/>
      </c>
      <c r="O1926" s="121" t="str">
        <v/>
      </c>
      <c r="P1926" s="121" t="str">
        <v/>
      </c>
      <c r="Q1926" s="121" t="str">
        <v/>
      </c>
      <c r="R1926" s="121" t="str">
        <v/>
      </c>
      <c r="S1926" s="121" t="str">
        <v>Marketing</v>
      </c>
      <c r="T1926" s="119" t="str">
        <f>IF($C1926&lt;4,IF($C1926=3,T1927,IF($C1926=2,T$1,"")),Q1926&amp;R1926&amp;IF(LEN(S1926)=0,"",Preferences!$C$2&amp;S1926)&amp;IF(J1927=J1926,IF(LEN(R1926&amp;S1926)=0,"","
")&amp;T1927,""))</f>
        <v xml:space="preserve">	• Marketing
	• Operations
	• Finance
	• HR
 3. The following key positions will require dedicated staff:
	• Buyer
	• Marketing
</v>
      </c>
      <c r="U1926" s="122" t="str">
        <v/>
      </c>
      <c r="V1926" s="42"/>
      <c r="W1926" s="42"/>
      <c r="X1926" s="42"/>
      <c r="Y1926" s="42"/>
      <c r="Z1926" s="42"/>
      <c r="AA1926" s="42"/>
      <c r="AB1926" s="42"/>
    </row>
    <row r="1927" spans="1:28" x14ac:dyDescent="0.25">
      <c r="A1927" s="42" t="str">
        <v>5.1.5.2.4</v>
      </c>
      <c r="B1927" s="121" t="str">
        <v>Operations</v>
      </c>
      <c r="C1927" s="41">
        <v>5</v>
      </c>
      <c r="D1927" s="41" t="str">
        <v>RL</v>
      </c>
      <c r="E1927" s="117" t="str">
        <f t="shared" si="0"/>
        <v>RL</v>
      </c>
      <c r="F1927" s="41" t="str">
        <v/>
      </c>
      <c r="G1927" s="41" t="str">
        <v/>
      </c>
      <c r="H1927" s="117">
        <f t="shared" si="1"/>
        <v>0</v>
      </c>
      <c r="I1927" s="117">
        <f t="shared" si="2"/>
        <v>1</v>
      </c>
      <c r="J1927" s="117">
        <f t="shared" si="3"/>
        <v>1.05</v>
      </c>
      <c r="K1927" s="117">
        <f t="shared" si="4"/>
        <v>0</v>
      </c>
      <c r="L1927" s="42" t="str">
        <v>00105</v>
      </c>
      <c r="M1927" s="121" t="str">
        <v/>
      </c>
      <c r="N1927" s="121" t="str">
        <v/>
      </c>
      <c r="O1927" s="121" t="str">
        <v/>
      </c>
      <c r="P1927" s="121" t="str">
        <v/>
      </c>
      <c r="Q1927" s="121" t="str">
        <v/>
      </c>
      <c r="R1927" s="121" t="str">
        <v/>
      </c>
      <c r="S1927" s="121" t="str">
        <v>Operations</v>
      </c>
      <c r="T1927" s="119" t="str">
        <f>IF($C1927&lt;4,IF($C1927=3,T1928,IF($C1927=2,T$1,"")),Q1927&amp;R1927&amp;IF(LEN(S1927)=0,"",Preferences!$C$2&amp;S1927)&amp;IF(J1928=J1927,IF(LEN(R1927&amp;S1927)=0,"","
")&amp;T1928,""))</f>
        <v xml:space="preserve">	• Operations
	• Finance
	• HR
 3. The following key positions will require dedicated staff:
	• Buyer
	• Marketing
</v>
      </c>
      <c r="U1927" s="122" t="str">
        <v/>
      </c>
      <c r="V1927" s="42"/>
      <c r="W1927" s="42"/>
      <c r="X1927" s="42"/>
      <c r="Y1927" s="42"/>
      <c r="Z1927" s="42"/>
      <c r="AA1927" s="42"/>
      <c r="AB1927" s="42"/>
    </row>
    <row r="1928" spans="1:28" x14ac:dyDescent="0.25">
      <c r="A1928" s="42" t="str">
        <v>5.1.5.2.5</v>
      </c>
      <c r="B1928" s="121" t="str">
        <v>Finance</v>
      </c>
      <c r="C1928" s="41">
        <v>5</v>
      </c>
      <c r="D1928" s="41" t="str">
        <v>RL</v>
      </c>
      <c r="E1928" s="117" t="str">
        <f t="shared" si="0"/>
        <v>RL</v>
      </c>
      <c r="F1928" s="41" t="str">
        <v/>
      </c>
      <c r="G1928" s="41" t="str">
        <v/>
      </c>
      <c r="H1928" s="117">
        <f t="shared" si="1"/>
        <v>0</v>
      </c>
      <c r="I1928" s="117">
        <f t="shared" si="2"/>
        <v>1</v>
      </c>
      <c r="J1928" s="117">
        <f t="shared" si="3"/>
        <v>1.05</v>
      </c>
      <c r="K1928" s="117">
        <f t="shared" si="4"/>
        <v>0</v>
      </c>
      <c r="L1928" s="42" t="str">
        <v>00105</v>
      </c>
      <c r="M1928" s="121" t="str">
        <v/>
      </c>
      <c r="N1928" s="121" t="str">
        <v/>
      </c>
      <c r="O1928" s="121" t="str">
        <v/>
      </c>
      <c r="P1928" s="121" t="str">
        <v/>
      </c>
      <c r="Q1928" s="121" t="str">
        <v/>
      </c>
      <c r="R1928" s="121" t="str">
        <v/>
      </c>
      <c r="S1928" s="121" t="str">
        <v>Finance</v>
      </c>
      <c r="T1928" s="119" t="str">
        <f>IF($C1928&lt;4,IF($C1928=3,T1929,IF($C1928=2,T$1,"")),Q1928&amp;R1928&amp;IF(LEN(S1928)=0,"",Preferences!$C$2&amp;S1928)&amp;IF(J1929=J1928,IF(LEN(R1928&amp;S1928)=0,"","
")&amp;T1929,""))</f>
        <v xml:space="preserve">	• Finance
	• HR
 3. The following key positions will require dedicated staff:
	• Buyer
	• Marketing
</v>
      </c>
      <c r="U1928" s="122" t="str">
        <v/>
      </c>
      <c r="V1928" s="42"/>
      <c r="W1928" s="42"/>
      <c r="X1928" s="42"/>
      <c r="Y1928" s="42"/>
      <c r="Z1928" s="42"/>
      <c r="AA1928" s="42"/>
      <c r="AB1928" s="42"/>
    </row>
    <row r="1929" spans="1:28" x14ac:dyDescent="0.25">
      <c r="A1929" s="42" t="str">
        <v>5.1.5.2.6</v>
      </c>
      <c r="B1929" s="121" t="str">
        <v>HR</v>
      </c>
      <c r="C1929" s="41">
        <v>5</v>
      </c>
      <c r="D1929" s="41" t="str">
        <v>RL</v>
      </c>
      <c r="E1929" s="117" t="str">
        <f t="shared" si="0"/>
        <v>RL</v>
      </c>
      <c r="F1929" s="41" t="str">
        <v/>
      </c>
      <c r="G1929" s="41" t="str">
        <v/>
      </c>
      <c r="H1929" s="117">
        <f t="shared" si="1"/>
        <v>0</v>
      </c>
      <c r="I1929" s="117">
        <f t="shared" si="2"/>
        <v>1</v>
      </c>
      <c r="J1929" s="117">
        <f t="shared" si="3"/>
        <v>1.05</v>
      </c>
      <c r="K1929" s="117">
        <f t="shared" si="4"/>
        <v>0</v>
      </c>
      <c r="L1929" s="42" t="str">
        <v>00105</v>
      </c>
      <c r="M1929" s="121" t="str">
        <v/>
      </c>
      <c r="N1929" s="121" t="str">
        <v/>
      </c>
      <c r="O1929" s="121" t="str">
        <v/>
      </c>
      <c r="P1929" s="121" t="str">
        <v/>
      </c>
      <c r="Q1929" s="121" t="str">
        <v/>
      </c>
      <c r="R1929" s="121" t="str">
        <v/>
      </c>
      <c r="S1929" s="121" t="str">
        <v>HR</v>
      </c>
      <c r="T1929" s="119" t="str">
        <f>IF($C1929&lt;4,IF($C1929=3,T1930,IF($C1929=2,T$1,"")),Q1929&amp;R1929&amp;IF(LEN(S1929)=0,"",Preferences!$C$2&amp;S1929)&amp;IF(J1930=J1929,IF(LEN(R1929&amp;S1929)=0,"","
")&amp;T1930,""))</f>
        <v xml:space="preserve">	• HR
 3. The following key positions will require dedicated staff:
	• Buyer
	• Marketing
</v>
      </c>
      <c r="U1929" s="122" t="str">
        <v/>
      </c>
      <c r="V1929" s="42"/>
      <c r="W1929" s="42"/>
      <c r="X1929" s="42"/>
      <c r="Y1929" s="42"/>
      <c r="Z1929" s="42"/>
      <c r="AA1929" s="42"/>
      <c r="AB1929" s="42"/>
    </row>
    <row r="1930" spans="1:28" x14ac:dyDescent="0.25">
      <c r="A1930" s="42" t="str">
        <v>5.1.5.3</v>
      </c>
      <c r="B1930" s="121" t="str">
        <v>The following key positions will require dedicated staff:</v>
      </c>
      <c r="C1930" s="41">
        <v>4</v>
      </c>
      <c r="D1930" s="41" t="str">
        <v>RD</v>
      </c>
      <c r="E1930" s="117" t="str">
        <f t="shared" si="0"/>
        <v>RD</v>
      </c>
      <c r="F1930" s="41" t="str">
        <v/>
      </c>
      <c r="G1930" s="41" t="str">
        <v/>
      </c>
      <c r="H1930" s="117">
        <f t="shared" si="1"/>
        <v>0</v>
      </c>
      <c r="I1930" s="117">
        <f t="shared" si="2"/>
        <v>1</v>
      </c>
      <c r="J1930" s="117">
        <f t="shared" si="3"/>
        <v>1.05</v>
      </c>
      <c r="K1930" s="117">
        <f t="shared" si="4"/>
        <v>0</v>
      </c>
      <c r="L1930" s="42" t="str">
        <v>00105</v>
      </c>
      <c r="M1930" s="121" t="str">
        <v/>
      </c>
      <c r="N1930" s="121" t="str">
        <v/>
      </c>
      <c r="O1930" s="121" t="str">
        <v/>
      </c>
      <c r="P1930" s="121" t="str">
        <v/>
      </c>
      <c r="Q1930" s="121" t="str">
        <v xml:space="preserve"> 3. </v>
      </c>
      <c r="R1930" s="121" t="str">
        <v>The following key positions will require dedicated staff:</v>
      </c>
      <c r="S1930" s="121" t="str">
        <v/>
      </c>
      <c r="T1930" s="119" t="str">
        <f>IF($C1930&lt;4,IF($C1930=3,T1931,IF($C1930=2,T$1,"")),Q1930&amp;R1930&amp;IF(LEN(S1930)=0,"",Preferences!$C$2&amp;S1930)&amp;IF(J1931=J1930,IF(LEN(R1930&amp;S1930)=0,"","
")&amp;T1931,""))</f>
        <v xml:space="preserve"> 3. The following key positions will require dedicated staff:
	• Buyer
	• Marketing
</v>
      </c>
      <c r="U1930" s="122" t="str">
        <v/>
      </c>
      <c r="V1930" s="42"/>
      <c r="W1930" s="42"/>
      <c r="X1930" s="42"/>
      <c r="Y1930" s="42"/>
      <c r="Z1930" s="42"/>
      <c r="AA1930" s="42"/>
      <c r="AB1930" s="42"/>
    </row>
    <row r="1931" spans="1:28" x14ac:dyDescent="0.25">
      <c r="A1931" s="42" t="str">
        <v>5.1.5.3.1</v>
      </c>
      <c r="B1931" s="121" t="str">
        <v>Buyer</v>
      </c>
      <c r="C1931" s="41">
        <v>5</v>
      </c>
      <c r="D1931" s="41" t="str">
        <v>RL</v>
      </c>
      <c r="E1931" s="117" t="str">
        <f t="shared" si="0"/>
        <v>RL</v>
      </c>
      <c r="F1931" s="41" t="str">
        <v/>
      </c>
      <c r="G1931" s="41" t="str">
        <v/>
      </c>
      <c r="H1931" s="117">
        <f t="shared" si="1"/>
        <v>0</v>
      </c>
      <c r="I1931" s="117">
        <f t="shared" si="2"/>
        <v>1</v>
      </c>
      <c r="J1931" s="117">
        <f t="shared" si="3"/>
        <v>1.05</v>
      </c>
      <c r="K1931" s="117">
        <f t="shared" si="4"/>
        <v>0</v>
      </c>
      <c r="L1931" s="42" t="str">
        <v>00105</v>
      </c>
      <c r="M1931" s="121" t="str">
        <v/>
      </c>
      <c r="N1931" s="121" t="str">
        <v/>
      </c>
      <c r="O1931" s="121" t="str">
        <v/>
      </c>
      <c r="P1931" s="121" t="str">
        <v/>
      </c>
      <c r="Q1931" s="121" t="str">
        <v/>
      </c>
      <c r="R1931" s="121" t="str">
        <v/>
      </c>
      <c r="S1931" s="121" t="str">
        <v>Buyer</v>
      </c>
      <c r="T1931" s="119" t="str">
        <f>IF($C1931&lt;4,IF($C1931=3,T1932,IF($C1931=2,T$1,"")),Q1931&amp;R1931&amp;IF(LEN(S1931)=0,"",Preferences!$C$2&amp;S1931)&amp;IF(J1932=J1931,IF(LEN(R1931&amp;S1931)=0,"","
")&amp;T1932,""))</f>
        <v xml:space="preserve">	• Buyer
	• Marketing
</v>
      </c>
      <c r="U1931" s="122" t="str">
        <v/>
      </c>
      <c r="V1931" s="42"/>
      <c r="W1931" s="42"/>
      <c r="X1931" s="42"/>
      <c r="Y1931" s="42"/>
      <c r="Z1931" s="42"/>
      <c r="AA1931" s="42"/>
      <c r="AB1931" s="42"/>
    </row>
    <row r="1932" spans="1:28" x14ac:dyDescent="0.25">
      <c r="A1932" s="42" t="str">
        <v>5.1.5.3.2</v>
      </c>
      <c r="B1932" s="121" t="str">
        <v>Marketing</v>
      </c>
      <c r="C1932" s="41">
        <v>5</v>
      </c>
      <c r="D1932" s="41" t="str">
        <v>RL</v>
      </c>
      <c r="E1932" s="117" t="str">
        <f t="shared" si="0"/>
        <v>RL</v>
      </c>
      <c r="F1932" s="41" t="str">
        <v/>
      </c>
      <c r="G1932" s="41" t="str">
        <v/>
      </c>
      <c r="H1932" s="117">
        <f t="shared" si="1"/>
        <v>0</v>
      </c>
      <c r="I1932" s="117">
        <f t="shared" si="2"/>
        <v>1</v>
      </c>
      <c r="J1932" s="117">
        <f t="shared" si="3"/>
        <v>1.05</v>
      </c>
      <c r="K1932" s="117">
        <f t="shared" si="4"/>
        <v>0</v>
      </c>
      <c r="L1932" s="42" t="str">
        <v>00105</v>
      </c>
      <c r="M1932" s="121" t="str">
        <v/>
      </c>
      <c r="N1932" s="121" t="str">
        <v/>
      </c>
      <c r="O1932" s="121" t="str">
        <v/>
      </c>
      <c r="P1932" s="121" t="str">
        <v/>
      </c>
      <c r="Q1932" s="121" t="str">
        <v/>
      </c>
      <c r="R1932" s="121" t="str">
        <v/>
      </c>
      <c r="S1932" s="121" t="str">
        <v>Marketing</v>
      </c>
      <c r="T1932" s="119" t="str">
        <f>IF($C1932&lt;4,IF($C1932=3,T1933,IF($C1932=2,T$1,"")),Q1932&amp;R1932&amp;IF(LEN(S1932)=0,"",Preferences!$C$2&amp;S1932)&amp;IF(J1933=J1932,IF(LEN(R1932&amp;S1932)=0,"","
")&amp;T1933,""))</f>
        <v xml:space="preserve">	• Marketing
</v>
      </c>
      <c r="U1932" s="122" t="str">
        <v/>
      </c>
      <c r="V1932" s="42"/>
      <c r="W1932" s="42"/>
      <c r="X1932" s="42"/>
      <c r="Y1932" s="42"/>
      <c r="Z1932" s="42"/>
      <c r="AA1932" s="42"/>
      <c r="AB1932" s="42"/>
    </row>
    <row r="1933" spans="1:28" x14ac:dyDescent="0.25">
      <c r="A1933" s="42" t="str">
        <v>6</v>
      </c>
      <c r="B1933" s="121" t="str">
        <v>Terminology</v>
      </c>
      <c r="C1933" s="41">
        <v>1</v>
      </c>
      <c r="D1933" s="41" t="str">
        <v>H</v>
      </c>
      <c r="E1933" s="117" t="str">
        <f t="shared" si="0"/>
        <v>H</v>
      </c>
      <c r="F1933" s="41" t="str">
        <v>T</v>
      </c>
      <c r="G1933" s="41" t="str">
        <v>T</v>
      </c>
      <c r="H1933" s="117" t="str">
        <f t="shared" si="1"/>
        <v>T</v>
      </c>
      <c r="I1933" s="117">
        <f t="shared" si="2"/>
        <v>0</v>
      </c>
      <c r="J1933" s="117">
        <f t="shared" si="3"/>
        <v>1.05</v>
      </c>
      <c r="K1933" s="117" t="str">
        <f t="shared" si="4"/>
        <v>T</v>
      </c>
      <c r="L1933" s="42">
        <v>1.05</v>
      </c>
      <c r="M1933" s="121" t="str">
        <v>Terminology</v>
      </c>
      <c r="N1933" s="121" t="str">
        <v/>
      </c>
      <c r="O1933" s="121" t="str">
        <v/>
      </c>
      <c r="P1933" s="121" t="str">
        <v/>
      </c>
      <c r="Q1933" s="121" t="str">
        <v/>
      </c>
      <c r="R1933" s="121" t="str">
        <v/>
      </c>
      <c r="S1933" s="121" t="str">
        <v/>
      </c>
      <c r="T1933" s="119" t="str">
        <f>IF($C1933&lt;4,IF($C1933=3,T1934,IF($C1933=2,T$1,"")),Q1933&amp;R1933&amp;IF(LEN(S1933)=0,"",Preferences!$C$2&amp;S1933)&amp;IF(J1934=J1933,IF(LEN(R1933&amp;S1933)=0,"","
")&amp;T1934,""))</f>
        <v/>
      </c>
      <c r="U1933" s="122" t="str">
        <v/>
      </c>
      <c r="V1933" s="42"/>
      <c r="W1933" s="42"/>
      <c r="X1933" s="42"/>
      <c r="Y1933" s="42"/>
      <c r="Z1933" s="42"/>
      <c r="AA1933" s="42"/>
      <c r="AB1933" s="42"/>
    </row>
    <row r="1934" spans="1:28" x14ac:dyDescent="0.25">
      <c r="A1934" s="42" t="str">
        <v>6.1</v>
      </c>
      <c r="B1934" s="121" t="str">
        <v>1 Business</v>
      </c>
      <c r="C1934" s="41">
        <v>2</v>
      </c>
      <c r="D1934" s="41" t="str">
        <v>RS</v>
      </c>
      <c r="E1934" s="117" t="str">
        <f t="shared" si="0"/>
        <v>RS</v>
      </c>
      <c r="F1934" s="41" t="str">
        <v/>
      </c>
      <c r="G1934" s="41" t="str">
        <v/>
      </c>
      <c r="H1934" s="117">
        <f t="shared" si="1"/>
        <v>0</v>
      </c>
      <c r="I1934" s="117">
        <f t="shared" si="2"/>
        <v>1</v>
      </c>
      <c r="J1934" s="117">
        <f t="shared" si="3"/>
        <v>1</v>
      </c>
      <c r="K1934" s="117" t="str">
        <f t="shared" si="4"/>
        <v>T</v>
      </c>
      <c r="L1934" s="42">
        <v>1</v>
      </c>
      <c r="M1934" s="121" t="str">
        <v/>
      </c>
      <c r="N1934" s="121" t="str">
        <v>1 Business</v>
      </c>
      <c r="O1934" s="121" t="str">
        <v>ReqID</v>
      </c>
      <c r="P1934" s="121" t="e">
        <v>#N/A</v>
      </c>
      <c r="Q1934" s="121" t="str">
        <v/>
      </c>
      <c r="R1934" s="121" t="str">
        <v/>
      </c>
      <c r="S1934" s="121" t="str">
        <v/>
      </c>
      <c r="T1934" s="119" t="str">
        <f>IF($C1934&lt;4,IF($C1934=3,T1935,IF($C1934=2,T$1,"")),Q1934&amp;R1934&amp;IF(LEN(S1934)=0,"",Preferences!$C$2&amp;S1934)&amp;IF(J1935=J1934,IF(LEN(R1934&amp;S1934)=0,"","
")&amp;T1935,""))</f>
        <v>Description</v>
      </c>
      <c r="U1934" s="122" t="str">
        <v/>
      </c>
      <c r="V1934" s="42"/>
      <c r="W1934" s="42"/>
      <c r="X1934" s="42"/>
      <c r="Y1934" s="42"/>
      <c r="Z1934" s="42"/>
      <c r="AA1934" s="42"/>
      <c r="AB1934" s="42"/>
    </row>
    <row r="1935" spans="1:28" x14ac:dyDescent="0.25">
      <c r="A1935" s="42" t="str">
        <v>6.1.1</v>
      </c>
      <c r="B1935" s="121" t="str">
        <v>1.1 Business / B2C Co</v>
      </c>
      <c r="C1935" s="41">
        <v>3</v>
      </c>
      <c r="D1935" s="41" t="str">
        <v>R</v>
      </c>
      <c r="E1935" s="117" t="str">
        <f t="shared" si="0"/>
        <v>R</v>
      </c>
      <c r="F1935" s="41" t="str">
        <v/>
      </c>
      <c r="G1935" s="41" t="str">
        <v/>
      </c>
      <c r="H1935" s="117">
        <f t="shared" si="1"/>
        <v>0</v>
      </c>
      <c r="I1935" s="117">
        <f t="shared" si="2"/>
        <v>1</v>
      </c>
      <c r="J1935" s="117">
        <f t="shared" si="3"/>
        <v>1.01</v>
      </c>
      <c r="K1935" s="117" t="str">
        <f t="shared" si="4"/>
        <v>T</v>
      </c>
      <c r="L1935" s="42" t="str">
        <v>T0101</v>
      </c>
      <c r="M1935" s="121" t="str">
        <v/>
      </c>
      <c r="N1935" s="121" t="str">
        <v/>
      </c>
      <c r="O1935" s="121" t="str">
        <v>T0101</v>
      </c>
      <c r="P1935" s="121" t="str">
        <v>Business / B2C Co</v>
      </c>
      <c r="Q1935" s="121" t="str">
        <v/>
      </c>
      <c r="R1935" s="121" t="str">
        <v/>
      </c>
      <c r="S1935" s="121" t="str">
        <v/>
      </c>
      <c r="T1935" s="119" t="str">
        <f>IF($C1935&lt;4,IF($C1935=3,T1936,IF($C1935=2,T$1,"")),Q1935&amp;R1935&amp;IF(LEN(S1935)=0,"",Preferences!$C$2&amp;S1935)&amp;IF(J1936=J1935,IF(LEN(R1935&amp;S1935)=0,"","
")&amp;T1936,""))</f>
        <v>The new subsidiary legal business entity to be registered and operated under Transpharm (or a subsidiary of Transpharm), to serve the identified target market in South Africa.</v>
      </c>
      <c r="U1935" s="122" t="str">
        <v/>
      </c>
      <c r="V1935" s="42"/>
      <c r="W1935" s="42"/>
      <c r="X1935" s="42"/>
      <c r="Y1935" s="42"/>
      <c r="Z1935" s="42"/>
      <c r="AA1935" s="42"/>
      <c r="AB1935" s="42"/>
    </row>
    <row r="1936" spans="1:28" x14ac:dyDescent="0.25">
      <c r="A1936" s="42" t="str">
        <v>6.1.1.1</v>
      </c>
      <c r="B1936" s="121" t="str">
        <v>The new subsidiary legal business entity to be registered and operated under Transpharm (or a subsidiary of Transpharm), to serve the identified target market in South Africa.</v>
      </c>
      <c r="C1936" s="41">
        <v>4</v>
      </c>
      <c r="D1936" s="41" t="str">
        <v>RD</v>
      </c>
      <c r="E1936" s="117" t="str">
        <f t="shared" si="0"/>
        <v>RD</v>
      </c>
      <c r="F1936" s="41" t="str">
        <v/>
      </c>
      <c r="G1936" s="41" t="str">
        <v/>
      </c>
      <c r="H1936" s="117">
        <f t="shared" si="1"/>
        <v>0</v>
      </c>
      <c r="I1936" s="117">
        <f t="shared" si="2"/>
        <v>1</v>
      </c>
      <c r="J1936" s="117">
        <f t="shared" si="3"/>
        <v>1.01</v>
      </c>
      <c r="K1936" s="117" t="str">
        <f t="shared" si="4"/>
        <v>T</v>
      </c>
      <c r="L1936" s="42" t="str">
        <v>T0101</v>
      </c>
      <c r="M1936" s="121" t="str">
        <v/>
      </c>
      <c r="N1936" s="121" t="str">
        <v/>
      </c>
      <c r="O1936" s="121" t="str">
        <v/>
      </c>
      <c r="P1936" s="121" t="str">
        <v/>
      </c>
      <c r="Q1936" s="121" t="str">
        <v/>
      </c>
      <c r="R1936" s="121" t="str">
        <v>The new subsidiary legal business entity to be registered and operated under Transpharm (or a subsidiary of Transpharm), to serve the identified target market in South Africa.</v>
      </c>
      <c r="S1936" s="121" t="str">
        <v/>
      </c>
      <c r="T1936" s="119" t="str">
        <f>IF($C1936&lt;4,IF($C1936=3,T1937,IF($C1936=2,T$1,"")),Q1936&amp;R1936&amp;IF(LEN(S1936)=0,"",Preferences!$C$2&amp;S1936)&amp;IF(J1937=J1936,IF(LEN(R1936&amp;S1936)=0,"","
")&amp;T1937,""))</f>
        <v>The new subsidiary legal business entity to be registered and operated under Transpharm (or a subsidiary of Transpharm), to serve the identified target market in South Africa.</v>
      </c>
      <c r="U1936" s="122" t="str">
        <v/>
      </c>
      <c r="V1936" s="42"/>
      <c r="W1936" s="42"/>
      <c r="X1936" s="42"/>
      <c r="Y1936" s="42"/>
      <c r="Z1936" s="42"/>
      <c r="AA1936" s="42"/>
      <c r="AB1936" s="42"/>
    </row>
    <row r="1937" spans="1:28" x14ac:dyDescent="0.25">
      <c r="A1937" s="42" t="str">
        <v>6.1.2</v>
      </c>
      <c r="B1937" s="121" t="str">
        <v>1.2 Supplier</v>
      </c>
      <c r="C1937" s="41">
        <v>3</v>
      </c>
      <c r="D1937" s="41" t="str">
        <v>R</v>
      </c>
      <c r="E1937" s="117" t="str">
        <f t="shared" si="0"/>
        <v>R</v>
      </c>
      <c r="F1937" s="41" t="str">
        <v/>
      </c>
      <c r="G1937" s="41" t="str">
        <v/>
      </c>
      <c r="H1937" s="117">
        <f t="shared" si="1"/>
        <v>0</v>
      </c>
      <c r="I1937" s="117">
        <f t="shared" si="2"/>
        <v>1</v>
      </c>
      <c r="J1937" s="117">
        <f t="shared" si="3"/>
        <v>1.02</v>
      </c>
      <c r="K1937" s="117" t="str">
        <f t="shared" si="4"/>
        <v>T</v>
      </c>
      <c r="L1937" s="42" t="str">
        <v>T0102</v>
      </c>
      <c r="M1937" s="121" t="str">
        <v/>
      </c>
      <c r="N1937" s="121" t="str">
        <v/>
      </c>
      <c r="O1937" s="121" t="str">
        <v>T0102</v>
      </c>
      <c r="P1937" s="121" t="str">
        <v>Supplier</v>
      </c>
      <c r="Q1937" s="121" t="str">
        <v/>
      </c>
      <c r="R1937" s="121" t="str">
        <v/>
      </c>
      <c r="S1937" s="121" t="str">
        <v/>
      </c>
      <c r="T1937" s="119" t="str">
        <f>IF($C1937&lt;4,IF($C1937=3,T1938,IF($C1937=2,T$1,"")),Q1937&amp;R1937&amp;IF(LEN(S1937)=0,"",Preferences!$C$2&amp;S1937)&amp;IF(J1938=J1937,IF(LEN(R1937&amp;S1937)=0,"","
")&amp;T1938,""))</f>
        <v>A supplier of products to/via B2C Co for sale to consumers.</v>
      </c>
      <c r="U1937" s="122" t="str">
        <v/>
      </c>
      <c r="V1937" s="42"/>
      <c r="W1937" s="42"/>
      <c r="X1937" s="42"/>
      <c r="Y1937" s="42"/>
      <c r="Z1937" s="42"/>
      <c r="AA1937" s="42"/>
      <c r="AB1937" s="42"/>
    </row>
    <row r="1938" spans="1:28" x14ac:dyDescent="0.25">
      <c r="A1938" s="42" t="str">
        <v>6.1.2.1</v>
      </c>
      <c r="B1938" s="121" t="str">
        <v>A supplier of products to/via B2C Co for sale to consumers.</v>
      </c>
      <c r="C1938" s="41">
        <v>4</v>
      </c>
      <c r="D1938" s="41" t="str">
        <v>RD</v>
      </c>
      <c r="E1938" s="117" t="str">
        <f t="shared" si="0"/>
        <v>RD</v>
      </c>
      <c r="F1938" s="41" t="str">
        <v/>
      </c>
      <c r="G1938" s="41" t="str">
        <v/>
      </c>
      <c r="H1938" s="117">
        <f t="shared" si="1"/>
        <v>0</v>
      </c>
      <c r="I1938" s="117">
        <f t="shared" si="2"/>
        <v>1</v>
      </c>
      <c r="J1938" s="117">
        <f t="shared" si="3"/>
        <v>1.02</v>
      </c>
      <c r="K1938" s="117" t="str">
        <f t="shared" si="4"/>
        <v>T</v>
      </c>
      <c r="L1938" s="42" t="str">
        <v>T0102</v>
      </c>
      <c r="M1938" s="121" t="str">
        <v/>
      </c>
      <c r="N1938" s="121" t="str">
        <v/>
      </c>
      <c r="O1938" s="121" t="str">
        <v/>
      </c>
      <c r="P1938" s="121" t="str">
        <v/>
      </c>
      <c r="Q1938" s="121" t="str">
        <v/>
      </c>
      <c r="R1938" s="121" t="str">
        <v>A supplier of products to/via B2C Co for sale to consumers.</v>
      </c>
      <c r="S1938" s="121" t="str">
        <v/>
      </c>
      <c r="T1938" s="119" t="str">
        <f>IF($C1938&lt;4,IF($C1938=3,T1939,IF($C1938=2,T$1,"")),Q1938&amp;R1938&amp;IF(LEN(S1938)=0,"",Preferences!$C$2&amp;S1938)&amp;IF(J1939=J1938,IF(LEN(R1938&amp;S1938)=0,"","
")&amp;T1939,""))</f>
        <v>A supplier of products to/via B2C Co for sale to consumers.</v>
      </c>
      <c r="U1938" s="122" t="str">
        <v/>
      </c>
      <c r="V1938" s="42"/>
      <c r="W1938" s="42"/>
      <c r="X1938" s="42"/>
      <c r="Y1938" s="42"/>
      <c r="Z1938" s="42"/>
      <c r="AA1938" s="42"/>
      <c r="AB1938" s="42"/>
    </row>
    <row r="1939" spans="1:28" x14ac:dyDescent="0.25">
      <c r="A1939" s="42" t="str">
        <v>6.1.3</v>
      </c>
      <c r="B1939" s="121" t="str">
        <v>1.3 Marketing</v>
      </c>
      <c r="C1939" s="41">
        <v>3</v>
      </c>
      <c r="D1939" s="41" t="str">
        <v>R</v>
      </c>
      <c r="E1939" s="117" t="str">
        <f t="shared" si="0"/>
        <v>R</v>
      </c>
      <c r="F1939" s="41" t="str">
        <v/>
      </c>
      <c r="G1939" s="41" t="str">
        <v/>
      </c>
      <c r="H1939" s="117">
        <f t="shared" si="1"/>
        <v>0</v>
      </c>
      <c r="I1939" s="117">
        <f t="shared" si="2"/>
        <v>1</v>
      </c>
      <c r="J1939" s="117">
        <f t="shared" si="3"/>
        <v>1.03</v>
      </c>
      <c r="K1939" s="117" t="str">
        <f t="shared" si="4"/>
        <v>T</v>
      </c>
      <c r="L1939" s="42" t="str">
        <v>T0103</v>
      </c>
      <c r="M1939" s="121" t="str">
        <v/>
      </c>
      <c r="N1939" s="121" t="str">
        <v/>
      </c>
      <c r="O1939" s="121" t="str">
        <v>T0103</v>
      </c>
      <c r="P1939" s="121" t="str">
        <v>Marketing</v>
      </c>
      <c r="Q1939" s="121" t="str">
        <v/>
      </c>
      <c r="R1939" s="121" t="str">
        <v/>
      </c>
      <c r="S1939" s="121" t="str">
        <v/>
      </c>
      <c r="T1939" s="119" t="str">
        <f>IF($C1939&lt;4,IF($C1939=3,T1940,IF($C1939=2,T$1,"")),Q1939&amp;R1939&amp;IF(LEN(S1939)=0,"",Preferences!$C$2&amp;S1939)&amp;IF(J1940=J1939,IF(LEN(R1939&amp;S1939)=0,"","
")&amp;T1940,""))</f>
        <v>The business capability for B2C Co to market and advertise end-to end on the B2C Co website and multiple other channels.</v>
      </c>
      <c r="U1939" s="122" t="str">
        <v/>
      </c>
      <c r="V1939" s="42"/>
      <c r="W1939" s="42"/>
      <c r="X1939" s="42"/>
      <c r="Y1939" s="42"/>
      <c r="Z1939" s="42"/>
      <c r="AA1939" s="42"/>
      <c r="AB1939" s="42"/>
    </row>
    <row r="1940" spans="1:28" x14ac:dyDescent="0.25">
      <c r="A1940" s="42" t="str">
        <v>6.1.3.1</v>
      </c>
      <c r="B1940" s="121" t="str">
        <v>The business capability for B2C Co to market and advertise end-to end on the B2C Co website and multiple other channels.</v>
      </c>
      <c r="C1940" s="41">
        <v>4</v>
      </c>
      <c r="D1940" s="41" t="str">
        <v>RD</v>
      </c>
      <c r="E1940" s="117" t="str">
        <f t="shared" si="0"/>
        <v>RD</v>
      </c>
      <c r="F1940" s="41" t="str">
        <v/>
      </c>
      <c r="G1940" s="41" t="str">
        <v/>
      </c>
      <c r="H1940" s="117">
        <f t="shared" si="1"/>
        <v>0</v>
      </c>
      <c r="I1940" s="117">
        <f t="shared" si="2"/>
        <v>1</v>
      </c>
      <c r="J1940" s="117">
        <f t="shared" si="3"/>
        <v>1.03</v>
      </c>
      <c r="K1940" s="117" t="str">
        <f t="shared" si="4"/>
        <v>T</v>
      </c>
      <c r="L1940" s="42" t="str">
        <v>T0103</v>
      </c>
      <c r="M1940" s="121" t="str">
        <v/>
      </c>
      <c r="N1940" s="121" t="str">
        <v/>
      </c>
      <c r="O1940" s="121" t="str">
        <v/>
      </c>
      <c r="P1940" s="121" t="str">
        <v/>
      </c>
      <c r="Q1940" s="121" t="str">
        <v/>
      </c>
      <c r="R1940" s="121" t="str">
        <v>The business capability for B2C Co to market and advertise end-to end on the B2C Co website and multiple other channels.</v>
      </c>
      <c r="S1940" s="121" t="str">
        <v/>
      </c>
      <c r="T1940" s="119" t="str">
        <f>IF($C1940&lt;4,IF($C1940=3,T1941,IF($C1940=2,T$1,"")),Q1940&amp;R1940&amp;IF(LEN(S1940)=0,"",Preferences!$C$2&amp;S1940)&amp;IF(J1941=J1940,IF(LEN(R1940&amp;S1940)=0,"","
")&amp;T1941,""))</f>
        <v>The business capability for B2C Co to market and advertise end-to end on the B2C Co website and multiple other channels.</v>
      </c>
      <c r="U1940" s="122" t="str">
        <v/>
      </c>
      <c r="V1940" s="42"/>
      <c r="W1940" s="42"/>
      <c r="X1940" s="42"/>
      <c r="Y1940" s="42"/>
      <c r="Z1940" s="42"/>
      <c r="AA1940" s="42"/>
      <c r="AB1940" s="42"/>
    </row>
    <row r="1941" spans="1:28" x14ac:dyDescent="0.25">
      <c r="A1941" s="42" t="str">
        <v>6.1.4</v>
      </c>
      <c r="B1941" s="121" t="str">
        <v>1.4 Online shop</v>
      </c>
      <c r="C1941" s="41">
        <v>3</v>
      </c>
      <c r="D1941" s="41" t="str">
        <v>R</v>
      </c>
      <c r="E1941" s="117" t="str">
        <f t="shared" si="0"/>
        <v>R</v>
      </c>
      <c r="F1941" s="41" t="str">
        <v/>
      </c>
      <c r="G1941" s="41" t="str">
        <v/>
      </c>
      <c r="H1941" s="117">
        <f t="shared" si="1"/>
        <v>0</v>
      </c>
      <c r="I1941" s="117">
        <f t="shared" si="2"/>
        <v>1</v>
      </c>
      <c r="J1941" s="117">
        <f t="shared" si="3"/>
        <v>1.04</v>
      </c>
      <c r="K1941" s="117" t="str">
        <f t="shared" si="4"/>
        <v>T</v>
      </c>
      <c r="L1941" s="42" t="str">
        <v>T0104</v>
      </c>
      <c r="M1941" s="121" t="str">
        <v/>
      </c>
      <c r="N1941" s="121" t="str">
        <v/>
      </c>
      <c r="O1941" s="121" t="str">
        <v>T0104</v>
      </c>
      <c r="P1941" s="121" t="str">
        <v>Online shop</v>
      </c>
      <c r="Q1941" s="121" t="str">
        <v/>
      </c>
      <c r="R1941" s="121" t="str">
        <v/>
      </c>
      <c r="S1941" s="121" t="str">
        <v/>
      </c>
      <c r="T1941" s="119" t="str">
        <f>IF($C1941&lt;4,IF($C1941=3,T1942,IF($C1941=2,T$1,"")),Q1941&amp;R1941&amp;IF(LEN(S1941)=0,"",Preferences!$C$2&amp;S1941)&amp;IF(J1942=J1941,IF(LEN(R1941&amp;S1941)=0,"","
")&amp;T1942,""))</f>
        <v>The B2C Co online shopping website via which a customer purchases products and in future possibly services.</v>
      </c>
      <c r="U1941" s="122" t="str">
        <v/>
      </c>
      <c r="V1941" s="42"/>
      <c r="W1941" s="42"/>
      <c r="X1941" s="42"/>
      <c r="Y1941" s="42"/>
      <c r="Z1941" s="42"/>
      <c r="AA1941" s="42"/>
      <c r="AB1941" s="42"/>
    </row>
    <row r="1942" spans="1:28" x14ac:dyDescent="0.25">
      <c r="A1942" s="42" t="str">
        <v>6.1.4.1</v>
      </c>
      <c r="B1942" s="121" t="str">
        <v>The B2C Co online shopping website via which a customer purchases products and in future possibly services.</v>
      </c>
      <c r="C1942" s="41">
        <v>4</v>
      </c>
      <c r="D1942" s="41" t="str">
        <v>RD</v>
      </c>
      <c r="E1942" s="117" t="str">
        <f t="shared" si="0"/>
        <v>RD</v>
      </c>
      <c r="F1942" s="41" t="str">
        <v/>
      </c>
      <c r="G1942" s="41" t="str">
        <v/>
      </c>
      <c r="H1942" s="117">
        <f t="shared" si="1"/>
        <v>0</v>
      </c>
      <c r="I1942" s="117">
        <f t="shared" si="2"/>
        <v>1</v>
      </c>
      <c r="J1942" s="117">
        <f t="shared" si="3"/>
        <v>1.04</v>
      </c>
      <c r="K1942" s="117" t="str">
        <f t="shared" si="4"/>
        <v>T</v>
      </c>
      <c r="L1942" s="42" t="str">
        <v>T0104</v>
      </c>
      <c r="M1942" s="121" t="str">
        <v/>
      </c>
      <c r="N1942" s="121" t="str">
        <v/>
      </c>
      <c r="O1942" s="121" t="str">
        <v/>
      </c>
      <c r="P1942" s="121" t="str">
        <v/>
      </c>
      <c r="Q1942" s="121" t="str">
        <v/>
      </c>
      <c r="R1942" s="121" t="str">
        <v>The B2C Co online shopping website via which a customer purchases products and in future possibly services.</v>
      </c>
      <c r="S1942" s="121" t="str">
        <v/>
      </c>
      <c r="T1942" s="119" t="str">
        <f>IF($C1942&lt;4,IF($C1942=3,T1943,IF($C1942=2,T$1,"")),Q1942&amp;R1942&amp;IF(LEN(S1942)=0,"",Preferences!$C$2&amp;S1942)&amp;IF(J1943=J1942,IF(LEN(R1942&amp;S1942)=0,"","
")&amp;T1943,""))</f>
        <v>The B2C Co online shopping website via which a customer purchases products and in future possibly services.</v>
      </c>
      <c r="U1942" s="122" t="str">
        <v/>
      </c>
      <c r="V1942" s="42"/>
      <c r="W1942" s="42"/>
      <c r="X1942" s="42"/>
      <c r="Y1942" s="42"/>
      <c r="Z1942" s="42"/>
      <c r="AA1942" s="42"/>
      <c r="AB1942" s="42"/>
    </row>
    <row r="1943" spans="1:28" x14ac:dyDescent="0.25">
      <c r="A1943" s="42" t="str">
        <v>6.1.5</v>
      </c>
      <c r="B1943" s="121" t="str">
        <v>1.5 Website</v>
      </c>
      <c r="C1943" s="41">
        <v>3</v>
      </c>
      <c r="D1943" s="41" t="str">
        <v>R</v>
      </c>
      <c r="E1943" s="117" t="str">
        <f t="shared" si="0"/>
        <v>R</v>
      </c>
      <c r="F1943" s="41" t="str">
        <v/>
      </c>
      <c r="G1943" s="41" t="str">
        <v/>
      </c>
      <c r="H1943" s="117">
        <f t="shared" si="1"/>
        <v>0</v>
      </c>
      <c r="I1943" s="117">
        <f t="shared" si="2"/>
        <v>1</v>
      </c>
      <c r="J1943" s="117">
        <f t="shared" si="3"/>
        <v>1.05</v>
      </c>
      <c r="K1943" s="117" t="str">
        <f t="shared" si="4"/>
        <v>T</v>
      </c>
      <c r="L1943" s="42" t="str">
        <v>T0105</v>
      </c>
      <c r="M1943" s="121" t="str">
        <v/>
      </c>
      <c r="N1943" s="121" t="str">
        <v/>
      </c>
      <c r="O1943" s="121" t="str">
        <v>T0105</v>
      </c>
      <c r="P1943" s="121" t="str">
        <v>Website</v>
      </c>
      <c r="Q1943" s="121" t="str">
        <v/>
      </c>
      <c r="R1943" s="121" t="str">
        <v/>
      </c>
      <c r="S1943" s="121" t="str">
        <v/>
      </c>
      <c r="T1943" s="119" t="str">
        <f>IF($C1943&lt;4,IF($C1943=3,T1944,IF($C1943=2,T$1,"")),Q1943&amp;R1943&amp;IF(LEN(S1943)=0,"",Preferences!$C$2&amp;S1943)&amp;IF(J1944=J1943,IF(LEN(R1943&amp;S1943)=0,"","
")&amp;T1944,""))</f>
        <v>Alternate reference to the online shop.</v>
      </c>
      <c r="U1943" s="122" t="str">
        <v/>
      </c>
      <c r="V1943" s="42"/>
      <c r="W1943" s="42"/>
      <c r="X1943" s="42"/>
      <c r="Y1943" s="42"/>
      <c r="Z1943" s="42"/>
      <c r="AA1943" s="42"/>
      <c r="AB1943" s="42"/>
    </row>
    <row r="1944" spans="1:28" x14ac:dyDescent="0.25">
      <c r="A1944" s="42" t="str">
        <v>6.1.5.1</v>
      </c>
      <c r="B1944" s="121" t="str">
        <v>Alternate reference to the online shop.</v>
      </c>
      <c r="C1944" s="41">
        <v>4</v>
      </c>
      <c r="D1944" s="41" t="str">
        <v>RD</v>
      </c>
      <c r="E1944" s="117" t="str">
        <f t="shared" si="0"/>
        <v>RD</v>
      </c>
      <c r="F1944" s="41" t="str">
        <v/>
      </c>
      <c r="G1944" s="41" t="str">
        <v/>
      </c>
      <c r="H1944" s="117">
        <f t="shared" si="1"/>
        <v>0</v>
      </c>
      <c r="I1944" s="117">
        <f t="shared" si="2"/>
        <v>1</v>
      </c>
      <c r="J1944" s="117">
        <f t="shared" si="3"/>
        <v>1.05</v>
      </c>
      <c r="K1944" s="117" t="str">
        <f t="shared" si="4"/>
        <v>T</v>
      </c>
      <c r="L1944" s="42" t="str">
        <v>T0105</v>
      </c>
      <c r="M1944" s="121" t="str">
        <v/>
      </c>
      <c r="N1944" s="121" t="str">
        <v/>
      </c>
      <c r="O1944" s="121" t="str">
        <v/>
      </c>
      <c r="P1944" s="121" t="str">
        <v/>
      </c>
      <c r="Q1944" s="121" t="str">
        <v/>
      </c>
      <c r="R1944" s="121" t="str">
        <v>Alternate reference to the online shop.</v>
      </c>
      <c r="S1944" s="121" t="str">
        <v/>
      </c>
      <c r="T1944" s="119" t="str">
        <f>IF($C1944&lt;4,IF($C1944=3,T1945,IF($C1944=2,T$1,"")),Q1944&amp;R1944&amp;IF(LEN(S1944)=0,"",Preferences!$C$2&amp;S1944)&amp;IF(J1945=J1944,IF(LEN(R1944&amp;S1944)=0,"","
")&amp;T1945,""))</f>
        <v>Alternate reference to the online shop.</v>
      </c>
      <c r="U1944" s="122" t="str">
        <v/>
      </c>
      <c r="V1944" s="42"/>
      <c r="W1944" s="42"/>
      <c r="X1944" s="42"/>
      <c r="Y1944" s="42"/>
      <c r="Z1944" s="42"/>
      <c r="AA1944" s="42"/>
      <c r="AB1944" s="42"/>
    </row>
    <row r="1945" spans="1:28" x14ac:dyDescent="0.25">
      <c r="A1945" s="42" t="str">
        <v>6.2</v>
      </c>
      <c r="B1945" s="121" t="str">
        <v>2 Marketing</v>
      </c>
      <c r="C1945" s="41">
        <v>2</v>
      </c>
      <c r="D1945" s="41" t="str">
        <v>RS</v>
      </c>
      <c r="E1945" s="117" t="str">
        <f t="shared" si="0"/>
        <v>RS</v>
      </c>
      <c r="F1945" s="41" t="str">
        <v/>
      </c>
      <c r="G1945" s="41" t="str">
        <v/>
      </c>
      <c r="H1945" s="117">
        <f t="shared" si="1"/>
        <v>0</v>
      </c>
      <c r="I1945" s="117">
        <f t="shared" si="2"/>
        <v>2</v>
      </c>
      <c r="J1945" s="117">
        <f t="shared" si="3"/>
        <v>2</v>
      </c>
      <c r="K1945" s="117" t="str">
        <f t="shared" si="4"/>
        <v>T</v>
      </c>
      <c r="L1945" s="42">
        <v>2</v>
      </c>
      <c r="M1945" s="121" t="str">
        <v/>
      </c>
      <c r="N1945" s="121" t="str">
        <v>2 Marketing</v>
      </c>
      <c r="O1945" s="121" t="str">
        <v>ReqID</v>
      </c>
      <c r="P1945" s="121" t="e">
        <v>#N/A</v>
      </c>
      <c r="Q1945" s="121" t="str">
        <v/>
      </c>
      <c r="R1945" s="121" t="str">
        <v/>
      </c>
      <c r="S1945" s="121" t="str">
        <v/>
      </c>
      <c r="T1945" s="119" t="str">
        <f>IF($C1945&lt;4,IF($C1945=3,T1946,IF($C1945=2,T$1,"")),Q1945&amp;R1945&amp;IF(LEN(S1945)=0,"",Preferences!$C$2&amp;S1945)&amp;IF(J1946=J1945,IF(LEN(R1945&amp;S1945)=0,"","
")&amp;T1946,""))</f>
        <v>Description</v>
      </c>
      <c r="U1945" s="122" t="str">
        <v/>
      </c>
      <c r="V1945" s="42"/>
      <c r="W1945" s="42"/>
      <c r="X1945" s="42"/>
      <c r="Y1945" s="42"/>
      <c r="Z1945" s="42"/>
      <c r="AA1945" s="42"/>
      <c r="AB1945" s="42"/>
    </row>
    <row r="1946" spans="1:28" x14ac:dyDescent="0.25">
      <c r="A1946" s="42" t="str">
        <v>6.2.1</v>
      </c>
      <c r="B1946" s="121" t="str">
        <v>2.1 baby</v>
      </c>
      <c r="C1946" s="41">
        <v>3</v>
      </c>
      <c r="D1946" s="41" t="str">
        <v>R</v>
      </c>
      <c r="E1946" s="117" t="str">
        <f t="shared" si="0"/>
        <v>R</v>
      </c>
      <c r="F1946" s="41" t="str">
        <v/>
      </c>
      <c r="G1946" s="41" t="str">
        <v/>
      </c>
      <c r="H1946" s="117">
        <f t="shared" si="1"/>
        <v>0</v>
      </c>
      <c r="I1946" s="117">
        <f t="shared" si="2"/>
        <v>2</v>
      </c>
      <c r="J1946" s="117">
        <f t="shared" si="3"/>
        <v>2.0099999999999998</v>
      </c>
      <c r="K1946" s="117" t="str">
        <f t="shared" si="4"/>
        <v>T</v>
      </c>
      <c r="L1946" s="42" t="str">
        <v>T0201</v>
      </c>
      <c r="M1946" s="121" t="str">
        <v/>
      </c>
      <c r="N1946" s="121" t="str">
        <v/>
      </c>
      <c r="O1946" s="121" t="str">
        <v>T0201</v>
      </c>
      <c r="P1946" s="121" t="str">
        <v>baby</v>
      </c>
      <c r="Q1946" s="121" t="str">
        <v/>
      </c>
      <c r="R1946" s="121" t="str">
        <v/>
      </c>
      <c r="S1946" s="121" t="str">
        <v/>
      </c>
      <c r="T1946" s="119" t="str">
        <f>IF($C1946&lt;4,IF($C1946=3,T1947,IF($C1946=2,T$1,"")),Q1946&amp;R1946&amp;IF(LEN(S1946)=0,"",Preferences!$C$2&amp;S1946)&amp;IF(J1947=J1946,IF(LEN(R1946&amp;S1946)=0,"","
")&amp;T1947,""))</f>
        <v>For the purposes of the business, this covers includes the unborn child, as well as the infant and toddler stages of a business.</v>
      </c>
      <c r="U1946" s="122" t="str">
        <v/>
      </c>
      <c r="V1946" s="42"/>
      <c r="W1946" s="42"/>
      <c r="X1946" s="42"/>
      <c r="Y1946" s="42"/>
      <c r="Z1946" s="42"/>
      <c r="AA1946" s="42"/>
      <c r="AB1946" s="42"/>
    </row>
    <row r="1947" spans="1:28" x14ac:dyDescent="0.25">
      <c r="A1947" s="42" t="str">
        <v>6.2.1.1</v>
      </c>
      <c r="B1947" s="121" t="str">
        <v>For the purposes of the business, this covers includes the unborn child, as well as the infant and toddler stages of a business.</v>
      </c>
      <c r="C1947" s="41">
        <v>4</v>
      </c>
      <c r="D1947" s="41" t="str">
        <v>RD</v>
      </c>
      <c r="E1947" s="117" t="str">
        <f t="shared" si="0"/>
        <v>RD</v>
      </c>
      <c r="F1947" s="41" t="str">
        <v/>
      </c>
      <c r="G1947" s="41" t="str">
        <v/>
      </c>
      <c r="H1947" s="117">
        <f t="shared" si="1"/>
        <v>0</v>
      </c>
      <c r="I1947" s="117">
        <f t="shared" si="2"/>
        <v>2</v>
      </c>
      <c r="J1947" s="117">
        <f t="shared" si="3"/>
        <v>2.0099999999999998</v>
      </c>
      <c r="K1947" s="117" t="str">
        <f t="shared" si="4"/>
        <v>T</v>
      </c>
      <c r="L1947" s="42" t="str">
        <v>T0201</v>
      </c>
      <c r="M1947" s="121" t="str">
        <v/>
      </c>
      <c r="N1947" s="121" t="str">
        <v/>
      </c>
      <c r="O1947" s="121" t="str">
        <v/>
      </c>
      <c r="P1947" s="121" t="str">
        <v/>
      </c>
      <c r="Q1947" s="121" t="str">
        <v/>
      </c>
      <c r="R1947" s="121" t="str">
        <v>For the purposes of the business, this covers includes the unborn child, as well as the infant and toddler stages of a business.</v>
      </c>
      <c r="S1947" s="121" t="str">
        <v/>
      </c>
      <c r="T1947" s="119" t="str">
        <f>IF($C1947&lt;4,IF($C1947=3,T1948,IF($C1947=2,T$1,"")),Q1947&amp;R1947&amp;IF(LEN(S1947)=0,"",Preferences!$C$2&amp;S1947)&amp;IF(J1948=J1947,IF(LEN(R1947&amp;S1947)=0,"","
")&amp;T1948,""))</f>
        <v>For the purposes of the business, this covers includes the unborn child, as well as the infant and toddler stages of a business.</v>
      </c>
      <c r="U1947" s="122" t="str">
        <v/>
      </c>
      <c r="V1947" s="42"/>
      <c r="W1947" s="42"/>
      <c r="X1947" s="42"/>
      <c r="Y1947" s="42"/>
      <c r="Z1947" s="42"/>
      <c r="AA1947" s="42"/>
      <c r="AB1947" s="42"/>
    </row>
    <row r="1948" spans="1:28" x14ac:dyDescent="0.25">
      <c r="A1948" s="42" t="str">
        <v>6.2.2</v>
      </c>
      <c r="B1948" s="121" t="str">
        <v>2.2 baby development</v>
      </c>
      <c r="C1948" s="41">
        <v>3</v>
      </c>
      <c r="D1948" s="41" t="str">
        <v>R</v>
      </c>
      <c r="E1948" s="117" t="str">
        <f t="shared" si="0"/>
        <v>R</v>
      </c>
      <c r="F1948" s="41" t="str">
        <v/>
      </c>
      <c r="G1948" s="41" t="str">
        <v/>
      </c>
      <c r="H1948" s="117">
        <f t="shared" si="1"/>
        <v>0</v>
      </c>
      <c r="I1948" s="117">
        <f t="shared" si="2"/>
        <v>2</v>
      </c>
      <c r="J1948" s="117">
        <f t="shared" si="3"/>
        <v>2.0199999999999996</v>
      </c>
      <c r="K1948" s="117" t="str">
        <f t="shared" si="4"/>
        <v>T</v>
      </c>
      <c r="L1948" s="42" t="str">
        <v>T0202</v>
      </c>
      <c r="M1948" s="121" t="str">
        <v/>
      </c>
      <c r="N1948" s="121" t="str">
        <v/>
      </c>
      <c r="O1948" s="121" t="str">
        <v>T0202</v>
      </c>
      <c r="P1948" s="121" t="str">
        <v>baby development</v>
      </c>
      <c r="Q1948" s="121" t="str">
        <v/>
      </c>
      <c r="R1948" s="121" t="str">
        <v/>
      </c>
      <c r="S1948" s="121" t="str">
        <v/>
      </c>
      <c r="T1948" s="119" t="str">
        <f>IF($C1948&lt;4,IF($C1948=3,T1949,IF($C1948=2,T$1,"")),Q1948&amp;R1948&amp;IF(LEN(S1948)=0,"",Preferences!$C$2&amp;S1948)&amp;IF(J1949=J1948,IF(LEN(R1948&amp;S1948)=0,"","
")&amp;T1949,""))</f>
        <v>The stages of development of a baby, from pregnancy through to being a toddler.
Reference: https://en.wikipedia.org/wiki/Toddler#Developmental_milestones</v>
      </c>
      <c r="U1948" s="122" t="str">
        <v/>
      </c>
      <c r="V1948" s="42"/>
      <c r="W1948" s="42"/>
      <c r="X1948" s="42"/>
      <c r="Y1948" s="42"/>
      <c r="Z1948" s="42"/>
      <c r="AA1948" s="42"/>
      <c r="AB1948" s="42"/>
    </row>
    <row r="1949" spans="1:28" x14ac:dyDescent="0.25">
      <c r="A1949" s="42" t="str">
        <v>6.2.2.1</v>
      </c>
      <c r="B1949" s="121" t="str">
        <v>The stages of development of a baby, from pregnancy through to being a toddler.</v>
      </c>
      <c r="C1949" s="41">
        <v>4</v>
      </c>
      <c r="D1949" s="41" t="str">
        <v>RD</v>
      </c>
      <c r="E1949" s="117" t="str">
        <f t="shared" si="0"/>
        <v>RD</v>
      </c>
      <c r="F1949" s="41" t="str">
        <v/>
      </c>
      <c r="G1949" s="41" t="str">
        <v/>
      </c>
      <c r="H1949" s="117">
        <f t="shared" si="1"/>
        <v>0</v>
      </c>
      <c r="I1949" s="117">
        <f t="shared" si="2"/>
        <v>2</v>
      </c>
      <c r="J1949" s="117">
        <f t="shared" si="3"/>
        <v>2.0199999999999996</v>
      </c>
      <c r="K1949" s="117" t="str">
        <f t="shared" si="4"/>
        <v>T</v>
      </c>
      <c r="L1949" s="42" t="str">
        <v>T0202</v>
      </c>
      <c r="M1949" s="121" t="str">
        <v/>
      </c>
      <c r="N1949" s="121" t="str">
        <v/>
      </c>
      <c r="O1949" s="121" t="str">
        <v/>
      </c>
      <c r="P1949" s="121" t="str">
        <v/>
      </c>
      <c r="Q1949" s="121" t="str">
        <v/>
      </c>
      <c r="R1949" s="121" t="str">
        <v>The stages of development of a baby, from pregnancy through to being a toddler.</v>
      </c>
      <c r="S1949" s="121" t="str">
        <v/>
      </c>
      <c r="T1949" s="119" t="str">
        <f>IF($C1949&lt;4,IF($C1949=3,T1950,IF($C1949=2,T$1,"")),Q1949&amp;R1949&amp;IF(LEN(S1949)=0,"",Preferences!$C$2&amp;S1949)&amp;IF(J1950=J1949,IF(LEN(R1949&amp;S1949)=0,"","
")&amp;T1950,""))</f>
        <v>The stages of development of a baby, from pregnancy through to being a toddler.
Reference: https://en.wikipedia.org/wiki/Toddler#Developmental_milestones</v>
      </c>
      <c r="U1949" s="122" t="str">
        <v/>
      </c>
      <c r="V1949" s="42"/>
      <c r="W1949" s="42"/>
      <c r="X1949" s="42"/>
      <c r="Y1949" s="42"/>
      <c r="Z1949" s="42"/>
      <c r="AA1949" s="42"/>
      <c r="AB1949" s="42"/>
    </row>
    <row r="1950" spans="1:28" x14ac:dyDescent="0.25">
      <c r="A1950" s="42" t="str">
        <v>6.2.2.2</v>
      </c>
      <c r="B1950" s="121" t="str">
        <v>Reference: https://en.wikipedia.org/wiki/Toddler#Developmental_milestones</v>
      </c>
      <c r="C1950" s="41">
        <v>4</v>
      </c>
      <c r="D1950" s="41" t="str">
        <v>RD</v>
      </c>
      <c r="E1950" s="117" t="str">
        <f t="shared" si="0"/>
        <v>RD</v>
      </c>
      <c r="F1950" s="41" t="str">
        <v/>
      </c>
      <c r="G1950" s="41" t="str">
        <v/>
      </c>
      <c r="H1950" s="117">
        <f t="shared" si="1"/>
        <v>0</v>
      </c>
      <c r="I1950" s="117">
        <f t="shared" si="2"/>
        <v>2</v>
      </c>
      <c r="J1950" s="117">
        <f t="shared" si="3"/>
        <v>2.0199999999999996</v>
      </c>
      <c r="K1950" s="117" t="str">
        <f t="shared" si="4"/>
        <v>T</v>
      </c>
      <c r="L1950" s="42" t="str">
        <v>T0202</v>
      </c>
      <c r="M1950" s="121" t="str">
        <v/>
      </c>
      <c r="N1950" s="121" t="str">
        <v/>
      </c>
      <c r="O1950" s="121" t="str">
        <v/>
      </c>
      <c r="P1950" s="121" t="str">
        <v/>
      </c>
      <c r="Q1950" s="121" t="str">
        <v/>
      </c>
      <c r="R1950" s="121" t="str">
        <v>Reference: https://en.wikipedia.org/wiki/Toddler#Developmental_milestones</v>
      </c>
      <c r="S1950" s="121" t="str">
        <v/>
      </c>
      <c r="T1950" s="119" t="str">
        <f>IF($C1950&lt;4,IF($C1950=3,T1951,IF($C1950=2,T$1,"")),Q1950&amp;R1950&amp;IF(LEN(S1950)=0,"",Preferences!$C$2&amp;S1950)&amp;IF(J1951=J1950,IF(LEN(R1950&amp;S1950)=0,"","
")&amp;T1951,""))</f>
        <v>Reference: https://en.wikipedia.org/wiki/Toddler#Developmental_milestones</v>
      </c>
      <c r="U1950" s="122" t="str">
        <v/>
      </c>
      <c r="V1950" s="42"/>
      <c r="W1950" s="42"/>
      <c r="X1950" s="42"/>
      <c r="Y1950" s="42"/>
      <c r="Z1950" s="42"/>
      <c r="AA1950" s="42"/>
      <c r="AB1950" s="42"/>
    </row>
    <row r="1951" spans="1:28" x14ac:dyDescent="0.25">
      <c r="A1951" s="42" t="str">
        <v>6.2.3</v>
      </c>
      <c r="B1951" s="121" t="str">
        <v>2.3 newborn</v>
      </c>
      <c r="C1951" s="41">
        <v>3</v>
      </c>
      <c r="D1951" s="41" t="str">
        <v>R</v>
      </c>
      <c r="E1951" s="117" t="str">
        <f t="shared" si="0"/>
        <v>R</v>
      </c>
      <c r="F1951" s="41" t="str">
        <v/>
      </c>
      <c r="G1951" s="41" t="str">
        <v/>
      </c>
      <c r="H1951" s="117">
        <f t="shared" si="1"/>
        <v>0</v>
      </c>
      <c r="I1951" s="117">
        <f t="shared" si="2"/>
        <v>2</v>
      </c>
      <c r="J1951" s="117">
        <f t="shared" si="3"/>
        <v>2.0299999999999994</v>
      </c>
      <c r="K1951" s="117" t="str">
        <f t="shared" si="4"/>
        <v>T</v>
      </c>
      <c r="L1951" s="42" t="str">
        <v>T0203</v>
      </c>
      <c r="M1951" s="121" t="str">
        <v/>
      </c>
      <c r="N1951" s="121" t="str">
        <v/>
      </c>
      <c r="O1951" s="121" t="str">
        <v>T0203</v>
      </c>
      <c r="P1951" s="121" t="str">
        <v>newborn</v>
      </c>
      <c r="Q1951" s="121" t="str">
        <v/>
      </c>
      <c r="R1951" s="121" t="str">
        <v/>
      </c>
      <c r="S1951" s="121" t="str">
        <v/>
      </c>
      <c r="T1951" s="119" t="str">
        <f>IF($C1951&lt;4,IF($C1951=3,T1952,IF($C1951=2,T$1,"")),Q1951&amp;R1951&amp;IF(LEN(S1951)=0,"",Preferences!$C$2&amp;S1951)&amp;IF(J1952=J1951,IF(LEN(R1951&amp;S1951)=0,"","
")&amp;T1952,""))</f>
        <v>A newborn is, in colloquial use, an infant who is only hours, days, or up to one month old.</v>
      </c>
      <c r="U1951" s="122" t="str">
        <v/>
      </c>
      <c r="V1951" s="42"/>
      <c r="W1951" s="42"/>
      <c r="X1951" s="42"/>
      <c r="Y1951" s="42"/>
      <c r="Z1951" s="42"/>
      <c r="AA1951" s="42"/>
      <c r="AB1951" s="42"/>
    </row>
    <row r="1952" spans="1:28" x14ac:dyDescent="0.25">
      <c r="A1952" s="42" t="str">
        <v>6.2.3.1</v>
      </c>
      <c r="B1952" s="121" t="str">
        <v>A newborn is, in colloquial use, an infant who is only hours, days, or up to one month old.</v>
      </c>
      <c r="C1952" s="41">
        <v>4</v>
      </c>
      <c r="D1952" s="41" t="str">
        <v>RD</v>
      </c>
      <c r="E1952" s="117" t="str">
        <f t="shared" si="0"/>
        <v>RD</v>
      </c>
      <c r="F1952" s="41" t="str">
        <v/>
      </c>
      <c r="G1952" s="41" t="str">
        <v/>
      </c>
      <c r="H1952" s="117">
        <f t="shared" si="1"/>
        <v>0</v>
      </c>
      <c r="I1952" s="117">
        <f t="shared" si="2"/>
        <v>2</v>
      </c>
      <c r="J1952" s="117">
        <f t="shared" si="3"/>
        <v>2.0299999999999994</v>
      </c>
      <c r="K1952" s="117" t="str">
        <f t="shared" si="4"/>
        <v>T</v>
      </c>
      <c r="L1952" s="42" t="str">
        <v>T0203</v>
      </c>
      <c r="M1952" s="121" t="str">
        <v/>
      </c>
      <c r="N1952" s="121" t="str">
        <v/>
      </c>
      <c r="O1952" s="121" t="str">
        <v/>
      </c>
      <c r="P1952" s="121" t="str">
        <v/>
      </c>
      <c r="Q1952" s="121" t="str">
        <v/>
      </c>
      <c r="R1952" s="121" t="str">
        <v>A newborn is, in colloquial use, an infant who is only hours, days, or up to one month old.</v>
      </c>
      <c r="S1952" s="121" t="str">
        <v/>
      </c>
      <c r="T1952" s="119" t="str">
        <f>IF($C1952&lt;4,IF($C1952=3,T1953,IF($C1952=2,T$1,"")),Q1952&amp;R1952&amp;IF(LEN(S1952)=0,"",Preferences!$C$2&amp;S1952)&amp;IF(J1953=J1952,IF(LEN(R1952&amp;S1952)=0,"","
")&amp;T1953,""))</f>
        <v>A newborn is, in colloquial use, an infant who is only hours, days, or up to one month old.</v>
      </c>
      <c r="U1952" s="122" t="str">
        <v/>
      </c>
      <c r="V1952" s="42"/>
      <c r="W1952" s="42"/>
      <c r="X1952" s="42"/>
      <c r="Y1952" s="42"/>
      <c r="Z1952" s="42"/>
      <c r="AA1952" s="42"/>
      <c r="AB1952" s="42"/>
    </row>
    <row r="1953" spans="1:28" x14ac:dyDescent="0.25">
      <c r="A1953" s="42" t="str">
        <v>6.2.4</v>
      </c>
      <c r="B1953" s="121" t="str">
        <v>2.4 infant</v>
      </c>
      <c r="C1953" s="41">
        <v>3</v>
      </c>
      <c r="D1953" s="41" t="str">
        <v>R</v>
      </c>
      <c r="E1953" s="117" t="str">
        <f t="shared" si="0"/>
        <v>R</v>
      </c>
      <c r="F1953" s="41" t="str">
        <v/>
      </c>
      <c r="G1953" s="41" t="str">
        <v/>
      </c>
      <c r="H1953" s="117">
        <f t="shared" si="1"/>
        <v>0</v>
      </c>
      <c r="I1953" s="117">
        <f t="shared" si="2"/>
        <v>2</v>
      </c>
      <c r="J1953" s="117">
        <f t="shared" si="3"/>
        <v>2.0399999999999991</v>
      </c>
      <c r="K1953" s="117" t="str">
        <f t="shared" si="4"/>
        <v>T</v>
      </c>
      <c r="L1953" s="42" t="str">
        <v>T0204</v>
      </c>
      <c r="M1953" s="121" t="str">
        <v/>
      </c>
      <c r="N1953" s="121" t="str">
        <v/>
      </c>
      <c r="O1953" s="121" t="str">
        <v>T0204</v>
      </c>
      <c r="P1953" s="121" t="str">
        <v>infant</v>
      </c>
      <c r="Q1953" s="121" t="str">
        <v/>
      </c>
      <c r="R1953" s="121" t="str">
        <v/>
      </c>
      <c r="S1953" s="121" t="str">
        <v/>
      </c>
      <c r="T1953" s="119" t="str">
        <f>IF($C1953&lt;4,IF($C1953=3,T1954,IF($C1953=2,T$1,"")),Q1953&amp;R1953&amp;IF(LEN(S1953)=0,"",Preferences!$C$2&amp;S1953)&amp;IF(J1954=J1953,IF(LEN(R1953&amp;S1953)=0,"","
")&amp;T1954,""))</f>
        <v>An infant is the more formal or specialised synonym for "baby", the very young offspring of a human.
Reference: https://en.wikipedia.org/wiki/Infant</v>
      </c>
      <c r="U1953" s="122" t="str">
        <v/>
      </c>
      <c r="V1953" s="42"/>
      <c r="W1953" s="42"/>
      <c r="X1953" s="42"/>
      <c r="Y1953" s="42"/>
      <c r="Z1953" s="42"/>
      <c r="AA1953" s="42"/>
      <c r="AB1953" s="42"/>
    </row>
    <row r="1954" spans="1:28" x14ac:dyDescent="0.25">
      <c r="A1954" s="42" t="str">
        <v>6.2.4.1</v>
      </c>
      <c r="B1954" s="121" t="str">
        <v>An infant is the more formal or specialised synonym for "baby", the very young offspring of a human.</v>
      </c>
      <c r="C1954" s="41">
        <v>4</v>
      </c>
      <c r="D1954" s="41" t="str">
        <v>RD</v>
      </c>
      <c r="E1954" s="117" t="str">
        <f t="shared" si="0"/>
        <v>RD</v>
      </c>
      <c r="F1954" s="41" t="str">
        <v/>
      </c>
      <c r="G1954" s="41" t="str">
        <v/>
      </c>
      <c r="H1954" s="117">
        <f t="shared" si="1"/>
        <v>0</v>
      </c>
      <c r="I1954" s="117">
        <f t="shared" si="2"/>
        <v>2</v>
      </c>
      <c r="J1954" s="117">
        <f t="shared" si="3"/>
        <v>2.0399999999999991</v>
      </c>
      <c r="K1954" s="117" t="str">
        <f t="shared" si="4"/>
        <v>T</v>
      </c>
      <c r="L1954" s="42" t="str">
        <v>T0204</v>
      </c>
      <c r="M1954" s="121" t="str">
        <v/>
      </c>
      <c r="N1954" s="121" t="str">
        <v/>
      </c>
      <c r="O1954" s="121" t="str">
        <v/>
      </c>
      <c r="P1954" s="121" t="str">
        <v/>
      </c>
      <c r="Q1954" s="121" t="str">
        <v/>
      </c>
      <c r="R1954" s="121" t="str">
        <v>An infant is the more formal or specialised synonym for "baby", the very young offspring of a human.</v>
      </c>
      <c r="S1954" s="121" t="str">
        <v/>
      </c>
      <c r="T1954" s="119" t="str">
        <f>IF($C1954&lt;4,IF($C1954=3,T1955,IF($C1954=2,T$1,"")),Q1954&amp;R1954&amp;IF(LEN(S1954)=0,"",Preferences!$C$2&amp;S1954)&amp;IF(J1955=J1954,IF(LEN(R1954&amp;S1954)=0,"","
")&amp;T1955,""))</f>
        <v>An infant is the more formal or specialised synonym for "baby", the very young offspring of a human.
Reference: https://en.wikipedia.org/wiki/Infant</v>
      </c>
      <c r="U1954" s="122" t="str">
        <v/>
      </c>
      <c r="V1954" s="42"/>
      <c r="W1954" s="42"/>
      <c r="X1954" s="42"/>
      <c r="Y1954" s="42"/>
      <c r="Z1954" s="42"/>
      <c r="AA1954" s="42"/>
      <c r="AB1954" s="42"/>
    </row>
    <row r="1955" spans="1:28" x14ac:dyDescent="0.25">
      <c r="A1955" s="42" t="str">
        <v>6.2.4.2</v>
      </c>
      <c r="B1955" s="121" t="str">
        <v>Reference: https://en.wikipedia.org/wiki/Infant</v>
      </c>
      <c r="C1955" s="41">
        <v>4</v>
      </c>
      <c r="D1955" s="41" t="str">
        <v>RD</v>
      </c>
      <c r="E1955" s="117" t="str">
        <f t="shared" si="0"/>
        <v>RD</v>
      </c>
      <c r="F1955" s="41" t="str">
        <v/>
      </c>
      <c r="G1955" s="41" t="str">
        <v/>
      </c>
      <c r="H1955" s="117">
        <f t="shared" si="1"/>
        <v>0</v>
      </c>
      <c r="I1955" s="117">
        <f t="shared" si="2"/>
        <v>2</v>
      </c>
      <c r="J1955" s="117">
        <f t="shared" si="3"/>
        <v>2.0399999999999991</v>
      </c>
      <c r="K1955" s="117" t="str">
        <f t="shared" si="4"/>
        <v>T</v>
      </c>
      <c r="L1955" s="42" t="str">
        <v>T0204</v>
      </c>
      <c r="M1955" s="121" t="str">
        <v/>
      </c>
      <c r="N1955" s="121" t="str">
        <v/>
      </c>
      <c r="O1955" s="121" t="str">
        <v/>
      </c>
      <c r="P1955" s="121" t="str">
        <v/>
      </c>
      <c r="Q1955" s="121" t="str">
        <v/>
      </c>
      <c r="R1955" s="121" t="str">
        <v>Reference: https://en.wikipedia.org/wiki/Infant</v>
      </c>
      <c r="S1955" s="121" t="str">
        <v/>
      </c>
      <c r="T1955" s="119" t="str">
        <f>IF($C1955&lt;4,IF($C1955=3,T1956,IF($C1955=2,T$1,"")),Q1955&amp;R1955&amp;IF(LEN(S1955)=0,"",Preferences!$C$2&amp;S1955)&amp;IF(J1956=J1955,IF(LEN(R1955&amp;S1955)=0,"","
")&amp;T1956,""))</f>
        <v>Reference: https://en.wikipedia.org/wiki/Infant</v>
      </c>
      <c r="U1955" s="122" t="str">
        <v/>
      </c>
      <c r="V1955" s="42"/>
      <c r="W1955" s="42"/>
      <c r="X1955" s="42"/>
      <c r="Y1955" s="42"/>
      <c r="Z1955" s="42"/>
      <c r="AA1955" s="42"/>
      <c r="AB1955" s="42"/>
    </row>
    <row r="1956" spans="1:28" x14ac:dyDescent="0.25">
      <c r="A1956" s="42" t="str">
        <v>6.2.5</v>
      </c>
      <c r="B1956" s="121" t="str">
        <v>2.5 toddler</v>
      </c>
      <c r="C1956" s="41">
        <v>3</v>
      </c>
      <c r="D1956" s="41" t="str">
        <v>R</v>
      </c>
      <c r="E1956" s="117" t="str">
        <f t="shared" si="0"/>
        <v>R</v>
      </c>
      <c r="F1956" s="41" t="str">
        <v/>
      </c>
      <c r="G1956" s="41" t="str">
        <v/>
      </c>
      <c r="H1956" s="117">
        <f t="shared" si="1"/>
        <v>0</v>
      </c>
      <c r="I1956" s="117">
        <f t="shared" si="2"/>
        <v>2</v>
      </c>
      <c r="J1956" s="117">
        <f t="shared" si="3"/>
        <v>2.0499999999999989</v>
      </c>
      <c r="K1956" s="117" t="str">
        <f t="shared" si="4"/>
        <v>T</v>
      </c>
      <c r="L1956" s="42" t="str">
        <v>T0205</v>
      </c>
      <c r="M1956" s="121" t="str">
        <v/>
      </c>
      <c r="N1956" s="121" t="str">
        <v/>
      </c>
      <c r="O1956" s="121" t="str">
        <v>T0205</v>
      </c>
      <c r="P1956" s="121" t="str">
        <v>toddler</v>
      </c>
      <c r="Q1956" s="121" t="str">
        <v/>
      </c>
      <c r="R1956" s="121" t="str">
        <v/>
      </c>
      <c r="S1956" s="121" t="str">
        <v/>
      </c>
      <c r="T1956" s="119" t="str">
        <f>IF($C1956&lt;4,IF($C1956=3,T1957,IF($C1956=2,T$1,"")),Q1956&amp;R1956&amp;IF(LEN(S1956)=0,"",Preferences!$C$2&amp;S1956)&amp;IF(J1957=J1956,IF(LEN(R1956&amp;S1956)=0,"","
")&amp;T1957,""))</f>
        <v>A toddler is a child approximately 12 to 36 months old. The toddler years are a time of great cognitive, emotional and social development. The word is derived from "to toddle", which means to walk unsteadily, like a child of this age.
Reference: https://en.wikipedia.org/wiki/Toddler</v>
      </c>
      <c r="U1956" s="122" t="str">
        <v/>
      </c>
      <c r="V1956" s="42"/>
      <c r="W1956" s="42"/>
      <c r="X1956" s="42"/>
      <c r="Y1956" s="42"/>
      <c r="Z1956" s="42"/>
      <c r="AA1956" s="42"/>
      <c r="AB1956" s="42"/>
    </row>
    <row r="1957" spans="1:28" x14ac:dyDescent="0.25">
      <c r="A1957" s="42" t="str">
        <v>6.2.5.1</v>
      </c>
      <c r="B1957" s="121" t="str">
        <v>A toddler is a child approximately 12 to 36 months old. The toddler years are a time of great cognitive, emotional and social development. The word is derived from "to toddle", which means to walk unsteadily, like a child of this age.</v>
      </c>
      <c r="C1957" s="41">
        <v>4</v>
      </c>
      <c r="D1957" s="41" t="str">
        <v>RD</v>
      </c>
      <c r="E1957" s="117" t="str">
        <f t="shared" si="0"/>
        <v>RD</v>
      </c>
      <c r="F1957" s="41" t="str">
        <v/>
      </c>
      <c r="G1957" s="41" t="str">
        <v/>
      </c>
      <c r="H1957" s="117">
        <f t="shared" si="1"/>
        <v>0</v>
      </c>
      <c r="I1957" s="117">
        <f t="shared" si="2"/>
        <v>2</v>
      </c>
      <c r="J1957" s="117">
        <f t="shared" si="3"/>
        <v>2.0499999999999989</v>
      </c>
      <c r="K1957" s="117" t="str">
        <f t="shared" si="4"/>
        <v>T</v>
      </c>
      <c r="L1957" s="42" t="str">
        <v>T0205</v>
      </c>
      <c r="M1957" s="121" t="str">
        <v/>
      </c>
      <c r="N1957" s="121" t="str">
        <v/>
      </c>
      <c r="O1957" s="121" t="str">
        <v/>
      </c>
      <c r="P1957" s="121" t="str">
        <v/>
      </c>
      <c r="Q1957" s="121" t="str">
        <v/>
      </c>
      <c r="R1957" s="121" t="str">
        <v>A toddler is a child approximately 12 to 36 months old. The toddler years are a time of great cognitive, emotional and social development. The word is derived from "to toddle", which means to walk unsteadily, like a child of this age.</v>
      </c>
      <c r="S1957" s="121" t="str">
        <v/>
      </c>
      <c r="T1957" s="119" t="str">
        <f>IF($C1957&lt;4,IF($C1957=3,T1958,IF($C1957=2,T$1,"")),Q1957&amp;R1957&amp;IF(LEN(S1957)=0,"",Preferences!$C$2&amp;S1957)&amp;IF(J1958=J1957,IF(LEN(R1957&amp;S1957)=0,"","
")&amp;T1958,""))</f>
        <v>A toddler is a child approximately 12 to 36 months old. The toddler years are a time of great cognitive, emotional and social development. The word is derived from "to toddle", which means to walk unsteadily, like a child of this age.
Reference: https://en.wikipedia.org/wiki/Toddler</v>
      </c>
      <c r="U1957" s="122" t="str">
        <v/>
      </c>
      <c r="V1957" s="42"/>
      <c r="W1957" s="42"/>
      <c r="X1957" s="42"/>
      <c r="Y1957" s="42"/>
      <c r="Z1957" s="42"/>
      <c r="AA1957" s="42"/>
      <c r="AB1957" s="42"/>
    </row>
    <row r="1958" spans="1:28" x14ac:dyDescent="0.25">
      <c r="A1958" s="42" t="str">
        <v>6.2.5.2</v>
      </c>
      <c r="B1958" s="121" t="str">
        <v>Reference: https://en.wikipedia.org/wiki/Toddler</v>
      </c>
      <c r="C1958" s="41">
        <v>4</v>
      </c>
      <c r="D1958" s="41" t="str">
        <v>RD</v>
      </c>
      <c r="E1958" s="117" t="str">
        <f t="shared" si="0"/>
        <v>RD</v>
      </c>
      <c r="F1958" s="41" t="str">
        <v/>
      </c>
      <c r="G1958" s="41" t="str">
        <v/>
      </c>
      <c r="H1958" s="117">
        <f t="shared" si="1"/>
        <v>0</v>
      </c>
      <c r="I1958" s="117">
        <f t="shared" si="2"/>
        <v>2</v>
      </c>
      <c r="J1958" s="117">
        <f t="shared" si="3"/>
        <v>2.0499999999999989</v>
      </c>
      <c r="K1958" s="117" t="str">
        <f t="shared" si="4"/>
        <v>T</v>
      </c>
      <c r="L1958" s="42" t="str">
        <v>T0205</v>
      </c>
      <c r="M1958" s="121" t="str">
        <v/>
      </c>
      <c r="N1958" s="121" t="str">
        <v/>
      </c>
      <c r="O1958" s="121" t="str">
        <v/>
      </c>
      <c r="P1958" s="121" t="str">
        <v/>
      </c>
      <c r="Q1958" s="121" t="str">
        <v/>
      </c>
      <c r="R1958" s="121" t="str">
        <v>Reference: https://en.wikipedia.org/wiki/Toddler</v>
      </c>
      <c r="S1958" s="121" t="str">
        <v/>
      </c>
      <c r="T1958" s="119" t="str">
        <f>IF($C1958&lt;4,IF($C1958=3,T1959,IF($C1958=2,T$1,"")),Q1958&amp;R1958&amp;IF(LEN(S1958)=0,"",Preferences!$C$2&amp;S1958)&amp;IF(J1959=J1958,IF(LEN(R1958&amp;S1958)=0,"","
")&amp;T1959,""))</f>
        <v>Reference: https://en.wikipedia.org/wiki/Toddler</v>
      </c>
      <c r="U1958" s="122" t="str">
        <v/>
      </c>
      <c r="V1958" s="42"/>
      <c r="W1958" s="42"/>
      <c r="X1958" s="42"/>
      <c r="Y1958" s="42"/>
      <c r="Z1958" s="42"/>
      <c r="AA1958" s="42"/>
      <c r="AB1958" s="42"/>
    </row>
    <row r="1959" spans="1:28" x14ac:dyDescent="0.25">
      <c r="A1959" s="42" t="str">
        <v>6.3</v>
      </c>
      <c r="B1959" s="121" t="str">
        <v>3 Customer</v>
      </c>
      <c r="C1959" s="41">
        <v>2</v>
      </c>
      <c r="D1959" s="41" t="str">
        <v>RS</v>
      </c>
      <c r="E1959" s="117" t="str">
        <f t="shared" si="0"/>
        <v>RS</v>
      </c>
      <c r="F1959" s="41" t="str">
        <v/>
      </c>
      <c r="G1959" s="41" t="str">
        <v/>
      </c>
      <c r="H1959" s="117">
        <f t="shared" si="1"/>
        <v>0</v>
      </c>
      <c r="I1959" s="117">
        <f t="shared" si="2"/>
        <v>3</v>
      </c>
      <c r="J1959" s="117">
        <f t="shared" si="3"/>
        <v>3</v>
      </c>
      <c r="K1959" s="117" t="str">
        <f t="shared" si="4"/>
        <v>T</v>
      </c>
      <c r="L1959" s="42">
        <v>3</v>
      </c>
      <c r="M1959" s="121" t="str">
        <v/>
      </c>
      <c r="N1959" s="121" t="str">
        <v>3 Customer</v>
      </c>
      <c r="O1959" s="121" t="str">
        <v>ReqID</v>
      </c>
      <c r="P1959" s="121" t="e">
        <v>#N/A</v>
      </c>
      <c r="Q1959" s="121" t="str">
        <v/>
      </c>
      <c r="R1959" s="121" t="str">
        <v/>
      </c>
      <c r="S1959" s="121" t="str">
        <v/>
      </c>
      <c r="T1959" s="119" t="str">
        <f>IF($C1959&lt;4,IF($C1959=3,T1960,IF($C1959=2,T$1,"")),Q1959&amp;R1959&amp;IF(LEN(S1959)=0,"",Preferences!$C$2&amp;S1959)&amp;IF(J1960=J1959,IF(LEN(R1959&amp;S1959)=0,"","
")&amp;T1960,""))</f>
        <v>Description</v>
      </c>
      <c r="U1959" s="122" t="str">
        <v/>
      </c>
      <c r="V1959" s="42"/>
      <c r="W1959" s="42"/>
      <c r="X1959" s="42"/>
      <c r="Y1959" s="42"/>
      <c r="Z1959" s="42"/>
      <c r="AA1959" s="42"/>
      <c r="AB1959" s="42"/>
    </row>
    <row r="1960" spans="1:28" x14ac:dyDescent="0.25">
      <c r="A1960" s="42" t="str">
        <v>6.3.1</v>
      </c>
      <c r="B1960" s="121" t="str">
        <v>3.1 Customer</v>
      </c>
      <c r="C1960" s="41">
        <v>3</v>
      </c>
      <c r="D1960" s="41" t="str">
        <v>R</v>
      </c>
      <c r="E1960" s="117" t="str">
        <f t="shared" si="0"/>
        <v>R</v>
      </c>
      <c r="F1960" s="41" t="str">
        <v/>
      </c>
      <c r="G1960" s="41" t="str">
        <v/>
      </c>
      <c r="H1960" s="117">
        <f t="shared" si="1"/>
        <v>0</v>
      </c>
      <c r="I1960" s="117">
        <f t="shared" si="2"/>
        <v>3</v>
      </c>
      <c r="J1960" s="117">
        <f t="shared" si="3"/>
        <v>3.01</v>
      </c>
      <c r="K1960" s="117" t="str">
        <f t="shared" si="4"/>
        <v>T</v>
      </c>
      <c r="L1960" s="42" t="str">
        <v>T0301</v>
      </c>
      <c r="M1960" s="121" t="str">
        <v/>
      </c>
      <c r="N1960" s="121" t="str">
        <v/>
      </c>
      <c r="O1960" s="121" t="str">
        <v>T0301</v>
      </c>
      <c r="P1960" s="121" t="str">
        <v>Customer</v>
      </c>
      <c r="Q1960" s="121" t="str">
        <v/>
      </c>
      <c r="R1960" s="121" t="str">
        <v/>
      </c>
      <c r="S1960" s="121" t="str">
        <v/>
      </c>
      <c r="T1960" s="119" t="str">
        <f>IF($C1960&lt;4,IF($C1960=3,T1961,IF($C1960=2,T$1,"")),Q1960&amp;R1960&amp;IF(LEN(S1960)=0,"",Preferences!$C$2&amp;S1960)&amp;IF(J1961=J1960,IF(LEN(R1960&amp;S1960)=0,"","
")&amp;T1961,""))</f>
        <v>A person registered with the online shop, for the purpose to purchase the products and use the related services offered via the online shop.</v>
      </c>
      <c r="U1960" s="122" t="str">
        <v/>
      </c>
      <c r="V1960" s="42"/>
      <c r="W1960" s="42"/>
      <c r="X1960" s="42"/>
      <c r="Y1960" s="42"/>
      <c r="Z1960" s="42"/>
      <c r="AA1960" s="42"/>
      <c r="AB1960" s="42"/>
    </row>
    <row r="1961" spans="1:28" x14ac:dyDescent="0.25">
      <c r="A1961" s="42" t="str">
        <v>6.3.1.1</v>
      </c>
      <c r="B1961" s="121" t="str">
        <v>A person registered with the online shop, for the purpose to purchase the products and use the related services offered via the online shop.</v>
      </c>
      <c r="C1961" s="41">
        <v>4</v>
      </c>
      <c r="D1961" s="41" t="str">
        <v>RD</v>
      </c>
      <c r="E1961" s="117" t="str">
        <f t="shared" si="0"/>
        <v>RD</v>
      </c>
      <c r="F1961" s="41" t="str">
        <v/>
      </c>
      <c r="G1961" s="41" t="str">
        <v/>
      </c>
      <c r="H1961" s="117">
        <f t="shared" si="1"/>
        <v>0</v>
      </c>
      <c r="I1961" s="117">
        <f t="shared" si="2"/>
        <v>3</v>
      </c>
      <c r="J1961" s="117">
        <f t="shared" si="3"/>
        <v>3.01</v>
      </c>
      <c r="K1961" s="117" t="str">
        <f t="shared" si="4"/>
        <v>T</v>
      </c>
      <c r="L1961" s="42" t="str">
        <v>T0301</v>
      </c>
      <c r="M1961" s="121" t="str">
        <v/>
      </c>
      <c r="N1961" s="121" t="str">
        <v/>
      </c>
      <c r="O1961" s="121" t="str">
        <v/>
      </c>
      <c r="P1961" s="121" t="str">
        <v/>
      </c>
      <c r="Q1961" s="121" t="str">
        <v/>
      </c>
      <c r="R1961" s="121" t="str">
        <v>A person registered with the online shop, for the purpose to purchase the products and use the related services offered via the online shop.</v>
      </c>
      <c r="S1961" s="121" t="str">
        <v/>
      </c>
      <c r="T1961" s="119" t="str">
        <f>IF($C1961&lt;4,IF($C1961=3,T1962,IF($C1961=2,T$1,"")),Q1961&amp;R1961&amp;IF(LEN(S1961)=0,"",Preferences!$C$2&amp;S1961)&amp;IF(J1962=J1961,IF(LEN(R1961&amp;S1961)=0,"","
")&amp;T1962,""))</f>
        <v>A person registered with the online shop, for the purpose to purchase the products and use the related services offered via the online shop.</v>
      </c>
      <c r="U1961" s="122" t="str">
        <v/>
      </c>
      <c r="V1961" s="42"/>
      <c r="W1961" s="42"/>
      <c r="X1961" s="42"/>
      <c r="Y1961" s="42"/>
      <c r="Z1961" s="42"/>
      <c r="AA1961" s="42"/>
      <c r="AB1961" s="42"/>
    </row>
    <row r="1962" spans="1:28" x14ac:dyDescent="0.25">
      <c r="A1962" s="42" t="str">
        <v>6.3.2</v>
      </c>
      <c r="B1962" s="121" t="str">
        <v>3.2 Visitor</v>
      </c>
      <c r="C1962" s="41">
        <v>3</v>
      </c>
      <c r="D1962" s="41" t="str">
        <v>R</v>
      </c>
      <c r="E1962" s="117" t="str">
        <f t="shared" si="0"/>
        <v>R</v>
      </c>
      <c r="F1962" s="41" t="str">
        <v/>
      </c>
      <c r="G1962" s="41" t="str">
        <v/>
      </c>
      <c r="H1962" s="117">
        <f t="shared" si="1"/>
        <v>0</v>
      </c>
      <c r="I1962" s="117">
        <f t="shared" si="2"/>
        <v>3</v>
      </c>
      <c r="J1962" s="117">
        <f t="shared" si="3"/>
        <v>3.0199999999999996</v>
      </c>
      <c r="K1962" s="117" t="str">
        <f t="shared" si="4"/>
        <v>T</v>
      </c>
      <c r="L1962" s="42" t="str">
        <v>T0302</v>
      </c>
      <c r="M1962" s="121" t="str">
        <v/>
      </c>
      <c r="N1962" s="121" t="str">
        <v/>
      </c>
      <c r="O1962" s="121" t="str">
        <v>T0302</v>
      </c>
      <c r="P1962" s="121" t="str">
        <v>Visitor</v>
      </c>
      <c r="Q1962" s="121" t="str">
        <v/>
      </c>
      <c r="R1962" s="121" t="str">
        <v/>
      </c>
      <c r="S1962" s="121" t="str">
        <v/>
      </c>
      <c r="T1962" s="119" t="str">
        <f>IF($C1962&lt;4,IF($C1962=3,T1963,IF($C1962=2,T$1,"")),Q1962&amp;R1962&amp;IF(LEN(S1962)=0,"",Preferences!$C$2&amp;S1962)&amp;IF(J1963=J1962,IF(LEN(R1962&amp;S1962)=0,"","
")&amp;T1963,""))</f>
        <v>A customer or member of the public that uses the B2C Co online shop without being logged in (not identified).</v>
      </c>
      <c r="U1962" s="122" t="str">
        <v/>
      </c>
      <c r="V1962" s="42"/>
      <c r="W1962" s="42"/>
      <c r="X1962" s="42"/>
      <c r="Y1962" s="42"/>
      <c r="Z1962" s="42"/>
      <c r="AA1962" s="42"/>
      <c r="AB1962" s="42"/>
    </row>
    <row r="1963" spans="1:28" x14ac:dyDescent="0.25">
      <c r="A1963" s="42" t="str">
        <v>6.3.2.1</v>
      </c>
      <c r="B1963" s="121" t="str">
        <v>A customer or member of the public that uses the B2C Co online shop without being logged in (not identified).</v>
      </c>
      <c r="C1963" s="41">
        <v>4</v>
      </c>
      <c r="D1963" s="41" t="str">
        <v>RD</v>
      </c>
      <c r="E1963" s="117" t="str">
        <f t="shared" si="0"/>
        <v>RD</v>
      </c>
      <c r="F1963" s="41" t="str">
        <v/>
      </c>
      <c r="G1963" s="41" t="str">
        <v/>
      </c>
      <c r="H1963" s="117">
        <f t="shared" si="1"/>
        <v>0</v>
      </c>
      <c r="I1963" s="117">
        <f t="shared" si="2"/>
        <v>3</v>
      </c>
      <c r="J1963" s="117">
        <f t="shared" si="3"/>
        <v>3.0199999999999996</v>
      </c>
      <c r="K1963" s="117" t="str">
        <f t="shared" si="4"/>
        <v>T</v>
      </c>
      <c r="L1963" s="42" t="str">
        <v>T0302</v>
      </c>
      <c r="M1963" s="121" t="str">
        <v/>
      </c>
      <c r="N1963" s="121" t="str">
        <v/>
      </c>
      <c r="O1963" s="121" t="str">
        <v/>
      </c>
      <c r="P1963" s="121" t="str">
        <v/>
      </c>
      <c r="Q1963" s="121" t="str">
        <v/>
      </c>
      <c r="R1963" s="121" t="str">
        <v>A customer or member of the public that uses the B2C Co online shop without being logged in (not identified).</v>
      </c>
      <c r="S1963" s="121" t="str">
        <v/>
      </c>
      <c r="T1963" s="119" t="str">
        <f>IF($C1963&lt;4,IF($C1963=3,T1964,IF($C1963=2,T$1,"")),Q1963&amp;R1963&amp;IF(LEN(S1963)=0,"",Preferences!$C$2&amp;S1963)&amp;IF(J1964=J1963,IF(LEN(R1963&amp;S1963)=0,"","
")&amp;T1964,""))</f>
        <v>A customer or member of the public that uses the B2C Co online shop without being logged in (not identified).</v>
      </c>
      <c r="U1963" s="122" t="str">
        <v/>
      </c>
      <c r="V1963" s="42"/>
      <c r="W1963" s="42"/>
      <c r="X1963" s="42"/>
      <c r="Y1963" s="42"/>
      <c r="Z1963" s="42"/>
      <c r="AA1963" s="42"/>
      <c r="AB1963" s="42"/>
    </row>
    <row r="1964" spans="1:28" x14ac:dyDescent="0.25">
      <c r="A1964" s="42" t="str">
        <v>6.3.3</v>
      </c>
      <c r="B1964" s="121" t="str">
        <v>3.3 Customer - Direct</v>
      </c>
      <c r="C1964" s="41">
        <v>3</v>
      </c>
      <c r="D1964" s="41" t="str">
        <v>R</v>
      </c>
      <c r="E1964" s="117" t="str">
        <f t="shared" si="0"/>
        <v>R</v>
      </c>
      <c r="F1964" s="41" t="str">
        <v/>
      </c>
      <c r="G1964" s="41" t="str">
        <v/>
      </c>
      <c r="H1964" s="117">
        <f t="shared" si="1"/>
        <v>0</v>
      </c>
      <c r="I1964" s="117">
        <f t="shared" si="2"/>
        <v>3</v>
      </c>
      <c r="J1964" s="117">
        <f t="shared" si="3"/>
        <v>3.0299999999999994</v>
      </c>
      <c r="K1964" s="117" t="str">
        <f t="shared" si="4"/>
        <v>T</v>
      </c>
      <c r="L1964" s="42" t="str">
        <v>T0303</v>
      </c>
      <c r="M1964" s="121" t="str">
        <v/>
      </c>
      <c r="N1964" s="121" t="str">
        <v/>
      </c>
      <c r="O1964" s="121" t="str">
        <v>T0303</v>
      </c>
      <c r="P1964" s="121" t="str">
        <v>Customer - Direct</v>
      </c>
      <c r="Q1964" s="121" t="str">
        <v/>
      </c>
      <c r="R1964" s="121" t="str">
        <v/>
      </c>
      <c r="S1964" s="121" t="str">
        <v/>
      </c>
      <c r="T1964" s="119" t="str">
        <f>IF($C1964&lt;4,IF($C1964=3,T1965,IF($C1964=2,T$1,"")),Q1964&amp;R1964&amp;IF(LEN(S1964)=0,"",Preferences!$C$2&amp;S1964)&amp;IF(J1965=J1964,IF(LEN(R1964&amp;S1964)=0,"","
")&amp;T1965,""))</f>
        <v>A customer or potential customer that contacts the B2C Co contact centre.</v>
      </c>
      <c r="U1964" s="122" t="str">
        <v/>
      </c>
      <c r="V1964" s="42"/>
      <c r="W1964" s="42"/>
      <c r="X1964" s="42"/>
      <c r="Y1964" s="42"/>
      <c r="Z1964" s="42"/>
      <c r="AA1964" s="42"/>
      <c r="AB1964" s="42"/>
    </row>
    <row r="1965" spans="1:28" x14ac:dyDescent="0.25">
      <c r="A1965" s="42" t="str">
        <v>6.3.3.1</v>
      </c>
      <c r="B1965" s="121" t="str">
        <v>A customer or potential customer that contacts the B2C Co contact centre.</v>
      </c>
      <c r="C1965" s="41">
        <v>4</v>
      </c>
      <c r="D1965" s="41" t="str">
        <v>RD</v>
      </c>
      <c r="E1965" s="117" t="str">
        <f t="shared" si="0"/>
        <v>RD</v>
      </c>
      <c r="F1965" s="41" t="str">
        <v/>
      </c>
      <c r="G1965" s="41" t="str">
        <v/>
      </c>
      <c r="H1965" s="117">
        <f t="shared" si="1"/>
        <v>0</v>
      </c>
      <c r="I1965" s="117">
        <f t="shared" si="2"/>
        <v>3</v>
      </c>
      <c r="J1965" s="117">
        <f t="shared" si="3"/>
        <v>3.0299999999999994</v>
      </c>
      <c r="K1965" s="117" t="str">
        <f t="shared" si="4"/>
        <v>T</v>
      </c>
      <c r="L1965" s="42" t="str">
        <v>T0303</v>
      </c>
      <c r="M1965" s="121" t="str">
        <v/>
      </c>
      <c r="N1965" s="121" t="str">
        <v/>
      </c>
      <c r="O1965" s="121" t="str">
        <v/>
      </c>
      <c r="P1965" s="121" t="str">
        <v/>
      </c>
      <c r="Q1965" s="121" t="str">
        <v/>
      </c>
      <c r="R1965" s="121" t="str">
        <v>A customer or potential customer that contacts the B2C Co contact centre.</v>
      </c>
      <c r="S1965" s="121" t="str">
        <v/>
      </c>
      <c r="T1965" s="119" t="str">
        <f>IF($C1965&lt;4,IF($C1965=3,T1966,IF($C1965=2,T$1,"")),Q1965&amp;R1965&amp;IF(LEN(S1965)=0,"",Preferences!$C$2&amp;S1965)&amp;IF(J1966=J1965,IF(LEN(R1965&amp;S1965)=0,"","
")&amp;T1966,""))</f>
        <v>A customer or potential customer that contacts the B2C Co contact centre.</v>
      </c>
      <c r="U1965" s="122" t="str">
        <v/>
      </c>
      <c r="V1965" s="42"/>
      <c r="W1965" s="42"/>
      <c r="X1965" s="42"/>
      <c r="Y1965" s="42"/>
      <c r="Z1965" s="42"/>
      <c r="AA1965" s="42"/>
      <c r="AB1965" s="42"/>
    </row>
    <row r="1966" spans="1:28" x14ac:dyDescent="0.25">
      <c r="A1966" s="42" t="str">
        <v>6.3.4</v>
      </c>
      <c r="B1966" s="121" t="str">
        <v>3.4 Customer - Anonymous</v>
      </c>
      <c r="C1966" s="41">
        <v>3</v>
      </c>
      <c r="D1966" s="41" t="str">
        <v>R</v>
      </c>
      <c r="E1966" s="117" t="str">
        <f t="shared" si="0"/>
        <v>R</v>
      </c>
      <c r="F1966" s="41" t="str">
        <v/>
      </c>
      <c r="G1966" s="41" t="str">
        <v/>
      </c>
      <c r="H1966" s="117">
        <f t="shared" si="1"/>
        <v>0</v>
      </c>
      <c r="I1966" s="117">
        <f t="shared" si="2"/>
        <v>3</v>
      </c>
      <c r="J1966" s="117">
        <f t="shared" si="3"/>
        <v>3.0399999999999991</v>
      </c>
      <c r="K1966" s="117" t="str">
        <f t="shared" si="4"/>
        <v>T</v>
      </c>
      <c r="L1966" s="42" t="str">
        <v>T0304</v>
      </c>
      <c r="M1966" s="121" t="str">
        <v/>
      </c>
      <c r="N1966" s="121" t="str">
        <v/>
      </c>
      <c r="O1966" s="121" t="str">
        <v>T0304</v>
      </c>
      <c r="P1966" s="121" t="str">
        <v>Customer - Anonymous</v>
      </c>
      <c r="Q1966" s="121" t="str">
        <v/>
      </c>
      <c r="R1966" s="121" t="str">
        <v/>
      </c>
      <c r="S1966" s="121" t="str">
        <v/>
      </c>
      <c r="T1966" s="119" t="str">
        <f>IF($C1966&lt;4,IF($C1966=3,T1967,IF($C1966=2,T$1,"")),Q1966&amp;R1966&amp;IF(LEN(S1966)=0,"",Preferences!$C$2&amp;S1966)&amp;IF(J1967=J1966,IF(LEN(R1966&amp;S1966)=0,"","
")&amp;T1967,""))</f>
        <v>This is an alternate reference to Visitor.</v>
      </c>
      <c r="U1966" s="122" t="str">
        <v/>
      </c>
      <c r="V1966" s="42"/>
      <c r="W1966" s="42"/>
      <c r="X1966" s="42"/>
      <c r="Y1966" s="42"/>
      <c r="Z1966" s="42"/>
      <c r="AA1966" s="42"/>
      <c r="AB1966" s="42"/>
    </row>
    <row r="1967" spans="1:28" x14ac:dyDescent="0.25">
      <c r="A1967" s="42" t="str">
        <v>6.3.4.1</v>
      </c>
      <c r="B1967" s="121" t="str">
        <v>This is an alternate reference to Visitor.</v>
      </c>
      <c r="C1967" s="41">
        <v>4</v>
      </c>
      <c r="D1967" s="41" t="str">
        <v>RD</v>
      </c>
      <c r="E1967" s="117" t="str">
        <f t="shared" si="0"/>
        <v>RD</v>
      </c>
      <c r="F1967" s="41" t="str">
        <v/>
      </c>
      <c r="G1967" s="41" t="str">
        <v/>
      </c>
      <c r="H1967" s="117">
        <f t="shared" si="1"/>
        <v>0</v>
      </c>
      <c r="I1967" s="117">
        <f t="shared" si="2"/>
        <v>3</v>
      </c>
      <c r="J1967" s="117">
        <f t="shared" si="3"/>
        <v>3.0399999999999991</v>
      </c>
      <c r="K1967" s="117" t="str">
        <f t="shared" si="4"/>
        <v>T</v>
      </c>
      <c r="L1967" s="42" t="str">
        <v>T0304</v>
      </c>
      <c r="M1967" s="121" t="str">
        <v/>
      </c>
      <c r="N1967" s="121" t="str">
        <v/>
      </c>
      <c r="O1967" s="121" t="str">
        <v/>
      </c>
      <c r="P1967" s="121" t="str">
        <v/>
      </c>
      <c r="Q1967" s="121" t="str">
        <v/>
      </c>
      <c r="R1967" s="121" t="str">
        <v>This is an alternate reference to Visitor.</v>
      </c>
      <c r="S1967" s="121" t="str">
        <v/>
      </c>
      <c r="T1967" s="119" t="str">
        <f>IF($C1967&lt;4,IF($C1967=3,T1968,IF($C1967=2,T$1,"")),Q1967&amp;R1967&amp;IF(LEN(S1967)=0,"",Preferences!$C$2&amp;S1967)&amp;IF(J1968=J1967,IF(LEN(R1967&amp;S1967)=0,"","
")&amp;T1968,""))</f>
        <v>This is an alternate reference to Visitor.</v>
      </c>
      <c r="U1967" s="122" t="str">
        <v/>
      </c>
      <c r="V1967" s="42"/>
      <c r="W1967" s="42"/>
      <c r="X1967" s="42"/>
      <c r="Y1967" s="42"/>
      <c r="Z1967" s="42"/>
      <c r="AA1967" s="42"/>
      <c r="AB1967" s="42"/>
    </row>
    <row r="1968" spans="1:28" x14ac:dyDescent="0.25">
      <c r="A1968" s="42" t="str">
        <v>6.3.5</v>
      </c>
      <c r="B1968" s="121" t="str">
        <v>3.5 Customer - Website</v>
      </c>
      <c r="C1968" s="41">
        <v>3</v>
      </c>
      <c r="D1968" s="41" t="str">
        <v>R</v>
      </c>
      <c r="E1968" s="117" t="str">
        <f t="shared" si="0"/>
        <v>R</v>
      </c>
      <c r="F1968" s="41" t="str">
        <v/>
      </c>
      <c r="G1968" s="41" t="str">
        <v/>
      </c>
      <c r="H1968" s="117">
        <f t="shared" si="1"/>
        <v>0</v>
      </c>
      <c r="I1968" s="117">
        <f t="shared" si="2"/>
        <v>3</v>
      </c>
      <c r="J1968" s="117">
        <f t="shared" si="3"/>
        <v>3.0499999999999989</v>
      </c>
      <c r="K1968" s="117" t="str">
        <f t="shared" si="4"/>
        <v>T</v>
      </c>
      <c r="L1968" s="42" t="str">
        <v>T0305</v>
      </c>
      <c r="M1968" s="121" t="str">
        <v/>
      </c>
      <c r="N1968" s="121" t="str">
        <v/>
      </c>
      <c r="O1968" s="121" t="str">
        <v>T0305</v>
      </c>
      <c r="P1968" s="121" t="str">
        <v>Customer - Website</v>
      </c>
      <c r="Q1968" s="121" t="str">
        <v/>
      </c>
      <c r="R1968" s="121" t="str">
        <v/>
      </c>
      <c r="S1968" s="121" t="str">
        <v/>
      </c>
      <c r="T1968" s="119" t="str">
        <f>IF($C1968&lt;4,IF($C1968=3,T1969,IF($C1968=2,T$1,"")),Q1968&amp;R1968&amp;IF(LEN(S1968)=0,"",Preferences!$C$2&amp;S1968)&amp;IF(J1969=J1968,IF(LEN(R1968&amp;S1968)=0,"","
")&amp;T1969,""))</f>
        <v>A customer that uses the B2C Co online shop and who is logged in (identified).</v>
      </c>
      <c r="U1968" s="122" t="str">
        <v/>
      </c>
      <c r="V1968" s="42"/>
      <c r="W1968" s="42"/>
      <c r="X1968" s="42"/>
      <c r="Y1968" s="42"/>
      <c r="Z1968" s="42"/>
      <c r="AA1968" s="42"/>
      <c r="AB1968" s="42"/>
    </row>
    <row r="1969" spans="1:28" x14ac:dyDescent="0.25">
      <c r="A1969" s="42" t="str">
        <v>6.3.5.1</v>
      </c>
      <c r="B1969" s="121" t="str">
        <v>A customer that uses the B2C Co online shop and who is logged in (identified).</v>
      </c>
      <c r="C1969" s="41">
        <v>4</v>
      </c>
      <c r="D1969" s="41" t="str">
        <v>RD</v>
      </c>
      <c r="E1969" s="117" t="str">
        <f t="shared" si="0"/>
        <v>RD</v>
      </c>
      <c r="F1969" s="41" t="str">
        <v/>
      </c>
      <c r="G1969" s="41" t="str">
        <v/>
      </c>
      <c r="H1969" s="117">
        <f t="shared" si="1"/>
        <v>0</v>
      </c>
      <c r="I1969" s="117">
        <f t="shared" si="2"/>
        <v>3</v>
      </c>
      <c r="J1969" s="117">
        <f t="shared" si="3"/>
        <v>3.0499999999999989</v>
      </c>
      <c r="K1969" s="117" t="str">
        <f t="shared" si="4"/>
        <v>T</v>
      </c>
      <c r="L1969" s="42" t="str">
        <v>T0305</v>
      </c>
      <c r="M1969" s="121" t="str">
        <v/>
      </c>
      <c r="N1969" s="121" t="str">
        <v/>
      </c>
      <c r="O1969" s="121" t="str">
        <v/>
      </c>
      <c r="P1969" s="121" t="str">
        <v/>
      </c>
      <c r="Q1969" s="121" t="str">
        <v/>
      </c>
      <c r="R1969" s="121" t="str">
        <v>A customer that uses the B2C Co online shop and who is logged in (identified).</v>
      </c>
      <c r="S1969" s="121" t="str">
        <v/>
      </c>
      <c r="T1969" s="119" t="str">
        <f>IF($C1969&lt;4,IF($C1969=3,T1970,IF($C1969=2,T$1,"")),Q1969&amp;R1969&amp;IF(LEN(S1969)=0,"",Preferences!$C$2&amp;S1969)&amp;IF(J1970=J1969,IF(LEN(R1969&amp;S1969)=0,"","
")&amp;T1970,""))</f>
        <v>A customer that uses the B2C Co online shop and who is logged in (identified).</v>
      </c>
      <c r="U1969" s="122" t="str">
        <v/>
      </c>
      <c r="V1969" s="42"/>
      <c r="W1969" s="42"/>
      <c r="X1969" s="42"/>
      <c r="Y1969" s="42"/>
      <c r="Z1969" s="42"/>
      <c r="AA1969" s="42"/>
      <c r="AB1969" s="42"/>
    </row>
    <row r="1970" spans="1:28" x14ac:dyDescent="0.25">
      <c r="A1970" s="42" t="str">
        <v>6.3.6</v>
      </c>
      <c r="B1970" s="121" t="str">
        <v>3.6 Favourites-list</v>
      </c>
      <c r="C1970" s="41">
        <v>3</v>
      </c>
      <c r="D1970" s="41" t="str">
        <v>R</v>
      </c>
      <c r="E1970" s="117" t="str">
        <f t="shared" si="0"/>
        <v>R</v>
      </c>
      <c r="F1970" s="41" t="str">
        <v/>
      </c>
      <c r="G1970" s="41" t="str">
        <v/>
      </c>
      <c r="H1970" s="117">
        <f t="shared" si="1"/>
        <v>0</v>
      </c>
      <c r="I1970" s="117">
        <f t="shared" si="2"/>
        <v>3</v>
      </c>
      <c r="J1970" s="117">
        <f t="shared" si="3"/>
        <v>3.0599999999999987</v>
      </c>
      <c r="K1970" s="117" t="str">
        <f t="shared" si="4"/>
        <v>T</v>
      </c>
      <c r="L1970" s="42" t="str">
        <v>T0306</v>
      </c>
      <c r="M1970" s="121" t="str">
        <v/>
      </c>
      <c r="N1970" s="121" t="str">
        <v/>
      </c>
      <c r="O1970" s="121" t="str">
        <v>T0306</v>
      </c>
      <c r="P1970" s="121" t="str">
        <v>Favourites-list</v>
      </c>
      <c r="Q1970" s="121" t="str">
        <v/>
      </c>
      <c r="R1970" s="121" t="str">
        <v/>
      </c>
      <c r="S1970" s="121" t="str">
        <v/>
      </c>
      <c r="T1970" s="119" t="str">
        <f>IF($C1970&lt;4,IF($C1970=3,T1971,IF($C1970=2,T$1,"")),Q1970&amp;R1970&amp;IF(LEN(S1970)=0,"",Preferences!$C$2&amp;S1970)&amp;IF(J1971=J1970,IF(LEN(R1970&amp;S1970)=0,"","
")&amp;T1971,""))</f>
        <v>List of products wanted to be ordered on a regular basis.</v>
      </c>
      <c r="U1970" s="122" t="str">
        <v/>
      </c>
      <c r="V1970" s="42"/>
      <c r="W1970" s="42"/>
      <c r="X1970" s="42"/>
      <c r="Y1970" s="42"/>
      <c r="Z1970" s="42"/>
      <c r="AA1970" s="42"/>
      <c r="AB1970" s="42"/>
    </row>
    <row r="1971" spans="1:28" x14ac:dyDescent="0.25">
      <c r="A1971" s="42" t="str">
        <v>6.3.6.1</v>
      </c>
      <c r="B1971" s="121" t="str">
        <v>List of products wanted to be ordered on a regular basis.</v>
      </c>
      <c r="C1971" s="41">
        <v>4</v>
      </c>
      <c r="D1971" s="41" t="str">
        <v>RD</v>
      </c>
      <c r="E1971" s="117" t="str">
        <f t="shared" si="0"/>
        <v>RD</v>
      </c>
      <c r="F1971" s="41" t="str">
        <v/>
      </c>
      <c r="G1971" s="41" t="str">
        <v/>
      </c>
      <c r="H1971" s="117">
        <f t="shared" si="1"/>
        <v>0</v>
      </c>
      <c r="I1971" s="117">
        <f t="shared" si="2"/>
        <v>3</v>
      </c>
      <c r="J1971" s="117">
        <f t="shared" si="3"/>
        <v>3.0599999999999987</v>
      </c>
      <c r="K1971" s="117" t="str">
        <f t="shared" si="4"/>
        <v>T</v>
      </c>
      <c r="L1971" s="42" t="str">
        <v>T0306</v>
      </c>
      <c r="M1971" s="121" t="str">
        <v/>
      </c>
      <c r="N1971" s="121" t="str">
        <v/>
      </c>
      <c r="O1971" s="121" t="str">
        <v/>
      </c>
      <c r="P1971" s="121" t="str">
        <v/>
      </c>
      <c r="Q1971" s="121" t="str">
        <v/>
      </c>
      <c r="R1971" s="121" t="str">
        <v>List of products wanted to be ordered on a regular basis.</v>
      </c>
      <c r="S1971" s="121" t="str">
        <v/>
      </c>
      <c r="T1971" s="119" t="str">
        <f>IF($C1971&lt;4,IF($C1971=3,T1972,IF($C1971=2,T$1,"")),Q1971&amp;R1971&amp;IF(LEN(S1971)=0,"",Preferences!$C$2&amp;S1971)&amp;IF(J1972=J1971,IF(LEN(R1971&amp;S1971)=0,"","
")&amp;T1972,""))</f>
        <v>List of products wanted to be ordered on a regular basis.</v>
      </c>
      <c r="U1971" s="122" t="str">
        <v/>
      </c>
      <c r="V1971" s="42"/>
      <c r="W1971" s="42"/>
      <c r="X1971" s="42"/>
      <c r="Y1971" s="42"/>
      <c r="Z1971" s="42"/>
      <c r="AA1971" s="42"/>
      <c r="AB1971" s="42"/>
    </row>
    <row r="1972" spans="1:28" x14ac:dyDescent="0.25">
      <c r="A1972" s="42" t="str">
        <v>6.3.7</v>
      </c>
      <c r="B1972" s="121" t="str">
        <v>3.7 Wish-list</v>
      </c>
      <c r="C1972" s="41">
        <v>3</v>
      </c>
      <c r="D1972" s="41" t="str">
        <v>R</v>
      </c>
      <c r="E1972" s="117" t="str">
        <f t="shared" si="0"/>
        <v>R</v>
      </c>
      <c r="F1972" s="41" t="str">
        <v/>
      </c>
      <c r="G1972" s="41" t="str">
        <v/>
      </c>
      <c r="H1972" s="117">
        <f t="shared" si="1"/>
        <v>0</v>
      </c>
      <c r="I1972" s="117">
        <f t="shared" si="2"/>
        <v>3</v>
      </c>
      <c r="J1972" s="117">
        <f t="shared" si="3"/>
        <v>3.0699999999999985</v>
      </c>
      <c r="K1972" s="117" t="str">
        <f t="shared" si="4"/>
        <v>T</v>
      </c>
      <c r="L1972" s="42" t="str">
        <v>T0307</v>
      </c>
      <c r="M1972" s="121" t="str">
        <v/>
      </c>
      <c r="N1972" s="121" t="str">
        <v/>
      </c>
      <c r="O1972" s="121" t="str">
        <v>T0307</v>
      </c>
      <c r="P1972" s="121" t="str">
        <v>Wish-list</v>
      </c>
      <c r="Q1972" s="121" t="str">
        <v/>
      </c>
      <c r="R1972" s="121" t="str">
        <v/>
      </c>
      <c r="S1972" s="121" t="str">
        <v/>
      </c>
      <c r="T1972" s="119" t="str">
        <f>IF($C1972&lt;4,IF($C1972=3,T1973,IF($C1972=2,T$1,"")),Q1972&amp;R1972&amp;IF(LEN(S1972)=0,"",Preferences!$C$2&amp;S1972)&amp;IF(J1973=J1972,IF(LEN(R1972&amp;S1972)=0,"","
")&amp;T1973,""))</f>
        <v>List of products to be ordered once-off at a future date/out of stock.</v>
      </c>
      <c r="U1972" s="122" t="str">
        <v/>
      </c>
      <c r="V1972" s="42"/>
      <c r="W1972" s="42"/>
      <c r="X1972" s="42"/>
      <c r="Y1972" s="42"/>
      <c r="Z1972" s="42"/>
      <c r="AA1972" s="42"/>
      <c r="AB1972" s="42"/>
    </row>
    <row r="1973" spans="1:28" x14ac:dyDescent="0.25">
      <c r="A1973" s="42" t="str">
        <v>6.3.7.1</v>
      </c>
      <c r="B1973" s="121" t="str">
        <v>List of products to be ordered once-off at a future date/out of stock.</v>
      </c>
      <c r="C1973" s="41">
        <v>4</v>
      </c>
      <c r="D1973" s="41" t="str">
        <v>RD</v>
      </c>
      <c r="E1973" s="117" t="str">
        <f t="shared" si="0"/>
        <v>RD</v>
      </c>
      <c r="F1973" s="41" t="str">
        <v/>
      </c>
      <c r="G1973" s="41" t="str">
        <v/>
      </c>
      <c r="H1973" s="117">
        <f t="shared" si="1"/>
        <v>0</v>
      </c>
      <c r="I1973" s="117">
        <f t="shared" si="2"/>
        <v>3</v>
      </c>
      <c r="J1973" s="117">
        <f t="shared" si="3"/>
        <v>3.0699999999999985</v>
      </c>
      <c r="K1973" s="117" t="str">
        <f t="shared" si="4"/>
        <v>T</v>
      </c>
      <c r="L1973" s="42" t="str">
        <v>T0307</v>
      </c>
      <c r="M1973" s="121" t="str">
        <v/>
      </c>
      <c r="N1973" s="121" t="str">
        <v/>
      </c>
      <c r="O1973" s="121" t="str">
        <v/>
      </c>
      <c r="P1973" s="121" t="str">
        <v/>
      </c>
      <c r="Q1973" s="121" t="str">
        <v/>
      </c>
      <c r="R1973" s="121" t="str">
        <v>List of products to be ordered once-off at a future date/out of stock.</v>
      </c>
      <c r="S1973" s="121" t="str">
        <v/>
      </c>
      <c r="T1973" s="119" t="str">
        <f>IF($C1973&lt;4,IF($C1973=3,T1974,IF($C1973=2,T$1,"")),Q1973&amp;R1973&amp;IF(LEN(S1973)=0,"",Preferences!$C$2&amp;S1973)&amp;IF(J1974=J1973,IF(LEN(R1973&amp;S1973)=0,"","
")&amp;T1974,""))</f>
        <v>List of products to be ordered once-off at a future date/out of stock.</v>
      </c>
      <c r="U1973" s="122" t="str">
        <v/>
      </c>
      <c r="V1973" s="42"/>
      <c r="W1973" s="42"/>
      <c r="X1973" s="42"/>
      <c r="Y1973" s="42"/>
      <c r="Z1973" s="42"/>
      <c r="AA1973" s="42"/>
      <c r="AB1973" s="42"/>
    </row>
    <row r="1974" spans="1:28" x14ac:dyDescent="0.25">
      <c r="A1974" s="42" t="str">
        <v>6.4</v>
      </c>
      <c r="B1974" s="121" t="str">
        <v>4 Advertisement</v>
      </c>
      <c r="C1974" s="41">
        <v>2</v>
      </c>
      <c r="D1974" s="41" t="str">
        <v>RS</v>
      </c>
      <c r="E1974" s="117" t="str">
        <f t="shared" si="0"/>
        <v>RS</v>
      </c>
      <c r="F1974" s="41" t="str">
        <v/>
      </c>
      <c r="G1974" s="41" t="str">
        <v/>
      </c>
      <c r="H1974" s="117">
        <f t="shared" si="1"/>
        <v>0</v>
      </c>
      <c r="I1974" s="117">
        <f t="shared" si="2"/>
        <v>4</v>
      </c>
      <c r="J1974" s="117">
        <f t="shared" si="3"/>
        <v>4</v>
      </c>
      <c r="K1974" s="117" t="str">
        <f t="shared" si="4"/>
        <v>T</v>
      </c>
      <c r="L1974" s="42">
        <v>4</v>
      </c>
      <c r="M1974" s="121" t="str">
        <v/>
      </c>
      <c r="N1974" s="121" t="str">
        <v>4 Advertisement</v>
      </c>
      <c r="O1974" s="121" t="str">
        <v>ReqID</v>
      </c>
      <c r="P1974" s="121" t="e">
        <v>#N/A</v>
      </c>
      <c r="Q1974" s="121" t="str">
        <v/>
      </c>
      <c r="R1974" s="121" t="str">
        <v/>
      </c>
      <c r="S1974" s="121" t="str">
        <v/>
      </c>
      <c r="T1974" s="119" t="str">
        <f>IF($C1974&lt;4,IF($C1974=3,T1975,IF($C1974=2,T$1,"")),Q1974&amp;R1974&amp;IF(LEN(S1974)=0,"",Preferences!$C$2&amp;S1974)&amp;IF(J1975=J1974,IF(LEN(R1974&amp;S1974)=0,"","
")&amp;T1975,""))</f>
        <v>Description</v>
      </c>
      <c r="U1974" s="122" t="str">
        <v/>
      </c>
      <c r="V1974" s="42"/>
      <c r="W1974" s="42"/>
      <c r="X1974" s="42"/>
      <c r="Y1974" s="42"/>
      <c r="Z1974" s="42"/>
      <c r="AA1974" s="42"/>
      <c r="AB1974" s="42"/>
    </row>
    <row r="1975" spans="1:28" x14ac:dyDescent="0.25">
      <c r="A1975" s="42" t="str">
        <v>6.4.1</v>
      </c>
      <c r="B1975" s="121" t="str">
        <v>4.1 Advertisement</v>
      </c>
      <c r="C1975" s="41">
        <v>3</v>
      </c>
      <c r="D1975" s="41" t="str">
        <v>R</v>
      </c>
      <c r="E1975" s="117" t="str">
        <f t="shared" si="0"/>
        <v>R</v>
      </c>
      <c r="F1975" s="41" t="str">
        <v/>
      </c>
      <c r="G1975" s="41" t="str">
        <v/>
      </c>
      <c r="H1975" s="117">
        <f t="shared" si="1"/>
        <v>0</v>
      </c>
      <c r="I1975" s="117">
        <f t="shared" si="2"/>
        <v>4</v>
      </c>
      <c r="J1975" s="117">
        <f t="shared" si="3"/>
        <v>4.01</v>
      </c>
      <c r="K1975" s="117" t="str">
        <f t="shared" si="4"/>
        <v>T</v>
      </c>
      <c r="L1975" s="42" t="str">
        <v>T0401</v>
      </c>
      <c r="M1975" s="121" t="str">
        <v/>
      </c>
      <c r="N1975" s="121" t="str">
        <v/>
      </c>
      <c r="O1975" s="121" t="str">
        <v>T0401</v>
      </c>
      <c r="P1975" s="121" t="str">
        <v>Advertisement</v>
      </c>
      <c r="Q1975" s="121" t="str">
        <v/>
      </c>
      <c r="R1975" s="121" t="str">
        <v/>
      </c>
      <c r="S1975" s="121" t="str">
        <v/>
      </c>
      <c r="T1975" s="119" t="str">
        <f>IF($C1975&lt;4,IF($C1975=3,T1976,IF($C1975=2,T$1,"")),Q1975&amp;R1975&amp;IF(LEN(S1975)=0,"",Preferences!$C$2&amp;S1975)&amp;IF(J1976=J1975,IF(LEN(R1975&amp;S1975)=0,"","
")&amp;T1976,""))</f>
        <v>A promotion of a product or event</v>
      </c>
      <c r="U1975" s="122" t="str">
        <v/>
      </c>
      <c r="V1975" s="42"/>
      <c r="W1975" s="42"/>
      <c r="X1975" s="42"/>
      <c r="Y1975" s="42"/>
      <c r="Z1975" s="42"/>
      <c r="AA1975" s="42"/>
      <c r="AB1975" s="42"/>
    </row>
    <row r="1976" spans="1:28" x14ac:dyDescent="0.25">
      <c r="A1976" s="42" t="str">
        <v>6.4.1.1</v>
      </c>
      <c r="B1976" s="121" t="str">
        <v>A promotion of a product or event</v>
      </c>
      <c r="C1976" s="41">
        <v>4</v>
      </c>
      <c r="D1976" s="41" t="str">
        <v>RD</v>
      </c>
      <c r="E1976" s="117" t="str">
        <f t="shared" si="0"/>
        <v>RD</v>
      </c>
      <c r="F1976" s="41" t="str">
        <v/>
      </c>
      <c r="G1976" s="41" t="str">
        <v/>
      </c>
      <c r="H1976" s="117">
        <f t="shared" si="1"/>
        <v>0</v>
      </c>
      <c r="I1976" s="117">
        <f t="shared" si="2"/>
        <v>4</v>
      </c>
      <c r="J1976" s="117">
        <f t="shared" si="3"/>
        <v>4.01</v>
      </c>
      <c r="K1976" s="117" t="str">
        <f t="shared" si="4"/>
        <v>T</v>
      </c>
      <c r="L1976" s="42" t="str">
        <v>T0401</v>
      </c>
      <c r="M1976" s="121" t="str">
        <v/>
      </c>
      <c r="N1976" s="121" t="str">
        <v/>
      </c>
      <c r="O1976" s="121" t="str">
        <v/>
      </c>
      <c r="P1976" s="121" t="str">
        <v/>
      </c>
      <c r="Q1976" s="121" t="str">
        <v/>
      </c>
      <c r="R1976" s="121" t="str">
        <v>A promotion of a product or event</v>
      </c>
      <c r="S1976" s="121" t="str">
        <v/>
      </c>
      <c r="T1976" s="119" t="str">
        <f>IF($C1976&lt;4,IF($C1976=3,T1977,IF($C1976=2,T$1,"")),Q1976&amp;R1976&amp;IF(LEN(S1976)=0,"",Preferences!$C$2&amp;S1976)&amp;IF(J1977=J1976,IF(LEN(R1976&amp;S1976)=0,"","
")&amp;T1977,""))</f>
        <v>A promotion of a product or event</v>
      </c>
      <c r="U1976" s="122" t="str">
        <v/>
      </c>
      <c r="V1976" s="42"/>
      <c r="W1976" s="42"/>
      <c r="X1976" s="42"/>
      <c r="Y1976" s="42"/>
      <c r="Z1976" s="42"/>
      <c r="AA1976" s="42"/>
      <c r="AB1976" s="42"/>
    </row>
    <row r="1977" spans="1:28" x14ac:dyDescent="0.25">
      <c r="A1977" s="42" t="str">
        <v>6.4.2</v>
      </c>
      <c r="B1977" s="121" t="str">
        <v>4.2 Online shop advertisement</v>
      </c>
      <c r="C1977" s="41">
        <v>3</v>
      </c>
      <c r="D1977" s="41" t="str">
        <v>R</v>
      </c>
      <c r="E1977" s="117" t="str">
        <f t="shared" si="0"/>
        <v>R</v>
      </c>
      <c r="F1977" s="41" t="str">
        <v/>
      </c>
      <c r="G1977" s="41" t="str">
        <v/>
      </c>
      <c r="H1977" s="117">
        <f t="shared" si="1"/>
        <v>0</v>
      </c>
      <c r="I1977" s="117">
        <f t="shared" si="2"/>
        <v>4</v>
      </c>
      <c r="J1977" s="117">
        <f t="shared" si="3"/>
        <v>4.0199999999999996</v>
      </c>
      <c r="K1977" s="117" t="str">
        <f t="shared" si="4"/>
        <v>T</v>
      </c>
      <c r="L1977" s="42" t="str">
        <v>T0402</v>
      </c>
      <c r="M1977" s="121" t="str">
        <v/>
      </c>
      <c r="N1977" s="121" t="str">
        <v/>
      </c>
      <c r="O1977" s="121" t="str">
        <v>T0402</v>
      </c>
      <c r="P1977" s="121" t="str">
        <v>Online shop advertisement</v>
      </c>
      <c r="Q1977" s="121" t="str">
        <v/>
      </c>
      <c r="R1977" s="121" t="str">
        <v/>
      </c>
      <c r="S1977" s="121" t="str">
        <v/>
      </c>
      <c r="T1977" s="119" t="str">
        <f>IF($C1977&lt;4,IF($C1977=3,T1978,IF($C1977=2,T$1,"")),Q1977&amp;R1977&amp;IF(LEN(S1977)=0,"",Preferences!$C$2&amp;S1977)&amp;IF(J1978=J1977,IF(LEN(R1977&amp;S1977)=0,"","
")&amp;T1978,""))</f>
        <v>An advertisement presented on the online shop.</v>
      </c>
      <c r="U1977" s="122" t="str">
        <v/>
      </c>
      <c r="V1977" s="42"/>
      <c r="W1977" s="42"/>
      <c r="X1977" s="42"/>
      <c r="Y1977" s="42"/>
      <c r="Z1977" s="42"/>
      <c r="AA1977" s="42"/>
      <c r="AB1977" s="42"/>
    </row>
    <row r="1978" spans="1:28" x14ac:dyDescent="0.25">
      <c r="A1978" s="42" t="str">
        <v>6.4.2.1</v>
      </c>
      <c r="B1978" s="121" t="str">
        <v>An advertisement presented on the online shop.</v>
      </c>
      <c r="C1978" s="41">
        <v>4</v>
      </c>
      <c r="D1978" s="41" t="str">
        <v>RD</v>
      </c>
      <c r="E1978" s="117" t="str">
        <f t="shared" si="0"/>
        <v>RD</v>
      </c>
      <c r="F1978" s="41" t="str">
        <v/>
      </c>
      <c r="G1978" s="41" t="str">
        <v/>
      </c>
      <c r="H1978" s="117">
        <f t="shared" si="1"/>
        <v>0</v>
      </c>
      <c r="I1978" s="117">
        <f t="shared" si="2"/>
        <v>4</v>
      </c>
      <c r="J1978" s="117">
        <f t="shared" si="3"/>
        <v>4.0199999999999996</v>
      </c>
      <c r="K1978" s="117" t="str">
        <f t="shared" si="4"/>
        <v>T</v>
      </c>
      <c r="L1978" s="42" t="str">
        <v>T0402</v>
      </c>
      <c r="M1978" s="121" t="str">
        <v/>
      </c>
      <c r="N1978" s="121" t="str">
        <v/>
      </c>
      <c r="O1978" s="121" t="str">
        <v/>
      </c>
      <c r="P1978" s="121" t="str">
        <v/>
      </c>
      <c r="Q1978" s="121" t="str">
        <v/>
      </c>
      <c r="R1978" s="121" t="str">
        <v>An advertisement presented on the online shop.</v>
      </c>
      <c r="S1978" s="121" t="str">
        <v/>
      </c>
      <c r="T1978" s="119" t="str">
        <f>IF($C1978&lt;4,IF($C1978=3,T1979,IF($C1978=2,T$1,"")),Q1978&amp;R1978&amp;IF(LEN(S1978)=0,"",Preferences!$C$2&amp;S1978)&amp;IF(J1979=J1978,IF(LEN(R1978&amp;S1978)=0,"","
")&amp;T1979,""))</f>
        <v>An advertisement presented on the online shop.</v>
      </c>
      <c r="U1978" s="122" t="str">
        <v/>
      </c>
      <c r="V1978" s="42"/>
      <c r="W1978" s="42"/>
      <c r="X1978" s="42"/>
      <c r="Y1978" s="42"/>
      <c r="Z1978" s="42"/>
      <c r="AA1978" s="42"/>
      <c r="AB1978" s="42"/>
    </row>
    <row r="1979" spans="1:28" x14ac:dyDescent="0.25">
      <c r="A1979" s="42" t="str">
        <v>6.4.3</v>
      </c>
      <c r="B1979" s="121" t="str">
        <v>4.3 Online advertisement</v>
      </c>
      <c r="C1979" s="41">
        <v>3</v>
      </c>
      <c r="D1979" s="41" t="str">
        <v>R</v>
      </c>
      <c r="E1979" s="117" t="str">
        <f t="shared" si="0"/>
        <v>R</v>
      </c>
      <c r="F1979" s="41" t="str">
        <v/>
      </c>
      <c r="G1979" s="41" t="str">
        <v/>
      </c>
      <c r="H1979" s="117">
        <f t="shared" si="1"/>
        <v>0</v>
      </c>
      <c r="I1979" s="117">
        <f t="shared" si="2"/>
        <v>4</v>
      </c>
      <c r="J1979" s="117">
        <f t="shared" si="3"/>
        <v>4.0299999999999994</v>
      </c>
      <c r="K1979" s="117" t="str">
        <f t="shared" si="4"/>
        <v>T</v>
      </c>
      <c r="L1979" s="42" t="str">
        <v>T0403</v>
      </c>
      <c r="M1979" s="121" t="str">
        <v/>
      </c>
      <c r="N1979" s="121" t="str">
        <v/>
      </c>
      <c r="O1979" s="121" t="str">
        <v>T0403</v>
      </c>
      <c r="P1979" s="121" t="str">
        <v>Online advertisement</v>
      </c>
      <c r="Q1979" s="121" t="str">
        <v/>
      </c>
      <c r="R1979" s="121" t="str">
        <v/>
      </c>
      <c r="S1979" s="121" t="str">
        <v/>
      </c>
      <c r="T1979" s="119" t="str">
        <f>IF($C1979&lt;4,IF($C1979=3,T1980,IF($C1979=2,T$1,"")),Q1979&amp;R1979&amp;IF(LEN(S1979)=0,"",Preferences!$C$2&amp;S1979)&amp;IF(J1980=J1979,IF(LEN(R1979&amp;S1979)=0,"","
")&amp;T1980,""))</f>
        <v>An advertisement published to an online marketing channel other than the online shop.</v>
      </c>
      <c r="U1979" s="122" t="str">
        <v/>
      </c>
      <c r="V1979" s="42"/>
      <c r="W1979" s="42"/>
      <c r="X1979" s="42"/>
      <c r="Y1979" s="42"/>
      <c r="Z1979" s="42"/>
      <c r="AA1979" s="42"/>
      <c r="AB1979" s="42"/>
    </row>
    <row r="1980" spans="1:28" x14ac:dyDescent="0.25">
      <c r="A1980" s="42" t="str">
        <v>6.4.3.1</v>
      </c>
      <c r="B1980" s="121" t="str">
        <v>An advertisement published to an online marketing channel other than the online shop.</v>
      </c>
      <c r="C1980" s="41">
        <v>4</v>
      </c>
      <c r="D1980" s="41" t="str">
        <v>RD</v>
      </c>
      <c r="E1980" s="117" t="str">
        <f t="shared" si="0"/>
        <v>RD</v>
      </c>
      <c r="F1980" s="41" t="str">
        <v/>
      </c>
      <c r="G1980" s="41" t="str">
        <v/>
      </c>
      <c r="H1980" s="117">
        <f t="shared" si="1"/>
        <v>0</v>
      </c>
      <c r="I1980" s="117">
        <f t="shared" si="2"/>
        <v>4</v>
      </c>
      <c r="J1980" s="117">
        <f t="shared" si="3"/>
        <v>4.0299999999999994</v>
      </c>
      <c r="K1980" s="117" t="str">
        <f t="shared" si="4"/>
        <v>T</v>
      </c>
      <c r="L1980" s="42" t="str">
        <v>T0403</v>
      </c>
      <c r="M1980" s="121" t="str">
        <v/>
      </c>
      <c r="N1980" s="121" t="str">
        <v/>
      </c>
      <c r="O1980" s="121" t="str">
        <v/>
      </c>
      <c r="P1980" s="121" t="str">
        <v/>
      </c>
      <c r="Q1980" s="121" t="str">
        <v/>
      </c>
      <c r="R1980" s="121" t="str">
        <v>An advertisement published to an online marketing channel other than the online shop.</v>
      </c>
      <c r="S1980" s="121" t="str">
        <v/>
      </c>
      <c r="T1980" s="119" t="str">
        <f>IF($C1980&lt;4,IF($C1980=3,T1981,IF($C1980=2,T$1,"")),Q1980&amp;R1980&amp;IF(LEN(S1980)=0,"",Preferences!$C$2&amp;S1980)&amp;IF(J1981=J1980,IF(LEN(R1980&amp;S1980)=0,"","
")&amp;T1981,""))</f>
        <v>An advertisement published to an online marketing channel other than the online shop.</v>
      </c>
      <c r="U1980" s="122" t="str">
        <v/>
      </c>
      <c r="V1980" s="42"/>
      <c r="W1980" s="42"/>
      <c r="X1980" s="42"/>
      <c r="Y1980" s="42"/>
      <c r="Z1980" s="42"/>
      <c r="AA1980" s="42"/>
      <c r="AB1980" s="42"/>
    </row>
    <row r="1981" spans="1:28" x14ac:dyDescent="0.25">
      <c r="A1981" s="42" t="str">
        <v>6.4.4</v>
      </c>
      <c r="B1981" s="121" t="str">
        <v>4.4 Promotion</v>
      </c>
      <c r="C1981" s="41">
        <v>3</v>
      </c>
      <c r="D1981" s="41" t="str">
        <v>R</v>
      </c>
      <c r="E1981" s="117" t="str">
        <f t="shared" si="0"/>
        <v>R</v>
      </c>
      <c r="F1981" s="41" t="str">
        <v/>
      </c>
      <c r="G1981" s="41" t="str">
        <v/>
      </c>
      <c r="H1981" s="117">
        <f t="shared" si="1"/>
        <v>0</v>
      </c>
      <c r="I1981" s="117">
        <f t="shared" si="2"/>
        <v>4</v>
      </c>
      <c r="J1981" s="117">
        <f t="shared" si="3"/>
        <v>4.0399999999999991</v>
      </c>
      <c r="K1981" s="117" t="str">
        <f t="shared" si="4"/>
        <v>T</v>
      </c>
      <c r="L1981" s="42" t="str">
        <v>T0404</v>
      </c>
      <c r="M1981" s="121" t="str">
        <v/>
      </c>
      <c r="N1981" s="121" t="str">
        <v/>
      </c>
      <c r="O1981" s="121" t="str">
        <v>T0404</v>
      </c>
      <c r="P1981" s="121" t="str">
        <v>Promotion</v>
      </c>
      <c r="Q1981" s="121" t="str">
        <v/>
      </c>
      <c r="R1981" s="121" t="str">
        <v/>
      </c>
      <c r="S1981" s="121" t="str">
        <v/>
      </c>
      <c r="T1981" s="119" t="str">
        <f>IF($C1981&lt;4,IF($C1981=3,T1982,IF($C1981=2,T$1,"")),Q1981&amp;R1981&amp;IF(LEN(S1981)=0,"",Preferences!$C$2&amp;S1981)&amp;IF(J1982=J1981,IF(LEN(R1981&amp;S1981)=0,"","
")&amp;T1982,""))</f>
        <v>Description</v>
      </c>
      <c r="U1981" s="122" t="str">
        <v/>
      </c>
      <c r="V1981" s="42"/>
      <c r="W1981" s="42"/>
      <c r="X1981" s="42"/>
      <c r="Y1981" s="42"/>
      <c r="Z1981" s="42"/>
      <c r="AA1981" s="42"/>
      <c r="AB1981" s="42"/>
    </row>
    <row r="1982" spans="1:28" x14ac:dyDescent="0.25">
      <c r="A1982" s="42" t="str">
        <v>6.5</v>
      </c>
      <c r="B1982" s="121" t="str">
        <v>5 Product</v>
      </c>
      <c r="C1982" s="41">
        <v>2</v>
      </c>
      <c r="D1982" s="41" t="str">
        <v>RS</v>
      </c>
      <c r="E1982" s="117" t="str">
        <f t="shared" si="0"/>
        <v>RS</v>
      </c>
      <c r="F1982" s="41" t="str">
        <v/>
      </c>
      <c r="G1982" s="41" t="str">
        <v/>
      </c>
      <c r="H1982" s="117">
        <f t="shared" si="1"/>
        <v>0</v>
      </c>
      <c r="I1982" s="117">
        <f t="shared" si="2"/>
        <v>5</v>
      </c>
      <c r="J1982" s="117">
        <f t="shared" si="3"/>
        <v>5</v>
      </c>
      <c r="K1982" s="117" t="str">
        <f t="shared" si="4"/>
        <v>T</v>
      </c>
      <c r="L1982" s="42">
        <v>5</v>
      </c>
      <c r="M1982" s="121" t="str">
        <v/>
      </c>
      <c r="N1982" s="121" t="str">
        <v>5 Product</v>
      </c>
      <c r="O1982" s="121" t="str">
        <v>ReqID</v>
      </c>
      <c r="P1982" s="121" t="e">
        <v>#N/A</v>
      </c>
      <c r="Q1982" s="121" t="str">
        <v/>
      </c>
      <c r="R1982" s="121" t="str">
        <v/>
      </c>
      <c r="S1982" s="121" t="str">
        <v/>
      </c>
      <c r="T1982" s="119" t="str">
        <f>IF($C1982&lt;4,IF($C1982=3,T1983,IF($C1982=2,T$1,"")),Q1982&amp;R1982&amp;IF(LEN(S1982)=0,"",Preferences!$C$2&amp;S1982)&amp;IF(J1983=J1982,IF(LEN(R1982&amp;S1982)=0,"","
")&amp;T1983,""))</f>
        <v>Description</v>
      </c>
      <c r="U1982" s="122" t="str">
        <v/>
      </c>
      <c r="V1982" s="42"/>
      <c r="W1982" s="42"/>
      <c r="X1982" s="42"/>
      <c r="Y1982" s="42"/>
      <c r="Z1982" s="42"/>
      <c r="AA1982" s="42"/>
      <c r="AB1982" s="42"/>
    </row>
    <row r="1983" spans="1:28" x14ac:dyDescent="0.25">
      <c r="A1983" s="42" t="str">
        <v>6.5.1</v>
      </c>
      <c r="B1983" s="121" t="str">
        <v>5.1 B2C Co advertised product</v>
      </c>
      <c r="C1983" s="41">
        <v>3</v>
      </c>
      <c r="D1983" s="41" t="str">
        <v>R</v>
      </c>
      <c r="E1983" s="117" t="str">
        <f t="shared" si="0"/>
        <v>R</v>
      </c>
      <c r="F1983" s="41" t="str">
        <v/>
      </c>
      <c r="G1983" s="41" t="str">
        <v/>
      </c>
      <c r="H1983" s="117">
        <f t="shared" si="1"/>
        <v>0</v>
      </c>
      <c r="I1983" s="117">
        <f t="shared" si="2"/>
        <v>5</v>
      </c>
      <c r="J1983" s="117">
        <f t="shared" si="3"/>
        <v>5.01</v>
      </c>
      <c r="K1983" s="117" t="str">
        <f t="shared" si="4"/>
        <v>T</v>
      </c>
      <c r="L1983" s="42" t="str">
        <v>T0501</v>
      </c>
      <c r="M1983" s="121" t="str">
        <v/>
      </c>
      <c r="N1983" s="121" t="str">
        <v/>
      </c>
      <c r="O1983" s="121" t="str">
        <v>T0501</v>
      </c>
      <c r="P1983" s="121" t="str">
        <v>B2C Co advertised product</v>
      </c>
      <c r="Q1983" s="121" t="str">
        <v/>
      </c>
      <c r="R1983" s="121" t="str">
        <v/>
      </c>
      <c r="S1983" s="121" t="str">
        <v/>
      </c>
      <c r="T1983" s="119" t="str">
        <f>IF($C1983&lt;4,IF($C1983=3,T1984,IF($C1983=2,T$1,"")),Q1983&amp;R1983&amp;IF(LEN(S1983)=0,"",Preferences!$C$2&amp;S1983)&amp;IF(J1984=J1983,IF(LEN(R1983&amp;S1983)=0,"","
")&amp;T1984,""))</f>
        <v>A product for which there is an advertisement defined. It may be published online, or on the website.</v>
      </c>
      <c r="U1983" s="122" t="str">
        <v/>
      </c>
      <c r="V1983" s="42"/>
      <c r="W1983" s="42"/>
      <c r="X1983" s="42"/>
      <c r="Y1983" s="42"/>
      <c r="Z1983" s="42"/>
      <c r="AA1983" s="42"/>
      <c r="AB1983" s="42"/>
    </row>
    <row r="1984" spans="1:28" x14ac:dyDescent="0.25">
      <c r="A1984" s="42" t="str">
        <v>6.5.1.1</v>
      </c>
      <c r="B1984" s="121" t="str">
        <v>A product for which there is an advertisement defined. It may be published online, or on the website.</v>
      </c>
      <c r="C1984" s="41">
        <v>4</v>
      </c>
      <c r="D1984" s="41" t="str">
        <v>RD</v>
      </c>
      <c r="E1984" s="117" t="str">
        <f t="shared" si="0"/>
        <v>RD</v>
      </c>
      <c r="F1984" s="41" t="str">
        <v/>
      </c>
      <c r="G1984" s="41" t="str">
        <v/>
      </c>
      <c r="H1984" s="117">
        <f t="shared" si="1"/>
        <v>0</v>
      </c>
      <c r="I1984" s="117">
        <f t="shared" si="2"/>
        <v>5</v>
      </c>
      <c r="J1984" s="117">
        <f t="shared" si="3"/>
        <v>5.01</v>
      </c>
      <c r="K1984" s="117" t="str">
        <f t="shared" si="4"/>
        <v>T</v>
      </c>
      <c r="L1984" s="42" t="str">
        <v>T0501</v>
      </c>
      <c r="M1984" s="121" t="str">
        <v/>
      </c>
      <c r="N1984" s="121" t="str">
        <v/>
      </c>
      <c r="O1984" s="121" t="str">
        <v/>
      </c>
      <c r="P1984" s="121" t="str">
        <v/>
      </c>
      <c r="Q1984" s="121" t="str">
        <v/>
      </c>
      <c r="R1984" s="121" t="str">
        <v>A product for which there is an advertisement defined. It may be published online, or on the website.</v>
      </c>
      <c r="S1984" s="121" t="str">
        <v/>
      </c>
      <c r="T1984" s="119" t="str">
        <f>IF($C1984&lt;4,IF($C1984=3,T1985,IF($C1984=2,T$1,"")),Q1984&amp;R1984&amp;IF(LEN(S1984)=0,"",Preferences!$C$2&amp;S1984)&amp;IF(J1985=J1984,IF(LEN(R1984&amp;S1984)=0,"","
")&amp;T1985,""))</f>
        <v>A product for which there is an advertisement defined. It may be published online, or on the website.</v>
      </c>
      <c r="U1984" s="122" t="str">
        <v/>
      </c>
      <c r="V1984" s="42"/>
      <c r="W1984" s="42"/>
      <c r="X1984" s="42"/>
      <c r="Y1984" s="42"/>
      <c r="Z1984" s="42"/>
      <c r="AA1984" s="42"/>
      <c r="AB1984" s="42"/>
    </row>
    <row r="1985" spans="1:28" x14ac:dyDescent="0.25">
      <c r="A1985" s="42" t="str">
        <v>6.5.2</v>
      </c>
      <c r="B1985" s="121" t="str">
        <v>5.2 Web advertised product</v>
      </c>
      <c r="C1985" s="41">
        <v>3</v>
      </c>
      <c r="D1985" s="41" t="str">
        <v>R</v>
      </c>
      <c r="E1985" s="117" t="str">
        <f t="shared" si="0"/>
        <v>R</v>
      </c>
      <c r="F1985" s="41" t="str">
        <v/>
      </c>
      <c r="G1985" s="41" t="str">
        <v/>
      </c>
      <c r="H1985" s="117">
        <f t="shared" si="1"/>
        <v>0</v>
      </c>
      <c r="I1985" s="117">
        <f t="shared" si="2"/>
        <v>5</v>
      </c>
      <c r="J1985" s="117">
        <f t="shared" si="3"/>
        <v>5.0199999999999996</v>
      </c>
      <c r="K1985" s="117" t="str">
        <f t="shared" si="4"/>
        <v>T</v>
      </c>
      <c r="L1985" s="42" t="str">
        <v>T0502</v>
      </c>
      <c r="M1985" s="121" t="str">
        <v/>
      </c>
      <c r="N1985" s="121" t="str">
        <v/>
      </c>
      <c r="O1985" s="121" t="str">
        <v>T0502</v>
      </c>
      <c r="P1985" s="121" t="str">
        <v>Web advertised product</v>
      </c>
      <c r="Q1985" s="121" t="str">
        <v/>
      </c>
      <c r="R1985" s="121" t="str">
        <v/>
      </c>
      <c r="S1985" s="121" t="str">
        <v/>
      </c>
      <c r="T1985" s="119" t="str">
        <f>IF($C1985&lt;4,IF($C1985=3,T1986,IF($C1985=2,T$1,"")),Q1985&amp;R1985&amp;IF(LEN(S1985)=0,"",Preferences!$C$2&amp;S1985)&amp;IF(J1986=J1985,IF(LEN(R1985&amp;S1985)=0,"","
")&amp;T1986,""))</f>
        <v>A product for which there is an advertisement defined and which is presented on the website.</v>
      </c>
      <c r="U1985" s="122" t="str">
        <v/>
      </c>
      <c r="V1985" s="42"/>
      <c r="W1985" s="42"/>
      <c r="X1985" s="42"/>
      <c r="Y1985" s="42"/>
      <c r="Z1985" s="42"/>
      <c r="AA1985" s="42"/>
      <c r="AB1985" s="42"/>
    </row>
    <row r="1986" spans="1:28" x14ac:dyDescent="0.25">
      <c r="A1986" s="42" t="str">
        <v>6.5.2.1</v>
      </c>
      <c r="B1986" s="121" t="str">
        <v>A product for which there is an advertisement defined and which is presented on the website.</v>
      </c>
      <c r="C1986" s="41">
        <v>4</v>
      </c>
      <c r="D1986" s="41" t="str">
        <v>RD</v>
      </c>
      <c r="E1986" s="117" t="str">
        <f t="shared" si="0"/>
        <v>RD</v>
      </c>
      <c r="F1986" s="41" t="str">
        <v/>
      </c>
      <c r="G1986" s="41" t="str">
        <v/>
      </c>
      <c r="H1986" s="117">
        <f t="shared" si="1"/>
        <v>0</v>
      </c>
      <c r="I1986" s="117">
        <f t="shared" si="2"/>
        <v>5</v>
      </c>
      <c r="J1986" s="117">
        <f t="shared" si="3"/>
        <v>5.0199999999999996</v>
      </c>
      <c r="K1986" s="117" t="str">
        <f t="shared" si="4"/>
        <v>T</v>
      </c>
      <c r="L1986" s="42" t="str">
        <v>T0502</v>
      </c>
      <c r="M1986" s="121" t="str">
        <v/>
      </c>
      <c r="N1986" s="121" t="str">
        <v/>
      </c>
      <c r="O1986" s="121" t="str">
        <v/>
      </c>
      <c r="P1986" s="121" t="str">
        <v/>
      </c>
      <c r="Q1986" s="121" t="str">
        <v/>
      </c>
      <c r="R1986" s="121" t="str">
        <v>A product for which there is an advertisement defined and which is presented on the website.</v>
      </c>
      <c r="S1986" s="121" t="str">
        <v/>
      </c>
      <c r="T1986" s="119" t="str">
        <f>IF($C1986&lt;4,IF($C1986=3,T1987,IF($C1986=2,T$1,"")),Q1986&amp;R1986&amp;IF(LEN(S1986)=0,"",Preferences!$C$2&amp;S1986)&amp;IF(J1987=J1986,IF(LEN(R1986&amp;S1986)=0,"","
")&amp;T1987,""))</f>
        <v>A product for which there is an advertisement defined and which is presented on the website.</v>
      </c>
      <c r="U1986" s="122" t="str">
        <v/>
      </c>
      <c r="V1986" s="42"/>
      <c r="W1986" s="42"/>
      <c r="X1986" s="42"/>
      <c r="Y1986" s="42"/>
      <c r="Z1986" s="42"/>
      <c r="AA1986" s="42"/>
      <c r="AB1986" s="42"/>
    </row>
    <row r="1987" spans="1:28" x14ac:dyDescent="0.25">
      <c r="A1987" s="42" t="str">
        <v>6.5.3</v>
      </c>
      <c r="B1987" s="121" t="str">
        <v>5.3 Promoted brand</v>
      </c>
      <c r="C1987" s="41">
        <v>3</v>
      </c>
      <c r="D1987" s="41" t="str">
        <v>R</v>
      </c>
      <c r="E1987" s="117" t="str">
        <f t="shared" si="0"/>
        <v>R</v>
      </c>
      <c r="F1987" s="41" t="str">
        <v/>
      </c>
      <c r="G1987" s="41" t="str">
        <v/>
      </c>
      <c r="H1987" s="117">
        <f t="shared" si="1"/>
        <v>0</v>
      </c>
      <c r="I1987" s="117">
        <f t="shared" si="2"/>
        <v>5</v>
      </c>
      <c r="J1987" s="117">
        <f t="shared" si="3"/>
        <v>5.0299999999999994</v>
      </c>
      <c r="K1987" s="117" t="str">
        <f t="shared" si="4"/>
        <v>T</v>
      </c>
      <c r="L1987" s="42" t="str">
        <v>T0503</v>
      </c>
      <c r="M1987" s="121" t="str">
        <v/>
      </c>
      <c r="N1987" s="121" t="str">
        <v/>
      </c>
      <c r="O1987" s="121" t="str">
        <v>T0503</v>
      </c>
      <c r="P1987" s="121" t="str">
        <v>Promoted brand</v>
      </c>
      <c r="Q1987" s="121" t="str">
        <v/>
      </c>
      <c r="R1987" s="121" t="str">
        <v/>
      </c>
      <c r="S1987" s="121" t="str">
        <v/>
      </c>
      <c r="T1987" s="119" t="str">
        <f>IF($C1987&lt;4,IF($C1987=3,T1988,IF($C1987=2,T$1,"")),Q1987&amp;R1987&amp;IF(LEN(S1987)=0,"",Preferences!$C$2&amp;S1987)&amp;IF(J1988=J1987,IF(LEN(R1987&amp;S1987)=0,"","
")&amp;T1988,""))</f>
        <v>A brand for which the supplier has a promotion agreement with B2C Co. The brand and related products are given a higher rank in the website search results.</v>
      </c>
      <c r="U1987" s="122" t="str">
        <v/>
      </c>
      <c r="V1987" s="42"/>
      <c r="W1987" s="42"/>
      <c r="X1987" s="42"/>
      <c r="Y1987" s="42"/>
      <c r="Z1987" s="42"/>
      <c r="AA1987" s="42"/>
      <c r="AB1987" s="42"/>
    </row>
    <row r="1988" spans="1:28" x14ac:dyDescent="0.25">
      <c r="A1988" s="42" t="str">
        <v>6.5.3.1</v>
      </c>
      <c r="B1988" s="121" t="str">
        <v>A brand for which the supplier has a promotion agreement with B2C Co. The brand and related products are given a higher rank in the website search results.</v>
      </c>
      <c r="C1988" s="41">
        <v>4</v>
      </c>
      <c r="D1988" s="41" t="str">
        <v>RD</v>
      </c>
      <c r="E1988" s="117" t="str">
        <f t="shared" si="0"/>
        <v>RD</v>
      </c>
      <c r="F1988" s="41" t="str">
        <v/>
      </c>
      <c r="G1988" s="41" t="str">
        <v/>
      </c>
      <c r="H1988" s="117">
        <f t="shared" si="1"/>
        <v>0</v>
      </c>
      <c r="I1988" s="117">
        <f t="shared" si="2"/>
        <v>5</v>
      </c>
      <c r="J1988" s="117">
        <f t="shared" si="3"/>
        <v>5.0299999999999994</v>
      </c>
      <c r="K1988" s="117" t="str">
        <f t="shared" si="4"/>
        <v>T</v>
      </c>
      <c r="L1988" s="42" t="str">
        <v>T0503</v>
      </c>
      <c r="M1988" s="121" t="str">
        <v/>
      </c>
      <c r="N1988" s="121" t="str">
        <v/>
      </c>
      <c r="O1988" s="121" t="str">
        <v/>
      </c>
      <c r="P1988" s="121" t="str">
        <v/>
      </c>
      <c r="Q1988" s="121" t="str">
        <v/>
      </c>
      <c r="R1988" s="121" t="str">
        <v>A brand for which the supplier has a promotion agreement with B2C Co. The brand and related products are given a higher rank in the website search results.</v>
      </c>
      <c r="S1988" s="121" t="str">
        <v/>
      </c>
      <c r="T1988" s="119" t="str">
        <f>IF($C1988&lt;4,IF($C1988=3,T1989,IF($C1988=2,T$1,"")),Q1988&amp;R1988&amp;IF(LEN(S1988)=0,"",Preferences!$C$2&amp;S1988)&amp;IF(J1989=J1988,IF(LEN(R1988&amp;S1988)=0,"","
")&amp;T1989,""))</f>
        <v>A brand for which the supplier has a promotion agreement with B2C Co. The brand and related products are given a higher rank in the website search results.</v>
      </c>
      <c r="U1988" s="122" t="str">
        <v/>
      </c>
      <c r="V1988" s="42"/>
      <c r="W1988" s="42"/>
      <c r="X1988" s="42"/>
      <c r="Y1988" s="42"/>
      <c r="Z1988" s="42"/>
      <c r="AA1988" s="42"/>
      <c r="AB1988" s="42"/>
    </row>
    <row r="1989" spans="1:28" x14ac:dyDescent="0.25">
      <c r="A1989" s="42" t="str">
        <v>6.5.4</v>
      </c>
      <c r="B1989" s="121" t="str">
        <v>5.4 Promoted product</v>
      </c>
      <c r="C1989" s="41">
        <v>3</v>
      </c>
      <c r="D1989" s="41" t="str">
        <v>R</v>
      </c>
      <c r="E1989" s="117" t="str">
        <f t="shared" si="0"/>
        <v>R</v>
      </c>
      <c r="F1989" s="41" t="str">
        <v/>
      </c>
      <c r="G1989" s="41" t="str">
        <v/>
      </c>
      <c r="H1989" s="117">
        <f t="shared" si="1"/>
        <v>0</v>
      </c>
      <c r="I1989" s="117">
        <f t="shared" si="2"/>
        <v>5</v>
      </c>
      <c r="J1989" s="117">
        <f t="shared" si="3"/>
        <v>5.0399999999999991</v>
      </c>
      <c r="K1989" s="117" t="str">
        <f t="shared" si="4"/>
        <v>T</v>
      </c>
      <c r="L1989" s="42" t="str">
        <v>T0504</v>
      </c>
      <c r="M1989" s="121" t="str">
        <v/>
      </c>
      <c r="N1989" s="121" t="str">
        <v/>
      </c>
      <c r="O1989" s="121" t="str">
        <v>T0504</v>
      </c>
      <c r="P1989" s="121" t="str">
        <v>Promoted product</v>
      </c>
      <c r="Q1989" s="121" t="str">
        <v/>
      </c>
      <c r="R1989" s="121" t="str">
        <v/>
      </c>
      <c r="S1989" s="121" t="str">
        <v/>
      </c>
      <c r="T1989" s="119" t="str">
        <f>IF($C1989&lt;4,IF($C1989=3,T1990,IF($C1989=2,T$1,"")),Q1989&amp;R1989&amp;IF(LEN(S1989)=0,"",Preferences!$C$2&amp;S1989)&amp;IF(J1990=J1989,IF(LEN(R1989&amp;S1989)=0,"","
")&amp;T1990,""))</f>
        <v>A product for which the supplier has a promotion agreement with B2C Co. The product is given a higher rank in the website search results.</v>
      </c>
      <c r="U1989" s="122" t="str">
        <v/>
      </c>
      <c r="V1989" s="42"/>
      <c r="W1989" s="42"/>
      <c r="X1989" s="42"/>
      <c r="Y1989" s="42"/>
      <c r="Z1989" s="42"/>
      <c r="AA1989" s="42"/>
      <c r="AB1989" s="42"/>
    </row>
    <row r="1990" spans="1:28" x14ac:dyDescent="0.25">
      <c r="A1990" s="42" t="str">
        <v>6.5.4.1</v>
      </c>
      <c r="B1990" s="121" t="str">
        <v>A product for which the supplier has a promotion agreement with B2C Co. The product is given a higher rank in the website search results.</v>
      </c>
      <c r="C1990" s="41">
        <v>4</v>
      </c>
      <c r="D1990" s="41" t="str">
        <v>RD</v>
      </c>
      <c r="E1990" s="117" t="str">
        <f t="shared" si="0"/>
        <v>RD</v>
      </c>
      <c r="F1990" s="41" t="str">
        <v/>
      </c>
      <c r="G1990" s="41" t="str">
        <v/>
      </c>
      <c r="H1990" s="117">
        <f t="shared" si="1"/>
        <v>0</v>
      </c>
      <c r="I1990" s="117">
        <f t="shared" si="2"/>
        <v>5</v>
      </c>
      <c r="J1990" s="117">
        <f t="shared" si="3"/>
        <v>5.0399999999999991</v>
      </c>
      <c r="K1990" s="117" t="str">
        <f t="shared" si="4"/>
        <v>T</v>
      </c>
      <c r="L1990" s="42" t="str">
        <v>T0504</v>
      </c>
      <c r="M1990" s="121" t="str">
        <v/>
      </c>
      <c r="N1990" s="121" t="str">
        <v/>
      </c>
      <c r="O1990" s="121" t="str">
        <v/>
      </c>
      <c r="P1990" s="121" t="str">
        <v/>
      </c>
      <c r="Q1990" s="121" t="str">
        <v/>
      </c>
      <c r="R1990" s="121" t="str">
        <v>A product for which the supplier has a promotion agreement with B2C Co. The product is given a higher rank in the website search results.</v>
      </c>
      <c r="S1990" s="121" t="str">
        <v/>
      </c>
      <c r="T1990" s="119" t="str">
        <f>IF($C1990&lt;4,IF($C1990=3,T1991,IF($C1990=2,T$1,"")),Q1990&amp;R1990&amp;IF(LEN(S1990)=0,"",Preferences!$C$2&amp;S1990)&amp;IF(J1991=J1990,IF(LEN(R1990&amp;S1990)=0,"","
")&amp;T1991,""))</f>
        <v>A product for which the supplier has a promotion agreement with B2C Co. The product is given a higher rank in the website search results.</v>
      </c>
      <c r="U1990" s="122" t="str">
        <v/>
      </c>
      <c r="V1990" s="42"/>
      <c r="W1990" s="42"/>
      <c r="X1990" s="42"/>
      <c r="Y1990" s="42"/>
      <c r="Z1990" s="42"/>
      <c r="AA1990" s="42"/>
      <c r="AB1990" s="42"/>
    </row>
    <row r="1991" spans="1:28" x14ac:dyDescent="0.25">
      <c r="A1991" s="42" t="str">
        <v>6.5.5</v>
      </c>
      <c r="B1991" s="121" t="str">
        <v>5.5 Frequently-bough product</v>
      </c>
      <c r="C1991" s="41">
        <v>3</v>
      </c>
      <c r="D1991" s="41" t="str">
        <v>R</v>
      </c>
      <c r="E1991" s="117" t="str">
        <f t="shared" si="0"/>
        <v>R</v>
      </c>
      <c r="F1991" s="41" t="str">
        <v/>
      </c>
      <c r="G1991" s="41" t="str">
        <v/>
      </c>
      <c r="H1991" s="117">
        <f t="shared" si="1"/>
        <v>0</v>
      </c>
      <c r="I1991" s="117">
        <f t="shared" si="2"/>
        <v>5</v>
      </c>
      <c r="J1991" s="117">
        <f t="shared" si="3"/>
        <v>5.0499999999999989</v>
      </c>
      <c r="K1991" s="117" t="str">
        <f t="shared" si="4"/>
        <v>T</v>
      </c>
      <c r="L1991" s="42" t="str">
        <v>T0505</v>
      </c>
      <c r="M1991" s="121" t="str">
        <v/>
      </c>
      <c r="N1991" s="121" t="str">
        <v/>
      </c>
      <c r="O1991" s="121" t="str">
        <v>T0505</v>
      </c>
      <c r="P1991" s="121" t="str">
        <v>Frequently-bough product</v>
      </c>
      <c r="Q1991" s="121" t="str">
        <v/>
      </c>
      <c r="R1991" s="121" t="str">
        <v/>
      </c>
      <c r="S1991" s="121" t="str">
        <v/>
      </c>
      <c r="T1991" s="119" t="str">
        <f>IF($C1991&lt;4,IF($C1991=3,T1992,IF($C1991=2,T$1,"")),Q1991&amp;R1991&amp;IF(LEN(S1991)=0,"",Preferences!$C$2&amp;S1991)&amp;IF(J1992=J1991,IF(LEN(R1991&amp;S1991)=0,"","
")&amp;T1992,""))</f>
        <v>A product often listed in a purchase (purchased shopping cart) that also contains the product currently being viewed/purchased on the website.</v>
      </c>
      <c r="U1991" s="122" t="str">
        <v/>
      </c>
      <c r="V1991" s="42"/>
      <c r="W1991" s="42"/>
      <c r="X1991" s="42"/>
      <c r="Y1991" s="42"/>
      <c r="Z1991" s="42"/>
      <c r="AA1991" s="42"/>
      <c r="AB1991" s="42"/>
    </row>
    <row r="1992" spans="1:28" x14ac:dyDescent="0.25">
      <c r="A1992" s="42" t="str">
        <v>6.5.5.1</v>
      </c>
      <c r="B1992" s="121" t="str">
        <v>A product often listed in a purchase (purchased shopping cart) that also contains the product currently being viewed/purchased on the website.</v>
      </c>
      <c r="C1992" s="41">
        <v>4</v>
      </c>
      <c r="D1992" s="41" t="str">
        <v>RD</v>
      </c>
      <c r="E1992" s="117" t="str">
        <f t="shared" si="0"/>
        <v>RD</v>
      </c>
      <c r="F1992" s="41" t="str">
        <v/>
      </c>
      <c r="G1992" s="41" t="str">
        <v/>
      </c>
      <c r="H1992" s="117">
        <f t="shared" si="1"/>
        <v>0</v>
      </c>
      <c r="I1992" s="117">
        <f t="shared" si="2"/>
        <v>5</v>
      </c>
      <c r="J1992" s="117">
        <f t="shared" si="3"/>
        <v>5.0499999999999989</v>
      </c>
      <c r="K1992" s="117" t="str">
        <f t="shared" si="4"/>
        <v>T</v>
      </c>
      <c r="L1992" s="42" t="str">
        <v>T0505</v>
      </c>
      <c r="M1992" s="121" t="str">
        <v/>
      </c>
      <c r="N1992" s="121" t="str">
        <v/>
      </c>
      <c r="O1992" s="121" t="str">
        <v/>
      </c>
      <c r="P1992" s="121" t="str">
        <v/>
      </c>
      <c r="Q1992" s="121" t="str">
        <v/>
      </c>
      <c r="R1992" s="121" t="str">
        <v>A product often listed in a purchase (purchased shopping cart) that also contains the product currently being viewed/purchased on the website.</v>
      </c>
      <c r="S1992" s="121" t="str">
        <v/>
      </c>
      <c r="T1992" s="119" t="str">
        <f>IF($C1992&lt;4,IF($C1992=3,T1993,IF($C1992=2,T$1,"")),Q1992&amp;R1992&amp;IF(LEN(S1992)=0,"",Preferences!$C$2&amp;S1992)&amp;IF(J1993=J1992,IF(LEN(R1992&amp;S1992)=0,"","
")&amp;T1993,""))</f>
        <v>A product often listed in a purchase (purchased shopping cart) that also contains the product currently being viewed/purchased on the website.</v>
      </c>
      <c r="U1992" s="122" t="str">
        <v/>
      </c>
      <c r="V1992" s="42"/>
      <c r="W1992" s="42"/>
      <c r="X1992" s="42"/>
      <c r="Y1992" s="42"/>
      <c r="Z1992" s="42"/>
      <c r="AA1992" s="42"/>
      <c r="AB1992" s="42"/>
    </row>
    <row r="1993" spans="1:28" x14ac:dyDescent="0.25">
      <c r="A1993" s="42" t="str">
        <v>6.5.6</v>
      </c>
      <c r="B1993" s="121" t="str">
        <v>5.6 Similar product</v>
      </c>
      <c r="C1993" s="41">
        <v>3</v>
      </c>
      <c r="D1993" s="41" t="str">
        <v>R</v>
      </c>
      <c r="E1993" s="117" t="str">
        <f t="shared" si="0"/>
        <v>R</v>
      </c>
      <c r="F1993" s="41" t="str">
        <v/>
      </c>
      <c r="G1993" s="41" t="str">
        <v/>
      </c>
      <c r="H1993" s="117">
        <f t="shared" si="1"/>
        <v>0</v>
      </c>
      <c r="I1993" s="117">
        <f t="shared" si="2"/>
        <v>5</v>
      </c>
      <c r="J1993" s="117">
        <f t="shared" si="3"/>
        <v>5.0599999999999987</v>
      </c>
      <c r="K1993" s="117" t="str">
        <f t="shared" si="4"/>
        <v>T</v>
      </c>
      <c r="L1993" s="42" t="str">
        <v>T0506</v>
      </c>
      <c r="M1993" s="121" t="str">
        <v/>
      </c>
      <c r="N1993" s="121" t="str">
        <v/>
      </c>
      <c r="O1993" s="121" t="str">
        <v>T0506</v>
      </c>
      <c r="P1993" s="121" t="str">
        <v>Similar product</v>
      </c>
      <c r="Q1993" s="121" t="str">
        <v/>
      </c>
      <c r="R1993" s="121" t="str">
        <v/>
      </c>
      <c r="S1993" s="121" t="str">
        <v/>
      </c>
      <c r="T1993" s="119" t="str">
        <f>IF($C1993&lt;4,IF($C1993=3,T1994,IF($C1993=2,T$1,"")),Q1993&amp;R1993&amp;IF(LEN(S1993)=0,"",Preferences!$C$2&amp;S1993)&amp;IF(J1994=J1993,IF(LEN(R1993&amp;S1993)=0,"","
")&amp;T1994,""))</f>
        <v>A product with the same meta-tags as the product currently being viewed on the website.</v>
      </c>
      <c r="U1993" s="122" t="str">
        <v/>
      </c>
      <c r="V1993" s="42"/>
      <c r="W1993" s="42"/>
      <c r="X1993" s="42"/>
      <c r="Y1993" s="42"/>
      <c r="Z1993" s="42"/>
      <c r="AA1993" s="42"/>
      <c r="AB1993" s="42"/>
    </row>
    <row r="1994" spans="1:28" x14ac:dyDescent="0.25">
      <c r="A1994" s="42" t="str">
        <v>6.5.6.1</v>
      </c>
      <c r="B1994" s="121" t="str">
        <v>A product with the same meta-tags as the product currently being viewed on the website.</v>
      </c>
      <c r="C1994" s="41">
        <v>4</v>
      </c>
      <c r="D1994" s="41" t="str">
        <v>RD</v>
      </c>
      <c r="E1994" s="117" t="str">
        <f t="shared" si="0"/>
        <v>RD</v>
      </c>
      <c r="F1994" s="41" t="str">
        <v/>
      </c>
      <c r="G1994" s="41" t="str">
        <v/>
      </c>
      <c r="H1994" s="117">
        <f t="shared" si="1"/>
        <v>0</v>
      </c>
      <c r="I1994" s="117">
        <f t="shared" si="2"/>
        <v>5</v>
      </c>
      <c r="J1994" s="117">
        <f t="shared" si="3"/>
        <v>5.0599999999999987</v>
      </c>
      <c r="K1994" s="117" t="str">
        <f t="shared" si="4"/>
        <v>T</v>
      </c>
      <c r="L1994" s="42" t="str">
        <v>T0506</v>
      </c>
      <c r="M1994" s="121" t="str">
        <v/>
      </c>
      <c r="N1994" s="121" t="str">
        <v/>
      </c>
      <c r="O1994" s="121" t="str">
        <v/>
      </c>
      <c r="P1994" s="121" t="str">
        <v/>
      </c>
      <c r="Q1994" s="121" t="str">
        <v/>
      </c>
      <c r="R1994" s="121" t="str">
        <v>A product with the same meta-tags as the product currently being viewed on the website.</v>
      </c>
      <c r="S1994" s="121" t="str">
        <v/>
      </c>
      <c r="T1994" s="119" t="str">
        <f>IF($C1994&lt;4,IF($C1994=3,T1995,IF($C1994=2,T$1,"")),Q1994&amp;R1994&amp;IF(LEN(S1994)=0,"",Preferences!$C$2&amp;S1994)&amp;IF(J1995=J1994,IF(LEN(R1994&amp;S1994)=0,"","
")&amp;T1995,""))</f>
        <v>A product with the same meta-tags as the product currently being viewed on the website.</v>
      </c>
      <c r="U1994" s="122" t="str">
        <v/>
      </c>
      <c r="V1994" s="42"/>
      <c r="W1994" s="42"/>
      <c r="X1994" s="42"/>
      <c r="Y1994" s="42"/>
      <c r="Z1994" s="42"/>
      <c r="AA1994" s="42"/>
      <c r="AB1994" s="42"/>
    </row>
    <row r="1995" spans="1:28" x14ac:dyDescent="0.25">
      <c r="A1995" s="42" t="str">
        <v>6.5.7</v>
      </c>
      <c r="B1995" s="121" t="str">
        <v>5.7 UOM</v>
      </c>
      <c r="C1995" s="41">
        <v>3</v>
      </c>
      <c r="D1995" s="41" t="str">
        <v>R</v>
      </c>
      <c r="E1995" s="117" t="str">
        <f t="shared" si="0"/>
        <v>R</v>
      </c>
      <c r="F1995" s="41" t="str">
        <v/>
      </c>
      <c r="G1995" s="41" t="str">
        <v/>
      </c>
      <c r="H1995" s="117">
        <f t="shared" si="1"/>
        <v>0</v>
      </c>
      <c r="I1995" s="117">
        <f t="shared" si="2"/>
        <v>5</v>
      </c>
      <c r="J1995" s="117">
        <f t="shared" si="3"/>
        <v>5.0699999999999985</v>
      </c>
      <c r="K1995" s="117" t="str">
        <f t="shared" si="4"/>
        <v>T</v>
      </c>
      <c r="L1995" s="42" t="str">
        <v>T0507</v>
      </c>
      <c r="M1995" s="121" t="str">
        <v/>
      </c>
      <c r="N1995" s="121" t="str">
        <v/>
      </c>
      <c r="O1995" s="121" t="str">
        <v>T0507</v>
      </c>
      <c r="P1995" s="121" t="str">
        <v>UOM</v>
      </c>
      <c r="Q1995" s="121" t="str">
        <v/>
      </c>
      <c r="R1995" s="121" t="str">
        <v/>
      </c>
      <c r="S1995" s="121" t="str">
        <v/>
      </c>
      <c r="T1995" s="119" t="str">
        <f>IF($C1995&lt;4,IF($C1995=3,T1996,IF($C1995=2,T$1,"")),Q1995&amp;R1995&amp;IF(LEN(S1995)=0,"",Preferences!$C$2&amp;S1995)&amp;IF(J1996=J1995,IF(LEN(R1995&amp;S1995)=0,"","
")&amp;T1996,""))</f>
        <v>Unit of Measure For a physical product, this represents a specific quantity (quantity/volume) that can be ordered or sold.</v>
      </c>
      <c r="U1995" s="122" t="str">
        <v/>
      </c>
      <c r="V1995" s="42"/>
      <c r="W1995" s="42"/>
      <c r="X1995" s="42"/>
      <c r="Y1995" s="42"/>
      <c r="Z1995" s="42"/>
      <c r="AA1995" s="42"/>
      <c r="AB1995" s="42"/>
    </row>
    <row r="1996" spans="1:28" x14ac:dyDescent="0.25">
      <c r="A1996" s="42" t="str">
        <v>6.5.7.1</v>
      </c>
      <c r="B1996" s="121" t="str">
        <v>Unit of Measure For a physical product, this represents a specific quantity (quantity/volume) that can be ordered or sold.</v>
      </c>
      <c r="C1996" s="41">
        <v>4</v>
      </c>
      <c r="D1996" s="41" t="str">
        <v>RD</v>
      </c>
      <c r="E1996" s="117" t="str">
        <f t="shared" si="0"/>
        <v>RD</v>
      </c>
      <c r="F1996" s="41" t="str">
        <v/>
      </c>
      <c r="G1996" s="41" t="str">
        <v/>
      </c>
      <c r="H1996" s="117">
        <f t="shared" si="1"/>
        <v>0</v>
      </c>
      <c r="I1996" s="117">
        <f t="shared" si="2"/>
        <v>5</v>
      </c>
      <c r="J1996" s="117">
        <f t="shared" si="3"/>
        <v>5.0699999999999985</v>
      </c>
      <c r="K1996" s="117" t="str">
        <f t="shared" si="4"/>
        <v>T</v>
      </c>
      <c r="L1996" s="42" t="str">
        <v>T0507</v>
      </c>
      <c r="M1996" s="121" t="str">
        <v/>
      </c>
      <c r="N1996" s="121" t="str">
        <v/>
      </c>
      <c r="O1996" s="121" t="str">
        <v/>
      </c>
      <c r="P1996" s="121" t="str">
        <v/>
      </c>
      <c r="Q1996" s="121" t="str">
        <v/>
      </c>
      <c r="R1996" s="121" t="str">
        <v>Unit of Measure For a physical product, this represents a specific quantity (quantity/volume) that can be ordered or sold.</v>
      </c>
      <c r="S1996" s="121" t="str">
        <v/>
      </c>
      <c r="T1996" s="119" t="str">
        <f>IF($C1996&lt;4,IF($C1996=3,T1997,IF($C1996=2,T$1,"")),Q1996&amp;R1996&amp;IF(LEN(S1996)=0,"",Preferences!$C$2&amp;S1996)&amp;IF(J1997=J1996,IF(LEN(R1996&amp;S1996)=0,"","
")&amp;T1997,""))</f>
        <v>Unit of Measure For a physical product, this represents a specific quantity (quantity/volume) that can be ordered or sold.</v>
      </c>
      <c r="U1996" s="122" t="str">
        <v/>
      </c>
      <c r="V1996" s="42"/>
      <c r="W1996" s="42"/>
      <c r="X1996" s="42"/>
      <c r="Y1996" s="42"/>
      <c r="Z1996" s="42"/>
      <c r="AA1996" s="42"/>
      <c r="AB1996" s="42"/>
    </row>
    <row r="1997" spans="1:28" x14ac:dyDescent="0.25">
      <c r="A1997" s="42" t="str">
        <v>6.5.8</v>
      </c>
      <c r="B1997" s="121" t="str">
        <v>5.8 Each</v>
      </c>
      <c r="C1997" s="41">
        <v>3</v>
      </c>
      <c r="D1997" s="41" t="str">
        <v>R</v>
      </c>
      <c r="E1997" s="117" t="str">
        <f t="shared" si="0"/>
        <v>R</v>
      </c>
      <c r="F1997" s="41" t="str">
        <v/>
      </c>
      <c r="G1997" s="41" t="str">
        <v/>
      </c>
      <c r="H1997" s="117">
        <f t="shared" si="1"/>
        <v>0</v>
      </c>
      <c r="I1997" s="117">
        <f t="shared" si="2"/>
        <v>5</v>
      </c>
      <c r="J1997" s="117">
        <f t="shared" si="3"/>
        <v>5.0799999999999983</v>
      </c>
      <c r="K1997" s="117" t="str">
        <f t="shared" si="4"/>
        <v>T</v>
      </c>
      <c r="L1997" s="42" t="str">
        <v>T0508</v>
      </c>
      <c r="M1997" s="121" t="str">
        <v/>
      </c>
      <c r="N1997" s="121" t="str">
        <v/>
      </c>
      <c r="O1997" s="121" t="str">
        <v>T0508</v>
      </c>
      <c r="P1997" s="121" t="str">
        <v>Each</v>
      </c>
      <c r="Q1997" s="121" t="str">
        <v/>
      </c>
      <c r="R1997" s="121" t="str">
        <v/>
      </c>
      <c r="S1997" s="121" t="str">
        <v/>
      </c>
      <c r="T1997" s="119" t="str">
        <f>IF($C1997&lt;4,IF($C1997=3,T1998,IF($C1997=2,T$1,"")),Q1997&amp;R1997&amp;IF(LEN(S1997)=0,"",Preferences!$C$2&amp;S1997)&amp;IF(J1998=J1997,IF(LEN(R1997&amp;S1997)=0,"","
")&amp;T1998,""))</f>
        <v>The smallest individual product unit that can be sold (e.g. tin of baby formula).</v>
      </c>
      <c r="U1997" s="122" t="str">
        <v/>
      </c>
      <c r="V1997" s="42"/>
      <c r="W1997" s="42"/>
      <c r="X1997" s="42"/>
      <c r="Y1997" s="42"/>
      <c r="Z1997" s="42"/>
      <c r="AA1997" s="42"/>
      <c r="AB1997" s="42"/>
    </row>
    <row r="1998" spans="1:28" x14ac:dyDescent="0.25">
      <c r="A1998" s="42" t="str">
        <v>6.5.8.1</v>
      </c>
      <c r="B1998" s="121" t="str">
        <v>The smallest individual product unit that can be sold (e.g. tin of baby formula).</v>
      </c>
      <c r="C1998" s="41">
        <v>4</v>
      </c>
      <c r="D1998" s="41" t="str">
        <v>RD</v>
      </c>
      <c r="E1998" s="117" t="str">
        <f t="shared" si="0"/>
        <v>RD</v>
      </c>
      <c r="F1998" s="41" t="str">
        <v/>
      </c>
      <c r="G1998" s="41" t="str">
        <v/>
      </c>
      <c r="H1998" s="117">
        <f t="shared" si="1"/>
        <v>0</v>
      </c>
      <c r="I1998" s="117">
        <f t="shared" si="2"/>
        <v>5</v>
      </c>
      <c r="J1998" s="117">
        <f t="shared" si="3"/>
        <v>5.0799999999999983</v>
      </c>
      <c r="K1998" s="117" t="str">
        <f t="shared" si="4"/>
        <v>T</v>
      </c>
      <c r="L1998" s="42" t="str">
        <v>T0508</v>
      </c>
      <c r="M1998" s="121" t="str">
        <v/>
      </c>
      <c r="N1998" s="121" t="str">
        <v/>
      </c>
      <c r="O1998" s="121" t="str">
        <v/>
      </c>
      <c r="P1998" s="121" t="str">
        <v/>
      </c>
      <c r="Q1998" s="121" t="str">
        <v/>
      </c>
      <c r="R1998" s="121" t="str">
        <v>The smallest individual product unit that can be sold (e.g. tin of baby formula).</v>
      </c>
      <c r="S1998" s="121" t="str">
        <v/>
      </c>
      <c r="T1998" s="119" t="str">
        <f>IF($C1998&lt;4,IF($C1998=3,T1999,IF($C1998=2,T$1,"")),Q1998&amp;R1998&amp;IF(LEN(S1998)=0,"",Preferences!$C$2&amp;S1998)&amp;IF(J1999=J1998,IF(LEN(R1998&amp;S1998)=0,"","
")&amp;T1999,""))</f>
        <v>The smallest individual product unit that can be sold (e.g. tin of baby formula).</v>
      </c>
      <c r="U1998" s="122" t="str">
        <v/>
      </c>
      <c r="V1998" s="42"/>
      <c r="W1998" s="42"/>
      <c r="X1998" s="42"/>
      <c r="Y1998" s="42"/>
      <c r="Z1998" s="42"/>
      <c r="AA1998" s="42"/>
      <c r="AB1998" s="42"/>
    </row>
    <row r="1999" spans="1:28" x14ac:dyDescent="0.25">
      <c r="A1999" s="42" t="str">
        <v>6.5.9</v>
      </c>
      <c r="B1999" s="121" t="str">
        <v>5.9 BMC</v>
      </c>
      <c r="C1999" s="41">
        <v>3</v>
      </c>
      <c r="D1999" s="41" t="str">
        <v>R</v>
      </c>
      <c r="E1999" s="117" t="str">
        <f t="shared" si="0"/>
        <v>R</v>
      </c>
      <c r="F1999" s="41" t="str">
        <v/>
      </c>
      <c r="G1999" s="41" t="str">
        <v/>
      </c>
      <c r="H1999" s="117">
        <f t="shared" si="1"/>
        <v>0</v>
      </c>
      <c r="I1999" s="117">
        <f t="shared" si="2"/>
        <v>5</v>
      </c>
      <c r="J1999" s="117">
        <f t="shared" si="3"/>
        <v>5.0899999999999981</v>
      </c>
      <c r="K1999" s="117" t="str">
        <f t="shared" si="4"/>
        <v>T</v>
      </c>
      <c r="L1999" s="42" t="str">
        <v>T0509</v>
      </c>
      <c r="M1999" s="121" t="str">
        <v/>
      </c>
      <c r="N1999" s="121" t="str">
        <v/>
      </c>
      <c r="O1999" s="121" t="str">
        <v>T0509</v>
      </c>
      <c r="P1999" s="121" t="str">
        <v>BMC</v>
      </c>
      <c r="Q1999" s="121" t="str">
        <v/>
      </c>
      <c r="R1999" s="121" t="str">
        <v/>
      </c>
      <c r="S1999" s="121" t="str">
        <v/>
      </c>
      <c r="T1999" s="119" t="str">
        <f>IF($C1999&lt;4,IF($C1999=3,T2000,IF($C1999=2,T$1,"")),Q1999&amp;R1999&amp;IF(LEN(S1999)=0,"",Preferences!$C$2&amp;S1999)&amp;IF(J2000=J1999,IF(LEN(R1999&amp;S1999)=0,"","
")&amp;T2000,""))</f>
        <v>Base Merchandise Category This is the most-detail level grouping of similar products.</v>
      </c>
      <c r="U1999" s="122" t="str">
        <v/>
      </c>
      <c r="V1999" s="42"/>
      <c r="W1999" s="42"/>
      <c r="X1999" s="42"/>
      <c r="Y1999" s="42"/>
      <c r="Z1999" s="42"/>
      <c r="AA1999" s="42"/>
      <c r="AB1999" s="42"/>
    </row>
    <row r="2000" spans="1:28" x14ac:dyDescent="0.25">
      <c r="A2000" s="42" t="str">
        <v>6.5.9.1</v>
      </c>
      <c r="B2000" s="121" t="str">
        <v>Base Merchandise Category This is the most-detail level grouping of similar products.</v>
      </c>
      <c r="C2000" s="41">
        <v>4</v>
      </c>
      <c r="D2000" s="41" t="str">
        <v>RD</v>
      </c>
      <c r="E2000" s="117" t="str">
        <f t="shared" si="0"/>
        <v>RD</v>
      </c>
      <c r="F2000" s="41" t="str">
        <v/>
      </c>
      <c r="G2000" s="41" t="str">
        <v/>
      </c>
      <c r="H2000" s="117">
        <f t="shared" si="1"/>
        <v>0</v>
      </c>
      <c r="I2000" s="117">
        <f t="shared" si="2"/>
        <v>5</v>
      </c>
      <c r="J2000" s="117">
        <f t="shared" si="3"/>
        <v>5.0899999999999981</v>
      </c>
      <c r="K2000" s="117" t="str">
        <f t="shared" si="4"/>
        <v>T</v>
      </c>
      <c r="L2000" s="42" t="str">
        <v>T0509</v>
      </c>
      <c r="M2000" s="121" t="str">
        <v/>
      </c>
      <c r="N2000" s="121" t="str">
        <v/>
      </c>
      <c r="O2000" s="121" t="str">
        <v/>
      </c>
      <c r="P2000" s="121" t="str">
        <v/>
      </c>
      <c r="Q2000" s="121" t="str">
        <v/>
      </c>
      <c r="R2000" s="121" t="str">
        <v>Base Merchandise Category This is the most-detail level grouping of similar products.</v>
      </c>
      <c r="S2000" s="121" t="str">
        <v/>
      </c>
      <c r="T2000" s="119" t="str">
        <f>IF($C2000&lt;4,IF($C2000=3,T2001,IF($C2000=2,T$1,"")),Q2000&amp;R2000&amp;IF(LEN(S2000)=0,"",Preferences!$C$2&amp;S2000)&amp;IF(J2001=J2000,IF(LEN(R2000&amp;S2000)=0,"","
")&amp;T2001,""))</f>
        <v>Base Merchandise Category This is the most-detail level grouping of similar products.</v>
      </c>
      <c r="U2000" s="122" t="str">
        <v/>
      </c>
      <c r="V2000" s="42"/>
      <c r="W2000" s="42"/>
      <c r="X2000" s="42"/>
      <c r="Y2000" s="42"/>
      <c r="Z2000" s="42"/>
      <c r="AA2000" s="42"/>
      <c r="AB2000" s="42"/>
    </row>
    <row r="2001" spans="1:28" x14ac:dyDescent="0.25">
      <c r="A2001" s="42" t="str">
        <v>6.5.10</v>
      </c>
      <c r="B2001" s="121" t="str">
        <v>5.10 Proposed Selling Price (excl)</v>
      </c>
      <c r="C2001" s="41">
        <v>3</v>
      </c>
      <c r="D2001" s="41" t="str">
        <v>R</v>
      </c>
      <c r="E2001" s="117" t="str">
        <f t="shared" si="0"/>
        <v>R</v>
      </c>
      <c r="F2001" s="41" t="str">
        <v/>
      </c>
      <c r="G2001" s="41" t="str">
        <v/>
      </c>
      <c r="H2001" s="117">
        <f t="shared" si="1"/>
        <v>0</v>
      </c>
      <c r="I2001" s="117">
        <f t="shared" si="2"/>
        <v>5</v>
      </c>
      <c r="J2001" s="117">
        <f t="shared" si="3"/>
        <v>5.0999999999999979</v>
      </c>
      <c r="K2001" s="117" t="str">
        <f t="shared" si="4"/>
        <v>T</v>
      </c>
      <c r="L2001" s="42" t="str">
        <v>T0510</v>
      </c>
      <c r="M2001" s="121" t="str">
        <v/>
      </c>
      <c r="N2001" s="121" t="str">
        <v/>
      </c>
      <c r="O2001" s="121" t="str">
        <v>T0510</v>
      </c>
      <c r="P2001" s="121" t="str">
        <v>Proposed Selling Price (excl)</v>
      </c>
      <c r="Q2001" s="121" t="str">
        <v/>
      </c>
      <c r="R2001" s="121" t="str">
        <v/>
      </c>
      <c r="S2001" s="121" t="str">
        <v/>
      </c>
      <c r="T2001" s="119" t="str">
        <f>IF($C2001&lt;4,IF($C2001=3,T2002,IF($C2001=2,T$1,"")),Q2001&amp;R2001&amp;IF(LEN(S2001)=0,"",Preferences!$C$2&amp;S2001)&amp;IF(J2002=J2001,IF(LEN(R2001&amp;S2001)=0,"","
")&amp;T2002,""))</f>
        <v>The selling price for a product/service before VAT and rounding rules are applied.</v>
      </c>
      <c r="U2001" s="122" t="str">
        <v/>
      </c>
      <c r="V2001" s="42"/>
      <c r="W2001" s="42"/>
      <c r="X2001" s="42"/>
      <c r="Y2001" s="42"/>
      <c r="Z2001" s="42"/>
      <c r="AA2001" s="42"/>
      <c r="AB2001" s="42"/>
    </row>
    <row r="2002" spans="1:28" x14ac:dyDescent="0.25">
      <c r="A2002" s="42" t="str">
        <v>6.5.10.1</v>
      </c>
      <c r="B2002" s="121" t="str">
        <v>The selling price for a product/service before VAT and rounding rules are applied.</v>
      </c>
      <c r="C2002" s="41">
        <v>4</v>
      </c>
      <c r="D2002" s="41" t="str">
        <v>RD</v>
      </c>
      <c r="E2002" s="117" t="str">
        <f t="shared" si="0"/>
        <v>RD</v>
      </c>
      <c r="F2002" s="41" t="str">
        <v/>
      </c>
      <c r="G2002" s="41" t="str">
        <v/>
      </c>
      <c r="H2002" s="117">
        <f t="shared" si="1"/>
        <v>0</v>
      </c>
      <c r="I2002" s="117">
        <f t="shared" si="2"/>
        <v>5</v>
      </c>
      <c r="J2002" s="117">
        <f t="shared" si="3"/>
        <v>5.0999999999999979</v>
      </c>
      <c r="K2002" s="117" t="str">
        <f t="shared" si="4"/>
        <v>T</v>
      </c>
      <c r="L2002" s="42" t="str">
        <v>T0510</v>
      </c>
      <c r="M2002" s="121" t="str">
        <v/>
      </c>
      <c r="N2002" s="121" t="str">
        <v/>
      </c>
      <c r="O2002" s="121" t="str">
        <v/>
      </c>
      <c r="P2002" s="121" t="str">
        <v/>
      </c>
      <c r="Q2002" s="121" t="str">
        <v/>
      </c>
      <c r="R2002" s="121" t="str">
        <v>The selling price for a product/service before VAT and rounding rules are applied.</v>
      </c>
      <c r="S2002" s="121" t="str">
        <v/>
      </c>
      <c r="T2002" s="119" t="str">
        <f>IF($C2002&lt;4,IF($C2002=3,T2003,IF($C2002=2,T$1,"")),Q2002&amp;R2002&amp;IF(LEN(S2002)=0,"",Preferences!$C$2&amp;S2002)&amp;IF(J2003=J2002,IF(LEN(R2002&amp;S2002)=0,"","
")&amp;T2003,""))</f>
        <v>The selling price for a product/service before VAT and rounding rules are applied.</v>
      </c>
      <c r="U2002" s="122" t="str">
        <v/>
      </c>
      <c r="V2002" s="42"/>
      <c r="W2002" s="42"/>
      <c r="X2002" s="42"/>
      <c r="Y2002" s="42"/>
      <c r="Z2002" s="42"/>
      <c r="AA2002" s="42"/>
      <c r="AB2002" s="42"/>
    </row>
    <row r="2003" spans="1:28" x14ac:dyDescent="0.25">
      <c r="A2003" s="42" t="str">
        <v>6.5.11</v>
      </c>
      <c r="B2003" s="121" t="str">
        <v>5.11 Proposed Selling Price (incl)</v>
      </c>
      <c r="C2003" s="41">
        <v>3</v>
      </c>
      <c r="D2003" s="41" t="str">
        <v>R</v>
      </c>
      <c r="E2003" s="117" t="str">
        <f t="shared" si="0"/>
        <v>R</v>
      </c>
      <c r="F2003" s="41" t="str">
        <v/>
      </c>
      <c r="G2003" s="41" t="str">
        <v/>
      </c>
      <c r="H2003" s="117">
        <f t="shared" si="1"/>
        <v>0</v>
      </c>
      <c r="I2003" s="117">
        <f t="shared" si="2"/>
        <v>5</v>
      </c>
      <c r="J2003" s="117">
        <f t="shared" si="3"/>
        <v>5.1099999999999977</v>
      </c>
      <c r="K2003" s="117" t="str">
        <f t="shared" si="4"/>
        <v>T</v>
      </c>
      <c r="L2003" s="42" t="str">
        <v>T0511</v>
      </c>
      <c r="M2003" s="121" t="str">
        <v/>
      </c>
      <c r="N2003" s="121" t="str">
        <v/>
      </c>
      <c r="O2003" s="121" t="str">
        <v>T0511</v>
      </c>
      <c r="P2003" s="121" t="str">
        <v>Proposed Selling Price (incl)</v>
      </c>
      <c r="Q2003" s="121" t="str">
        <v/>
      </c>
      <c r="R2003" s="121" t="str">
        <v/>
      </c>
      <c r="S2003" s="121" t="str">
        <v/>
      </c>
      <c r="T2003" s="119" t="str">
        <f>IF($C2003&lt;4,IF($C2003=3,T2004,IF($C2003=2,T$1,"")),Q2003&amp;R2003&amp;IF(LEN(S2003)=0,"",Preferences!$C$2&amp;S2003)&amp;IF(J2004=J2003,IF(LEN(R2003&amp;S2003)=0,"","
")&amp;T2004,""))</f>
        <v>The proposed selling price for a product/service with VAT applied, but not rounding rules.</v>
      </c>
      <c r="U2003" s="122" t="str">
        <v/>
      </c>
      <c r="V2003" s="42"/>
      <c r="W2003" s="42"/>
      <c r="X2003" s="42"/>
      <c r="Y2003" s="42"/>
      <c r="Z2003" s="42"/>
      <c r="AA2003" s="42"/>
      <c r="AB2003" s="42"/>
    </row>
    <row r="2004" spans="1:28" x14ac:dyDescent="0.25">
      <c r="A2004" s="42" t="str">
        <v>6.5.11.1</v>
      </c>
      <c r="B2004" s="121" t="str">
        <v>The proposed selling price for a product/service with VAT applied, but not rounding rules.</v>
      </c>
      <c r="C2004" s="41">
        <v>4</v>
      </c>
      <c r="D2004" s="41" t="str">
        <v>RD</v>
      </c>
      <c r="E2004" s="117" t="str">
        <f t="shared" si="0"/>
        <v>RD</v>
      </c>
      <c r="F2004" s="41" t="str">
        <v/>
      </c>
      <c r="G2004" s="41" t="str">
        <v/>
      </c>
      <c r="H2004" s="117">
        <f t="shared" si="1"/>
        <v>0</v>
      </c>
      <c r="I2004" s="117">
        <f t="shared" si="2"/>
        <v>5</v>
      </c>
      <c r="J2004" s="117">
        <f t="shared" si="3"/>
        <v>5.1099999999999977</v>
      </c>
      <c r="K2004" s="117" t="str">
        <f t="shared" si="4"/>
        <v>T</v>
      </c>
      <c r="L2004" s="42" t="str">
        <v>T0511</v>
      </c>
      <c r="M2004" s="121" t="str">
        <v/>
      </c>
      <c r="N2004" s="121" t="str">
        <v/>
      </c>
      <c r="O2004" s="121" t="str">
        <v/>
      </c>
      <c r="P2004" s="121" t="str">
        <v/>
      </c>
      <c r="Q2004" s="121" t="str">
        <v/>
      </c>
      <c r="R2004" s="121" t="str">
        <v>The proposed selling price for a product/service with VAT applied, but not rounding rules.</v>
      </c>
      <c r="S2004" s="121" t="str">
        <v/>
      </c>
      <c r="T2004" s="119" t="str">
        <f>IF($C2004&lt;4,IF($C2004=3,T2005,IF($C2004=2,T$1,"")),Q2004&amp;R2004&amp;IF(LEN(S2004)=0,"",Preferences!$C$2&amp;S2004)&amp;IF(J2005=J2004,IF(LEN(R2004&amp;S2004)=0,"","
")&amp;T2005,""))</f>
        <v>The proposed selling price for a product/service with VAT applied, but not rounding rules.</v>
      </c>
      <c r="U2004" s="122" t="str">
        <v/>
      </c>
      <c r="V2004" s="42"/>
      <c r="W2004" s="42"/>
      <c r="X2004" s="42"/>
      <c r="Y2004" s="42"/>
      <c r="Z2004" s="42"/>
      <c r="AA2004" s="42"/>
      <c r="AB2004" s="42"/>
    </row>
    <row r="2005" spans="1:28" x14ac:dyDescent="0.25">
      <c r="A2005" s="42" t="str">
        <v>6.5.12</v>
      </c>
      <c r="B2005" s="121" t="str">
        <v>5.12 Selling Price (incl)</v>
      </c>
      <c r="C2005" s="41">
        <v>3</v>
      </c>
      <c r="D2005" s="41" t="str">
        <v>R</v>
      </c>
      <c r="E2005" s="117" t="str">
        <f t="shared" si="0"/>
        <v>R</v>
      </c>
      <c r="F2005" s="41" t="str">
        <v/>
      </c>
      <c r="G2005" s="41" t="str">
        <v/>
      </c>
      <c r="H2005" s="117">
        <f t="shared" si="1"/>
        <v>0</v>
      </c>
      <c r="I2005" s="117">
        <f t="shared" si="2"/>
        <v>5</v>
      </c>
      <c r="J2005" s="117">
        <f t="shared" si="3"/>
        <v>5.1199999999999974</v>
      </c>
      <c r="K2005" s="117" t="str">
        <f t="shared" si="4"/>
        <v>T</v>
      </c>
      <c r="L2005" s="42" t="str">
        <v>T0512</v>
      </c>
      <c r="M2005" s="121" t="str">
        <v/>
      </c>
      <c r="N2005" s="121" t="str">
        <v/>
      </c>
      <c r="O2005" s="121" t="str">
        <v>T0512</v>
      </c>
      <c r="P2005" s="121" t="str">
        <v>Selling Price (incl)</v>
      </c>
      <c r="Q2005" s="121" t="str">
        <v/>
      </c>
      <c r="R2005" s="121" t="str">
        <v/>
      </c>
      <c r="S2005" s="121" t="str">
        <v/>
      </c>
      <c r="T2005" s="119" t="str">
        <f>IF($C2005&lt;4,IF($C2005=3,T2006,IF($C2005=2,T$1,"")),Q2005&amp;R2005&amp;IF(LEN(S2005)=0,"",Preferences!$C$2&amp;S2005)&amp;IF(J2006=J2005,IF(LEN(R2005&amp;S2005)=0,"","
")&amp;T2006,""))</f>
        <v>The proposed selling price (incl) for a product/service with the price rounding rules applied.</v>
      </c>
      <c r="U2005" s="122" t="str">
        <v/>
      </c>
      <c r="V2005" s="42"/>
      <c r="W2005" s="42"/>
      <c r="X2005" s="42"/>
      <c r="Y2005" s="42"/>
      <c r="Z2005" s="42"/>
      <c r="AA2005" s="42"/>
      <c r="AB2005" s="42"/>
    </row>
    <row r="2006" spans="1:28" x14ac:dyDescent="0.25">
      <c r="A2006" s="42" t="str">
        <v>6.5.12.1</v>
      </c>
      <c r="B2006" s="121" t="str">
        <v>The proposed selling price (incl) for a product/service with the price rounding rules applied.</v>
      </c>
      <c r="C2006" s="41">
        <v>4</v>
      </c>
      <c r="D2006" s="41" t="str">
        <v>RD</v>
      </c>
      <c r="E2006" s="117" t="str">
        <f t="shared" si="0"/>
        <v>RD</v>
      </c>
      <c r="F2006" s="41" t="str">
        <v/>
      </c>
      <c r="G2006" s="41" t="str">
        <v/>
      </c>
      <c r="H2006" s="117">
        <f t="shared" si="1"/>
        <v>0</v>
      </c>
      <c r="I2006" s="117">
        <f t="shared" si="2"/>
        <v>5</v>
      </c>
      <c r="J2006" s="117">
        <f t="shared" si="3"/>
        <v>5.1199999999999974</v>
      </c>
      <c r="K2006" s="117" t="str">
        <f t="shared" si="4"/>
        <v>T</v>
      </c>
      <c r="L2006" s="42" t="str">
        <v>T0512</v>
      </c>
      <c r="M2006" s="121" t="str">
        <v/>
      </c>
      <c r="N2006" s="121" t="str">
        <v/>
      </c>
      <c r="O2006" s="121" t="str">
        <v/>
      </c>
      <c r="P2006" s="121" t="str">
        <v/>
      </c>
      <c r="Q2006" s="121" t="str">
        <v/>
      </c>
      <c r="R2006" s="121" t="str">
        <v>The proposed selling price (incl) for a product/service with the price rounding rules applied.</v>
      </c>
      <c r="S2006" s="121" t="str">
        <v/>
      </c>
      <c r="T2006" s="119" t="str">
        <f>IF($C2006&lt;4,IF($C2006=3,T2007,IF($C2006=2,T$1,"")),Q2006&amp;R2006&amp;IF(LEN(S2006)=0,"",Preferences!$C$2&amp;S2006)&amp;IF(J2007=J2006,IF(LEN(R2006&amp;S2006)=0,"","
")&amp;T2007,""))</f>
        <v>The proposed selling price (incl) for a product/service with the price rounding rules applied.</v>
      </c>
      <c r="U2006" s="122" t="str">
        <v/>
      </c>
      <c r="V2006" s="42"/>
      <c r="W2006" s="42"/>
      <c r="X2006" s="42"/>
      <c r="Y2006" s="42"/>
      <c r="Z2006" s="42"/>
      <c r="AA2006" s="42"/>
      <c r="AB2006" s="42"/>
    </row>
    <row r="2007" spans="1:28" x14ac:dyDescent="0.25">
      <c r="A2007" s="42" t="str">
        <v>6.5.13</v>
      </c>
      <c r="B2007" s="121" t="str">
        <v>5.13 Selling Price (excl)</v>
      </c>
      <c r="C2007" s="41">
        <v>3</v>
      </c>
      <c r="D2007" s="41" t="str">
        <v>R</v>
      </c>
      <c r="E2007" s="117" t="str">
        <f t="shared" si="0"/>
        <v>R</v>
      </c>
      <c r="F2007" s="41" t="str">
        <v/>
      </c>
      <c r="G2007" s="41" t="str">
        <v/>
      </c>
      <c r="H2007" s="117">
        <f t="shared" si="1"/>
        <v>0</v>
      </c>
      <c r="I2007" s="117">
        <f t="shared" si="2"/>
        <v>5</v>
      </c>
      <c r="J2007" s="117">
        <f t="shared" si="3"/>
        <v>5.1299999999999972</v>
      </c>
      <c r="K2007" s="117" t="str">
        <f t="shared" si="4"/>
        <v>T</v>
      </c>
      <c r="L2007" s="42" t="str">
        <v>T0513</v>
      </c>
      <c r="M2007" s="121" t="str">
        <v/>
      </c>
      <c r="N2007" s="121" t="str">
        <v/>
      </c>
      <c r="O2007" s="121" t="str">
        <v>T0513</v>
      </c>
      <c r="P2007" s="121" t="str">
        <v>Selling Price (excl)</v>
      </c>
      <c r="Q2007" s="121" t="str">
        <v/>
      </c>
      <c r="R2007" s="121" t="str">
        <v/>
      </c>
      <c r="S2007" s="121" t="str">
        <v/>
      </c>
      <c r="T2007" s="119" t="str">
        <f>IF($C2007&lt;4,IF($C2007=3,T2008,IF($C2007=2,T$1,"")),Q2007&amp;R2007&amp;IF(LEN(S2007)=0,"",Preferences!$C$2&amp;S2007)&amp;IF(J2008=J2007,IF(LEN(R2007&amp;S2007)=0,"","
")&amp;T2008,""))</f>
        <v>The selling price (incl) of a product/service, with the applicable VAT deducted.</v>
      </c>
      <c r="U2007" s="122" t="str">
        <v/>
      </c>
      <c r="V2007" s="42"/>
      <c r="W2007" s="42"/>
      <c r="X2007" s="42"/>
      <c r="Y2007" s="42"/>
      <c r="Z2007" s="42"/>
      <c r="AA2007" s="42"/>
      <c r="AB2007" s="42"/>
    </row>
    <row r="2008" spans="1:28" x14ac:dyDescent="0.25">
      <c r="A2008" s="42" t="str">
        <v>6.5.13.1</v>
      </c>
      <c r="B2008" s="121" t="str">
        <v>The selling price (incl) of a product/service, with the applicable VAT deducted.</v>
      </c>
      <c r="C2008" s="41">
        <v>4</v>
      </c>
      <c r="D2008" s="41" t="str">
        <v>RD</v>
      </c>
      <c r="E2008" s="117" t="str">
        <f t="shared" si="0"/>
        <v>RD</v>
      </c>
      <c r="F2008" s="41" t="str">
        <v/>
      </c>
      <c r="G2008" s="41" t="str">
        <v/>
      </c>
      <c r="H2008" s="117">
        <f t="shared" si="1"/>
        <v>0</v>
      </c>
      <c r="I2008" s="117">
        <f t="shared" si="2"/>
        <v>5</v>
      </c>
      <c r="J2008" s="117">
        <f t="shared" si="3"/>
        <v>5.1299999999999972</v>
      </c>
      <c r="K2008" s="117" t="str">
        <f t="shared" si="4"/>
        <v>T</v>
      </c>
      <c r="L2008" s="42" t="str">
        <v>T0513</v>
      </c>
      <c r="M2008" s="121" t="str">
        <v/>
      </c>
      <c r="N2008" s="121" t="str">
        <v/>
      </c>
      <c r="O2008" s="121" t="str">
        <v/>
      </c>
      <c r="P2008" s="121" t="str">
        <v/>
      </c>
      <c r="Q2008" s="121" t="str">
        <v/>
      </c>
      <c r="R2008" s="121" t="str">
        <v>The selling price (incl) of a product/service, with the applicable VAT deducted.</v>
      </c>
      <c r="S2008" s="121" t="str">
        <v/>
      </c>
      <c r="T2008" s="119" t="str">
        <f>IF($C2008&lt;4,IF($C2008=3,T2009,IF($C2008=2,T$1,"")),Q2008&amp;R2008&amp;IF(LEN(S2008)=0,"",Preferences!$C$2&amp;S2008)&amp;IF(J2009=J2008,IF(LEN(R2008&amp;S2008)=0,"","
")&amp;T2009,""))</f>
        <v>The selling price (incl) of a product/service, with the applicable VAT deducted.</v>
      </c>
      <c r="U2008" s="122" t="str">
        <v/>
      </c>
      <c r="V2008" s="42"/>
      <c r="W2008" s="42"/>
      <c r="X2008" s="42"/>
      <c r="Y2008" s="42"/>
      <c r="Z2008" s="42"/>
      <c r="AA2008" s="42"/>
      <c r="AB2008" s="42"/>
    </row>
    <row r="2009" spans="1:28" x14ac:dyDescent="0.25">
      <c r="A2009" s="42" t="str">
        <v>6.5.14</v>
      </c>
      <c r="B2009" s="121" t="str">
        <v>5.14 Promotional Price</v>
      </c>
      <c r="C2009" s="41">
        <v>3</v>
      </c>
      <c r="D2009" s="41" t="str">
        <v>R</v>
      </c>
      <c r="E2009" s="117" t="str">
        <f t="shared" si="0"/>
        <v>R</v>
      </c>
      <c r="F2009" s="41" t="str">
        <v/>
      </c>
      <c r="G2009" s="41" t="str">
        <v/>
      </c>
      <c r="H2009" s="117">
        <f t="shared" si="1"/>
        <v>0</v>
      </c>
      <c r="I2009" s="117">
        <f t="shared" si="2"/>
        <v>5</v>
      </c>
      <c r="J2009" s="117">
        <f t="shared" si="3"/>
        <v>5.139999999999997</v>
      </c>
      <c r="K2009" s="117" t="str">
        <f t="shared" si="4"/>
        <v>T</v>
      </c>
      <c r="L2009" s="42" t="str">
        <v>T0514</v>
      </c>
      <c r="M2009" s="121" t="str">
        <v/>
      </c>
      <c r="N2009" s="121" t="str">
        <v/>
      </c>
      <c r="O2009" s="121" t="str">
        <v>T0514</v>
      </c>
      <c r="P2009" s="121" t="str">
        <v>Promotional Price</v>
      </c>
      <c r="Q2009" s="121" t="str">
        <v/>
      </c>
      <c r="R2009" s="121" t="str">
        <v/>
      </c>
      <c r="S2009" s="121" t="str">
        <v/>
      </c>
      <c r="T2009" s="119" t="str">
        <f>IF($C2009&lt;4,IF($C2009=3,T2010,IF($C2009=2,T$1,"")),Q2009&amp;R2009&amp;IF(LEN(S2009)=0,"",Preferences!$C$2&amp;S2009)&amp;IF(J2010=J2009,IF(LEN(R2009&amp;S2009)=0,"","
")&amp;T2010,""))</f>
        <v>A temporary price (VAT inclusive) at which a product/service is to be sold, while that promotion is valid.</v>
      </c>
      <c r="U2009" s="122" t="str">
        <v/>
      </c>
      <c r="V2009" s="42"/>
      <c r="W2009" s="42"/>
      <c r="X2009" s="42"/>
      <c r="Y2009" s="42"/>
      <c r="Z2009" s="42"/>
      <c r="AA2009" s="42"/>
      <c r="AB2009" s="42"/>
    </row>
    <row r="2010" spans="1:28" x14ac:dyDescent="0.25">
      <c r="A2010" s="42" t="str">
        <v>6.5.14.1</v>
      </c>
      <c r="B2010" s="121" t="str">
        <v>A temporary price (VAT inclusive) at which a product/service is to be sold, while that promotion is valid.</v>
      </c>
      <c r="C2010" s="41">
        <v>4</v>
      </c>
      <c r="D2010" s="41" t="str">
        <v>RD</v>
      </c>
      <c r="E2010" s="117" t="str">
        <f t="shared" si="0"/>
        <v>RD</v>
      </c>
      <c r="F2010" s="41" t="str">
        <v/>
      </c>
      <c r="G2010" s="41" t="str">
        <v/>
      </c>
      <c r="H2010" s="117">
        <f t="shared" si="1"/>
        <v>0</v>
      </c>
      <c r="I2010" s="117">
        <f t="shared" si="2"/>
        <v>5</v>
      </c>
      <c r="J2010" s="117">
        <f t="shared" si="3"/>
        <v>5.139999999999997</v>
      </c>
      <c r="K2010" s="117" t="str">
        <f t="shared" si="4"/>
        <v>T</v>
      </c>
      <c r="L2010" s="42" t="str">
        <v>T0514</v>
      </c>
      <c r="M2010" s="121" t="str">
        <v/>
      </c>
      <c r="N2010" s="121" t="str">
        <v/>
      </c>
      <c r="O2010" s="121" t="str">
        <v/>
      </c>
      <c r="P2010" s="121" t="str">
        <v/>
      </c>
      <c r="Q2010" s="121" t="str">
        <v/>
      </c>
      <c r="R2010" s="121" t="str">
        <v>A temporary price (VAT inclusive) at which a product/service is to be sold, while that promotion is valid.</v>
      </c>
      <c r="S2010" s="121" t="str">
        <v/>
      </c>
      <c r="T2010" s="119" t="str">
        <f>IF($C2010&lt;4,IF($C2010=3,T2011,IF($C2010=2,T$1,"")),Q2010&amp;R2010&amp;IF(LEN(S2010)=0,"",Preferences!$C$2&amp;S2010)&amp;IF(J2011=J2010,IF(LEN(R2010&amp;S2010)=0,"","
")&amp;T2011,""))</f>
        <v>A temporary price (VAT inclusive) at which a product/service is to be sold, while that promotion is valid.</v>
      </c>
      <c r="U2010" s="122" t="str">
        <v/>
      </c>
      <c r="V2010" s="42"/>
      <c r="W2010" s="42"/>
      <c r="X2010" s="42"/>
      <c r="Y2010" s="42"/>
      <c r="Z2010" s="42"/>
      <c r="AA2010" s="42"/>
      <c r="AB2010" s="42"/>
    </row>
    <row r="2011" spans="1:28" x14ac:dyDescent="0.25">
      <c r="A2011" s="42" t="str">
        <v>6.5.15</v>
      </c>
      <c r="B2011" s="121" t="str">
        <v>5.15 Price Of The Day / Ruling Price</v>
      </c>
      <c r="C2011" s="41">
        <v>3</v>
      </c>
      <c r="D2011" s="41" t="str">
        <v>R</v>
      </c>
      <c r="E2011" s="117" t="str">
        <f t="shared" si="0"/>
        <v>R</v>
      </c>
      <c r="F2011" s="41" t="str">
        <v/>
      </c>
      <c r="G2011" s="41" t="str">
        <v/>
      </c>
      <c r="H2011" s="117">
        <f t="shared" si="1"/>
        <v>0</v>
      </c>
      <c r="I2011" s="117">
        <f t="shared" si="2"/>
        <v>5</v>
      </c>
      <c r="J2011" s="117">
        <f t="shared" si="3"/>
        <v>5.1499999999999968</v>
      </c>
      <c r="K2011" s="117" t="str">
        <f t="shared" si="4"/>
        <v>T</v>
      </c>
      <c r="L2011" s="42" t="str">
        <v>T0515</v>
      </c>
      <c r="M2011" s="121" t="str">
        <v/>
      </c>
      <c r="N2011" s="121" t="str">
        <v/>
      </c>
      <c r="O2011" s="121" t="str">
        <v>T0515</v>
      </c>
      <c r="P2011" s="121" t="str">
        <v>Price Of The Day / Ruling Price</v>
      </c>
      <c r="Q2011" s="121" t="str">
        <v/>
      </c>
      <c r="R2011" s="121" t="str">
        <v/>
      </c>
      <c r="S2011" s="121" t="str">
        <v/>
      </c>
      <c r="T2011" s="119" t="str">
        <f>IF($C2011&lt;4,IF($C2011=3,T2012,IF($C2011=2,T$1,"")),Q2011&amp;R2011&amp;IF(LEN(S2011)=0,"",Preferences!$C$2&amp;S2011)&amp;IF(J2012=J2011,IF(LEN(R2011&amp;S2011)=0,"","
")&amp;T2012,""))</f>
        <v>The effective selling price for a product/service at a given time and date, derived by overriding the selling price (incl) with the latest-starting promotional price.</v>
      </c>
      <c r="U2011" s="122" t="str">
        <v/>
      </c>
      <c r="V2011" s="42"/>
      <c r="W2011" s="42"/>
      <c r="X2011" s="42"/>
      <c r="Y2011" s="42"/>
      <c r="Z2011" s="42"/>
      <c r="AA2011" s="42"/>
      <c r="AB2011" s="42"/>
    </row>
    <row r="2012" spans="1:28" x14ac:dyDescent="0.25">
      <c r="A2012" s="42" t="str">
        <v>6.5.15.1</v>
      </c>
      <c r="B2012" s="121" t="str">
        <v>The effective selling price for a product/service at a given time and date, derived by overriding the selling price (incl) with the latest-starting promotional price.</v>
      </c>
      <c r="C2012" s="41">
        <v>4</v>
      </c>
      <c r="D2012" s="41" t="str">
        <v>RD</v>
      </c>
      <c r="E2012" s="117" t="str">
        <f t="shared" si="0"/>
        <v>RD</v>
      </c>
      <c r="F2012" s="41" t="str">
        <v/>
      </c>
      <c r="G2012" s="41" t="str">
        <v/>
      </c>
      <c r="H2012" s="117">
        <f t="shared" si="1"/>
        <v>0</v>
      </c>
      <c r="I2012" s="117">
        <f t="shared" si="2"/>
        <v>5</v>
      </c>
      <c r="J2012" s="117">
        <f t="shared" si="3"/>
        <v>5.1499999999999968</v>
      </c>
      <c r="K2012" s="117" t="str">
        <f t="shared" si="4"/>
        <v>T</v>
      </c>
      <c r="L2012" s="42" t="str">
        <v>T0515</v>
      </c>
      <c r="M2012" s="121" t="str">
        <v/>
      </c>
      <c r="N2012" s="121" t="str">
        <v/>
      </c>
      <c r="O2012" s="121" t="str">
        <v/>
      </c>
      <c r="P2012" s="121" t="str">
        <v/>
      </c>
      <c r="Q2012" s="121" t="str">
        <v/>
      </c>
      <c r="R2012" s="121" t="str">
        <v>The effective selling price for a product/service at a given time and date, derived by overriding the selling price (incl) with the latest-starting promotional price.</v>
      </c>
      <c r="S2012" s="121" t="str">
        <v/>
      </c>
      <c r="T2012" s="119" t="str">
        <f>IF($C2012&lt;4,IF($C2012=3,T2013,IF($C2012=2,T$1,"")),Q2012&amp;R2012&amp;IF(LEN(S2012)=0,"",Preferences!$C$2&amp;S2012)&amp;IF(J2013=J2012,IF(LEN(R2012&amp;S2012)=0,"","
")&amp;T2013,""))</f>
        <v>The effective selling price for a product/service at a given time and date, derived by overriding the selling price (incl) with the latest-starting promotional price.</v>
      </c>
      <c r="U2012" s="122" t="str">
        <v/>
      </c>
      <c r="V2012" s="42"/>
      <c r="W2012" s="42"/>
      <c r="X2012" s="42"/>
      <c r="Y2012" s="42"/>
      <c r="Z2012" s="42"/>
      <c r="AA2012" s="42"/>
      <c r="AB2012" s="42"/>
    </row>
    <row r="2013" spans="1:28" x14ac:dyDescent="0.25">
      <c r="A2013" s="42" t="str">
        <v>6.6</v>
      </c>
      <c r="B2013" s="121" t="str">
        <v>6 Special Content</v>
      </c>
      <c r="C2013" s="41">
        <v>2</v>
      </c>
      <c r="D2013" s="41" t="str">
        <v>RS</v>
      </c>
      <c r="E2013" s="117" t="str">
        <f t="shared" si="0"/>
        <v>RS</v>
      </c>
      <c r="F2013" s="41" t="str">
        <v/>
      </c>
      <c r="G2013" s="41" t="str">
        <v/>
      </c>
      <c r="H2013" s="117">
        <f t="shared" si="1"/>
        <v>0</v>
      </c>
      <c r="I2013" s="117">
        <f t="shared" si="2"/>
        <v>6</v>
      </c>
      <c r="J2013" s="117">
        <f t="shared" si="3"/>
        <v>6</v>
      </c>
      <c r="K2013" s="117" t="str">
        <f t="shared" si="4"/>
        <v>T</v>
      </c>
      <c r="L2013" s="42">
        <v>6</v>
      </c>
      <c r="M2013" s="121" t="str">
        <v/>
      </c>
      <c r="N2013" s="121" t="str">
        <v>6 Special Content</v>
      </c>
      <c r="O2013" s="121" t="str">
        <v>ReqID</v>
      </c>
      <c r="P2013" s="121" t="e">
        <v>#N/A</v>
      </c>
      <c r="Q2013" s="121" t="str">
        <v/>
      </c>
      <c r="R2013" s="121" t="str">
        <v/>
      </c>
      <c r="S2013" s="121" t="str">
        <v/>
      </c>
      <c r="T2013" s="119" t="str">
        <f>IF($C2013&lt;4,IF($C2013=3,T2014,IF($C2013=2,T$1,"")),Q2013&amp;R2013&amp;IF(LEN(S2013)=0,"",Preferences!$C$2&amp;S2013)&amp;IF(J2014=J2013,IF(LEN(R2013&amp;S2013)=0,"","
")&amp;T2014,""))</f>
        <v>Description</v>
      </c>
      <c r="U2013" s="122" t="str">
        <v/>
      </c>
      <c r="V2013" s="42"/>
      <c r="W2013" s="42"/>
      <c r="X2013" s="42"/>
      <c r="Y2013" s="42"/>
      <c r="Z2013" s="42"/>
      <c r="AA2013" s="42"/>
      <c r="AB2013" s="42"/>
    </row>
    <row r="2014" spans="1:28" x14ac:dyDescent="0.25">
      <c r="A2014" s="42" t="str">
        <v>6.6.1</v>
      </c>
      <c r="B2014" s="121" t="str">
        <v>6.1 Special Content</v>
      </c>
      <c r="C2014" s="41">
        <v>3</v>
      </c>
      <c r="D2014" s="41" t="str">
        <v>R</v>
      </c>
      <c r="E2014" s="117" t="str">
        <f t="shared" si="0"/>
        <v>R</v>
      </c>
      <c r="F2014" s="41" t="str">
        <v/>
      </c>
      <c r="G2014" s="41" t="str">
        <v/>
      </c>
      <c r="H2014" s="117">
        <f t="shared" si="1"/>
        <v>0</v>
      </c>
      <c r="I2014" s="117">
        <f t="shared" si="2"/>
        <v>6</v>
      </c>
      <c r="J2014" s="117">
        <f t="shared" si="3"/>
        <v>6.01</v>
      </c>
      <c r="K2014" s="117" t="str">
        <f t="shared" si="4"/>
        <v>T</v>
      </c>
      <c r="L2014" s="42" t="str">
        <v>T0601</v>
      </c>
      <c r="M2014" s="121" t="str">
        <v/>
      </c>
      <c r="N2014" s="121" t="str">
        <v/>
      </c>
      <c r="O2014" s="121" t="str">
        <v>T0601</v>
      </c>
      <c r="P2014" s="121" t="str">
        <v>Special Content</v>
      </c>
      <c r="Q2014" s="121" t="str">
        <v/>
      </c>
      <c r="R2014" s="121" t="str">
        <v/>
      </c>
      <c r="S2014" s="121" t="str">
        <v/>
      </c>
      <c r="T2014" s="119" t="str">
        <f>IF($C2014&lt;4,IF($C2014=3,T2015,IF($C2014=2,T$1,"")),Q2014&amp;R2014&amp;IF(LEN(S2014)=0,"",Preferences!$C$2&amp;S2014)&amp;IF(J2015=J2014,IF(LEN(R2014&amp;S2014)=0,"","
")&amp;T2015,""))</f>
        <v>Content being presented on the website as value-add information for customers. It may be in the form of an article, or a checklist.
All special content has publishing and customer-relevance criteria assigned, used to ensure it is presented to relevant customers.</v>
      </c>
      <c r="U2014" s="122" t="str">
        <v/>
      </c>
      <c r="V2014" s="42"/>
      <c r="W2014" s="42"/>
      <c r="X2014" s="42"/>
      <c r="Y2014" s="42"/>
      <c r="Z2014" s="42"/>
      <c r="AA2014" s="42"/>
      <c r="AB2014" s="42"/>
    </row>
    <row r="2015" spans="1:28" x14ac:dyDescent="0.25">
      <c r="A2015" s="42" t="str">
        <v>6.6.1.1</v>
      </c>
      <c r="B2015" s="121" t="str">
        <v>Content being presented on the website as value-add information for customers. It may be in the form of an article, or a checklist.</v>
      </c>
      <c r="C2015" s="41">
        <v>4</v>
      </c>
      <c r="D2015" s="41" t="str">
        <v>RD</v>
      </c>
      <c r="E2015" s="117" t="str">
        <f t="shared" si="0"/>
        <v>RD</v>
      </c>
      <c r="F2015" s="41" t="str">
        <v/>
      </c>
      <c r="G2015" s="41" t="str">
        <v/>
      </c>
      <c r="H2015" s="117">
        <f t="shared" si="1"/>
        <v>0</v>
      </c>
      <c r="I2015" s="117">
        <f t="shared" si="2"/>
        <v>6</v>
      </c>
      <c r="J2015" s="117">
        <f t="shared" si="3"/>
        <v>6.01</v>
      </c>
      <c r="K2015" s="117" t="str">
        <f t="shared" si="4"/>
        <v>T</v>
      </c>
      <c r="L2015" s="42" t="str">
        <v>T0601</v>
      </c>
      <c r="M2015" s="121" t="str">
        <v/>
      </c>
      <c r="N2015" s="121" t="str">
        <v/>
      </c>
      <c r="O2015" s="121" t="str">
        <v/>
      </c>
      <c r="P2015" s="121" t="str">
        <v/>
      </c>
      <c r="Q2015" s="121" t="str">
        <v/>
      </c>
      <c r="R2015" s="121" t="str">
        <v>Content being presented on the website as value-add information for customers. It may be in the form of an article, or a checklist.</v>
      </c>
      <c r="S2015" s="121" t="str">
        <v/>
      </c>
      <c r="T2015" s="119" t="str">
        <f>IF($C2015&lt;4,IF($C2015=3,T2016,IF($C2015=2,T$1,"")),Q2015&amp;R2015&amp;IF(LEN(S2015)=0,"",Preferences!$C$2&amp;S2015)&amp;IF(J2016=J2015,IF(LEN(R2015&amp;S2015)=0,"","
")&amp;T2016,""))</f>
        <v>Content being presented on the website as value-add information for customers. It may be in the form of an article, or a checklist.
All special content has publishing and customer-relevance criteria assigned, used to ensure it is presented to relevant customers.</v>
      </c>
      <c r="U2015" s="122" t="str">
        <v/>
      </c>
      <c r="V2015" s="42"/>
      <c r="W2015" s="42"/>
      <c r="X2015" s="42"/>
      <c r="Y2015" s="42"/>
      <c r="Z2015" s="42"/>
      <c r="AA2015" s="42"/>
      <c r="AB2015" s="42"/>
    </row>
    <row r="2016" spans="1:28" x14ac:dyDescent="0.25">
      <c r="A2016" s="42" t="str">
        <v>6.6.1.2</v>
      </c>
      <c r="B2016" s="121" t="str">
        <v>All special content has publishing and customer-relevance criteria assigned, used to ensure it is presented to relevant customers.</v>
      </c>
      <c r="C2016" s="41">
        <v>4</v>
      </c>
      <c r="D2016" s="41" t="str">
        <v>RD</v>
      </c>
      <c r="E2016" s="117" t="str">
        <f t="shared" si="0"/>
        <v>RD</v>
      </c>
      <c r="F2016" s="41" t="str">
        <v/>
      </c>
      <c r="G2016" s="41" t="str">
        <v/>
      </c>
      <c r="H2016" s="117">
        <f t="shared" si="1"/>
        <v>0</v>
      </c>
      <c r="I2016" s="117">
        <f t="shared" si="2"/>
        <v>6</v>
      </c>
      <c r="J2016" s="117">
        <f t="shared" si="3"/>
        <v>6.01</v>
      </c>
      <c r="K2016" s="117" t="str">
        <f t="shared" si="4"/>
        <v>T</v>
      </c>
      <c r="L2016" s="42" t="str">
        <v>T0601</v>
      </c>
      <c r="M2016" s="121" t="str">
        <v/>
      </c>
      <c r="N2016" s="121" t="str">
        <v/>
      </c>
      <c r="O2016" s="121" t="str">
        <v/>
      </c>
      <c r="P2016" s="121" t="str">
        <v/>
      </c>
      <c r="Q2016" s="121" t="str">
        <v/>
      </c>
      <c r="R2016" s="121" t="str">
        <v>All special content has publishing and customer-relevance criteria assigned, used to ensure it is presented to relevant customers.</v>
      </c>
      <c r="S2016" s="121" t="str">
        <v/>
      </c>
      <c r="T2016" s="119" t="str">
        <f>IF($C2016&lt;4,IF($C2016=3,T2017,IF($C2016=2,T$1,"")),Q2016&amp;R2016&amp;IF(LEN(S2016)=0,"",Preferences!$C$2&amp;S2016)&amp;IF(J2017=J2016,IF(LEN(R2016&amp;S2016)=0,"","
")&amp;T2017,""))</f>
        <v>All special content has publishing and customer-relevance criteria assigned, used to ensure it is presented to relevant customers.</v>
      </c>
      <c r="U2016" s="122" t="str">
        <v/>
      </c>
      <c r="V2016" s="42"/>
      <c r="W2016" s="42"/>
      <c r="X2016" s="42"/>
      <c r="Y2016" s="42"/>
      <c r="Z2016" s="42"/>
      <c r="AA2016" s="42"/>
      <c r="AB2016" s="42"/>
    </row>
    <row r="2017" spans="1:28" x14ac:dyDescent="0.25">
      <c r="A2017" s="42" t="str">
        <v>6.6.2</v>
      </c>
      <c r="B2017" s="121" t="str">
        <v>6.2 Article</v>
      </c>
      <c r="C2017" s="41">
        <v>3</v>
      </c>
      <c r="D2017" s="41" t="str">
        <v>R</v>
      </c>
      <c r="E2017" s="117" t="str">
        <f t="shared" si="0"/>
        <v>R</v>
      </c>
      <c r="F2017" s="41" t="str">
        <v/>
      </c>
      <c r="G2017" s="41" t="str">
        <v/>
      </c>
      <c r="H2017" s="117">
        <f t="shared" si="1"/>
        <v>0</v>
      </c>
      <c r="I2017" s="117">
        <f t="shared" si="2"/>
        <v>6</v>
      </c>
      <c r="J2017" s="117">
        <f t="shared" si="3"/>
        <v>6.02</v>
      </c>
      <c r="K2017" s="117" t="str">
        <f t="shared" si="4"/>
        <v>T</v>
      </c>
      <c r="L2017" s="42" t="str">
        <v>T0602</v>
      </c>
      <c r="M2017" s="121" t="str">
        <v/>
      </c>
      <c r="N2017" s="121" t="str">
        <v/>
      </c>
      <c r="O2017" s="121" t="str">
        <v>T0602</v>
      </c>
      <c r="P2017" s="121" t="str">
        <v>Article</v>
      </c>
      <c r="Q2017" s="121" t="str">
        <v/>
      </c>
      <c r="R2017" s="121" t="str">
        <v/>
      </c>
      <c r="S2017" s="121" t="str">
        <v/>
      </c>
      <c r="T2017" s="119" t="str">
        <f>IF($C2017&lt;4,IF($C2017=3,T2018,IF($C2017=2,T$1,"")),Q2017&amp;R2017&amp;IF(LEN(S2017)=0,"",Preferences!$C$2&amp;S2017)&amp;IF(J2018=J2017,IF(LEN(R2017&amp;S2017)=0,"","
")&amp;T2018,""))</f>
        <v>An article contains formatted text and images that support the article topic.</v>
      </c>
      <c r="U2017" s="122" t="str">
        <v/>
      </c>
      <c r="V2017" s="42"/>
      <c r="W2017" s="42"/>
      <c r="X2017" s="42"/>
      <c r="Y2017" s="42"/>
      <c r="Z2017" s="42"/>
      <c r="AA2017" s="42"/>
      <c r="AB2017" s="42"/>
    </row>
    <row r="2018" spans="1:28" x14ac:dyDescent="0.25">
      <c r="A2018" s="42" t="str">
        <v>6.6.2.1</v>
      </c>
      <c r="B2018" s="121" t="str">
        <v>An article contains formatted text and images that support the article topic.</v>
      </c>
      <c r="C2018" s="41">
        <v>4</v>
      </c>
      <c r="D2018" s="41" t="str">
        <v>RD</v>
      </c>
      <c r="E2018" s="117" t="str">
        <f t="shared" si="0"/>
        <v>RD</v>
      </c>
      <c r="F2018" s="41" t="str">
        <v/>
      </c>
      <c r="G2018" s="41" t="str">
        <v/>
      </c>
      <c r="H2018" s="117">
        <f t="shared" si="1"/>
        <v>0</v>
      </c>
      <c r="I2018" s="117">
        <f t="shared" si="2"/>
        <v>6</v>
      </c>
      <c r="J2018" s="117">
        <f t="shared" si="3"/>
        <v>6.02</v>
      </c>
      <c r="K2018" s="117" t="str">
        <f t="shared" si="4"/>
        <v>T</v>
      </c>
      <c r="L2018" s="42" t="str">
        <v>T0602</v>
      </c>
      <c r="M2018" s="121" t="str">
        <v/>
      </c>
      <c r="N2018" s="121" t="str">
        <v/>
      </c>
      <c r="O2018" s="121" t="str">
        <v/>
      </c>
      <c r="P2018" s="121" t="str">
        <v/>
      </c>
      <c r="Q2018" s="121" t="str">
        <v/>
      </c>
      <c r="R2018" s="121" t="str">
        <v>An article contains formatted text and images that support the article topic.</v>
      </c>
      <c r="S2018" s="121" t="str">
        <v/>
      </c>
      <c r="T2018" s="119" t="str">
        <f>IF($C2018&lt;4,IF($C2018=3,T2019,IF($C2018=2,T$1,"")),Q2018&amp;R2018&amp;IF(LEN(S2018)=0,"",Preferences!$C$2&amp;S2018)&amp;IF(J2019=J2018,IF(LEN(R2018&amp;S2018)=0,"","
")&amp;T2019,""))</f>
        <v>An article contains formatted text and images that support the article topic.</v>
      </c>
      <c r="U2018" s="122" t="str">
        <v/>
      </c>
      <c r="V2018" s="42"/>
      <c r="W2018" s="42"/>
      <c r="X2018" s="42"/>
      <c r="Y2018" s="42"/>
      <c r="Z2018" s="42"/>
      <c r="AA2018" s="42"/>
      <c r="AB2018" s="42"/>
    </row>
    <row r="2019" spans="1:28" x14ac:dyDescent="0.25">
      <c r="A2019" s="42" t="str">
        <v>6.6.3</v>
      </c>
      <c r="B2019" s="121" t="str">
        <v>6.3 Checklist</v>
      </c>
      <c r="C2019" s="41">
        <v>3</v>
      </c>
      <c r="D2019" s="41" t="str">
        <v>R</v>
      </c>
      <c r="E2019" s="117" t="str">
        <f t="shared" si="0"/>
        <v>R</v>
      </c>
      <c r="F2019" s="41" t="str">
        <v/>
      </c>
      <c r="G2019" s="41" t="str">
        <v/>
      </c>
      <c r="H2019" s="117">
        <f t="shared" si="1"/>
        <v>0</v>
      </c>
      <c r="I2019" s="117">
        <f t="shared" si="2"/>
        <v>6</v>
      </c>
      <c r="J2019" s="117">
        <f t="shared" si="3"/>
        <v>6.0299999999999994</v>
      </c>
      <c r="K2019" s="117" t="str">
        <f t="shared" si="4"/>
        <v>T</v>
      </c>
      <c r="L2019" s="42" t="str">
        <v>T0603</v>
      </c>
      <c r="M2019" s="121" t="str">
        <v/>
      </c>
      <c r="N2019" s="121" t="str">
        <v/>
      </c>
      <c r="O2019" s="121" t="str">
        <v>T0603</v>
      </c>
      <c r="P2019" s="121" t="str">
        <v>Checklist</v>
      </c>
      <c r="Q2019" s="121" t="str">
        <v/>
      </c>
      <c r="R2019" s="121" t="str">
        <v/>
      </c>
      <c r="S2019" s="121" t="str">
        <v/>
      </c>
      <c r="T2019" s="119" t="str">
        <f>IF($C2019&lt;4,IF($C2019=3,T2020,IF($C2019=2,T$1,"")),Q2019&amp;R2019&amp;IF(LEN(S2019)=0,"",Preferences!$C$2&amp;S2019)&amp;IF(J2020=J2019,IF(LEN(R2019&amp;S2019)=0,"","
")&amp;T2020,""))</f>
        <v>A checklist is an article that also contains a specific list of products, product types and/or tasks that are relevant to that article.</v>
      </c>
      <c r="U2019" s="122" t="str">
        <v/>
      </c>
      <c r="V2019" s="42"/>
      <c r="W2019" s="42"/>
      <c r="X2019" s="42"/>
      <c r="Y2019" s="42"/>
      <c r="Z2019" s="42"/>
      <c r="AA2019" s="42"/>
      <c r="AB2019" s="42"/>
    </row>
    <row r="2020" spans="1:28" x14ac:dyDescent="0.25">
      <c r="A2020" s="42" t="str">
        <v>6.6.3.1</v>
      </c>
      <c r="B2020" s="121" t="str">
        <v>A checklist is an article that also contains a specific list of products, product types and/or tasks that are relevant to that article.</v>
      </c>
      <c r="C2020" s="41">
        <v>4</v>
      </c>
      <c r="D2020" s="41" t="str">
        <v>RD</v>
      </c>
      <c r="E2020" s="117" t="str">
        <f t="shared" si="0"/>
        <v>RD</v>
      </c>
      <c r="F2020" s="41" t="str">
        <v/>
      </c>
      <c r="G2020" s="41" t="str">
        <v/>
      </c>
      <c r="H2020" s="117">
        <f t="shared" si="1"/>
        <v>0</v>
      </c>
      <c r="I2020" s="117">
        <f t="shared" si="2"/>
        <v>6</v>
      </c>
      <c r="J2020" s="117">
        <f t="shared" si="3"/>
        <v>6.0299999999999994</v>
      </c>
      <c r="K2020" s="117" t="str">
        <f t="shared" si="4"/>
        <v>T</v>
      </c>
      <c r="L2020" s="42" t="str">
        <v>T0603</v>
      </c>
      <c r="M2020" s="121" t="str">
        <v/>
      </c>
      <c r="N2020" s="121" t="str">
        <v/>
      </c>
      <c r="O2020" s="121" t="str">
        <v/>
      </c>
      <c r="P2020" s="121" t="str">
        <v/>
      </c>
      <c r="Q2020" s="121" t="str">
        <v/>
      </c>
      <c r="R2020" s="121" t="str">
        <v>A checklist is an article that also contains a specific list of products, product types and/or tasks that are relevant to that article.</v>
      </c>
      <c r="S2020" s="121" t="str">
        <v/>
      </c>
      <c r="T2020" s="119" t="str">
        <f>IF($C2020&lt;4,IF($C2020=3,T2021,IF($C2020=2,T$1,"")),Q2020&amp;R2020&amp;IF(LEN(S2020)=0,"",Preferences!$C$2&amp;S2020)&amp;IF(J2021=J2020,IF(LEN(R2020&amp;S2020)=0,"","
")&amp;T2021,""))</f>
        <v>A checklist is an article that also contains a specific list of products, product types and/or tasks that are relevant to that article.</v>
      </c>
      <c r="U2020" s="122" t="str">
        <v/>
      </c>
      <c r="V2020" s="42"/>
      <c r="W2020" s="42"/>
      <c r="X2020" s="42"/>
      <c r="Y2020" s="42"/>
      <c r="Z2020" s="42"/>
      <c r="AA2020" s="42"/>
      <c r="AB2020" s="42"/>
    </row>
    <row r="2021" spans="1:28" x14ac:dyDescent="0.25">
      <c r="A2021" s="42" t="str">
        <v>6.6.4</v>
      </c>
      <c r="B2021" s="121" t="str">
        <v>6.4 Checklist task item</v>
      </c>
      <c r="C2021" s="41">
        <v>3</v>
      </c>
      <c r="D2021" s="41" t="str">
        <v>R</v>
      </c>
      <c r="E2021" s="117" t="str">
        <f t="shared" si="0"/>
        <v>R</v>
      </c>
      <c r="F2021" s="41" t="str">
        <v/>
      </c>
      <c r="G2021" s="41" t="str">
        <v/>
      </c>
      <c r="H2021" s="117">
        <f t="shared" si="1"/>
        <v>0</v>
      </c>
      <c r="I2021" s="117">
        <f t="shared" si="2"/>
        <v>6</v>
      </c>
      <c r="J2021" s="117">
        <f t="shared" si="3"/>
        <v>6.0399999999999991</v>
      </c>
      <c r="K2021" s="117" t="str">
        <f t="shared" si="4"/>
        <v>T</v>
      </c>
      <c r="L2021" s="42" t="str">
        <v>T0604</v>
      </c>
      <c r="M2021" s="121" t="str">
        <v/>
      </c>
      <c r="N2021" s="121" t="str">
        <v/>
      </c>
      <c r="O2021" s="121" t="str">
        <v>T0604</v>
      </c>
      <c r="P2021" s="121" t="str">
        <v>Checklist task item</v>
      </c>
      <c r="Q2021" s="121" t="str">
        <v/>
      </c>
      <c r="R2021" s="121" t="str">
        <v/>
      </c>
      <c r="S2021" s="121" t="str">
        <v/>
      </c>
      <c r="T2021" s="119" t="str">
        <f>IF($C2021&lt;4,IF($C2021=3,T2022,IF($C2021=2,T$1,"")),Q2021&amp;R2021&amp;IF(LEN(S2021)=0,"",Preferences!$C$2&amp;S2021)&amp;IF(J2022=J2021,IF(LEN(R2021&amp;S2021)=0,"","
")&amp;T2022,""))</f>
        <v>A checklist item with a subject and supporting explanatory text.</v>
      </c>
      <c r="U2021" s="122" t="str">
        <v/>
      </c>
      <c r="V2021" s="42"/>
      <c r="W2021" s="42"/>
      <c r="X2021" s="42"/>
      <c r="Y2021" s="42"/>
      <c r="Z2021" s="42"/>
      <c r="AA2021" s="42"/>
      <c r="AB2021" s="42"/>
    </row>
    <row r="2022" spans="1:28" x14ac:dyDescent="0.25">
      <c r="A2022" s="42" t="str">
        <v>6.6.4.1</v>
      </c>
      <c r="B2022" s="121" t="str">
        <v>A checklist item with a subject and supporting explanatory text.</v>
      </c>
      <c r="C2022" s="41">
        <v>4</v>
      </c>
      <c r="D2022" s="41" t="str">
        <v>RD</v>
      </c>
      <c r="E2022" s="117" t="str">
        <f t="shared" si="0"/>
        <v>RD</v>
      </c>
      <c r="F2022" s="41" t="str">
        <v/>
      </c>
      <c r="G2022" s="41" t="str">
        <v/>
      </c>
      <c r="H2022" s="117">
        <f t="shared" si="1"/>
        <v>0</v>
      </c>
      <c r="I2022" s="117">
        <f t="shared" si="2"/>
        <v>6</v>
      </c>
      <c r="J2022" s="117">
        <f t="shared" si="3"/>
        <v>6.0399999999999991</v>
      </c>
      <c r="K2022" s="117" t="str">
        <f t="shared" si="4"/>
        <v>T</v>
      </c>
      <c r="L2022" s="42" t="str">
        <v>T0604</v>
      </c>
      <c r="M2022" s="121" t="str">
        <v/>
      </c>
      <c r="N2022" s="121" t="str">
        <v/>
      </c>
      <c r="O2022" s="121" t="str">
        <v/>
      </c>
      <c r="P2022" s="121" t="str">
        <v/>
      </c>
      <c r="Q2022" s="121" t="str">
        <v/>
      </c>
      <c r="R2022" s="121" t="str">
        <v>A checklist item with a subject and supporting explanatory text.</v>
      </c>
      <c r="S2022" s="121" t="str">
        <v/>
      </c>
      <c r="T2022" s="119" t="str">
        <f>IF($C2022&lt;4,IF($C2022=3,T2023,IF($C2022=2,T$1,"")),Q2022&amp;R2022&amp;IF(LEN(S2022)=0,"",Preferences!$C$2&amp;S2022)&amp;IF(J2023=J2022,IF(LEN(R2022&amp;S2022)=0,"","
")&amp;T2023,""))</f>
        <v>A checklist item with a subject and supporting explanatory text.</v>
      </c>
      <c r="U2022" s="122" t="str">
        <v/>
      </c>
      <c r="V2022" s="42"/>
      <c r="W2022" s="42"/>
      <c r="X2022" s="42"/>
      <c r="Y2022" s="42"/>
      <c r="Z2022" s="42"/>
      <c r="AA2022" s="42"/>
      <c r="AB2022" s="42"/>
    </row>
    <row r="2023" spans="1:28" x14ac:dyDescent="0.25">
      <c r="A2023" s="42" t="str">
        <v>6.6.5</v>
      </c>
      <c r="B2023" s="121" t="str">
        <v>6.5 Checklist article item</v>
      </c>
      <c r="C2023" s="41">
        <v>3</v>
      </c>
      <c r="D2023" s="41" t="str">
        <v>R</v>
      </c>
      <c r="E2023" s="117" t="str">
        <f t="shared" si="0"/>
        <v>R</v>
      </c>
      <c r="F2023" s="41" t="str">
        <v/>
      </c>
      <c r="G2023" s="41" t="str">
        <v/>
      </c>
      <c r="H2023" s="117">
        <f t="shared" si="1"/>
        <v>0</v>
      </c>
      <c r="I2023" s="117">
        <f t="shared" si="2"/>
        <v>6</v>
      </c>
      <c r="J2023" s="117">
        <f t="shared" si="3"/>
        <v>6.0499999999999989</v>
      </c>
      <c r="K2023" s="117" t="str">
        <f t="shared" si="4"/>
        <v>T</v>
      </c>
      <c r="L2023" s="42" t="str">
        <v>T0605</v>
      </c>
      <c r="M2023" s="121" t="str">
        <v/>
      </c>
      <c r="N2023" s="121" t="str">
        <v/>
      </c>
      <c r="O2023" s="121" t="str">
        <v>T0605</v>
      </c>
      <c r="P2023" s="121" t="str">
        <v>Checklist article item</v>
      </c>
      <c r="Q2023" s="121" t="str">
        <v/>
      </c>
      <c r="R2023" s="121" t="str">
        <v/>
      </c>
      <c r="S2023" s="121" t="str">
        <v/>
      </c>
      <c r="T2023" s="119" t="str">
        <f>IF($C2023&lt;4,IF($C2023=3,T2024,IF($C2023=2,T$1,"")),Q2023&amp;R2023&amp;IF(LEN(S2023)=0,"",Preferences!$C$2&amp;S2023)&amp;IF(J2024=J2023,IF(LEN(R2023&amp;S2023)=0,"","
")&amp;T2024,""))</f>
        <v>A checklist task item with a link to a specific product.</v>
      </c>
      <c r="U2023" s="122" t="str">
        <v/>
      </c>
      <c r="V2023" s="42"/>
      <c r="W2023" s="42"/>
      <c r="X2023" s="42"/>
      <c r="Y2023" s="42"/>
      <c r="Z2023" s="42"/>
      <c r="AA2023" s="42"/>
      <c r="AB2023" s="42"/>
    </row>
    <row r="2024" spans="1:28" x14ac:dyDescent="0.25">
      <c r="A2024" s="42" t="str">
        <v>6.6.5.1</v>
      </c>
      <c r="B2024" s="121" t="str">
        <v>A checklist task item with a link to a specific product.</v>
      </c>
      <c r="C2024" s="41">
        <v>4</v>
      </c>
      <c r="D2024" s="41" t="str">
        <v>RD</v>
      </c>
      <c r="E2024" s="117" t="str">
        <f t="shared" si="0"/>
        <v>RD</v>
      </c>
      <c r="F2024" s="41" t="str">
        <v/>
      </c>
      <c r="G2024" s="41" t="str">
        <v/>
      </c>
      <c r="H2024" s="117">
        <f t="shared" si="1"/>
        <v>0</v>
      </c>
      <c r="I2024" s="117">
        <f t="shared" si="2"/>
        <v>6</v>
      </c>
      <c r="J2024" s="117">
        <f t="shared" si="3"/>
        <v>6.0499999999999989</v>
      </c>
      <c r="K2024" s="117" t="str">
        <f t="shared" si="4"/>
        <v>T</v>
      </c>
      <c r="L2024" s="42" t="str">
        <v>T0605</v>
      </c>
      <c r="M2024" s="121" t="str">
        <v/>
      </c>
      <c r="N2024" s="121" t="str">
        <v/>
      </c>
      <c r="O2024" s="121" t="str">
        <v/>
      </c>
      <c r="P2024" s="121" t="str">
        <v/>
      </c>
      <c r="Q2024" s="121" t="str">
        <v/>
      </c>
      <c r="R2024" s="121" t="str">
        <v>A checklist task item with a link to a specific product.</v>
      </c>
      <c r="S2024" s="121" t="str">
        <v/>
      </c>
      <c r="T2024" s="119" t="str">
        <f>IF($C2024&lt;4,IF($C2024=3,T2025,IF($C2024=2,T$1,"")),Q2024&amp;R2024&amp;IF(LEN(S2024)=0,"",Preferences!$C$2&amp;S2024)&amp;IF(J2025=J2024,IF(LEN(R2024&amp;S2024)=0,"","
")&amp;T2025,""))</f>
        <v>A checklist task item with a link to a specific product.</v>
      </c>
      <c r="U2024" s="122" t="str">
        <v/>
      </c>
      <c r="V2024" s="42"/>
      <c r="W2024" s="42"/>
      <c r="X2024" s="42"/>
      <c r="Y2024" s="42"/>
      <c r="Z2024" s="42"/>
      <c r="AA2024" s="42"/>
      <c r="AB2024" s="42"/>
    </row>
    <row r="2025" spans="1:28" x14ac:dyDescent="0.25">
      <c r="A2025" s="42" t="str">
        <v>6.6.6</v>
      </c>
      <c r="B2025" s="121" t="str">
        <v>6.6 Checklist article type item</v>
      </c>
      <c r="C2025" s="41">
        <v>3</v>
      </c>
      <c r="D2025" s="41" t="str">
        <v>R</v>
      </c>
      <c r="E2025" s="117" t="str">
        <f t="shared" si="0"/>
        <v>R</v>
      </c>
      <c r="F2025" s="41" t="str">
        <v/>
      </c>
      <c r="G2025" s="41" t="str">
        <v/>
      </c>
      <c r="H2025" s="117">
        <f t="shared" si="1"/>
        <v>0</v>
      </c>
      <c r="I2025" s="117">
        <f t="shared" si="2"/>
        <v>6</v>
      </c>
      <c r="J2025" s="117">
        <f t="shared" si="3"/>
        <v>6.0599999999999987</v>
      </c>
      <c r="K2025" s="117" t="str">
        <f t="shared" si="4"/>
        <v>T</v>
      </c>
      <c r="L2025" s="42" t="str">
        <v>T0606</v>
      </c>
      <c r="M2025" s="121" t="str">
        <v/>
      </c>
      <c r="N2025" s="121" t="str">
        <v/>
      </c>
      <c r="O2025" s="121" t="str">
        <v>T0606</v>
      </c>
      <c r="P2025" s="121" t="str">
        <v>Checklist article type item</v>
      </c>
      <c r="Q2025" s="121" t="str">
        <v/>
      </c>
      <c r="R2025" s="121" t="str">
        <v/>
      </c>
      <c r="S2025" s="121" t="str">
        <v/>
      </c>
      <c r="T2025" s="119" t="str">
        <f>IF($C2025&lt;4,IF($C2025=3,T2026,IF($C2025=2,T$1,"")),Q2025&amp;R2025&amp;IF(LEN(S2025)=0,"",Preferences!$C$2&amp;S2025)&amp;IF(J2026=J2025,IF(LEN(R2025&amp;S2025)=0,"","
")&amp;T2026,""))</f>
        <v>A checklist task item with a link to perform a pre-defined search.</v>
      </c>
      <c r="U2025" s="122" t="str">
        <v/>
      </c>
      <c r="V2025" s="42"/>
      <c r="W2025" s="42"/>
      <c r="X2025" s="42"/>
      <c r="Y2025" s="42"/>
      <c r="Z2025" s="42"/>
      <c r="AA2025" s="42"/>
      <c r="AB2025" s="42"/>
    </row>
    <row r="2026" spans="1:28" x14ac:dyDescent="0.25">
      <c r="A2026" s="42" t="str">
        <v>6.6.6.1</v>
      </c>
      <c r="B2026" s="121" t="str">
        <v>A checklist task item with a link to perform a pre-defined search.</v>
      </c>
      <c r="C2026" s="41">
        <v>4</v>
      </c>
      <c r="D2026" s="41" t="str">
        <v>RD</v>
      </c>
      <c r="E2026" s="117" t="str">
        <f t="shared" si="0"/>
        <v>RD</v>
      </c>
      <c r="F2026" s="41" t="str">
        <v/>
      </c>
      <c r="G2026" s="41" t="str">
        <v/>
      </c>
      <c r="H2026" s="117">
        <f t="shared" si="1"/>
        <v>0</v>
      </c>
      <c r="I2026" s="117">
        <f t="shared" si="2"/>
        <v>6</v>
      </c>
      <c r="J2026" s="117">
        <f t="shared" si="3"/>
        <v>6.0599999999999987</v>
      </c>
      <c r="K2026" s="117" t="str">
        <f t="shared" si="4"/>
        <v>T</v>
      </c>
      <c r="L2026" s="42" t="str">
        <v>T0606</v>
      </c>
      <c r="M2026" s="121" t="str">
        <v/>
      </c>
      <c r="N2026" s="121" t="str">
        <v/>
      </c>
      <c r="O2026" s="121" t="str">
        <v/>
      </c>
      <c r="P2026" s="121" t="str">
        <v/>
      </c>
      <c r="Q2026" s="121" t="str">
        <v/>
      </c>
      <c r="R2026" s="121" t="str">
        <v>A checklist task item with a link to perform a pre-defined search.</v>
      </c>
      <c r="S2026" s="121" t="str">
        <v/>
      </c>
      <c r="T2026" s="119" t="str">
        <f>IF($C2026&lt;4,IF($C2026=3,T2027,IF($C2026=2,T$1,"")),Q2026&amp;R2026&amp;IF(LEN(S2026)=0,"",Preferences!$C$2&amp;S2026)&amp;IF(J2027=J2026,IF(LEN(R2026&amp;S2026)=0,"","
")&amp;T2027,""))</f>
        <v>A checklist task item with a link to perform a pre-defined search.</v>
      </c>
      <c r="U2026" s="122" t="str">
        <v/>
      </c>
      <c r="V2026" s="42"/>
      <c r="W2026" s="42"/>
      <c r="X2026" s="42"/>
      <c r="Y2026" s="42"/>
      <c r="Z2026" s="42"/>
      <c r="AA2026" s="42"/>
      <c r="AB2026" s="42"/>
    </row>
    <row r="2027" spans="1:28" x14ac:dyDescent="0.25">
      <c r="A2027" s="42" t="str">
        <v>6.7</v>
      </c>
      <c r="B2027" s="121" t="str">
        <v>7 Technology</v>
      </c>
      <c r="C2027" s="41">
        <v>2</v>
      </c>
      <c r="D2027" s="41" t="str">
        <v>RS</v>
      </c>
      <c r="E2027" s="117" t="str">
        <f t="shared" si="0"/>
        <v>RS</v>
      </c>
      <c r="F2027" s="41" t="str">
        <v/>
      </c>
      <c r="G2027" s="41" t="str">
        <v/>
      </c>
      <c r="H2027" s="117">
        <f t="shared" si="1"/>
        <v>0</v>
      </c>
      <c r="I2027" s="117">
        <f t="shared" si="2"/>
        <v>7</v>
      </c>
      <c r="J2027" s="117">
        <f t="shared" si="3"/>
        <v>7</v>
      </c>
      <c r="K2027" s="117" t="str">
        <f t="shared" si="4"/>
        <v>T</v>
      </c>
      <c r="L2027" s="42">
        <v>7</v>
      </c>
      <c r="M2027" s="121" t="str">
        <v/>
      </c>
      <c r="N2027" s="121" t="str">
        <v>7 Technology</v>
      </c>
      <c r="O2027" s="121" t="str">
        <v>ReqID</v>
      </c>
      <c r="P2027" s="121" t="e">
        <v>#N/A</v>
      </c>
      <c r="Q2027" s="121" t="str">
        <v/>
      </c>
      <c r="R2027" s="121" t="str">
        <v/>
      </c>
      <c r="S2027" s="121" t="str">
        <v/>
      </c>
      <c r="T2027" s="119" t="str">
        <f>IF($C2027&lt;4,IF($C2027=3,T2028,IF($C2027=2,T$1,"")),Q2027&amp;R2027&amp;IF(LEN(S2027)=0,"",Preferences!$C$2&amp;S2027)&amp;IF(J2028=J2027,IF(LEN(R2027&amp;S2027)=0,"","
")&amp;T2028,""))</f>
        <v>Description</v>
      </c>
      <c r="U2027" s="122" t="str">
        <v/>
      </c>
      <c r="V2027" s="42"/>
      <c r="W2027" s="42"/>
      <c r="X2027" s="42"/>
      <c r="Y2027" s="42"/>
      <c r="Z2027" s="42"/>
      <c r="AA2027" s="42"/>
      <c r="AB2027" s="42"/>
    </row>
    <row r="2028" spans="1:28" x14ac:dyDescent="0.25">
      <c r="A2028" s="42" t="str">
        <v>6.7.1</v>
      </c>
      <c r="B2028" s="121" t="str">
        <v>7.1 CTI</v>
      </c>
      <c r="C2028" s="41">
        <v>3</v>
      </c>
      <c r="D2028" s="41" t="str">
        <v>R</v>
      </c>
      <c r="E2028" s="117" t="str">
        <f t="shared" si="0"/>
        <v>R</v>
      </c>
      <c r="F2028" s="41" t="str">
        <v/>
      </c>
      <c r="G2028" s="41" t="str">
        <v/>
      </c>
      <c r="H2028" s="117">
        <f t="shared" si="1"/>
        <v>0</v>
      </c>
      <c r="I2028" s="117">
        <f t="shared" si="2"/>
        <v>7</v>
      </c>
      <c r="J2028" s="117">
        <f t="shared" si="3"/>
        <v>7.01</v>
      </c>
      <c r="K2028" s="117" t="str">
        <f t="shared" si="4"/>
        <v>T</v>
      </c>
      <c r="L2028" s="42" t="str">
        <v>T0701</v>
      </c>
      <c r="M2028" s="121" t="str">
        <v/>
      </c>
      <c r="N2028" s="121" t="str">
        <v/>
      </c>
      <c r="O2028" s="121" t="str">
        <v>T0701</v>
      </c>
      <c r="P2028" s="121" t="str">
        <v>CTI</v>
      </c>
      <c r="Q2028" s="121" t="str">
        <v/>
      </c>
      <c r="R2028" s="121" t="str">
        <v/>
      </c>
      <c r="S2028" s="121" t="str">
        <v/>
      </c>
      <c r="T2028" s="119" t="str">
        <f>IF($C2028&lt;4,IF($C2028=3,T2029,IF($C2028=2,T$1,"")),Q2028&amp;R2028&amp;IF(LEN(S2028)=0,"",Preferences!$C$2&amp;S2028)&amp;IF(J2029=J2028,IF(LEN(R2028&amp;S2028)=0,"","
")&amp;T2029,""))</f>
        <v>Computer technology integration
Computer telephony integration, also called computer–telephone integration or CTI, is a common name for any technology that allows interactions on a telephone and a computer to be integrated or coordinated.
Reference: https://en.wikipedia.org/wiki/Computer_telephony_integration</v>
      </c>
      <c r="U2028" s="122" t="str">
        <v/>
      </c>
      <c r="V2028" s="42"/>
      <c r="W2028" s="42"/>
      <c r="X2028" s="42"/>
      <c r="Y2028" s="42"/>
      <c r="Z2028" s="42"/>
      <c r="AA2028" s="42"/>
      <c r="AB2028" s="42"/>
    </row>
    <row r="2029" spans="1:28" x14ac:dyDescent="0.25">
      <c r="A2029" s="42" t="str">
        <v>6.7.1.1</v>
      </c>
      <c r="B2029" s="121" t="str">
        <v>Computer technology integration</v>
      </c>
      <c r="C2029" s="41">
        <v>4</v>
      </c>
      <c r="D2029" s="41" t="str">
        <v>RD</v>
      </c>
      <c r="E2029" s="117" t="str">
        <f t="shared" si="0"/>
        <v>RD</v>
      </c>
      <c r="F2029" s="41" t="str">
        <v/>
      </c>
      <c r="G2029" s="41" t="str">
        <v/>
      </c>
      <c r="H2029" s="117">
        <f t="shared" si="1"/>
        <v>0</v>
      </c>
      <c r="I2029" s="117">
        <f t="shared" si="2"/>
        <v>7</v>
      </c>
      <c r="J2029" s="117">
        <f t="shared" si="3"/>
        <v>7.01</v>
      </c>
      <c r="K2029" s="117" t="str">
        <f t="shared" si="4"/>
        <v>T</v>
      </c>
      <c r="L2029" s="42" t="str">
        <v>T0701</v>
      </c>
      <c r="M2029" s="121" t="str">
        <v/>
      </c>
      <c r="N2029" s="121" t="str">
        <v/>
      </c>
      <c r="O2029" s="121" t="str">
        <v/>
      </c>
      <c r="P2029" s="121" t="str">
        <v/>
      </c>
      <c r="Q2029" s="121" t="str">
        <v/>
      </c>
      <c r="R2029" s="121" t="str">
        <v>Computer technology integration</v>
      </c>
      <c r="S2029" s="121" t="str">
        <v/>
      </c>
      <c r="T2029" s="119" t="str">
        <f>IF($C2029&lt;4,IF($C2029=3,T2030,IF($C2029=2,T$1,"")),Q2029&amp;R2029&amp;IF(LEN(S2029)=0,"",Preferences!$C$2&amp;S2029)&amp;IF(J2030=J2029,IF(LEN(R2029&amp;S2029)=0,"","
")&amp;T2030,""))</f>
        <v>Computer technology integration
Computer telephony integration, also called computer–telephone integration or CTI, is a common name for any technology that allows interactions on a telephone and a computer to be integrated or coordinated.
Reference: https://en.wikipedia.org/wiki/Computer_telephony_integration</v>
      </c>
      <c r="U2029" s="122" t="str">
        <v/>
      </c>
      <c r="V2029" s="42"/>
      <c r="W2029" s="42"/>
      <c r="X2029" s="42"/>
      <c r="Y2029" s="42"/>
      <c r="Z2029" s="42"/>
      <c r="AA2029" s="42"/>
      <c r="AB2029" s="42"/>
    </row>
    <row r="2030" spans="1:28" x14ac:dyDescent="0.25">
      <c r="A2030" s="42" t="str">
        <v>6.7.1.2</v>
      </c>
      <c r="B2030" s="121" t="str">
        <v>Computer telephony integration, also called computer–telephone integration or CTI, is a common name for any technology that allows interactions on a telephone and a computer to be integrated or coordinated.</v>
      </c>
      <c r="C2030" s="41">
        <v>4</v>
      </c>
      <c r="D2030" s="41" t="str">
        <v>RD</v>
      </c>
      <c r="E2030" s="117" t="str">
        <f t="shared" si="0"/>
        <v>RD</v>
      </c>
      <c r="F2030" s="41" t="str">
        <v/>
      </c>
      <c r="G2030" s="41" t="str">
        <v/>
      </c>
      <c r="H2030" s="117">
        <f t="shared" si="1"/>
        <v>0</v>
      </c>
      <c r="I2030" s="117">
        <f t="shared" si="2"/>
        <v>7</v>
      </c>
      <c r="J2030" s="117">
        <f t="shared" si="3"/>
        <v>7.01</v>
      </c>
      <c r="K2030" s="117" t="str">
        <f t="shared" si="4"/>
        <v>T</v>
      </c>
      <c r="L2030" s="42" t="str">
        <v>T0701</v>
      </c>
      <c r="M2030" s="121" t="str">
        <v/>
      </c>
      <c r="N2030" s="121" t="str">
        <v/>
      </c>
      <c r="O2030" s="121" t="str">
        <v/>
      </c>
      <c r="P2030" s="121" t="str">
        <v/>
      </c>
      <c r="Q2030" s="121" t="str">
        <v/>
      </c>
      <c r="R2030" s="121" t="str">
        <v>Computer telephony integration, also called computer–telephone integration or CTI, is a common name for any technology that allows interactions on a telephone and a computer to be integrated or coordinated.</v>
      </c>
      <c r="S2030" s="121" t="str">
        <v/>
      </c>
      <c r="T2030" s="119" t="str">
        <f>IF($C2030&lt;4,IF($C2030=3,T2031,IF($C2030=2,T$1,"")),Q2030&amp;R2030&amp;IF(LEN(S2030)=0,"",Preferences!$C$2&amp;S2030)&amp;IF(J2031=J2030,IF(LEN(R2030&amp;S2030)=0,"","
")&amp;T2031,""))</f>
        <v>Computer telephony integration, also called computer–telephone integration or CTI, is a common name for any technology that allows interactions on a telephone and a computer to be integrated or coordinated.
Reference: https://en.wikipedia.org/wiki/Computer_telephony_integration</v>
      </c>
      <c r="U2030" s="122" t="str">
        <v/>
      </c>
      <c r="V2030" s="42"/>
      <c r="W2030" s="42"/>
      <c r="X2030" s="42"/>
      <c r="Y2030" s="42"/>
      <c r="Z2030" s="42"/>
      <c r="AA2030" s="42"/>
      <c r="AB2030" s="42"/>
    </row>
    <row r="2031" spans="1:28" x14ac:dyDescent="0.25">
      <c r="A2031" s="42" t="str">
        <v>6.7.1.3</v>
      </c>
      <c r="B2031" s="121" t="str">
        <v>Reference: https://en.wikipedia.org/wiki/Computer_telephony_integration</v>
      </c>
      <c r="C2031" s="41">
        <v>4</v>
      </c>
      <c r="D2031" s="41" t="str">
        <v>RD</v>
      </c>
      <c r="E2031" s="117" t="str">
        <f t="shared" si="0"/>
        <v>RD</v>
      </c>
      <c r="F2031" s="41" t="str">
        <v/>
      </c>
      <c r="G2031" s="41" t="str">
        <v/>
      </c>
      <c r="H2031" s="117">
        <f t="shared" si="1"/>
        <v>0</v>
      </c>
      <c r="I2031" s="117">
        <f t="shared" si="2"/>
        <v>7</v>
      </c>
      <c r="J2031" s="117">
        <f t="shared" si="3"/>
        <v>7.01</v>
      </c>
      <c r="K2031" s="117" t="str">
        <f t="shared" si="4"/>
        <v>T</v>
      </c>
      <c r="L2031" s="42" t="str">
        <v>T0701</v>
      </c>
      <c r="M2031" s="121" t="str">
        <v/>
      </c>
      <c r="N2031" s="121" t="str">
        <v/>
      </c>
      <c r="O2031" s="121" t="str">
        <v/>
      </c>
      <c r="P2031" s="121" t="str">
        <v/>
      </c>
      <c r="Q2031" s="121" t="str">
        <v/>
      </c>
      <c r="R2031" s="121" t="str">
        <v>Reference: https://en.wikipedia.org/wiki/Computer_telephony_integration</v>
      </c>
      <c r="S2031" s="121" t="str">
        <v/>
      </c>
      <c r="T2031" s="119" t="str">
        <f>IF($C2031&lt;4,IF($C2031=3,T2032,IF($C2031=2,T$1,"")),Q2031&amp;R2031&amp;IF(LEN(S2031)=0,"",Preferences!$C$2&amp;S2031)&amp;IF(J2032=J2031,IF(LEN(R2031&amp;S2031)=0,"","
")&amp;T2032,""))</f>
        <v>Reference: https://en.wikipedia.org/wiki/Computer_telephony_integration</v>
      </c>
      <c r="U2031" s="122" t="str">
        <v/>
      </c>
      <c r="V2031" s="42"/>
      <c r="W2031" s="42"/>
      <c r="X2031" s="42"/>
      <c r="Y2031" s="42"/>
      <c r="Z2031" s="42"/>
      <c r="AA2031" s="42"/>
      <c r="AB2031" s="42"/>
    </row>
    <row r="2032" spans="1:28" x14ac:dyDescent="0.25">
      <c r="A2032" s="42" t="str">
        <v>6.7.2</v>
      </c>
      <c r="B2032" s="121" t="str">
        <v>7.2 EDI</v>
      </c>
      <c r="C2032" s="41">
        <v>3</v>
      </c>
      <c r="D2032" s="41" t="str">
        <v>R</v>
      </c>
      <c r="E2032" s="117" t="str">
        <f t="shared" si="0"/>
        <v>R</v>
      </c>
      <c r="F2032" s="41" t="str">
        <v/>
      </c>
      <c r="G2032" s="41" t="str">
        <v/>
      </c>
      <c r="H2032" s="117">
        <f t="shared" si="1"/>
        <v>0</v>
      </c>
      <c r="I2032" s="117">
        <f t="shared" si="2"/>
        <v>7</v>
      </c>
      <c r="J2032" s="117">
        <f t="shared" si="3"/>
        <v>7.02</v>
      </c>
      <c r="K2032" s="117" t="str">
        <f t="shared" si="4"/>
        <v>T</v>
      </c>
      <c r="L2032" s="42" t="str">
        <v>T0702</v>
      </c>
      <c r="M2032" s="121" t="str">
        <v/>
      </c>
      <c r="N2032" s="121" t="str">
        <v/>
      </c>
      <c r="O2032" s="121" t="str">
        <v>T0702</v>
      </c>
      <c r="P2032" s="121" t="str">
        <v>EDI</v>
      </c>
      <c r="Q2032" s="121" t="str">
        <v/>
      </c>
      <c r="R2032" s="121" t="str">
        <v/>
      </c>
      <c r="S2032" s="121" t="str">
        <v/>
      </c>
      <c r="T2032" s="119" t="e">
        <f>IF($C2032&lt;4,IF($C2032=3,T2033,IF($C2032=2,T$1,"")),Q2032&amp;R2032&amp;IF(LEN(S2032)=0,"",Preferences!$C$2&amp;S2032)&amp;IF(J2033=J2032,IF(LEN(R2032&amp;S2032)=0,"","
")&amp;T2033,""))</f>
        <v>#VALUE!</v>
      </c>
      <c r="U2032" s="122" t="str">
        <v/>
      </c>
      <c r="V2032" s="42"/>
      <c r="W2032" s="42"/>
      <c r="X2032" s="42"/>
      <c r="Y2032" s="42"/>
      <c r="Z2032" s="42"/>
      <c r="AA2032" s="42"/>
      <c r="AB2032" s="42"/>
    </row>
    <row r="2033" spans="1:28" x14ac:dyDescent="0.25">
      <c r="A2033" s="42" t="str">
        <v>6.7.2.1</v>
      </c>
      <c r="B2033" s="121" t="str">
        <v>Electronic data interchange</v>
      </c>
      <c r="C2033" s="41">
        <v>4</v>
      </c>
      <c r="D2033" s="41" t="str">
        <v>RD</v>
      </c>
      <c r="E2033" s="117" t="str">
        <f t="shared" si="0"/>
        <v>RD</v>
      </c>
      <c r="F2033" s="41" t="str">
        <v/>
      </c>
      <c r="G2033" s="41" t="str">
        <v/>
      </c>
      <c r="H2033" s="117">
        <f t="shared" si="1"/>
        <v>0</v>
      </c>
      <c r="I2033" s="117">
        <f t="shared" si="2"/>
        <v>7</v>
      </c>
      <c r="J2033" s="117">
        <f t="shared" si="3"/>
        <v>7.02</v>
      </c>
      <c r="K2033" s="117" t="str">
        <f t="shared" si="4"/>
        <v>T</v>
      </c>
      <c r="L2033" s="42" t="str">
        <v>T0702</v>
      </c>
      <c r="M2033" s="121" t="str">
        <v/>
      </c>
      <c r="N2033" s="121" t="str">
        <v/>
      </c>
      <c r="O2033" s="121" t="str">
        <v/>
      </c>
      <c r="P2033" s="121" t="str">
        <v/>
      </c>
      <c r="Q2033" s="121" t="str">
        <v/>
      </c>
      <c r="R2033" s="121" t="str">
        <v>Electronic data interchange</v>
      </c>
      <c r="S2033" s="121" t="str">
        <v/>
      </c>
      <c r="T2033" s="119" t="e">
        <f>IF($C2033&lt;4,IF($C2033=3,T2034,IF($C2033=2,T$1,"")),Q2033&amp;R2033&amp;IF(LEN(S2033)=0,"",Preferences!$C$2&amp;S2033)&amp;IF(J2034=J2033,IF(LEN(R2033&amp;S2033)=0,"","
")&amp;T2034,""))</f>
        <v>#VALUE!</v>
      </c>
      <c r="U2033" s="122" t="str">
        <v/>
      </c>
      <c r="V2033" s="42"/>
      <c r="W2033" s="42"/>
      <c r="X2033" s="42"/>
      <c r="Y2033" s="42"/>
      <c r="Z2033" s="42"/>
      <c r="AA2033" s="42"/>
      <c r="AB2033" s="42"/>
    </row>
    <row r="2034" spans="1:28" x14ac:dyDescent="0.25">
      <c r="A2034" s="42" t="str">
        <v>6.7.2.2</v>
      </c>
      <c r="B2034" s="121" t="e">
        <v>#VALUE!</v>
      </c>
      <c r="C2034" s="41">
        <v>4</v>
      </c>
      <c r="D2034" s="41" t="str">
        <v>RD</v>
      </c>
      <c r="E2034" s="117" t="str">
        <f t="shared" si="0"/>
        <v>RD</v>
      </c>
      <c r="F2034" s="41" t="str">
        <v/>
      </c>
      <c r="G2034" s="41" t="str">
        <v/>
      </c>
      <c r="H2034" s="117">
        <f t="shared" si="1"/>
        <v>0</v>
      </c>
      <c r="I2034" s="117">
        <f t="shared" si="2"/>
        <v>7</v>
      </c>
      <c r="J2034" s="117">
        <f t="shared" si="3"/>
        <v>7.02</v>
      </c>
      <c r="K2034" s="117" t="str">
        <f t="shared" si="4"/>
        <v>T</v>
      </c>
      <c r="L2034" s="42" t="str">
        <v>T0702</v>
      </c>
      <c r="M2034" s="121" t="str">
        <v/>
      </c>
      <c r="N2034" s="121" t="str">
        <v/>
      </c>
      <c r="O2034" s="121" t="str">
        <v/>
      </c>
      <c r="P2034" s="121" t="str">
        <v/>
      </c>
      <c r="Q2034" s="121" t="str">
        <v/>
      </c>
      <c r="R2034" s="121" t="e">
        <v>#VALUE!</v>
      </c>
      <c r="S2034" s="121" t="str">
        <v/>
      </c>
      <c r="T2034" s="119" t="e">
        <f>IF($C2034&lt;4,IF($C2034=3,T2035,IF($C2034=2,T$1,"")),Q2034&amp;R2034&amp;IF(LEN(S2034)=0,"",Preferences!$C$2&amp;S2034)&amp;IF(J2035=J2034,IF(LEN(R2034&amp;S2034)=0,"","
")&amp;T2035,""))</f>
        <v>#VALUE!</v>
      </c>
      <c r="U2034" s="122" t="str">
        <v/>
      </c>
      <c r="V2034" s="42"/>
      <c r="W2034" s="42"/>
      <c r="X2034" s="42"/>
      <c r="Y2034" s="42"/>
      <c r="Z2034" s="42"/>
      <c r="AA2034" s="42"/>
      <c r="AB2034" s="42"/>
    </row>
    <row r="2035" spans="1:28" x14ac:dyDescent="0.25">
      <c r="A2035" s="42" t="str">
        <v>6.7.2.3</v>
      </c>
      <c r="B2035" s="121" t="str">
        <v>Reference: https://en.wikipedia.org/wiki/Electronic_data_interchange</v>
      </c>
      <c r="C2035" s="41">
        <v>4</v>
      </c>
      <c r="D2035" s="41" t="str">
        <v>RD</v>
      </c>
      <c r="E2035" s="117" t="str">
        <f t="shared" si="0"/>
        <v>RD</v>
      </c>
      <c r="F2035" s="41" t="str">
        <v/>
      </c>
      <c r="G2035" s="41" t="str">
        <v/>
      </c>
      <c r="H2035" s="117">
        <f t="shared" si="1"/>
        <v>0</v>
      </c>
      <c r="I2035" s="117">
        <f t="shared" si="2"/>
        <v>7</v>
      </c>
      <c r="J2035" s="117">
        <f t="shared" si="3"/>
        <v>7.02</v>
      </c>
      <c r="K2035" s="117" t="str">
        <f t="shared" si="4"/>
        <v>T</v>
      </c>
      <c r="L2035" s="42" t="str">
        <v>T0702</v>
      </c>
      <c r="M2035" s="121" t="str">
        <v/>
      </c>
      <c r="N2035" s="121" t="str">
        <v/>
      </c>
      <c r="O2035" s="121" t="str">
        <v/>
      </c>
      <c r="P2035" s="121" t="str">
        <v/>
      </c>
      <c r="Q2035" s="121" t="str">
        <v/>
      </c>
      <c r="R2035" s="121" t="str">
        <v>Reference: https://en.wikipedia.org/wiki/Electronic_data_interchange</v>
      </c>
      <c r="S2035" s="121" t="str">
        <v/>
      </c>
      <c r="T2035" s="119" t="str">
        <f>IF($C2035&lt;4,IF($C2035=3,T2036,IF($C2035=2,T$1,"")),Q2035&amp;R2035&amp;IF(LEN(S2035)=0,"",Preferences!$C$2&amp;S2035)&amp;IF(J2036=J2035,IF(LEN(R2035&amp;S2035)=0,"","
")&amp;T2036,""))</f>
        <v>Reference: https://en.wikipedia.org/wiki/Electronic_data_interchange</v>
      </c>
      <c r="U2035" s="122" t="str">
        <v/>
      </c>
      <c r="V2035" s="42"/>
      <c r="W2035" s="42"/>
      <c r="X2035" s="42"/>
      <c r="Y2035" s="42"/>
      <c r="Z2035" s="42"/>
      <c r="AA2035" s="42"/>
      <c r="AB2035" s="42"/>
    </row>
    <row r="2036" spans="1:28" x14ac:dyDescent="0.25">
      <c r="A2036" s="42" t="str">
        <v>6.7.3</v>
      </c>
      <c r="B2036" s="121" t="str">
        <v>7.3 Faceted Search</v>
      </c>
      <c r="C2036" s="41">
        <v>3</v>
      </c>
      <c r="D2036" s="41" t="str">
        <v>R</v>
      </c>
      <c r="E2036" s="117" t="str">
        <f t="shared" si="0"/>
        <v>R</v>
      </c>
      <c r="F2036" s="41" t="str">
        <v/>
      </c>
      <c r="G2036" s="41" t="str">
        <v/>
      </c>
      <c r="H2036" s="117">
        <f t="shared" si="1"/>
        <v>0</v>
      </c>
      <c r="I2036" s="117">
        <f t="shared" si="2"/>
        <v>7</v>
      </c>
      <c r="J2036" s="117">
        <f t="shared" si="3"/>
        <v>7.0299999999999994</v>
      </c>
      <c r="K2036" s="117" t="str">
        <f t="shared" si="4"/>
        <v>T</v>
      </c>
      <c r="L2036" s="42" t="str">
        <v>T0703</v>
      </c>
      <c r="M2036" s="121" t="str">
        <v/>
      </c>
      <c r="N2036" s="121" t="str">
        <v/>
      </c>
      <c r="O2036" s="121" t="str">
        <v>T0703</v>
      </c>
      <c r="P2036" s="121" t="str">
        <v>Faceted Search</v>
      </c>
      <c r="Q2036" s="121" t="str">
        <v/>
      </c>
      <c r="R2036" s="121" t="str">
        <v/>
      </c>
      <c r="S2036" s="121" t="str">
        <v/>
      </c>
      <c r="T2036" s="119" t="str">
        <f>IF($C2036&lt;4,IF($C2036=3,T2037,IF($C2036=2,T$1,"")),Q2036&amp;R2036&amp;IF(LEN(S2036)=0,"",Preferences!$C$2&amp;S2036)&amp;IF(J2037=J2036,IF(LEN(R2036&amp;S2036)=0,"","
")&amp;T2037,""))</f>
        <v xml:space="preserve">Faceted search is a technique which involves augmenting traditional search techniques with a faceted navigation system, allowing users to narrow down search results by applying multiple filters based on faceted classification of the items.
Reference: https://en.wikipedia.org/wiki/Faceted_search
</v>
      </c>
      <c r="U2036" s="122" t="str">
        <v/>
      </c>
      <c r="V2036" s="42"/>
      <c r="W2036" s="42"/>
      <c r="X2036" s="42"/>
      <c r="Y2036" s="42"/>
      <c r="Z2036" s="42"/>
      <c r="AA2036" s="42"/>
      <c r="AB2036" s="42"/>
    </row>
    <row r="2037" spans="1:28" x14ac:dyDescent="0.25">
      <c r="A2037" s="42" t="str">
        <v>6.7.3.1</v>
      </c>
      <c r="B2037" s="121" t="str">
        <v>Faceted search is a technique which involves augmenting traditional search techniques with a faceted navigation system, allowing users to narrow down search results by applying multiple filters based on faceted classification of the items.</v>
      </c>
      <c r="C2037" s="41">
        <v>4</v>
      </c>
      <c r="D2037" s="41" t="str">
        <v>RD</v>
      </c>
      <c r="E2037" s="117" t="str">
        <f t="shared" si="0"/>
        <v>RD</v>
      </c>
      <c r="F2037" s="41" t="str">
        <v/>
      </c>
      <c r="G2037" s="41" t="str">
        <v/>
      </c>
      <c r="H2037" s="117">
        <f t="shared" si="1"/>
        <v>0</v>
      </c>
      <c r="I2037" s="117">
        <f t="shared" si="2"/>
        <v>7</v>
      </c>
      <c r="J2037" s="117">
        <f t="shared" si="3"/>
        <v>7.0299999999999994</v>
      </c>
      <c r="K2037" s="117" t="str">
        <f t="shared" si="4"/>
        <v>T</v>
      </c>
      <c r="L2037" s="42" t="str">
        <v>T0703</v>
      </c>
      <c r="M2037" s="121" t="str">
        <v/>
      </c>
      <c r="N2037" s="121" t="str">
        <v/>
      </c>
      <c r="O2037" s="121" t="str">
        <v/>
      </c>
      <c r="P2037" s="121" t="str">
        <v/>
      </c>
      <c r="Q2037" s="121" t="str">
        <v/>
      </c>
      <c r="R2037" s="121" t="str">
        <v>Faceted search is a technique which involves augmenting traditional search techniques with a faceted navigation system, allowing users to narrow down search results by applying multiple filters based on faceted classification of the items.</v>
      </c>
      <c r="S2037" s="121" t="str">
        <v/>
      </c>
      <c r="T2037" s="119" t="str">
        <f>IF($C2037&lt;4,IF($C2037=3,T2038,IF($C2037=2,T$1,"")),Q2037&amp;R2037&amp;IF(LEN(S2037)=0,"",Preferences!$C$2&amp;S2037)&amp;IF(J2038=J2037,IF(LEN(R2037&amp;S2037)=0,"","
")&amp;T2038,""))</f>
        <v xml:space="preserve">Faceted search is a technique which involves augmenting traditional search techniques with a faceted navigation system, allowing users to narrow down search results by applying multiple filters based on faceted classification of the items.
Reference: https://en.wikipedia.org/wiki/Faceted_search
</v>
      </c>
      <c r="U2037" s="122" t="str">
        <v/>
      </c>
      <c r="V2037" s="42"/>
      <c r="W2037" s="42"/>
      <c r="X2037" s="42"/>
      <c r="Y2037" s="42"/>
      <c r="Z2037" s="42"/>
      <c r="AA2037" s="42"/>
      <c r="AB2037" s="42"/>
    </row>
    <row r="2038" spans="1:28" x14ac:dyDescent="0.25">
      <c r="A2038" s="42" t="str">
        <v>6.7.3.2</v>
      </c>
      <c r="B2038" s="121" t="str">
        <v>Reference: https://en.wikipedia.org/wiki/Faceted_search</v>
      </c>
      <c r="C2038" s="41">
        <v>4</v>
      </c>
      <c r="D2038" s="41" t="str">
        <v>RD</v>
      </c>
      <c r="E2038" s="117" t="str">
        <f t="shared" si="0"/>
        <v>RD</v>
      </c>
      <c r="F2038" s="41" t="str">
        <v/>
      </c>
      <c r="G2038" s="41" t="str">
        <v/>
      </c>
      <c r="H2038" s="117">
        <f t="shared" si="1"/>
        <v>0</v>
      </c>
      <c r="I2038" s="117">
        <f t="shared" si="2"/>
        <v>7</v>
      </c>
      <c r="J2038" s="117">
        <f t="shared" si="3"/>
        <v>7.0299999999999994</v>
      </c>
      <c r="K2038" s="117" t="str">
        <f t="shared" si="4"/>
        <v>T</v>
      </c>
      <c r="L2038" s="42" t="str">
        <v>T0703</v>
      </c>
      <c r="M2038" s="121" t="str">
        <v/>
      </c>
      <c r="N2038" s="121" t="str">
        <v/>
      </c>
      <c r="O2038" s="121" t="str">
        <v/>
      </c>
      <c r="P2038" s="121" t="str">
        <v/>
      </c>
      <c r="Q2038" s="121" t="str">
        <v/>
      </c>
      <c r="R2038" s="121" t="str">
        <v>Reference: https://en.wikipedia.org/wiki/Faceted_search</v>
      </c>
      <c r="S2038" s="121" t="str">
        <v/>
      </c>
      <c r="T2038" s="119" t="str">
        <f>IF($C2038&lt;4,IF($C2038=3,T2039,IF($C2038=2,T$1,"")),Q2038&amp;R2038&amp;IF(LEN(S2038)=0,"",Preferences!$C$2&amp;S2038)&amp;IF(J2039=J2038,IF(LEN(R2038&amp;S2038)=0,"","
")&amp;T2039,""))</f>
        <v xml:space="preserve">Reference: https://en.wikipedia.org/wiki/Faceted_search
</v>
      </c>
      <c r="U2038" s="122" t="str">
        <v/>
      </c>
      <c r="V2038" s="42"/>
      <c r="W2038" s="42"/>
      <c r="X2038" s="42"/>
      <c r="Y2038" s="42"/>
      <c r="Z2038" s="42"/>
      <c r="AA2038" s="42"/>
      <c r="AB2038" s="42"/>
    </row>
    <row r="2039" spans="1:28" x14ac:dyDescent="0.25">
      <c r="A2039" s="42" t="str">
        <v/>
      </c>
      <c r="B2039" s="121" t="str">
        <v/>
      </c>
      <c r="C2039" s="41" t="str">
        <v/>
      </c>
      <c r="D2039" s="41" t="str">
        <v/>
      </c>
      <c r="E2039" s="117" t="str">
        <f t="shared" si="0"/>
        <v>RD</v>
      </c>
      <c r="F2039" s="41" t="str">
        <v/>
      </c>
      <c r="G2039" s="41" t="str">
        <v/>
      </c>
      <c r="H2039" s="117">
        <f t="shared" si="1"/>
        <v>0</v>
      </c>
      <c r="I2039" s="117">
        <f t="shared" si="2"/>
        <v>7</v>
      </c>
      <c r="J2039" s="117">
        <f t="shared" si="3"/>
        <v>7.0299999999999994</v>
      </c>
      <c r="K2039" s="117" t="str">
        <f t="shared" si="4"/>
        <v>T</v>
      </c>
      <c r="L2039" s="42" t="str">
        <v>T0703</v>
      </c>
      <c r="M2039" s="121" t="str">
        <v/>
      </c>
      <c r="N2039" s="121" t="str">
        <v/>
      </c>
      <c r="O2039" s="121" t="str">
        <v/>
      </c>
      <c r="P2039" s="121" t="str">
        <v/>
      </c>
      <c r="Q2039" s="121" t="str">
        <v/>
      </c>
      <c r="R2039" s="121" t="str">
        <v/>
      </c>
      <c r="S2039" s="121" t="str">
        <v/>
      </c>
      <c r="T2039" s="119" t="str">
        <f>IF($C2039&lt;4,IF($C2039=3,T2040,IF($C2039=2,T$1,"")),Q2039&amp;R2039&amp;IF(LEN(S2039)=0,"",Preferences!$C$2&amp;S2039)&amp;IF(J2040=J2039,IF(LEN(R2039&amp;S2039)=0,"","
")&amp;T2040,""))</f>
        <v/>
      </c>
      <c r="U2039" s="122" t="str">
        <v/>
      </c>
      <c r="V2039" s="42"/>
      <c r="W2039" s="42"/>
      <c r="X2039" s="42"/>
      <c r="Y2039" s="42"/>
      <c r="Z2039" s="42"/>
      <c r="AA2039" s="42"/>
      <c r="AB2039" s="42"/>
    </row>
    <row r="2040" spans="1:28" x14ac:dyDescent="0.25">
      <c r="A2040" s="42" t="str">
        <v/>
      </c>
      <c r="B2040" s="121" t="str">
        <v/>
      </c>
      <c r="C2040" s="41" t="str">
        <v/>
      </c>
      <c r="D2040" s="41" t="str">
        <v/>
      </c>
      <c r="E2040" s="117" t="str">
        <f t="shared" si="0"/>
        <v>RD</v>
      </c>
      <c r="F2040" s="41" t="str">
        <v/>
      </c>
      <c r="G2040" s="41" t="str">
        <v/>
      </c>
      <c r="H2040" s="117">
        <f t="shared" si="1"/>
        <v>0</v>
      </c>
      <c r="I2040" s="117">
        <f t="shared" si="2"/>
        <v>7</v>
      </c>
      <c r="J2040" s="117">
        <f t="shared" si="3"/>
        <v>7.0299999999999994</v>
      </c>
      <c r="K2040" s="117" t="str">
        <f t="shared" si="4"/>
        <v>T</v>
      </c>
      <c r="L2040" s="42" t="str">
        <v>T0703</v>
      </c>
      <c r="M2040" s="121" t="str">
        <v/>
      </c>
      <c r="N2040" s="121" t="str">
        <v/>
      </c>
      <c r="O2040" s="121" t="str">
        <v/>
      </c>
      <c r="P2040" s="121" t="str">
        <v/>
      </c>
      <c r="Q2040" s="121" t="str">
        <v/>
      </c>
      <c r="R2040" s="121" t="str">
        <v/>
      </c>
      <c r="S2040" s="121" t="str">
        <v/>
      </c>
      <c r="T2040" s="119" t="str">
        <f>IF($C2040&lt;4,IF($C2040=3,T2041,IF($C2040=2,T$1,"")),Q2040&amp;R2040&amp;IF(LEN(S2040)=0,"",Preferences!$C$2&amp;S2040)&amp;IF(J2041=J2040,IF(LEN(R2040&amp;S2040)=0,"","
")&amp;T2041,""))</f>
        <v/>
      </c>
      <c r="U2040" s="122" t="str">
        <v/>
      </c>
      <c r="V2040" s="42"/>
      <c r="W2040" s="42"/>
      <c r="X2040" s="42"/>
      <c r="Y2040" s="42"/>
      <c r="Z2040" s="42"/>
      <c r="AA2040" s="42"/>
      <c r="AB2040" s="42"/>
    </row>
    <row r="2041" spans="1:28" x14ac:dyDescent="0.25">
      <c r="A2041" s="42" t="str">
        <v/>
      </c>
      <c r="B2041" s="121" t="str">
        <v/>
      </c>
      <c r="C2041" s="41" t="str">
        <v/>
      </c>
      <c r="D2041" s="41" t="str">
        <v/>
      </c>
      <c r="E2041" s="117" t="str">
        <f t="shared" si="0"/>
        <v>RD</v>
      </c>
      <c r="F2041" s="41" t="str">
        <v/>
      </c>
      <c r="G2041" s="41" t="str">
        <v/>
      </c>
      <c r="H2041" s="117">
        <f t="shared" si="1"/>
        <v>0</v>
      </c>
      <c r="I2041" s="117">
        <f t="shared" si="2"/>
        <v>7</v>
      </c>
      <c r="J2041" s="117">
        <f t="shared" si="3"/>
        <v>7.0299999999999994</v>
      </c>
      <c r="K2041" s="117" t="str">
        <f t="shared" si="4"/>
        <v>T</v>
      </c>
      <c r="L2041" s="42" t="str">
        <v>T0703</v>
      </c>
      <c r="M2041" s="121" t="str">
        <v/>
      </c>
      <c r="N2041" s="121" t="str">
        <v/>
      </c>
      <c r="O2041" s="121" t="str">
        <v/>
      </c>
      <c r="P2041" s="121" t="str">
        <v/>
      </c>
      <c r="Q2041" s="121" t="str">
        <v/>
      </c>
      <c r="R2041" s="121" t="str">
        <v/>
      </c>
      <c r="S2041" s="121" t="str">
        <v/>
      </c>
      <c r="T2041" s="119" t="str">
        <f>IF($C2041&lt;4,IF($C2041=3,T2042,IF($C2041=2,T$1,"")),Q2041&amp;R2041&amp;IF(LEN(S2041)=0,"",Preferences!$C$2&amp;S2041)&amp;IF(J2042=J2041,IF(LEN(R2041&amp;S2041)=0,"","
")&amp;T2042,""))</f>
        <v/>
      </c>
      <c r="U2041" s="122" t="str">
        <v/>
      </c>
      <c r="V2041" s="42"/>
      <c r="W2041" s="42"/>
      <c r="X2041" s="42"/>
      <c r="Y2041" s="42"/>
      <c r="Z2041" s="42"/>
      <c r="AA2041" s="42"/>
      <c r="AB2041" s="42"/>
    </row>
    <row r="2042" spans="1:28" x14ac:dyDescent="0.25">
      <c r="A2042" s="42" t="str">
        <v/>
      </c>
      <c r="B2042" s="121" t="str">
        <v/>
      </c>
      <c r="C2042" s="41" t="str">
        <v/>
      </c>
      <c r="D2042" s="41" t="str">
        <v/>
      </c>
      <c r="E2042" s="117" t="str">
        <f t="shared" si="0"/>
        <v>RD</v>
      </c>
      <c r="F2042" s="41" t="str">
        <v/>
      </c>
      <c r="G2042" s="41" t="str">
        <v/>
      </c>
      <c r="H2042" s="117">
        <f t="shared" si="1"/>
        <v>0</v>
      </c>
      <c r="I2042" s="117">
        <f t="shared" si="2"/>
        <v>7</v>
      </c>
      <c r="J2042" s="117">
        <f t="shared" si="3"/>
        <v>7.0299999999999994</v>
      </c>
      <c r="K2042" s="117" t="str">
        <f t="shared" si="4"/>
        <v>T</v>
      </c>
      <c r="L2042" s="42" t="str">
        <v>T0703</v>
      </c>
      <c r="M2042" s="121" t="str">
        <v/>
      </c>
      <c r="N2042" s="121" t="str">
        <v/>
      </c>
      <c r="O2042" s="121" t="str">
        <v/>
      </c>
      <c r="P2042" s="121" t="str">
        <v/>
      </c>
      <c r="Q2042" s="121" t="str">
        <v/>
      </c>
      <c r="R2042" s="121" t="str">
        <v/>
      </c>
      <c r="S2042" s="121" t="str">
        <v/>
      </c>
      <c r="T2042" s="119" t="str">
        <f>IF($C2042&lt;4,IF($C2042=3,T2043,IF($C2042=2,T$1,"")),Q2042&amp;R2042&amp;IF(LEN(S2042)=0,"",Preferences!$C$2&amp;S2042)&amp;IF(J2043=J2042,IF(LEN(R2042&amp;S2042)=0,"","
")&amp;T2043,""))</f>
        <v/>
      </c>
      <c r="U2042" s="122" t="str">
        <v/>
      </c>
      <c r="V2042" s="42"/>
      <c r="W2042" s="42"/>
      <c r="X2042" s="42"/>
      <c r="Y2042" s="42"/>
      <c r="Z2042" s="42"/>
      <c r="AA2042" s="42"/>
      <c r="AB2042" s="42"/>
    </row>
    <row r="2043" spans="1:28" x14ac:dyDescent="0.25">
      <c r="A2043" s="42" t="str">
        <v/>
      </c>
      <c r="B2043" s="121" t="str">
        <v/>
      </c>
      <c r="C2043" s="41" t="str">
        <v/>
      </c>
      <c r="D2043" s="41" t="str">
        <v/>
      </c>
      <c r="E2043" s="117" t="str">
        <f t="shared" si="0"/>
        <v>RD</v>
      </c>
      <c r="F2043" s="41" t="str">
        <v/>
      </c>
      <c r="G2043" s="41" t="str">
        <v/>
      </c>
      <c r="H2043" s="117">
        <f t="shared" si="1"/>
        <v>0</v>
      </c>
      <c r="I2043" s="117">
        <f t="shared" si="2"/>
        <v>7</v>
      </c>
      <c r="J2043" s="117">
        <f t="shared" si="3"/>
        <v>7.0299999999999994</v>
      </c>
      <c r="K2043" s="117" t="str">
        <f t="shared" si="4"/>
        <v>T</v>
      </c>
      <c r="L2043" s="42" t="str">
        <v>T0703</v>
      </c>
      <c r="M2043" s="121" t="str">
        <v/>
      </c>
      <c r="N2043" s="121" t="str">
        <v/>
      </c>
      <c r="O2043" s="121" t="str">
        <v/>
      </c>
      <c r="P2043" s="121" t="str">
        <v/>
      </c>
      <c r="Q2043" s="121" t="str">
        <v/>
      </c>
      <c r="R2043" s="121" t="str">
        <v/>
      </c>
      <c r="S2043" s="121" t="str">
        <v/>
      </c>
      <c r="T2043" s="119" t="str">
        <f>IF($C2043&lt;4,IF($C2043=3,T2044,IF($C2043=2,T$1,"")),Q2043&amp;R2043&amp;IF(LEN(S2043)=0,"",Preferences!$C$2&amp;S2043)&amp;IF(J2044=J2043,IF(LEN(R2043&amp;S2043)=0,"","
")&amp;T2044,""))</f>
        <v/>
      </c>
      <c r="U2043" s="122" t="str">
        <v/>
      </c>
      <c r="V2043" s="42"/>
      <c r="W2043" s="42"/>
      <c r="X2043" s="42"/>
      <c r="Y2043" s="42"/>
      <c r="Z2043" s="42"/>
      <c r="AA2043" s="42"/>
      <c r="AB2043" s="42"/>
    </row>
    <row r="2044" spans="1:28" x14ac:dyDescent="0.25">
      <c r="A2044" s="42" t="str">
        <v/>
      </c>
      <c r="B2044" s="121" t="str">
        <v/>
      </c>
      <c r="C2044" s="41" t="str">
        <v/>
      </c>
      <c r="D2044" s="41" t="str">
        <v/>
      </c>
      <c r="E2044" s="117" t="str">
        <f t="shared" si="0"/>
        <v>RD</v>
      </c>
      <c r="F2044" s="41" t="str">
        <v/>
      </c>
      <c r="G2044" s="41" t="str">
        <v/>
      </c>
      <c r="H2044" s="117">
        <f t="shared" si="1"/>
        <v>0</v>
      </c>
      <c r="I2044" s="117">
        <f t="shared" si="2"/>
        <v>7</v>
      </c>
      <c r="J2044" s="117">
        <f t="shared" si="3"/>
        <v>7.0299999999999994</v>
      </c>
      <c r="K2044" s="117" t="str">
        <f t="shared" si="4"/>
        <v>T</v>
      </c>
      <c r="L2044" s="42" t="str">
        <v>T0703</v>
      </c>
      <c r="M2044" s="121" t="str">
        <v/>
      </c>
      <c r="N2044" s="121" t="str">
        <v/>
      </c>
      <c r="O2044" s="121" t="str">
        <v/>
      </c>
      <c r="P2044" s="121" t="str">
        <v/>
      </c>
      <c r="Q2044" s="121" t="str">
        <v/>
      </c>
      <c r="R2044" s="121" t="str">
        <v/>
      </c>
      <c r="S2044" s="121" t="str">
        <v/>
      </c>
      <c r="T2044" s="119" t="str">
        <f>IF($C2044&lt;4,IF($C2044=3,T2045,IF($C2044=2,T$1,"")),Q2044&amp;R2044&amp;IF(LEN(S2044)=0,"",Preferences!$C$2&amp;S2044)&amp;IF(J2045=J2044,IF(LEN(R2044&amp;S2044)=0,"","
")&amp;T2045,""))</f>
        <v/>
      </c>
      <c r="U2044" s="122" t="str">
        <v/>
      </c>
      <c r="V2044" s="42"/>
      <c r="W2044" s="42"/>
      <c r="X2044" s="42"/>
      <c r="Y2044" s="42"/>
      <c r="Z2044" s="42"/>
      <c r="AA2044" s="42"/>
      <c r="AB2044" s="42"/>
    </row>
    <row r="2045" spans="1:28" x14ac:dyDescent="0.25">
      <c r="A2045" s="42" t="str">
        <v/>
      </c>
      <c r="B2045" s="121" t="str">
        <v/>
      </c>
      <c r="C2045" s="41" t="str">
        <v/>
      </c>
      <c r="D2045" s="41" t="str">
        <v/>
      </c>
      <c r="E2045" s="117" t="str">
        <f t="shared" si="0"/>
        <v>RD</v>
      </c>
      <c r="F2045" s="41" t="str">
        <v/>
      </c>
      <c r="G2045" s="41" t="str">
        <v/>
      </c>
      <c r="H2045" s="117">
        <f t="shared" si="1"/>
        <v>0</v>
      </c>
      <c r="I2045" s="117">
        <f t="shared" si="2"/>
        <v>7</v>
      </c>
      <c r="J2045" s="117">
        <f t="shared" si="3"/>
        <v>7.0299999999999994</v>
      </c>
      <c r="K2045" s="117" t="str">
        <f t="shared" si="4"/>
        <v>T</v>
      </c>
      <c r="L2045" s="42" t="str">
        <v>T0703</v>
      </c>
      <c r="M2045" s="121" t="str">
        <v/>
      </c>
      <c r="N2045" s="121" t="str">
        <v/>
      </c>
      <c r="O2045" s="121" t="str">
        <v/>
      </c>
      <c r="P2045" s="121" t="str">
        <v/>
      </c>
      <c r="Q2045" s="121" t="str">
        <v/>
      </c>
      <c r="R2045" s="121" t="str">
        <v/>
      </c>
      <c r="S2045" s="121" t="str">
        <v/>
      </c>
      <c r="T2045" s="119" t="str">
        <f>IF($C2045&lt;4,IF($C2045=3,T2046,IF($C2045=2,T$1,"")),Q2045&amp;R2045&amp;IF(LEN(S2045)=0,"",Preferences!$C$2&amp;S2045)&amp;IF(J2046=J2045,IF(LEN(R2045&amp;S2045)=0,"","
")&amp;T2046,""))</f>
        <v/>
      </c>
      <c r="U2045" s="122" t="str">
        <v/>
      </c>
      <c r="V2045" s="42"/>
      <c r="W2045" s="42"/>
      <c r="X2045" s="42"/>
      <c r="Y2045" s="42"/>
      <c r="Z2045" s="42"/>
      <c r="AA2045" s="42"/>
      <c r="AB2045" s="42"/>
    </row>
    <row r="2046" spans="1:28" x14ac:dyDescent="0.25">
      <c r="A2046" s="42" t="str">
        <v/>
      </c>
      <c r="B2046" s="121" t="str">
        <v/>
      </c>
      <c r="C2046" s="41" t="str">
        <v/>
      </c>
      <c r="D2046" s="41" t="str">
        <v/>
      </c>
      <c r="E2046" s="117" t="str">
        <f t="shared" si="0"/>
        <v>RD</v>
      </c>
      <c r="F2046" s="41" t="str">
        <v/>
      </c>
      <c r="G2046" s="41" t="str">
        <v/>
      </c>
      <c r="H2046" s="117">
        <f t="shared" si="1"/>
        <v>0</v>
      </c>
      <c r="I2046" s="117">
        <f t="shared" si="2"/>
        <v>7</v>
      </c>
      <c r="J2046" s="117">
        <f t="shared" si="3"/>
        <v>7.0299999999999994</v>
      </c>
      <c r="K2046" s="117" t="str">
        <f t="shared" si="4"/>
        <v>T</v>
      </c>
      <c r="L2046" s="42" t="str">
        <v>T0703</v>
      </c>
      <c r="M2046" s="121" t="str">
        <v/>
      </c>
      <c r="N2046" s="121" t="str">
        <v/>
      </c>
      <c r="O2046" s="121" t="str">
        <v/>
      </c>
      <c r="P2046" s="121" t="str">
        <v/>
      </c>
      <c r="Q2046" s="121" t="str">
        <v/>
      </c>
      <c r="R2046" s="121" t="str">
        <v/>
      </c>
      <c r="S2046" s="121" t="str">
        <v/>
      </c>
      <c r="T2046" s="119" t="str">
        <f>IF($C2046&lt;4,IF($C2046=3,T2047,IF($C2046=2,T$1,"")),Q2046&amp;R2046&amp;IF(LEN(S2046)=0,"",Preferences!$C$2&amp;S2046)&amp;IF(J2047=J2046,IF(LEN(R2046&amp;S2046)=0,"","
")&amp;T2047,""))</f>
        <v/>
      </c>
      <c r="U2046" s="122" t="str">
        <v/>
      </c>
      <c r="V2046" s="42"/>
      <c r="W2046" s="42"/>
      <c r="X2046" s="42"/>
      <c r="Y2046" s="42"/>
      <c r="Z2046" s="42"/>
      <c r="AA2046" s="42"/>
      <c r="AB2046" s="42"/>
    </row>
    <row r="2047" spans="1:28" x14ac:dyDescent="0.25">
      <c r="A2047" s="42" t="str">
        <v/>
      </c>
      <c r="B2047" s="121" t="str">
        <v/>
      </c>
      <c r="C2047" s="41" t="str">
        <v/>
      </c>
      <c r="D2047" s="41" t="str">
        <v/>
      </c>
      <c r="E2047" s="117" t="str">
        <f t="shared" si="0"/>
        <v>RD</v>
      </c>
      <c r="F2047" s="41" t="str">
        <v/>
      </c>
      <c r="G2047" s="41" t="str">
        <v/>
      </c>
      <c r="H2047" s="117">
        <f t="shared" si="1"/>
        <v>0</v>
      </c>
      <c r="I2047" s="117">
        <f t="shared" si="2"/>
        <v>7</v>
      </c>
      <c r="J2047" s="117">
        <f t="shared" si="3"/>
        <v>7.0299999999999994</v>
      </c>
      <c r="K2047" s="117" t="str">
        <f t="shared" si="4"/>
        <v>T</v>
      </c>
      <c r="L2047" s="42" t="str">
        <v>T0703</v>
      </c>
      <c r="M2047" s="121" t="str">
        <v/>
      </c>
      <c r="N2047" s="121" t="str">
        <v/>
      </c>
      <c r="O2047" s="121" t="str">
        <v/>
      </c>
      <c r="P2047" s="121" t="str">
        <v/>
      </c>
      <c r="Q2047" s="121" t="str">
        <v/>
      </c>
      <c r="R2047" s="121" t="str">
        <v/>
      </c>
      <c r="S2047" s="121" t="str">
        <v/>
      </c>
      <c r="T2047" s="119" t="str">
        <f>IF($C2047&lt;4,IF($C2047=3,T2048,IF($C2047=2,T$1,"")),Q2047&amp;R2047&amp;IF(LEN(S2047)=0,"",Preferences!$C$2&amp;S2047)&amp;IF(J2048=J2047,IF(LEN(R2047&amp;S2047)=0,"","
")&amp;T2048,""))</f>
        <v/>
      </c>
      <c r="U2047" s="122" t="str">
        <v/>
      </c>
      <c r="V2047" s="42"/>
      <c r="W2047" s="42"/>
      <c r="X2047" s="42"/>
      <c r="Y2047" s="42"/>
      <c r="Z2047" s="42"/>
      <c r="AA2047" s="42"/>
      <c r="AB2047" s="42"/>
    </row>
    <row r="2048" spans="1:28" x14ac:dyDescent="0.25">
      <c r="A2048" s="42" t="str">
        <v/>
      </c>
      <c r="B2048" s="121" t="str">
        <v/>
      </c>
      <c r="C2048" s="41" t="str">
        <v/>
      </c>
      <c r="D2048" s="41" t="str">
        <v/>
      </c>
      <c r="E2048" s="117" t="str">
        <f t="shared" si="0"/>
        <v>RD</v>
      </c>
      <c r="F2048" s="41" t="str">
        <v/>
      </c>
      <c r="G2048" s="41" t="str">
        <v/>
      </c>
      <c r="H2048" s="117">
        <f t="shared" si="1"/>
        <v>0</v>
      </c>
      <c r="I2048" s="117">
        <f t="shared" si="2"/>
        <v>7</v>
      </c>
      <c r="J2048" s="117">
        <f t="shared" si="3"/>
        <v>7.0299999999999994</v>
      </c>
      <c r="K2048" s="117" t="str">
        <f t="shared" si="4"/>
        <v>T</v>
      </c>
      <c r="L2048" s="42" t="str">
        <v>T0703</v>
      </c>
      <c r="M2048" s="121" t="str">
        <v/>
      </c>
      <c r="N2048" s="121" t="str">
        <v/>
      </c>
      <c r="O2048" s="121" t="str">
        <v/>
      </c>
      <c r="P2048" s="121" t="str">
        <v/>
      </c>
      <c r="Q2048" s="121" t="str">
        <v/>
      </c>
      <c r="R2048" s="121" t="str">
        <v/>
      </c>
      <c r="S2048" s="121" t="str">
        <v/>
      </c>
      <c r="T2048" s="119" t="str">
        <f>IF($C2048&lt;4,IF($C2048=3,T2049,IF($C2048=2,T$1,"")),Q2048&amp;R2048&amp;IF(LEN(S2048)=0,"",Preferences!$C$2&amp;S2048)&amp;IF(J2049=J2048,IF(LEN(R2048&amp;S2048)=0,"","
")&amp;T2049,""))</f>
        <v/>
      </c>
      <c r="U2048" s="122" t="str">
        <v/>
      </c>
      <c r="V2048" s="42"/>
      <c r="W2048" s="42"/>
      <c r="X2048" s="42"/>
      <c r="Y2048" s="42"/>
      <c r="Z2048" s="42"/>
      <c r="AA2048" s="42"/>
      <c r="AB2048" s="42"/>
    </row>
    <row r="2049" spans="1:28" x14ac:dyDescent="0.25">
      <c r="A2049" s="42" t="str">
        <v/>
      </c>
      <c r="B2049" s="121" t="str">
        <v/>
      </c>
      <c r="C2049" s="41" t="str">
        <v/>
      </c>
      <c r="D2049" s="41" t="str">
        <v/>
      </c>
      <c r="E2049" s="117" t="str">
        <f t="shared" si="0"/>
        <v>RD</v>
      </c>
      <c r="F2049" s="41" t="str">
        <v/>
      </c>
      <c r="G2049" s="41" t="str">
        <v/>
      </c>
      <c r="H2049" s="117">
        <f t="shared" si="1"/>
        <v>0</v>
      </c>
      <c r="I2049" s="117">
        <f t="shared" si="2"/>
        <v>7</v>
      </c>
      <c r="J2049" s="117">
        <f t="shared" si="3"/>
        <v>7.0299999999999994</v>
      </c>
      <c r="K2049" s="117" t="str">
        <f t="shared" si="4"/>
        <v>T</v>
      </c>
      <c r="L2049" s="42" t="str">
        <v>T0703</v>
      </c>
      <c r="M2049" s="121" t="str">
        <v/>
      </c>
      <c r="N2049" s="121" t="str">
        <v/>
      </c>
      <c r="O2049" s="121" t="str">
        <v/>
      </c>
      <c r="P2049" s="121" t="str">
        <v/>
      </c>
      <c r="Q2049" s="121" t="str">
        <v/>
      </c>
      <c r="R2049" s="121" t="str">
        <v/>
      </c>
      <c r="S2049" s="121" t="str">
        <v/>
      </c>
      <c r="T2049" s="119" t="str">
        <f>IF($C2049&lt;4,IF($C2049=3,T2050,IF($C2049=2,T$1,"")),Q2049&amp;R2049&amp;IF(LEN(S2049)=0,"",Preferences!$C$2&amp;S2049)&amp;IF(J2050=J2049,IF(LEN(R2049&amp;S2049)=0,"","
")&amp;T2050,""))</f>
        <v/>
      </c>
      <c r="U2049" s="122" t="str">
        <v/>
      </c>
      <c r="V2049" s="42"/>
      <c r="W2049" s="42"/>
      <c r="X2049" s="42"/>
      <c r="Y2049" s="42"/>
      <c r="Z2049" s="42"/>
      <c r="AA2049" s="42"/>
      <c r="AB2049" s="42"/>
    </row>
    <row r="2050" spans="1:28" x14ac:dyDescent="0.25">
      <c r="A2050" s="42" t="str">
        <v/>
      </c>
      <c r="B2050" s="121" t="str">
        <v/>
      </c>
      <c r="C2050" s="41" t="str">
        <v/>
      </c>
      <c r="D2050" s="41" t="str">
        <v/>
      </c>
      <c r="E2050" s="117" t="str">
        <f t="shared" si="0"/>
        <v>RD</v>
      </c>
      <c r="F2050" s="41" t="str">
        <v/>
      </c>
      <c r="G2050" s="41" t="str">
        <v/>
      </c>
      <c r="H2050" s="117">
        <f t="shared" si="1"/>
        <v>0</v>
      </c>
      <c r="I2050" s="117">
        <f t="shared" si="2"/>
        <v>7</v>
      </c>
      <c r="J2050" s="117">
        <f t="shared" si="3"/>
        <v>7.0299999999999994</v>
      </c>
      <c r="K2050" s="117" t="str">
        <f t="shared" si="4"/>
        <v>T</v>
      </c>
      <c r="L2050" s="42" t="str">
        <v>T0703</v>
      </c>
      <c r="M2050" s="121" t="str">
        <v/>
      </c>
      <c r="N2050" s="121" t="str">
        <v/>
      </c>
      <c r="O2050" s="121" t="str">
        <v/>
      </c>
      <c r="P2050" s="121" t="str">
        <v/>
      </c>
      <c r="Q2050" s="121" t="str">
        <v/>
      </c>
      <c r="R2050" s="121" t="str">
        <v/>
      </c>
      <c r="S2050" s="121" t="str">
        <v/>
      </c>
      <c r="T2050" s="119" t="str">
        <f>IF($C2050&lt;4,IF($C2050=3,T2051,IF($C2050=2,T$1,"")),Q2050&amp;R2050&amp;IF(LEN(S2050)=0,"",Preferences!$C$2&amp;S2050)&amp;IF(J2051=J2050,IF(LEN(R2050&amp;S2050)=0,"","
")&amp;T2051,""))</f>
        <v/>
      </c>
      <c r="U2050" s="122" t="str">
        <v/>
      </c>
      <c r="V2050" s="42"/>
      <c r="W2050" s="42"/>
      <c r="X2050" s="42"/>
      <c r="Y2050" s="42"/>
      <c r="Z2050" s="42"/>
      <c r="AA2050" s="42"/>
      <c r="AB2050" s="42"/>
    </row>
    <row r="2051" spans="1:28" x14ac:dyDescent="0.25">
      <c r="A2051" s="42" t="str">
        <v/>
      </c>
      <c r="B2051" s="121" t="str">
        <v/>
      </c>
      <c r="C2051" s="41" t="str">
        <v/>
      </c>
      <c r="D2051" s="41" t="str">
        <v/>
      </c>
      <c r="E2051" s="117" t="str">
        <f t="shared" si="0"/>
        <v>RD</v>
      </c>
      <c r="F2051" s="41" t="str">
        <v/>
      </c>
      <c r="G2051" s="41" t="str">
        <v/>
      </c>
      <c r="H2051" s="117">
        <f t="shared" si="1"/>
        <v>0</v>
      </c>
      <c r="I2051" s="117">
        <f t="shared" si="2"/>
        <v>7</v>
      </c>
      <c r="J2051" s="117">
        <f t="shared" si="3"/>
        <v>7.0299999999999994</v>
      </c>
      <c r="K2051" s="117" t="str">
        <f t="shared" si="4"/>
        <v>T</v>
      </c>
      <c r="L2051" s="42" t="str">
        <v>T0703</v>
      </c>
      <c r="M2051" s="121" t="str">
        <v/>
      </c>
      <c r="N2051" s="121" t="str">
        <v/>
      </c>
      <c r="O2051" s="121" t="str">
        <v/>
      </c>
      <c r="P2051" s="121" t="str">
        <v/>
      </c>
      <c r="Q2051" s="121" t="str">
        <v/>
      </c>
      <c r="R2051" s="121" t="str">
        <v/>
      </c>
      <c r="S2051" s="121" t="str">
        <v/>
      </c>
      <c r="T2051" s="119" t="str">
        <f>IF($C2051&lt;4,IF($C2051=3,T2052,IF($C2051=2,T$1,"")),Q2051&amp;R2051&amp;IF(LEN(S2051)=0,"",Preferences!$C$2&amp;S2051)&amp;IF(J2052=J2051,IF(LEN(R2051&amp;S2051)=0,"","
")&amp;T2052,""))</f>
        <v/>
      </c>
      <c r="U2051" s="122" t="str">
        <v/>
      </c>
      <c r="V2051" s="42"/>
      <c r="W2051" s="42"/>
      <c r="X2051" s="42"/>
      <c r="Y2051" s="42"/>
      <c r="Z2051" s="42"/>
      <c r="AA2051" s="42"/>
      <c r="AB2051" s="42"/>
    </row>
    <row r="2052" spans="1:28" x14ac:dyDescent="0.25">
      <c r="A2052" s="42" t="str">
        <v/>
      </c>
      <c r="B2052" s="121" t="str">
        <v/>
      </c>
      <c r="C2052" s="41" t="str">
        <v/>
      </c>
      <c r="D2052" s="41" t="str">
        <v/>
      </c>
      <c r="E2052" s="117" t="str">
        <f t="shared" si="0"/>
        <v>RD</v>
      </c>
      <c r="F2052" s="41" t="str">
        <v/>
      </c>
      <c r="G2052" s="41" t="str">
        <v/>
      </c>
      <c r="H2052" s="117">
        <f t="shared" si="1"/>
        <v>0</v>
      </c>
      <c r="I2052" s="117">
        <f t="shared" si="2"/>
        <v>7</v>
      </c>
      <c r="J2052" s="117">
        <f t="shared" si="3"/>
        <v>7.0299999999999994</v>
      </c>
      <c r="K2052" s="117" t="str">
        <f t="shared" si="4"/>
        <v>T</v>
      </c>
      <c r="L2052" s="42" t="str">
        <v>T0703</v>
      </c>
      <c r="M2052" s="121" t="str">
        <v/>
      </c>
      <c r="N2052" s="121" t="str">
        <v/>
      </c>
      <c r="O2052" s="121" t="str">
        <v/>
      </c>
      <c r="P2052" s="121" t="str">
        <v/>
      </c>
      <c r="Q2052" s="121" t="str">
        <v/>
      </c>
      <c r="R2052" s="121" t="str">
        <v/>
      </c>
      <c r="S2052" s="121" t="str">
        <v/>
      </c>
      <c r="T2052" s="119" t="str">
        <f>IF($C2052&lt;4,IF($C2052=3,T2053,IF($C2052=2,T$1,"")),Q2052&amp;R2052&amp;IF(LEN(S2052)=0,"",Preferences!$C$2&amp;S2052)&amp;IF(J2053=J2052,IF(LEN(R2052&amp;S2052)=0,"","
")&amp;T2053,""))</f>
        <v/>
      </c>
      <c r="U2052" s="122" t="str">
        <v/>
      </c>
      <c r="V2052" s="42"/>
      <c r="W2052" s="42"/>
      <c r="X2052" s="42"/>
      <c r="Y2052" s="42"/>
      <c r="Z2052" s="42"/>
      <c r="AA2052" s="42"/>
      <c r="AB2052" s="42"/>
    </row>
    <row r="2053" spans="1:28" x14ac:dyDescent="0.25">
      <c r="A2053" s="42" t="str">
        <v/>
      </c>
      <c r="B2053" s="121" t="str">
        <v/>
      </c>
      <c r="C2053" s="41" t="str">
        <v/>
      </c>
      <c r="D2053" s="41" t="str">
        <v/>
      </c>
      <c r="E2053" s="117" t="str">
        <f t="shared" si="0"/>
        <v>RD</v>
      </c>
      <c r="F2053" s="41" t="str">
        <v/>
      </c>
      <c r="G2053" s="41" t="str">
        <v/>
      </c>
      <c r="H2053" s="117">
        <f t="shared" si="1"/>
        <v>0</v>
      </c>
      <c r="I2053" s="117">
        <f t="shared" si="2"/>
        <v>7</v>
      </c>
      <c r="J2053" s="117">
        <f t="shared" si="3"/>
        <v>7.0299999999999994</v>
      </c>
      <c r="K2053" s="117" t="str">
        <f t="shared" si="4"/>
        <v>T</v>
      </c>
      <c r="L2053" s="42" t="str">
        <v>T0703</v>
      </c>
      <c r="M2053" s="121" t="str">
        <v/>
      </c>
      <c r="N2053" s="121" t="str">
        <v/>
      </c>
      <c r="O2053" s="121" t="str">
        <v/>
      </c>
      <c r="P2053" s="121" t="str">
        <v/>
      </c>
      <c r="Q2053" s="121" t="str">
        <v/>
      </c>
      <c r="R2053" s="121" t="str">
        <v/>
      </c>
      <c r="S2053" s="121" t="str">
        <v/>
      </c>
      <c r="T2053" s="119" t="str">
        <f>IF($C2053&lt;4,IF($C2053=3,T2054,IF($C2053=2,T$1,"")),Q2053&amp;R2053&amp;IF(LEN(S2053)=0,"",Preferences!$C$2&amp;S2053)&amp;IF(J2054=J2053,IF(LEN(R2053&amp;S2053)=0,"","
")&amp;T2054,""))</f>
        <v/>
      </c>
      <c r="U2053" s="122" t="str">
        <v/>
      </c>
      <c r="V2053" s="42"/>
      <c r="W2053" s="42"/>
      <c r="X2053" s="42"/>
      <c r="Y2053" s="42"/>
      <c r="Z2053" s="42"/>
      <c r="AA2053" s="42"/>
      <c r="AB2053" s="42"/>
    </row>
    <row r="2054" spans="1:28" x14ac:dyDescent="0.25">
      <c r="A2054" s="42" t="str">
        <v/>
      </c>
      <c r="B2054" s="121" t="str">
        <v/>
      </c>
      <c r="C2054" s="41" t="str">
        <v/>
      </c>
      <c r="D2054" s="41" t="str">
        <v/>
      </c>
      <c r="E2054" s="117" t="str">
        <f t="shared" si="0"/>
        <v>RD</v>
      </c>
      <c r="F2054" s="41" t="str">
        <v/>
      </c>
      <c r="G2054" s="41" t="str">
        <v/>
      </c>
      <c r="H2054" s="117">
        <f t="shared" si="1"/>
        <v>0</v>
      </c>
      <c r="I2054" s="117">
        <f t="shared" si="2"/>
        <v>7</v>
      </c>
      <c r="J2054" s="117">
        <f t="shared" si="3"/>
        <v>7.0299999999999994</v>
      </c>
      <c r="K2054" s="117" t="str">
        <f t="shared" si="4"/>
        <v>T</v>
      </c>
      <c r="L2054" s="42" t="str">
        <v>T0703</v>
      </c>
      <c r="M2054" s="121" t="str">
        <v/>
      </c>
      <c r="N2054" s="121" t="str">
        <v/>
      </c>
      <c r="O2054" s="121" t="str">
        <v/>
      </c>
      <c r="P2054" s="121" t="str">
        <v/>
      </c>
      <c r="Q2054" s="121" t="str">
        <v/>
      </c>
      <c r="R2054" s="121" t="str">
        <v/>
      </c>
      <c r="S2054" s="121" t="str">
        <v/>
      </c>
      <c r="T2054" s="119" t="str">
        <f>IF($C2054&lt;4,IF($C2054=3,T2055,IF($C2054=2,T$1,"")),Q2054&amp;R2054&amp;IF(LEN(S2054)=0,"",Preferences!$C$2&amp;S2054)&amp;IF(J2055=J2054,IF(LEN(R2054&amp;S2054)=0,"","
")&amp;T2055,""))</f>
        <v/>
      </c>
      <c r="U2054" s="122" t="str">
        <v/>
      </c>
      <c r="V2054" s="42"/>
      <c r="W2054" s="42"/>
      <c r="X2054" s="42"/>
      <c r="Y2054" s="42"/>
      <c r="Z2054" s="42"/>
      <c r="AA2054" s="42"/>
      <c r="AB2054" s="42"/>
    </row>
    <row r="2055" spans="1:28" x14ac:dyDescent="0.25">
      <c r="A2055" s="42" t="str">
        <v/>
      </c>
      <c r="B2055" s="121" t="str">
        <v/>
      </c>
      <c r="C2055" s="41" t="str">
        <v/>
      </c>
      <c r="D2055" s="41" t="str">
        <v/>
      </c>
      <c r="E2055" s="117" t="str">
        <f t="shared" si="0"/>
        <v>RD</v>
      </c>
      <c r="F2055" s="41" t="str">
        <v/>
      </c>
      <c r="G2055" s="41" t="str">
        <v/>
      </c>
      <c r="H2055" s="117">
        <f t="shared" si="1"/>
        <v>0</v>
      </c>
      <c r="I2055" s="117">
        <f t="shared" si="2"/>
        <v>7</v>
      </c>
      <c r="J2055" s="117">
        <f t="shared" si="3"/>
        <v>7.0299999999999994</v>
      </c>
      <c r="K2055" s="117" t="str">
        <f t="shared" si="4"/>
        <v>T</v>
      </c>
      <c r="L2055" s="42" t="str">
        <v>T0703</v>
      </c>
      <c r="M2055" s="121" t="str">
        <v/>
      </c>
      <c r="N2055" s="121" t="str">
        <v/>
      </c>
      <c r="O2055" s="121" t="str">
        <v/>
      </c>
      <c r="P2055" s="121" t="str">
        <v/>
      </c>
      <c r="Q2055" s="121" t="str">
        <v/>
      </c>
      <c r="R2055" s="121" t="str">
        <v/>
      </c>
      <c r="S2055" s="121" t="str">
        <v/>
      </c>
      <c r="T2055" s="119" t="str">
        <f>IF($C2055&lt;4,IF($C2055=3,T2056,IF($C2055=2,T$1,"")),Q2055&amp;R2055&amp;IF(LEN(S2055)=0,"",Preferences!$C$2&amp;S2055)&amp;IF(J2056=J2055,IF(LEN(R2055&amp;S2055)=0,"","
")&amp;T2056,""))</f>
        <v/>
      </c>
      <c r="U2055" s="122" t="str">
        <v/>
      </c>
      <c r="V2055" s="42"/>
      <c r="W2055" s="42"/>
      <c r="X2055" s="42"/>
      <c r="Y2055" s="42"/>
      <c r="Z2055" s="42"/>
      <c r="AA2055" s="42"/>
      <c r="AB2055" s="42"/>
    </row>
    <row r="2056" spans="1:28" x14ac:dyDescent="0.25">
      <c r="A2056" s="42" t="str">
        <v/>
      </c>
      <c r="B2056" s="121" t="str">
        <v/>
      </c>
      <c r="C2056" s="41" t="str">
        <v/>
      </c>
      <c r="D2056" s="41" t="str">
        <v/>
      </c>
      <c r="E2056" s="117" t="str">
        <f t="shared" si="0"/>
        <v>RD</v>
      </c>
      <c r="F2056" s="41" t="str">
        <v/>
      </c>
      <c r="G2056" s="41" t="str">
        <v/>
      </c>
      <c r="H2056" s="117">
        <f t="shared" si="1"/>
        <v>0</v>
      </c>
      <c r="I2056" s="117">
        <f t="shared" si="2"/>
        <v>7</v>
      </c>
      <c r="J2056" s="117">
        <f t="shared" si="3"/>
        <v>7.0299999999999994</v>
      </c>
      <c r="K2056" s="117" t="str">
        <f t="shared" si="4"/>
        <v>T</v>
      </c>
      <c r="L2056" s="42" t="str">
        <v>T0703</v>
      </c>
      <c r="M2056" s="121" t="str">
        <v/>
      </c>
      <c r="N2056" s="121" t="str">
        <v/>
      </c>
      <c r="O2056" s="121" t="str">
        <v/>
      </c>
      <c r="P2056" s="121" t="str">
        <v/>
      </c>
      <c r="Q2056" s="121" t="str">
        <v/>
      </c>
      <c r="R2056" s="121" t="str">
        <v/>
      </c>
      <c r="S2056" s="121" t="str">
        <v/>
      </c>
      <c r="T2056" s="119" t="str">
        <f>IF($C2056&lt;4,IF($C2056=3,T2057,IF($C2056=2,T$1,"")),Q2056&amp;R2056&amp;IF(LEN(S2056)=0,"",Preferences!$C$2&amp;S2056)&amp;IF(J2057=J2056,IF(LEN(R2056&amp;S2056)=0,"","
")&amp;T2057,""))</f>
        <v/>
      </c>
      <c r="U2056" s="122" t="str">
        <v/>
      </c>
      <c r="V2056" s="42"/>
      <c r="W2056" s="42"/>
      <c r="X2056" s="42"/>
      <c r="Y2056" s="42"/>
      <c r="Z2056" s="42"/>
      <c r="AA2056" s="42"/>
      <c r="AB2056" s="42"/>
    </row>
    <row r="2057" spans="1:28" x14ac:dyDescent="0.25">
      <c r="A2057" s="42" t="str">
        <v/>
      </c>
      <c r="B2057" s="121" t="str">
        <v/>
      </c>
      <c r="C2057" s="41" t="str">
        <v/>
      </c>
      <c r="D2057" s="41" t="str">
        <v/>
      </c>
      <c r="E2057" s="117" t="str">
        <f t="shared" si="0"/>
        <v>RD</v>
      </c>
      <c r="F2057" s="41" t="str">
        <v/>
      </c>
      <c r="G2057" s="41" t="str">
        <v/>
      </c>
      <c r="H2057" s="117">
        <f t="shared" si="1"/>
        <v>0</v>
      </c>
      <c r="I2057" s="117">
        <f t="shared" si="2"/>
        <v>7</v>
      </c>
      <c r="J2057" s="117">
        <f t="shared" si="3"/>
        <v>7.0299999999999994</v>
      </c>
      <c r="K2057" s="117" t="str">
        <f t="shared" si="4"/>
        <v>T</v>
      </c>
      <c r="L2057" s="42" t="str">
        <v>T0703</v>
      </c>
      <c r="M2057" s="121" t="str">
        <v/>
      </c>
      <c r="N2057" s="121" t="str">
        <v/>
      </c>
      <c r="O2057" s="121" t="str">
        <v/>
      </c>
      <c r="P2057" s="121" t="str">
        <v/>
      </c>
      <c r="Q2057" s="121" t="str">
        <v/>
      </c>
      <c r="R2057" s="121" t="str">
        <v/>
      </c>
      <c r="S2057" s="121" t="str">
        <v/>
      </c>
      <c r="T2057" s="119" t="str">
        <f>IF($C2057&lt;4,IF($C2057=3,T2058,IF($C2057=2,T$1,"")),Q2057&amp;R2057&amp;IF(LEN(S2057)=0,"",Preferences!$C$2&amp;S2057)&amp;IF(J2058=J2057,IF(LEN(R2057&amp;S2057)=0,"","
")&amp;T2058,""))</f>
        <v/>
      </c>
      <c r="U2057" s="122" t="str">
        <v/>
      </c>
      <c r="V2057" s="42"/>
      <c r="W2057" s="42"/>
      <c r="X2057" s="42"/>
      <c r="Y2057" s="42"/>
      <c r="Z2057" s="42"/>
      <c r="AA2057" s="42"/>
      <c r="AB2057" s="42"/>
    </row>
    <row r="2058" spans="1:28" x14ac:dyDescent="0.25">
      <c r="A2058" s="42" t="str">
        <v/>
      </c>
      <c r="B2058" s="121" t="str">
        <v/>
      </c>
      <c r="C2058" s="41" t="str">
        <v/>
      </c>
      <c r="D2058" s="41" t="str">
        <v/>
      </c>
      <c r="E2058" s="117" t="str">
        <f t="shared" si="0"/>
        <v>RD</v>
      </c>
      <c r="F2058" s="41" t="str">
        <v/>
      </c>
      <c r="G2058" s="41" t="str">
        <v/>
      </c>
      <c r="H2058" s="117">
        <f t="shared" si="1"/>
        <v>0</v>
      </c>
      <c r="I2058" s="117">
        <f t="shared" si="2"/>
        <v>7</v>
      </c>
      <c r="J2058" s="117">
        <f t="shared" si="3"/>
        <v>7.0299999999999994</v>
      </c>
      <c r="K2058" s="117" t="str">
        <f t="shared" si="4"/>
        <v>T</v>
      </c>
      <c r="L2058" s="42" t="str">
        <v>T0703</v>
      </c>
      <c r="M2058" s="121" t="str">
        <v/>
      </c>
      <c r="N2058" s="121" t="str">
        <v/>
      </c>
      <c r="O2058" s="121" t="str">
        <v/>
      </c>
      <c r="P2058" s="121" t="str">
        <v/>
      </c>
      <c r="Q2058" s="121" t="str">
        <v/>
      </c>
      <c r="R2058" s="121" t="str">
        <v/>
      </c>
      <c r="S2058" s="121" t="str">
        <v/>
      </c>
      <c r="T2058" s="119" t="str">
        <f>IF($C2058&lt;4,IF($C2058=3,T2059,IF($C2058=2,T$1,"")),Q2058&amp;R2058&amp;IF(LEN(S2058)=0,"",Preferences!$C$2&amp;S2058)&amp;IF(J2059=J2058,IF(LEN(R2058&amp;S2058)=0,"","
")&amp;T2059,""))</f>
        <v/>
      </c>
      <c r="U2058" s="122" t="str">
        <v/>
      </c>
      <c r="V2058" s="42"/>
      <c r="W2058" s="42"/>
      <c r="X2058" s="42"/>
      <c r="Y2058" s="42"/>
      <c r="Z2058" s="42"/>
      <c r="AA2058" s="42"/>
      <c r="AB2058" s="42"/>
    </row>
    <row r="2059" spans="1:28" x14ac:dyDescent="0.25">
      <c r="A2059" s="42" t="str">
        <v/>
      </c>
      <c r="B2059" s="121" t="str">
        <v/>
      </c>
      <c r="C2059" s="41" t="str">
        <v/>
      </c>
      <c r="D2059" s="41" t="str">
        <v/>
      </c>
      <c r="E2059" s="117" t="str">
        <f t="shared" si="0"/>
        <v>RD</v>
      </c>
      <c r="F2059" s="41" t="str">
        <v/>
      </c>
      <c r="G2059" s="41" t="str">
        <v/>
      </c>
      <c r="H2059" s="117">
        <f t="shared" si="1"/>
        <v>0</v>
      </c>
      <c r="I2059" s="117">
        <f t="shared" si="2"/>
        <v>7</v>
      </c>
      <c r="J2059" s="117">
        <f t="shared" si="3"/>
        <v>7.0299999999999994</v>
      </c>
      <c r="K2059" s="117" t="str">
        <f t="shared" si="4"/>
        <v>T</v>
      </c>
      <c r="L2059" s="42" t="str">
        <v>T0703</v>
      </c>
      <c r="M2059" s="121" t="str">
        <v/>
      </c>
      <c r="N2059" s="121" t="str">
        <v/>
      </c>
      <c r="O2059" s="121" t="str">
        <v/>
      </c>
      <c r="P2059" s="121" t="str">
        <v/>
      </c>
      <c r="Q2059" s="121" t="str">
        <v/>
      </c>
      <c r="R2059" s="121" t="str">
        <v/>
      </c>
      <c r="S2059" s="121" t="str">
        <v/>
      </c>
      <c r="T2059" s="119" t="str">
        <f>IF($C2059&lt;4,IF($C2059=3,T2060,IF($C2059=2,T$1,"")),Q2059&amp;R2059&amp;IF(LEN(S2059)=0,"",Preferences!$C$2&amp;S2059)&amp;IF(J2060=J2059,IF(LEN(R2059&amp;S2059)=0,"","
")&amp;T2060,""))</f>
        <v/>
      </c>
      <c r="U2059" s="122" t="str">
        <v/>
      </c>
      <c r="V2059" s="42"/>
      <c r="W2059" s="42"/>
      <c r="X2059" s="42"/>
      <c r="Y2059" s="42"/>
      <c r="Z2059" s="42"/>
      <c r="AA2059" s="42"/>
      <c r="AB2059" s="42"/>
    </row>
    <row r="2060" spans="1:28" x14ac:dyDescent="0.25">
      <c r="A2060" s="42" t="str">
        <v/>
      </c>
      <c r="B2060" s="121" t="str">
        <v/>
      </c>
      <c r="C2060" s="41" t="str">
        <v/>
      </c>
      <c r="D2060" s="41" t="str">
        <v/>
      </c>
      <c r="E2060" s="117" t="str">
        <f t="shared" si="0"/>
        <v>RD</v>
      </c>
      <c r="F2060" s="41" t="str">
        <v/>
      </c>
      <c r="G2060" s="41" t="str">
        <v/>
      </c>
      <c r="H2060" s="117">
        <f t="shared" si="1"/>
        <v>0</v>
      </c>
      <c r="I2060" s="117">
        <f t="shared" si="2"/>
        <v>7</v>
      </c>
      <c r="J2060" s="117">
        <f t="shared" si="3"/>
        <v>7.0299999999999994</v>
      </c>
      <c r="K2060" s="117" t="str">
        <f t="shared" si="4"/>
        <v>T</v>
      </c>
      <c r="L2060" s="42" t="str">
        <v>T0703</v>
      </c>
      <c r="M2060" s="121" t="str">
        <v/>
      </c>
      <c r="N2060" s="121" t="str">
        <v/>
      </c>
      <c r="O2060" s="121" t="str">
        <v/>
      </c>
      <c r="P2060" s="121" t="str">
        <v/>
      </c>
      <c r="Q2060" s="121" t="str">
        <v/>
      </c>
      <c r="R2060" s="121" t="str">
        <v/>
      </c>
      <c r="S2060" s="121" t="str">
        <v/>
      </c>
      <c r="T2060" s="119" t="str">
        <f>IF($C2060&lt;4,IF($C2060=3,T2061,IF($C2060=2,T$1,"")),Q2060&amp;R2060&amp;IF(LEN(S2060)=0,"",Preferences!$C$2&amp;S2060)&amp;IF(J2061=J2060,IF(LEN(R2060&amp;S2060)=0,"","
")&amp;T2061,""))</f>
        <v/>
      </c>
      <c r="U2060" s="122" t="str">
        <v/>
      </c>
      <c r="V2060" s="42"/>
      <c r="W2060" s="42"/>
      <c r="X2060" s="42"/>
      <c r="Y2060" s="42"/>
      <c r="Z2060" s="42"/>
      <c r="AA2060" s="42"/>
      <c r="AB2060" s="42"/>
    </row>
    <row r="2061" spans="1:28" x14ac:dyDescent="0.25">
      <c r="A2061" s="42" t="str">
        <v/>
      </c>
      <c r="B2061" s="121" t="str">
        <v/>
      </c>
      <c r="C2061" s="41" t="str">
        <v/>
      </c>
      <c r="D2061" s="41" t="str">
        <v/>
      </c>
      <c r="E2061" s="117" t="str">
        <f t="shared" si="0"/>
        <v>RD</v>
      </c>
      <c r="F2061" s="41" t="str">
        <v/>
      </c>
      <c r="G2061" s="41" t="str">
        <v/>
      </c>
      <c r="H2061" s="117">
        <f t="shared" si="1"/>
        <v>0</v>
      </c>
      <c r="I2061" s="117">
        <f t="shared" si="2"/>
        <v>7</v>
      </c>
      <c r="J2061" s="117">
        <f t="shared" si="3"/>
        <v>7.0299999999999994</v>
      </c>
      <c r="K2061" s="117" t="str">
        <f t="shared" si="4"/>
        <v>T</v>
      </c>
      <c r="L2061" s="42" t="str">
        <v>T0703</v>
      </c>
      <c r="M2061" s="121" t="str">
        <v/>
      </c>
      <c r="N2061" s="121" t="str">
        <v/>
      </c>
      <c r="O2061" s="121" t="str">
        <v/>
      </c>
      <c r="P2061" s="121" t="str">
        <v/>
      </c>
      <c r="Q2061" s="121" t="str">
        <v/>
      </c>
      <c r="R2061" s="121" t="str">
        <v/>
      </c>
      <c r="S2061" s="121" t="str">
        <v/>
      </c>
      <c r="T2061" s="119" t="str">
        <f>IF($C2061&lt;4,IF($C2061=3,T2062,IF($C2061=2,T$1,"")),Q2061&amp;R2061&amp;IF(LEN(S2061)=0,"",Preferences!$C$2&amp;S2061)&amp;IF(J2062=J2061,IF(LEN(R2061&amp;S2061)=0,"","
")&amp;T2062,""))</f>
        <v/>
      </c>
      <c r="U2061" s="122" t="str">
        <v/>
      </c>
      <c r="V2061" s="42"/>
      <c r="W2061" s="42"/>
      <c r="X2061" s="42"/>
      <c r="Y2061" s="42"/>
      <c r="Z2061" s="42"/>
      <c r="AA2061" s="42"/>
      <c r="AB2061" s="42"/>
    </row>
    <row r="2062" spans="1:28" x14ac:dyDescent="0.25">
      <c r="A2062" s="42" t="str">
        <v/>
      </c>
      <c r="B2062" s="121" t="str">
        <v/>
      </c>
      <c r="C2062" s="41" t="str">
        <v/>
      </c>
      <c r="D2062" s="41" t="str">
        <v/>
      </c>
      <c r="E2062" s="117" t="str">
        <f t="shared" si="0"/>
        <v>RD</v>
      </c>
      <c r="F2062" s="41" t="str">
        <v/>
      </c>
      <c r="G2062" s="41" t="str">
        <v/>
      </c>
      <c r="H2062" s="117">
        <f t="shared" si="1"/>
        <v>0</v>
      </c>
      <c r="I2062" s="117">
        <f t="shared" si="2"/>
        <v>7</v>
      </c>
      <c r="J2062" s="117">
        <f t="shared" si="3"/>
        <v>7.0299999999999994</v>
      </c>
      <c r="K2062" s="117" t="str">
        <f t="shared" si="4"/>
        <v>T</v>
      </c>
      <c r="L2062" s="42" t="str">
        <v>T0703</v>
      </c>
      <c r="M2062" s="121" t="str">
        <v/>
      </c>
      <c r="N2062" s="121" t="str">
        <v/>
      </c>
      <c r="O2062" s="121" t="str">
        <v/>
      </c>
      <c r="P2062" s="121" t="str">
        <v/>
      </c>
      <c r="Q2062" s="121" t="str">
        <v/>
      </c>
      <c r="R2062" s="121" t="str">
        <v/>
      </c>
      <c r="S2062" s="121" t="str">
        <v/>
      </c>
      <c r="T2062" s="119" t="str">
        <f>IF($C2062&lt;4,IF($C2062=3,T2063,IF($C2062=2,T$1,"")),Q2062&amp;R2062&amp;IF(LEN(S2062)=0,"",Preferences!$C$2&amp;S2062)&amp;IF(J2063=J2062,IF(LEN(R2062&amp;S2062)=0,"","
")&amp;T2063,""))</f>
        <v/>
      </c>
      <c r="U2062" s="122" t="str">
        <v/>
      </c>
      <c r="V2062" s="42"/>
      <c r="W2062" s="42"/>
      <c r="X2062" s="42"/>
      <c r="Y2062" s="42"/>
      <c r="Z2062" s="42"/>
      <c r="AA2062" s="42"/>
      <c r="AB2062" s="42"/>
    </row>
    <row r="2063" spans="1:28" x14ac:dyDescent="0.25">
      <c r="A2063" s="42" t="str">
        <v/>
      </c>
      <c r="B2063" s="121" t="str">
        <v/>
      </c>
      <c r="C2063" s="41" t="str">
        <v/>
      </c>
      <c r="D2063" s="41" t="str">
        <v/>
      </c>
      <c r="E2063" s="117" t="str">
        <f t="shared" si="0"/>
        <v>RD</v>
      </c>
      <c r="F2063" s="41" t="str">
        <v/>
      </c>
      <c r="G2063" s="41" t="str">
        <v/>
      </c>
      <c r="H2063" s="117">
        <f t="shared" si="1"/>
        <v>0</v>
      </c>
      <c r="I2063" s="117">
        <f t="shared" si="2"/>
        <v>7</v>
      </c>
      <c r="J2063" s="117">
        <f t="shared" si="3"/>
        <v>7.0299999999999994</v>
      </c>
      <c r="K2063" s="117" t="str">
        <f t="shared" si="4"/>
        <v>T</v>
      </c>
      <c r="L2063" s="42" t="str">
        <v>T0703</v>
      </c>
      <c r="M2063" s="121" t="str">
        <v/>
      </c>
      <c r="N2063" s="121" t="str">
        <v/>
      </c>
      <c r="O2063" s="121" t="str">
        <v/>
      </c>
      <c r="P2063" s="121" t="str">
        <v/>
      </c>
      <c r="Q2063" s="121" t="str">
        <v/>
      </c>
      <c r="R2063" s="121" t="str">
        <v/>
      </c>
      <c r="S2063" s="121" t="str">
        <v/>
      </c>
      <c r="T2063" s="119" t="str">
        <f>IF($C2063&lt;4,IF($C2063=3,T2064,IF($C2063=2,T$1,"")),Q2063&amp;R2063&amp;IF(LEN(S2063)=0,"",Preferences!$C$2&amp;S2063)&amp;IF(J2064=J2063,IF(LEN(R2063&amp;S2063)=0,"","
")&amp;T2064,""))</f>
        <v/>
      </c>
      <c r="U2063" s="122" t="str">
        <v/>
      </c>
      <c r="V2063" s="42"/>
      <c r="W2063" s="42"/>
      <c r="X2063" s="42"/>
      <c r="Y2063" s="42"/>
      <c r="Z2063" s="42"/>
      <c r="AA2063" s="42"/>
      <c r="AB2063" s="42"/>
    </row>
    <row r="2064" spans="1:28" x14ac:dyDescent="0.25">
      <c r="A2064" s="42" t="str">
        <v/>
      </c>
      <c r="B2064" s="121" t="str">
        <v/>
      </c>
      <c r="C2064" s="41" t="str">
        <v/>
      </c>
      <c r="D2064" s="41" t="str">
        <v/>
      </c>
      <c r="E2064" s="117" t="str">
        <f t="shared" si="0"/>
        <v>RD</v>
      </c>
      <c r="F2064" s="41" t="str">
        <v/>
      </c>
      <c r="G2064" s="41" t="str">
        <v/>
      </c>
      <c r="H2064" s="117">
        <f t="shared" si="1"/>
        <v>0</v>
      </c>
      <c r="I2064" s="117">
        <f t="shared" si="2"/>
        <v>7</v>
      </c>
      <c r="J2064" s="117">
        <f t="shared" si="3"/>
        <v>7.0299999999999994</v>
      </c>
      <c r="K2064" s="117" t="str">
        <f t="shared" si="4"/>
        <v>T</v>
      </c>
      <c r="L2064" s="42" t="str">
        <v>T0703</v>
      </c>
      <c r="M2064" s="121" t="str">
        <v/>
      </c>
      <c r="N2064" s="121" t="str">
        <v/>
      </c>
      <c r="O2064" s="121" t="str">
        <v/>
      </c>
      <c r="P2064" s="121" t="str">
        <v/>
      </c>
      <c r="Q2064" s="121" t="str">
        <v/>
      </c>
      <c r="R2064" s="121" t="str">
        <v/>
      </c>
      <c r="S2064" s="121" t="str">
        <v/>
      </c>
      <c r="T2064" s="119" t="str">
        <f>IF($C2064&lt;4,IF($C2064=3,T2065,IF($C2064=2,T$1,"")),Q2064&amp;R2064&amp;IF(LEN(S2064)=0,"",Preferences!$C$2&amp;S2064)&amp;IF(J2065=J2064,IF(LEN(R2064&amp;S2064)=0,"","
")&amp;T2065,""))</f>
        <v/>
      </c>
      <c r="U2064" s="122" t="str">
        <v/>
      </c>
      <c r="V2064" s="42"/>
      <c r="W2064" s="42"/>
      <c r="X2064" s="42"/>
      <c r="Y2064" s="42"/>
      <c r="Z2064" s="42"/>
      <c r="AA2064" s="42"/>
      <c r="AB2064" s="42"/>
    </row>
    <row r="2065" spans="1:28" x14ac:dyDescent="0.25">
      <c r="A2065" s="42" t="str">
        <v/>
      </c>
      <c r="B2065" s="121" t="str">
        <v/>
      </c>
      <c r="C2065" s="41" t="str">
        <v/>
      </c>
      <c r="D2065" s="41" t="str">
        <v/>
      </c>
      <c r="E2065" s="117" t="str">
        <f t="shared" si="0"/>
        <v>RD</v>
      </c>
      <c r="F2065" s="41" t="str">
        <v/>
      </c>
      <c r="G2065" s="41" t="str">
        <v/>
      </c>
      <c r="H2065" s="117">
        <f t="shared" si="1"/>
        <v>0</v>
      </c>
      <c r="I2065" s="117">
        <f t="shared" si="2"/>
        <v>7</v>
      </c>
      <c r="J2065" s="117">
        <f t="shared" si="3"/>
        <v>7.0299999999999994</v>
      </c>
      <c r="K2065" s="117" t="str">
        <f t="shared" si="4"/>
        <v>T</v>
      </c>
      <c r="L2065" s="42" t="str">
        <v>T0703</v>
      </c>
      <c r="M2065" s="121" t="str">
        <v/>
      </c>
      <c r="N2065" s="121" t="str">
        <v/>
      </c>
      <c r="O2065" s="121" t="str">
        <v/>
      </c>
      <c r="P2065" s="121" t="str">
        <v/>
      </c>
      <c r="Q2065" s="121" t="str">
        <v/>
      </c>
      <c r="R2065" s="121" t="str">
        <v/>
      </c>
      <c r="S2065" s="121" t="str">
        <v/>
      </c>
      <c r="T2065" s="119" t="str">
        <f>IF($C2065&lt;4,IF($C2065=3,T2066,IF($C2065=2,T$1,"")),Q2065&amp;R2065&amp;IF(LEN(S2065)=0,"",Preferences!$C$2&amp;S2065)&amp;IF(J2066=J2065,IF(LEN(R2065&amp;S2065)=0,"","
")&amp;T2066,""))</f>
        <v/>
      </c>
      <c r="U2065" s="122" t="str">
        <v/>
      </c>
      <c r="V2065" s="42"/>
      <c r="W2065" s="42"/>
      <c r="X2065" s="42"/>
      <c r="Y2065" s="42"/>
      <c r="Z2065" s="42"/>
      <c r="AA2065" s="42"/>
      <c r="AB2065" s="42"/>
    </row>
    <row r="2066" spans="1:28" x14ac:dyDescent="0.25">
      <c r="A2066" s="42" t="str">
        <v/>
      </c>
      <c r="B2066" s="121" t="str">
        <v/>
      </c>
      <c r="C2066" s="41" t="str">
        <v/>
      </c>
      <c r="D2066" s="41" t="str">
        <v/>
      </c>
      <c r="E2066" s="117" t="str">
        <f t="shared" si="0"/>
        <v>RD</v>
      </c>
      <c r="F2066" s="41" t="str">
        <v/>
      </c>
      <c r="G2066" s="41" t="str">
        <v/>
      </c>
      <c r="H2066" s="117">
        <f t="shared" si="1"/>
        <v>0</v>
      </c>
      <c r="I2066" s="117">
        <f t="shared" si="2"/>
        <v>7</v>
      </c>
      <c r="J2066" s="117">
        <f t="shared" si="3"/>
        <v>7.0299999999999994</v>
      </c>
      <c r="K2066" s="117" t="str">
        <f t="shared" si="4"/>
        <v>T</v>
      </c>
      <c r="L2066" s="42" t="str">
        <v>T0703</v>
      </c>
      <c r="M2066" s="121" t="str">
        <v/>
      </c>
      <c r="N2066" s="121" t="str">
        <v/>
      </c>
      <c r="O2066" s="121" t="str">
        <v/>
      </c>
      <c r="P2066" s="121" t="str">
        <v/>
      </c>
      <c r="Q2066" s="121" t="str">
        <v/>
      </c>
      <c r="R2066" s="121" t="str">
        <v/>
      </c>
      <c r="S2066" s="121" t="str">
        <v/>
      </c>
      <c r="T2066" s="119" t="str">
        <f>IF($C2066&lt;4,IF($C2066=3,T2067,IF($C2066=2,T$1,"")),Q2066&amp;R2066&amp;IF(LEN(S2066)=0,"",Preferences!$C$2&amp;S2066)&amp;IF(J2067=J2066,IF(LEN(R2066&amp;S2066)=0,"","
")&amp;T2067,""))</f>
        <v/>
      </c>
      <c r="U2066" s="122" t="str">
        <v/>
      </c>
      <c r="V2066" s="42"/>
      <c r="W2066" s="42"/>
      <c r="X2066" s="42"/>
      <c r="Y2066" s="42"/>
      <c r="Z2066" s="42"/>
      <c r="AA2066" s="42"/>
      <c r="AB2066" s="42"/>
    </row>
    <row r="2067" spans="1:28" x14ac:dyDescent="0.25">
      <c r="A2067" s="42" t="str">
        <v/>
      </c>
      <c r="B2067" s="121" t="str">
        <v/>
      </c>
      <c r="C2067" s="41" t="str">
        <v/>
      </c>
      <c r="D2067" s="41" t="str">
        <v/>
      </c>
      <c r="E2067" s="117" t="str">
        <f t="shared" si="0"/>
        <v>RD</v>
      </c>
      <c r="F2067" s="41" t="str">
        <v/>
      </c>
      <c r="G2067" s="41" t="str">
        <v/>
      </c>
      <c r="H2067" s="117">
        <f t="shared" si="1"/>
        <v>0</v>
      </c>
      <c r="I2067" s="117">
        <f t="shared" si="2"/>
        <v>7</v>
      </c>
      <c r="J2067" s="117">
        <f t="shared" si="3"/>
        <v>7.0299999999999994</v>
      </c>
      <c r="K2067" s="117" t="str">
        <f t="shared" si="4"/>
        <v>T</v>
      </c>
      <c r="L2067" s="42" t="str">
        <v>T0703</v>
      </c>
      <c r="M2067" s="121" t="str">
        <v/>
      </c>
      <c r="N2067" s="121" t="str">
        <v/>
      </c>
      <c r="O2067" s="121" t="str">
        <v/>
      </c>
      <c r="P2067" s="121" t="str">
        <v/>
      </c>
      <c r="Q2067" s="121" t="str">
        <v/>
      </c>
      <c r="R2067" s="121" t="str">
        <v/>
      </c>
      <c r="S2067" s="121" t="str">
        <v/>
      </c>
      <c r="T2067" s="119" t="str">
        <f>IF($C2067&lt;4,IF($C2067=3,T2068,IF($C2067=2,T$1,"")),Q2067&amp;R2067&amp;IF(LEN(S2067)=0,"",Preferences!$C$2&amp;S2067)&amp;IF(J2068=J2067,IF(LEN(R2067&amp;S2067)=0,"","
")&amp;T2068,""))</f>
        <v/>
      </c>
      <c r="U2067" s="122" t="str">
        <v/>
      </c>
      <c r="V2067" s="42"/>
      <c r="W2067" s="42"/>
      <c r="X2067" s="42"/>
      <c r="Y2067" s="42"/>
      <c r="Z2067" s="42"/>
      <c r="AA2067" s="42"/>
      <c r="AB2067" s="42"/>
    </row>
    <row r="2068" spans="1:28" x14ac:dyDescent="0.25">
      <c r="A2068" s="42" t="str">
        <v/>
      </c>
      <c r="B2068" s="121" t="str">
        <v/>
      </c>
      <c r="C2068" s="41" t="str">
        <v/>
      </c>
      <c r="D2068" s="41" t="str">
        <v/>
      </c>
      <c r="E2068" s="117" t="str">
        <f t="shared" si="0"/>
        <v>RD</v>
      </c>
      <c r="F2068" s="41" t="str">
        <v/>
      </c>
      <c r="G2068" s="41" t="str">
        <v/>
      </c>
      <c r="H2068" s="117">
        <f t="shared" si="1"/>
        <v>0</v>
      </c>
      <c r="I2068" s="117">
        <f t="shared" si="2"/>
        <v>7</v>
      </c>
      <c r="J2068" s="117">
        <f t="shared" si="3"/>
        <v>7.0299999999999994</v>
      </c>
      <c r="K2068" s="117" t="str">
        <f t="shared" si="4"/>
        <v>T</v>
      </c>
      <c r="L2068" s="42" t="str">
        <v>T0703</v>
      </c>
      <c r="M2068" s="121" t="str">
        <v/>
      </c>
      <c r="N2068" s="121" t="str">
        <v/>
      </c>
      <c r="O2068" s="121" t="str">
        <v/>
      </c>
      <c r="P2068" s="121" t="str">
        <v/>
      </c>
      <c r="Q2068" s="121" t="str">
        <v/>
      </c>
      <c r="R2068" s="121" t="str">
        <v/>
      </c>
      <c r="S2068" s="121" t="str">
        <v/>
      </c>
      <c r="T2068" s="119" t="str">
        <f>IF($C2068&lt;4,IF($C2068=3,T2069,IF($C2068=2,T$1,"")),Q2068&amp;R2068&amp;IF(LEN(S2068)=0,"",Preferences!$C$2&amp;S2068)&amp;IF(J2069=J2068,IF(LEN(R2068&amp;S2068)=0,"","
")&amp;T2069,""))</f>
        <v/>
      </c>
      <c r="U2068" s="122" t="str">
        <v/>
      </c>
      <c r="V2068" s="42"/>
      <c r="W2068" s="42"/>
      <c r="X2068" s="42"/>
      <c r="Y2068" s="42"/>
      <c r="Z2068" s="42"/>
      <c r="AA2068" s="42"/>
      <c r="AB2068" s="42"/>
    </row>
    <row r="2069" spans="1:28" x14ac:dyDescent="0.25">
      <c r="A2069" s="42" t="str">
        <v/>
      </c>
      <c r="B2069" s="121" t="str">
        <v/>
      </c>
      <c r="C2069" s="41" t="str">
        <v/>
      </c>
      <c r="D2069" s="41" t="str">
        <v/>
      </c>
      <c r="E2069" s="117" t="str">
        <f t="shared" si="0"/>
        <v>RD</v>
      </c>
      <c r="F2069" s="41" t="str">
        <v/>
      </c>
      <c r="G2069" s="41" t="str">
        <v/>
      </c>
      <c r="H2069" s="117">
        <f t="shared" si="1"/>
        <v>0</v>
      </c>
      <c r="I2069" s="117">
        <f t="shared" si="2"/>
        <v>7</v>
      </c>
      <c r="J2069" s="117">
        <f t="shared" si="3"/>
        <v>7.0299999999999994</v>
      </c>
      <c r="K2069" s="117" t="str">
        <f t="shared" si="4"/>
        <v>T</v>
      </c>
      <c r="L2069" s="42" t="str">
        <v>T0703</v>
      </c>
      <c r="M2069" s="121" t="str">
        <v/>
      </c>
      <c r="N2069" s="121" t="str">
        <v/>
      </c>
      <c r="O2069" s="121" t="str">
        <v/>
      </c>
      <c r="P2069" s="121" t="str">
        <v/>
      </c>
      <c r="Q2069" s="121" t="str">
        <v/>
      </c>
      <c r="R2069" s="121" t="str">
        <v/>
      </c>
      <c r="S2069" s="121" t="str">
        <v/>
      </c>
      <c r="T2069" s="119" t="str">
        <f>IF($C2069&lt;4,IF($C2069=3,T2070,IF($C2069=2,T$1,"")),Q2069&amp;R2069&amp;IF(LEN(S2069)=0,"",Preferences!$C$2&amp;S2069)&amp;IF(J2070=J2069,IF(LEN(R2069&amp;S2069)=0,"","
")&amp;T2070,""))</f>
        <v/>
      </c>
      <c r="U2069" s="122" t="str">
        <v/>
      </c>
      <c r="V2069" s="42"/>
      <c r="W2069" s="42"/>
      <c r="X2069" s="42"/>
      <c r="Y2069" s="42"/>
      <c r="Z2069" s="42"/>
      <c r="AA2069" s="42"/>
      <c r="AB2069" s="42"/>
    </row>
    <row r="2070" spans="1:28" x14ac:dyDescent="0.25">
      <c r="A2070" s="42" t="str">
        <v/>
      </c>
      <c r="B2070" s="121" t="str">
        <v/>
      </c>
      <c r="C2070" s="41" t="str">
        <v/>
      </c>
      <c r="D2070" s="41" t="str">
        <v/>
      </c>
      <c r="E2070" s="117" t="str">
        <f t="shared" si="0"/>
        <v>RD</v>
      </c>
      <c r="F2070" s="41" t="str">
        <v/>
      </c>
      <c r="G2070" s="41" t="str">
        <v/>
      </c>
      <c r="H2070" s="117">
        <f t="shared" si="1"/>
        <v>0</v>
      </c>
      <c r="I2070" s="117">
        <f t="shared" si="2"/>
        <v>7</v>
      </c>
      <c r="J2070" s="117">
        <f t="shared" si="3"/>
        <v>7.0299999999999994</v>
      </c>
      <c r="K2070" s="117" t="str">
        <f t="shared" si="4"/>
        <v>T</v>
      </c>
      <c r="L2070" s="42" t="str">
        <v>T0703</v>
      </c>
      <c r="M2070" s="121" t="str">
        <v/>
      </c>
      <c r="N2070" s="121" t="str">
        <v/>
      </c>
      <c r="O2070" s="121" t="str">
        <v/>
      </c>
      <c r="P2070" s="121" t="str">
        <v/>
      </c>
      <c r="Q2070" s="121" t="str">
        <v/>
      </c>
      <c r="R2070" s="121" t="str">
        <v/>
      </c>
      <c r="S2070" s="121" t="str">
        <v/>
      </c>
      <c r="T2070" s="119" t="str">
        <f>IF($C2070&lt;4,IF($C2070=3,T2071,IF($C2070=2,T$1,"")),Q2070&amp;R2070&amp;IF(LEN(S2070)=0,"",Preferences!$C$2&amp;S2070)&amp;IF(J2071=J2070,IF(LEN(R2070&amp;S2070)=0,"","
")&amp;T2071,""))</f>
        <v/>
      </c>
      <c r="U2070" s="122" t="str">
        <v/>
      </c>
      <c r="V2070" s="42"/>
      <c r="W2070" s="42"/>
      <c r="X2070" s="42"/>
      <c r="Y2070" s="42"/>
      <c r="Z2070" s="42"/>
      <c r="AA2070" s="42"/>
      <c r="AB2070" s="42"/>
    </row>
    <row r="2071" spans="1:28" x14ac:dyDescent="0.25">
      <c r="A2071" s="42" t="str">
        <v/>
      </c>
      <c r="B2071" s="121" t="str">
        <v/>
      </c>
      <c r="C2071" s="41" t="str">
        <v/>
      </c>
      <c r="D2071" s="41" t="str">
        <v/>
      </c>
      <c r="E2071" s="117" t="str">
        <f t="shared" si="0"/>
        <v>RD</v>
      </c>
      <c r="F2071" s="41" t="str">
        <v/>
      </c>
      <c r="G2071" s="41" t="str">
        <v/>
      </c>
      <c r="H2071" s="117">
        <f t="shared" si="1"/>
        <v>0</v>
      </c>
      <c r="I2071" s="117">
        <f t="shared" si="2"/>
        <v>7</v>
      </c>
      <c r="J2071" s="117">
        <f t="shared" si="3"/>
        <v>7.0299999999999994</v>
      </c>
      <c r="K2071" s="117" t="str">
        <f t="shared" si="4"/>
        <v>T</v>
      </c>
      <c r="L2071" s="42" t="str">
        <v>T0703</v>
      </c>
      <c r="M2071" s="121" t="str">
        <v/>
      </c>
      <c r="N2071" s="121" t="str">
        <v/>
      </c>
      <c r="O2071" s="121" t="str">
        <v/>
      </c>
      <c r="P2071" s="121" t="str">
        <v/>
      </c>
      <c r="Q2071" s="121" t="str">
        <v/>
      </c>
      <c r="R2071" s="121" t="str">
        <v/>
      </c>
      <c r="S2071" s="121" t="str">
        <v/>
      </c>
      <c r="T2071" s="119" t="str">
        <f>IF($C2071&lt;4,IF($C2071=3,T2072,IF($C2071=2,T$1,"")),Q2071&amp;R2071&amp;IF(LEN(S2071)=0,"",Preferences!$C$2&amp;S2071)&amp;IF(J2072=J2071,IF(LEN(R2071&amp;S2071)=0,"","
")&amp;T2072,""))</f>
        <v/>
      </c>
      <c r="U2071" s="122" t="str">
        <v/>
      </c>
      <c r="V2071" s="42"/>
      <c r="W2071" s="42"/>
      <c r="X2071" s="42"/>
      <c r="Y2071" s="42"/>
      <c r="Z2071" s="42"/>
      <c r="AA2071" s="42"/>
      <c r="AB2071" s="42"/>
    </row>
    <row r="2072" spans="1:28" x14ac:dyDescent="0.25">
      <c r="A2072" s="42" t="str">
        <v/>
      </c>
      <c r="B2072" s="121" t="str">
        <v/>
      </c>
      <c r="C2072" s="41" t="str">
        <v/>
      </c>
      <c r="D2072" s="41" t="str">
        <v/>
      </c>
      <c r="E2072" s="117" t="str">
        <f t="shared" si="0"/>
        <v>RD</v>
      </c>
      <c r="F2072" s="41" t="str">
        <v/>
      </c>
      <c r="G2072" s="41" t="str">
        <v/>
      </c>
      <c r="H2072" s="117">
        <f t="shared" si="1"/>
        <v>0</v>
      </c>
      <c r="I2072" s="117">
        <f t="shared" si="2"/>
        <v>7</v>
      </c>
      <c r="J2072" s="117">
        <f t="shared" si="3"/>
        <v>7.0299999999999994</v>
      </c>
      <c r="K2072" s="117" t="str">
        <f t="shared" si="4"/>
        <v>T</v>
      </c>
      <c r="L2072" s="42" t="str">
        <v>T0703</v>
      </c>
      <c r="M2072" s="121" t="str">
        <v/>
      </c>
      <c r="N2072" s="121" t="str">
        <v/>
      </c>
      <c r="O2072" s="121" t="str">
        <v/>
      </c>
      <c r="P2072" s="121" t="str">
        <v/>
      </c>
      <c r="Q2072" s="121" t="str">
        <v/>
      </c>
      <c r="R2072" s="121" t="str">
        <v/>
      </c>
      <c r="S2072" s="121" t="str">
        <v/>
      </c>
      <c r="T2072" s="119" t="str">
        <f>IF($C2072&lt;4,IF($C2072=3,T2073,IF($C2072=2,T$1,"")),Q2072&amp;R2072&amp;IF(LEN(S2072)=0,"",Preferences!$C$2&amp;S2072)&amp;IF(J2073=J2072,IF(LEN(R2072&amp;S2072)=0,"","
")&amp;T2073,""))</f>
        <v/>
      </c>
      <c r="U2072" s="122" t="str">
        <v/>
      </c>
      <c r="V2072" s="42"/>
      <c r="W2072" s="42"/>
      <c r="X2072" s="42"/>
      <c r="Y2072" s="42"/>
      <c r="Z2072" s="42"/>
      <c r="AA2072" s="42"/>
      <c r="AB2072" s="42"/>
    </row>
    <row r="2073" spans="1:28" x14ac:dyDescent="0.25">
      <c r="A2073" s="42" t="str">
        <v/>
      </c>
      <c r="B2073" s="121" t="str">
        <v/>
      </c>
      <c r="C2073" s="41" t="str">
        <v/>
      </c>
      <c r="D2073" s="41" t="str">
        <v/>
      </c>
      <c r="E2073" s="117" t="str">
        <f t="shared" si="0"/>
        <v>RD</v>
      </c>
      <c r="F2073" s="41" t="str">
        <v/>
      </c>
      <c r="G2073" s="41" t="str">
        <v/>
      </c>
      <c r="H2073" s="117">
        <f t="shared" si="1"/>
        <v>0</v>
      </c>
      <c r="I2073" s="117">
        <f t="shared" si="2"/>
        <v>7</v>
      </c>
      <c r="J2073" s="117">
        <f t="shared" si="3"/>
        <v>7.0299999999999994</v>
      </c>
      <c r="K2073" s="117" t="str">
        <f t="shared" si="4"/>
        <v>T</v>
      </c>
      <c r="L2073" s="42" t="str">
        <v>T0703</v>
      </c>
      <c r="M2073" s="121" t="str">
        <v/>
      </c>
      <c r="N2073" s="121" t="str">
        <v/>
      </c>
      <c r="O2073" s="121" t="str">
        <v/>
      </c>
      <c r="P2073" s="121" t="str">
        <v/>
      </c>
      <c r="Q2073" s="121" t="str">
        <v/>
      </c>
      <c r="R2073" s="121" t="str">
        <v/>
      </c>
      <c r="S2073" s="121" t="str">
        <v/>
      </c>
      <c r="T2073" s="119" t="str">
        <f>IF($C2073&lt;4,IF($C2073=3,T2074,IF($C2073=2,T$1,"")),Q2073&amp;R2073&amp;IF(LEN(S2073)=0,"",Preferences!$C$2&amp;S2073)&amp;IF(J2074=J2073,IF(LEN(R2073&amp;S2073)=0,"","
")&amp;T2074,""))</f>
        <v/>
      </c>
      <c r="U2073" s="122" t="str">
        <v/>
      </c>
      <c r="V2073" s="42"/>
      <c r="W2073" s="42"/>
      <c r="X2073" s="42"/>
      <c r="Y2073" s="42"/>
      <c r="Z2073" s="42"/>
      <c r="AA2073" s="42"/>
      <c r="AB2073" s="42"/>
    </row>
    <row r="2074" spans="1:28" x14ac:dyDescent="0.25">
      <c r="A2074" s="42" t="str">
        <v/>
      </c>
      <c r="B2074" s="121" t="str">
        <v/>
      </c>
      <c r="C2074" s="41" t="str">
        <v/>
      </c>
      <c r="D2074" s="41" t="str">
        <v/>
      </c>
      <c r="E2074" s="117" t="str">
        <f t="shared" si="0"/>
        <v>RD</v>
      </c>
      <c r="F2074" s="41" t="str">
        <v/>
      </c>
      <c r="G2074" s="41" t="str">
        <v/>
      </c>
      <c r="H2074" s="117">
        <f t="shared" si="1"/>
        <v>0</v>
      </c>
      <c r="I2074" s="117">
        <f t="shared" si="2"/>
        <v>7</v>
      </c>
      <c r="J2074" s="117">
        <f t="shared" si="3"/>
        <v>7.0299999999999994</v>
      </c>
      <c r="K2074" s="117" t="str">
        <f t="shared" si="4"/>
        <v>T</v>
      </c>
      <c r="L2074" s="42" t="str">
        <v>T0703</v>
      </c>
      <c r="M2074" s="121" t="str">
        <v/>
      </c>
      <c r="N2074" s="121" t="str">
        <v/>
      </c>
      <c r="O2074" s="121" t="str">
        <v/>
      </c>
      <c r="P2074" s="121" t="str">
        <v/>
      </c>
      <c r="Q2074" s="121" t="str">
        <v/>
      </c>
      <c r="R2074" s="121" t="str">
        <v/>
      </c>
      <c r="S2074" s="121" t="str">
        <v/>
      </c>
      <c r="T2074" s="119" t="str">
        <f>IF($C2074&lt;4,IF($C2074=3,T2075,IF($C2074=2,T$1,"")),Q2074&amp;R2074&amp;IF(LEN(S2074)=0,"",Preferences!$C$2&amp;S2074)&amp;IF(J2075=J2074,IF(LEN(R2074&amp;S2074)=0,"","
")&amp;T2075,""))</f>
        <v/>
      </c>
      <c r="U2074" s="122" t="str">
        <v/>
      </c>
      <c r="V2074" s="42"/>
      <c r="W2074" s="42"/>
      <c r="X2074" s="42"/>
      <c r="Y2074" s="42"/>
      <c r="Z2074" s="42"/>
      <c r="AA2074" s="42"/>
      <c r="AB2074" s="42"/>
    </row>
    <row r="2075" spans="1:28" x14ac:dyDescent="0.25">
      <c r="A2075" s="42" t="str">
        <v/>
      </c>
      <c r="B2075" s="121" t="str">
        <v/>
      </c>
      <c r="C2075" s="41" t="str">
        <v/>
      </c>
      <c r="D2075" s="41" t="str">
        <v/>
      </c>
      <c r="E2075" s="117" t="str">
        <f t="shared" si="0"/>
        <v>RD</v>
      </c>
      <c r="F2075" s="41" t="str">
        <v/>
      </c>
      <c r="G2075" s="41" t="str">
        <v/>
      </c>
      <c r="H2075" s="117">
        <f t="shared" si="1"/>
        <v>0</v>
      </c>
      <c r="I2075" s="117">
        <f t="shared" si="2"/>
        <v>7</v>
      </c>
      <c r="J2075" s="117">
        <f t="shared" si="3"/>
        <v>7.0299999999999994</v>
      </c>
      <c r="K2075" s="117" t="str">
        <f t="shared" si="4"/>
        <v>T</v>
      </c>
      <c r="L2075" s="42" t="str">
        <v>T0703</v>
      </c>
      <c r="M2075" s="121" t="str">
        <v/>
      </c>
      <c r="N2075" s="121" t="str">
        <v/>
      </c>
      <c r="O2075" s="121" t="str">
        <v/>
      </c>
      <c r="P2075" s="121" t="str">
        <v/>
      </c>
      <c r="Q2075" s="121" t="str">
        <v/>
      </c>
      <c r="R2075" s="121" t="str">
        <v/>
      </c>
      <c r="S2075" s="121" t="str">
        <v/>
      </c>
      <c r="T2075" s="119" t="str">
        <f>IF($C2075&lt;4,IF($C2075=3,T2076,IF($C2075=2,T$1,"")),Q2075&amp;R2075&amp;IF(LEN(S2075)=0,"",Preferences!$C$2&amp;S2075)&amp;IF(J2076=J2075,IF(LEN(R2075&amp;S2075)=0,"","
")&amp;T2076,""))</f>
        <v/>
      </c>
      <c r="U2075" s="122" t="str">
        <v/>
      </c>
      <c r="V2075" s="42"/>
      <c r="W2075" s="42"/>
      <c r="X2075" s="42"/>
      <c r="Y2075" s="42"/>
      <c r="Z2075" s="42"/>
      <c r="AA2075" s="42"/>
      <c r="AB2075" s="42"/>
    </row>
    <row r="2076" spans="1:28" x14ac:dyDescent="0.25">
      <c r="A2076" s="42" t="str">
        <v/>
      </c>
      <c r="B2076" s="121" t="str">
        <v/>
      </c>
      <c r="C2076" s="41" t="str">
        <v/>
      </c>
      <c r="D2076" s="41" t="str">
        <v/>
      </c>
      <c r="E2076" s="117" t="str">
        <f t="shared" si="0"/>
        <v>RD</v>
      </c>
      <c r="F2076" s="41" t="str">
        <v/>
      </c>
      <c r="G2076" s="41" t="str">
        <v/>
      </c>
      <c r="H2076" s="117">
        <f t="shared" si="1"/>
        <v>0</v>
      </c>
      <c r="I2076" s="117">
        <f t="shared" si="2"/>
        <v>7</v>
      </c>
      <c r="J2076" s="117">
        <f t="shared" si="3"/>
        <v>7.0299999999999994</v>
      </c>
      <c r="K2076" s="117" t="str">
        <f t="shared" si="4"/>
        <v>T</v>
      </c>
      <c r="L2076" s="42" t="str">
        <v>T0703</v>
      </c>
      <c r="M2076" s="121" t="str">
        <v/>
      </c>
      <c r="N2076" s="121" t="str">
        <v/>
      </c>
      <c r="O2076" s="121" t="str">
        <v/>
      </c>
      <c r="P2076" s="121" t="str">
        <v/>
      </c>
      <c r="Q2076" s="121" t="str">
        <v/>
      </c>
      <c r="R2076" s="121" t="str">
        <v/>
      </c>
      <c r="S2076" s="121" t="str">
        <v/>
      </c>
      <c r="T2076" s="119" t="str">
        <f>IF($C2076&lt;4,IF($C2076=3,T2077,IF($C2076=2,T$1,"")),Q2076&amp;R2076&amp;IF(LEN(S2076)=0,"",Preferences!$C$2&amp;S2076)&amp;IF(J2077=J2076,IF(LEN(R2076&amp;S2076)=0,"","
")&amp;T2077,""))</f>
        <v/>
      </c>
      <c r="U2076" s="122" t="str">
        <v/>
      </c>
      <c r="V2076" s="42"/>
      <c r="W2076" s="42"/>
      <c r="X2076" s="42"/>
      <c r="Y2076" s="42"/>
      <c r="Z2076" s="42"/>
      <c r="AA2076" s="42"/>
      <c r="AB2076" s="42"/>
    </row>
    <row r="2077" spans="1:28" x14ac:dyDescent="0.25">
      <c r="A2077" s="42" t="str">
        <v/>
      </c>
      <c r="B2077" s="121" t="str">
        <v/>
      </c>
      <c r="C2077" s="41" t="str">
        <v/>
      </c>
      <c r="D2077" s="41" t="str">
        <v/>
      </c>
      <c r="E2077" s="117" t="str">
        <f t="shared" si="0"/>
        <v>RD</v>
      </c>
      <c r="F2077" s="41" t="str">
        <v/>
      </c>
      <c r="G2077" s="41" t="str">
        <v/>
      </c>
      <c r="H2077" s="117">
        <f t="shared" si="1"/>
        <v>0</v>
      </c>
      <c r="I2077" s="117">
        <f t="shared" si="2"/>
        <v>7</v>
      </c>
      <c r="J2077" s="117">
        <f t="shared" si="3"/>
        <v>7.0299999999999994</v>
      </c>
      <c r="K2077" s="117" t="str">
        <f t="shared" si="4"/>
        <v>T</v>
      </c>
      <c r="L2077" s="42" t="str">
        <v>T0703</v>
      </c>
      <c r="M2077" s="121" t="str">
        <v/>
      </c>
      <c r="N2077" s="121" t="str">
        <v/>
      </c>
      <c r="O2077" s="121" t="str">
        <v/>
      </c>
      <c r="P2077" s="121" t="str">
        <v/>
      </c>
      <c r="Q2077" s="121" t="str">
        <v/>
      </c>
      <c r="R2077" s="121" t="str">
        <v/>
      </c>
      <c r="S2077" s="121" t="str">
        <v/>
      </c>
      <c r="T2077" s="119" t="str">
        <f>IF($C2077&lt;4,IF($C2077=3,T2078,IF($C2077=2,T$1,"")),Q2077&amp;R2077&amp;IF(LEN(S2077)=0,"",Preferences!$C$2&amp;S2077)&amp;IF(J2078=J2077,IF(LEN(R2077&amp;S2077)=0,"","
")&amp;T2078,""))</f>
        <v/>
      </c>
      <c r="U2077" s="122" t="str">
        <v/>
      </c>
      <c r="V2077" s="42"/>
      <c r="W2077" s="42"/>
      <c r="X2077" s="42"/>
      <c r="Y2077" s="42"/>
      <c r="Z2077" s="42"/>
      <c r="AA2077" s="42"/>
      <c r="AB2077" s="42"/>
    </row>
    <row r="2078" spans="1:28" x14ac:dyDescent="0.25">
      <c r="A2078" s="42" t="str">
        <v/>
      </c>
      <c r="B2078" s="121" t="str">
        <v/>
      </c>
      <c r="C2078" s="41" t="str">
        <v/>
      </c>
      <c r="D2078" s="41" t="str">
        <v/>
      </c>
      <c r="E2078" s="117" t="str">
        <f t="shared" si="0"/>
        <v>RD</v>
      </c>
      <c r="F2078" s="41" t="str">
        <v/>
      </c>
      <c r="G2078" s="41" t="str">
        <v/>
      </c>
      <c r="H2078" s="117">
        <f t="shared" si="1"/>
        <v>0</v>
      </c>
      <c r="I2078" s="117">
        <f t="shared" si="2"/>
        <v>7</v>
      </c>
      <c r="J2078" s="117">
        <f t="shared" si="3"/>
        <v>7.0299999999999994</v>
      </c>
      <c r="K2078" s="117" t="str">
        <f t="shared" si="4"/>
        <v>T</v>
      </c>
      <c r="L2078" s="42" t="str">
        <v>T0703</v>
      </c>
      <c r="M2078" s="121" t="str">
        <v/>
      </c>
      <c r="N2078" s="121" t="str">
        <v/>
      </c>
      <c r="O2078" s="121" t="str">
        <v/>
      </c>
      <c r="P2078" s="121" t="str">
        <v/>
      </c>
      <c r="Q2078" s="121" t="str">
        <v/>
      </c>
      <c r="R2078" s="121" t="str">
        <v/>
      </c>
      <c r="S2078" s="121" t="str">
        <v/>
      </c>
      <c r="T2078" s="119" t="str">
        <f>IF($C2078&lt;4,IF($C2078=3,T2079,IF($C2078=2,T$1,"")),Q2078&amp;R2078&amp;IF(LEN(S2078)=0,"",Preferences!$C$2&amp;S2078)&amp;IF(J2079=J2078,IF(LEN(R2078&amp;S2078)=0,"","
")&amp;T2079,""))</f>
        <v/>
      </c>
      <c r="U2078" s="122" t="str">
        <v/>
      </c>
      <c r="V2078" s="42"/>
      <c r="W2078" s="42"/>
      <c r="X2078" s="42"/>
      <c r="Y2078" s="42"/>
      <c r="Z2078" s="42"/>
      <c r="AA2078" s="42"/>
      <c r="AB2078" s="42"/>
    </row>
    <row r="2079" spans="1:28" x14ac:dyDescent="0.25">
      <c r="A2079" s="42" t="str">
        <v/>
      </c>
      <c r="B2079" s="121" t="str">
        <v/>
      </c>
      <c r="C2079" s="41" t="str">
        <v/>
      </c>
      <c r="D2079" s="41" t="str">
        <v/>
      </c>
      <c r="E2079" s="117" t="str">
        <f t="shared" si="0"/>
        <v>RD</v>
      </c>
      <c r="F2079" s="41" t="str">
        <v/>
      </c>
      <c r="G2079" s="41" t="str">
        <v/>
      </c>
      <c r="H2079" s="117">
        <f t="shared" si="1"/>
        <v>0</v>
      </c>
      <c r="I2079" s="117">
        <f t="shared" si="2"/>
        <v>7</v>
      </c>
      <c r="J2079" s="117">
        <f t="shared" si="3"/>
        <v>7.0299999999999994</v>
      </c>
      <c r="K2079" s="117" t="str">
        <f t="shared" si="4"/>
        <v>T</v>
      </c>
      <c r="L2079" s="42" t="str">
        <v>T0703</v>
      </c>
      <c r="M2079" s="121" t="str">
        <v/>
      </c>
      <c r="N2079" s="121" t="str">
        <v/>
      </c>
      <c r="O2079" s="121" t="str">
        <v/>
      </c>
      <c r="P2079" s="121" t="str">
        <v/>
      </c>
      <c r="Q2079" s="121" t="str">
        <v/>
      </c>
      <c r="R2079" s="121" t="str">
        <v/>
      </c>
      <c r="S2079" s="121" t="str">
        <v/>
      </c>
      <c r="T2079" s="119" t="str">
        <f>IF($C2079&lt;4,IF($C2079=3,T2080,IF($C2079=2,T$1,"")),Q2079&amp;R2079&amp;IF(LEN(S2079)=0,"",Preferences!$C$2&amp;S2079)&amp;IF(J2080=J2079,IF(LEN(R2079&amp;S2079)=0,"","
")&amp;T2080,""))</f>
        <v/>
      </c>
      <c r="U2079" s="122" t="str">
        <v/>
      </c>
      <c r="V2079" s="42"/>
      <c r="W2079" s="42"/>
      <c r="X2079" s="42"/>
      <c r="Y2079" s="42"/>
      <c r="Z2079" s="42"/>
      <c r="AA2079" s="42"/>
      <c r="AB2079" s="42"/>
    </row>
    <row r="2080" spans="1:28" x14ac:dyDescent="0.25">
      <c r="A2080" s="42" t="str">
        <v/>
      </c>
      <c r="B2080" s="121" t="str">
        <v/>
      </c>
      <c r="C2080" s="41" t="str">
        <v/>
      </c>
      <c r="D2080" s="41" t="str">
        <v/>
      </c>
      <c r="E2080" s="117" t="str">
        <f t="shared" si="0"/>
        <v>RD</v>
      </c>
      <c r="F2080" s="41" t="str">
        <v/>
      </c>
      <c r="G2080" s="41" t="str">
        <v/>
      </c>
      <c r="H2080" s="117">
        <f t="shared" si="1"/>
        <v>0</v>
      </c>
      <c r="I2080" s="117">
        <f t="shared" si="2"/>
        <v>7</v>
      </c>
      <c r="J2080" s="117">
        <f t="shared" si="3"/>
        <v>7.0299999999999994</v>
      </c>
      <c r="K2080" s="117" t="str">
        <f t="shared" si="4"/>
        <v>T</v>
      </c>
      <c r="L2080" s="42" t="str">
        <v>T0703</v>
      </c>
      <c r="M2080" s="121" t="str">
        <v/>
      </c>
      <c r="N2080" s="121" t="str">
        <v/>
      </c>
      <c r="O2080" s="121" t="str">
        <v/>
      </c>
      <c r="P2080" s="121" t="str">
        <v/>
      </c>
      <c r="Q2080" s="121" t="str">
        <v/>
      </c>
      <c r="R2080" s="121" t="str">
        <v/>
      </c>
      <c r="S2080" s="121" t="str">
        <v/>
      </c>
      <c r="T2080" s="119" t="str">
        <f>IF($C2080&lt;4,IF($C2080=3,T2081,IF($C2080=2,T$1,"")),Q2080&amp;R2080&amp;IF(LEN(S2080)=0,"",Preferences!$C$2&amp;S2080)&amp;IF(J2081=J2080,IF(LEN(R2080&amp;S2080)=0,"","
")&amp;T2081,""))</f>
        <v/>
      </c>
      <c r="U2080" s="122" t="str">
        <v/>
      </c>
      <c r="V2080" s="42"/>
      <c r="W2080" s="42"/>
      <c r="X2080" s="42"/>
      <c r="Y2080" s="42"/>
      <c r="Z2080" s="42"/>
      <c r="AA2080" s="42"/>
      <c r="AB2080" s="42"/>
    </row>
    <row r="2081" spans="1:28" x14ac:dyDescent="0.25">
      <c r="A2081" s="42" t="str">
        <v/>
      </c>
      <c r="B2081" s="121" t="str">
        <v/>
      </c>
      <c r="C2081" s="41" t="str">
        <v/>
      </c>
      <c r="D2081" s="41" t="str">
        <v/>
      </c>
      <c r="E2081" s="117" t="str">
        <f t="shared" si="0"/>
        <v>RD</v>
      </c>
      <c r="F2081" s="41" t="str">
        <v/>
      </c>
      <c r="G2081" s="41" t="str">
        <v/>
      </c>
      <c r="H2081" s="117">
        <f t="shared" si="1"/>
        <v>0</v>
      </c>
      <c r="I2081" s="117">
        <f t="shared" si="2"/>
        <v>7</v>
      </c>
      <c r="J2081" s="117">
        <f t="shared" si="3"/>
        <v>7.0299999999999994</v>
      </c>
      <c r="K2081" s="117" t="str">
        <f t="shared" si="4"/>
        <v>T</v>
      </c>
      <c r="L2081" s="42" t="str">
        <v>T0703</v>
      </c>
      <c r="M2081" s="121" t="str">
        <v/>
      </c>
      <c r="N2081" s="121" t="str">
        <v/>
      </c>
      <c r="O2081" s="121" t="str">
        <v/>
      </c>
      <c r="P2081" s="121" t="str">
        <v/>
      </c>
      <c r="Q2081" s="121" t="str">
        <v/>
      </c>
      <c r="R2081" s="121" t="str">
        <v/>
      </c>
      <c r="S2081" s="121" t="str">
        <v/>
      </c>
      <c r="T2081" s="119" t="str">
        <f>IF($C2081&lt;4,IF($C2081=3,T2082,IF($C2081=2,T$1,"")),Q2081&amp;R2081&amp;IF(LEN(S2081)=0,"",Preferences!$C$2&amp;S2081)&amp;IF(J2082=J2081,IF(LEN(R2081&amp;S2081)=0,"","
")&amp;T2082,""))</f>
        <v/>
      </c>
      <c r="U2081" s="122" t="str">
        <v/>
      </c>
      <c r="V2081" s="42"/>
      <c r="W2081" s="42"/>
      <c r="X2081" s="42"/>
      <c r="Y2081" s="42"/>
      <c r="Z2081" s="42"/>
      <c r="AA2081" s="42"/>
      <c r="AB2081" s="42"/>
    </row>
    <row r="2082" spans="1:28" x14ac:dyDescent="0.25">
      <c r="A2082" s="42" t="str">
        <v/>
      </c>
      <c r="B2082" s="121" t="str">
        <v/>
      </c>
      <c r="C2082" s="41" t="str">
        <v/>
      </c>
      <c r="D2082" s="41" t="str">
        <v/>
      </c>
      <c r="E2082" s="117" t="str">
        <f t="shared" si="0"/>
        <v>RD</v>
      </c>
      <c r="F2082" s="41" t="str">
        <v/>
      </c>
      <c r="G2082" s="41" t="str">
        <v/>
      </c>
      <c r="H2082" s="117">
        <f t="shared" si="1"/>
        <v>0</v>
      </c>
      <c r="I2082" s="117">
        <f t="shared" si="2"/>
        <v>7</v>
      </c>
      <c r="J2082" s="117">
        <f t="shared" si="3"/>
        <v>7.0299999999999994</v>
      </c>
      <c r="K2082" s="117" t="str">
        <f t="shared" si="4"/>
        <v>T</v>
      </c>
      <c r="L2082" s="42" t="str">
        <v>T0703</v>
      </c>
      <c r="M2082" s="121" t="str">
        <v/>
      </c>
      <c r="N2082" s="121" t="str">
        <v/>
      </c>
      <c r="O2082" s="121" t="str">
        <v/>
      </c>
      <c r="P2082" s="121" t="str">
        <v/>
      </c>
      <c r="Q2082" s="121" t="str">
        <v/>
      </c>
      <c r="R2082" s="121" t="str">
        <v/>
      </c>
      <c r="S2082" s="121" t="str">
        <v/>
      </c>
      <c r="T2082" s="119" t="str">
        <f>IF($C2082&lt;4,IF($C2082=3,T2083,IF($C2082=2,T$1,"")),Q2082&amp;R2082&amp;IF(LEN(S2082)=0,"",Preferences!$C$2&amp;S2082)&amp;IF(J2083=J2082,IF(LEN(R2082&amp;S2082)=0,"","
")&amp;T2083,""))</f>
        <v/>
      </c>
      <c r="U2082" s="122" t="str">
        <v/>
      </c>
      <c r="V2082" s="42"/>
      <c r="W2082" s="42"/>
      <c r="X2082" s="42"/>
      <c r="Y2082" s="42"/>
      <c r="Z2082" s="42"/>
      <c r="AA2082" s="42"/>
      <c r="AB2082" s="42"/>
    </row>
    <row r="2083" spans="1:28" x14ac:dyDescent="0.25">
      <c r="A2083" s="42" t="str">
        <v/>
      </c>
      <c r="B2083" s="121" t="str">
        <v/>
      </c>
      <c r="C2083" s="41" t="str">
        <v/>
      </c>
      <c r="D2083" s="41" t="str">
        <v/>
      </c>
      <c r="E2083" s="117" t="str">
        <f t="shared" si="0"/>
        <v>RD</v>
      </c>
      <c r="F2083" s="41" t="str">
        <v/>
      </c>
      <c r="G2083" s="41" t="str">
        <v/>
      </c>
      <c r="H2083" s="117">
        <f t="shared" si="1"/>
        <v>0</v>
      </c>
      <c r="I2083" s="117">
        <f t="shared" si="2"/>
        <v>7</v>
      </c>
      <c r="J2083" s="117">
        <f t="shared" si="3"/>
        <v>7.0299999999999994</v>
      </c>
      <c r="K2083" s="117" t="str">
        <f t="shared" si="4"/>
        <v>T</v>
      </c>
      <c r="L2083" s="42" t="str">
        <v>T0703</v>
      </c>
      <c r="M2083" s="121" t="str">
        <v/>
      </c>
      <c r="N2083" s="121" t="str">
        <v/>
      </c>
      <c r="O2083" s="121" t="str">
        <v/>
      </c>
      <c r="P2083" s="121" t="str">
        <v/>
      </c>
      <c r="Q2083" s="121" t="str">
        <v/>
      </c>
      <c r="R2083" s="121" t="str">
        <v/>
      </c>
      <c r="S2083" s="121" t="str">
        <v/>
      </c>
      <c r="T2083" s="119" t="str">
        <f>IF($C2083&lt;4,IF($C2083=3,T2084,IF($C2083=2,T$1,"")),Q2083&amp;R2083&amp;IF(LEN(S2083)=0,"",Preferences!$C$2&amp;S2083)&amp;IF(J2084=J2083,IF(LEN(R2083&amp;S2083)=0,"","
")&amp;T2084,""))</f>
        <v/>
      </c>
      <c r="U2083" s="122" t="str">
        <v/>
      </c>
      <c r="V2083" s="42"/>
      <c r="W2083" s="42"/>
      <c r="X2083" s="42"/>
      <c r="Y2083" s="42"/>
      <c r="Z2083" s="42"/>
      <c r="AA2083" s="42"/>
      <c r="AB2083" s="42"/>
    </row>
    <row r="2084" spans="1:28" x14ac:dyDescent="0.25">
      <c r="A2084" s="42" t="str">
        <v/>
      </c>
      <c r="B2084" s="121" t="str">
        <v/>
      </c>
      <c r="C2084" s="41" t="str">
        <v/>
      </c>
      <c r="D2084" s="41" t="str">
        <v/>
      </c>
      <c r="E2084" s="117" t="str">
        <f t="shared" si="0"/>
        <v>RD</v>
      </c>
      <c r="F2084" s="41" t="str">
        <v/>
      </c>
      <c r="G2084" s="41" t="str">
        <v/>
      </c>
      <c r="H2084" s="117">
        <f t="shared" si="1"/>
        <v>0</v>
      </c>
      <c r="I2084" s="117">
        <f t="shared" si="2"/>
        <v>7</v>
      </c>
      <c r="J2084" s="117">
        <f t="shared" si="3"/>
        <v>7.0299999999999994</v>
      </c>
      <c r="K2084" s="117" t="str">
        <f t="shared" si="4"/>
        <v>T</v>
      </c>
      <c r="L2084" s="42" t="str">
        <v>T0703</v>
      </c>
      <c r="M2084" s="121" t="str">
        <v/>
      </c>
      <c r="N2084" s="121" t="str">
        <v/>
      </c>
      <c r="O2084" s="121" t="str">
        <v/>
      </c>
      <c r="P2084" s="121" t="str">
        <v/>
      </c>
      <c r="Q2084" s="121" t="str">
        <v/>
      </c>
      <c r="R2084" s="121" t="str">
        <v/>
      </c>
      <c r="S2084" s="121" t="str">
        <v/>
      </c>
      <c r="T2084" s="119" t="str">
        <f>IF($C2084&lt;4,IF($C2084=3,T2085,IF($C2084=2,T$1,"")),Q2084&amp;R2084&amp;IF(LEN(S2084)=0,"",Preferences!$C$2&amp;S2084)&amp;IF(J2085=J2084,IF(LEN(R2084&amp;S2084)=0,"","
")&amp;T2085,""))</f>
        <v/>
      </c>
      <c r="U2084" s="122" t="str">
        <v/>
      </c>
      <c r="V2084" s="42"/>
      <c r="W2084" s="42"/>
      <c r="X2084" s="42"/>
      <c r="Y2084" s="42"/>
      <c r="Z2084" s="42"/>
      <c r="AA2084" s="42"/>
      <c r="AB2084" s="42"/>
    </row>
    <row r="2085" spans="1:28" x14ac:dyDescent="0.25">
      <c r="A2085" s="42" t="str">
        <v/>
      </c>
      <c r="B2085" s="121" t="str">
        <v/>
      </c>
      <c r="C2085" s="41" t="str">
        <v/>
      </c>
      <c r="D2085" s="41" t="str">
        <v/>
      </c>
      <c r="E2085" s="117" t="str">
        <f t="shared" si="0"/>
        <v>RD</v>
      </c>
      <c r="F2085" s="41" t="str">
        <v/>
      </c>
      <c r="G2085" s="41" t="str">
        <v/>
      </c>
      <c r="H2085" s="117">
        <f t="shared" si="1"/>
        <v>0</v>
      </c>
      <c r="I2085" s="117">
        <f t="shared" si="2"/>
        <v>7</v>
      </c>
      <c r="J2085" s="117">
        <f t="shared" si="3"/>
        <v>7.0299999999999994</v>
      </c>
      <c r="K2085" s="117" t="str">
        <f t="shared" si="4"/>
        <v>T</v>
      </c>
      <c r="L2085" s="42" t="str">
        <v>T0703</v>
      </c>
      <c r="M2085" s="121" t="str">
        <v/>
      </c>
      <c r="N2085" s="121" t="str">
        <v/>
      </c>
      <c r="O2085" s="121" t="str">
        <v/>
      </c>
      <c r="P2085" s="121" t="str">
        <v/>
      </c>
      <c r="Q2085" s="121" t="str">
        <v/>
      </c>
      <c r="R2085" s="121" t="str">
        <v/>
      </c>
      <c r="S2085" s="121" t="str">
        <v/>
      </c>
      <c r="T2085" s="119" t="str">
        <f>IF($C2085&lt;4,IF($C2085=3,T2086,IF($C2085=2,T$1,"")),Q2085&amp;R2085&amp;IF(LEN(S2085)=0,"",Preferences!$C$2&amp;S2085)&amp;IF(J2086=J2085,IF(LEN(R2085&amp;S2085)=0,"","
")&amp;T2086,""))</f>
        <v/>
      </c>
      <c r="U2085" s="122" t="str">
        <v/>
      </c>
      <c r="V2085" s="42"/>
      <c r="W2085" s="42"/>
      <c r="X2085" s="42"/>
      <c r="Y2085" s="42"/>
      <c r="Z2085" s="42"/>
      <c r="AA2085" s="42"/>
      <c r="AB2085" s="42"/>
    </row>
    <row r="2086" spans="1:28" x14ac:dyDescent="0.25">
      <c r="A2086" s="42" t="str">
        <v/>
      </c>
      <c r="B2086" s="121" t="str">
        <v/>
      </c>
      <c r="C2086" s="41" t="str">
        <v/>
      </c>
      <c r="D2086" s="41" t="str">
        <v/>
      </c>
      <c r="E2086" s="117" t="str">
        <f t="shared" si="0"/>
        <v>RD</v>
      </c>
      <c r="F2086" s="41" t="str">
        <v/>
      </c>
      <c r="G2086" s="41" t="str">
        <v/>
      </c>
      <c r="H2086" s="117">
        <f t="shared" si="1"/>
        <v>0</v>
      </c>
      <c r="I2086" s="117">
        <f t="shared" si="2"/>
        <v>7</v>
      </c>
      <c r="J2086" s="117">
        <f t="shared" si="3"/>
        <v>7.0299999999999994</v>
      </c>
      <c r="K2086" s="117" t="str">
        <f t="shared" si="4"/>
        <v>T</v>
      </c>
      <c r="L2086" s="42" t="str">
        <v>T0703</v>
      </c>
      <c r="M2086" s="121" t="str">
        <v/>
      </c>
      <c r="N2086" s="121" t="str">
        <v/>
      </c>
      <c r="O2086" s="121" t="str">
        <v/>
      </c>
      <c r="P2086" s="121" t="str">
        <v/>
      </c>
      <c r="Q2086" s="121" t="str">
        <v/>
      </c>
      <c r="R2086" s="121" t="str">
        <v/>
      </c>
      <c r="S2086" s="121" t="str">
        <v/>
      </c>
      <c r="T2086" s="119" t="str">
        <f>IF($C2086&lt;4,IF($C2086=3,T2087,IF($C2086=2,T$1,"")),Q2086&amp;R2086&amp;IF(LEN(S2086)=0,"",Preferences!$C$2&amp;S2086)&amp;IF(J2087=J2086,IF(LEN(R2086&amp;S2086)=0,"","
")&amp;T2087,""))</f>
        <v/>
      </c>
      <c r="U2086" s="122" t="str">
        <v/>
      </c>
      <c r="V2086" s="42"/>
      <c r="W2086" s="42"/>
      <c r="X2086" s="42"/>
      <c r="Y2086" s="42"/>
      <c r="Z2086" s="42"/>
      <c r="AA2086" s="42"/>
      <c r="AB2086" s="42"/>
    </row>
    <row r="2087" spans="1:28" x14ac:dyDescent="0.25">
      <c r="A2087" s="42" t="str">
        <v/>
      </c>
      <c r="B2087" s="121" t="str">
        <v/>
      </c>
      <c r="C2087" s="41" t="str">
        <v/>
      </c>
      <c r="D2087" s="41" t="str">
        <v/>
      </c>
      <c r="E2087" s="117" t="str">
        <f t="shared" si="0"/>
        <v>RD</v>
      </c>
      <c r="F2087" s="41" t="str">
        <v/>
      </c>
      <c r="G2087" s="41" t="str">
        <v/>
      </c>
      <c r="H2087" s="117">
        <f t="shared" si="1"/>
        <v>0</v>
      </c>
      <c r="I2087" s="117">
        <f t="shared" si="2"/>
        <v>7</v>
      </c>
      <c r="J2087" s="117">
        <f t="shared" si="3"/>
        <v>7.0299999999999994</v>
      </c>
      <c r="K2087" s="117" t="str">
        <f t="shared" si="4"/>
        <v>T</v>
      </c>
      <c r="L2087" s="42" t="str">
        <v>T0703</v>
      </c>
      <c r="M2087" s="121" t="str">
        <v/>
      </c>
      <c r="N2087" s="121" t="str">
        <v/>
      </c>
      <c r="O2087" s="121" t="str">
        <v/>
      </c>
      <c r="P2087" s="121" t="str">
        <v/>
      </c>
      <c r="Q2087" s="121" t="str">
        <v/>
      </c>
      <c r="R2087" s="121" t="str">
        <v/>
      </c>
      <c r="S2087" s="121" t="str">
        <v/>
      </c>
      <c r="T2087" s="119" t="str">
        <f>IF($C2087&lt;4,IF($C2087=3,T2088,IF($C2087=2,T$1,"")),Q2087&amp;R2087&amp;IF(LEN(S2087)=0,"",Preferences!$C$2&amp;S2087)&amp;IF(J2088=J2087,IF(LEN(R2087&amp;S2087)=0,"","
")&amp;T2088,""))</f>
        <v/>
      </c>
      <c r="U2087" s="122" t="str">
        <v/>
      </c>
      <c r="V2087" s="42"/>
      <c r="W2087" s="42"/>
      <c r="X2087" s="42"/>
      <c r="Y2087" s="42"/>
      <c r="Z2087" s="42"/>
      <c r="AA2087" s="42"/>
      <c r="AB2087" s="42"/>
    </row>
    <row r="2088" spans="1:28" x14ac:dyDescent="0.25">
      <c r="A2088" s="42" t="str">
        <v/>
      </c>
      <c r="B2088" s="121" t="str">
        <v/>
      </c>
      <c r="C2088" s="41" t="str">
        <v/>
      </c>
      <c r="D2088" s="41" t="str">
        <v/>
      </c>
      <c r="E2088" s="117" t="str">
        <f t="shared" si="0"/>
        <v>RD</v>
      </c>
      <c r="F2088" s="41" t="str">
        <v/>
      </c>
      <c r="G2088" s="41" t="str">
        <v/>
      </c>
      <c r="H2088" s="117">
        <f t="shared" si="1"/>
        <v>0</v>
      </c>
      <c r="I2088" s="117">
        <f t="shared" si="2"/>
        <v>7</v>
      </c>
      <c r="J2088" s="117">
        <f t="shared" si="3"/>
        <v>7.0299999999999994</v>
      </c>
      <c r="K2088" s="117" t="str">
        <f t="shared" si="4"/>
        <v>T</v>
      </c>
      <c r="L2088" s="42" t="str">
        <v>T0703</v>
      </c>
      <c r="M2088" s="121" t="str">
        <v/>
      </c>
      <c r="N2088" s="121" t="str">
        <v/>
      </c>
      <c r="O2088" s="121" t="str">
        <v/>
      </c>
      <c r="P2088" s="121" t="str">
        <v/>
      </c>
      <c r="Q2088" s="121" t="str">
        <v/>
      </c>
      <c r="R2088" s="121" t="str">
        <v/>
      </c>
      <c r="S2088" s="121" t="str">
        <v/>
      </c>
      <c r="T2088" s="119" t="str">
        <f>IF($C2088&lt;4,IF($C2088=3,T2089,IF($C2088=2,T$1,"")),Q2088&amp;R2088&amp;IF(LEN(S2088)=0,"",Preferences!$C$2&amp;S2088)&amp;IF(J2089=J2088,IF(LEN(R2088&amp;S2088)=0,"","
")&amp;T2089,""))</f>
        <v/>
      </c>
      <c r="U2088" s="122" t="str">
        <v/>
      </c>
      <c r="V2088" s="42"/>
      <c r="W2088" s="42"/>
      <c r="X2088" s="42"/>
      <c r="Y2088" s="42"/>
      <c r="Z2088" s="42"/>
      <c r="AA2088" s="42"/>
      <c r="AB2088" s="42"/>
    </row>
    <row r="2089" spans="1:28" x14ac:dyDescent="0.25">
      <c r="A2089" s="42" t="str">
        <v/>
      </c>
      <c r="B2089" s="121" t="str">
        <v/>
      </c>
      <c r="C2089" s="41" t="str">
        <v/>
      </c>
      <c r="D2089" s="41" t="str">
        <v/>
      </c>
      <c r="E2089" s="117" t="str">
        <f t="shared" si="0"/>
        <v>RD</v>
      </c>
      <c r="F2089" s="41" t="str">
        <v/>
      </c>
      <c r="G2089" s="41" t="str">
        <v/>
      </c>
      <c r="H2089" s="117">
        <f t="shared" si="1"/>
        <v>0</v>
      </c>
      <c r="I2089" s="117">
        <f t="shared" si="2"/>
        <v>7</v>
      </c>
      <c r="J2089" s="117">
        <f t="shared" si="3"/>
        <v>7.0299999999999994</v>
      </c>
      <c r="K2089" s="117" t="str">
        <f t="shared" si="4"/>
        <v>T</v>
      </c>
      <c r="L2089" s="42" t="str">
        <v>T0703</v>
      </c>
      <c r="M2089" s="121" t="str">
        <v/>
      </c>
      <c r="N2089" s="121" t="str">
        <v/>
      </c>
      <c r="O2089" s="121" t="str">
        <v/>
      </c>
      <c r="P2089" s="121" t="str">
        <v/>
      </c>
      <c r="Q2089" s="121" t="str">
        <v/>
      </c>
      <c r="R2089" s="121" t="str">
        <v/>
      </c>
      <c r="S2089" s="121" t="str">
        <v/>
      </c>
      <c r="T2089" s="119" t="str">
        <f>IF($C2089&lt;4,IF($C2089=3,T2090,IF($C2089=2,T$1,"")),Q2089&amp;R2089&amp;IF(LEN(S2089)=0,"",Preferences!$C$2&amp;S2089)&amp;IF(J2090=J2089,IF(LEN(R2089&amp;S2089)=0,"","
")&amp;T2090,""))</f>
        <v/>
      </c>
      <c r="U2089" s="122" t="str">
        <v/>
      </c>
      <c r="V2089" s="42"/>
      <c r="W2089" s="42"/>
      <c r="X2089" s="42"/>
      <c r="Y2089" s="42"/>
      <c r="Z2089" s="42"/>
      <c r="AA2089" s="42"/>
      <c r="AB2089" s="42"/>
    </row>
    <row r="2090" spans="1:28" x14ac:dyDescent="0.25">
      <c r="A2090" s="42" t="str">
        <v/>
      </c>
      <c r="B2090" s="121" t="str">
        <v/>
      </c>
      <c r="C2090" s="41" t="str">
        <v/>
      </c>
      <c r="D2090" s="41" t="str">
        <v/>
      </c>
      <c r="E2090" s="117" t="str">
        <f t="shared" si="0"/>
        <v>RD</v>
      </c>
      <c r="F2090" s="41" t="str">
        <v/>
      </c>
      <c r="G2090" s="41" t="str">
        <v/>
      </c>
      <c r="H2090" s="117">
        <f t="shared" si="1"/>
        <v>0</v>
      </c>
      <c r="I2090" s="117">
        <f t="shared" si="2"/>
        <v>7</v>
      </c>
      <c r="J2090" s="117">
        <f t="shared" si="3"/>
        <v>7.0299999999999994</v>
      </c>
      <c r="K2090" s="117" t="str">
        <f t="shared" si="4"/>
        <v>T</v>
      </c>
      <c r="L2090" s="42" t="str">
        <v>T0703</v>
      </c>
      <c r="M2090" s="121" t="str">
        <v/>
      </c>
      <c r="N2090" s="121" t="str">
        <v/>
      </c>
      <c r="O2090" s="121" t="str">
        <v/>
      </c>
      <c r="P2090" s="121" t="str">
        <v/>
      </c>
      <c r="Q2090" s="121" t="str">
        <v/>
      </c>
      <c r="R2090" s="121" t="str">
        <v/>
      </c>
      <c r="S2090" s="121" t="str">
        <v/>
      </c>
      <c r="T2090" s="119" t="str">
        <f>IF($C2090&lt;4,IF($C2090=3,T2091,IF($C2090=2,T$1,"")),Q2090&amp;R2090&amp;IF(LEN(S2090)=0,"",Preferences!$C$2&amp;S2090)&amp;IF(J2091=J2090,IF(LEN(R2090&amp;S2090)=0,"","
")&amp;T2091,""))</f>
        <v/>
      </c>
      <c r="U2090" s="122" t="str">
        <v/>
      </c>
      <c r="V2090" s="42"/>
      <c r="W2090" s="42"/>
      <c r="X2090" s="42"/>
      <c r="Y2090" s="42"/>
      <c r="Z2090" s="42"/>
      <c r="AA2090" s="42"/>
      <c r="AB2090" s="42"/>
    </row>
    <row r="2091" spans="1:28" x14ac:dyDescent="0.25">
      <c r="A2091" s="42" t="str">
        <v/>
      </c>
      <c r="B2091" s="121" t="str">
        <v/>
      </c>
      <c r="C2091" s="41" t="str">
        <v/>
      </c>
      <c r="D2091" s="41" t="str">
        <v/>
      </c>
      <c r="E2091" s="117" t="str">
        <f t="shared" si="0"/>
        <v>RD</v>
      </c>
      <c r="F2091" s="41" t="str">
        <v/>
      </c>
      <c r="G2091" s="41" t="str">
        <v/>
      </c>
      <c r="H2091" s="117">
        <f t="shared" si="1"/>
        <v>0</v>
      </c>
      <c r="I2091" s="117">
        <f t="shared" si="2"/>
        <v>7</v>
      </c>
      <c r="J2091" s="117">
        <f t="shared" si="3"/>
        <v>7.0299999999999994</v>
      </c>
      <c r="K2091" s="117" t="str">
        <f t="shared" si="4"/>
        <v>T</v>
      </c>
      <c r="L2091" s="42" t="str">
        <v>T0703</v>
      </c>
      <c r="M2091" s="121" t="str">
        <v/>
      </c>
      <c r="N2091" s="121" t="str">
        <v/>
      </c>
      <c r="O2091" s="121" t="str">
        <v/>
      </c>
      <c r="P2091" s="121" t="str">
        <v/>
      </c>
      <c r="Q2091" s="121" t="str">
        <v/>
      </c>
      <c r="R2091" s="121" t="str">
        <v/>
      </c>
      <c r="S2091" s="121" t="str">
        <v/>
      </c>
      <c r="T2091" s="119" t="str">
        <f>IF($C2091&lt;4,IF($C2091=3,T2092,IF($C2091=2,T$1,"")),Q2091&amp;R2091&amp;IF(LEN(S2091)=0,"",Preferences!$C$2&amp;S2091)&amp;IF(J2092=J2091,IF(LEN(R2091&amp;S2091)=0,"","
")&amp;T2092,""))</f>
        <v/>
      </c>
      <c r="U2091" s="122" t="str">
        <v/>
      </c>
      <c r="V2091" s="42"/>
      <c r="W2091" s="42"/>
      <c r="X2091" s="42"/>
      <c r="Y2091" s="42"/>
      <c r="Z2091" s="42"/>
      <c r="AA2091" s="42"/>
      <c r="AB2091" s="42"/>
    </row>
    <row r="2092" spans="1:28" x14ac:dyDescent="0.25">
      <c r="A2092" s="42" t="str">
        <v/>
      </c>
      <c r="B2092" s="121" t="str">
        <v/>
      </c>
      <c r="C2092" s="41" t="str">
        <v/>
      </c>
      <c r="D2092" s="41" t="str">
        <v/>
      </c>
      <c r="E2092" s="117" t="str">
        <f t="shared" si="0"/>
        <v>RD</v>
      </c>
      <c r="F2092" s="41" t="str">
        <v/>
      </c>
      <c r="G2092" s="41" t="str">
        <v/>
      </c>
      <c r="H2092" s="117">
        <f t="shared" si="1"/>
        <v>0</v>
      </c>
      <c r="I2092" s="117">
        <f t="shared" si="2"/>
        <v>7</v>
      </c>
      <c r="J2092" s="117">
        <f t="shared" si="3"/>
        <v>7.0299999999999994</v>
      </c>
      <c r="K2092" s="117" t="str">
        <f t="shared" si="4"/>
        <v>T</v>
      </c>
      <c r="L2092" s="42" t="str">
        <v>T0703</v>
      </c>
      <c r="M2092" s="121" t="str">
        <v/>
      </c>
      <c r="N2092" s="121" t="str">
        <v/>
      </c>
      <c r="O2092" s="121" t="str">
        <v/>
      </c>
      <c r="P2092" s="121" t="str">
        <v/>
      </c>
      <c r="Q2092" s="121" t="str">
        <v/>
      </c>
      <c r="R2092" s="121" t="str">
        <v/>
      </c>
      <c r="S2092" s="121" t="str">
        <v/>
      </c>
      <c r="T2092" s="119" t="str">
        <f>IF($C2092&lt;4,IF($C2092=3,T2093,IF($C2092=2,T$1,"")),Q2092&amp;R2092&amp;IF(LEN(S2092)=0,"",Preferences!$C$2&amp;S2092)&amp;IF(J2093=J2092,IF(LEN(R2092&amp;S2092)=0,"","
")&amp;T2093,""))</f>
        <v/>
      </c>
      <c r="U2092" s="122" t="str">
        <v/>
      </c>
      <c r="V2092" s="42"/>
      <c r="W2092" s="42"/>
      <c r="X2092" s="42"/>
      <c r="Y2092" s="42"/>
      <c r="Z2092" s="42"/>
      <c r="AA2092" s="42"/>
      <c r="AB2092" s="42"/>
    </row>
    <row r="2093" spans="1:28" x14ac:dyDescent="0.25">
      <c r="A2093" s="42" t="str">
        <v/>
      </c>
      <c r="B2093" s="121" t="str">
        <v/>
      </c>
      <c r="C2093" s="41" t="str">
        <v/>
      </c>
      <c r="D2093" s="41" t="str">
        <v/>
      </c>
      <c r="E2093" s="117" t="str">
        <f t="shared" si="0"/>
        <v>RD</v>
      </c>
      <c r="F2093" s="41" t="str">
        <v/>
      </c>
      <c r="G2093" s="41" t="str">
        <v/>
      </c>
      <c r="H2093" s="117">
        <f t="shared" si="1"/>
        <v>0</v>
      </c>
      <c r="I2093" s="117">
        <f t="shared" si="2"/>
        <v>7</v>
      </c>
      <c r="J2093" s="117">
        <f t="shared" si="3"/>
        <v>7.0299999999999994</v>
      </c>
      <c r="K2093" s="117" t="str">
        <f t="shared" si="4"/>
        <v>T</v>
      </c>
      <c r="L2093" s="42" t="str">
        <v>T0703</v>
      </c>
      <c r="M2093" s="121" t="str">
        <v/>
      </c>
      <c r="N2093" s="121" t="str">
        <v/>
      </c>
      <c r="O2093" s="121" t="str">
        <v/>
      </c>
      <c r="P2093" s="121" t="str">
        <v/>
      </c>
      <c r="Q2093" s="121" t="str">
        <v/>
      </c>
      <c r="R2093" s="121" t="str">
        <v/>
      </c>
      <c r="S2093" s="121" t="str">
        <v/>
      </c>
      <c r="T2093" s="119" t="str">
        <f>IF($C2093&lt;4,IF($C2093=3,T2094,IF($C2093=2,T$1,"")),Q2093&amp;R2093&amp;IF(LEN(S2093)=0,"",Preferences!$C$2&amp;S2093)&amp;IF(J2094=J2093,IF(LEN(R2093&amp;S2093)=0,"","
")&amp;T2094,""))</f>
        <v/>
      </c>
      <c r="U2093" s="122" t="str">
        <v/>
      </c>
      <c r="V2093" s="42"/>
      <c r="W2093" s="42"/>
      <c r="X2093" s="42"/>
      <c r="Y2093" s="42"/>
      <c r="Z2093" s="42"/>
      <c r="AA2093" s="42"/>
      <c r="AB2093" s="42"/>
    </row>
    <row r="2094" spans="1:28" x14ac:dyDescent="0.25">
      <c r="A2094" s="42" t="str">
        <v/>
      </c>
      <c r="B2094" s="121" t="str">
        <v/>
      </c>
      <c r="C2094" s="41" t="str">
        <v/>
      </c>
      <c r="D2094" s="41" t="str">
        <v/>
      </c>
      <c r="E2094" s="117" t="str">
        <f t="shared" si="0"/>
        <v>RD</v>
      </c>
      <c r="F2094" s="41" t="str">
        <v/>
      </c>
      <c r="G2094" s="41" t="str">
        <v/>
      </c>
      <c r="H2094" s="117">
        <f t="shared" si="1"/>
        <v>0</v>
      </c>
      <c r="I2094" s="117">
        <f t="shared" si="2"/>
        <v>7</v>
      </c>
      <c r="J2094" s="117">
        <f t="shared" si="3"/>
        <v>7.0299999999999994</v>
      </c>
      <c r="K2094" s="117" t="str">
        <f t="shared" si="4"/>
        <v>T</v>
      </c>
      <c r="L2094" s="42" t="str">
        <v>T0703</v>
      </c>
      <c r="M2094" s="121" t="str">
        <v/>
      </c>
      <c r="N2094" s="121" t="str">
        <v/>
      </c>
      <c r="O2094" s="121" t="str">
        <v/>
      </c>
      <c r="P2094" s="121" t="str">
        <v/>
      </c>
      <c r="Q2094" s="121" t="str">
        <v/>
      </c>
      <c r="R2094" s="121" t="str">
        <v/>
      </c>
      <c r="S2094" s="121" t="str">
        <v/>
      </c>
      <c r="T2094" s="119" t="str">
        <f>IF($C2094&lt;4,IF($C2094=3,T2095,IF($C2094=2,T$1,"")),Q2094&amp;R2094&amp;IF(LEN(S2094)=0,"",Preferences!$C$2&amp;S2094)&amp;IF(J2095=J2094,IF(LEN(R2094&amp;S2094)=0,"","
")&amp;T2095,""))</f>
        <v/>
      </c>
      <c r="U2094" s="122" t="str">
        <v/>
      </c>
      <c r="V2094" s="42"/>
      <c r="W2094" s="42"/>
      <c r="X2094" s="42"/>
      <c r="Y2094" s="42"/>
      <c r="Z2094" s="42"/>
      <c r="AA2094" s="42"/>
      <c r="AB2094" s="42"/>
    </row>
    <row r="2095" spans="1:28" x14ac:dyDescent="0.25">
      <c r="A2095" s="42" t="str">
        <v/>
      </c>
      <c r="B2095" s="121" t="str">
        <v/>
      </c>
      <c r="C2095" s="41" t="str">
        <v/>
      </c>
      <c r="D2095" s="41" t="str">
        <v/>
      </c>
      <c r="E2095" s="117" t="str">
        <f t="shared" si="0"/>
        <v>RD</v>
      </c>
      <c r="F2095" s="41" t="str">
        <v/>
      </c>
      <c r="G2095" s="41" t="str">
        <v/>
      </c>
      <c r="H2095" s="117">
        <f t="shared" si="1"/>
        <v>0</v>
      </c>
      <c r="I2095" s="117">
        <f t="shared" si="2"/>
        <v>7</v>
      </c>
      <c r="J2095" s="117">
        <f t="shared" si="3"/>
        <v>7.0299999999999994</v>
      </c>
      <c r="K2095" s="117" t="str">
        <f t="shared" si="4"/>
        <v>T</v>
      </c>
      <c r="L2095" s="42" t="str">
        <v>T0703</v>
      </c>
      <c r="M2095" s="121" t="str">
        <v/>
      </c>
      <c r="N2095" s="121" t="str">
        <v/>
      </c>
      <c r="O2095" s="121" t="str">
        <v/>
      </c>
      <c r="P2095" s="121" t="str">
        <v/>
      </c>
      <c r="Q2095" s="121" t="str">
        <v/>
      </c>
      <c r="R2095" s="121" t="str">
        <v/>
      </c>
      <c r="S2095" s="121" t="str">
        <v/>
      </c>
      <c r="T2095" s="119" t="str">
        <f>IF($C2095&lt;4,IF($C2095=3,T2096,IF($C2095=2,T$1,"")),Q2095&amp;R2095&amp;IF(LEN(S2095)=0,"",Preferences!$C$2&amp;S2095)&amp;IF(J2096=J2095,IF(LEN(R2095&amp;S2095)=0,"","
")&amp;T2096,""))</f>
        <v/>
      </c>
      <c r="U2095" s="122" t="str">
        <v/>
      </c>
      <c r="V2095" s="42"/>
      <c r="W2095" s="42"/>
      <c r="X2095" s="42"/>
      <c r="Y2095" s="42"/>
      <c r="Z2095" s="42"/>
      <c r="AA2095" s="42"/>
      <c r="AB2095" s="42"/>
    </row>
    <row r="2096" spans="1:28" x14ac:dyDescent="0.25">
      <c r="A2096" s="42" t="str">
        <v/>
      </c>
      <c r="B2096" s="121" t="str">
        <v/>
      </c>
      <c r="C2096" s="41" t="str">
        <v/>
      </c>
      <c r="D2096" s="41" t="str">
        <v/>
      </c>
      <c r="E2096" s="117" t="str">
        <f t="shared" si="0"/>
        <v>RD</v>
      </c>
      <c r="F2096" s="41" t="str">
        <v/>
      </c>
      <c r="G2096" s="41" t="str">
        <v/>
      </c>
      <c r="H2096" s="117">
        <f t="shared" si="1"/>
        <v>0</v>
      </c>
      <c r="I2096" s="117">
        <f t="shared" si="2"/>
        <v>7</v>
      </c>
      <c r="J2096" s="117">
        <f t="shared" si="3"/>
        <v>7.0299999999999994</v>
      </c>
      <c r="K2096" s="117" t="str">
        <f t="shared" si="4"/>
        <v>T</v>
      </c>
      <c r="L2096" s="42" t="str">
        <v>T0703</v>
      </c>
      <c r="M2096" s="121" t="str">
        <v/>
      </c>
      <c r="N2096" s="121" t="str">
        <v/>
      </c>
      <c r="O2096" s="121" t="str">
        <v/>
      </c>
      <c r="P2096" s="121" t="str">
        <v/>
      </c>
      <c r="Q2096" s="121" t="str">
        <v/>
      </c>
      <c r="R2096" s="121" t="str">
        <v/>
      </c>
      <c r="S2096" s="121" t="str">
        <v/>
      </c>
      <c r="T2096" s="119" t="str">
        <f>IF($C2096&lt;4,IF($C2096=3,T2097,IF($C2096=2,T$1,"")),Q2096&amp;R2096&amp;IF(LEN(S2096)=0,"",Preferences!$C$2&amp;S2096)&amp;IF(J2097=J2096,IF(LEN(R2096&amp;S2096)=0,"","
")&amp;T2097,""))</f>
        <v/>
      </c>
      <c r="U2096" s="122" t="str">
        <v/>
      </c>
      <c r="V2096" s="42"/>
      <c r="W2096" s="42"/>
      <c r="X2096" s="42"/>
      <c r="Y2096" s="42"/>
      <c r="Z2096" s="42"/>
      <c r="AA2096" s="42"/>
      <c r="AB2096" s="42"/>
    </row>
    <row r="2097" spans="1:28" x14ac:dyDescent="0.25">
      <c r="A2097" s="42" t="str">
        <v/>
      </c>
      <c r="B2097" s="121" t="str">
        <v/>
      </c>
      <c r="C2097" s="41" t="str">
        <v/>
      </c>
      <c r="D2097" s="41" t="str">
        <v/>
      </c>
      <c r="E2097" s="117" t="str">
        <f t="shared" si="0"/>
        <v>RD</v>
      </c>
      <c r="F2097" s="41" t="str">
        <v/>
      </c>
      <c r="G2097" s="41" t="str">
        <v/>
      </c>
      <c r="H2097" s="117">
        <f t="shared" si="1"/>
        <v>0</v>
      </c>
      <c r="I2097" s="117">
        <f t="shared" si="2"/>
        <v>7</v>
      </c>
      <c r="J2097" s="117">
        <f t="shared" si="3"/>
        <v>7.0299999999999994</v>
      </c>
      <c r="K2097" s="117" t="str">
        <f t="shared" si="4"/>
        <v>T</v>
      </c>
      <c r="L2097" s="42" t="str">
        <v>T0703</v>
      </c>
      <c r="M2097" s="121" t="str">
        <v/>
      </c>
      <c r="N2097" s="121" t="str">
        <v/>
      </c>
      <c r="O2097" s="121" t="str">
        <v/>
      </c>
      <c r="P2097" s="121" t="str">
        <v/>
      </c>
      <c r="Q2097" s="121" t="str">
        <v/>
      </c>
      <c r="R2097" s="121" t="str">
        <v/>
      </c>
      <c r="S2097" s="121" t="str">
        <v/>
      </c>
      <c r="T2097" s="119" t="str">
        <f>IF($C2097&lt;4,IF($C2097=3,T2098,IF($C2097=2,T$1,"")),Q2097&amp;R2097&amp;IF(LEN(S2097)=0,"",Preferences!$C$2&amp;S2097)&amp;IF(J2098=J2097,IF(LEN(R2097&amp;S2097)=0,"","
")&amp;T2098,""))</f>
        <v/>
      </c>
      <c r="U2097" s="122" t="str">
        <v/>
      </c>
      <c r="V2097" s="42"/>
      <c r="W2097" s="42"/>
      <c r="X2097" s="42"/>
      <c r="Y2097" s="42"/>
      <c r="Z2097" s="42"/>
      <c r="AA2097" s="42"/>
      <c r="AB2097" s="42"/>
    </row>
    <row r="2098" spans="1:28" x14ac:dyDescent="0.25">
      <c r="A2098" s="42" t="str">
        <v/>
      </c>
      <c r="B2098" s="121" t="str">
        <v/>
      </c>
      <c r="C2098" s="41" t="str">
        <v/>
      </c>
      <c r="D2098" s="41" t="str">
        <v/>
      </c>
      <c r="E2098" s="117" t="str">
        <f t="shared" si="0"/>
        <v>RD</v>
      </c>
      <c r="F2098" s="41" t="str">
        <v/>
      </c>
      <c r="G2098" s="41" t="str">
        <v/>
      </c>
      <c r="H2098" s="117">
        <f t="shared" si="1"/>
        <v>0</v>
      </c>
      <c r="I2098" s="117">
        <f t="shared" si="2"/>
        <v>7</v>
      </c>
      <c r="J2098" s="117">
        <f t="shared" si="3"/>
        <v>7.0299999999999994</v>
      </c>
      <c r="K2098" s="117" t="str">
        <f t="shared" si="4"/>
        <v>T</v>
      </c>
      <c r="L2098" s="42" t="str">
        <v>T0703</v>
      </c>
      <c r="M2098" s="121" t="str">
        <v/>
      </c>
      <c r="N2098" s="121" t="str">
        <v/>
      </c>
      <c r="O2098" s="121" t="str">
        <v/>
      </c>
      <c r="P2098" s="121" t="str">
        <v/>
      </c>
      <c r="Q2098" s="121" t="str">
        <v/>
      </c>
      <c r="R2098" s="121" t="str">
        <v/>
      </c>
      <c r="S2098" s="121" t="str">
        <v/>
      </c>
      <c r="T2098" s="119" t="str">
        <f>IF($C2098&lt;4,IF($C2098=3,T2099,IF($C2098=2,T$1,"")),Q2098&amp;R2098&amp;IF(LEN(S2098)=0,"",Preferences!$C$2&amp;S2098)&amp;IF(J2099=J2098,IF(LEN(R2098&amp;S2098)=0,"","
")&amp;T2099,""))</f>
        <v/>
      </c>
      <c r="U2098" s="122" t="str">
        <v/>
      </c>
      <c r="V2098" s="42"/>
      <c r="W2098" s="42"/>
      <c r="X2098" s="42"/>
      <c r="Y2098" s="42"/>
      <c r="Z2098" s="42"/>
      <c r="AA2098" s="42"/>
      <c r="AB2098" s="42"/>
    </row>
    <row r="2099" spans="1:28" x14ac:dyDescent="0.25">
      <c r="A2099" s="42" t="str">
        <v/>
      </c>
      <c r="B2099" s="121" t="str">
        <v/>
      </c>
      <c r="C2099" s="41" t="str">
        <v/>
      </c>
      <c r="D2099" s="41" t="str">
        <v/>
      </c>
      <c r="E2099" s="117" t="str">
        <f t="shared" si="0"/>
        <v>RD</v>
      </c>
      <c r="F2099" s="41" t="str">
        <v/>
      </c>
      <c r="G2099" s="41" t="str">
        <v/>
      </c>
      <c r="H2099" s="117">
        <f t="shared" si="1"/>
        <v>0</v>
      </c>
      <c r="I2099" s="117">
        <f t="shared" si="2"/>
        <v>7</v>
      </c>
      <c r="J2099" s="117">
        <f t="shared" si="3"/>
        <v>7.0299999999999994</v>
      </c>
      <c r="K2099" s="117" t="str">
        <f t="shared" si="4"/>
        <v>T</v>
      </c>
      <c r="L2099" s="42" t="str">
        <v>T0703</v>
      </c>
      <c r="M2099" s="121" t="str">
        <v/>
      </c>
      <c r="N2099" s="121" t="str">
        <v/>
      </c>
      <c r="O2099" s="121" t="str">
        <v/>
      </c>
      <c r="P2099" s="121" t="str">
        <v/>
      </c>
      <c r="Q2099" s="121" t="str">
        <v/>
      </c>
      <c r="R2099" s="121" t="str">
        <v/>
      </c>
      <c r="S2099" s="121" t="str">
        <v/>
      </c>
      <c r="T2099" s="119" t="str">
        <f>IF($C2099&lt;4,IF($C2099=3,T2100,IF($C2099=2,T$1,"")),Q2099&amp;R2099&amp;IF(LEN(S2099)=0,"",Preferences!$C$2&amp;S2099)&amp;IF(J2100=J2099,IF(LEN(R2099&amp;S2099)=0,"","
")&amp;T2100,""))</f>
        <v/>
      </c>
      <c r="U2099" s="122" t="str">
        <v/>
      </c>
      <c r="V2099" s="42"/>
      <c r="W2099" s="42"/>
      <c r="X2099" s="42"/>
      <c r="Y2099" s="42"/>
      <c r="Z2099" s="42"/>
      <c r="AA2099" s="42"/>
      <c r="AB2099" s="42"/>
    </row>
    <row r="2100" spans="1:28" x14ac:dyDescent="0.25">
      <c r="A2100" s="42" t="str">
        <v/>
      </c>
      <c r="B2100" s="121" t="str">
        <v/>
      </c>
      <c r="C2100" s="41" t="str">
        <v/>
      </c>
      <c r="D2100" s="41" t="str">
        <v/>
      </c>
      <c r="E2100" s="117" t="str">
        <f t="shared" si="0"/>
        <v>RD</v>
      </c>
      <c r="F2100" s="41" t="str">
        <v/>
      </c>
      <c r="G2100" s="41" t="str">
        <v/>
      </c>
      <c r="H2100" s="117">
        <f t="shared" si="1"/>
        <v>0</v>
      </c>
      <c r="I2100" s="117">
        <f t="shared" si="2"/>
        <v>7</v>
      </c>
      <c r="J2100" s="117">
        <f t="shared" si="3"/>
        <v>7.0299999999999994</v>
      </c>
      <c r="K2100" s="117" t="str">
        <f t="shared" si="4"/>
        <v>T</v>
      </c>
      <c r="L2100" s="42" t="str">
        <v>T0703</v>
      </c>
      <c r="M2100" s="121" t="str">
        <v/>
      </c>
      <c r="N2100" s="121" t="str">
        <v/>
      </c>
      <c r="O2100" s="121" t="str">
        <v/>
      </c>
      <c r="P2100" s="121" t="str">
        <v/>
      </c>
      <c r="Q2100" s="121" t="str">
        <v/>
      </c>
      <c r="R2100" s="121" t="str">
        <v/>
      </c>
      <c r="S2100" s="121" t="str">
        <v/>
      </c>
      <c r="T2100" s="119" t="str">
        <f>IF($C2100&lt;4,IF($C2100=3,T2101,IF($C2100=2,T$1,"")),Q2100&amp;R2100&amp;IF(LEN(S2100)=0,"",Preferences!$C$2&amp;S2100)&amp;IF(J2101=J2100,IF(LEN(R2100&amp;S2100)=0,"","
")&amp;T2101,""))</f>
        <v/>
      </c>
      <c r="U2100" s="122" t="str">
        <v/>
      </c>
      <c r="V2100" s="42"/>
      <c r="W2100" s="42"/>
      <c r="X2100" s="42"/>
      <c r="Y2100" s="42"/>
      <c r="Z2100" s="42"/>
      <c r="AA2100" s="42"/>
      <c r="AB2100" s="42"/>
    </row>
    <row r="2101" spans="1:28" x14ac:dyDescent="0.25">
      <c r="A2101" s="42" t="str">
        <v/>
      </c>
      <c r="B2101" s="121" t="str">
        <v/>
      </c>
      <c r="C2101" s="41" t="str">
        <v/>
      </c>
      <c r="D2101" s="41" t="str">
        <v/>
      </c>
      <c r="E2101" s="117" t="str">
        <f t="shared" si="0"/>
        <v>RD</v>
      </c>
      <c r="F2101" s="41" t="str">
        <v/>
      </c>
      <c r="G2101" s="41" t="str">
        <v/>
      </c>
      <c r="H2101" s="117">
        <f t="shared" si="1"/>
        <v>0</v>
      </c>
      <c r="I2101" s="117">
        <f t="shared" si="2"/>
        <v>7</v>
      </c>
      <c r="J2101" s="117">
        <f t="shared" si="3"/>
        <v>7.0299999999999994</v>
      </c>
      <c r="K2101" s="117" t="str">
        <f t="shared" si="4"/>
        <v>T</v>
      </c>
      <c r="L2101" s="42" t="str">
        <v>T0703</v>
      </c>
      <c r="M2101" s="121" t="str">
        <v/>
      </c>
      <c r="N2101" s="121" t="str">
        <v/>
      </c>
      <c r="O2101" s="121" t="str">
        <v/>
      </c>
      <c r="P2101" s="121" t="str">
        <v/>
      </c>
      <c r="Q2101" s="121" t="str">
        <v/>
      </c>
      <c r="R2101" s="121" t="str">
        <v/>
      </c>
      <c r="S2101" s="121" t="str">
        <v/>
      </c>
      <c r="T2101" s="119" t="str">
        <f>IF($C2101&lt;4,IF($C2101=3,T2102,IF($C2101=2,T$1,"")),Q2101&amp;R2101&amp;IF(LEN(S2101)=0,"",Preferences!$C$2&amp;S2101)&amp;IF(J2102=J2101,IF(LEN(R2101&amp;S2101)=0,"","
")&amp;T2102,""))</f>
        <v/>
      </c>
      <c r="U2101" s="122" t="str">
        <v/>
      </c>
      <c r="V2101" s="42"/>
      <c r="W2101" s="42"/>
      <c r="X2101" s="42"/>
      <c r="Y2101" s="42"/>
      <c r="Z2101" s="42"/>
      <c r="AA2101" s="42"/>
      <c r="AB2101" s="42"/>
    </row>
    <row r="2102" spans="1:28" x14ac:dyDescent="0.25">
      <c r="A2102" s="42" t="str">
        <v/>
      </c>
      <c r="B2102" s="121" t="str">
        <v/>
      </c>
      <c r="C2102" s="41" t="str">
        <v/>
      </c>
      <c r="D2102" s="41" t="str">
        <v/>
      </c>
      <c r="E2102" s="117" t="str">
        <f t="shared" si="0"/>
        <v>RD</v>
      </c>
      <c r="F2102" s="41" t="str">
        <v/>
      </c>
      <c r="G2102" s="41" t="str">
        <v/>
      </c>
      <c r="H2102" s="117">
        <f t="shared" si="1"/>
        <v>0</v>
      </c>
      <c r="I2102" s="117">
        <f t="shared" si="2"/>
        <v>7</v>
      </c>
      <c r="J2102" s="117">
        <f t="shared" si="3"/>
        <v>7.0299999999999994</v>
      </c>
      <c r="K2102" s="117" t="str">
        <f t="shared" si="4"/>
        <v>T</v>
      </c>
      <c r="L2102" s="42" t="str">
        <v>T0703</v>
      </c>
      <c r="M2102" s="121" t="str">
        <v/>
      </c>
      <c r="N2102" s="121" t="str">
        <v/>
      </c>
      <c r="O2102" s="121" t="str">
        <v/>
      </c>
      <c r="P2102" s="121" t="str">
        <v/>
      </c>
      <c r="Q2102" s="121" t="str">
        <v/>
      </c>
      <c r="R2102" s="121" t="str">
        <v/>
      </c>
      <c r="S2102" s="121" t="str">
        <v/>
      </c>
      <c r="T2102" s="119" t="str">
        <f>IF($C2102&lt;4,IF($C2102=3,T2103,IF($C2102=2,T$1,"")),Q2102&amp;R2102&amp;IF(LEN(S2102)=0,"",Preferences!$C$2&amp;S2102)&amp;IF(J2103=J2102,IF(LEN(R2102&amp;S2102)=0,"","
")&amp;T2103,""))</f>
        <v/>
      </c>
      <c r="U2102" s="122" t="str">
        <v/>
      </c>
      <c r="V2102" s="42"/>
      <c r="W2102" s="42"/>
      <c r="X2102" s="42"/>
      <c r="Y2102" s="42"/>
      <c r="Z2102" s="42"/>
      <c r="AA2102" s="42"/>
      <c r="AB2102" s="42"/>
    </row>
    <row r="2103" spans="1:28" x14ac:dyDescent="0.25">
      <c r="A2103" s="42" t="str">
        <v/>
      </c>
      <c r="B2103" s="121" t="str">
        <v/>
      </c>
      <c r="C2103" s="41" t="str">
        <v/>
      </c>
      <c r="D2103" s="41" t="str">
        <v/>
      </c>
      <c r="E2103" s="117" t="str">
        <f t="shared" si="0"/>
        <v>RD</v>
      </c>
      <c r="F2103" s="41" t="str">
        <v/>
      </c>
      <c r="G2103" s="41" t="str">
        <v/>
      </c>
      <c r="H2103" s="117">
        <f t="shared" si="1"/>
        <v>0</v>
      </c>
      <c r="I2103" s="117">
        <f t="shared" si="2"/>
        <v>7</v>
      </c>
      <c r="J2103" s="117">
        <f t="shared" si="3"/>
        <v>7.0299999999999994</v>
      </c>
      <c r="K2103" s="117" t="str">
        <f t="shared" si="4"/>
        <v>T</v>
      </c>
      <c r="L2103" s="42" t="str">
        <v>T0703</v>
      </c>
      <c r="M2103" s="121" t="str">
        <v/>
      </c>
      <c r="N2103" s="121" t="str">
        <v/>
      </c>
      <c r="O2103" s="121" t="str">
        <v/>
      </c>
      <c r="P2103" s="121" t="str">
        <v/>
      </c>
      <c r="Q2103" s="121" t="str">
        <v/>
      </c>
      <c r="R2103" s="121" t="str">
        <v/>
      </c>
      <c r="S2103" s="121" t="str">
        <v/>
      </c>
      <c r="T2103" s="119" t="str">
        <f>IF($C2103&lt;4,IF($C2103=3,T2104,IF($C2103=2,T$1,"")),Q2103&amp;R2103&amp;IF(LEN(S2103)=0,"",Preferences!$C$2&amp;S2103)&amp;IF(J2104=J2103,IF(LEN(R2103&amp;S2103)=0,"","
")&amp;T2104,""))</f>
        <v/>
      </c>
      <c r="U2103" s="122" t="str">
        <v/>
      </c>
      <c r="V2103" s="42"/>
      <c r="W2103" s="42"/>
      <c r="X2103" s="42"/>
      <c r="Y2103" s="42"/>
      <c r="Z2103" s="42"/>
      <c r="AA2103" s="42"/>
      <c r="AB2103" s="42"/>
    </row>
    <row r="2104" spans="1:28" x14ac:dyDescent="0.25">
      <c r="A2104" s="42" t="str">
        <v/>
      </c>
      <c r="B2104" s="121" t="str">
        <v/>
      </c>
      <c r="C2104" s="41" t="str">
        <v/>
      </c>
      <c r="D2104" s="41" t="str">
        <v/>
      </c>
      <c r="E2104" s="117" t="str">
        <f t="shared" si="0"/>
        <v>RD</v>
      </c>
      <c r="F2104" s="41" t="str">
        <v/>
      </c>
      <c r="G2104" s="41" t="str">
        <v/>
      </c>
      <c r="H2104" s="117">
        <f t="shared" si="1"/>
        <v>0</v>
      </c>
      <c r="I2104" s="117">
        <f t="shared" si="2"/>
        <v>7</v>
      </c>
      <c r="J2104" s="117">
        <f t="shared" si="3"/>
        <v>7.0299999999999994</v>
      </c>
      <c r="K2104" s="117" t="str">
        <f t="shared" si="4"/>
        <v>T</v>
      </c>
      <c r="L2104" s="42" t="str">
        <v>T0703</v>
      </c>
      <c r="M2104" s="121" t="str">
        <v/>
      </c>
      <c r="N2104" s="121" t="str">
        <v/>
      </c>
      <c r="O2104" s="121" t="str">
        <v/>
      </c>
      <c r="P2104" s="121" t="str">
        <v/>
      </c>
      <c r="Q2104" s="121" t="str">
        <v/>
      </c>
      <c r="R2104" s="121" t="str">
        <v/>
      </c>
      <c r="S2104" s="121" t="str">
        <v/>
      </c>
      <c r="T2104" s="119" t="str">
        <f>IF($C2104&lt;4,IF($C2104=3,T2105,IF($C2104=2,T$1,"")),Q2104&amp;R2104&amp;IF(LEN(S2104)=0,"",Preferences!$C$2&amp;S2104)&amp;IF(J2105=J2104,IF(LEN(R2104&amp;S2104)=0,"","
")&amp;T2105,""))</f>
        <v/>
      </c>
      <c r="U2104" s="122" t="str">
        <v/>
      </c>
      <c r="V2104" s="42"/>
      <c r="W2104" s="42"/>
      <c r="X2104" s="42"/>
      <c r="Y2104" s="42"/>
      <c r="Z2104" s="42"/>
      <c r="AA2104" s="42"/>
      <c r="AB2104" s="42"/>
    </row>
    <row r="2105" spans="1:28" x14ac:dyDescent="0.25">
      <c r="A2105" s="42" t="str">
        <v/>
      </c>
      <c r="B2105" s="121" t="str">
        <v/>
      </c>
      <c r="C2105" s="41" t="str">
        <v/>
      </c>
      <c r="D2105" s="41" t="str">
        <v/>
      </c>
      <c r="E2105" s="117" t="str">
        <f t="shared" si="0"/>
        <v>RD</v>
      </c>
      <c r="F2105" s="41" t="str">
        <v/>
      </c>
      <c r="G2105" s="41" t="str">
        <v/>
      </c>
      <c r="H2105" s="117">
        <f t="shared" si="1"/>
        <v>0</v>
      </c>
      <c r="I2105" s="117">
        <f t="shared" si="2"/>
        <v>7</v>
      </c>
      <c r="J2105" s="117">
        <f t="shared" si="3"/>
        <v>7.0299999999999994</v>
      </c>
      <c r="K2105" s="117" t="str">
        <f t="shared" si="4"/>
        <v>T</v>
      </c>
      <c r="L2105" s="42" t="str">
        <v>T0703</v>
      </c>
      <c r="M2105" s="121" t="str">
        <v/>
      </c>
      <c r="N2105" s="121" t="str">
        <v/>
      </c>
      <c r="O2105" s="121" t="str">
        <v/>
      </c>
      <c r="P2105" s="121" t="str">
        <v/>
      </c>
      <c r="Q2105" s="121" t="str">
        <v/>
      </c>
      <c r="R2105" s="121" t="str">
        <v/>
      </c>
      <c r="S2105" s="121" t="str">
        <v/>
      </c>
      <c r="T2105" s="119" t="str">
        <f>IF($C2105&lt;4,IF($C2105=3,T2106,IF($C2105=2,T$1,"")),Q2105&amp;R2105&amp;IF(LEN(S2105)=0,"",Preferences!$C$2&amp;S2105)&amp;IF(J2106=J2105,IF(LEN(R2105&amp;S2105)=0,"","
")&amp;T2106,""))</f>
        <v/>
      </c>
      <c r="U2105" s="122" t="str">
        <v/>
      </c>
      <c r="V2105" s="42"/>
      <c r="W2105" s="42"/>
      <c r="X2105" s="42"/>
      <c r="Y2105" s="42"/>
      <c r="Z2105" s="42"/>
      <c r="AA2105" s="42"/>
      <c r="AB2105" s="42"/>
    </row>
    <row r="2106" spans="1:28" x14ac:dyDescent="0.25">
      <c r="A2106" s="42" t="str">
        <v/>
      </c>
      <c r="B2106" s="121" t="str">
        <v/>
      </c>
      <c r="C2106" s="41" t="str">
        <v/>
      </c>
      <c r="D2106" s="41" t="str">
        <v/>
      </c>
      <c r="E2106" s="117" t="str">
        <f t="shared" si="0"/>
        <v>RD</v>
      </c>
      <c r="F2106" s="41" t="str">
        <v/>
      </c>
      <c r="G2106" s="41" t="str">
        <v/>
      </c>
      <c r="H2106" s="117">
        <f t="shared" si="1"/>
        <v>0</v>
      </c>
      <c r="I2106" s="117">
        <f t="shared" si="2"/>
        <v>7</v>
      </c>
      <c r="J2106" s="117">
        <f t="shared" si="3"/>
        <v>7.0299999999999994</v>
      </c>
      <c r="K2106" s="117" t="str">
        <f t="shared" si="4"/>
        <v>T</v>
      </c>
      <c r="L2106" s="42" t="str">
        <v>T0703</v>
      </c>
      <c r="M2106" s="121" t="str">
        <v/>
      </c>
      <c r="N2106" s="121" t="str">
        <v/>
      </c>
      <c r="O2106" s="121" t="str">
        <v/>
      </c>
      <c r="P2106" s="121" t="str">
        <v/>
      </c>
      <c r="Q2106" s="121" t="str">
        <v/>
      </c>
      <c r="R2106" s="121" t="str">
        <v/>
      </c>
      <c r="S2106" s="121" t="str">
        <v/>
      </c>
      <c r="T2106" s="119" t="str">
        <f>IF($C2106&lt;4,IF($C2106=3,T2107,IF($C2106=2,T$1,"")),Q2106&amp;R2106&amp;IF(LEN(S2106)=0,"",Preferences!$C$2&amp;S2106)&amp;IF(J2107=J2106,IF(LEN(R2106&amp;S2106)=0,"","
")&amp;T2107,""))</f>
        <v/>
      </c>
      <c r="U2106" s="122" t="str">
        <v/>
      </c>
      <c r="V2106" s="42"/>
      <c r="W2106" s="42"/>
      <c r="X2106" s="42"/>
      <c r="Y2106" s="42"/>
      <c r="Z2106" s="42"/>
      <c r="AA2106" s="42"/>
      <c r="AB2106" s="42"/>
    </row>
    <row r="2107" spans="1:28" x14ac:dyDescent="0.25">
      <c r="A2107" s="42" t="str">
        <v/>
      </c>
      <c r="B2107" s="121" t="str">
        <v/>
      </c>
      <c r="C2107" s="41" t="str">
        <v/>
      </c>
      <c r="D2107" s="41" t="str">
        <v/>
      </c>
      <c r="E2107" s="117" t="str">
        <f t="shared" si="0"/>
        <v>RD</v>
      </c>
      <c r="F2107" s="41" t="str">
        <v/>
      </c>
      <c r="G2107" s="41" t="str">
        <v/>
      </c>
      <c r="H2107" s="117">
        <f t="shared" si="1"/>
        <v>0</v>
      </c>
      <c r="I2107" s="117">
        <f t="shared" si="2"/>
        <v>7</v>
      </c>
      <c r="J2107" s="117">
        <f t="shared" si="3"/>
        <v>7.0299999999999994</v>
      </c>
      <c r="K2107" s="117" t="str">
        <f t="shared" si="4"/>
        <v>T</v>
      </c>
      <c r="L2107" s="42" t="str">
        <v>T0703</v>
      </c>
      <c r="M2107" s="121" t="str">
        <v/>
      </c>
      <c r="N2107" s="121" t="str">
        <v/>
      </c>
      <c r="O2107" s="121" t="str">
        <v/>
      </c>
      <c r="P2107" s="121" t="str">
        <v/>
      </c>
      <c r="Q2107" s="121" t="str">
        <v/>
      </c>
      <c r="R2107" s="121" t="str">
        <v/>
      </c>
      <c r="S2107" s="121" t="str">
        <v/>
      </c>
      <c r="T2107" s="119" t="str">
        <f>IF($C2107&lt;4,IF($C2107=3,T2108,IF($C2107=2,T$1,"")),Q2107&amp;R2107&amp;IF(LEN(S2107)=0,"",Preferences!$C$2&amp;S2107)&amp;IF(J2108=J2107,IF(LEN(R2107&amp;S2107)=0,"","
")&amp;T2108,""))</f>
        <v/>
      </c>
      <c r="U2107" s="122" t="str">
        <v/>
      </c>
      <c r="V2107" s="42"/>
      <c r="W2107" s="42"/>
      <c r="X2107" s="42"/>
      <c r="Y2107" s="42"/>
      <c r="Z2107" s="42"/>
      <c r="AA2107" s="42"/>
      <c r="AB2107" s="42"/>
    </row>
    <row r="2108" spans="1:28" x14ac:dyDescent="0.25">
      <c r="A2108" s="42" t="str">
        <v/>
      </c>
      <c r="B2108" s="121" t="str">
        <v/>
      </c>
      <c r="C2108" s="41" t="str">
        <v/>
      </c>
      <c r="D2108" s="41" t="str">
        <v/>
      </c>
      <c r="E2108" s="117" t="str">
        <f t="shared" si="0"/>
        <v>RD</v>
      </c>
      <c r="F2108" s="41" t="str">
        <v/>
      </c>
      <c r="G2108" s="41" t="str">
        <v/>
      </c>
      <c r="H2108" s="117">
        <f t="shared" si="1"/>
        <v>0</v>
      </c>
      <c r="I2108" s="117">
        <f t="shared" si="2"/>
        <v>7</v>
      </c>
      <c r="J2108" s="117">
        <f t="shared" si="3"/>
        <v>7.0299999999999994</v>
      </c>
      <c r="K2108" s="117" t="str">
        <f t="shared" si="4"/>
        <v>T</v>
      </c>
      <c r="L2108" s="42" t="str">
        <v>T0703</v>
      </c>
      <c r="M2108" s="121" t="str">
        <v/>
      </c>
      <c r="N2108" s="121" t="str">
        <v/>
      </c>
      <c r="O2108" s="121" t="str">
        <v/>
      </c>
      <c r="P2108" s="121" t="str">
        <v/>
      </c>
      <c r="Q2108" s="121" t="str">
        <v/>
      </c>
      <c r="R2108" s="121" t="str">
        <v/>
      </c>
      <c r="S2108" s="121" t="str">
        <v/>
      </c>
      <c r="T2108" s="119" t="str">
        <f>IF($C2108&lt;4,IF($C2108=3,T2109,IF($C2108=2,T$1,"")),Q2108&amp;R2108&amp;IF(LEN(S2108)=0,"",Preferences!$C$2&amp;S2108)&amp;IF(J2109=J2108,IF(LEN(R2108&amp;S2108)=0,"","
")&amp;T2109,""))</f>
        <v/>
      </c>
      <c r="U2108" s="122" t="str">
        <v/>
      </c>
      <c r="V2108" s="42"/>
      <c r="W2108" s="42"/>
      <c r="X2108" s="42"/>
      <c r="Y2108" s="42"/>
      <c r="Z2108" s="42"/>
      <c r="AA2108" s="42"/>
      <c r="AB2108" s="42"/>
    </row>
    <row r="2109" spans="1:28" x14ac:dyDescent="0.25">
      <c r="A2109" s="42" t="str">
        <v/>
      </c>
      <c r="B2109" s="121" t="str">
        <v/>
      </c>
      <c r="C2109" s="41" t="str">
        <v/>
      </c>
      <c r="D2109" s="41" t="str">
        <v/>
      </c>
      <c r="E2109" s="117" t="str">
        <f t="shared" si="0"/>
        <v>RD</v>
      </c>
      <c r="F2109" s="41" t="str">
        <v/>
      </c>
      <c r="G2109" s="41" t="str">
        <v/>
      </c>
      <c r="H2109" s="117">
        <f t="shared" si="1"/>
        <v>0</v>
      </c>
      <c r="I2109" s="117">
        <f t="shared" si="2"/>
        <v>7</v>
      </c>
      <c r="J2109" s="117">
        <f t="shared" si="3"/>
        <v>7.0299999999999994</v>
      </c>
      <c r="K2109" s="117" t="str">
        <f t="shared" si="4"/>
        <v>T</v>
      </c>
      <c r="L2109" s="42" t="str">
        <v>T0703</v>
      </c>
      <c r="M2109" s="121" t="str">
        <v/>
      </c>
      <c r="N2109" s="121" t="str">
        <v/>
      </c>
      <c r="O2109" s="121" t="str">
        <v/>
      </c>
      <c r="P2109" s="121" t="str">
        <v/>
      </c>
      <c r="Q2109" s="121" t="str">
        <v/>
      </c>
      <c r="R2109" s="121" t="str">
        <v/>
      </c>
      <c r="S2109" s="121" t="str">
        <v/>
      </c>
      <c r="T2109" s="119" t="str">
        <f>IF($C2109&lt;4,IF($C2109=3,T2110,IF($C2109=2,T$1,"")),Q2109&amp;R2109&amp;IF(LEN(S2109)=0,"",Preferences!$C$2&amp;S2109)&amp;IF(J2110=J2109,IF(LEN(R2109&amp;S2109)=0,"","
")&amp;T2110,""))</f>
        <v/>
      </c>
      <c r="U2109" s="122" t="str">
        <v/>
      </c>
      <c r="V2109" s="42"/>
      <c r="W2109" s="42"/>
      <c r="X2109" s="42"/>
      <c r="Y2109" s="42"/>
      <c r="Z2109" s="42"/>
      <c r="AA2109" s="42"/>
      <c r="AB2109" s="42"/>
    </row>
    <row r="2110" spans="1:28" x14ac:dyDescent="0.25">
      <c r="A2110" s="42" t="str">
        <v/>
      </c>
      <c r="B2110" s="121" t="str">
        <v/>
      </c>
      <c r="C2110" s="41" t="str">
        <v/>
      </c>
      <c r="D2110" s="41" t="str">
        <v/>
      </c>
      <c r="E2110" s="117" t="str">
        <f t="shared" si="0"/>
        <v>RD</v>
      </c>
      <c r="F2110" s="41" t="str">
        <v/>
      </c>
      <c r="G2110" s="41" t="str">
        <v/>
      </c>
      <c r="H2110" s="117">
        <f t="shared" si="1"/>
        <v>0</v>
      </c>
      <c r="I2110" s="117">
        <f t="shared" si="2"/>
        <v>7</v>
      </c>
      <c r="J2110" s="117">
        <f t="shared" si="3"/>
        <v>7.0299999999999994</v>
      </c>
      <c r="K2110" s="117" t="str">
        <f t="shared" si="4"/>
        <v>T</v>
      </c>
      <c r="L2110" s="42" t="str">
        <v>T0703</v>
      </c>
      <c r="M2110" s="121" t="str">
        <v/>
      </c>
      <c r="N2110" s="121" t="str">
        <v/>
      </c>
      <c r="O2110" s="121" t="str">
        <v/>
      </c>
      <c r="P2110" s="121" t="str">
        <v/>
      </c>
      <c r="Q2110" s="121" t="str">
        <v/>
      </c>
      <c r="R2110" s="121" t="str">
        <v/>
      </c>
      <c r="S2110" s="121" t="str">
        <v/>
      </c>
      <c r="T2110" s="119" t="str">
        <f>IF($C2110&lt;4,IF($C2110=3,T2111,IF($C2110=2,T$1,"")),Q2110&amp;R2110&amp;IF(LEN(S2110)=0,"",Preferences!$C$2&amp;S2110)&amp;IF(J2111=J2110,IF(LEN(R2110&amp;S2110)=0,"","
")&amp;T2111,""))</f>
        <v/>
      </c>
      <c r="U2110" s="122" t="str">
        <v/>
      </c>
      <c r="V2110" s="42"/>
      <c r="W2110" s="42"/>
      <c r="X2110" s="42"/>
      <c r="Y2110" s="42"/>
      <c r="Z2110" s="42"/>
      <c r="AA2110" s="42"/>
      <c r="AB2110" s="42"/>
    </row>
    <row r="2111" spans="1:28" x14ac:dyDescent="0.25">
      <c r="A2111" s="42" t="str">
        <v/>
      </c>
      <c r="B2111" s="121" t="str">
        <v/>
      </c>
      <c r="C2111" s="41" t="str">
        <v/>
      </c>
      <c r="D2111" s="41" t="str">
        <v/>
      </c>
      <c r="E2111" s="117" t="str">
        <f t="shared" si="0"/>
        <v>RD</v>
      </c>
      <c r="F2111" s="41" t="str">
        <v/>
      </c>
      <c r="G2111" s="41" t="str">
        <v/>
      </c>
      <c r="H2111" s="117">
        <f t="shared" si="1"/>
        <v>0</v>
      </c>
      <c r="I2111" s="117">
        <f t="shared" si="2"/>
        <v>7</v>
      </c>
      <c r="J2111" s="117">
        <f t="shared" si="3"/>
        <v>7.0299999999999994</v>
      </c>
      <c r="K2111" s="117" t="str">
        <f t="shared" si="4"/>
        <v>T</v>
      </c>
      <c r="L2111" s="42" t="str">
        <v>T0703</v>
      </c>
      <c r="M2111" s="121" t="str">
        <v/>
      </c>
      <c r="N2111" s="121" t="str">
        <v/>
      </c>
      <c r="O2111" s="121" t="str">
        <v/>
      </c>
      <c r="P2111" s="121" t="str">
        <v/>
      </c>
      <c r="Q2111" s="121" t="str">
        <v/>
      </c>
      <c r="R2111" s="121" t="str">
        <v/>
      </c>
      <c r="S2111" s="121" t="str">
        <v/>
      </c>
      <c r="T2111" s="119" t="str">
        <f>IF($C2111&lt;4,IF($C2111=3,T2112,IF($C2111=2,T$1,"")),Q2111&amp;R2111&amp;IF(LEN(S2111)=0,"",Preferences!$C$2&amp;S2111)&amp;IF(J2112=J2111,IF(LEN(R2111&amp;S2111)=0,"","
")&amp;T2112,""))</f>
        <v/>
      </c>
      <c r="U2111" s="122" t="str">
        <v/>
      </c>
      <c r="V2111" s="42"/>
      <c r="W2111" s="42"/>
      <c r="X2111" s="42"/>
      <c r="Y2111" s="42"/>
      <c r="Z2111" s="42"/>
      <c r="AA2111" s="42"/>
      <c r="AB2111" s="42"/>
    </row>
    <row r="2112" spans="1:28" x14ac:dyDescent="0.25">
      <c r="A2112" s="42" t="str">
        <v/>
      </c>
      <c r="B2112" s="121" t="str">
        <v/>
      </c>
      <c r="C2112" s="41" t="str">
        <v/>
      </c>
      <c r="D2112" s="41" t="str">
        <v/>
      </c>
      <c r="E2112" s="117" t="str">
        <f t="shared" si="0"/>
        <v>RD</v>
      </c>
      <c r="F2112" s="41" t="str">
        <v/>
      </c>
      <c r="G2112" s="41" t="str">
        <v/>
      </c>
      <c r="H2112" s="117">
        <f t="shared" si="1"/>
        <v>0</v>
      </c>
      <c r="I2112" s="117">
        <f t="shared" si="2"/>
        <v>7</v>
      </c>
      <c r="J2112" s="117">
        <f t="shared" si="3"/>
        <v>7.0299999999999994</v>
      </c>
      <c r="K2112" s="117" t="str">
        <f t="shared" si="4"/>
        <v>T</v>
      </c>
      <c r="L2112" s="42" t="str">
        <v>T0703</v>
      </c>
      <c r="M2112" s="121" t="str">
        <v/>
      </c>
      <c r="N2112" s="121" t="str">
        <v/>
      </c>
      <c r="O2112" s="121" t="str">
        <v/>
      </c>
      <c r="P2112" s="121" t="str">
        <v/>
      </c>
      <c r="Q2112" s="121" t="str">
        <v/>
      </c>
      <c r="R2112" s="121" t="str">
        <v/>
      </c>
      <c r="S2112" s="121" t="str">
        <v/>
      </c>
      <c r="T2112" s="119" t="str">
        <f>IF($C2112&lt;4,IF($C2112=3,T2113,IF($C2112=2,T$1,"")),Q2112&amp;R2112&amp;IF(LEN(S2112)=0,"",Preferences!$C$2&amp;S2112)&amp;IF(J2113=J2112,IF(LEN(R2112&amp;S2112)=0,"","
")&amp;T2113,""))</f>
        <v/>
      </c>
      <c r="U2112" s="122" t="str">
        <v/>
      </c>
      <c r="V2112" s="42"/>
      <c r="W2112" s="42"/>
      <c r="X2112" s="42"/>
      <c r="Y2112" s="42"/>
      <c r="Z2112" s="42"/>
      <c r="AA2112" s="42"/>
      <c r="AB2112" s="42"/>
    </row>
    <row r="2113" spans="1:28" x14ac:dyDescent="0.25">
      <c r="A2113" s="42" t="str">
        <v/>
      </c>
      <c r="B2113" s="121" t="str">
        <v/>
      </c>
      <c r="C2113" s="41" t="str">
        <v/>
      </c>
      <c r="D2113" s="41" t="str">
        <v/>
      </c>
      <c r="E2113" s="117" t="str">
        <f t="shared" si="0"/>
        <v>RD</v>
      </c>
      <c r="F2113" s="41" t="str">
        <v/>
      </c>
      <c r="G2113" s="41" t="str">
        <v/>
      </c>
      <c r="H2113" s="117">
        <f t="shared" si="1"/>
        <v>0</v>
      </c>
      <c r="I2113" s="117">
        <f t="shared" si="2"/>
        <v>7</v>
      </c>
      <c r="J2113" s="117">
        <f t="shared" si="3"/>
        <v>7.0299999999999994</v>
      </c>
      <c r="K2113" s="117" t="str">
        <f t="shared" si="4"/>
        <v>T</v>
      </c>
      <c r="L2113" s="42" t="str">
        <v>T0703</v>
      </c>
      <c r="M2113" s="121" t="str">
        <v/>
      </c>
      <c r="N2113" s="121" t="str">
        <v/>
      </c>
      <c r="O2113" s="121" t="str">
        <v/>
      </c>
      <c r="P2113" s="121" t="str">
        <v/>
      </c>
      <c r="Q2113" s="121" t="str">
        <v/>
      </c>
      <c r="R2113" s="121" t="str">
        <v/>
      </c>
      <c r="S2113" s="121" t="str">
        <v/>
      </c>
      <c r="T2113" s="119" t="str">
        <f>IF($C2113&lt;4,IF($C2113=3,T2114,IF($C2113=2,T$1,"")),Q2113&amp;R2113&amp;IF(LEN(S2113)=0,"",Preferences!$C$2&amp;S2113)&amp;IF(J2114=J2113,IF(LEN(R2113&amp;S2113)=0,"","
")&amp;T2114,""))</f>
        <v/>
      </c>
      <c r="U2113" s="122" t="str">
        <v/>
      </c>
      <c r="V2113" s="42"/>
      <c r="W2113" s="42"/>
      <c r="X2113" s="42"/>
      <c r="Y2113" s="42"/>
      <c r="Z2113" s="42"/>
      <c r="AA2113" s="42"/>
      <c r="AB2113" s="42"/>
    </row>
    <row r="2114" spans="1:28" x14ac:dyDescent="0.25">
      <c r="A2114" s="42" t="str">
        <v/>
      </c>
      <c r="B2114" s="121" t="str">
        <v/>
      </c>
      <c r="C2114" s="41" t="str">
        <v/>
      </c>
      <c r="D2114" s="41" t="str">
        <v/>
      </c>
      <c r="E2114" s="117" t="str">
        <f t="shared" si="0"/>
        <v>RD</v>
      </c>
      <c r="F2114" s="41" t="str">
        <v/>
      </c>
      <c r="G2114" s="41" t="str">
        <v/>
      </c>
      <c r="H2114" s="117">
        <f t="shared" si="1"/>
        <v>0</v>
      </c>
      <c r="I2114" s="117">
        <f t="shared" si="2"/>
        <v>7</v>
      </c>
      <c r="J2114" s="117">
        <f t="shared" si="3"/>
        <v>7.0299999999999994</v>
      </c>
      <c r="K2114" s="117" t="str">
        <f t="shared" si="4"/>
        <v>T</v>
      </c>
      <c r="L2114" s="42" t="str">
        <v>T0703</v>
      </c>
      <c r="M2114" s="121" t="str">
        <v/>
      </c>
      <c r="N2114" s="121" t="str">
        <v/>
      </c>
      <c r="O2114" s="121" t="str">
        <v/>
      </c>
      <c r="P2114" s="121" t="str">
        <v/>
      </c>
      <c r="Q2114" s="121" t="str">
        <v/>
      </c>
      <c r="R2114" s="121" t="str">
        <v/>
      </c>
      <c r="S2114" s="121" t="str">
        <v/>
      </c>
      <c r="T2114" s="119" t="str">
        <f>IF($C2114&lt;4,IF($C2114=3,T2115,IF($C2114=2,T$1,"")),Q2114&amp;R2114&amp;IF(LEN(S2114)=0,"",Preferences!$C$2&amp;S2114)&amp;IF(J2115=J2114,IF(LEN(R2114&amp;S2114)=0,"","
")&amp;T2115,""))</f>
        <v/>
      </c>
      <c r="U2114" s="122" t="str">
        <v/>
      </c>
      <c r="V2114" s="42"/>
      <c r="W2114" s="42"/>
      <c r="X2114" s="42"/>
      <c r="Y2114" s="42"/>
      <c r="Z2114" s="42"/>
      <c r="AA2114" s="42"/>
      <c r="AB2114" s="42"/>
    </row>
    <row r="2115" spans="1:28" x14ac:dyDescent="0.25">
      <c r="A2115" s="42" t="str">
        <v/>
      </c>
      <c r="B2115" s="121" t="str">
        <v/>
      </c>
      <c r="C2115" s="41" t="str">
        <v/>
      </c>
      <c r="D2115" s="41" t="str">
        <v/>
      </c>
      <c r="E2115" s="117" t="str">
        <f t="shared" si="0"/>
        <v>RD</v>
      </c>
      <c r="F2115" s="41" t="str">
        <v/>
      </c>
      <c r="G2115" s="41" t="str">
        <v/>
      </c>
      <c r="H2115" s="117">
        <f t="shared" si="1"/>
        <v>0</v>
      </c>
      <c r="I2115" s="117">
        <f t="shared" si="2"/>
        <v>7</v>
      </c>
      <c r="J2115" s="117">
        <f t="shared" si="3"/>
        <v>7.0299999999999994</v>
      </c>
      <c r="K2115" s="117" t="str">
        <f t="shared" si="4"/>
        <v>T</v>
      </c>
      <c r="L2115" s="42" t="str">
        <v>T0703</v>
      </c>
      <c r="M2115" s="121" t="str">
        <v/>
      </c>
      <c r="N2115" s="121" t="str">
        <v/>
      </c>
      <c r="O2115" s="121" t="str">
        <v/>
      </c>
      <c r="P2115" s="121" t="str">
        <v/>
      </c>
      <c r="Q2115" s="121" t="str">
        <v/>
      </c>
      <c r="R2115" s="121" t="str">
        <v/>
      </c>
      <c r="S2115" s="121" t="str">
        <v/>
      </c>
      <c r="T2115" s="119" t="str">
        <f>IF($C2115&lt;4,IF($C2115=3,T2116,IF($C2115=2,T$1,"")),Q2115&amp;R2115&amp;IF(LEN(S2115)=0,"",Preferences!$C$2&amp;S2115)&amp;IF(J2116=J2115,IF(LEN(R2115&amp;S2115)=0,"","
")&amp;T2116,""))</f>
        <v/>
      </c>
      <c r="U2115" s="122" t="str">
        <v/>
      </c>
      <c r="V2115" s="42"/>
      <c r="W2115" s="42"/>
      <c r="X2115" s="42"/>
      <c r="Y2115" s="42"/>
      <c r="Z2115" s="42"/>
      <c r="AA2115" s="42"/>
      <c r="AB2115" s="42"/>
    </row>
    <row r="2116" spans="1:28" x14ac:dyDescent="0.25">
      <c r="A2116" s="42" t="str">
        <v/>
      </c>
      <c r="B2116" s="121" t="str">
        <v/>
      </c>
      <c r="C2116" s="41" t="str">
        <v/>
      </c>
      <c r="D2116" s="41" t="str">
        <v/>
      </c>
      <c r="E2116" s="117" t="str">
        <f t="shared" si="0"/>
        <v>RD</v>
      </c>
      <c r="F2116" s="41" t="str">
        <v/>
      </c>
      <c r="G2116" s="41" t="str">
        <v/>
      </c>
      <c r="H2116" s="117">
        <f t="shared" si="1"/>
        <v>0</v>
      </c>
      <c r="I2116" s="117">
        <f t="shared" si="2"/>
        <v>7</v>
      </c>
      <c r="J2116" s="117">
        <f t="shared" si="3"/>
        <v>7.0299999999999994</v>
      </c>
      <c r="K2116" s="117" t="str">
        <f t="shared" si="4"/>
        <v>T</v>
      </c>
      <c r="L2116" s="42" t="str">
        <v>T0703</v>
      </c>
      <c r="M2116" s="121" t="str">
        <v/>
      </c>
      <c r="N2116" s="121" t="str">
        <v/>
      </c>
      <c r="O2116" s="121" t="str">
        <v/>
      </c>
      <c r="P2116" s="121" t="str">
        <v/>
      </c>
      <c r="Q2116" s="121" t="str">
        <v/>
      </c>
      <c r="R2116" s="121" t="str">
        <v/>
      </c>
      <c r="S2116" s="121" t="str">
        <v/>
      </c>
      <c r="T2116" s="119" t="str">
        <f>IF($C2116&lt;4,IF($C2116=3,T2117,IF($C2116=2,T$1,"")),Q2116&amp;R2116&amp;IF(LEN(S2116)=0,"",Preferences!$C$2&amp;S2116)&amp;IF(J2117=J2116,IF(LEN(R2116&amp;S2116)=0,"","
")&amp;T2117,""))</f>
        <v/>
      </c>
      <c r="U2116" s="122" t="str">
        <v/>
      </c>
      <c r="V2116" s="42"/>
      <c r="W2116" s="42"/>
      <c r="X2116" s="42"/>
      <c r="Y2116" s="42"/>
      <c r="Z2116" s="42"/>
      <c r="AA2116" s="42"/>
      <c r="AB2116" s="42"/>
    </row>
    <row r="2117" spans="1:28" x14ac:dyDescent="0.25">
      <c r="A2117" s="42" t="str">
        <v/>
      </c>
      <c r="B2117" s="121" t="str">
        <v/>
      </c>
      <c r="C2117" s="41" t="str">
        <v/>
      </c>
      <c r="D2117" s="41" t="str">
        <v/>
      </c>
      <c r="E2117" s="117" t="str">
        <f t="shared" si="0"/>
        <v>RD</v>
      </c>
      <c r="F2117" s="41" t="str">
        <v/>
      </c>
      <c r="G2117" s="41" t="str">
        <v/>
      </c>
      <c r="H2117" s="117">
        <f t="shared" si="1"/>
        <v>0</v>
      </c>
      <c r="I2117" s="117">
        <f t="shared" si="2"/>
        <v>7</v>
      </c>
      <c r="J2117" s="117">
        <f t="shared" si="3"/>
        <v>7.0299999999999994</v>
      </c>
      <c r="K2117" s="117" t="str">
        <f t="shared" si="4"/>
        <v>T</v>
      </c>
      <c r="L2117" s="42" t="str">
        <v>T0703</v>
      </c>
      <c r="M2117" s="121" t="str">
        <v/>
      </c>
      <c r="N2117" s="121" t="str">
        <v/>
      </c>
      <c r="O2117" s="121" t="str">
        <v/>
      </c>
      <c r="P2117" s="121" t="str">
        <v/>
      </c>
      <c r="Q2117" s="121" t="str">
        <v/>
      </c>
      <c r="R2117" s="121" t="str">
        <v/>
      </c>
      <c r="S2117" s="121" t="str">
        <v/>
      </c>
      <c r="T2117" s="119" t="str">
        <f>IF($C2117&lt;4,IF($C2117=3,T2118,IF($C2117=2,T$1,"")),Q2117&amp;R2117&amp;IF(LEN(S2117)=0,"",Preferences!$C$2&amp;S2117)&amp;IF(J2118=J2117,IF(LEN(R2117&amp;S2117)=0,"","
")&amp;T2118,""))</f>
        <v/>
      </c>
      <c r="U2117" s="122" t="str">
        <v/>
      </c>
      <c r="V2117" s="42"/>
      <c r="W2117" s="42"/>
      <c r="X2117" s="42"/>
      <c r="Y2117" s="42"/>
      <c r="Z2117" s="42"/>
      <c r="AA2117" s="42"/>
      <c r="AB2117" s="42"/>
    </row>
    <row r="2118" spans="1:28" x14ac:dyDescent="0.25">
      <c r="A2118" s="42" t="str">
        <v/>
      </c>
      <c r="B2118" s="121" t="str">
        <v/>
      </c>
      <c r="C2118" s="41" t="str">
        <v/>
      </c>
      <c r="D2118" s="41" t="str">
        <v/>
      </c>
      <c r="E2118" s="117" t="str">
        <f t="shared" si="0"/>
        <v>RD</v>
      </c>
      <c r="F2118" s="41" t="str">
        <v/>
      </c>
      <c r="G2118" s="41" t="str">
        <v/>
      </c>
      <c r="H2118" s="117">
        <f t="shared" si="1"/>
        <v>0</v>
      </c>
      <c r="I2118" s="117">
        <f t="shared" si="2"/>
        <v>7</v>
      </c>
      <c r="J2118" s="117">
        <f t="shared" si="3"/>
        <v>7.0299999999999994</v>
      </c>
      <c r="K2118" s="117" t="str">
        <f t="shared" si="4"/>
        <v>T</v>
      </c>
      <c r="L2118" s="42" t="str">
        <v>T0703</v>
      </c>
      <c r="M2118" s="121" t="str">
        <v/>
      </c>
      <c r="N2118" s="121" t="str">
        <v/>
      </c>
      <c r="O2118" s="121" t="str">
        <v/>
      </c>
      <c r="P2118" s="121" t="str">
        <v/>
      </c>
      <c r="Q2118" s="121" t="str">
        <v/>
      </c>
      <c r="R2118" s="121" t="str">
        <v/>
      </c>
      <c r="S2118" s="121" t="str">
        <v/>
      </c>
      <c r="T2118" s="119" t="str">
        <f>IF($C2118&lt;4,IF($C2118=3,T2119,IF($C2118=2,T$1,"")),Q2118&amp;R2118&amp;IF(LEN(S2118)=0,"",Preferences!$C$2&amp;S2118)&amp;IF(J2119=J2118,IF(LEN(R2118&amp;S2118)=0,"","
")&amp;T2119,""))</f>
        <v/>
      </c>
      <c r="U2118" s="122" t="str">
        <v/>
      </c>
      <c r="V2118" s="42"/>
      <c r="W2118" s="42"/>
      <c r="X2118" s="42"/>
      <c r="Y2118" s="42"/>
      <c r="Z2118" s="42"/>
      <c r="AA2118" s="42"/>
      <c r="AB2118" s="42"/>
    </row>
    <row r="2119" spans="1:28" x14ac:dyDescent="0.25">
      <c r="A2119" s="42" t="str">
        <v/>
      </c>
      <c r="B2119" s="121" t="str">
        <v/>
      </c>
      <c r="C2119" s="41" t="str">
        <v/>
      </c>
      <c r="D2119" s="41" t="str">
        <v/>
      </c>
      <c r="E2119" s="117" t="str">
        <f t="shared" si="0"/>
        <v>RD</v>
      </c>
      <c r="F2119" s="41" t="str">
        <v/>
      </c>
      <c r="G2119" s="41" t="str">
        <v/>
      </c>
      <c r="H2119" s="117">
        <f t="shared" si="1"/>
        <v>0</v>
      </c>
      <c r="I2119" s="117">
        <f t="shared" si="2"/>
        <v>7</v>
      </c>
      <c r="J2119" s="117">
        <f t="shared" si="3"/>
        <v>7.0299999999999994</v>
      </c>
      <c r="K2119" s="117" t="str">
        <f t="shared" si="4"/>
        <v>T</v>
      </c>
      <c r="L2119" s="42" t="str">
        <v>T0703</v>
      </c>
      <c r="M2119" s="121" t="str">
        <v/>
      </c>
      <c r="N2119" s="121" t="str">
        <v/>
      </c>
      <c r="O2119" s="121" t="str">
        <v/>
      </c>
      <c r="P2119" s="121" t="str">
        <v/>
      </c>
      <c r="Q2119" s="121" t="str">
        <v/>
      </c>
      <c r="R2119" s="121" t="str">
        <v/>
      </c>
      <c r="S2119" s="121" t="str">
        <v/>
      </c>
      <c r="T2119" s="119" t="str">
        <f>IF($C2119&lt;4,IF($C2119=3,T2120,IF($C2119=2,T$1,"")),Q2119&amp;R2119&amp;IF(LEN(S2119)=0,"",Preferences!$C$2&amp;S2119)&amp;IF(J2120=J2119,IF(LEN(R2119&amp;S2119)=0,"","
")&amp;T2120,""))</f>
        <v/>
      </c>
      <c r="U2119" s="122" t="str">
        <v/>
      </c>
      <c r="V2119" s="42"/>
      <c r="W2119" s="42"/>
      <c r="X2119" s="42"/>
      <c r="Y2119" s="42"/>
      <c r="Z2119" s="42"/>
      <c r="AA2119" s="42"/>
      <c r="AB2119" s="42"/>
    </row>
    <row r="2120" spans="1:28" x14ac:dyDescent="0.25">
      <c r="A2120" s="42" t="str">
        <v/>
      </c>
      <c r="B2120" s="121" t="str">
        <v/>
      </c>
      <c r="C2120" s="41" t="str">
        <v/>
      </c>
      <c r="D2120" s="41" t="str">
        <v/>
      </c>
      <c r="E2120" s="117" t="str">
        <f t="shared" si="0"/>
        <v>RD</v>
      </c>
      <c r="F2120" s="41" t="str">
        <v/>
      </c>
      <c r="G2120" s="41" t="str">
        <v/>
      </c>
      <c r="H2120" s="117">
        <f t="shared" si="1"/>
        <v>0</v>
      </c>
      <c r="I2120" s="117">
        <f t="shared" si="2"/>
        <v>7</v>
      </c>
      <c r="J2120" s="117">
        <f t="shared" si="3"/>
        <v>7.0299999999999994</v>
      </c>
      <c r="K2120" s="117" t="str">
        <f t="shared" si="4"/>
        <v>T</v>
      </c>
      <c r="L2120" s="42" t="str">
        <v>T0703</v>
      </c>
      <c r="M2120" s="121" t="str">
        <v/>
      </c>
      <c r="N2120" s="121" t="str">
        <v/>
      </c>
      <c r="O2120" s="121" t="str">
        <v/>
      </c>
      <c r="P2120" s="121" t="str">
        <v/>
      </c>
      <c r="Q2120" s="121" t="str">
        <v/>
      </c>
      <c r="R2120" s="121" t="str">
        <v/>
      </c>
      <c r="S2120" s="121" t="str">
        <v/>
      </c>
      <c r="T2120" s="119" t="str">
        <f>IF($C2120&lt;4,IF($C2120=3,T2121,IF($C2120=2,T$1,"")),Q2120&amp;R2120&amp;IF(LEN(S2120)=0,"",Preferences!$C$2&amp;S2120)&amp;IF(J2121=J2120,IF(LEN(R2120&amp;S2120)=0,"","
")&amp;T2121,""))</f>
        <v/>
      </c>
      <c r="U2120" s="122" t="str">
        <v/>
      </c>
      <c r="V2120" s="42"/>
      <c r="W2120" s="42"/>
      <c r="X2120" s="42"/>
      <c r="Y2120" s="42"/>
      <c r="Z2120" s="42"/>
      <c r="AA2120" s="42"/>
      <c r="AB2120" s="42"/>
    </row>
    <row r="2121" spans="1:28" x14ac:dyDescent="0.25">
      <c r="A2121" s="42" t="str">
        <v/>
      </c>
      <c r="B2121" s="121" t="str">
        <v/>
      </c>
      <c r="C2121" s="41" t="str">
        <v/>
      </c>
      <c r="D2121" s="41" t="str">
        <v/>
      </c>
      <c r="E2121" s="117" t="str">
        <f t="shared" si="0"/>
        <v>RD</v>
      </c>
      <c r="F2121" s="41" t="str">
        <v/>
      </c>
      <c r="G2121" s="41" t="str">
        <v/>
      </c>
      <c r="H2121" s="117">
        <f t="shared" si="1"/>
        <v>0</v>
      </c>
      <c r="I2121" s="117">
        <f t="shared" si="2"/>
        <v>7</v>
      </c>
      <c r="J2121" s="117">
        <f t="shared" si="3"/>
        <v>7.0299999999999994</v>
      </c>
      <c r="K2121" s="117" t="str">
        <f t="shared" si="4"/>
        <v>T</v>
      </c>
      <c r="L2121" s="42" t="str">
        <v>T0703</v>
      </c>
      <c r="M2121" s="121" t="str">
        <v/>
      </c>
      <c r="N2121" s="121" t="str">
        <v/>
      </c>
      <c r="O2121" s="121" t="str">
        <v/>
      </c>
      <c r="P2121" s="121" t="str">
        <v/>
      </c>
      <c r="Q2121" s="121" t="str">
        <v/>
      </c>
      <c r="R2121" s="121" t="str">
        <v/>
      </c>
      <c r="S2121" s="121" t="str">
        <v/>
      </c>
      <c r="T2121" s="119" t="str">
        <f>IF($C2121&lt;4,IF($C2121=3,T2122,IF($C2121=2,T$1,"")),Q2121&amp;R2121&amp;IF(LEN(S2121)=0,"",Preferences!$C$2&amp;S2121)&amp;IF(J2122=J2121,IF(LEN(R2121&amp;S2121)=0,"","
")&amp;T2122,""))</f>
        <v/>
      </c>
      <c r="U2121" s="122" t="str">
        <v/>
      </c>
      <c r="V2121" s="42"/>
      <c r="W2121" s="42"/>
      <c r="X2121" s="42"/>
      <c r="Y2121" s="42"/>
      <c r="Z2121" s="42"/>
      <c r="AA2121" s="42"/>
      <c r="AB2121" s="42"/>
    </row>
    <row r="2122" spans="1:28" x14ac:dyDescent="0.25">
      <c r="A2122" s="42" t="str">
        <v/>
      </c>
      <c r="B2122" s="121" t="str">
        <v/>
      </c>
      <c r="C2122" s="41" t="str">
        <v/>
      </c>
      <c r="D2122" s="41" t="str">
        <v/>
      </c>
      <c r="E2122" s="117" t="str">
        <f t="shared" si="0"/>
        <v>RD</v>
      </c>
      <c r="F2122" s="41" t="str">
        <v/>
      </c>
      <c r="G2122" s="41" t="str">
        <v/>
      </c>
      <c r="H2122" s="117">
        <f t="shared" si="1"/>
        <v>0</v>
      </c>
      <c r="I2122" s="117">
        <f t="shared" si="2"/>
        <v>7</v>
      </c>
      <c r="J2122" s="117">
        <f t="shared" si="3"/>
        <v>7.0299999999999994</v>
      </c>
      <c r="K2122" s="117" t="str">
        <f t="shared" si="4"/>
        <v>T</v>
      </c>
      <c r="L2122" s="42" t="str">
        <v>T0703</v>
      </c>
      <c r="M2122" s="121" t="str">
        <v/>
      </c>
      <c r="N2122" s="121" t="str">
        <v/>
      </c>
      <c r="O2122" s="121" t="str">
        <v/>
      </c>
      <c r="P2122" s="121" t="str">
        <v/>
      </c>
      <c r="Q2122" s="121" t="str">
        <v/>
      </c>
      <c r="R2122" s="121" t="str">
        <v/>
      </c>
      <c r="S2122" s="121" t="str">
        <v/>
      </c>
      <c r="T2122" s="119" t="str">
        <f>IF($C2122&lt;4,IF($C2122=3,T2123,IF($C2122=2,T$1,"")),Q2122&amp;R2122&amp;IF(LEN(S2122)=0,"",Preferences!$C$2&amp;S2122)&amp;IF(J2123=J2122,IF(LEN(R2122&amp;S2122)=0,"","
")&amp;T2123,""))</f>
        <v/>
      </c>
      <c r="U2122" s="122" t="str">
        <v/>
      </c>
      <c r="V2122" s="42"/>
      <c r="W2122" s="42"/>
      <c r="X2122" s="42"/>
      <c r="Y2122" s="42"/>
      <c r="Z2122" s="42"/>
      <c r="AA2122" s="42"/>
      <c r="AB2122" s="42"/>
    </row>
    <row r="2123" spans="1:28" x14ac:dyDescent="0.25">
      <c r="A2123" s="42" t="str">
        <v/>
      </c>
      <c r="B2123" s="121" t="str">
        <v/>
      </c>
      <c r="C2123" s="41" t="str">
        <v/>
      </c>
      <c r="D2123" s="41" t="str">
        <v/>
      </c>
      <c r="E2123" s="117" t="str">
        <f t="shared" si="0"/>
        <v>RD</v>
      </c>
      <c r="F2123" s="41" t="str">
        <v/>
      </c>
      <c r="G2123" s="41" t="str">
        <v/>
      </c>
      <c r="H2123" s="117">
        <f t="shared" si="1"/>
        <v>0</v>
      </c>
      <c r="I2123" s="117">
        <f t="shared" si="2"/>
        <v>7</v>
      </c>
      <c r="J2123" s="117">
        <f t="shared" si="3"/>
        <v>7.0299999999999994</v>
      </c>
      <c r="K2123" s="117" t="str">
        <f t="shared" si="4"/>
        <v>T</v>
      </c>
      <c r="L2123" s="42" t="str">
        <v>T0703</v>
      </c>
      <c r="M2123" s="121" t="str">
        <v/>
      </c>
      <c r="N2123" s="121" t="str">
        <v/>
      </c>
      <c r="O2123" s="121" t="str">
        <v/>
      </c>
      <c r="P2123" s="121" t="str">
        <v/>
      </c>
      <c r="Q2123" s="121" t="str">
        <v/>
      </c>
      <c r="R2123" s="121" t="str">
        <v/>
      </c>
      <c r="S2123" s="121" t="str">
        <v/>
      </c>
      <c r="T2123" s="119" t="str">
        <f>IF($C2123&lt;4,IF($C2123=3,T2124,IF($C2123=2,T$1,"")),Q2123&amp;R2123&amp;IF(LEN(S2123)=0,"",Preferences!$C$2&amp;S2123)&amp;IF(J2124=J2123,IF(LEN(R2123&amp;S2123)=0,"","
")&amp;T2124,""))</f>
        <v/>
      </c>
      <c r="U2123" s="122" t="str">
        <v/>
      </c>
      <c r="V2123" s="42"/>
      <c r="W2123" s="42"/>
      <c r="X2123" s="42"/>
      <c r="Y2123" s="42"/>
      <c r="Z2123" s="42"/>
      <c r="AA2123" s="42"/>
      <c r="AB2123" s="42"/>
    </row>
    <row r="2124" spans="1:28" x14ac:dyDescent="0.25">
      <c r="A2124" s="42" t="str">
        <v/>
      </c>
      <c r="B2124" s="121" t="str">
        <v/>
      </c>
      <c r="C2124" s="41" t="str">
        <v/>
      </c>
      <c r="D2124" s="41" t="str">
        <v/>
      </c>
      <c r="E2124" s="117" t="str">
        <f t="shared" si="0"/>
        <v>RD</v>
      </c>
      <c r="F2124" s="41" t="str">
        <v/>
      </c>
      <c r="G2124" s="41" t="str">
        <v/>
      </c>
      <c r="H2124" s="117">
        <f t="shared" si="1"/>
        <v>0</v>
      </c>
      <c r="I2124" s="117">
        <f t="shared" si="2"/>
        <v>7</v>
      </c>
      <c r="J2124" s="117">
        <f t="shared" si="3"/>
        <v>7.0299999999999994</v>
      </c>
      <c r="K2124" s="117" t="str">
        <f t="shared" si="4"/>
        <v>T</v>
      </c>
      <c r="L2124" s="42" t="str">
        <v>T0703</v>
      </c>
      <c r="M2124" s="121" t="str">
        <v/>
      </c>
      <c r="N2124" s="121" t="str">
        <v/>
      </c>
      <c r="O2124" s="121" t="str">
        <v/>
      </c>
      <c r="P2124" s="121" t="str">
        <v/>
      </c>
      <c r="Q2124" s="121" t="str">
        <v/>
      </c>
      <c r="R2124" s="121" t="str">
        <v/>
      </c>
      <c r="S2124" s="121" t="str">
        <v/>
      </c>
      <c r="T2124" s="119" t="str">
        <f>IF($C2124&lt;4,IF($C2124=3,T2125,IF($C2124=2,T$1,"")),Q2124&amp;R2124&amp;IF(LEN(S2124)=0,"",Preferences!$C$2&amp;S2124)&amp;IF(J2125=J2124,IF(LEN(R2124&amp;S2124)=0,"","
")&amp;T2125,""))</f>
        <v/>
      </c>
      <c r="U2124" s="122" t="str">
        <v/>
      </c>
      <c r="V2124" s="42"/>
      <c r="W2124" s="42"/>
      <c r="X2124" s="42"/>
      <c r="Y2124" s="42"/>
      <c r="Z2124" s="42"/>
      <c r="AA2124" s="42"/>
      <c r="AB2124" s="42"/>
    </row>
    <row r="2125" spans="1:28" x14ac:dyDescent="0.25">
      <c r="A2125" s="42" t="str">
        <v/>
      </c>
      <c r="B2125" s="121" t="str">
        <v/>
      </c>
      <c r="C2125" s="41" t="str">
        <v/>
      </c>
      <c r="D2125" s="41" t="str">
        <v/>
      </c>
      <c r="E2125" s="117" t="str">
        <f t="shared" si="0"/>
        <v>RD</v>
      </c>
      <c r="F2125" s="41" t="str">
        <v/>
      </c>
      <c r="G2125" s="41" t="str">
        <v/>
      </c>
      <c r="H2125" s="117">
        <f t="shared" si="1"/>
        <v>0</v>
      </c>
      <c r="I2125" s="117">
        <f t="shared" si="2"/>
        <v>7</v>
      </c>
      <c r="J2125" s="117">
        <f t="shared" si="3"/>
        <v>7.0299999999999994</v>
      </c>
      <c r="K2125" s="117" t="str">
        <f t="shared" si="4"/>
        <v>T</v>
      </c>
      <c r="L2125" s="42" t="str">
        <v>T0703</v>
      </c>
      <c r="M2125" s="121" t="str">
        <v/>
      </c>
      <c r="N2125" s="121" t="str">
        <v/>
      </c>
      <c r="O2125" s="121" t="str">
        <v/>
      </c>
      <c r="P2125" s="121" t="str">
        <v/>
      </c>
      <c r="Q2125" s="121" t="str">
        <v/>
      </c>
      <c r="R2125" s="121" t="str">
        <v/>
      </c>
      <c r="S2125" s="121" t="str">
        <v/>
      </c>
      <c r="T2125" s="119" t="str">
        <f>IF($C2125&lt;4,IF($C2125=3,T2126,IF($C2125=2,T$1,"")),Q2125&amp;R2125&amp;IF(LEN(S2125)=0,"",Preferences!$C$2&amp;S2125)&amp;IF(J2126=J2125,IF(LEN(R2125&amp;S2125)=0,"","
")&amp;T2126,""))</f>
        <v/>
      </c>
      <c r="U2125" s="122" t="str">
        <v/>
      </c>
      <c r="V2125" s="42"/>
      <c r="W2125" s="42"/>
      <c r="X2125" s="42"/>
      <c r="Y2125" s="42"/>
      <c r="Z2125" s="42"/>
      <c r="AA2125" s="42"/>
      <c r="AB2125" s="42"/>
    </row>
    <row r="2126" spans="1:28" x14ac:dyDescent="0.25">
      <c r="A2126" s="42" t="str">
        <v/>
      </c>
      <c r="B2126" s="121" t="str">
        <v/>
      </c>
      <c r="C2126" s="41" t="str">
        <v/>
      </c>
      <c r="D2126" s="41" t="str">
        <v/>
      </c>
      <c r="E2126" s="117" t="str">
        <f t="shared" si="0"/>
        <v>RD</v>
      </c>
      <c r="F2126" s="41" t="str">
        <v/>
      </c>
      <c r="G2126" s="41" t="str">
        <v/>
      </c>
      <c r="H2126" s="117">
        <f t="shared" si="1"/>
        <v>0</v>
      </c>
      <c r="I2126" s="117">
        <f t="shared" si="2"/>
        <v>7</v>
      </c>
      <c r="J2126" s="117">
        <f t="shared" si="3"/>
        <v>7.0299999999999994</v>
      </c>
      <c r="K2126" s="117" t="str">
        <f t="shared" si="4"/>
        <v>T</v>
      </c>
      <c r="L2126" s="42" t="str">
        <v>T0703</v>
      </c>
      <c r="M2126" s="121" t="str">
        <v/>
      </c>
      <c r="N2126" s="121" t="str">
        <v/>
      </c>
      <c r="O2126" s="121" t="str">
        <v/>
      </c>
      <c r="P2126" s="121" t="str">
        <v/>
      </c>
      <c r="Q2126" s="121" t="str">
        <v/>
      </c>
      <c r="R2126" s="121" t="str">
        <v/>
      </c>
      <c r="S2126" s="121" t="str">
        <v/>
      </c>
      <c r="T2126" s="119" t="str">
        <f>IF($C2126&lt;4,IF($C2126=3,T2127,IF($C2126=2,T$1,"")),Q2126&amp;R2126&amp;IF(LEN(S2126)=0,"",Preferences!$C$2&amp;S2126)&amp;IF(J2127=J2126,IF(LEN(R2126&amp;S2126)=0,"","
")&amp;T2127,""))</f>
        <v/>
      </c>
      <c r="U2126" s="122" t="str">
        <v/>
      </c>
      <c r="V2126" s="42"/>
      <c r="W2126" s="42"/>
      <c r="X2126" s="42"/>
      <c r="Y2126" s="42"/>
      <c r="Z2126" s="42"/>
      <c r="AA2126" s="42"/>
      <c r="AB2126" s="42"/>
    </row>
    <row r="2127" spans="1:28" x14ac:dyDescent="0.25">
      <c r="A2127" s="42" t="str">
        <v/>
      </c>
      <c r="B2127" s="121" t="str">
        <v/>
      </c>
      <c r="C2127" s="41" t="str">
        <v/>
      </c>
      <c r="D2127" s="41" t="str">
        <v/>
      </c>
      <c r="E2127" s="117" t="str">
        <f t="shared" si="0"/>
        <v>RD</v>
      </c>
      <c r="F2127" s="41" t="str">
        <v/>
      </c>
      <c r="G2127" s="41" t="str">
        <v/>
      </c>
      <c r="H2127" s="117">
        <f t="shared" si="1"/>
        <v>0</v>
      </c>
      <c r="I2127" s="117">
        <f t="shared" si="2"/>
        <v>7</v>
      </c>
      <c r="J2127" s="117">
        <f t="shared" si="3"/>
        <v>7.0299999999999994</v>
      </c>
      <c r="K2127" s="117" t="str">
        <f t="shared" si="4"/>
        <v>T</v>
      </c>
      <c r="L2127" s="42" t="str">
        <v>T0703</v>
      </c>
      <c r="M2127" s="121" t="str">
        <v/>
      </c>
      <c r="N2127" s="121" t="str">
        <v/>
      </c>
      <c r="O2127" s="121" t="str">
        <v/>
      </c>
      <c r="P2127" s="121" t="str">
        <v/>
      </c>
      <c r="Q2127" s="121" t="str">
        <v/>
      </c>
      <c r="R2127" s="121" t="str">
        <v/>
      </c>
      <c r="S2127" s="121" t="str">
        <v/>
      </c>
      <c r="T2127" s="119" t="str">
        <f>IF($C2127&lt;4,IF($C2127=3,T2128,IF($C2127=2,T$1,"")),Q2127&amp;R2127&amp;IF(LEN(S2127)=0,"",Preferences!$C$2&amp;S2127)&amp;IF(J2128=J2127,IF(LEN(R2127&amp;S2127)=0,"","
")&amp;T2128,""))</f>
        <v/>
      </c>
      <c r="U2127" s="122" t="str">
        <v/>
      </c>
      <c r="V2127" s="42"/>
      <c r="W2127" s="42"/>
      <c r="X2127" s="42"/>
      <c r="Y2127" s="42"/>
      <c r="Z2127" s="42"/>
      <c r="AA2127" s="42"/>
      <c r="AB2127" s="42"/>
    </row>
    <row r="2128" spans="1:28" x14ac:dyDescent="0.25">
      <c r="A2128" s="42" t="str">
        <v/>
      </c>
      <c r="B2128" s="121" t="str">
        <v/>
      </c>
      <c r="C2128" s="41" t="str">
        <v/>
      </c>
      <c r="D2128" s="41" t="str">
        <v/>
      </c>
      <c r="E2128" s="117" t="str">
        <f t="shared" si="0"/>
        <v>RD</v>
      </c>
      <c r="F2128" s="41" t="str">
        <v/>
      </c>
      <c r="G2128" s="41" t="str">
        <v/>
      </c>
      <c r="H2128" s="117">
        <f t="shared" si="1"/>
        <v>0</v>
      </c>
      <c r="I2128" s="117">
        <f t="shared" si="2"/>
        <v>7</v>
      </c>
      <c r="J2128" s="117">
        <f t="shared" si="3"/>
        <v>7.0299999999999994</v>
      </c>
      <c r="K2128" s="117" t="str">
        <f t="shared" si="4"/>
        <v>T</v>
      </c>
      <c r="L2128" s="42" t="str">
        <v>T0703</v>
      </c>
      <c r="M2128" s="121" t="str">
        <v/>
      </c>
      <c r="N2128" s="121" t="str">
        <v/>
      </c>
      <c r="O2128" s="121" t="str">
        <v/>
      </c>
      <c r="P2128" s="121" t="str">
        <v/>
      </c>
      <c r="Q2128" s="121" t="str">
        <v/>
      </c>
      <c r="R2128" s="121" t="str">
        <v/>
      </c>
      <c r="S2128" s="121" t="str">
        <v/>
      </c>
      <c r="T2128" s="119" t="str">
        <f>IF($C2128&lt;4,IF($C2128=3,T2129,IF($C2128=2,T$1,"")),Q2128&amp;R2128&amp;IF(LEN(S2128)=0,"",Preferences!$C$2&amp;S2128)&amp;IF(J2129=J2128,IF(LEN(R2128&amp;S2128)=0,"","
")&amp;T2129,""))</f>
        <v/>
      </c>
      <c r="U2128" s="122" t="str">
        <v/>
      </c>
      <c r="V2128" s="42"/>
      <c r="W2128" s="42"/>
      <c r="X2128" s="42"/>
      <c r="Y2128" s="42"/>
      <c r="Z2128" s="42"/>
      <c r="AA2128" s="42"/>
      <c r="AB2128" s="42"/>
    </row>
    <row r="2129" spans="1:28" x14ac:dyDescent="0.25">
      <c r="A2129" s="42" t="str">
        <v/>
      </c>
      <c r="B2129" s="121" t="str">
        <v/>
      </c>
      <c r="C2129" s="41" t="str">
        <v/>
      </c>
      <c r="D2129" s="41" t="str">
        <v/>
      </c>
      <c r="E2129" s="117" t="str">
        <f t="shared" si="0"/>
        <v>RD</v>
      </c>
      <c r="F2129" s="41" t="str">
        <v/>
      </c>
      <c r="G2129" s="41" t="str">
        <v/>
      </c>
      <c r="H2129" s="117">
        <f t="shared" si="1"/>
        <v>0</v>
      </c>
      <c r="I2129" s="117">
        <f t="shared" si="2"/>
        <v>7</v>
      </c>
      <c r="J2129" s="117">
        <f t="shared" si="3"/>
        <v>7.0299999999999994</v>
      </c>
      <c r="K2129" s="117" t="str">
        <f t="shared" si="4"/>
        <v>T</v>
      </c>
      <c r="L2129" s="42" t="str">
        <v>T0703</v>
      </c>
      <c r="M2129" s="121" t="str">
        <v/>
      </c>
      <c r="N2129" s="121" t="str">
        <v/>
      </c>
      <c r="O2129" s="121" t="str">
        <v/>
      </c>
      <c r="P2129" s="121" t="str">
        <v/>
      </c>
      <c r="Q2129" s="121" t="str">
        <v/>
      </c>
      <c r="R2129" s="121" t="str">
        <v/>
      </c>
      <c r="S2129" s="121" t="str">
        <v/>
      </c>
      <c r="T2129" s="119" t="str">
        <f>IF($C2129&lt;4,IF($C2129=3,T2130,IF($C2129=2,T$1,"")),Q2129&amp;R2129&amp;IF(LEN(S2129)=0,"",Preferences!$C$2&amp;S2129)&amp;IF(J2130=J2129,IF(LEN(R2129&amp;S2129)=0,"","
")&amp;T2130,""))</f>
        <v/>
      </c>
      <c r="U2129" s="122" t="str">
        <v/>
      </c>
      <c r="V2129" s="42"/>
      <c r="W2129" s="42"/>
      <c r="X2129" s="42"/>
      <c r="Y2129" s="42"/>
      <c r="Z2129" s="42"/>
      <c r="AA2129" s="42"/>
      <c r="AB2129" s="42"/>
    </row>
    <row r="2130" spans="1:28" x14ac:dyDescent="0.25">
      <c r="A2130" s="42" t="str">
        <v/>
      </c>
      <c r="B2130" s="121" t="str">
        <v/>
      </c>
      <c r="C2130" s="41" t="str">
        <v/>
      </c>
      <c r="D2130" s="41" t="str">
        <v/>
      </c>
      <c r="E2130" s="117" t="str">
        <f t="shared" si="0"/>
        <v>RD</v>
      </c>
      <c r="F2130" s="41" t="str">
        <v/>
      </c>
      <c r="G2130" s="41" t="str">
        <v/>
      </c>
      <c r="H2130" s="117">
        <f t="shared" si="1"/>
        <v>0</v>
      </c>
      <c r="I2130" s="117">
        <f t="shared" si="2"/>
        <v>7</v>
      </c>
      <c r="J2130" s="117">
        <f t="shared" si="3"/>
        <v>7.0299999999999994</v>
      </c>
      <c r="K2130" s="117" t="str">
        <f t="shared" si="4"/>
        <v>T</v>
      </c>
      <c r="L2130" s="42" t="str">
        <v>T0703</v>
      </c>
      <c r="M2130" s="121" t="str">
        <v/>
      </c>
      <c r="N2130" s="121" t="str">
        <v/>
      </c>
      <c r="O2130" s="121" t="str">
        <v/>
      </c>
      <c r="P2130" s="121" t="str">
        <v/>
      </c>
      <c r="Q2130" s="121" t="str">
        <v/>
      </c>
      <c r="R2130" s="121" t="str">
        <v/>
      </c>
      <c r="S2130" s="121" t="str">
        <v/>
      </c>
      <c r="T2130" s="119" t="str">
        <f>IF($C2130&lt;4,IF($C2130=3,T2131,IF($C2130=2,T$1,"")),Q2130&amp;R2130&amp;IF(LEN(S2130)=0,"",Preferences!$C$2&amp;S2130)&amp;IF(J2131=J2130,IF(LEN(R2130&amp;S2130)=0,"","
")&amp;T2131,""))</f>
        <v/>
      </c>
      <c r="U2130" s="122" t="str">
        <v/>
      </c>
      <c r="V2130" s="42"/>
      <c r="W2130" s="42"/>
      <c r="X2130" s="42"/>
      <c r="Y2130" s="42"/>
      <c r="Z2130" s="42"/>
      <c r="AA2130" s="42"/>
      <c r="AB2130" s="42"/>
    </row>
    <row r="2131" spans="1:28" x14ac:dyDescent="0.25">
      <c r="A2131" s="42" t="str">
        <v/>
      </c>
      <c r="B2131" s="121" t="str">
        <v/>
      </c>
      <c r="C2131" s="41" t="str">
        <v/>
      </c>
      <c r="D2131" s="41" t="str">
        <v/>
      </c>
      <c r="E2131" s="117" t="str">
        <f t="shared" si="0"/>
        <v>RD</v>
      </c>
      <c r="F2131" s="41" t="str">
        <v/>
      </c>
      <c r="G2131" s="41" t="str">
        <v/>
      </c>
      <c r="H2131" s="117">
        <f t="shared" si="1"/>
        <v>0</v>
      </c>
      <c r="I2131" s="117">
        <f t="shared" si="2"/>
        <v>7</v>
      </c>
      <c r="J2131" s="117">
        <f t="shared" si="3"/>
        <v>7.0299999999999994</v>
      </c>
      <c r="K2131" s="117" t="str">
        <f t="shared" si="4"/>
        <v>T</v>
      </c>
      <c r="L2131" s="42" t="str">
        <v>T0703</v>
      </c>
      <c r="M2131" s="121" t="str">
        <v/>
      </c>
      <c r="N2131" s="121" t="str">
        <v/>
      </c>
      <c r="O2131" s="121" t="str">
        <v/>
      </c>
      <c r="P2131" s="121" t="str">
        <v/>
      </c>
      <c r="Q2131" s="121" t="str">
        <v/>
      </c>
      <c r="R2131" s="121" t="str">
        <v/>
      </c>
      <c r="S2131" s="121" t="str">
        <v/>
      </c>
      <c r="T2131" s="119" t="str">
        <f>IF($C2131&lt;4,IF($C2131=3,T2132,IF($C2131=2,T$1,"")),Q2131&amp;R2131&amp;IF(LEN(S2131)=0,"",Preferences!$C$2&amp;S2131)&amp;IF(J2132=J2131,IF(LEN(R2131&amp;S2131)=0,"","
")&amp;T2132,""))</f>
        <v/>
      </c>
      <c r="U2131" s="122" t="str">
        <v/>
      </c>
      <c r="V2131" s="42"/>
      <c r="W2131" s="42"/>
      <c r="X2131" s="42"/>
      <c r="Y2131" s="42"/>
      <c r="Z2131" s="42"/>
      <c r="AA2131" s="42"/>
      <c r="AB2131" s="42"/>
    </row>
    <row r="2132" spans="1:28" x14ac:dyDescent="0.25">
      <c r="A2132" s="42" t="str">
        <v/>
      </c>
      <c r="B2132" s="121" t="str">
        <v/>
      </c>
      <c r="C2132" s="41" t="str">
        <v/>
      </c>
      <c r="D2132" s="41" t="str">
        <v/>
      </c>
      <c r="E2132" s="117" t="str">
        <f t="shared" si="0"/>
        <v>RD</v>
      </c>
      <c r="F2132" s="41" t="str">
        <v/>
      </c>
      <c r="G2132" s="41" t="str">
        <v/>
      </c>
      <c r="H2132" s="117">
        <f t="shared" si="1"/>
        <v>0</v>
      </c>
      <c r="I2132" s="117">
        <f t="shared" si="2"/>
        <v>7</v>
      </c>
      <c r="J2132" s="117">
        <f t="shared" si="3"/>
        <v>7.0299999999999994</v>
      </c>
      <c r="K2132" s="117" t="str">
        <f t="shared" si="4"/>
        <v>T</v>
      </c>
      <c r="L2132" s="42" t="str">
        <v>T0703</v>
      </c>
      <c r="M2132" s="121" t="str">
        <v/>
      </c>
      <c r="N2132" s="121" t="str">
        <v/>
      </c>
      <c r="O2132" s="121" t="str">
        <v/>
      </c>
      <c r="P2132" s="121" t="str">
        <v/>
      </c>
      <c r="Q2132" s="121" t="str">
        <v/>
      </c>
      <c r="R2132" s="121" t="str">
        <v/>
      </c>
      <c r="S2132" s="121" t="str">
        <v/>
      </c>
      <c r="T2132" s="119" t="str">
        <f>IF($C2132&lt;4,IF($C2132=3,T2133,IF($C2132=2,T$1,"")),Q2132&amp;R2132&amp;IF(LEN(S2132)=0,"",Preferences!$C$2&amp;S2132)&amp;IF(J2133=J2132,IF(LEN(R2132&amp;S2132)=0,"","
")&amp;T2133,""))</f>
        <v/>
      </c>
      <c r="U2132" s="122" t="str">
        <v/>
      </c>
      <c r="V2132" s="42"/>
      <c r="W2132" s="42"/>
      <c r="X2132" s="42"/>
      <c r="Y2132" s="42"/>
      <c r="Z2132" s="42"/>
      <c r="AA2132" s="42"/>
      <c r="AB2132" s="42"/>
    </row>
    <row r="2133" spans="1:28" x14ac:dyDescent="0.25">
      <c r="A2133" s="42" t="str">
        <v/>
      </c>
      <c r="B2133" s="121" t="str">
        <v/>
      </c>
      <c r="C2133" s="41" t="str">
        <v/>
      </c>
      <c r="D2133" s="41" t="str">
        <v/>
      </c>
      <c r="E2133" s="117" t="str">
        <f t="shared" si="0"/>
        <v>RD</v>
      </c>
      <c r="F2133" s="41" t="str">
        <v/>
      </c>
      <c r="G2133" s="41" t="str">
        <v/>
      </c>
      <c r="H2133" s="117">
        <f t="shared" si="1"/>
        <v>0</v>
      </c>
      <c r="I2133" s="117">
        <f t="shared" si="2"/>
        <v>7</v>
      </c>
      <c r="J2133" s="117">
        <f t="shared" si="3"/>
        <v>7.0299999999999994</v>
      </c>
      <c r="K2133" s="117" t="str">
        <f t="shared" si="4"/>
        <v>T</v>
      </c>
      <c r="L2133" s="42" t="str">
        <v>T0703</v>
      </c>
      <c r="M2133" s="121" t="str">
        <v/>
      </c>
      <c r="N2133" s="121" t="str">
        <v/>
      </c>
      <c r="O2133" s="121" t="str">
        <v/>
      </c>
      <c r="P2133" s="121" t="str">
        <v/>
      </c>
      <c r="Q2133" s="121" t="str">
        <v/>
      </c>
      <c r="R2133" s="121" t="str">
        <v/>
      </c>
      <c r="S2133" s="121" t="str">
        <v/>
      </c>
      <c r="T2133" s="119" t="str">
        <f>IF($C2133&lt;4,IF($C2133=3,T2134,IF($C2133=2,T$1,"")),Q2133&amp;R2133&amp;IF(LEN(S2133)=0,"",Preferences!$C$2&amp;S2133)&amp;IF(J2134=J2133,IF(LEN(R2133&amp;S2133)=0,"","
")&amp;T2134,""))</f>
        <v/>
      </c>
      <c r="U2133" s="122" t="str">
        <v/>
      </c>
      <c r="V2133" s="42"/>
      <c r="W2133" s="42"/>
      <c r="X2133" s="42"/>
      <c r="Y2133" s="42"/>
      <c r="Z2133" s="42"/>
      <c r="AA2133" s="42"/>
      <c r="AB2133" s="42"/>
    </row>
    <row r="2134" spans="1:28" x14ac:dyDescent="0.25">
      <c r="A2134" s="42" t="str">
        <v/>
      </c>
      <c r="B2134" s="121" t="str">
        <v/>
      </c>
      <c r="C2134" s="41" t="str">
        <v/>
      </c>
      <c r="D2134" s="41" t="str">
        <v/>
      </c>
      <c r="E2134" s="117" t="str">
        <f t="shared" si="0"/>
        <v>RD</v>
      </c>
      <c r="F2134" s="41" t="str">
        <v/>
      </c>
      <c r="G2134" s="41" t="str">
        <v/>
      </c>
      <c r="H2134" s="117">
        <f t="shared" si="1"/>
        <v>0</v>
      </c>
      <c r="I2134" s="117">
        <f t="shared" si="2"/>
        <v>7</v>
      </c>
      <c r="J2134" s="117">
        <f t="shared" si="3"/>
        <v>7.0299999999999994</v>
      </c>
      <c r="K2134" s="117" t="str">
        <f t="shared" si="4"/>
        <v>T</v>
      </c>
      <c r="L2134" s="42" t="str">
        <v>T0703</v>
      </c>
      <c r="M2134" s="121" t="str">
        <v/>
      </c>
      <c r="N2134" s="121" t="str">
        <v/>
      </c>
      <c r="O2134" s="121" t="str">
        <v/>
      </c>
      <c r="P2134" s="121" t="str">
        <v/>
      </c>
      <c r="Q2134" s="121" t="str">
        <v/>
      </c>
      <c r="R2134" s="121" t="str">
        <v/>
      </c>
      <c r="S2134" s="121" t="str">
        <v/>
      </c>
      <c r="T2134" s="119" t="str">
        <f>IF($C2134&lt;4,IF($C2134=3,T2135,IF($C2134=2,T$1,"")),Q2134&amp;R2134&amp;IF(LEN(S2134)=0,"",Preferences!$C$2&amp;S2134)&amp;IF(J2135=J2134,IF(LEN(R2134&amp;S2134)=0,"","
")&amp;T2135,""))</f>
        <v/>
      </c>
      <c r="U2134" s="122" t="str">
        <v/>
      </c>
      <c r="V2134" s="42"/>
      <c r="W2134" s="42"/>
      <c r="X2134" s="42"/>
      <c r="Y2134" s="42"/>
      <c r="Z2134" s="42"/>
      <c r="AA2134" s="42"/>
      <c r="AB2134" s="42"/>
    </row>
    <row r="2135" spans="1:28" x14ac:dyDescent="0.25">
      <c r="A2135" s="42" t="str">
        <v/>
      </c>
      <c r="B2135" s="121" t="str">
        <v/>
      </c>
      <c r="C2135" s="41" t="str">
        <v/>
      </c>
      <c r="D2135" s="41" t="str">
        <v/>
      </c>
      <c r="E2135" s="117" t="str">
        <f t="shared" si="0"/>
        <v>RD</v>
      </c>
      <c r="F2135" s="41" t="str">
        <v/>
      </c>
      <c r="G2135" s="41" t="str">
        <v/>
      </c>
      <c r="H2135" s="117">
        <f t="shared" si="1"/>
        <v>0</v>
      </c>
      <c r="I2135" s="117">
        <f t="shared" si="2"/>
        <v>7</v>
      </c>
      <c r="J2135" s="117">
        <f t="shared" si="3"/>
        <v>7.0299999999999994</v>
      </c>
      <c r="K2135" s="117" t="str">
        <f t="shared" si="4"/>
        <v>T</v>
      </c>
      <c r="L2135" s="42" t="str">
        <v>T0703</v>
      </c>
      <c r="M2135" s="121" t="str">
        <v/>
      </c>
      <c r="N2135" s="121" t="str">
        <v/>
      </c>
      <c r="O2135" s="121" t="str">
        <v/>
      </c>
      <c r="P2135" s="121" t="str">
        <v/>
      </c>
      <c r="Q2135" s="121" t="str">
        <v/>
      </c>
      <c r="R2135" s="121" t="str">
        <v/>
      </c>
      <c r="S2135" s="121" t="str">
        <v/>
      </c>
      <c r="T2135" s="119" t="str">
        <f>IF($C2135&lt;4,IF($C2135=3,T2136,IF($C2135=2,T$1,"")),Q2135&amp;R2135&amp;IF(LEN(S2135)=0,"",Preferences!$C$2&amp;S2135)&amp;IF(J2136=J2135,IF(LEN(R2135&amp;S2135)=0,"","
")&amp;T2136,""))</f>
        <v/>
      </c>
      <c r="U2135" s="122" t="str">
        <v/>
      </c>
      <c r="V2135" s="42"/>
      <c r="W2135" s="42"/>
      <c r="X2135" s="42"/>
      <c r="Y2135" s="42"/>
      <c r="Z2135" s="42"/>
      <c r="AA2135" s="42"/>
      <c r="AB2135" s="42"/>
    </row>
    <row r="2136" spans="1:28" x14ac:dyDescent="0.25">
      <c r="A2136" s="42" t="str">
        <v/>
      </c>
      <c r="B2136" s="121" t="str">
        <v/>
      </c>
      <c r="C2136" s="41" t="str">
        <v/>
      </c>
      <c r="D2136" s="41" t="str">
        <v/>
      </c>
      <c r="E2136" s="117" t="str">
        <f t="shared" si="0"/>
        <v>RD</v>
      </c>
      <c r="F2136" s="41" t="str">
        <v/>
      </c>
      <c r="G2136" s="41" t="str">
        <v/>
      </c>
      <c r="H2136" s="117">
        <f t="shared" si="1"/>
        <v>0</v>
      </c>
      <c r="I2136" s="117">
        <f t="shared" si="2"/>
        <v>7</v>
      </c>
      <c r="J2136" s="117">
        <f t="shared" si="3"/>
        <v>7.0299999999999994</v>
      </c>
      <c r="K2136" s="117" t="str">
        <f t="shared" si="4"/>
        <v>T</v>
      </c>
      <c r="L2136" s="42" t="str">
        <v>T0703</v>
      </c>
      <c r="M2136" s="121" t="str">
        <v/>
      </c>
      <c r="N2136" s="121" t="str">
        <v/>
      </c>
      <c r="O2136" s="121" t="str">
        <v/>
      </c>
      <c r="P2136" s="121" t="str">
        <v/>
      </c>
      <c r="Q2136" s="121" t="str">
        <v/>
      </c>
      <c r="R2136" s="121" t="str">
        <v/>
      </c>
      <c r="S2136" s="121" t="str">
        <v/>
      </c>
      <c r="T2136" s="119" t="str">
        <f>IF($C2136&lt;4,IF($C2136=3,T2137,IF($C2136=2,T$1,"")),Q2136&amp;R2136&amp;IF(LEN(S2136)=0,"",Preferences!$C$2&amp;S2136)&amp;IF(J2137=J2136,IF(LEN(R2136&amp;S2136)=0,"","
")&amp;T2137,""))</f>
        <v/>
      </c>
      <c r="U2136" s="122" t="str">
        <v/>
      </c>
      <c r="V2136" s="42"/>
      <c r="W2136" s="42"/>
      <c r="X2136" s="42"/>
      <c r="Y2136" s="42"/>
      <c r="Z2136" s="42"/>
      <c r="AA2136" s="42"/>
      <c r="AB2136" s="42"/>
    </row>
    <row r="2137" spans="1:28" x14ac:dyDescent="0.25">
      <c r="A2137" s="42" t="str">
        <v/>
      </c>
      <c r="B2137" s="121" t="str">
        <v/>
      </c>
      <c r="C2137" s="41" t="str">
        <v/>
      </c>
      <c r="D2137" s="41" t="str">
        <v/>
      </c>
      <c r="E2137" s="117" t="str">
        <f t="shared" si="0"/>
        <v>RD</v>
      </c>
      <c r="F2137" s="41" t="str">
        <v/>
      </c>
      <c r="G2137" s="41" t="str">
        <v/>
      </c>
      <c r="H2137" s="117">
        <f t="shared" si="1"/>
        <v>0</v>
      </c>
      <c r="I2137" s="117">
        <f t="shared" si="2"/>
        <v>7</v>
      </c>
      <c r="J2137" s="117">
        <f t="shared" si="3"/>
        <v>7.0299999999999994</v>
      </c>
      <c r="K2137" s="117" t="str">
        <f t="shared" si="4"/>
        <v>T</v>
      </c>
      <c r="L2137" s="42" t="str">
        <v>T0703</v>
      </c>
      <c r="M2137" s="121" t="str">
        <v/>
      </c>
      <c r="N2137" s="121" t="str">
        <v/>
      </c>
      <c r="O2137" s="121" t="str">
        <v/>
      </c>
      <c r="P2137" s="121" t="str">
        <v/>
      </c>
      <c r="Q2137" s="121" t="str">
        <v/>
      </c>
      <c r="R2137" s="121" t="str">
        <v/>
      </c>
      <c r="S2137" s="121" t="str">
        <v/>
      </c>
      <c r="T2137" s="119" t="str">
        <f>IF($C2137&lt;4,IF($C2137=3,T2138,IF($C2137=2,T$1,"")),Q2137&amp;R2137&amp;IF(LEN(S2137)=0,"",Preferences!$C$2&amp;S2137)&amp;IF(J2138=J2137,IF(LEN(R2137&amp;S2137)=0,"","
")&amp;T2138,""))</f>
        <v/>
      </c>
      <c r="U2137" s="122" t="str">
        <v/>
      </c>
      <c r="V2137" s="42"/>
      <c r="W2137" s="42"/>
      <c r="X2137" s="42"/>
      <c r="Y2137" s="42"/>
      <c r="Z2137" s="42"/>
      <c r="AA2137" s="42"/>
      <c r="AB2137" s="42"/>
    </row>
    <row r="2138" spans="1:28" x14ac:dyDescent="0.25">
      <c r="A2138" s="42" t="str">
        <v/>
      </c>
      <c r="B2138" s="121" t="str">
        <v/>
      </c>
      <c r="C2138" s="41" t="str">
        <v/>
      </c>
      <c r="D2138" s="41" t="str">
        <v/>
      </c>
      <c r="E2138" s="117" t="str">
        <f t="shared" si="0"/>
        <v>RD</v>
      </c>
      <c r="F2138" s="41" t="str">
        <v/>
      </c>
      <c r="G2138" s="41" t="str">
        <v/>
      </c>
      <c r="H2138" s="117">
        <f t="shared" si="1"/>
        <v>0</v>
      </c>
      <c r="I2138" s="117">
        <f t="shared" si="2"/>
        <v>7</v>
      </c>
      <c r="J2138" s="117">
        <f t="shared" si="3"/>
        <v>7.0299999999999994</v>
      </c>
      <c r="K2138" s="117" t="str">
        <f t="shared" si="4"/>
        <v>T</v>
      </c>
      <c r="L2138" s="42" t="str">
        <v>T0703</v>
      </c>
      <c r="M2138" s="121" t="str">
        <v/>
      </c>
      <c r="N2138" s="121" t="str">
        <v/>
      </c>
      <c r="O2138" s="121" t="str">
        <v/>
      </c>
      <c r="P2138" s="121" t="str">
        <v/>
      </c>
      <c r="Q2138" s="121" t="str">
        <v/>
      </c>
      <c r="R2138" s="121" t="str">
        <v/>
      </c>
      <c r="S2138" s="121" t="str">
        <v/>
      </c>
      <c r="T2138" s="119" t="str">
        <f>IF($C2138&lt;4,IF($C2138=3,T2139,IF($C2138=2,T$1,"")),Q2138&amp;R2138&amp;IF(LEN(S2138)=0,"",Preferences!$C$2&amp;S2138)&amp;IF(J2139=J2138,IF(LEN(R2138&amp;S2138)=0,"","
")&amp;T2139,""))</f>
        <v/>
      </c>
      <c r="U2138" s="122" t="str">
        <v/>
      </c>
      <c r="V2138" s="42"/>
      <c r="W2138" s="42"/>
      <c r="X2138" s="42"/>
      <c r="Y2138" s="42"/>
      <c r="Z2138" s="42"/>
      <c r="AA2138" s="42"/>
      <c r="AB2138" s="42"/>
    </row>
    <row r="2139" spans="1:28" x14ac:dyDescent="0.25">
      <c r="A2139" s="42" t="str">
        <v/>
      </c>
      <c r="B2139" s="121" t="str">
        <v/>
      </c>
      <c r="C2139" s="41" t="str">
        <v/>
      </c>
      <c r="D2139" s="41" t="str">
        <v/>
      </c>
      <c r="E2139" s="117" t="str">
        <f t="shared" si="0"/>
        <v>RD</v>
      </c>
      <c r="F2139" s="41" t="str">
        <v/>
      </c>
      <c r="G2139" s="41" t="str">
        <v/>
      </c>
      <c r="H2139" s="117">
        <f t="shared" si="1"/>
        <v>0</v>
      </c>
      <c r="I2139" s="117">
        <f t="shared" si="2"/>
        <v>7</v>
      </c>
      <c r="J2139" s="117">
        <f t="shared" si="3"/>
        <v>7.0299999999999994</v>
      </c>
      <c r="K2139" s="117" t="str">
        <f t="shared" si="4"/>
        <v>T</v>
      </c>
      <c r="L2139" s="42" t="str">
        <v>T0703</v>
      </c>
      <c r="M2139" s="121" t="str">
        <v/>
      </c>
      <c r="N2139" s="121" t="str">
        <v/>
      </c>
      <c r="O2139" s="121" t="str">
        <v/>
      </c>
      <c r="P2139" s="121" t="str">
        <v/>
      </c>
      <c r="Q2139" s="121" t="str">
        <v/>
      </c>
      <c r="R2139" s="121" t="str">
        <v/>
      </c>
      <c r="S2139" s="121" t="str">
        <v/>
      </c>
      <c r="T2139" s="119" t="str">
        <f>IF($C2139&lt;4,IF($C2139=3,T2140,IF($C2139=2,T$1,"")),Q2139&amp;R2139&amp;IF(LEN(S2139)=0,"",Preferences!$C$2&amp;S2139)&amp;IF(J2140=J2139,IF(LEN(R2139&amp;S2139)=0,"","
")&amp;T2140,""))</f>
        <v/>
      </c>
      <c r="U2139" s="122" t="str">
        <v/>
      </c>
      <c r="V2139" s="42"/>
      <c r="W2139" s="42"/>
      <c r="X2139" s="42"/>
      <c r="Y2139" s="42"/>
      <c r="Z2139" s="42"/>
      <c r="AA2139" s="42"/>
      <c r="AB2139" s="42"/>
    </row>
    <row r="2140" spans="1:28" x14ac:dyDescent="0.25">
      <c r="A2140" s="42" t="str">
        <v/>
      </c>
      <c r="B2140" s="121" t="str">
        <v/>
      </c>
      <c r="C2140" s="41" t="str">
        <v/>
      </c>
      <c r="D2140" s="41" t="str">
        <v/>
      </c>
      <c r="E2140" s="117" t="str">
        <f t="shared" si="0"/>
        <v>RD</v>
      </c>
      <c r="F2140" s="41" t="str">
        <v/>
      </c>
      <c r="G2140" s="41" t="str">
        <v/>
      </c>
      <c r="H2140" s="117">
        <f t="shared" si="1"/>
        <v>0</v>
      </c>
      <c r="I2140" s="117">
        <f t="shared" si="2"/>
        <v>7</v>
      </c>
      <c r="J2140" s="117">
        <f t="shared" si="3"/>
        <v>7.0299999999999994</v>
      </c>
      <c r="K2140" s="117" t="str">
        <f t="shared" si="4"/>
        <v>T</v>
      </c>
      <c r="L2140" s="42" t="str">
        <v>T0703</v>
      </c>
      <c r="M2140" s="121" t="str">
        <v/>
      </c>
      <c r="N2140" s="121" t="str">
        <v/>
      </c>
      <c r="O2140" s="121" t="str">
        <v/>
      </c>
      <c r="P2140" s="121" t="str">
        <v/>
      </c>
      <c r="Q2140" s="121" t="str">
        <v/>
      </c>
      <c r="R2140" s="121" t="str">
        <v/>
      </c>
      <c r="S2140" s="121" t="str">
        <v/>
      </c>
      <c r="T2140" s="119" t="str">
        <f>IF($C2140&lt;4,IF($C2140=3,T2141,IF($C2140=2,T$1,"")),Q2140&amp;R2140&amp;IF(LEN(S2140)=0,"",Preferences!$C$2&amp;S2140)&amp;IF(J2141=J2140,IF(LEN(R2140&amp;S2140)=0,"","
")&amp;T2141,""))</f>
        <v/>
      </c>
      <c r="U2140" s="122" t="str">
        <v/>
      </c>
      <c r="V2140" s="42"/>
      <c r="W2140" s="42"/>
      <c r="X2140" s="42"/>
      <c r="Y2140" s="42"/>
      <c r="Z2140" s="42"/>
      <c r="AA2140" s="42"/>
      <c r="AB2140" s="42"/>
    </row>
    <row r="2141" spans="1:28" x14ac:dyDescent="0.25">
      <c r="A2141" s="42" t="str">
        <v/>
      </c>
      <c r="B2141" s="121" t="str">
        <v/>
      </c>
      <c r="C2141" s="41" t="str">
        <v/>
      </c>
      <c r="D2141" s="41" t="str">
        <v/>
      </c>
      <c r="E2141" s="117" t="str">
        <f t="shared" si="0"/>
        <v>RD</v>
      </c>
      <c r="F2141" s="41" t="str">
        <v/>
      </c>
      <c r="G2141" s="41" t="str">
        <v/>
      </c>
      <c r="H2141" s="117">
        <f t="shared" si="1"/>
        <v>0</v>
      </c>
      <c r="I2141" s="117">
        <f t="shared" si="2"/>
        <v>7</v>
      </c>
      <c r="J2141" s="117">
        <f t="shared" si="3"/>
        <v>7.0299999999999994</v>
      </c>
      <c r="K2141" s="117" t="str">
        <f t="shared" si="4"/>
        <v>T</v>
      </c>
      <c r="L2141" s="42" t="str">
        <v>T0703</v>
      </c>
      <c r="M2141" s="121" t="str">
        <v/>
      </c>
      <c r="N2141" s="121" t="str">
        <v/>
      </c>
      <c r="O2141" s="121" t="str">
        <v/>
      </c>
      <c r="P2141" s="121" t="str">
        <v/>
      </c>
      <c r="Q2141" s="121" t="str">
        <v/>
      </c>
      <c r="R2141" s="121" t="str">
        <v/>
      </c>
      <c r="S2141" s="121" t="str">
        <v/>
      </c>
      <c r="T2141" s="119" t="str">
        <f>IF($C2141&lt;4,IF($C2141=3,T2142,IF($C2141=2,T$1,"")),Q2141&amp;R2141&amp;IF(LEN(S2141)=0,"",Preferences!$C$2&amp;S2141)&amp;IF(J2142=J2141,IF(LEN(R2141&amp;S2141)=0,"","
")&amp;T2142,""))</f>
        <v/>
      </c>
      <c r="U2141" s="122" t="str">
        <v/>
      </c>
      <c r="V2141" s="42"/>
      <c r="W2141" s="42"/>
      <c r="X2141" s="42"/>
      <c r="Y2141" s="42"/>
      <c r="Z2141" s="42"/>
      <c r="AA2141" s="42"/>
      <c r="AB2141" s="42"/>
    </row>
    <row r="2142" spans="1:28" x14ac:dyDescent="0.25">
      <c r="A2142" s="42" t="str">
        <v/>
      </c>
      <c r="B2142" s="121" t="str">
        <v/>
      </c>
      <c r="C2142" s="41" t="str">
        <v/>
      </c>
      <c r="D2142" s="41" t="str">
        <v/>
      </c>
      <c r="E2142" s="117" t="str">
        <f t="shared" si="0"/>
        <v>RD</v>
      </c>
      <c r="F2142" s="41" t="str">
        <v/>
      </c>
      <c r="G2142" s="41" t="str">
        <v/>
      </c>
      <c r="H2142" s="117">
        <f t="shared" si="1"/>
        <v>0</v>
      </c>
      <c r="I2142" s="117">
        <f t="shared" si="2"/>
        <v>7</v>
      </c>
      <c r="J2142" s="117">
        <f t="shared" si="3"/>
        <v>7.0299999999999994</v>
      </c>
      <c r="K2142" s="117" t="str">
        <f t="shared" si="4"/>
        <v>T</v>
      </c>
      <c r="L2142" s="42" t="str">
        <v>T0703</v>
      </c>
      <c r="M2142" s="121" t="str">
        <v/>
      </c>
      <c r="N2142" s="121" t="str">
        <v/>
      </c>
      <c r="O2142" s="121" t="str">
        <v/>
      </c>
      <c r="P2142" s="121" t="str">
        <v/>
      </c>
      <c r="Q2142" s="121" t="str">
        <v/>
      </c>
      <c r="R2142" s="121" t="str">
        <v/>
      </c>
      <c r="S2142" s="121" t="str">
        <v/>
      </c>
      <c r="T2142" s="119" t="str">
        <f>IF($C2142&lt;4,IF($C2142=3,T2143,IF($C2142=2,T$1,"")),Q2142&amp;R2142&amp;IF(LEN(S2142)=0,"",Preferences!$C$2&amp;S2142)&amp;IF(J2143=J2142,IF(LEN(R2142&amp;S2142)=0,"","
")&amp;T2143,""))</f>
        <v/>
      </c>
      <c r="U2142" s="122" t="str">
        <v/>
      </c>
      <c r="V2142" s="42"/>
      <c r="W2142" s="42"/>
      <c r="X2142" s="42"/>
      <c r="Y2142" s="42"/>
      <c r="Z2142" s="42"/>
      <c r="AA2142" s="42"/>
      <c r="AB2142" s="42"/>
    </row>
    <row r="2143" spans="1:28" x14ac:dyDescent="0.25">
      <c r="A2143" s="42" t="str">
        <v/>
      </c>
      <c r="B2143" s="121" t="str">
        <v/>
      </c>
      <c r="C2143" s="41" t="str">
        <v/>
      </c>
      <c r="D2143" s="41" t="str">
        <v/>
      </c>
      <c r="E2143" s="117" t="str">
        <f t="shared" si="0"/>
        <v>RD</v>
      </c>
      <c r="F2143" s="41" t="str">
        <v/>
      </c>
      <c r="G2143" s="41" t="str">
        <v/>
      </c>
      <c r="H2143" s="117">
        <f t="shared" si="1"/>
        <v>0</v>
      </c>
      <c r="I2143" s="117">
        <f t="shared" si="2"/>
        <v>7</v>
      </c>
      <c r="J2143" s="117">
        <f t="shared" si="3"/>
        <v>7.0299999999999994</v>
      </c>
      <c r="K2143" s="117" t="str">
        <f t="shared" si="4"/>
        <v>T</v>
      </c>
      <c r="L2143" s="42" t="str">
        <v>T0703</v>
      </c>
      <c r="M2143" s="121" t="str">
        <v/>
      </c>
      <c r="N2143" s="121" t="str">
        <v/>
      </c>
      <c r="O2143" s="121" t="str">
        <v/>
      </c>
      <c r="P2143" s="121" t="str">
        <v/>
      </c>
      <c r="Q2143" s="121" t="str">
        <v/>
      </c>
      <c r="R2143" s="121" t="str">
        <v/>
      </c>
      <c r="S2143" s="121" t="str">
        <v/>
      </c>
      <c r="T2143" s="119" t="str">
        <f>IF($C2143&lt;4,IF($C2143=3,T2144,IF($C2143=2,T$1,"")),Q2143&amp;R2143&amp;IF(LEN(S2143)=0,"",Preferences!$C$2&amp;S2143)&amp;IF(J2144=J2143,IF(LEN(R2143&amp;S2143)=0,"","
")&amp;T2144,""))</f>
        <v/>
      </c>
      <c r="U2143" s="122" t="str">
        <v/>
      </c>
      <c r="V2143" s="42"/>
      <c r="W2143" s="42"/>
      <c r="X2143" s="42"/>
      <c r="Y2143" s="42"/>
      <c r="Z2143" s="42"/>
      <c r="AA2143" s="42"/>
      <c r="AB2143" s="42"/>
    </row>
    <row r="2144" spans="1:28" x14ac:dyDescent="0.25">
      <c r="A2144" s="42" t="str">
        <v/>
      </c>
      <c r="B2144" s="121" t="str">
        <v/>
      </c>
      <c r="C2144" s="41" t="str">
        <v/>
      </c>
      <c r="D2144" s="41" t="str">
        <v/>
      </c>
      <c r="E2144" s="117" t="str">
        <f t="shared" si="0"/>
        <v>RD</v>
      </c>
      <c r="F2144" s="41" t="str">
        <v/>
      </c>
      <c r="G2144" s="41" t="str">
        <v/>
      </c>
      <c r="H2144" s="117">
        <f t="shared" si="1"/>
        <v>0</v>
      </c>
      <c r="I2144" s="117">
        <f t="shared" si="2"/>
        <v>7</v>
      </c>
      <c r="J2144" s="117">
        <f t="shared" si="3"/>
        <v>7.0299999999999994</v>
      </c>
      <c r="K2144" s="117" t="str">
        <f t="shared" si="4"/>
        <v>T</v>
      </c>
      <c r="L2144" s="42" t="str">
        <v>T0703</v>
      </c>
      <c r="M2144" s="121" t="str">
        <v/>
      </c>
      <c r="N2144" s="121" t="str">
        <v/>
      </c>
      <c r="O2144" s="121" t="str">
        <v/>
      </c>
      <c r="P2144" s="121" t="str">
        <v/>
      </c>
      <c r="Q2144" s="121" t="str">
        <v/>
      </c>
      <c r="R2144" s="121" t="str">
        <v/>
      </c>
      <c r="S2144" s="121" t="str">
        <v/>
      </c>
      <c r="T2144" s="119" t="str">
        <f>IF($C2144&lt;4,IF($C2144=3,T2145,IF($C2144=2,T$1,"")),Q2144&amp;R2144&amp;IF(LEN(S2144)=0,"",Preferences!$C$2&amp;S2144)&amp;IF(J2145=J2144,IF(LEN(R2144&amp;S2144)=0,"","
")&amp;T2145,""))</f>
        <v/>
      </c>
      <c r="U2144" s="122" t="str">
        <v/>
      </c>
      <c r="V2144" s="42"/>
      <c r="W2144" s="42"/>
      <c r="X2144" s="42"/>
      <c r="Y2144" s="42"/>
      <c r="Z2144" s="42"/>
      <c r="AA2144" s="42"/>
      <c r="AB2144" s="42"/>
    </row>
    <row r="2145" spans="1:28" x14ac:dyDescent="0.25">
      <c r="A2145" s="42" t="str">
        <v/>
      </c>
      <c r="B2145" s="121" t="str">
        <v/>
      </c>
      <c r="C2145" s="41" t="str">
        <v/>
      </c>
      <c r="D2145" s="41" t="str">
        <v/>
      </c>
      <c r="E2145" s="117" t="str">
        <f t="shared" si="0"/>
        <v>RD</v>
      </c>
      <c r="F2145" s="41" t="str">
        <v/>
      </c>
      <c r="G2145" s="41" t="str">
        <v/>
      </c>
      <c r="H2145" s="117">
        <f t="shared" si="1"/>
        <v>0</v>
      </c>
      <c r="I2145" s="117">
        <f t="shared" si="2"/>
        <v>7</v>
      </c>
      <c r="J2145" s="117">
        <f t="shared" si="3"/>
        <v>7.0299999999999994</v>
      </c>
      <c r="K2145" s="117" t="str">
        <f t="shared" si="4"/>
        <v>T</v>
      </c>
      <c r="L2145" s="42" t="str">
        <v>T0703</v>
      </c>
      <c r="M2145" s="121" t="str">
        <v/>
      </c>
      <c r="N2145" s="121" t="str">
        <v/>
      </c>
      <c r="O2145" s="121" t="str">
        <v/>
      </c>
      <c r="P2145" s="121" t="str">
        <v/>
      </c>
      <c r="Q2145" s="121" t="str">
        <v/>
      </c>
      <c r="R2145" s="121" t="str">
        <v/>
      </c>
      <c r="S2145" s="121" t="str">
        <v/>
      </c>
      <c r="T2145" s="119" t="str">
        <f>IF($C2145&lt;4,IF($C2145=3,T2146,IF($C2145=2,T$1,"")),Q2145&amp;R2145&amp;IF(LEN(S2145)=0,"",Preferences!$C$2&amp;S2145)&amp;IF(J2146=J2145,IF(LEN(R2145&amp;S2145)=0,"","
")&amp;T2146,""))</f>
        <v/>
      </c>
      <c r="U2145" s="122" t="str">
        <v/>
      </c>
      <c r="V2145" s="42"/>
      <c r="W2145" s="42"/>
      <c r="X2145" s="42"/>
      <c r="Y2145" s="42"/>
      <c r="Z2145" s="42"/>
      <c r="AA2145" s="42"/>
      <c r="AB2145" s="42"/>
    </row>
    <row r="2146" spans="1:28" x14ac:dyDescent="0.25">
      <c r="A2146" s="42" t="str">
        <v/>
      </c>
      <c r="B2146" s="121" t="str">
        <v/>
      </c>
      <c r="C2146" s="41" t="str">
        <v/>
      </c>
      <c r="D2146" s="41" t="str">
        <v/>
      </c>
      <c r="E2146" s="117" t="str">
        <f t="shared" si="0"/>
        <v>RD</v>
      </c>
      <c r="F2146" s="41" t="str">
        <v/>
      </c>
      <c r="G2146" s="41" t="str">
        <v/>
      </c>
      <c r="H2146" s="117">
        <f t="shared" si="1"/>
        <v>0</v>
      </c>
      <c r="I2146" s="117">
        <f t="shared" si="2"/>
        <v>7</v>
      </c>
      <c r="J2146" s="117">
        <f t="shared" si="3"/>
        <v>7.0299999999999994</v>
      </c>
      <c r="K2146" s="117" t="str">
        <f t="shared" si="4"/>
        <v>T</v>
      </c>
      <c r="L2146" s="42" t="str">
        <v>T0703</v>
      </c>
      <c r="M2146" s="121" t="str">
        <v/>
      </c>
      <c r="N2146" s="121" t="str">
        <v/>
      </c>
      <c r="O2146" s="121" t="str">
        <v/>
      </c>
      <c r="P2146" s="121" t="str">
        <v/>
      </c>
      <c r="Q2146" s="121" t="str">
        <v/>
      </c>
      <c r="R2146" s="121" t="str">
        <v/>
      </c>
      <c r="S2146" s="121" t="str">
        <v/>
      </c>
      <c r="T2146" s="119" t="str">
        <f>IF($C2146&lt;4,IF($C2146=3,T2147,IF($C2146=2,T$1,"")),Q2146&amp;R2146&amp;IF(LEN(S2146)=0,"",Preferences!$C$2&amp;S2146)&amp;IF(J2147=J2146,IF(LEN(R2146&amp;S2146)=0,"","
")&amp;T2147,""))</f>
        <v/>
      </c>
      <c r="U2146" s="122" t="str">
        <v/>
      </c>
      <c r="V2146" s="42"/>
      <c r="W2146" s="42"/>
      <c r="X2146" s="42"/>
      <c r="Y2146" s="42"/>
      <c r="Z2146" s="42"/>
      <c r="AA2146" s="42"/>
      <c r="AB2146" s="42"/>
    </row>
    <row r="2147" spans="1:28" x14ac:dyDescent="0.25">
      <c r="A2147" s="42" t="str">
        <v/>
      </c>
      <c r="B2147" s="121" t="str">
        <v/>
      </c>
      <c r="C2147" s="41" t="str">
        <v/>
      </c>
      <c r="D2147" s="41" t="str">
        <v/>
      </c>
      <c r="E2147" s="117" t="str">
        <f t="shared" si="0"/>
        <v>RD</v>
      </c>
      <c r="F2147" s="41" t="str">
        <v/>
      </c>
      <c r="G2147" s="41" t="str">
        <v/>
      </c>
      <c r="H2147" s="117">
        <f t="shared" si="1"/>
        <v>0</v>
      </c>
      <c r="I2147" s="117">
        <f t="shared" si="2"/>
        <v>7</v>
      </c>
      <c r="J2147" s="117">
        <f t="shared" si="3"/>
        <v>7.0299999999999994</v>
      </c>
      <c r="K2147" s="117" t="str">
        <f t="shared" si="4"/>
        <v>T</v>
      </c>
      <c r="L2147" s="42" t="str">
        <v>T0703</v>
      </c>
      <c r="M2147" s="121" t="str">
        <v/>
      </c>
      <c r="N2147" s="121" t="str">
        <v/>
      </c>
      <c r="O2147" s="121" t="str">
        <v/>
      </c>
      <c r="P2147" s="121" t="str">
        <v/>
      </c>
      <c r="Q2147" s="121" t="str">
        <v/>
      </c>
      <c r="R2147" s="121" t="str">
        <v/>
      </c>
      <c r="S2147" s="121" t="str">
        <v/>
      </c>
      <c r="T2147" s="119" t="str">
        <f>IF($C2147&lt;4,IF($C2147=3,T2148,IF($C2147=2,T$1,"")),Q2147&amp;R2147&amp;IF(LEN(S2147)=0,"",Preferences!$C$2&amp;S2147)&amp;IF(J2148=J2147,IF(LEN(R2147&amp;S2147)=0,"","
")&amp;T2148,""))</f>
        <v/>
      </c>
      <c r="U2147" s="122" t="str">
        <v/>
      </c>
      <c r="V2147" s="42"/>
      <c r="W2147" s="42"/>
      <c r="X2147" s="42"/>
      <c r="Y2147" s="42"/>
      <c r="Z2147" s="42"/>
      <c r="AA2147" s="42"/>
      <c r="AB2147" s="42"/>
    </row>
    <row r="2148" spans="1:28" x14ac:dyDescent="0.25">
      <c r="A2148" s="42" t="str">
        <v/>
      </c>
      <c r="B2148" s="121" t="str">
        <v/>
      </c>
      <c r="C2148" s="41" t="str">
        <v/>
      </c>
      <c r="D2148" s="41" t="str">
        <v/>
      </c>
      <c r="E2148" s="117" t="str">
        <f t="shared" si="0"/>
        <v>RD</v>
      </c>
      <c r="F2148" s="41" t="str">
        <v/>
      </c>
      <c r="G2148" s="41" t="str">
        <v/>
      </c>
      <c r="H2148" s="117">
        <f t="shared" si="1"/>
        <v>0</v>
      </c>
      <c r="I2148" s="117">
        <f t="shared" si="2"/>
        <v>7</v>
      </c>
      <c r="J2148" s="117">
        <f t="shared" si="3"/>
        <v>7.0299999999999994</v>
      </c>
      <c r="K2148" s="117" t="str">
        <f t="shared" si="4"/>
        <v>T</v>
      </c>
      <c r="L2148" s="42" t="str">
        <v>T0703</v>
      </c>
      <c r="M2148" s="121" t="str">
        <v/>
      </c>
      <c r="N2148" s="121" t="str">
        <v/>
      </c>
      <c r="O2148" s="121" t="str">
        <v/>
      </c>
      <c r="P2148" s="121" t="str">
        <v/>
      </c>
      <c r="Q2148" s="121" t="str">
        <v/>
      </c>
      <c r="R2148" s="121" t="str">
        <v/>
      </c>
      <c r="S2148" s="121" t="str">
        <v/>
      </c>
      <c r="T2148" s="119" t="str">
        <f>IF($C2148&lt;4,IF($C2148=3,T2149,IF($C2148=2,T$1,"")),Q2148&amp;R2148&amp;IF(LEN(S2148)=0,"",Preferences!$C$2&amp;S2148)&amp;IF(J2149=J2148,IF(LEN(R2148&amp;S2148)=0,"","
")&amp;T2149,""))</f>
        <v/>
      </c>
      <c r="U2148" s="122" t="str">
        <v/>
      </c>
      <c r="V2148" s="42"/>
      <c r="W2148" s="42"/>
      <c r="X2148" s="42"/>
      <c r="Y2148" s="42"/>
      <c r="Z2148" s="42"/>
      <c r="AA2148" s="42"/>
      <c r="AB2148" s="42"/>
    </row>
    <row r="2149" spans="1:28" x14ac:dyDescent="0.25">
      <c r="A2149" s="42" t="str">
        <v/>
      </c>
      <c r="B2149" s="121" t="str">
        <v/>
      </c>
      <c r="C2149" s="41" t="str">
        <v/>
      </c>
      <c r="D2149" s="41" t="str">
        <v/>
      </c>
      <c r="E2149" s="117" t="str">
        <f t="shared" si="0"/>
        <v>RD</v>
      </c>
      <c r="F2149" s="41" t="str">
        <v/>
      </c>
      <c r="G2149" s="41" t="str">
        <v/>
      </c>
      <c r="H2149" s="117">
        <f t="shared" si="1"/>
        <v>0</v>
      </c>
      <c r="I2149" s="117">
        <f t="shared" si="2"/>
        <v>7</v>
      </c>
      <c r="J2149" s="117">
        <f t="shared" si="3"/>
        <v>7.0299999999999994</v>
      </c>
      <c r="K2149" s="117" t="str">
        <f t="shared" si="4"/>
        <v>T</v>
      </c>
      <c r="L2149" s="42" t="str">
        <v>T0703</v>
      </c>
      <c r="M2149" s="121" t="str">
        <v/>
      </c>
      <c r="N2149" s="121" t="str">
        <v/>
      </c>
      <c r="O2149" s="121" t="str">
        <v/>
      </c>
      <c r="P2149" s="121" t="str">
        <v/>
      </c>
      <c r="Q2149" s="121" t="str">
        <v/>
      </c>
      <c r="R2149" s="121" t="str">
        <v/>
      </c>
      <c r="S2149" s="121" t="str">
        <v/>
      </c>
      <c r="T2149" s="119" t="str">
        <f>IF($C2149&lt;4,IF($C2149=3,T2150,IF($C2149=2,T$1,"")),Q2149&amp;R2149&amp;IF(LEN(S2149)=0,"",Preferences!$C$2&amp;S2149)&amp;IF(J2150=J2149,IF(LEN(R2149&amp;S2149)=0,"","
")&amp;T2150,""))</f>
        <v/>
      </c>
      <c r="U2149" s="122" t="str">
        <v/>
      </c>
      <c r="V2149" s="42"/>
      <c r="W2149" s="42"/>
      <c r="X2149" s="42"/>
      <c r="Y2149" s="42"/>
      <c r="Z2149" s="42"/>
      <c r="AA2149" s="42"/>
      <c r="AB2149" s="42"/>
    </row>
    <row r="2150" spans="1:28" x14ac:dyDescent="0.25">
      <c r="A2150" s="42" t="str">
        <v/>
      </c>
      <c r="B2150" s="121" t="str">
        <v/>
      </c>
      <c r="C2150" s="41" t="str">
        <v/>
      </c>
      <c r="D2150" s="41" t="str">
        <v/>
      </c>
      <c r="E2150" s="117" t="str">
        <f t="shared" si="0"/>
        <v>RD</v>
      </c>
      <c r="F2150" s="41" t="str">
        <v/>
      </c>
      <c r="G2150" s="41" t="str">
        <v/>
      </c>
      <c r="H2150" s="117">
        <f t="shared" si="1"/>
        <v>0</v>
      </c>
      <c r="I2150" s="117">
        <f t="shared" si="2"/>
        <v>7</v>
      </c>
      <c r="J2150" s="117">
        <f t="shared" si="3"/>
        <v>7.0299999999999994</v>
      </c>
      <c r="K2150" s="117" t="str">
        <f t="shared" si="4"/>
        <v>T</v>
      </c>
      <c r="L2150" s="42" t="str">
        <v>T0703</v>
      </c>
      <c r="M2150" s="121" t="str">
        <v/>
      </c>
      <c r="N2150" s="121" t="str">
        <v/>
      </c>
      <c r="O2150" s="121" t="str">
        <v/>
      </c>
      <c r="P2150" s="121" t="str">
        <v/>
      </c>
      <c r="Q2150" s="121" t="str">
        <v/>
      </c>
      <c r="R2150" s="121" t="str">
        <v/>
      </c>
      <c r="S2150" s="121" t="str">
        <v/>
      </c>
      <c r="T2150" s="119" t="str">
        <f>IF($C2150&lt;4,IF($C2150=3,T2151,IF($C2150=2,T$1,"")),Q2150&amp;R2150&amp;IF(LEN(S2150)=0,"",Preferences!$C$2&amp;S2150)&amp;IF(J2151=J2150,IF(LEN(R2150&amp;S2150)=0,"","
")&amp;T2151,""))</f>
        <v/>
      </c>
      <c r="U2150" s="122" t="str">
        <v/>
      </c>
      <c r="V2150" s="42"/>
      <c r="W2150" s="42"/>
      <c r="X2150" s="42"/>
      <c r="Y2150" s="42"/>
      <c r="Z2150" s="42"/>
      <c r="AA2150" s="42"/>
      <c r="AB2150" s="42"/>
    </row>
    <row r="2151" spans="1:28" x14ac:dyDescent="0.25">
      <c r="A2151" s="42" t="str">
        <v/>
      </c>
      <c r="B2151" s="121" t="str">
        <v/>
      </c>
      <c r="C2151" s="41" t="str">
        <v/>
      </c>
      <c r="D2151" s="41" t="str">
        <v/>
      </c>
      <c r="E2151" s="117" t="str">
        <f t="shared" si="0"/>
        <v>RD</v>
      </c>
      <c r="F2151" s="41" t="str">
        <v/>
      </c>
      <c r="G2151" s="41" t="str">
        <v/>
      </c>
      <c r="H2151" s="117">
        <f t="shared" si="1"/>
        <v>0</v>
      </c>
      <c r="I2151" s="117">
        <f t="shared" si="2"/>
        <v>7</v>
      </c>
      <c r="J2151" s="117">
        <f t="shared" si="3"/>
        <v>7.0299999999999994</v>
      </c>
      <c r="K2151" s="117" t="str">
        <f t="shared" si="4"/>
        <v>T</v>
      </c>
      <c r="L2151" s="42" t="str">
        <v>T0703</v>
      </c>
      <c r="M2151" s="121" t="str">
        <v/>
      </c>
      <c r="N2151" s="121" t="str">
        <v/>
      </c>
      <c r="O2151" s="121" t="str">
        <v/>
      </c>
      <c r="P2151" s="121" t="str">
        <v/>
      </c>
      <c r="Q2151" s="121" t="str">
        <v/>
      </c>
      <c r="R2151" s="121" t="str">
        <v/>
      </c>
      <c r="S2151" s="121" t="str">
        <v/>
      </c>
      <c r="T2151" s="119" t="str">
        <f>IF($C2151&lt;4,IF($C2151=3,T2152,IF($C2151=2,T$1,"")),Q2151&amp;R2151&amp;IF(LEN(S2151)=0,"",Preferences!$C$2&amp;S2151)&amp;IF(J2152=J2151,IF(LEN(R2151&amp;S2151)=0,"","
")&amp;T2152,""))</f>
        <v/>
      </c>
      <c r="U2151" s="122" t="str">
        <v/>
      </c>
      <c r="V2151" s="42"/>
      <c r="W2151" s="42"/>
      <c r="X2151" s="42"/>
      <c r="Y2151" s="42"/>
      <c r="Z2151" s="42"/>
      <c r="AA2151" s="42"/>
      <c r="AB2151" s="42"/>
    </row>
    <row r="2152" spans="1:28" x14ac:dyDescent="0.25">
      <c r="A2152" s="42" t="str">
        <v/>
      </c>
      <c r="B2152" s="121" t="str">
        <v/>
      </c>
      <c r="C2152" s="41" t="str">
        <v/>
      </c>
      <c r="D2152" s="41" t="str">
        <v/>
      </c>
      <c r="E2152" s="117" t="str">
        <f t="shared" si="0"/>
        <v>RD</v>
      </c>
      <c r="F2152" s="41" t="str">
        <v/>
      </c>
      <c r="G2152" s="41" t="str">
        <v/>
      </c>
      <c r="H2152" s="117">
        <f t="shared" si="1"/>
        <v>0</v>
      </c>
      <c r="I2152" s="117">
        <f t="shared" si="2"/>
        <v>7</v>
      </c>
      <c r="J2152" s="117">
        <f t="shared" si="3"/>
        <v>7.0299999999999994</v>
      </c>
      <c r="K2152" s="117" t="str">
        <f t="shared" si="4"/>
        <v>T</v>
      </c>
      <c r="L2152" s="42" t="str">
        <v>T0703</v>
      </c>
      <c r="M2152" s="121" t="str">
        <v/>
      </c>
      <c r="N2152" s="121" t="str">
        <v/>
      </c>
      <c r="O2152" s="121" t="str">
        <v/>
      </c>
      <c r="P2152" s="121" t="str">
        <v/>
      </c>
      <c r="Q2152" s="121" t="str">
        <v/>
      </c>
      <c r="R2152" s="121" t="str">
        <v/>
      </c>
      <c r="S2152" s="121" t="str">
        <v/>
      </c>
      <c r="T2152" s="119" t="str">
        <f>IF($C2152&lt;4,IF($C2152=3,T2153,IF($C2152=2,T$1,"")),Q2152&amp;R2152&amp;IF(LEN(S2152)=0,"",Preferences!$C$2&amp;S2152)&amp;IF(J2153=J2152,IF(LEN(R2152&amp;S2152)=0,"","
")&amp;T2153,""))</f>
        <v/>
      </c>
      <c r="U2152" s="122" t="str">
        <v/>
      </c>
      <c r="V2152" s="42"/>
      <c r="W2152" s="42"/>
      <c r="X2152" s="42"/>
      <c r="Y2152" s="42"/>
      <c r="Z2152" s="42"/>
      <c r="AA2152" s="42"/>
      <c r="AB2152" s="42"/>
    </row>
    <row r="2153" spans="1:28" x14ac:dyDescent="0.25">
      <c r="A2153" s="42" t="str">
        <v/>
      </c>
      <c r="B2153" s="121" t="str">
        <v/>
      </c>
      <c r="C2153" s="41" t="str">
        <v/>
      </c>
      <c r="D2153" s="41" t="str">
        <v/>
      </c>
      <c r="E2153" s="117" t="str">
        <f t="shared" si="0"/>
        <v>RD</v>
      </c>
      <c r="F2153" s="41" t="str">
        <v/>
      </c>
      <c r="G2153" s="41" t="str">
        <v/>
      </c>
      <c r="H2153" s="117">
        <f t="shared" si="1"/>
        <v>0</v>
      </c>
      <c r="I2153" s="117">
        <f t="shared" si="2"/>
        <v>7</v>
      </c>
      <c r="J2153" s="117">
        <f t="shared" si="3"/>
        <v>7.0299999999999994</v>
      </c>
      <c r="K2153" s="117" t="str">
        <f t="shared" si="4"/>
        <v>T</v>
      </c>
      <c r="L2153" s="42" t="str">
        <v>T0703</v>
      </c>
      <c r="M2153" s="121" t="str">
        <v/>
      </c>
      <c r="N2153" s="121" t="str">
        <v/>
      </c>
      <c r="O2153" s="121" t="str">
        <v/>
      </c>
      <c r="P2153" s="121" t="str">
        <v/>
      </c>
      <c r="Q2153" s="121" t="str">
        <v/>
      </c>
      <c r="R2153" s="121" t="str">
        <v/>
      </c>
      <c r="S2153" s="121" t="str">
        <v/>
      </c>
      <c r="T2153" s="119" t="str">
        <f>IF($C2153&lt;4,IF($C2153=3,T2154,IF($C2153=2,T$1,"")),Q2153&amp;R2153&amp;IF(LEN(S2153)=0,"",Preferences!$C$2&amp;S2153)&amp;IF(J2154=J2153,IF(LEN(R2153&amp;S2153)=0,"","
")&amp;T2154,""))</f>
        <v/>
      </c>
      <c r="U2153" s="122" t="str">
        <v/>
      </c>
      <c r="V2153" s="42"/>
      <c r="W2153" s="42"/>
      <c r="X2153" s="42"/>
      <c r="Y2153" s="42"/>
      <c r="Z2153" s="42"/>
      <c r="AA2153" s="42"/>
      <c r="AB2153" s="42"/>
    </row>
    <row r="2154" spans="1:28" x14ac:dyDescent="0.25">
      <c r="A2154" s="42" t="str">
        <v/>
      </c>
      <c r="B2154" s="121" t="str">
        <v/>
      </c>
      <c r="C2154" s="41" t="str">
        <v/>
      </c>
      <c r="D2154" s="41" t="str">
        <v/>
      </c>
      <c r="E2154" s="117" t="str">
        <f t="shared" si="0"/>
        <v>RD</v>
      </c>
      <c r="F2154" s="41" t="str">
        <v/>
      </c>
      <c r="G2154" s="41" t="str">
        <v/>
      </c>
      <c r="H2154" s="117">
        <f t="shared" si="1"/>
        <v>0</v>
      </c>
      <c r="I2154" s="117">
        <f t="shared" si="2"/>
        <v>7</v>
      </c>
      <c r="J2154" s="117">
        <f t="shared" si="3"/>
        <v>7.0299999999999994</v>
      </c>
      <c r="K2154" s="117" t="str">
        <f t="shared" si="4"/>
        <v>T</v>
      </c>
      <c r="L2154" s="42" t="str">
        <v>T0703</v>
      </c>
      <c r="M2154" s="121" t="str">
        <v/>
      </c>
      <c r="N2154" s="121" t="str">
        <v/>
      </c>
      <c r="O2154" s="121" t="str">
        <v/>
      </c>
      <c r="P2154" s="121" t="str">
        <v/>
      </c>
      <c r="Q2154" s="121" t="str">
        <v/>
      </c>
      <c r="R2154" s="121" t="str">
        <v/>
      </c>
      <c r="S2154" s="121" t="str">
        <v/>
      </c>
      <c r="T2154" s="119" t="str">
        <f>IF($C2154&lt;4,IF($C2154=3,T2155,IF($C2154=2,T$1,"")),Q2154&amp;R2154&amp;IF(LEN(S2154)=0,"",Preferences!$C$2&amp;S2154)&amp;IF(J2155=J2154,IF(LEN(R2154&amp;S2154)=0,"","
")&amp;T2155,""))</f>
        <v/>
      </c>
      <c r="U2154" s="122" t="str">
        <v/>
      </c>
      <c r="V2154" s="42"/>
      <c r="W2154" s="42"/>
      <c r="X2154" s="42"/>
      <c r="Y2154" s="42"/>
      <c r="Z2154" s="42"/>
      <c r="AA2154" s="42"/>
      <c r="AB2154" s="42"/>
    </row>
    <row r="2155" spans="1:28" x14ac:dyDescent="0.25">
      <c r="A2155" s="42" t="str">
        <v/>
      </c>
      <c r="B2155" s="121" t="str">
        <v/>
      </c>
      <c r="C2155" s="41" t="str">
        <v/>
      </c>
      <c r="D2155" s="41" t="str">
        <v/>
      </c>
      <c r="E2155" s="117" t="str">
        <f t="shared" si="0"/>
        <v>RD</v>
      </c>
      <c r="F2155" s="41" t="str">
        <v/>
      </c>
      <c r="G2155" s="41" t="str">
        <v/>
      </c>
      <c r="H2155" s="117">
        <f t="shared" si="1"/>
        <v>0</v>
      </c>
      <c r="I2155" s="117">
        <f t="shared" si="2"/>
        <v>7</v>
      </c>
      <c r="J2155" s="117">
        <f t="shared" si="3"/>
        <v>7.0299999999999994</v>
      </c>
      <c r="K2155" s="117" t="str">
        <f t="shared" si="4"/>
        <v>T</v>
      </c>
      <c r="L2155" s="42" t="str">
        <v>T0703</v>
      </c>
      <c r="M2155" s="121" t="str">
        <v/>
      </c>
      <c r="N2155" s="121" t="str">
        <v/>
      </c>
      <c r="O2155" s="121" t="str">
        <v/>
      </c>
      <c r="P2155" s="121" t="str">
        <v/>
      </c>
      <c r="Q2155" s="121" t="str">
        <v/>
      </c>
      <c r="R2155" s="121" t="str">
        <v/>
      </c>
      <c r="S2155" s="121" t="str">
        <v/>
      </c>
      <c r="T2155" s="119" t="str">
        <f>IF($C2155&lt;4,IF($C2155=3,T2156,IF($C2155=2,T$1,"")),Q2155&amp;R2155&amp;IF(LEN(S2155)=0,"",Preferences!$C$2&amp;S2155)&amp;IF(J2156=J2155,IF(LEN(R2155&amp;S2155)=0,"","
")&amp;T2156,""))</f>
        <v/>
      </c>
      <c r="U2155" s="122" t="str">
        <v/>
      </c>
      <c r="V2155" s="42"/>
      <c r="W2155" s="42"/>
      <c r="X2155" s="42"/>
      <c r="Y2155" s="42"/>
      <c r="Z2155" s="42"/>
      <c r="AA2155" s="42"/>
      <c r="AB2155" s="42"/>
    </row>
    <row r="2156" spans="1:28" x14ac:dyDescent="0.25">
      <c r="A2156" s="42" t="str">
        <v/>
      </c>
      <c r="B2156" s="121" t="str">
        <v/>
      </c>
      <c r="C2156" s="41" t="str">
        <v/>
      </c>
      <c r="D2156" s="41" t="str">
        <v/>
      </c>
      <c r="E2156" s="117" t="str">
        <f t="shared" si="0"/>
        <v>RD</v>
      </c>
      <c r="F2156" s="41" t="str">
        <v/>
      </c>
      <c r="G2156" s="41" t="str">
        <v/>
      </c>
      <c r="H2156" s="117">
        <f t="shared" si="1"/>
        <v>0</v>
      </c>
      <c r="I2156" s="117">
        <f t="shared" si="2"/>
        <v>7</v>
      </c>
      <c r="J2156" s="117">
        <f t="shared" si="3"/>
        <v>7.0299999999999994</v>
      </c>
      <c r="K2156" s="117" t="str">
        <f t="shared" si="4"/>
        <v>T</v>
      </c>
      <c r="L2156" s="42" t="str">
        <v>T0703</v>
      </c>
      <c r="M2156" s="121" t="str">
        <v/>
      </c>
      <c r="N2156" s="121" t="str">
        <v/>
      </c>
      <c r="O2156" s="121" t="str">
        <v/>
      </c>
      <c r="P2156" s="121" t="str">
        <v/>
      </c>
      <c r="Q2156" s="121" t="str">
        <v/>
      </c>
      <c r="R2156" s="121" t="str">
        <v/>
      </c>
      <c r="S2156" s="121" t="str">
        <v/>
      </c>
      <c r="T2156" s="119" t="str">
        <f>IF($C2156&lt;4,IF($C2156=3,T2157,IF($C2156=2,T$1,"")),Q2156&amp;R2156&amp;IF(LEN(S2156)=0,"",Preferences!$C$2&amp;S2156)&amp;IF(J2157=J2156,IF(LEN(R2156&amp;S2156)=0,"","
")&amp;T2157,""))</f>
        <v/>
      </c>
      <c r="U2156" s="122" t="str">
        <v/>
      </c>
      <c r="V2156" s="42"/>
      <c r="W2156" s="42"/>
      <c r="X2156" s="42"/>
      <c r="Y2156" s="42"/>
      <c r="Z2156" s="42"/>
      <c r="AA2156" s="42"/>
      <c r="AB2156" s="42"/>
    </row>
    <row r="2157" spans="1:28" x14ac:dyDescent="0.25">
      <c r="A2157" s="42" t="str">
        <v/>
      </c>
      <c r="B2157" s="121" t="str">
        <v/>
      </c>
      <c r="C2157" s="41" t="str">
        <v/>
      </c>
      <c r="D2157" s="41" t="str">
        <v/>
      </c>
      <c r="E2157" s="117" t="str">
        <f t="shared" si="0"/>
        <v>RD</v>
      </c>
      <c r="F2157" s="41" t="str">
        <v/>
      </c>
      <c r="G2157" s="41" t="str">
        <v/>
      </c>
      <c r="H2157" s="117">
        <f t="shared" si="1"/>
        <v>0</v>
      </c>
      <c r="I2157" s="117">
        <f t="shared" si="2"/>
        <v>7</v>
      </c>
      <c r="J2157" s="117">
        <f t="shared" si="3"/>
        <v>7.0299999999999994</v>
      </c>
      <c r="K2157" s="117" t="str">
        <f t="shared" si="4"/>
        <v>T</v>
      </c>
      <c r="L2157" s="42" t="str">
        <v>T0703</v>
      </c>
      <c r="M2157" s="121" t="str">
        <v/>
      </c>
      <c r="N2157" s="121" t="str">
        <v/>
      </c>
      <c r="O2157" s="121" t="str">
        <v/>
      </c>
      <c r="P2157" s="121" t="str">
        <v/>
      </c>
      <c r="Q2157" s="121" t="str">
        <v/>
      </c>
      <c r="R2157" s="121" t="str">
        <v/>
      </c>
      <c r="S2157" s="121" t="str">
        <v/>
      </c>
      <c r="T2157" s="119" t="str">
        <f>IF($C2157&lt;4,IF($C2157=3,T2158,IF($C2157=2,T$1,"")),Q2157&amp;R2157&amp;IF(LEN(S2157)=0,"",Preferences!$C$2&amp;S2157)&amp;IF(J2158=J2157,IF(LEN(R2157&amp;S2157)=0,"","
")&amp;T2158,""))</f>
        <v/>
      </c>
      <c r="U2157" s="122" t="str">
        <v/>
      </c>
      <c r="V2157" s="42"/>
      <c r="W2157" s="42"/>
      <c r="X2157" s="42"/>
      <c r="Y2157" s="42"/>
      <c r="Z2157" s="42"/>
      <c r="AA2157" s="42"/>
      <c r="AB2157" s="42"/>
    </row>
    <row r="2158" spans="1:28" x14ac:dyDescent="0.25">
      <c r="A2158" s="42" t="str">
        <v/>
      </c>
      <c r="B2158" s="121" t="str">
        <v/>
      </c>
      <c r="C2158" s="41" t="str">
        <v/>
      </c>
      <c r="D2158" s="41" t="str">
        <v/>
      </c>
      <c r="E2158" s="117" t="str">
        <f t="shared" si="0"/>
        <v>RD</v>
      </c>
      <c r="F2158" s="41" t="str">
        <v/>
      </c>
      <c r="G2158" s="41" t="str">
        <v/>
      </c>
      <c r="H2158" s="117">
        <f t="shared" si="1"/>
        <v>0</v>
      </c>
      <c r="I2158" s="117">
        <f t="shared" si="2"/>
        <v>7</v>
      </c>
      <c r="J2158" s="117">
        <f t="shared" si="3"/>
        <v>7.0299999999999994</v>
      </c>
      <c r="K2158" s="117" t="str">
        <f t="shared" si="4"/>
        <v>T</v>
      </c>
      <c r="L2158" s="42" t="str">
        <v>T0703</v>
      </c>
      <c r="M2158" s="121" t="str">
        <v/>
      </c>
      <c r="N2158" s="121" t="str">
        <v/>
      </c>
      <c r="O2158" s="121" t="str">
        <v/>
      </c>
      <c r="P2158" s="121" t="str">
        <v/>
      </c>
      <c r="Q2158" s="121" t="str">
        <v/>
      </c>
      <c r="R2158" s="121" t="str">
        <v/>
      </c>
      <c r="S2158" s="121" t="str">
        <v/>
      </c>
      <c r="T2158" s="119" t="str">
        <f>IF($C2158&lt;4,IF($C2158=3,T2159,IF($C2158=2,T$1,"")),Q2158&amp;R2158&amp;IF(LEN(S2158)=0,"",Preferences!$C$2&amp;S2158)&amp;IF(J2159=J2158,IF(LEN(R2158&amp;S2158)=0,"","
")&amp;T2159,""))</f>
        <v/>
      </c>
      <c r="U2158" s="122" t="str">
        <v/>
      </c>
      <c r="V2158" s="42"/>
      <c r="W2158" s="42"/>
      <c r="X2158" s="42"/>
      <c r="Y2158" s="42"/>
      <c r="Z2158" s="42"/>
      <c r="AA2158" s="42"/>
      <c r="AB2158" s="42"/>
    </row>
    <row r="2159" spans="1:28" x14ac:dyDescent="0.25">
      <c r="A2159" s="42" t="str">
        <v/>
      </c>
      <c r="B2159" s="121" t="str">
        <v/>
      </c>
      <c r="C2159" s="41" t="str">
        <v/>
      </c>
      <c r="D2159" s="41" t="str">
        <v/>
      </c>
      <c r="E2159" s="117" t="str">
        <f t="shared" si="0"/>
        <v>RD</v>
      </c>
      <c r="F2159" s="41" t="str">
        <v/>
      </c>
      <c r="G2159" s="41" t="str">
        <v/>
      </c>
      <c r="H2159" s="117">
        <f t="shared" si="1"/>
        <v>0</v>
      </c>
      <c r="I2159" s="117">
        <f t="shared" si="2"/>
        <v>7</v>
      </c>
      <c r="J2159" s="117">
        <f t="shared" si="3"/>
        <v>7.0299999999999994</v>
      </c>
      <c r="K2159" s="117" t="str">
        <f t="shared" si="4"/>
        <v>T</v>
      </c>
      <c r="L2159" s="42" t="str">
        <v>T0703</v>
      </c>
      <c r="M2159" s="121" t="str">
        <v/>
      </c>
      <c r="N2159" s="121" t="str">
        <v/>
      </c>
      <c r="O2159" s="121" t="str">
        <v/>
      </c>
      <c r="P2159" s="121" t="str">
        <v/>
      </c>
      <c r="Q2159" s="121" t="str">
        <v/>
      </c>
      <c r="R2159" s="121" t="str">
        <v/>
      </c>
      <c r="S2159" s="121" t="str">
        <v/>
      </c>
      <c r="T2159" s="119" t="str">
        <f>IF($C2159&lt;4,IF($C2159=3,T2160,IF($C2159=2,T$1,"")),Q2159&amp;R2159&amp;IF(LEN(S2159)=0,"",Preferences!$C$2&amp;S2159)&amp;IF(J2160=J2159,IF(LEN(R2159&amp;S2159)=0,"","
")&amp;T2160,""))</f>
        <v/>
      </c>
      <c r="U2159" s="122" t="str">
        <v/>
      </c>
      <c r="V2159" s="42"/>
      <c r="W2159" s="42"/>
      <c r="X2159" s="42"/>
      <c r="Y2159" s="42"/>
      <c r="Z2159" s="42"/>
      <c r="AA2159" s="42"/>
      <c r="AB2159" s="42"/>
    </row>
    <row r="2160" spans="1:28" x14ac:dyDescent="0.25">
      <c r="A2160" s="42" t="str">
        <v/>
      </c>
      <c r="B2160" s="121" t="str">
        <v/>
      </c>
      <c r="C2160" s="41" t="str">
        <v/>
      </c>
      <c r="D2160" s="41" t="str">
        <v/>
      </c>
      <c r="E2160" s="117" t="str">
        <f t="shared" si="0"/>
        <v>RD</v>
      </c>
      <c r="F2160" s="41" t="str">
        <v/>
      </c>
      <c r="G2160" s="41" t="str">
        <v/>
      </c>
      <c r="H2160" s="117">
        <f t="shared" si="1"/>
        <v>0</v>
      </c>
      <c r="I2160" s="117">
        <f t="shared" si="2"/>
        <v>7</v>
      </c>
      <c r="J2160" s="117">
        <f t="shared" si="3"/>
        <v>7.0299999999999994</v>
      </c>
      <c r="K2160" s="117" t="str">
        <f t="shared" si="4"/>
        <v>T</v>
      </c>
      <c r="L2160" s="42" t="str">
        <v>T0703</v>
      </c>
      <c r="M2160" s="121" t="str">
        <v/>
      </c>
      <c r="N2160" s="121" t="str">
        <v/>
      </c>
      <c r="O2160" s="121" t="str">
        <v/>
      </c>
      <c r="P2160" s="121" t="str">
        <v/>
      </c>
      <c r="Q2160" s="121" t="str">
        <v/>
      </c>
      <c r="R2160" s="121" t="str">
        <v/>
      </c>
      <c r="S2160" s="121" t="str">
        <v/>
      </c>
      <c r="T2160" s="119" t="str">
        <f>IF($C2160&lt;4,IF($C2160=3,T2161,IF($C2160=2,T$1,"")),Q2160&amp;R2160&amp;IF(LEN(S2160)=0,"",Preferences!$C$2&amp;S2160)&amp;IF(J2161=J2160,IF(LEN(R2160&amp;S2160)=0,"","
")&amp;T2161,""))</f>
        <v/>
      </c>
      <c r="U2160" s="122" t="str">
        <v/>
      </c>
      <c r="V2160" s="42"/>
      <c r="W2160" s="42"/>
      <c r="X2160" s="42"/>
      <c r="Y2160" s="42"/>
      <c r="Z2160" s="42"/>
      <c r="AA2160" s="42"/>
      <c r="AB2160" s="42"/>
    </row>
    <row r="2161" spans="1:28" x14ac:dyDescent="0.25">
      <c r="A2161" s="42" t="str">
        <v/>
      </c>
      <c r="B2161" s="121" t="str">
        <v/>
      </c>
      <c r="C2161" s="41" t="str">
        <v/>
      </c>
      <c r="D2161" s="41" t="str">
        <v/>
      </c>
      <c r="E2161" s="117" t="str">
        <f t="shared" si="0"/>
        <v>RD</v>
      </c>
      <c r="F2161" s="41" t="str">
        <v/>
      </c>
      <c r="G2161" s="41" t="str">
        <v/>
      </c>
      <c r="H2161" s="117">
        <f t="shared" si="1"/>
        <v>0</v>
      </c>
      <c r="I2161" s="117">
        <f t="shared" si="2"/>
        <v>7</v>
      </c>
      <c r="J2161" s="117">
        <f t="shared" si="3"/>
        <v>7.0299999999999994</v>
      </c>
      <c r="K2161" s="117" t="str">
        <f t="shared" si="4"/>
        <v>T</v>
      </c>
      <c r="L2161" s="42" t="str">
        <v>T0703</v>
      </c>
      <c r="M2161" s="121" t="str">
        <v/>
      </c>
      <c r="N2161" s="121" t="str">
        <v/>
      </c>
      <c r="O2161" s="121" t="str">
        <v/>
      </c>
      <c r="P2161" s="121" t="str">
        <v/>
      </c>
      <c r="Q2161" s="121" t="str">
        <v/>
      </c>
      <c r="R2161" s="121" t="str">
        <v/>
      </c>
      <c r="S2161" s="121" t="str">
        <v/>
      </c>
      <c r="T2161" s="119" t="str">
        <f>IF($C2161&lt;4,IF($C2161=3,T2162,IF($C2161=2,T$1,"")),Q2161&amp;R2161&amp;IF(LEN(S2161)=0,"",Preferences!$C$2&amp;S2161)&amp;IF(J2162=J2161,IF(LEN(R2161&amp;S2161)=0,"","
")&amp;T2162,""))</f>
        <v/>
      </c>
      <c r="U2161" s="122" t="str">
        <v/>
      </c>
      <c r="V2161" s="42"/>
      <c r="W2161" s="42"/>
      <c r="X2161" s="42"/>
      <c r="Y2161" s="42"/>
      <c r="Z2161" s="42"/>
      <c r="AA2161" s="42"/>
      <c r="AB2161" s="42"/>
    </row>
    <row r="2162" spans="1:28" x14ac:dyDescent="0.25">
      <c r="A2162" s="42" t="str">
        <v/>
      </c>
      <c r="B2162" s="121" t="str">
        <v/>
      </c>
      <c r="C2162" s="41" t="str">
        <v/>
      </c>
      <c r="D2162" s="41" t="str">
        <v/>
      </c>
      <c r="E2162" s="117" t="str">
        <f t="shared" si="0"/>
        <v>RD</v>
      </c>
      <c r="F2162" s="41" t="str">
        <v/>
      </c>
      <c r="G2162" s="41" t="str">
        <v/>
      </c>
      <c r="H2162" s="117">
        <f t="shared" si="1"/>
        <v>0</v>
      </c>
      <c r="I2162" s="117">
        <f t="shared" si="2"/>
        <v>7</v>
      </c>
      <c r="J2162" s="117">
        <f t="shared" si="3"/>
        <v>7.0299999999999994</v>
      </c>
      <c r="K2162" s="117" t="str">
        <f t="shared" si="4"/>
        <v>T</v>
      </c>
      <c r="L2162" s="42" t="str">
        <v>T0703</v>
      </c>
      <c r="M2162" s="121" t="str">
        <v/>
      </c>
      <c r="N2162" s="121" t="str">
        <v/>
      </c>
      <c r="O2162" s="121" t="str">
        <v/>
      </c>
      <c r="P2162" s="121" t="str">
        <v/>
      </c>
      <c r="Q2162" s="121" t="str">
        <v/>
      </c>
      <c r="R2162" s="121" t="str">
        <v/>
      </c>
      <c r="S2162" s="121" t="str">
        <v/>
      </c>
      <c r="T2162" s="119" t="str">
        <f>IF($C2162&lt;4,IF($C2162=3,T2163,IF($C2162=2,T$1,"")),Q2162&amp;R2162&amp;IF(LEN(S2162)=0,"",Preferences!$C$2&amp;S2162)&amp;IF(J2163=J2162,IF(LEN(R2162&amp;S2162)=0,"","
")&amp;T2163,""))</f>
        <v/>
      </c>
      <c r="U2162" s="122" t="str">
        <v/>
      </c>
      <c r="V2162" s="42"/>
      <c r="W2162" s="42"/>
      <c r="X2162" s="42"/>
      <c r="Y2162" s="42"/>
      <c r="Z2162" s="42"/>
      <c r="AA2162" s="42"/>
      <c r="AB2162" s="42"/>
    </row>
    <row r="2163" spans="1:28" x14ac:dyDescent="0.25">
      <c r="A2163" s="42" t="str">
        <v/>
      </c>
      <c r="B2163" s="121" t="str">
        <v/>
      </c>
      <c r="C2163" s="41" t="str">
        <v/>
      </c>
      <c r="D2163" s="41" t="str">
        <v/>
      </c>
      <c r="E2163" s="117" t="str">
        <f t="shared" si="0"/>
        <v>RD</v>
      </c>
      <c r="F2163" s="41" t="str">
        <v/>
      </c>
      <c r="G2163" s="41" t="str">
        <v/>
      </c>
      <c r="H2163" s="117">
        <f t="shared" si="1"/>
        <v>0</v>
      </c>
      <c r="I2163" s="117">
        <f t="shared" si="2"/>
        <v>7</v>
      </c>
      <c r="J2163" s="117">
        <f t="shared" si="3"/>
        <v>7.0299999999999994</v>
      </c>
      <c r="K2163" s="117" t="str">
        <f t="shared" si="4"/>
        <v>T</v>
      </c>
      <c r="L2163" s="42" t="str">
        <v>T0703</v>
      </c>
      <c r="M2163" s="121" t="str">
        <v/>
      </c>
      <c r="N2163" s="121" t="str">
        <v/>
      </c>
      <c r="O2163" s="121" t="str">
        <v/>
      </c>
      <c r="P2163" s="121" t="str">
        <v/>
      </c>
      <c r="Q2163" s="121" t="str">
        <v/>
      </c>
      <c r="R2163" s="121" t="str">
        <v/>
      </c>
      <c r="S2163" s="121" t="str">
        <v/>
      </c>
      <c r="T2163" s="119" t="str">
        <f>IF($C2163&lt;4,IF($C2163=3,T2164,IF($C2163=2,T$1,"")),Q2163&amp;R2163&amp;IF(LEN(S2163)=0,"",Preferences!$C$2&amp;S2163)&amp;IF(J2164=J2163,IF(LEN(R2163&amp;S2163)=0,"","
")&amp;T2164,""))</f>
        <v/>
      </c>
      <c r="U2163" s="122" t="str">
        <v/>
      </c>
      <c r="V2163" s="42"/>
      <c r="W2163" s="42"/>
      <c r="X2163" s="42"/>
      <c r="Y2163" s="42"/>
      <c r="Z2163" s="42"/>
      <c r="AA2163" s="42"/>
      <c r="AB2163" s="42"/>
    </row>
    <row r="2164" spans="1:28" x14ac:dyDescent="0.25">
      <c r="A2164" s="42" t="str">
        <v/>
      </c>
      <c r="B2164" s="121" t="str">
        <v/>
      </c>
      <c r="C2164" s="41" t="str">
        <v/>
      </c>
      <c r="D2164" s="41" t="str">
        <v/>
      </c>
      <c r="E2164" s="117" t="str">
        <f t="shared" si="0"/>
        <v>RD</v>
      </c>
      <c r="F2164" s="41" t="str">
        <v/>
      </c>
      <c r="G2164" s="41" t="str">
        <v/>
      </c>
      <c r="H2164" s="117">
        <f t="shared" si="1"/>
        <v>0</v>
      </c>
      <c r="I2164" s="117">
        <f t="shared" si="2"/>
        <v>7</v>
      </c>
      <c r="J2164" s="117">
        <f t="shared" si="3"/>
        <v>7.0299999999999994</v>
      </c>
      <c r="K2164" s="117" t="str">
        <f t="shared" si="4"/>
        <v>T</v>
      </c>
      <c r="L2164" s="42" t="str">
        <v>T0703</v>
      </c>
      <c r="M2164" s="121" t="str">
        <v/>
      </c>
      <c r="N2164" s="121" t="str">
        <v/>
      </c>
      <c r="O2164" s="121" t="str">
        <v/>
      </c>
      <c r="P2164" s="121" t="str">
        <v/>
      </c>
      <c r="Q2164" s="121" t="str">
        <v/>
      </c>
      <c r="R2164" s="121" t="str">
        <v/>
      </c>
      <c r="S2164" s="121" t="str">
        <v/>
      </c>
      <c r="T2164" s="119" t="str">
        <f>IF($C2164&lt;4,IF($C2164=3,T2165,IF($C2164=2,T$1,"")),Q2164&amp;R2164&amp;IF(LEN(S2164)=0,"",Preferences!$C$2&amp;S2164)&amp;IF(J2165=J2164,IF(LEN(R2164&amp;S2164)=0,"","
")&amp;T2165,""))</f>
        <v/>
      </c>
      <c r="U2164" s="122" t="str">
        <v/>
      </c>
      <c r="V2164" s="42"/>
      <c r="W2164" s="42"/>
      <c r="X2164" s="42"/>
      <c r="Y2164" s="42"/>
      <c r="Z2164" s="42"/>
      <c r="AA2164" s="42"/>
      <c r="AB2164" s="42"/>
    </row>
    <row r="2165" spans="1:28" x14ac:dyDescent="0.25">
      <c r="A2165" s="42" t="str">
        <v/>
      </c>
      <c r="B2165" s="121" t="str">
        <v/>
      </c>
      <c r="C2165" s="41" t="str">
        <v/>
      </c>
      <c r="D2165" s="41" t="str">
        <v/>
      </c>
      <c r="E2165" s="117" t="str">
        <f t="shared" si="0"/>
        <v>RD</v>
      </c>
      <c r="F2165" s="41" t="str">
        <v/>
      </c>
      <c r="G2165" s="41" t="str">
        <v/>
      </c>
      <c r="H2165" s="117">
        <f t="shared" si="1"/>
        <v>0</v>
      </c>
      <c r="I2165" s="117">
        <f t="shared" si="2"/>
        <v>7</v>
      </c>
      <c r="J2165" s="117">
        <f t="shared" si="3"/>
        <v>7.0299999999999994</v>
      </c>
      <c r="K2165" s="117" t="str">
        <f t="shared" si="4"/>
        <v>T</v>
      </c>
      <c r="L2165" s="42" t="str">
        <v>T0703</v>
      </c>
      <c r="M2165" s="121" t="str">
        <v/>
      </c>
      <c r="N2165" s="121" t="str">
        <v/>
      </c>
      <c r="O2165" s="121" t="str">
        <v/>
      </c>
      <c r="P2165" s="121" t="str">
        <v/>
      </c>
      <c r="Q2165" s="121" t="str">
        <v/>
      </c>
      <c r="R2165" s="121" t="str">
        <v/>
      </c>
      <c r="S2165" s="121" t="str">
        <v/>
      </c>
      <c r="T2165" s="119" t="str">
        <f>IF($C2165&lt;4,IF($C2165=3,T2166,IF($C2165=2,T$1,"")),Q2165&amp;R2165&amp;IF(LEN(S2165)=0,"",Preferences!$C$2&amp;S2165)&amp;IF(J2166=J2165,IF(LEN(R2165&amp;S2165)=0,"","
")&amp;T2166,""))</f>
        <v/>
      </c>
      <c r="U2165" s="122" t="str">
        <v/>
      </c>
      <c r="V2165" s="42"/>
      <c r="W2165" s="42"/>
      <c r="X2165" s="42"/>
      <c r="Y2165" s="42"/>
      <c r="Z2165" s="42"/>
      <c r="AA2165" s="42"/>
      <c r="AB2165" s="42"/>
    </row>
    <row r="2166" spans="1:28" x14ac:dyDescent="0.25">
      <c r="A2166" s="42" t="str">
        <v/>
      </c>
      <c r="B2166" s="121" t="str">
        <v/>
      </c>
      <c r="C2166" s="41" t="str">
        <v/>
      </c>
      <c r="D2166" s="41" t="str">
        <v/>
      </c>
      <c r="E2166" s="117" t="str">
        <f t="shared" si="0"/>
        <v>RD</v>
      </c>
      <c r="F2166" s="41" t="str">
        <v/>
      </c>
      <c r="G2166" s="41" t="str">
        <v/>
      </c>
      <c r="H2166" s="117">
        <f t="shared" si="1"/>
        <v>0</v>
      </c>
      <c r="I2166" s="117">
        <f t="shared" si="2"/>
        <v>7</v>
      </c>
      <c r="J2166" s="117">
        <f t="shared" si="3"/>
        <v>7.0299999999999994</v>
      </c>
      <c r="K2166" s="117" t="str">
        <f t="shared" si="4"/>
        <v>T</v>
      </c>
      <c r="L2166" s="42" t="str">
        <v>T0703</v>
      </c>
      <c r="M2166" s="121" t="str">
        <v/>
      </c>
      <c r="N2166" s="121" t="str">
        <v/>
      </c>
      <c r="O2166" s="121" t="str">
        <v/>
      </c>
      <c r="P2166" s="121" t="str">
        <v/>
      </c>
      <c r="Q2166" s="121" t="str">
        <v/>
      </c>
      <c r="R2166" s="121" t="str">
        <v/>
      </c>
      <c r="S2166" s="121" t="str">
        <v/>
      </c>
      <c r="T2166" s="119" t="str">
        <f>IF($C2166&lt;4,IF($C2166=3,T2167,IF($C2166=2,T$1,"")),Q2166&amp;R2166&amp;IF(LEN(S2166)=0,"",Preferences!$C$2&amp;S2166)&amp;IF(J2167=J2166,IF(LEN(R2166&amp;S2166)=0,"","
")&amp;T2167,""))</f>
        <v/>
      </c>
      <c r="U2166" s="122" t="str">
        <v/>
      </c>
      <c r="V2166" s="42"/>
      <c r="W2166" s="42"/>
      <c r="X2166" s="42"/>
      <c r="Y2166" s="42"/>
      <c r="Z2166" s="42"/>
      <c r="AA2166" s="42"/>
      <c r="AB2166" s="42"/>
    </row>
    <row r="2167" spans="1:28" x14ac:dyDescent="0.25">
      <c r="A2167" s="42" t="str">
        <v/>
      </c>
      <c r="B2167" s="121" t="str">
        <v/>
      </c>
      <c r="C2167" s="41" t="str">
        <v/>
      </c>
      <c r="D2167" s="41" t="str">
        <v/>
      </c>
      <c r="E2167" s="117" t="str">
        <f t="shared" si="0"/>
        <v>RD</v>
      </c>
      <c r="F2167" s="41" t="str">
        <v/>
      </c>
      <c r="G2167" s="41" t="str">
        <v/>
      </c>
      <c r="H2167" s="117">
        <f t="shared" si="1"/>
        <v>0</v>
      </c>
      <c r="I2167" s="117">
        <f t="shared" si="2"/>
        <v>7</v>
      </c>
      <c r="J2167" s="117">
        <f t="shared" si="3"/>
        <v>7.0299999999999994</v>
      </c>
      <c r="K2167" s="117" t="str">
        <f t="shared" si="4"/>
        <v>T</v>
      </c>
      <c r="L2167" s="42" t="str">
        <v>T0703</v>
      </c>
      <c r="M2167" s="121" t="str">
        <v/>
      </c>
      <c r="N2167" s="121" t="str">
        <v/>
      </c>
      <c r="O2167" s="121" t="str">
        <v/>
      </c>
      <c r="P2167" s="121" t="str">
        <v/>
      </c>
      <c r="Q2167" s="121" t="str">
        <v/>
      </c>
      <c r="R2167" s="121" t="str">
        <v/>
      </c>
      <c r="S2167" s="121" t="str">
        <v/>
      </c>
      <c r="T2167" s="119" t="str">
        <f>IF($C2167&lt;4,IF($C2167=3,T2168,IF($C2167=2,T$1,"")),Q2167&amp;R2167&amp;IF(LEN(S2167)=0,"",Preferences!$C$2&amp;S2167)&amp;IF(J2168=J2167,IF(LEN(R2167&amp;S2167)=0,"","
")&amp;T2168,""))</f>
        <v/>
      </c>
      <c r="U2167" s="122" t="str">
        <v/>
      </c>
      <c r="V2167" s="42"/>
      <c r="W2167" s="42"/>
      <c r="X2167" s="42"/>
      <c r="Y2167" s="42"/>
      <c r="Z2167" s="42"/>
      <c r="AA2167" s="42"/>
      <c r="AB2167" s="42"/>
    </row>
    <row r="2168" spans="1:28" x14ac:dyDescent="0.25">
      <c r="A2168" s="42" t="str">
        <v/>
      </c>
      <c r="B2168" s="121" t="str">
        <v/>
      </c>
      <c r="C2168" s="41" t="str">
        <v/>
      </c>
      <c r="D2168" s="41" t="str">
        <v/>
      </c>
      <c r="E2168" s="117" t="str">
        <f t="shared" si="0"/>
        <v>RD</v>
      </c>
      <c r="F2168" s="41" t="str">
        <v/>
      </c>
      <c r="G2168" s="41" t="str">
        <v/>
      </c>
      <c r="H2168" s="117">
        <f t="shared" si="1"/>
        <v>0</v>
      </c>
      <c r="I2168" s="117">
        <f t="shared" si="2"/>
        <v>7</v>
      </c>
      <c r="J2168" s="117">
        <f t="shared" si="3"/>
        <v>7.0299999999999994</v>
      </c>
      <c r="K2168" s="117" t="str">
        <f t="shared" si="4"/>
        <v>T</v>
      </c>
      <c r="L2168" s="42" t="str">
        <v>T0703</v>
      </c>
      <c r="M2168" s="121" t="str">
        <v/>
      </c>
      <c r="N2168" s="121" t="str">
        <v/>
      </c>
      <c r="O2168" s="121" t="str">
        <v/>
      </c>
      <c r="P2168" s="121" t="str">
        <v/>
      </c>
      <c r="Q2168" s="121" t="str">
        <v/>
      </c>
      <c r="R2168" s="121" t="str">
        <v/>
      </c>
      <c r="S2168" s="121" t="str">
        <v/>
      </c>
      <c r="T2168" s="119" t="str">
        <f>IF($C2168&lt;4,IF($C2168=3,T2169,IF($C2168=2,T$1,"")),Q2168&amp;R2168&amp;IF(LEN(S2168)=0,"",Preferences!$C$2&amp;S2168)&amp;IF(J2169=J2168,IF(LEN(R2168&amp;S2168)=0,"","
")&amp;T2169,""))</f>
        <v/>
      </c>
      <c r="U2168" s="122" t="str">
        <v/>
      </c>
      <c r="V2168" s="42"/>
      <c r="W2168" s="42"/>
      <c r="X2168" s="42"/>
      <c r="Y2168" s="42"/>
      <c r="Z2168" s="42"/>
      <c r="AA2168" s="42"/>
      <c r="AB2168" s="42"/>
    </row>
    <row r="2169" spans="1:28" x14ac:dyDescent="0.25">
      <c r="A2169" s="42" t="str">
        <v/>
      </c>
      <c r="B2169" s="121" t="str">
        <v/>
      </c>
      <c r="C2169" s="41" t="str">
        <v/>
      </c>
      <c r="D2169" s="41" t="str">
        <v/>
      </c>
      <c r="E2169" s="117" t="str">
        <f t="shared" si="0"/>
        <v>RD</v>
      </c>
      <c r="F2169" s="41" t="str">
        <v/>
      </c>
      <c r="G2169" s="41" t="str">
        <v/>
      </c>
      <c r="H2169" s="117">
        <f t="shared" si="1"/>
        <v>0</v>
      </c>
      <c r="I2169" s="117">
        <f t="shared" si="2"/>
        <v>7</v>
      </c>
      <c r="J2169" s="117">
        <f t="shared" si="3"/>
        <v>7.0299999999999994</v>
      </c>
      <c r="K2169" s="117" t="str">
        <f t="shared" si="4"/>
        <v>T</v>
      </c>
      <c r="L2169" s="42" t="str">
        <v>T0703</v>
      </c>
      <c r="M2169" s="121" t="str">
        <v/>
      </c>
      <c r="N2169" s="121" t="str">
        <v/>
      </c>
      <c r="O2169" s="121" t="str">
        <v/>
      </c>
      <c r="P2169" s="121" t="str">
        <v/>
      </c>
      <c r="Q2169" s="121" t="str">
        <v/>
      </c>
      <c r="R2169" s="121" t="str">
        <v/>
      </c>
      <c r="S2169" s="121" t="str">
        <v/>
      </c>
      <c r="T2169" s="119" t="str">
        <f>IF($C2169&lt;4,IF($C2169=3,T2170,IF($C2169=2,T$1,"")),Q2169&amp;R2169&amp;IF(LEN(S2169)=0,"",Preferences!$C$2&amp;S2169)&amp;IF(J2170=J2169,IF(LEN(R2169&amp;S2169)=0,"","
")&amp;T2170,""))</f>
        <v/>
      </c>
      <c r="U2169" s="122" t="str">
        <v/>
      </c>
      <c r="V2169" s="42"/>
      <c r="W2169" s="42"/>
      <c r="X2169" s="42"/>
      <c r="Y2169" s="42"/>
      <c r="Z2169" s="42"/>
      <c r="AA2169" s="42"/>
      <c r="AB2169" s="42"/>
    </row>
    <row r="2170" spans="1:28" x14ac:dyDescent="0.25">
      <c r="A2170" s="42" t="str">
        <v/>
      </c>
      <c r="B2170" s="121" t="str">
        <v/>
      </c>
      <c r="C2170" s="41" t="str">
        <v/>
      </c>
      <c r="D2170" s="41" t="str">
        <v/>
      </c>
      <c r="E2170" s="117" t="str">
        <f t="shared" si="0"/>
        <v>RD</v>
      </c>
      <c r="F2170" s="41" t="str">
        <v/>
      </c>
      <c r="G2170" s="41" t="str">
        <v/>
      </c>
      <c r="H2170" s="117">
        <f t="shared" si="1"/>
        <v>0</v>
      </c>
      <c r="I2170" s="117">
        <f t="shared" si="2"/>
        <v>7</v>
      </c>
      <c r="J2170" s="117">
        <f t="shared" si="3"/>
        <v>7.0299999999999994</v>
      </c>
      <c r="K2170" s="117" t="str">
        <f t="shared" si="4"/>
        <v>T</v>
      </c>
      <c r="L2170" s="42" t="str">
        <v>T0703</v>
      </c>
      <c r="M2170" s="121" t="str">
        <v/>
      </c>
      <c r="N2170" s="121" t="str">
        <v/>
      </c>
      <c r="O2170" s="121" t="str">
        <v/>
      </c>
      <c r="P2170" s="121" t="str">
        <v/>
      </c>
      <c r="Q2170" s="121" t="str">
        <v/>
      </c>
      <c r="R2170" s="121" t="str">
        <v/>
      </c>
      <c r="S2170" s="121" t="str">
        <v/>
      </c>
      <c r="T2170" s="119" t="str">
        <f>IF($C2170&lt;4,IF($C2170=3,T2171,IF($C2170=2,T$1,"")),Q2170&amp;R2170&amp;IF(LEN(S2170)=0,"",Preferences!$C$2&amp;S2170)&amp;IF(J2171=J2170,IF(LEN(R2170&amp;S2170)=0,"","
")&amp;T2171,""))</f>
        <v/>
      </c>
      <c r="U2170" s="122" t="str">
        <v/>
      </c>
      <c r="V2170" s="42"/>
      <c r="W2170" s="42"/>
      <c r="X2170" s="42"/>
      <c r="Y2170" s="42"/>
      <c r="Z2170" s="42"/>
      <c r="AA2170" s="42"/>
      <c r="AB2170" s="42"/>
    </row>
    <row r="2171" spans="1:28" x14ac:dyDescent="0.25">
      <c r="A2171" s="42" t="str">
        <v/>
      </c>
      <c r="B2171" s="121" t="str">
        <v/>
      </c>
      <c r="C2171" s="41" t="str">
        <v/>
      </c>
      <c r="D2171" s="41" t="str">
        <v/>
      </c>
      <c r="E2171" s="117" t="str">
        <f t="shared" si="0"/>
        <v>RD</v>
      </c>
      <c r="F2171" s="41" t="str">
        <v/>
      </c>
      <c r="G2171" s="41" t="str">
        <v/>
      </c>
      <c r="H2171" s="117">
        <f t="shared" si="1"/>
        <v>0</v>
      </c>
      <c r="I2171" s="117">
        <f t="shared" si="2"/>
        <v>7</v>
      </c>
      <c r="J2171" s="117">
        <f t="shared" si="3"/>
        <v>7.0299999999999994</v>
      </c>
      <c r="K2171" s="117" t="str">
        <f t="shared" si="4"/>
        <v>T</v>
      </c>
      <c r="L2171" s="42" t="str">
        <v>T0703</v>
      </c>
      <c r="M2171" s="121" t="str">
        <v/>
      </c>
      <c r="N2171" s="121" t="str">
        <v/>
      </c>
      <c r="O2171" s="121" t="str">
        <v/>
      </c>
      <c r="P2171" s="121" t="str">
        <v/>
      </c>
      <c r="Q2171" s="121" t="str">
        <v/>
      </c>
      <c r="R2171" s="121" t="str">
        <v/>
      </c>
      <c r="S2171" s="121" t="str">
        <v/>
      </c>
      <c r="T2171" s="119" t="str">
        <f>IF($C2171&lt;4,IF($C2171=3,T2172,IF($C2171=2,T$1,"")),Q2171&amp;R2171&amp;IF(LEN(S2171)=0,"",Preferences!$C$2&amp;S2171)&amp;IF(J2172=J2171,IF(LEN(R2171&amp;S2171)=0,"","
")&amp;T2172,""))</f>
        <v/>
      </c>
      <c r="U2171" s="122" t="str">
        <v/>
      </c>
      <c r="V2171" s="42"/>
      <c r="W2171" s="42"/>
      <c r="X2171" s="42"/>
      <c r="Y2171" s="42"/>
      <c r="Z2171" s="42"/>
      <c r="AA2171" s="42"/>
      <c r="AB2171" s="42"/>
    </row>
    <row r="2172" spans="1:28" x14ac:dyDescent="0.25">
      <c r="A2172" s="42" t="str">
        <v/>
      </c>
      <c r="B2172" s="121" t="str">
        <v/>
      </c>
      <c r="C2172" s="41" t="str">
        <v/>
      </c>
      <c r="D2172" s="41" t="str">
        <v/>
      </c>
      <c r="E2172" s="117" t="str">
        <f t="shared" si="0"/>
        <v>RD</v>
      </c>
      <c r="F2172" s="41" t="str">
        <v/>
      </c>
      <c r="G2172" s="41" t="str">
        <v/>
      </c>
      <c r="H2172" s="117">
        <f t="shared" si="1"/>
        <v>0</v>
      </c>
      <c r="I2172" s="117">
        <f t="shared" si="2"/>
        <v>7</v>
      </c>
      <c r="J2172" s="117">
        <f t="shared" si="3"/>
        <v>7.0299999999999994</v>
      </c>
      <c r="K2172" s="117" t="str">
        <f t="shared" si="4"/>
        <v>T</v>
      </c>
      <c r="L2172" s="42" t="str">
        <v>T0703</v>
      </c>
      <c r="M2172" s="121" t="str">
        <v/>
      </c>
      <c r="N2172" s="121" t="str">
        <v/>
      </c>
      <c r="O2172" s="121" t="str">
        <v/>
      </c>
      <c r="P2172" s="121" t="str">
        <v/>
      </c>
      <c r="Q2172" s="121" t="str">
        <v/>
      </c>
      <c r="R2172" s="121" t="str">
        <v/>
      </c>
      <c r="S2172" s="121" t="str">
        <v/>
      </c>
      <c r="T2172" s="119" t="str">
        <f>IF($C2172&lt;4,IF($C2172=3,T2173,IF($C2172=2,T$1,"")),Q2172&amp;R2172&amp;IF(LEN(S2172)=0,"",Preferences!$C$2&amp;S2172)&amp;IF(J2173=J2172,IF(LEN(R2172&amp;S2172)=0,"","
")&amp;T2173,""))</f>
        <v/>
      </c>
      <c r="U2172" s="122" t="str">
        <v/>
      </c>
      <c r="V2172" s="42"/>
      <c r="W2172" s="42"/>
      <c r="X2172" s="42"/>
      <c r="Y2172" s="42"/>
      <c r="Z2172" s="42"/>
      <c r="AA2172" s="42"/>
      <c r="AB2172" s="42"/>
    </row>
    <row r="2173" spans="1:28" x14ac:dyDescent="0.25">
      <c r="A2173" s="42" t="str">
        <v/>
      </c>
      <c r="B2173" s="121" t="str">
        <v/>
      </c>
      <c r="C2173" s="41" t="str">
        <v/>
      </c>
      <c r="D2173" s="41" t="str">
        <v/>
      </c>
      <c r="E2173" s="117" t="str">
        <f t="shared" si="0"/>
        <v>RD</v>
      </c>
      <c r="F2173" s="41" t="str">
        <v/>
      </c>
      <c r="G2173" s="41" t="str">
        <v/>
      </c>
      <c r="H2173" s="117">
        <f t="shared" si="1"/>
        <v>0</v>
      </c>
      <c r="I2173" s="117">
        <f t="shared" si="2"/>
        <v>7</v>
      </c>
      <c r="J2173" s="117">
        <f t="shared" si="3"/>
        <v>7.0299999999999994</v>
      </c>
      <c r="K2173" s="117" t="str">
        <f t="shared" si="4"/>
        <v>T</v>
      </c>
      <c r="L2173" s="42" t="str">
        <v>T0703</v>
      </c>
      <c r="M2173" s="121" t="str">
        <v/>
      </c>
      <c r="N2173" s="121" t="str">
        <v/>
      </c>
      <c r="O2173" s="121" t="str">
        <v/>
      </c>
      <c r="P2173" s="121" t="str">
        <v/>
      </c>
      <c r="Q2173" s="121" t="str">
        <v/>
      </c>
      <c r="R2173" s="121" t="str">
        <v/>
      </c>
      <c r="S2173" s="121" t="str">
        <v/>
      </c>
      <c r="T2173" s="119" t="str">
        <f>IF($C2173&lt;4,IF($C2173=3,T2174,IF($C2173=2,T$1,"")),Q2173&amp;R2173&amp;IF(LEN(S2173)=0,"",Preferences!$C$2&amp;S2173)&amp;IF(J2174=J2173,IF(LEN(R2173&amp;S2173)=0,"","
")&amp;T2174,""))</f>
        <v/>
      </c>
      <c r="U2173" s="122" t="str">
        <v/>
      </c>
      <c r="V2173" s="42"/>
      <c r="W2173" s="42"/>
      <c r="X2173" s="42"/>
      <c r="Y2173" s="42"/>
      <c r="Z2173" s="42"/>
      <c r="AA2173" s="42"/>
      <c r="AB2173" s="42"/>
    </row>
    <row r="2174" spans="1:28" x14ac:dyDescent="0.25">
      <c r="A2174" s="42" t="str">
        <v/>
      </c>
      <c r="B2174" s="121" t="str">
        <v/>
      </c>
      <c r="C2174" s="41" t="str">
        <v/>
      </c>
      <c r="D2174" s="41" t="str">
        <v/>
      </c>
      <c r="E2174" s="117" t="str">
        <f t="shared" si="0"/>
        <v>RD</v>
      </c>
      <c r="F2174" s="41" t="str">
        <v/>
      </c>
      <c r="G2174" s="41" t="str">
        <v/>
      </c>
      <c r="H2174" s="117">
        <f t="shared" si="1"/>
        <v>0</v>
      </c>
      <c r="I2174" s="117">
        <f t="shared" si="2"/>
        <v>7</v>
      </c>
      <c r="J2174" s="117">
        <f t="shared" si="3"/>
        <v>7.0299999999999994</v>
      </c>
      <c r="K2174" s="117" t="str">
        <f t="shared" si="4"/>
        <v>T</v>
      </c>
      <c r="L2174" s="42" t="str">
        <v>T0703</v>
      </c>
      <c r="M2174" s="121" t="str">
        <v/>
      </c>
      <c r="N2174" s="121" t="str">
        <v/>
      </c>
      <c r="O2174" s="121" t="str">
        <v/>
      </c>
      <c r="P2174" s="121" t="str">
        <v/>
      </c>
      <c r="Q2174" s="121" t="str">
        <v/>
      </c>
      <c r="R2174" s="121" t="str">
        <v/>
      </c>
      <c r="S2174" s="121" t="str">
        <v/>
      </c>
      <c r="T2174" s="119" t="str">
        <f>IF($C2174&lt;4,IF($C2174=3,T2175,IF($C2174=2,T$1,"")),Q2174&amp;R2174&amp;IF(LEN(S2174)=0,"",Preferences!$C$2&amp;S2174)&amp;IF(J2175=J2174,IF(LEN(R2174&amp;S2174)=0,"","
")&amp;T2175,""))</f>
        <v/>
      </c>
      <c r="U2174" s="122" t="str">
        <v/>
      </c>
      <c r="V2174" s="42"/>
      <c r="W2174" s="42"/>
      <c r="X2174" s="42"/>
      <c r="Y2174" s="42"/>
      <c r="Z2174" s="42"/>
      <c r="AA2174" s="42"/>
      <c r="AB2174" s="42"/>
    </row>
    <row r="2175" spans="1:28" x14ac:dyDescent="0.25">
      <c r="A2175" s="42" t="str">
        <v/>
      </c>
      <c r="B2175" s="121" t="str">
        <v/>
      </c>
      <c r="C2175" s="41" t="str">
        <v/>
      </c>
      <c r="D2175" s="41" t="str">
        <v/>
      </c>
      <c r="E2175" s="117" t="str">
        <f t="shared" si="0"/>
        <v>RD</v>
      </c>
      <c r="F2175" s="41" t="str">
        <v/>
      </c>
      <c r="G2175" s="41" t="str">
        <v/>
      </c>
      <c r="H2175" s="117">
        <f t="shared" si="1"/>
        <v>0</v>
      </c>
      <c r="I2175" s="117">
        <f t="shared" si="2"/>
        <v>7</v>
      </c>
      <c r="J2175" s="117">
        <f t="shared" si="3"/>
        <v>7.0299999999999994</v>
      </c>
      <c r="K2175" s="117" t="str">
        <f t="shared" si="4"/>
        <v>T</v>
      </c>
      <c r="L2175" s="42" t="str">
        <v>T0703</v>
      </c>
      <c r="M2175" s="121" t="str">
        <v/>
      </c>
      <c r="N2175" s="121" t="str">
        <v/>
      </c>
      <c r="O2175" s="121" t="str">
        <v/>
      </c>
      <c r="P2175" s="121" t="str">
        <v/>
      </c>
      <c r="Q2175" s="121" t="str">
        <v/>
      </c>
      <c r="R2175" s="121" t="str">
        <v/>
      </c>
      <c r="S2175" s="121" t="str">
        <v/>
      </c>
      <c r="T2175" s="119" t="str">
        <f>IF($C2175&lt;4,IF($C2175=3,T2176,IF($C2175=2,T$1,"")),Q2175&amp;R2175&amp;IF(LEN(S2175)=0,"",Preferences!$C$2&amp;S2175)&amp;IF(J2176=J2175,IF(LEN(R2175&amp;S2175)=0,"","
")&amp;T2176,""))</f>
        <v/>
      </c>
      <c r="U2175" s="122" t="str">
        <v/>
      </c>
      <c r="V2175" s="42"/>
      <c r="W2175" s="42"/>
      <c r="X2175" s="42"/>
      <c r="Y2175" s="42"/>
      <c r="Z2175" s="42"/>
      <c r="AA2175" s="42"/>
      <c r="AB2175" s="42"/>
    </row>
    <row r="2176" spans="1:28" x14ac:dyDescent="0.25">
      <c r="A2176" s="42" t="str">
        <v/>
      </c>
      <c r="B2176" s="121" t="str">
        <v/>
      </c>
      <c r="C2176" s="41" t="str">
        <v/>
      </c>
      <c r="D2176" s="41" t="str">
        <v/>
      </c>
      <c r="E2176" s="117" t="str">
        <f t="shared" si="0"/>
        <v>RD</v>
      </c>
      <c r="F2176" s="41" t="str">
        <v/>
      </c>
      <c r="G2176" s="41" t="str">
        <v/>
      </c>
      <c r="H2176" s="117">
        <f t="shared" si="1"/>
        <v>0</v>
      </c>
      <c r="I2176" s="117">
        <f t="shared" si="2"/>
        <v>7</v>
      </c>
      <c r="J2176" s="117">
        <f t="shared" si="3"/>
        <v>7.0299999999999994</v>
      </c>
      <c r="K2176" s="117" t="str">
        <f t="shared" si="4"/>
        <v>T</v>
      </c>
      <c r="L2176" s="42" t="str">
        <v>T0703</v>
      </c>
      <c r="M2176" s="121" t="str">
        <v/>
      </c>
      <c r="N2176" s="121" t="str">
        <v/>
      </c>
      <c r="O2176" s="121" t="str">
        <v/>
      </c>
      <c r="P2176" s="121" t="str">
        <v/>
      </c>
      <c r="Q2176" s="121" t="str">
        <v/>
      </c>
      <c r="R2176" s="121" t="str">
        <v/>
      </c>
      <c r="S2176" s="121" t="str">
        <v/>
      </c>
      <c r="T2176" s="119" t="str">
        <f>IF($C2176&lt;4,IF($C2176=3,T2177,IF($C2176=2,T$1,"")),Q2176&amp;R2176&amp;IF(LEN(S2176)=0,"",Preferences!$C$2&amp;S2176)&amp;IF(J2177=J2176,IF(LEN(R2176&amp;S2176)=0,"","
")&amp;T2177,""))</f>
        <v/>
      </c>
      <c r="U2176" s="122" t="str">
        <v/>
      </c>
      <c r="V2176" s="42"/>
      <c r="W2176" s="42"/>
      <c r="X2176" s="42"/>
      <c r="Y2176" s="42"/>
      <c r="Z2176" s="42"/>
      <c r="AA2176" s="42"/>
      <c r="AB2176" s="42"/>
    </row>
    <row r="2177" spans="1:28" x14ac:dyDescent="0.25">
      <c r="A2177" s="42" t="str">
        <v/>
      </c>
      <c r="B2177" s="121" t="str">
        <v/>
      </c>
      <c r="C2177" s="41" t="str">
        <v/>
      </c>
      <c r="D2177" s="41" t="str">
        <v/>
      </c>
      <c r="E2177" s="117" t="str">
        <f t="shared" si="0"/>
        <v>RD</v>
      </c>
      <c r="F2177" s="41" t="str">
        <v/>
      </c>
      <c r="G2177" s="41" t="str">
        <v/>
      </c>
      <c r="H2177" s="117">
        <f t="shared" si="1"/>
        <v>0</v>
      </c>
      <c r="I2177" s="117">
        <f t="shared" si="2"/>
        <v>7</v>
      </c>
      <c r="J2177" s="117">
        <f t="shared" si="3"/>
        <v>7.0299999999999994</v>
      </c>
      <c r="K2177" s="117" t="str">
        <f t="shared" si="4"/>
        <v>T</v>
      </c>
      <c r="L2177" s="42" t="str">
        <v>T0703</v>
      </c>
      <c r="M2177" s="121" t="str">
        <v/>
      </c>
      <c r="N2177" s="121" t="str">
        <v/>
      </c>
      <c r="O2177" s="121" t="str">
        <v/>
      </c>
      <c r="P2177" s="121" t="str">
        <v/>
      </c>
      <c r="Q2177" s="121" t="str">
        <v/>
      </c>
      <c r="R2177" s="121" t="str">
        <v/>
      </c>
      <c r="S2177" s="121" t="str">
        <v/>
      </c>
      <c r="T2177" s="119" t="str">
        <f>IF($C2177&lt;4,IF($C2177=3,T2178,IF($C2177=2,T$1,"")),Q2177&amp;R2177&amp;IF(LEN(S2177)=0,"",Preferences!$C$2&amp;S2177)&amp;IF(J2178=J2177,IF(LEN(R2177&amp;S2177)=0,"","
")&amp;T2178,""))</f>
        <v/>
      </c>
      <c r="U2177" s="122" t="str">
        <v/>
      </c>
      <c r="V2177" s="42"/>
      <c r="W2177" s="42"/>
      <c r="X2177" s="42"/>
      <c r="Y2177" s="42"/>
      <c r="Z2177" s="42"/>
      <c r="AA2177" s="42"/>
      <c r="AB2177" s="42"/>
    </row>
    <row r="2178" spans="1:28" x14ac:dyDescent="0.25">
      <c r="A2178" s="42" t="str">
        <v/>
      </c>
      <c r="B2178" s="121" t="str">
        <v/>
      </c>
      <c r="C2178" s="41" t="str">
        <v/>
      </c>
      <c r="D2178" s="41" t="str">
        <v/>
      </c>
      <c r="E2178" s="117" t="str">
        <f t="shared" si="0"/>
        <v>RD</v>
      </c>
      <c r="F2178" s="41" t="str">
        <v/>
      </c>
      <c r="G2178" s="41" t="str">
        <v/>
      </c>
      <c r="H2178" s="117">
        <f t="shared" si="1"/>
        <v>0</v>
      </c>
      <c r="I2178" s="117">
        <f t="shared" si="2"/>
        <v>7</v>
      </c>
      <c r="J2178" s="117">
        <f t="shared" si="3"/>
        <v>7.0299999999999994</v>
      </c>
      <c r="K2178" s="117" t="str">
        <f t="shared" si="4"/>
        <v>T</v>
      </c>
      <c r="L2178" s="42" t="str">
        <v>T0703</v>
      </c>
      <c r="M2178" s="121" t="str">
        <v/>
      </c>
      <c r="N2178" s="121" t="str">
        <v/>
      </c>
      <c r="O2178" s="121" t="str">
        <v/>
      </c>
      <c r="P2178" s="121" t="str">
        <v/>
      </c>
      <c r="Q2178" s="121" t="str">
        <v/>
      </c>
      <c r="R2178" s="121" t="str">
        <v/>
      </c>
      <c r="S2178" s="121" t="str">
        <v/>
      </c>
      <c r="T2178" s="119" t="str">
        <f>IF($C2178&lt;4,IF($C2178=3,T2179,IF($C2178=2,T$1,"")),Q2178&amp;R2178&amp;IF(LEN(S2178)=0,"",Preferences!$C$2&amp;S2178)&amp;IF(J2179=J2178,IF(LEN(R2178&amp;S2178)=0,"","
")&amp;T2179,""))</f>
        <v/>
      </c>
      <c r="U2178" s="122" t="str">
        <v/>
      </c>
      <c r="V2178" s="42"/>
      <c r="W2178" s="42"/>
      <c r="X2178" s="42"/>
      <c r="Y2178" s="42"/>
      <c r="Z2178" s="42"/>
      <c r="AA2178" s="42"/>
      <c r="AB2178" s="42"/>
    </row>
    <row r="2179" spans="1:28" x14ac:dyDescent="0.25">
      <c r="A2179" s="42" t="str">
        <v/>
      </c>
      <c r="B2179" s="121" t="str">
        <v/>
      </c>
      <c r="C2179" s="41" t="str">
        <v/>
      </c>
      <c r="D2179" s="41" t="str">
        <v/>
      </c>
      <c r="E2179" s="117" t="str">
        <f t="shared" si="0"/>
        <v>RD</v>
      </c>
      <c r="F2179" s="41" t="str">
        <v/>
      </c>
      <c r="G2179" s="41" t="str">
        <v/>
      </c>
      <c r="H2179" s="117">
        <f t="shared" si="1"/>
        <v>0</v>
      </c>
      <c r="I2179" s="117">
        <f t="shared" si="2"/>
        <v>7</v>
      </c>
      <c r="J2179" s="117">
        <f t="shared" si="3"/>
        <v>7.0299999999999994</v>
      </c>
      <c r="K2179" s="117" t="str">
        <f t="shared" si="4"/>
        <v>T</v>
      </c>
      <c r="L2179" s="42" t="str">
        <v>T0703</v>
      </c>
      <c r="M2179" s="121" t="str">
        <v/>
      </c>
      <c r="N2179" s="121" t="str">
        <v/>
      </c>
      <c r="O2179" s="121" t="str">
        <v/>
      </c>
      <c r="P2179" s="121" t="str">
        <v/>
      </c>
      <c r="Q2179" s="121" t="str">
        <v/>
      </c>
      <c r="R2179" s="121" t="str">
        <v/>
      </c>
      <c r="S2179" s="121" t="str">
        <v/>
      </c>
      <c r="T2179" s="119" t="str">
        <f>IF($C2179&lt;4,IF($C2179=3,T2180,IF($C2179=2,T$1,"")),Q2179&amp;R2179&amp;IF(LEN(S2179)=0,"",Preferences!$C$2&amp;S2179)&amp;IF(J2180=J2179,IF(LEN(R2179&amp;S2179)=0,"","
")&amp;T2180,""))</f>
        <v/>
      </c>
      <c r="U2179" s="122" t="str">
        <v/>
      </c>
      <c r="V2179" s="42"/>
      <c r="W2179" s="42"/>
      <c r="X2179" s="42"/>
      <c r="Y2179" s="42"/>
      <c r="Z2179" s="42"/>
      <c r="AA2179" s="42"/>
      <c r="AB2179" s="42"/>
    </row>
    <row r="2180" spans="1:28" x14ac:dyDescent="0.25">
      <c r="A2180" s="42" t="str">
        <v/>
      </c>
      <c r="B2180" s="121" t="str">
        <v/>
      </c>
      <c r="C2180" s="41" t="str">
        <v/>
      </c>
      <c r="D2180" s="41" t="str">
        <v/>
      </c>
      <c r="E2180" s="117" t="str">
        <f t="shared" si="0"/>
        <v>RD</v>
      </c>
      <c r="F2180" s="41" t="str">
        <v/>
      </c>
      <c r="G2180" s="41" t="str">
        <v/>
      </c>
      <c r="H2180" s="117">
        <f t="shared" si="1"/>
        <v>0</v>
      </c>
      <c r="I2180" s="117">
        <f t="shared" si="2"/>
        <v>7</v>
      </c>
      <c r="J2180" s="117">
        <f t="shared" si="3"/>
        <v>7.0299999999999994</v>
      </c>
      <c r="K2180" s="117" t="str">
        <f t="shared" si="4"/>
        <v>T</v>
      </c>
      <c r="L2180" s="42" t="str">
        <v>T0703</v>
      </c>
      <c r="M2180" s="121" t="str">
        <v/>
      </c>
      <c r="N2180" s="121" t="str">
        <v/>
      </c>
      <c r="O2180" s="121" t="str">
        <v/>
      </c>
      <c r="P2180" s="121" t="str">
        <v/>
      </c>
      <c r="Q2180" s="121" t="str">
        <v/>
      </c>
      <c r="R2180" s="121" t="str">
        <v/>
      </c>
      <c r="S2180" s="121" t="str">
        <v/>
      </c>
      <c r="T2180" s="119" t="str">
        <f>IF($C2180&lt;4,IF($C2180=3,T2181,IF($C2180=2,T$1,"")),Q2180&amp;R2180&amp;IF(LEN(S2180)=0,"",Preferences!$C$2&amp;S2180)&amp;IF(J2181=J2180,IF(LEN(R2180&amp;S2180)=0,"","
")&amp;T2181,""))</f>
        <v/>
      </c>
      <c r="U2180" s="122" t="str">
        <v/>
      </c>
      <c r="V2180" s="42"/>
      <c r="W2180" s="42"/>
      <c r="X2180" s="42"/>
      <c r="Y2180" s="42"/>
      <c r="Z2180" s="42"/>
      <c r="AA2180" s="42"/>
      <c r="AB2180" s="42"/>
    </row>
    <row r="2181" spans="1:28" x14ac:dyDescent="0.25">
      <c r="A2181" s="42" t="str">
        <v/>
      </c>
      <c r="B2181" s="121" t="str">
        <v/>
      </c>
      <c r="C2181" s="41" t="str">
        <v/>
      </c>
      <c r="D2181" s="41" t="str">
        <v/>
      </c>
      <c r="E2181" s="117" t="str">
        <f t="shared" si="0"/>
        <v>RD</v>
      </c>
      <c r="F2181" s="41" t="str">
        <v/>
      </c>
      <c r="G2181" s="41" t="str">
        <v/>
      </c>
      <c r="H2181" s="117">
        <f t="shared" si="1"/>
        <v>0</v>
      </c>
      <c r="I2181" s="117">
        <f t="shared" si="2"/>
        <v>7</v>
      </c>
      <c r="J2181" s="117">
        <f t="shared" si="3"/>
        <v>7.0299999999999994</v>
      </c>
      <c r="K2181" s="117" t="str">
        <f t="shared" si="4"/>
        <v>T</v>
      </c>
      <c r="L2181" s="42" t="str">
        <v>T0703</v>
      </c>
      <c r="M2181" s="121" t="str">
        <v/>
      </c>
      <c r="N2181" s="121" t="str">
        <v/>
      </c>
      <c r="O2181" s="121" t="str">
        <v/>
      </c>
      <c r="P2181" s="121" t="str">
        <v/>
      </c>
      <c r="Q2181" s="121" t="str">
        <v/>
      </c>
      <c r="R2181" s="121" t="str">
        <v/>
      </c>
      <c r="S2181" s="121" t="str">
        <v/>
      </c>
      <c r="T2181" s="119" t="str">
        <f>IF($C2181&lt;4,IF($C2181=3,T2182,IF($C2181=2,T$1,"")),Q2181&amp;R2181&amp;IF(LEN(S2181)=0,"",Preferences!$C$2&amp;S2181)&amp;IF(J2182=J2181,IF(LEN(R2181&amp;S2181)=0,"","
")&amp;T2182,""))</f>
        <v/>
      </c>
      <c r="U2181" s="122" t="str">
        <v/>
      </c>
      <c r="V2181" s="42"/>
      <c r="W2181" s="42"/>
      <c r="X2181" s="42"/>
      <c r="Y2181" s="42"/>
      <c r="Z2181" s="42"/>
      <c r="AA2181" s="42"/>
      <c r="AB2181" s="42"/>
    </row>
    <row r="2182" spans="1:28" x14ac:dyDescent="0.25">
      <c r="A2182" s="42" t="str">
        <v/>
      </c>
      <c r="B2182" s="121" t="str">
        <v/>
      </c>
      <c r="C2182" s="41" t="str">
        <v/>
      </c>
      <c r="D2182" s="41" t="str">
        <v/>
      </c>
      <c r="E2182" s="117" t="str">
        <f t="shared" si="0"/>
        <v>RD</v>
      </c>
      <c r="F2182" s="41" t="str">
        <v/>
      </c>
      <c r="G2182" s="41" t="str">
        <v/>
      </c>
      <c r="H2182" s="117">
        <f t="shared" si="1"/>
        <v>0</v>
      </c>
      <c r="I2182" s="117">
        <f t="shared" si="2"/>
        <v>7</v>
      </c>
      <c r="J2182" s="117">
        <f t="shared" si="3"/>
        <v>7.0299999999999994</v>
      </c>
      <c r="K2182" s="117" t="str">
        <f t="shared" si="4"/>
        <v>T</v>
      </c>
      <c r="L2182" s="42" t="str">
        <v>T0703</v>
      </c>
      <c r="M2182" s="121" t="str">
        <v/>
      </c>
      <c r="N2182" s="121" t="str">
        <v/>
      </c>
      <c r="O2182" s="121" t="str">
        <v/>
      </c>
      <c r="P2182" s="121" t="str">
        <v/>
      </c>
      <c r="Q2182" s="121" t="str">
        <v/>
      </c>
      <c r="R2182" s="121" t="str">
        <v/>
      </c>
      <c r="S2182" s="121" t="str">
        <v/>
      </c>
      <c r="T2182" s="119" t="str">
        <f>IF($C2182&lt;4,IF($C2182=3,T2183,IF($C2182=2,T$1,"")),Q2182&amp;R2182&amp;IF(LEN(S2182)=0,"",Preferences!$C$2&amp;S2182)&amp;IF(J2183=J2182,IF(LEN(R2182&amp;S2182)=0,"","
")&amp;T2183,""))</f>
        <v/>
      </c>
      <c r="U2182" s="122" t="str">
        <v/>
      </c>
      <c r="V2182" s="42"/>
      <c r="W2182" s="42"/>
      <c r="X2182" s="42"/>
      <c r="Y2182" s="42"/>
      <c r="Z2182" s="42"/>
      <c r="AA2182" s="42"/>
      <c r="AB2182" s="42"/>
    </row>
    <row r="2183" spans="1:28" x14ac:dyDescent="0.25">
      <c r="A2183" s="42" t="str">
        <v/>
      </c>
      <c r="B2183" s="121" t="str">
        <v/>
      </c>
      <c r="C2183" s="41" t="str">
        <v/>
      </c>
      <c r="D2183" s="41" t="str">
        <v/>
      </c>
      <c r="E2183" s="117" t="str">
        <f t="shared" si="0"/>
        <v>RD</v>
      </c>
      <c r="F2183" s="41" t="str">
        <v/>
      </c>
      <c r="G2183" s="41" t="str">
        <v/>
      </c>
      <c r="H2183" s="117">
        <f t="shared" si="1"/>
        <v>0</v>
      </c>
      <c r="I2183" s="117">
        <f t="shared" si="2"/>
        <v>7</v>
      </c>
      <c r="J2183" s="117">
        <f t="shared" si="3"/>
        <v>7.0299999999999994</v>
      </c>
      <c r="K2183" s="117" t="str">
        <f t="shared" si="4"/>
        <v>T</v>
      </c>
      <c r="L2183" s="42" t="str">
        <v>T0703</v>
      </c>
      <c r="M2183" s="121" t="str">
        <v/>
      </c>
      <c r="N2183" s="121" t="str">
        <v/>
      </c>
      <c r="O2183" s="121" t="str">
        <v/>
      </c>
      <c r="P2183" s="121" t="str">
        <v/>
      </c>
      <c r="Q2183" s="121" t="str">
        <v/>
      </c>
      <c r="R2183" s="121" t="str">
        <v/>
      </c>
      <c r="S2183" s="121" t="str">
        <v/>
      </c>
      <c r="T2183" s="119" t="str">
        <f>IF($C2183&lt;4,IF($C2183=3,T2184,IF($C2183=2,T$1,"")),Q2183&amp;R2183&amp;IF(LEN(S2183)=0,"",Preferences!$C$2&amp;S2183)&amp;IF(J2184=J2183,IF(LEN(R2183&amp;S2183)=0,"","
")&amp;T2184,""))</f>
        <v/>
      </c>
      <c r="U2183" s="122" t="str">
        <v/>
      </c>
      <c r="V2183" s="42"/>
      <c r="W2183" s="42"/>
      <c r="X2183" s="42"/>
      <c r="Y2183" s="42"/>
      <c r="Z2183" s="42"/>
      <c r="AA2183" s="42"/>
      <c r="AB2183" s="42"/>
    </row>
    <row r="2184" spans="1:28" x14ac:dyDescent="0.25">
      <c r="A2184" s="42" t="str">
        <v/>
      </c>
      <c r="B2184" s="121" t="str">
        <v/>
      </c>
      <c r="C2184" s="41" t="str">
        <v/>
      </c>
      <c r="D2184" s="41" t="str">
        <v/>
      </c>
      <c r="E2184" s="117" t="str">
        <f t="shared" si="0"/>
        <v>RD</v>
      </c>
      <c r="F2184" s="41" t="str">
        <v/>
      </c>
      <c r="G2184" s="41" t="str">
        <v/>
      </c>
      <c r="H2184" s="117">
        <f t="shared" si="1"/>
        <v>0</v>
      </c>
      <c r="I2184" s="117">
        <f t="shared" si="2"/>
        <v>7</v>
      </c>
      <c r="J2184" s="117">
        <f t="shared" si="3"/>
        <v>7.0299999999999994</v>
      </c>
      <c r="K2184" s="117" t="str">
        <f t="shared" si="4"/>
        <v>T</v>
      </c>
      <c r="L2184" s="42" t="str">
        <v>T0703</v>
      </c>
      <c r="M2184" s="121" t="str">
        <v/>
      </c>
      <c r="N2184" s="121" t="str">
        <v/>
      </c>
      <c r="O2184" s="121" t="str">
        <v/>
      </c>
      <c r="P2184" s="121" t="str">
        <v/>
      </c>
      <c r="Q2184" s="121" t="str">
        <v/>
      </c>
      <c r="R2184" s="121" t="str">
        <v/>
      </c>
      <c r="S2184" s="121" t="str">
        <v/>
      </c>
      <c r="T2184" s="119" t="str">
        <f>IF($C2184&lt;4,IF($C2184=3,T2185,IF($C2184=2,T$1,"")),Q2184&amp;R2184&amp;IF(LEN(S2184)=0,"",Preferences!$C$2&amp;S2184)&amp;IF(J2185=J2184,IF(LEN(R2184&amp;S2184)=0,"","
")&amp;T2185,""))</f>
        <v/>
      </c>
      <c r="U2184" s="122" t="str">
        <v/>
      </c>
      <c r="V2184" s="42"/>
      <c r="W2184" s="42"/>
      <c r="X2184" s="42"/>
      <c r="Y2184" s="42"/>
      <c r="Z2184" s="42"/>
      <c r="AA2184" s="42"/>
      <c r="AB2184" s="42"/>
    </row>
    <row r="2185" spans="1:28" x14ac:dyDescent="0.25">
      <c r="A2185" s="42" t="str">
        <v/>
      </c>
      <c r="B2185" s="121" t="str">
        <v/>
      </c>
      <c r="C2185" s="41" t="str">
        <v/>
      </c>
      <c r="D2185" s="41" t="str">
        <v/>
      </c>
      <c r="E2185" s="117" t="str">
        <f t="shared" si="0"/>
        <v>RD</v>
      </c>
      <c r="F2185" s="41" t="str">
        <v/>
      </c>
      <c r="G2185" s="41" t="str">
        <v/>
      </c>
      <c r="H2185" s="117">
        <f t="shared" si="1"/>
        <v>0</v>
      </c>
      <c r="I2185" s="117">
        <f t="shared" si="2"/>
        <v>7</v>
      </c>
      <c r="J2185" s="117">
        <f t="shared" si="3"/>
        <v>7.0299999999999994</v>
      </c>
      <c r="K2185" s="117" t="str">
        <f t="shared" si="4"/>
        <v>T</v>
      </c>
      <c r="L2185" s="42" t="str">
        <v>T0703</v>
      </c>
      <c r="M2185" s="121" t="str">
        <v/>
      </c>
      <c r="N2185" s="121" t="str">
        <v/>
      </c>
      <c r="O2185" s="121" t="str">
        <v/>
      </c>
      <c r="P2185" s="121" t="str">
        <v/>
      </c>
      <c r="Q2185" s="121" t="str">
        <v/>
      </c>
      <c r="R2185" s="121" t="str">
        <v/>
      </c>
      <c r="S2185" s="121" t="str">
        <v/>
      </c>
      <c r="T2185" s="119" t="str">
        <f>IF($C2185&lt;4,IF($C2185=3,T2186,IF($C2185=2,T$1,"")),Q2185&amp;R2185&amp;IF(LEN(S2185)=0,"",Preferences!$C$2&amp;S2185)&amp;IF(J2186=J2185,IF(LEN(R2185&amp;S2185)=0,"","
")&amp;T2186,""))</f>
        <v/>
      </c>
      <c r="U2185" s="122" t="str">
        <v/>
      </c>
      <c r="V2185" s="42"/>
      <c r="W2185" s="42"/>
      <c r="X2185" s="42"/>
      <c r="Y2185" s="42"/>
      <c r="Z2185" s="42"/>
      <c r="AA2185" s="42"/>
      <c r="AB2185" s="42"/>
    </row>
    <row r="2186" spans="1:28" x14ac:dyDescent="0.25">
      <c r="A2186" s="42" t="str">
        <v/>
      </c>
      <c r="B2186" s="121" t="str">
        <v/>
      </c>
      <c r="C2186" s="41" t="str">
        <v/>
      </c>
      <c r="D2186" s="41" t="str">
        <v/>
      </c>
      <c r="E2186" s="117" t="str">
        <f t="shared" si="0"/>
        <v>RD</v>
      </c>
      <c r="F2186" s="41" t="str">
        <v/>
      </c>
      <c r="G2186" s="41" t="str">
        <v/>
      </c>
      <c r="H2186" s="117">
        <f t="shared" si="1"/>
        <v>0</v>
      </c>
      <c r="I2186" s="117">
        <f t="shared" si="2"/>
        <v>7</v>
      </c>
      <c r="J2186" s="117">
        <f t="shared" si="3"/>
        <v>7.0299999999999994</v>
      </c>
      <c r="K2186" s="117" t="str">
        <f t="shared" si="4"/>
        <v>T</v>
      </c>
      <c r="L2186" s="42" t="str">
        <v>T0703</v>
      </c>
      <c r="M2186" s="121" t="str">
        <v/>
      </c>
      <c r="N2186" s="121" t="str">
        <v/>
      </c>
      <c r="O2186" s="121" t="str">
        <v/>
      </c>
      <c r="P2186" s="121" t="str">
        <v/>
      </c>
      <c r="Q2186" s="121" t="str">
        <v/>
      </c>
      <c r="R2186" s="121" t="str">
        <v/>
      </c>
      <c r="S2186" s="121" t="str">
        <v/>
      </c>
      <c r="T2186" s="119" t="str">
        <f>IF($C2186&lt;4,IF($C2186=3,T2187,IF($C2186=2,T$1,"")),Q2186&amp;R2186&amp;IF(LEN(S2186)=0,"",Preferences!$C$2&amp;S2186)&amp;IF(J2187=J2186,IF(LEN(R2186&amp;S2186)=0,"","
")&amp;T2187,""))</f>
        <v/>
      </c>
      <c r="U2186" s="122" t="str">
        <v/>
      </c>
      <c r="V2186" s="42"/>
      <c r="W2186" s="42"/>
      <c r="X2186" s="42"/>
      <c r="Y2186" s="42"/>
      <c r="Z2186" s="42"/>
      <c r="AA2186" s="42"/>
      <c r="AB2186" s="42"/>
    </row>
    <row r="2187" spans="1:28" x14ac:dyDescent="0.25">
      <c r="A2187" s="42" t="str">
        <v/>
      </c>
      <c r="B2187" s="121" t="str">
        <v/>
      </c>
      <c r="C2187" s="41" t="str">
        <v/>
      </c>
      <c r="D2187" s="41" t="str">
        <v/>
      </c>
      <c r="E2187" s="117" t="str">
        <f t="shared" si="0"/>
        <v>RD</v>
      </c>
      <c r="F2187" s="41" t="str">
        <v/>
      </c>
      <c r="G2187" s="41" t="str">
        <v/>
      </c>
      <c r="H2187" s="117">
        <f t="shared" si="1"/>
        <v>0</v>
      </c>
      <c r="I2187" s="117">
        <f t="shared" si="2"/>
        <v>7</v>
      </c>
      <c r="J2187" s="117">
        <f t="shared" si="3"/>
        <v>7.0299999999999994</v>
      </c>
      <c r="K2187" s="117" t="str">
        <f t="shared" si="4"/>
        <v>T</v>
      </c>
      <c r="L2187" s="42" t="str">
        <v>T0703</v>
      </c>
      <c r="M2187" s="121" t="str">
        <v/>
      </c>
      <c r="N2187" s="121" t="str">
        <v/>
      </c>
      <c r="O2187" s="121" t="str">
        <v/>
      </c>
      <c r="P2187" s="121" t="str">
        <v/>
      </c>
      <c r="Q2187" s="121" t="str">
        <v/>
      </c>
      <c r="R2187" s="121" t="str">
        <v/>
      </c>
      <c r="S2187" s="121" t="str">
        <v/>
      </c>
      <c r="T2187" s="119" t="str">
        <f>IF($C2187&lt;4,IF($C2187=3,T2188,IF($C2187=2,T$1,"")),Q2187&amp;R2187&amp;IF(LEN(S2187)=0,"",Preferences!$C$2&amp;S2187)&amp;IF(J2188=J2187,IF(LEN(R2187&amp;S2187)=0,"","
")&amp;T2188,""))</f>
        <v/>
      </c>
      <c r="U2187" s="122" t="str">
        <v/>
      </c>
      <c r="V2187" s="42"/>
      <c r="W2187" s="42"/>
      <c r="X2187" s="42"/>
      <c r="Y2187" s="42"/>
      <c r="Z2187" s="42"/>
      <c r="AA2187" s="42"/>
      <c r="AB2187" s="42"/>
    </row>
    <row r="2188" spans="1:28" x14ac:dyDescent="0.25">
      <c r="A2188" s="42" t="str">
        <v/>
      </c>
      <c r="B2188" s="121" t="str">
        <v/>
      </c>
      <c r="C2188" s="41" t="str">
        <v/>
      </c>
      <c r="D2188" s="41" t="str">
        <v/>
      </c>
      <c r="E2188" s="117" t="str">
        <f t="shared" si="0"/>
        <v>RD</v>
      </c>
      <c r="F2188" s="41" t="str">
        <v/>
      </c>
      <c r="G2188" s="41" t="str">
        <v/>
      </c>
      <c r="H2188" s="117">
        <f t="shared" si="1"/>
        <v>0</v>
      </c>
      <c r="I2188" s="117">
        <f t="shared" si="2"/>
        <v>7</v>
      </c>
      <c r="J2188" s="117">
        <f t="shared" si="3"/>
        <v>7.0299999999999994</v>
      </c>
      <c r="K2188" s="117" t="str">
        <f t="shared" si="4"/>
        <v>T</v>
      </c>
      <c r="L2188" s="42" t="str">
        <v>T0703</v>
      </c>
      <c r="M2188" s="121" t="str">
        <v/>
      </c>
      <c r="N2188" s="121" t="str">
        <v/>
      </c>
      <c r="O2188" s="121" t="str">
        <v/>
      </c>
      <c r="P2188" s="121" t="str">
        <v/>
      </c>
      <c r="Q2188" s="121" t="str">
        <v/>
      </c>
      <c r="R2188" s="121" t="str">
        <v/>
      </c>
      <c r="S2188" s="121" t="str">
        <v/>
      </c>
      <c r="T2188" s="119" t="str">
        <f>IF($C2188&lt;4,IF($C2188=3,T2189,IF($C2188=2,T$1,"")),Q2188&amp;R2188&amp;IF(LEN(S2188)=0,"",Preferences!$C$2&amp;S2188)&amp;IF(J2189=J2188,IF(LEN(R2188&amp;S2188)=0,"","
")&amp;T2189,""))</f>
        <v/>
      </c>
      <c r="U2188" s="122" t="str">
        <v/>
      </c>
      <c r="V2188" s="42"/>
      <c r="W2188" s="42"/>
      <c r="X2188" s="42"/>
      <c r="Y2188" s="42"/>
      <c r="Z2188" s="42"/>
      <c r="AA2188" s="42"/>
      <c r="AB2188" s="42"/>
    </row>
    <row r="2189" spans="1:28" x14ac:dyDescent="0.25">
      <c r="A2189" s="42" t="str">
        <v/>
      </c>
      <c r="B2189" s="121" t="str">
        <v/>
      </c>
      <c r="C2189" s="41" t="str">
        <v/>
      </c>
      <c r="D2189" s="41" t="str">
        <v/>
      </c>
      <c r="E2189" s="117" t="str">
        <f t="shared" si="0"/>
        <v>RD</v>
      </c>
      <c r="F2189" s="41" t="str">
        <v/>
      </c>
      <c r="G2189" s="41" t="str">
        <v/>
      </c>
      <c r="H2189" s="117">
        <f t="shared" si="1"/>
        <v>0</v>
      </c>
      <c r="I2189" s="117">
        <f t="shared" si="2"/>
        <v>7</v>
      </c>
      <c r="J2189" s="117">
        <f t="shared" si="3"/>
        <v>7.0299999999999994</v>
      </c>
      <c r="K2189" s="117" t="str">
        <f t="shared" si="4"/>
        <v>T</v>
      </c>
      <c r="L2189" s="42" t="str">
        <v>T0703</v>
      </c>
      <c r="M2189" s="121" t="str">
        <v/>
      </c>
      <c r="N2189" s="121" t="str">
        <v/>
      </c>
      <c r="O2189" s="121" t="str">
        <v/>
      </c>
      <c r="P2189" s="121" t="str">
        <v/>
      </c>
      <c r="Q2189" s="121" t="str">
        <v/>
      </c>
      <c r="R2189" s="121" t="str">
        <v/>
      </c>
      <c r="S2189" s="121" t="str">
        <v/>
      </c>
      <c r="T2189" s="119" t="str">
        <f>IF($C2189&lt;4,IF($C2189=3,T2190,IF($C2189=2,T$1,"")),Q2189&amp;R2189&amp;IF(LEN(S2189)=0,"",Preferences!$C$2&amp;S2189)&amp;IF(J2190=J2189,IF(LEN(R2189&amp;S2189)=0,"","
")&amp;T2190,""))</f>
        <v/>
      </c>
      <c r="U2189" s="122" t="str">
        <v/>
      </c>
      <c r="V2189" s="42"/>
      <c r="W2189" s="42"/>
      <c r="X2189" s="42"/>
      <c r="Y2189" s="42"/>
      <c r="Z2189" s="42"/>
      <c r="AA2189" s="42"/>
      <c r="AB2189" s="42"/>
    </row>
    <row r="2190" spans="1:28" x14ac:dyDescent="0.25">
      <c r="A2190" s="42" t="str">
        <v/>
      </c>
      <c r="B2190" s="121" t="str">
        <v/>
      </c>
      <c r="C2190" s="41" t="str">
        <v/>
      </c>
      <c r="D2190" s="41" t="str">
        <v/>
      </c>
      <c r="E2190" s="117" t="str">
        <f t="shared" si="0"/>
        <v>RD</v>
      </c>
      <c r="F2190" s="41" t="str">
        <v/>
      </c>
      <c r="G2190" s="41" t="str">
        <v/>
      </c>
      <c r="H2190" s="117">
        <f t="shared" si="1"/>
        <v>0</v>
      </c>
      <c r="I2190" s="117">
        <f t="shared" si="2"/>
        <v>7</v>
      </c>
      <c r="J2190" s="117">
        <f t="shared" si="3"/>
        <v>7.0299999999999994</v>
      </c>
      <c r="K2190" s="117" t="str">
        <f t="shared" si="4"/>
        <v>T</v>
      </c>
      <c r="L2190" s="42" t="str">
        <v>T0703</v>
      </c>
      <c r="M2190" s="121" t="str">
        <v/>
      </c>
      <c r="N2190" s="121" t="str">
        <v/>
      </c>
      <c r="O2190" s="121" t="str">
        <v/>
      </c>
      <c r="P2190" s="121" t="str">
        <v/>
      </c>
      <c r="Q2190" s="121" t="str">
        <v/>
      </c>
      <c r="R2190" s="121" t="str">
        <v/>
      </c>
      <c r="S2190" s="121" t="str">
        <v/>
      </c>
      <c r="T2190" s="119" t="str">
        <f>IF($C2190&lt;4,IF($C2190=3,T2191,IF($C2190=2,T$1,"")),Q2190&amp;R2190&amp;IF(LEN(S2190)=0,"",Preferences!$C$2&amp;S2190)&amp;IF(J2191=J2190,IF(LEN(R2190&amp;S2190)=0,"","
")&amp;T2191,""))</f>
        <v/>
      </c>
      <c r="U2190" s="122" t="str">
        <v/>
      </c>
      <c r="V2190" s="42"/>
      <c r="W2190" s="42"/>
      <c r="X2190" s="42"/>
      <c r="Y2190" s="42"/>
      <c r="Z2190" s="42"/>
      <c r="AA2190" s="42"/>
      <c r="AB2190" s="42"/>
    </row>
    <row r="2191" spans="1:28" x14ac:dyDescent="0.25">
      <c r="A2191" s="42" t="str">
        <v/>
      </c>
      <c r="B2191" s="121" t="str">
        <v/>
      </c>
      <c r="C2191" s="41" t="str">
        <v/>
      </c>
      <c r="D2191" s="41" t="str">
        <v/>
      </c>
      <c r="E2191" s="117" t="str">
        <f t="shared" si="0"/>
        <v>RD</v>
      </c>
      <c r="F2191" s="41" t="str">
        <v/>
      </c>
      <c r="G2191" s="41" t="str">
        <v/>
      </c>
      <c r="H2191" s="117">
        <f t="shared" si="1"/>
        <v>0</v>
      </c>
      <c r="I2191" s="117">
        <f t="shared" si="2"/>
        <v>7</v>
      </c>
      <c r="J2191" s="117">
        <f t="shared" si="3"/>
        <v>7.0299999999999994</v>
      </c>
      <c r="K2191" s="117" t="str">
        <f t="shared" si="4"/>
        <v>T</v>
      </c>
      <c r="L2191" s="42" t="str">
        <v>T0703</v>
      </c>
      <c r="M2191" s="121" t="str">
        <v/>
      </c>
      <c r="N2191" s="121" t="str">
        <v/>
      </c>
      <c r="O2191" s="121" t="str">
        <v/>
      </c>
      <c r="P2191" s="121" t="str">
        <v/>
      </c>
      <c r="Q2191" s="121" t="str">
        <v/>
      </c>
      <c r="R2191" s="121" t="str">
        <v/>
      </c>
      <c r="S2191" s="121" t="str">
        <v/>
      </c>
      <c r="T2191" s="119" t="str">
        <f>IF($C2191&lt;4,IF($C2191=3,T2192,IF($C2191=2,T$1,"")),Q2191&amp;R2191&amp;IF(LEN(S2191)=0,"",Preferences!$C$2&amp;S2191)&amp;IF(J2192=J2191,IF(LEN(R2191&amp;S2191)=0,"","
")&amp;T2192,""))</f>
        <v/>
      </c>
      <c r="U2191" s="122" t="str">
        <v/>
      </c>
      <c r="V2191" s="42"/>
      <c r="W2191" s="42"/>
      <c r="X2191" s="42"/>
      <c r="Y2191" s="42"/>
      <c r="Z2191" s="42"/>
      <c r="AA2191" s="42"/>
      <c r="AB2191" s="42"/>
    </row>
    <row r="2192" spans="1:28" x14ac:dyDescent="0.25">
      <c r="A2192" s="42" t="str">
        <v/>
      </c>
      <c r="B2192" s="121" t="str">
        <v/>
      </c>
      <c r="C2192" s="41" t="str">
        <v/>
      </c>
      <c r="D2192" s="41" t="str">
        <v/>
      </c>
      <c r="E2192" s="117" t="str">
        <f t="shared" si="0"/>
        <v>RD</v>
      </c>
      <c r="F2192" s="41" t="str">
        <v/>
      </c>
      <c r="G2192" s="41" t="str">
        <v/>
      </c>
      <c r="H2192" s="117">
        <f t="shared" si="1"/>
        <v>0</v>
      </c>
      <c r="I2192" s="117">
        <f t="shared" si="2"/>
        <v>7</v>
      </c>
      <c r="J2192" s="117">
        <f t="shared" si="3"/>
        <v>7.0299999999999994</v>
      </c>
      <c r="K2192" s="117" t="str">
        <f t="shared" si="4"/>
        <v>T</v>
      </c>
      <c r="L2192" s="42" t="str">
        <v>T0703</v>
      </c>
      <c r="M2192" s="121" t="str">
        <v/>
      </c>
      <c r="N2192" s="121" t="str">
        <v/>
      </c>
      <c r="O2192" s="121" t="str">
        <v/>
      </c>
      <c r="P2192" s="121" t="str">
        <v/>
      </c>
      <c r="Q2192" s="121" t="str">
        <v/>
      </c>
      <c r="R2192" s="121" t="str">
        <v/>
      </c>
      <c r="S2192" s="121" t="str">
        <v/>
      </c>
      <c r="T2192" s="119" t="str">
        <f>IF($C2192&lt;4,IF($C2192=3,T2193,IF($C2192=2,T$1,"")),Q2192&amp;R2192&amp;IF(LEN(S2192)=0,"",Preferences!$C$2&amp;S2192)&amp;IF(J2193=J2192,IF(LEN(R2192&amp;S2192)=0,"","
")&amp;T2193,""))</f>
        <v/>
      </c>
      <c r="U2192" s="122" t="str">
        <v/>
      </c>
      <c r="V2192" s="42"/>
      <c r="W2192" s="42"/>
      <c r="X2192" s="42"/>
      <c r="Y2192" s="42"/>
      <c r="Z2192" s="42"/>
      <c r="AA2192" s="42"/>
      <c r="AB2192" s="42"/>
    </row>
    <row r="2193" spans="1:28" x14ac:dyDescent="0.25">
      <c r="A2193" s="42" t="str">
        <v/>
      </c>
      <c r="B2193" s="121" t="str">
        <v/>
      </c>
      <c r="C2193" s="41" t="str">
        <v/>
      </c>
      <c r="D2193" s="41" t="str">
        <v/>
      </c>
      <c r="E2193" s="117" t="str">
        <f t="shared" si="0"/>
        <v>RD</v>
      </c>
      <c r="F2193" s="41" t="str">
        <v/>
      </c>
      <c r="G2193" s="41" t="str">
        <v/>
      </c>
      <c r="H2193" s="117">
        <f t="shared" si="1"/>
        <v>0</v>
      </c>
      <c r="I2193" s="117">
        <f t="shared" si="2"/>
        <v>7</v>
      </c>
      <c r="J2193" s="117">
        <f t="shared" si="3"/>
        <v>7.0299999999999994</v>
      </c>
      <c r="K2193" s="117" t="str">
        <f t="shared" si="4"/>
        <v>T</v>
      </c>
      <c r="L2193" s="42" t="str">
        <v>T0703</v>
      </c>
      <c r="M2193" s="121" t="str">
        <v/>
      </c>
      <c r="N2193" s="121" t="str">
        <v/>
      </c>
      <c r="O2193" s="121" t="str">
        <v/>
      </c>
      <c r="P2193" s="121" t="str">
        <v/>
      </c>
      <c r="Q2193" s="121" t="str">
        <v/>
      </c>
      <c r="R2193" s="121" t="str">
        <v/>
      </c>
      <c r="S2193" s="121" t="str">
        <v/>
      </c>
      <c r="T2193" s="119" t="str">
        <f>IF($C2193&lt;4,IF($C2193=3,T2194,IF($C2193=2,T$1,"")),Q2193&amp;R2193&amp;IF(LEN(S2193)=0,"",Preferences!$C$2&amp;S2193)&amp;IF(J2194=J2193,IF(LEN(R2193&amp;S2193)=0,"","
")&amp;T2194,""))</f>
        <v/>
      </c>
      <c r="U2193" s="122" t="str">
        <v/>
      </c>
      <c r="V2193" s="42"/>
      <c r="W2193" s="42"/>
      <c r="X2193" s="42"/>
      <c r="Y2193" s="42"/>
      <c r="Z2193" s="42"/>
      <c r="AA2193" s="42"/>
      <c r="AB2193" s="42"/>
    </row>
    <row r="2194" spans="1:28" x14ac:dyDescent="0.25">
      <c r="A2194" s="42" t="str">
        <v/>
      </c>
      <c r="B2194" s="121" t="str">
        <v/>
      </c>
      <c r="C2194" s="41" t="str">
        <v/>
      </c>
      <c r="D2194" s="41" t="str">
        <v/>
      </c>
      <c r="E2194" s="117" t="str">
        <f t="shared" si="0"/>
        <v>RD</v>
      </c>
      <c r="F2194" s="41" t="str">
        <v/>
      </c>
      <c r="G2194" s="41" t="str">
        <v/>
      </c>
      <c r="H2194" s="117">
        <f t="shared" si="1"/>
        <v>0</v>
      </c>
      <c r="I2194" s="117">
        <f t="shared" si="2"/>
        <v>7</v>
      </c>
      <c r="J2194" s="117">
        <f t="shared" si="3"/>
        <v>7.0299999999999994</v>
      </c>
      <c r="K2194" s="117" t="str">
        <f t="shared" si="4"/>
        <v>T</v>
      </c>
      <c r="L2194" s="42" t="str">
        <v>T0703</v>
      </c>
      <c r="M2194" s="121" t="str">
        <v/>
      </c>
      <c r="N2194" s="121" t="str">
        <v/>
      </c>
      <c r="O2194" s="121" t="str">
        <v/>
      </c>
      <c r="P2194" s="121" t="str">
        <v/>
      </c>
      <c r="Q2194" s="121" t="str">
        <v/>
      </c>
      <c r="R2194" s="121" t="str">
        <v/>
      </c>
      <c r="S2194" s="121" t="str">
        <v/>
      </c>
      <c r="T2194" s="119" t="str">
        <f>IF($C2194&lt;4,IF($C2194=3,T2195,IF($C2194=2,T$1,"")),Q2194&amp;R2194&amp;IF(LEN(S2194)=0,"",Preferences!$C$2&amp;S2194)&amp;IF(J2195=J2194,IF(LEN(R2194&amp;S2194)=0,"","
")&amp;T2195,""))</f>
        <v/>
      </c>
      <c r="U2194" s="122" t="str">
        <v/>
      </c>
      <c r="V2194" s="42"/>
      <c r="W2194" s="42"/>
      <c r="X2194" s="42"/>
      <c r="Y2194" s="42"/>
      <c r="Z2194" s="42"/>
      <c r="AA2194" s="42"/>
      <c r="AB2194" s="42"/>
    </row>
    <row r="2195" spans="1:28" x14ac:dyDescent="0.25">
      <c r="A2195" s="42" t="str">
        <v/>
      </c>
      <c r="B2195" s="121" t="str">
        <v/>
      </c>
      <c r="C2195" s="41" t="str">
        <v/>
      </c>
      <c r="D2195" s="41" t="str">
        <v/>
      </c>
      <c r="E2195" s="117" t="str">
        <f t="shared" si="0"/>
        <v>RD</v>
      </c>
      <c r="F2195" s="41" t="str">
        <v/>
      </c>
      <c r="G2195" s="41" t="str">
        <v/>
      </c>
      <c r="H2195" s="117">
        <f t="shared" si="1"/>
        <v>0</v>
      </c>
      <c r="I2195" s="117">
        <f t="shared" si="2"/>
        <v>7</v>
      </c>
      <c r="J2195" s="117">
        <f t="shared" si="3"/>
        <v>7.0299999999999994</v>
      </c>
      <c r="K2195" s="117" t="str">
        <f t="shared" si="4"/>
        <v>T</v>
      </c>
      <c r="L2195" s="42" t="str">
        <v>T0703</v>
      </c>
      <c r="M2195" s="121" t="str">
        <v/>
      </c>
      <c r="N2195" s="121" t="str">
        <v/>
      </c>
      <c r="O2195" s="121" t="str">
        <v/>
      </c>
      <c r="P2195" s="121" t="str">
        <v/>
      </c>
      <c r="Q2195" s="121" t="str">
        <v/>
      </c>
      <c r="R2195" s="121" t="str">
        <v/>
      </c>
      <c r="S2195" s="121" t="str">
        <v/>
      </c>
      <c r="T2195" s="119" t="str">
        <f>IF($C2195&lt;4,IF($C2195=3,T2196,IF($C2195=2,T$1,"")),Q2195&amp;R2195&amp;IF(LEN(S2195)=0,"",Preferences!$C$2&amp;S2195)&amp;IF(J2196=J2195,IF(LEN(R2195&amp;S2195)=0,"","
")&amp;T2196,""))</f>
        <v/>
      </c>
      <c r="U2195" s="122" t="str">
        <v/>
      </c>
      <c r="V2195" s="42"/>
      <c r="W2195" s="42"/>
      <c r="X2195" s="42"/>
      <c r="Y2195" s="42"/>
      <c r="Z2195" s="42"/>
      <c r="AA2195" s="42"/>
      <c r="AB2195" s="42"/>
    </row>
    <row r="2196" spans="1:28" x14ac:dyDescent="0.25">
      <c r="A2196" s="42" t="str">
        <v/>
      </c>
      <c r="B2196" s="121" t="str">
        <v/>
      </c>
      <c r="C2196" s="41" t="str">
        <v/>
      </c>
      <c r="D2196" s="41" t="str">
        <v/>
      </c>
      <c r="E2196" s="117" t="str">
        <f t="shared" si="0"/>
        <v>RD</v>
      </c>
      <c r="F2196" s="41" t="str">
        <v/>
      </c>
      <c r="G2196" s="41" t="str">
        <v/>
      </c>
      <c r="H2196" s="117">
        <f t="shared" si="1"/>
        <v>0</v>
      </c>
      <c r="I2196" s="117">
        <f t="shared" si="2"/>
        <v>7</v>
      </c>
      <c r="J2196" s="117">
        <f t="shared" si="3"/>
        <v>7.0299999999999994</v>
      </c>
      <c r="K2196" s="117" t="str">
        <f t="shared" si="4"/>
        <v>T</v>
      </c>
      <c r="L2196" s="42" t="str">
        <v>T0703</v>
      </c>
      <c r="M2196" s="121" t="str">
        <v/>
      </c>
      <c r="N2196" s="121" t="str">
        <v/>
      </c>
      <c r="O2196" s="121" t="str">
        <v/>
      </c>
      <c r="P2196" s="121" t="str">
        <v/>
      </c>
      <c r="Q2196" s="121" t="str">
        <v/>
      </c>
      <c r="R2196" s="121" t="str">
        <v/>
      </c>
      <c r="S2196" s="121" t="str">
        <v/>
      </c>
      <c r="T2196" s="119" t="str">
        <f>IF($C2196&lt;4,IF($C2196=3,T2197,IF($C2196=2,T$1,"")),Q2196&amp;R2196&amp;IF(LEN(S2196)=0,"",Preferences!$C$2&amp;S2196)&amp;IF(J2197=J2196,IF(LEN(R2196&amp;S2196)=0,"","
")&amp;T2197,""))</f>
        <v/>
      </c>
      <c r="U2196" s="122" t="str">
        <v/>
      </c>
      <c r="V2196" s="42"/>
      <c r="W2196" s="42"/>
      <c r="X2196" s="42"/>
      <c r="Y2196" s="42"/>
      <c r="Z2196" s="42"/>
      <c r="AA2196" s="42"/>
      <c r="AB2196" s="42"/>
    </row>
    <row r="2197" spans="1:28" x14ac:dyDescent="0.25">
      <c r="A2197" s="42" t="str">
        <v/>
      </c>
      <c r="B2197" s="121" t="str">
        <v/>
      </c>
      <c r="C2197" s="41" t="str">
        <v/>
      </c>
      <c r="D2197" s="41" t="str">
        <v/>
      </c>
      <c r="E2197" s="117" t="str">
        <f t="shared" si="0"/>
        <v>RD</v>
      </c>
      <c r="F2197" s="41" t="str">
        <v/>
      </c>
      <c r="G2197" s="41" t="str">
        <v/>
      </c>
      <c r="H2197" s="117">
        <f t="shared" si="1"/>
        <v>0</v>
      </c>
      <c r="I2197" s="117">
        <f t="shared" si="2"/>
        <v>7</v>
      </c>
      <c r="J2197" s="117">
        <f t="shared" si="3"/>
        <v>7.0299999999999994</v>
      </c>
      <c r="K2197" s="117" t="str">
        <f t="shared" si="4"/>
        <v>T</v>
      </c>
      <c r="L2197" s="42" t="str">
        <v>T0703</v>
      </c>
      <c r="M2197" s="121" t="str">
        <v/>
      </c>
      <c r="N2197" s="121" t="str">
        <v/>
      </c>
      <c r="O2197" s="121" t="str">
        <v/>
      </c>
      <c r="P2197" s="121" t="str">
        <v/>
      </c>
      <c r="Q2197" s="121" t="str">
        <v/>
      </c>
      <c r="R2197" s="121" t="str">
        <v/>
      </c>
      <c r="S2197" s="121" t="str">
        <v/>
      </c>
      <c r="T2197" s="119" t="str">
        <f>IF($C2197&lt;4,IF($C2197=3,T2198,IF($C2197=2,T$1,"")),Q2197&amp;R2197&amp;IF(LEN(S2197)=0,"",Preferences!$C$2&amp;S2197)&amp;IF(J2198=J2197,IF(LEN(R2197&amp;S2197)=0,"","
")&amp;T2198,""))</f>
        <v/>
      </c>
      <c r="U2197" s="122" t="str">
        <v/>
      </c>
      <c r="V2197" s="42"/>
      <c r="W2197" s="42"/>
      <c r="X2197" s="42"/>
      <c r="Y2197" s="42"/>
      <c r="Z2197" s="42"/>
      <c r="AA2197" s="42"/>
      <c r="AB2197" s="42"/>
    </row>
    <row r="2198" spans="1:28" x14ac:dyDescent="0.25">
      <c r="A2198" s="42" t="str">
        <v/>
      </c>
      <c r="B2198" s="121" t="str">
        <v/>
      </c>
      <c r="C2198" s="41" t="str">
        <v/>
      </c>
      <c r="D2198" s="41" t="str">
        <v/>
      </c>
      <c r="E2198" s="117" t="str">
        <f t="shared" si="0"/>
        <v>RD</v>
      </c>
      <c r="F2198" s="41" t="str">
        <v/>
      </c>
      <c r="G2198" s="41" t="str">
        <v/>
      </c>
      <c r="H2198" s="117">
        <f t="shared" si="1"/>
        <v>0</v>
      </c>
      <c r="I2198" s="117">
        <f t="shared" si="2"/>
        <v>7</v>
      </c>
      <c r="J2198" s="117">
        <f t="shared" si="3"/>
        <v>7.0299999999999994</v>
      </c>
      <c r="K2198" s="117" t="str">
        <f t="shared" si="4"/>
        <v>T</v>
      </c>
      <c r="L2198" s="42" t="str">
        <v>T0703</v>
      </c>
      <c r="M2198" s="121" t="str">
        <v/>
      </c>
      <c r="N2198" s="121" t="str">
        <v/>
      </c>
      <c r="O2198" s="121" t="str">
        <v/>
      </c>
      <c r="P2198" s="121" t="str">
        <v/>
      </c>
      <c r="Q2198" s="121" t="str">
        <v/>
      </c>
      <c r="R2198" s="121" t="str">
        <v/>
      </c>
      <c r="S2198" s="121" t="str">
        <v/>
      </c>
      <c r="T2198" s="119" t="str">
        <f>IF($C2198&lt;4,IF($C2198=3,T2199,IF($C2198=2,T$1,"")),Q2198&amp;R2198&amp;IF(LEN(S2198)=0,"",Preferences!$C$2&amp;S2198)&amp;IF(J2199=J2198,IF(LEN(R2198&amp;S2198)=0,"","
")&amp;T2199,""))</f>
        <v/>
      </c>
      <c r="U2198" s="122" t="str">
        <v/>
      </c>
      <c r="V2198" s="42"/>
      <c r="W2198" s="42"/>
      <c r="X2198" s="42"/>
      <c r="Y2198" s="42"/>
      <c r="Z2198" s="42"/>
      <c r="AA2198" s="42"/>
      <c r="AB2198" s="42"/>
    </row>
    <row r="2199" spans="1:28" x14ac:dyDescent="0.25">
      <c r="A2199" s="42" t="str">
        <v/>
      </c>
      <c r="B2199" s="121" t="str">
        <v/>
      </c>
      <c r="C2199" s="41" t="str">
        <v/>
      </c>
      <c r="D2199" s="41" t="str">
        <v/>
      </c>
      <c r="E2199" s="117" t="str">
        <f t="shared" si="0"/>
        <v>RD</v>
      </c>
      <c r="F2199" s="41" t="str">
        <v/>
      </c>
      <c r="G2199" s="41" t="str">
        <v/>
      </c>
      <c r="H2199" s="117">
        <f t="shared" si="1"/>
        <v>0</v>
      </c>
      <c r="I2199" s="117">
        <f t="shared" si="2"/>
        <v>7</v>
      </c>
      <c r="J2199" s="117">
        <f t="shared" si="3"/>
        <v>7.0299999999999994</v>
      </c>
      <c r="K2199" s="117" t="str">
        <f t="shared" si="4"/>
        <v>T</v>
      </c>
      <c r="L2199" s="42" t="str">
        <v>T0703</v>
      </c>
      <c r="M2199" s="121" t="str">
        <v/>
      </c>
      <c r="N2199" s="121" t="str">
        <v/>
      </c>
      <c r="O2199" s="121" t="str">
        <v/>
      </c>
      <c r="P2199" s="121" t="str">
        <v/>
      </c>
      <c r="Q2199" s="121" t="str">
        <v/>
      </c>
      <c r="R2199" s="121" t="str">
        <v/>
      </c>
      <c r="S2199" s="121" t="str">
        <v/>
      </c>
      <c r="T2199" s="119" t="str">
        <f>IF($C2199&lt;4,IF($C2199=3,T2200,IF($C2199=2,T$1,"")),Q2199&amp;R2199&amp;IF(LEN(S2199)=0,"",Preferences!$C$2&amp;S2199)&amp;IF(J2200=J2199,IF(LEN(R2199&amp;S2199)=0,"","
")&amp;T2200,""))</f>
        <v/>
      </c>
      <c r="U2199" s="122" t="str">
        <v/>
      </c>
      <c r="V2199" s="42"/>
      <c r="W2199" s="42"/>
      <c r="X2199" s="42"/>
      <c r="Y2199" s="42"/>
      <c r="Z2199" s="42"/>
      <c r="AA2199" s="42"/>
      <c r="AB2199" s="42"/>
    </row>
    <row r="2200" spans="1:28" x14ac:dyDescent="0.25">
      <c r="A2200" s="42" t="str">
        <v/>
      </c>
      <c r="B2200" s="121" t="str">
        <v/>
      </c>
      <c r="C2200" s="41" t="str">
        <v/>
      </c>
      <c r="D2200" s="41" t="str">
        <v/>
      </c>
      <c r="E2200" s="117" t="str">
        <f t="shared" si="0"/>
        <v>RD</v>
      </c>
      <c r="F2200" s="41" t="str">
        <v/>
      </c>
      <c r="G2200" s="41" t="str">
        <v/>
      </c>
      <c r="H2200" s="117">
        <f t="shared" si="1"/>
        <v>0</v>
      </c>
      <c r="I2200" s="117">
        <f t="shared" si="2"/>
        <v>7</v>
      </c>
      <c r="J2200" s="117">
        <f t="shared" si="3"/>
        <v>7.0299999999999994</v>
      </c>
      <c r="K2200" s="117" t="str">
        <f t="shared" si="4"/>
        <v>T</v>
      </c>
      <c r="L2200" s="42" t="str">
        <v>T0703</v>
      </c>
      <c r="M2200" s="121" t="str">
        <v/>
      </c>
      <c r="N2200" s="121" t="str">
        <v/>
      </c>
      <c r="O2200" s="121" t="str">
        <v/>
      </c>
      <c r="P2200" s="121" t="str">
        <v/>
      </c>
      <c r="Q2200" s="121" t="str">
        <v/>
      </c>
      <c r="R2200" s="121" t="str">
        <v/>
      </c>
      <c r="S2200" s="121" t="str">
        <v/>
      </c>
      <c r="T2200" s="119" t="str">
        <f>IF($C2200&lt;4,IF($C2200=3,T2201,IF($C2200=2,T$1,"")),Q2200&amp;R2200&amp;IF(LEN(S2200)=0,"",Preferences!$C$2&amp;S2200)&amp;IF(J2201=J2200,IF(LEN(R2200&amp;S2200)=0,"","
")&amp;T2201,""))</f>
        <v/>
      </c>
      <c r="U2200" s="122" t="str">
        <v/>
      </c>
      <c r="V2200" s="42"/>
      <c r="W2200" s="42"/>
      <c r="X2200" s="42"/>
      <c r="Y2200" s="42"/>
      <c r="Z2200" s="42"/>
      <c r="AA2200" s="42"/>
      <c r="AB2200" s="42"/>
    </row>
    <row r="2201" spans="1:28" x14ac:dyDescent="0.25">
      <c r="A2201" s="42"/>
      <c r="B2201" s="121"/>
      <c r="C2201" s="41"/>
      <c r="D2201" s="41"/>
      <c r="E2201" s="41"/>
      <c r="F2201" s="41"/>
      <c r="G2201" s="41"/>
      <c r="H2201" s="41"/>
      <c r="I2201" s="41"/>
      <c r="J2201" s="41"/>
      <c r="K2201" s="41"/>
      <c r="L2201" s="42"/>
      <c r="M2201" s="121"/>
      <c r="N2201" s="121"/>
      <c r="O2201" s="121"/>
      <c r="P2201" s="121"/>
      <c r="Q2201" s="121"/>
      <c r="R2201" s="121"/>
      <c r="S2201" s="121"/>
      <c r="T2201" s="42"/>
      <c r="U2201" s="122"/>
      <c r="V2201" s="42"/>
      <c r="W2201" s="42"/>
      <c r="X2201" s="42"/>
      <c r="Y2201" s="42"/>
      <c r="Z2201" s="42"/>
      <c r="AA2201" s="42"/>
      <c r="AB2201" s="42"/>
    </row>
    <row r="2202" spans="1:28" x14ac:dyDescent="0.25">
      <c r="A2202" s="42"/>
      <c r="B2202" s="121"/>
      <c r="C2202" s="41"/>
      <c r="D2202" s="41"/>
      <c r="E2202" s="41"/>
      <c r="F2202" s="41"/>
      <c r="G2202" s="41"/>
      <c r="H2202" s="41"/>
      <c r="I2202" s="41"/>
      <c r="J2202" s="41"/>
      <c r="K2202" s="41"/>
      <c r="L2202" s="42"/>
      <c r="M2202" s="121"/>
      <c r="N2202" s="121"/>
      <c r="O2202" s="121"/>
      <c r="P2202" s="121"/>
      <c r="Q2202" s="121"/>
      <c r="R2202" s="121"/>
      <c r="S2202" s="121"/>
      <c r="T2202" s="42"/>
      <c r="U2202" s="122"/>
      <c r="V2202" s="42"/>
      <c r="W2202" s="42"/>
      <c r="X2202" s="42"/>
      <c r="Y2202" s="42"/>
      <c r="Z2202" s="42"/>
      <c r="AA2202" s="42"/>
      <c r="AB2202" s="42"/>
    </row>
    <row r="2203" spans="1:28" x14ac:dyDescent="0.25">
      <c r="A2203" s="42"/>
      <c r="B2203" s="121"/>
      <c r="C2203" s="41"/>
      <c r="D2203" s="41"/>
      <c r="E2203" s="41"/>
      <c r="F2203" s="41"/>
      <c r="G2203" s="41"/>
      <c r="H2203" s="41"/>
      <c r="I2203" s="41"/>
      <c r="J2203" s="41"/>
      <c r="K2203" s="41"/>
      <c r="L2203" s="42"/>
      <c r="M2203" s="121"/>
      <c r="N2203" s="121"/>
      <c r="O2203" s="121"/>
      <c r="P2203" s="121"/>
      <c r="Q2203" s="121"/>
      <c r="R2203" s="121"/>
      <c r="S2203" s="121"/>
      <c r="T2203" s="42"/>
      <c r="U2203" s="122"/>
      <c r="V2203" s="42"/>
      <c r="W2203" s="42"/>
      <c r="X2203" s="42"/>
      <c r="Y2203" s="42"/>
      <c r="Z2203" s="42"/>
      <c r="AA2203" s="42"/>
      <c r="AB2203" s="42"/>
    </row>
    <row r="2204" spans="1:28" x14ac:dyDescent="0.25">
      <c r="A2204" s="42"/>
      <c r="B2204" s="121"/>
      <c r="C2204" s="41"/>
      <c r="D2204" s="41"/>
      <c r="E2204" s="41"/>
      <c r="F2204" s="41"/>
      <c r="G2204" s="41"/>
      <c r="H2204" s="41"/>
      <c r="I2204" s="41"/>
      <c r="J2204" s="41"/>
      <c r="K2204" s="41"/>
      <c r="L2204" s="42"/>
      <c r="M2204" s="121"/>
      <c r="N2204" s="121"/>
      <c r="O2204" s="121"/>
      <c r="P2204" s="121"/>
      <c r="Q2204" s="121"/>
      <c r="R2204" s="121"/>
      <c r="S2204" s="121"/>
      <c r="T2204" s="42"/>
      <c r="U2204" s="122"/>
      <c r="V2204" s="42"/>
      <c r="W2204" s="42"/>
      <c r="X2204" s="42"/>
      <c r="Y2204" s="42"/>
      <c r="Z2204" s="42"/>
      <c r="AA2204" s="42"/>
      <c r="AB2204" s="42"/>
    </row>
    <row r="2205" spans="1:28" x14ac:dyDescent="0.25">
      <c r="A2205" s="42"/>
      <c r="B2205" s="121"/>
      <c r="C2205" s="41"/>
      <c r="D2205" s="41"/>
      <c r="E2205" s="41"/>
      <c r="F2205" s="41"/>
      <c r="G2205" s="41"/>
      <c r="H2205" s="41"/>
      <c r="I2205" s="41"/>
      <c r="J2205" s="41"/>
      <c r="K2205" s="41"/>
      <c r="L2205" s="42"/>
      <c r="M2205" s="121"/>
      <c r="N2205" s="121"/>
      <c r="O2205" s="121"/>
      <c r="P2205" s="121"/>
      <c r="Q2205" s="121"/>
      <c r="R2205" s="121"/>
      <c r="S2205" s="121"/>
      <c r="T2205" s="42"/>
      <c r="U2205" s="122"/>
      <c r="V2205" s="42"/>
      <c r="W2205" s="42"/>
      <c r="X2205" s="42"/>
      <c r="Y2205" s="42"/>
      <c r="Z2205" s="42"/>
      <c r="AA2205" s="42"/>
      <c r="AB2205" s="42"/>
    </row>
    <row r="2206" spans="1:28" x14ac:dyDescent="0.25">
      <c r="A2206" s="42"/>
      <c r="B2206" s="121"/>
      <c r="C2206" s="41"/>
      <c r="D2206" s="41"/>
      <c r="E2206" s="41"/>
      <c r="F2206" s="41"/>
      <c r="G2206" s="41"/>
      <c r="H2206" s="41"/>
      <c r="I2206" s="41"/>
      <c r="J2206" s="41"/>
      <c r="K2206" s="41"/>
      <c r="L2206" s="42"/>
      <c r="M2206" s="121"/>
      <c r="N2206" s="121"/>
      <c r="O2206" s="121"/>
      <c r="P2206" s="121"/>
      <c r="Q2206" s="121"/>
      <c r="R2206" s="121"/>
      <c r="S2206" s="121"/>
      <c r="T2206" s="42"/>
      <c r="U2206" s="122"/>
      <c r="V2206" s="42"/>
      <c r="W2206" s="42"/>
      <c r="X2206" s="42"/>
      <c r="Y2206" s="42"/>
      <c r="Z2206" s="42"/>
      <c r="AA2206" s="42"/>
      <c r="AB2206" s="42"/>
    </row>
    <row r="2207" spans="1:28" x14ac:dyDescent="0.25">
      <c r="A2207" s="42"/>
      <c r="B2207" s="121"/>
      <c r="C2207" s="41"/>
      <c r="D2207" s="41"/>
      <c r="E2207" s="41"/>
      <c r="F2207" s="41"/>
      <c r="G2207" s="41"/>
      <c r="H2207" s="41"/>
      <c r="I2207" s="41"/>
      <c r="J2207" s="41"/>
      <c r="K2207" s="41"/>
      <c r="L2207" s="42"/>
      <c r="M2207" s="121"/>
      <c r="N2207" s="121"/>
      <c r="O2207" s="121"/>
      <c r="P2207" s="121"/>
      <c r="Q2207" s="121"/>
      <c r="R2207" s="121"/>
      <c r="S2207" s="121"/>
      <c r="T2207" s="42"/>
      <c r="U2207" s="122"/>
      <c r="V2207" s="42"/>
      <c r="W2207" s="42"/>
      <c r="X2207" s="42"/>
      <c r="Y2207" s="42"/>
      <c r="Z2207" s="42"/>
      <c r="AA2207" s="42"/>
      <c r="AB2207" s="42"/>
    </row>
    <row r="2208" spans="1:28" x14ac:dyDescent="0.25">
      <c r="A2208" s="42"/>
      <c r="B2208" s="121"/>
      <c r="C2208" s="41"/>
      <c r="D2208" s="41"/>
      <c r="E2208" s="41"/>
      <c r="F2208" s="41"/>
      <c r="G2208" s="41"/>
      <c r="H2208" s="41"/>
      <c r="I2208" s="41"/>
      <c r="J2208" s="41"/>
      <c r="K2208" s="41"/>
      <c r="L2208" s="42"/>
      <c r="M2208" s="121"/>
      <c r="N2208" s="121"/>
      <c r="O2208" s="121"/>
      <c r="P2208" s="121"/>
      <c r="Q2208" s="121"/>
      <c r="R2208" s="121"/>
      <c r="S2208" s="121"/>
      <c r="T2208" s="42"/>
      <c r="U2208" s="122"/>
      <c r="V2208" s="42"/>
      <c r="W2208" s="42"/>
      <c r="X2208" s="42"/>
      <c r="Y2208" s="42"/>
      <c r="Z2208" s="42"/>
      <c r="AA2208" s="42"/>
      <c r="AB2208" s="42"/>
    </row>
    <row r="2209" spans="1:28" x14ac:dyDescent="0.25">
      <c r="A2209" s="42"/>
      <c r="B2209" s="121"/>
      <c r="C2209" s="41"/>
      <c r="D2209" s="41"/>
      <c r="E2209" s="41"/>
      <c r="F2209" s="41"/>
      <c r="G2209" s="41"/>
      <c r="H2209" s="41"/>
      <c r="I2209" s="41"/>
      <c r="J2209" s="41"/>
      <c r="K2209" s="41"/>
      <c r="L2209" s="42"/>
      <c r="M2209" s="121"/>
      <c r="N2209" s="121"/>
      <c r="O2209" s="121"/>
      <c r="P2209" s="121"/>
      <c r="Q2209" s="121"/>
      <c r="R2209" s="121"/>
      <c r="S2209" s="121"/>
      <c r="T2209" s="42"/>
      <c r="U2209" s="122"/>
      <c r="V2209" s="42"/>
      <c r="W2209" s="42"/>
      <c r="X2209" s="42"/>
      <c r="Y2209" s="42"/>
      <c r="Z2209" s="42"/>
      <c r="AA2209" s="42"/>
      <c r="AB2209" s="42"/>
    </row>
    <row r="2210" spans="1:28" x14ac:dyDescent="0.25">
      <c r="A2210" s="42"/>
      <c r="B2210" s="121"/>
      <c r="C2210" s="41"/>
      <c r="D2210" s="41"/>
      <c r="E2210" s="41"/>
      <c r="F2210" s="41"/>
      <c r="G2210" s="41"/>
      <c r="H2210" s="41"/>
      <c r="I2210" s="41"/>
      <c r="J2210" s="41"/>
      <c r="K2210" s="41"/>
      <c r="L2210" s="42"/>
      <c r="M2210" s="121"/>
      <c r="N2210" s="121"/>
      <c r="O2210" s="121"/>
      <c r="P2210" s="121"/>
      <c r="Q2210" s="121"/>
      <c r="R2210" s="121"/>
      <c r="S2210" s="121"/>
      <c r="T2210" s="42"/>
      <c r="U2210" s="122"/>
      <c r="V2210" s="42"/>
      <c r="W2210" s="42"/>
      <c r="X2210" s="42"/>
      <c r="Y2210" s="42"/>
      <c r="Z2210" s="42"/>
      <c r="AA2210" s="42"/>
      <c r="AB2210" s="42"/>
    </row>
    <row r="2211" spans="1:28" x14ac:dyDescent="0.25">
      <c r="A2211" s="42"/>
      <c r="B2211" s="121"/>
      <c r="C2211" s="41"/>
      <c r="D2211" s="41"/>
      <c r="E2211" s="41"/>
      <c r="F2211" s="41"/>
      <c r="G2211" s="41"/>
      <c r="H2211" s="41"/>
      <c r="I2211" s="41"/>
      <c r="J2211" s="41"/>
      <c r="K2211" s="41"/>
      <c r="L2211" s="42"/>
      <c r="M2211" s="121"/>
      <c r="N2211" s="121"/>
      <c r="O2211" s="121"/>
      <c r="P2211" s="121"/>
      <c r="Q2211" s="121"/>
      <c r="R2211" s="121"/>
      <c r="S2211" s="121"/>
      <c r="T2211" s="42"/>
      <c r="U2211" s="122"/>
      <c r="V2211" s="42"/>
      <c r="W2211" s="42"/>
      <c r="X2211" s="42"/>
      <c r="Y2211" s="42"/>
      <c r="Z2211" s="42"/>
      <c r="AA2211" s="42"/>
      <c r="AB2211" s="42"/>
    </row>
    <row r="2212" spans="1:28" x14ac:dyDescent="0.25">
      <c r="A2212" s="42"/>
      <c r="B2212" s="121"/>
      <c r="C2212" s="41"/>
      <c r="D2212" s="41"/>
      <c r="E2212" s="41"/>
      <c r="F2212" s="41"/>
      <c r="G2212" s="41"/>
      <c r="H2212" s="41"/>
      <c r="I2212" s="41"/>
      <c r="J2212" s="41"/>
      <c r="K2212" s="41"/>
      <c r="L2212" s="42"/>
      <c r="M2212" s="121"/>
      <c r="N2212" s="121"/>
      <c r="O2212" s="121"/>
      <c r="P2212" s="121"/>
      <c r="Q2212" s="121"/>
      <c r="R2212" s="121"/>
      <c r="S2212" s="121"/>
      <c r="T2212" s="42"/>
      <c r="U2212" s="122"/>
      <c r="V2212" s="42"/>
      <c r="W2212" s="42"/>
      <c r="X2212" s="42"/>
      <c r="Y2212" s="42"/>
      <c r="Z2212" s="42"/>
      <c r="AA2212" s="42"/>
      <c r="AB2212" s="42"/>
    </row>
    <row r="2213" spans="1:28" x14ac:dyDescent="0.25">
      <c r="A2213" s="42"/>
      <c r="B2213" s="121"/>
      <c r="C2213" s="41"/>
      <c r="D2213" s="41"/>
      <c r="E2213" s="41"/>
      <c r="F2213" s="41"/>
      <c r="G2213" s="41"/>
      <c r="H2213" s="41"/>
      <c r="I2213" s="41"/>
      <c r="J2213" s="41"/>
      <c r="K2213" s="41"/>
      <c r="L2213" s="42"/>
      <c r="M2213" s="121"/>
      <c r="N2213" s="121"/>
      <c r="O2213" s="121"/>
      <c r="P2213" s="121"/>
      <c r="Q2213" s="121"/>
      <c r="R2213" s="121"/>
      <c r="S2213" s="121"/>
      <c r="T2213" s="42"/>
      <c r="U2213" s="122"/>
      <c r="V2213" s="42"/>
      <c r="W2213" s="42"/>
      <c r="X2213" s="42"/>
      <c r="Y2213" s="42"/>
      <c r="Z2213" s="42"/>
      <c r="AA2213" s="42"/>
      <c r="AB2213" s="42"/>
    </row>
    <row r="2214" spans="1:28" x14ac:dyDescent="0.25">
      <c r="A2214" s="42"/>
      <c r="B2214" s="121"/>
      <c r="C2214" s="41"/>
      <c r="D2214" s="41"/>
      <c r="E2214" s="41"/>
      <c r="F2214" s="41"/>
      <c r="G2214" s="41"/>
      <c r="H2214" s="41"/>
      <c r="I2214" s="41"/>
      <c r="J2214" s="41"/>
      <c r="K2214" s="41"/>
      <c r="L2214" s="42"/>
      <c r="M2214" s="121"/>
      <c r="N2214" s="121"/>
      <c r="O2214" s="121"/>
      <c r="P2214" s="121"/>
      <c r="Q2214" s="121"/>
      <c r="R2214" s="121"/>
      <c r="S2214" s="121"/>
      <c r="T2214" s="42"/>
      <c r="U2214" s="122"/>
      <c r="V2214" s="42"/>
      <c r="W2214" s="42"/>
      <c r="X2214" s="42"/>
      <c r="Y2214" s="42"/>
      <c r="Z2214" s="42"/>
      <c r="AA2214" s="42"/>
      <c r="AB2214" s="42"/>
    </row>
    <row r="2215" spans="1:28" x14ac:dyDescent="0.25">
      <c r="A2215" s="42"/>
      <c r="B2215" s="121"/>
      <c r="C2215" s="41"/>
      <c r="D2215" s="41"/>
      <c r="E2215" s="41"/>
      <c r="F2215" s="41"/>
      <c r="G2215" s="41"/>
      <c r="H2215" s="41"/>
      <c r="I2215" s="41"/>
      <c r="J2215" s="41"/>
      <c r="K2215" s="41"/>
      <c r="L2215" s="42"/>
      <c r="M2215" s="121"/>
      <c r="N2215" s="121"/>
      <c r="O2215" s="121"/>
      <c r="P2215" s="121"/>
      <c r="Q2215" s="121"/>
      <c r="R2215" s="121"/>
      <c r="S2215" s="121"/>
      <c r="T2215" s="42"/>
      <c r="U2215" s="122"/>
      <c r="V2215" s="42"/>
      <c r="W2215" s="42"/>
      <c r="X2215" s="42"/>
      <c r="Y2215" s="42"/>
      <c r="Z2215" s="42"/>
      <c r="AA2215" s="42"/>
      <c r="AB2215" s="42"/>
    </row>
    <row r="2216" spans="1:28" x14ac:dyDescent="0.25">
      <c r="A2216" s="42"/>
      <c r="B2216" s="121"/>
      <c r="C2216" s="41"/>
      <c r="D2216" s="41"/>
      <c r="E2216" s="41"/>
      <c r="F2216" s="41"/>
      <c r="G2216" s="41"/>
      <c r="H2216" s="41"/>
      <c r="I2216" s="41"/>
      <c r="J2216" s="41"/>
      <c r="K2216" s="41"/>
      <c r="L2216" s="42"/>
      <c r="M2216" s="121"/>
      <c r="N2216" s="121"/>
      <c r="O2216" s="121"/>
      <c r="P2216" s="121"/>
      <c r="Q2216" s="121"/>
      <c r="R2216" s="121"/>
      <c r="S2216" s="121"/>
      <c r="T2216" s="42"/>
      <c r="U2216" s="122"/>
      <c r="V2216" s="42"/>
      <c r="W2216" s="42"/>
      <c r="X2216" s="42"/>
      <c r="Y2216" s="42"/>
      <c r="Z2216" s="42"/>
      <c r="AA2216" s="42"/>
      <c r="AB2216" s="42"/>
    </row>
    <row r="2217" spans="1:28" x14ac:dyDescent="0.25">
      <c r="A2217" s="42"/>
      <c r="B2217" s="121"/>
      <c r="C2217" s="41"/>
      <c r="D2217" s="41"/>
      <c r="E2217" s="41"/>
      <c r="F2217" s="41"/>
      <c r="G2217" s="41"/>
      <c r="H2217" s="41"/>
      <c r="I2217" s="41"/>
      <c r="J2217" s="41"/>
      <c r="K2217" s="41"/>
      <c r="L2217" s="42"/>
      <c r="M2217" s="121"/>
      <c r="N2217" s="121"/>
      <c r="O2217" s="121"/>
      <c r="P2217" s="121"/>
      <c r="Q2217" s="121"/>
      <c r="R2217" s="121"/>
      <c r="S2217" s="121"/>
      <c r="T2217" s="42"/>
      <c r="U2217" s="122"/>
      <c r="V2217" s="42"/>
      <c r="W2217" s="42"/>
      <c r="X2217" s="42"/>
      <c r="Y2217" s="42"/>
      <c r="Z2217" s="42"/>
      <c r="AA2217" s="42"/>
      <c r="AB2217" s="42"/>
    </row>
    <row r="2218" spans="1:28" x14ac:dyDescent="0.25">
      <c r="A2218" s="42"/>
      <c r="B2218" s="121"/>
      <c r="C2218" s="41"/>
      <c r="D2218" s="41"/>
      <c r="E2218" s="41"/>
      <c r="F2218" s="41"/>
      <c r="G2218" s="41"/>
      <c r="H2218" s="41"/>
      <c r="I2218" s="41"/>
      <c r="J2218" s="41"/>
      <c r="K2218" s="41"/>
      <c r="L2218" s="42"/>
      <c r="M2218" s="121"/>
      <c r="N2218" s="121"/>
      <c r="O2218" s="121"/>
      <c r="P2218" s="121"/>
      <c r="Q2218" s="121"/>
      <c r="R2218" s="121"/>
      <c r="S2218" s="121"/>
      <c r="T2218" s="42"/>
      <c r="U2218" s="122"/>
      <c r="V2218" s="42"/>
      <c r="W2218" s="42"/>
      <c r="X2218" s="42"/>
      <c r="Y2218" s="42"/>
      <c r="Z2218" s="42"/>
      <c r="AA2218" s="42"/>
      <c r="AB2218" s="42"/>
    </row>
    <row r="2219" spans="1:28" x14ac:dyDescent="0.25">
      <c r="A2219" s="42"/>
      <c r="B2219" s="121"/>
      <c r="C2219" s="41"/>
      <c r="D2219" s="41"/>
      <c r="E2219" s="41"/>
      <c r="F2219" s="41"/>
      <c r="G2219" s="41"/>
      <c r="H2219" s="41"/>
      <c r="I2219" s="41"/>
      <c r="J2219" s="41"/>
      <c r="K2219" s="41"/>
      <c r="L2219" s="42"/>
      <c r="M2219" s="121"/>
      <c r="N2219" s="121"/>
      <c r="O2219" s="121"/>
      <c r="P2219" s="121"/>
      <c r="Q2219" s="121"/>
      <c r="R2219" s="121"/>
      <c r="S2219" s="121"/>
      <c r="T2219" s="42"/>
      <c r="U2219" s="122"/>
      <c r="V2219" s="42"/>
      <c r="W2219" s="42"/>
      <c r="X2219" s="42"/>
      <c r="Y2219" s="42"/>
      <c r="Z2219" s="42"/>
      <c r="AA2219" s="42"/>
      <c r="AB2219" s="42"/>
    </row>
    <row r="2220" spans="1:28" x14ac:dyDescent="0.25">
      <c r="A2220" s="42"/>
      <c r="B2220" s="121"/>
      <c r="C2220" s="41"/>
      <c r="D2220" s="41"/>
      <c r="E2220" s="41"/>
      <c r="F2220" s="41"/>
      <c r="G2220" s="41"/>
      <c r="H2220" s="41"/>
      <c r="I2220" s="41"/>
      <c r="J2220" s="41"/>
      <c r="K2220" s="41"/>
      <c r="L2220" s="42"/>
      <c r="M2220" s="121"/>
      <c r="N2220" s="121"/>
      <c r="O2220" s="121"/>
      <c r="P2220" s="121"/>
      <c r="Q2220" s="121"/>
      <c r="R2220" s="121"/>
      <c r="S2220" s="121"/>
      <c r="T2220" s="42"/>
      <c r="U2220" s="122"/>
      <c r="V2220" s="42"/>
      <c r="W2220" s="42"/>
      <c r="X2220" s="42"/>
      <c r="Y2220" s="42"/>
      <c r="Z2220" s="42"/>
      <c r="AA2220" s="42"/>
      <c r="AB2220" s="42"/>
    </row>
    <row r="2221" spans="1:28" x14ac:dyDescent="0.25">
      <c r="A2221" s="42"/>
      <c r="B2221" s="121"/>
      <c r="C2221" s="41"/>
      <c r="D2221" s="41"/>
      <c r="E2221" s="41"/>
      <c r="F2221" s="41"/>
      <c r="G2221" s="41"/>
      <c r="H2221" s="41"/>
      <c r="I2221" s="41"/>
      <c r="J2221" s="41"/>
      <c r="K2221" s="41"/>
      <c r="L2221" s="42"/>
      <c r="M2221" s="121"/>
      <c r="N2221" s="121"/>
      <c r="O2221" s="121"/>
      <c r="P2221" s="121"/>
      <c r="Q2221" s="121"/>
      <c r="R2221" s="121"/>
      <c r="S2221" s="121"/>
      <c r="T2221" s="42"/>
      <c r="U2221" s="122"/>
      <c r="V2221" s="42"/>
      <c r="W2221" s="42"/>
      <c r="X2221" s="42"/>
      <c r="Y2221" s="42"/>
      <c r="Z2221" s="42"/>
      <c r="AA2221" s="42"/>
      <c r="AB2221" s="42"/>
    </row>
    <row r="2222" spans="1:28" x14ac:dyDescent="0.25">
      <c r="A2222" s="42"/>
      <c r="B2222" s="121"/>
      <c r="C2222" s="41"/>
      <c r="D2222" s="41"/>
      <c r="E2222" s="41"/>
      <c r="F2222" s="41"/>
      <c r="G2222" s="41"/>
      <c r="H2222" s="41"/>
      <c r="I2222" s="41"/>
      <c r="J2222" s="41"/>
      <c r="K2222" s="41"/>
      <c r="L2222" s="42"/>
      <c r="M2222" s="121"/>
      <c r="N2222" s="121"/>
      <c r="O2222" s="121"/>
      <c r="P2222" s="121"/>
      <c r="Q2222" s="121"/>
      <c r="R2222" s="121"/>
      <c r="S2222" s="121"/>
      <c r="T2222" s="42"/>
      <c r="U2222" s="122"/>
      <c r="V2222" s="42"/>
      <c r="W2222" s="42"/>
      <c r="X2222" s="42"/>
      <c r="Y2222" s="42"/>
      <c r="Z2222" s="42"/>
      <c r="AA2222" s="42"/>
      <c r="AB2222" s="42"/>
    </row>
    <row r="2223" spans="1:28" x14ac:dyDescent="0.25">
      <c r="A2223" s="42"/>
      <c r="B2223" s="121"/>
      <c r="C2223" s="41"/>
      <c r="D2223" s="41"/>
      <c r="E2223" s="41"/>
      <c r="F2223" s="41"/>
      <c r="G2223" s="41"/>
      <c r="H2223" s="41"/>
      <c r="I2223" s="41"/>
      <c r="J2223" s="41"/>
      <c r="K2223" s="41"/>
      <c r="L2223" s="42"/>
      <c r="M2223" s="121"/>
      <c r="N2223" s="121"/>
      <c r="O2223" s="121"/>
      <c r="P2223" s="121"/>
      <c r="Q2223" s="121"/>
      <c r="R2223" s="121"/>
      <c r="S2223" s="121"/>
      <c r="T2223" s="42"/>
      <c r="U2223" s="122"/>
      <c r="V2223" s="42"/>
      <c r="W2223" s="42"/>
      <c r="X2223" s="42"/>
      <c r="Y2223" s="42"/>
      <c r="Z2223" s="42"/>
      <c r="AA2223" s="42"/>
      <c r="AB2223" s="42"/>
    </row>
    <row r="2224" spans="1:28" x14ac:dyDescent="0.25">
      <c r="A2224" s="42"/>
      <c r="B2224" s="121"/>
      <c r="C2224" s="41"/>
      <c r="D2224" s="41"/>
      <c r="E2224" s="41"/>
      <c r="F2224" s="41"/>
      <c r="G2224" s="41"/>
      <c r="H2224" s="41"/>
      <c r="I2224" s="41"/>
      <c r="J2224" s="41"/>
      <c r="K2224" s="41"/>
      <c r="L2224" s="42"/>
      <c r="M2224" s="121"/>
      <c r="N2224" s="121"/>
      <c r="O2224" s="121"/>
      <c r="P2224" s="121"/>
      <c r="Q2224" s="121"/>
      <c r="R2224" s="121"/>
      <c r="S2224" s="121"/>
      <c r="T2224" s="42"/>
      <c r="U2224" s="122"/>
      <c r="V2224" s="42"/>
      <c r="W2224" s="42"/>
      <c r="X2224" s="42"/>
      <c r="Y2224" s="42"/>
      <c r="Z2224" s="42"/>
      <c r="AA2224" s="42"/>
      <c r="AB2224" s="42"/>
    </row>
    <row r="2225" spans="1:28" x14ac:dyDescent="0.25">
      <c r="A2225" s="42"/>
      <c r="B2225" s="121"/>
      <c r="C2225" s="41"/>
      <c r="D2225" s="41"/>
      <c r="E2225" s="41"/>
      <c r="F2225" s="41"/>
      <c r="G2225" s="41"/>
      <c r="H2225" s="41"/>
      <c r="I2225" s="41"/>
      <c r="J2225" s="41"/>
      <c r="K2225" s="41"/>
      <c r="L2225" s="42"/>
      <c r="M2225" s="121"/>
      <c r="N2225" s="121"/>
      <c r="O2225" s="121"/>
      <c r="P2225" s="121"/>
      <c r="Q2225" s="121"/>
      <c r="R2225" s="121"/>
      <c r="S2225" s="121"/>
      <c r="T2225" s="42"/>
      <c r="U2225" s="122"/>
      <c r="V2225" s="42"/>
      <c r="W2225" s="42"/>
      <c r="X2225" s="42"/>
      <c r="Y2225" s="42"/>
      <c r="Z2225" s="42"/>
      <c r="AA2225" s="42"/>
      <c r="AB2225" s="42"/>
    </row>
    <row r="2226" spans="1:28" x14ac:dyDescent="0.25">
      <c r="A2226" s="42"/>
      <c r="B2226" s="121"/>
      <c r="C2226" s="41"/>
      <c r="D2226" s="41"/>
      <c r="E2226" s="41"/>
      <c r="F2226" s="41"/>
      <c r="G2226" s="41"/>
      <c r="H2226" s="41"/>
      <c r="I2226" s="41"/>
      <c r="J2226" s="41"/>
      <c r="K2226" s="41"/>
      <c r="L2226" s="42"/>
      <c r="M2226" s="121"/>
      <c r="N2226" s="121"/>
      <c r="O2226" s="121"/>
      <c r="P2226" s="121"/>
      <c r="Q2226" s="121"/>
      <c r="R2226" s="121"/>
      <c r="S2226" s="121"/>
      <c r="T2226" s="42"/>
      <c r="U2226" s="122"/>
      <c r="V2226" s="42"/>
      <c r="W2226" s="42"/>
      <c r="X2226" s="42"/>
      <c r="Y2226" s="42"/>
      <c r="Z2226" s="42"/>
      <c r="AA2226" s="42"/>
      <c r="AB2226" s="42"/>
    </row>
    <row r="2227" spans="1:28" x14ac:dyDescent="0.25">
      <c r="A2227" s="42"/>
      <c r="B2227" s="121"/>
      <c r="C2227" s="41"/>
      <c r="D2227" s="41"/>
      <c r="E2227" s="41"/>
      <c r="F2227" s="41"/>
      <c r="G2227" s="41"/>
      <c r="H2227" s="41"/>
      <c r="I2227" s="41"/>
      <c r="J2227" s="41"/>
      <c r="K2227" s="41"/>
      <c r="L2227" s="42"/>
      <c r="M2227" s="121"/>
      <c r="N2227" s="121"/>
      <c r="O2227" s="121"/>
      <c r="P2227" s="121"/>
      <c r="Q2227" s="121"/>
      <c r="R2227" s="121"/>
      <c r="S2227" s="121"/>
      <c r="T2227" s="42"/>
      <c r="U2227" s="122"/>
      <c r="V2227" s="42"/>
      <c r="W2227" s="42"/>
      <c r="X2227" s="42"/>
      <c r="Y2227" s="42"/>
      <c r="Z2227" s="42"/>
      <c r="AA2227" s="42"/>
      <c r="AB2227" s="42"/>
    </row>
    <row r="2228" spans="1:28" x14ac:dyDescent="0.25">
      <c r="A2228" s="42"/>
      <c r="B2228" s="121"/>
      <c r="C2228" s="41"/>
      <c r="D2228" s="41"/>
      <c r="E2228" s="41"/>
      <c r="F2228" s="41"/>
      <c r="G2228" s="41"/>
      <c r="H2228" s="41"/>
      <c r="I2228" s="41"/>
      <c r="J2228" s="41"/>
      <c r="K2228" s="41"/>
      <c r="L2228" s="42"/>
      <c r="M2228" s="121"/>
      <c r="N2228" s="121"/>
      <c r="O2228" s="121"/>
      <c r="P2228" s="121"/>
      <c r="Q2228" s="121"/>
      <c r="R2228" s="121"/>
      <c r="S2228" s="121"/>
      <c r="T2228" s="42"/>
      <c r="U2228" s="122"/>
      <c r="V2228" s="42"/>
      <c r="W2228" s="42"/>
      <c r="X2228" s="42"/>
      <c r="Y2228" s="42"/>
      <c r="Z2228" s="42"/>
      <c r="AA2228" s="42"/>
      <c r="AB2228" s="42"/>
    </row>
    <row r="2229" spans="1:28" x14ac:dyDescent="0.25">
      <c r="A2229" s="42"/>
      <c r="B2229" s="121"/>
      <c r="C2229" s="41"/>
      <c r="D2229" s="41"/>
      <c r="E2229" s="41"/>
      <c r="F2229" s="41"/>
      <c r="G2229" s="41"/>
      <c r="H2229" s="41"/>
      <c r="I2229" s="41"/>
      <c r="J2229" s="41"/>
      <c r="K2229" s="41"/>
      <c r="L2229" s="42"/>
      <c r="M2229" s="121"/>
      <c r="N2229" s="121"/>
      <c r="O2229" s="121"/>
      <c r="P2229" s="121"/>
      <c r="Q2229" s="121"/>
      <c r="R2229" s="121"/>
      <c r="S2229" s="121"/>
      <c r="T2229" s="42"/>
      <c r="U2229" s="122"/>
      <c r="V2229" s="42"/>
      <c r="W2229" s="42"/>
      <c r="X2229" s="42"/>
      <c r="Y2229" s="42"/>
      <c r="Z2229" s="42"/>
      <c r="AA2229" s="42"/>
      <c r="AB2229" s="42"/>
    </row>
    <row r="2230" spans="1:28" x14ac:dyDescent="0.25">
      <c r="A2230" s="42"/>
      <c r="B2230" s="121"/>
      <c r="C2230" s="41"/>
      <c r="D2230" s="41"/>
      <c r="E2230" s="41"/>
      <c r="F2230" s="41"/>
      <c r="G2230" s="41"/>
      <c r="H2230" s="41"/>
      <c r="I2230" s="41"/>
      <c r="J2230" s="41"/>
      <c r="K2230" s="41"/>
      <c r="L2230" s="42"/>
      <c r="M2230" s="121"/>
      <c r="N2230" s="121"/>
      <c r="O2230" s="121"/>
      <c r="P2230" s="121"/>
      <c r="Q2230" s="121"/>
      <c r="R2230" s="121"/>
      <c r="S2230" s="121"/>
      <c r="T2230" s="42"/>
      <c r="U2230" s="122"/>
      <c r="V2230" s="42"/>
      <c r="W2230" s="42"/>
      <c r="X2230" s="42"/>
      <c r="Y2230" s="42"/>
      <c r="Z2230" s="42"/>
      <c r="AA2230" s="42"/>
      <c r="AB2230" s="42"/>
    </row>
    <row r="2231" spans="1:28" x14ac:dyDescent="0.25">
      <c r="A2231" s="42"/>
      <c r="B2231" s="121"/>
      <c r="C2231" s="41"/>
      <c r="D2231" s="41"/>
      <c r="E2231" s="41"/>
      <c r="F2231" s="41"/>
      <c r="G2231" s="41"/>
      <c r="H2231" s="41"/>
      <c r="I2231" s="41"/>
      <c r="J2231" s="41"/>
      <c r="K2231" s="41"/>
      <c r="L2231" s="42"/>
      <c r="M2231" s="121"/>
      <c r="N2231" s="121"/>
      <c r="O2231" s="121"/>
      <c r="P2231" s="121"/>
      <c r="Q2231" s="121"/>
      <c r="R2231" s="121"/>
      <c r="S2231" s="121"/>
      <c r="T2231" s="42"/>
      <c r="U2231" s="122"/>
      <c r="V2231" s="42"/>
      <c r="W2231" s="42"/>
      <c r="X2231" s="42"/>
      <c r="Y2231" s="42"/>
      <c r="Z2231" s="42"/>
      <c r="AA2231" s="42"/>
      <c r="AB2231" s="42"/>
    </row>
    <row r="2232" spans="1:28" x14ac:dyDescent="0.25">
      <c r="A2232" s="42"/>
      <c r="B2232" s="121"/>
      <c r="C2232" s="41"/>
      <c r="D2232" s="41"/>
      <c r="E2232" s="41"/>
      <c r="F2232" s="41"/>
      <c r="G2232" s="41"/>
      <c r="H2232" s="41"/>
      <c r="I2232" s="41"/>
      <c r="J2232" s="41"/>
      <c r="K2232" s="41"/>
      <c r="L2232" s="42"/>
      <c r="M2232" s="121"/>
      <c r="N2232" s="121"/>
      <c r="O2232" s="121"/>
      <c r="P2232" s="121"/>
      <c r="Q2232" s="121"/>
      <c r="R2232" s="121"/>
      <c r="S2232" s="121"/>
      <c r="T2232" s="42"/>
      <c r="U2232" s="122"/>
      <c r="V2232" s="42"/>
      <c r="W2232" s="42"/>
      <c r="X2232" s="42"/>
      <c r="Y2232" s="42"/>
      <c r="Z2232" s="42"/>
      <c r="AA2232" s="42"/>
      <c r="AB2232" s="42"/>
    </row>
    <row r="2233" spans="1:28" x14ac:dyDescent="0.25">
      <c r="A2233" s="42"/>
      <c r="B2233" s="121"/>
      <c r="C2233" s="41"/>
      <c r="D2233" s="41"/>
      <c r="E2233" s="41"/>
      <c r="F2233" s="41"/>
      <c r="G2233" s="41"/>
      <c r="H2233" s="41"/>
      <c r="I2233" s="41"/>
      <c r="J2233" s="41"/>
      <c r="K2233" s="41"/>
      <c r="L2233" s="42"/>
      <c r="M2233" s="121"/>
      <c r="N2233" s="121"/>
      <c r="O2233" s="121"/>
      <c r="P2233" s="121"/>
      <c r="Q2233" s="121"/>
      <c r="R2233" s="121"/>
      <c r="S2233" s="121"/>
      <c r="T2233" s="42"/>
      <c r="U2233" s="122"/>
      <c r="V2233" s="42"/>
      <c r="W2233" s="42"/>
      <c r="X2233" s="42"/>
      <c r="Y2233" s="42"/>
      <c r="Z2233" s="42"/>
      <c r="AA2233" s="42"/>
      <c r="AB2233" s="42"/>
    </row>
    <row r="2234" spans="1:28" x14ac:dyDescent="0.25">
      <c r="A2234" s="42"/>
      <c r="B2234" s="121"/>
      <c r="C2234" s="41"/>
      <c r="D2234" s="41"/>
      <c r="E2234" s="41"/>
      <c r="F2234" s="41"/>
      <c r="G2234" s="41"/>
      <c r="H2234" s="41"/>
      <c r="I2234" s="41"/>
      <c r="J2234" s="41"/>
      <c r="K2234" s="41"/>
      <c r="L2234" s="42"/>
      <c r="M2234" s="121"/>
      <c r="N2234" s="121"/>
      <c r="O2234" s="121"/>
      <c r="P2234" s="121"/>
      <c r="Q2234" s="121"/>
      <c r="R2234" s="121"/>
      <c r="S2234" s="121"/>
      <c r="T2234" s="42"/>
      <c r="U2234" s="122"/>
      <c r="V2234" s="42"/>
      <c r="W2234" s="42"/>
      <c r="X2234" s="42"/>
      <c r="Y2234" s="42"/>
      <c r="Z2234" s="42"/>
      <c r="AA2234" s="42"/>
      <c r="AB2234" s="42"/>
    </row>
    <row r="2235" spans="1:28" x14ac:dyDescent="0.25">
      <c r="A2235" s="42"/>
      <c r="B2235" s="121"/>
      <c r="C2235" s="41"/>
      <c r="D2235" s="41"/>
      <c r="E2235" s="41"/>
      <c r="F2235" s="41"/>
      <c r="G2235" s="41"/>
      <c r="H2235" s="41"/>
      <c r="I2235" s="41"/>
      <c r="J2235" s="41"/>
      <c r="K2235" s="41"/>
      <c r="L2235" s="42"/>
      <c r="M2235" s="121"/>
      <c r="N2235" s="121"/>
      <c r="O2235" s="121"/>
      <c r="P2235" s="121"/>
      <c r="Q2235" s="121"/>
      <c r="R2235" s="121"/>
      <c r="S2235" s="121"/>
      <c r="T2235" s="42"/>
      <c r="U2235" s="122"/>
      <c r="V2235" s="42"/>
      <c r="W2235" s="42"/>
      <c r="X2235" s="42"/>
      <c r="Y2235" s="42"/>
      <c r="Z2235" s="42"/>
      <c r="AA2235" s="42"/>
      <c r="AB2235" s="42"/>
    </row>
    <row r="2236" spans="1:28" x14ac:dyDescent="0.25">
      <c r="A2236" s="42"/>
      <c r="B2236" s="121"/>
      <c r="C2236" s="41"/>
      <c r="D2236" s="41"/>
      <c r="E2236" s="41"/>
      <c r="F2236" s="41"/>
      <c r="G2236" s="41"/>
      <c r="H2236" s="41"/>
      <c r="I2236" s="41"/>
      <c r="J2236" s="41"/>
      <c r="K2236" s="41"/>
      <c r="L2236" s="42"/>
      <c r="M2236" s="121"/>
      <c r="N2236" s="121"/>
      <c r="O2236" s="121"/>
      <c r="P2236" s="121"/>
      <c r="Q2236" s="121"/>
      <c r="R2236" s="121"/>
      <c r="S2236" s="121"/>
      <c r="T2236" s="42"/>
      <c r="U2236" s="122"/>
      <c r="V2236" s="42"/>
      <c r="W2236" s="42"/>
      <c r="X2236" s="42"/>
      <c r="Y2236" s="42"/>
      <c r="Z2236" s="42"/>
      <c r="AA2236" s="42"/>
      <c r="AB2236" s="42"/>
    </row>
    <row r="2237" spans="1:28" x14ac:dyDescent="0.25">
      <c r="A2237" s="42"/>
      <c r="B2237" s="121"/>
      <c r="C2237" s="41"/>
      <c r="D2237" s="41"/>
      <c r="E2237" s="41"/>
      <c r="F2237" s="41"/>
      <c r="G2237" s="41"/>
      <c r="H2237" s="41"/>
      <c r="I2237" s="41"/>
      <c r="J2237" s="41"/>
      <c r="K2237" s="41"/>
      <c r="L2237" s="42"/>
      <c r="M2237" s="121"/>
      <c r="N2237" s="121"/>
      <c r="O2237" s="121"/>
      <c r="P2237" s="121"/>
      <c r="Q2237" s="121"/>
      <c r="R2237" s="121"/>
      <c r="S2237" s="121"/>
      <c r="T2237" s="42"/>
      <c r="U2237" s="122"/>
      <c r="V2237" s="42"/>
      <c r="W2237" s="42"/>
      <c r="X2237" s="42"/>
      <c r="Y2237" s="42"/>
      <c r="Z2237" s="42"/>
      <c r="AA2237" s="42"/>
      <c r="AB2237" s="42"/>
    </row>
    <row r="2238" spans="1:28" x14ac:dyDescent="0.25">
      <c r="A2238" s="42"/>
      <c r="B2238" s="121"/>
      <c r="C2238" s="41"/>
      <c r="D2238" s="41"/>
      <c r="E2238" s="41"/>
      <c r="F2238" s="41"/>
      <c r="G2238" s="41"/>
      <c r="H2238" s="41"/>
      <c r="I2238" s="41"/>
      <c r="J2238" s="41"/>
      <c r="K2238" s="41"/>
      <c r="L2238" s="42"/>
      <c r="M2238" s="121"/>
      <c r="N2238" s="121"/>
      <c r="O2238" s="121"/>
      <c r="P2238" s="121"/>
      <c r="Q2238" s="121"/>
      <c r="R2238" s="121"/>
      <c r="S2238" s="121"/>
      <c r="T2238" s="42"/>
      <c r="U2238" s="122"/>
      <c r="V2238" s="42"/>
      <c r="W2238" s="42"/>
      <c r="X2238" s="42"/>
      <c r="Y2238" s="42"/>
      <c r="Z2238" s="42"/>
      <c r="AA2238" s="42"/>
      <c r="AB2238" s="42"/>
    </row>
    <row r="2239" spans="1:28" x14ac:dyDescent="0.25">
      <c r="A2239" s="42"/>
      <c r="B2239" s="121"/>
      <c r="C2239" s="41"/>
      <c r="D2239" s="41"/>
      <c r="E2239" s="41"/>
      <c r="F2239" s="41"/>
      <c r="G2239" s="41"/>
      <c r="H2239" s="41"/>
      <c r="I2239" s="41"/>
      <c r="J2239" s="41"/>
      <c r="K2239" s="41"/>
      <c r="L2239" s="42"/>
      <c r="M2239" s="121"/>
      <c r="N2239" s="121"/>
      <c r="O2239" s="121"/>
      <c r="P2239" s="121"/>
      <c r="Q2239" s="121"/>
      <c r="R2239" s="121"/>
      <c r="S2239" s="121"/>
      <c r="T2239" s="42"/>
      <c r="U2239" s="122"/>
      <c r="V2239" s="42"/>
      <c r="W2239" s="42"/>
      <c r="X2239" s="42"/>
      <c r="Y2239" s="42"/>
      <c r="Z2239" s="42"/>
      <c r="AA2239" s="42"/>
      <c r="AB2239" s="42"/>
    </row>
    <row r="2240" spans="1:28" x14ac:dyDescent="0.25">
      <c r="A2240" s="42"/>
      <c r="B2240" s="121"/>
      <c r="C2240" s="41"/>
      <c r="D2240" s="41"/>
      <c r="E2240" s="41"/>
      <c r="F2240" s="41"/>
      <c r="G2240" s="41"/>
      <c r="H2240" s="41"/>
      <c r="I2240" s="41"/>
      <c r="J2240" s="41"/>
      <c r="K2240" s="41"/>
      <c r="L2240" s="42"/>
      <c r="M2240" s="121"/>
      <c r="N2240" s="121"/>
      <c r="O2240" s="121"/>
      <c r="P2240" s="121"/>
      <c r="Q2240" s="121"/>
      <c r="R2240" s="121"/>
      <c r="S2240" s="121"/>
      <c r="T2240" s="42"/>
      <c r="U2240" s="122"/>
      <c r="V2240" s="42"/>
      <c r="W2240" s="42"/>
      <c r="X2240" s="42"/>
      <c r="Y2240" s="42"/>
      <c r="Z2240" s="42"/>
      <c r="AA2240" s="42"/>
      <c r="AB2240" s="42"/>
    </row>
    <row r="2241" spans="1:28" x14ac:dyDescent="0.25">
      <c r="A2241" s="42"/>
      <c r="B2241" s="121"/>
      <c r="C2241" s="41"/>
      <c r="D2241" s="41"/>
      <c r="E2241" s="41"/>
      <c r="F2241" s="41"/>
      <c r="G2241" s="41"/>
      <c r="H2241" s="41"/>
      <c r="I2241" s="41"/>
      <c r="J2241" s="41"/>
      <c r="K2241" s="41"/>
      <c r="L2241" s="42"/>
      <c r="M2241" s="121"/>
      <c r="N2241" s="121"/>
      <c r="O2241" s="121"/>
      <c r="P2241" s="121"/>
      <c r="Q2241" s="121"/>
      <c r="R2241" s="121"/>
      <c r="S2241" s="121"/>
      <c r="T2241" s="42"/>
      <c r="U2241" s="122"/>
      <c r="V2241" s="42"/>
      <c r="W2241" s="42"/>
      <c r="X2241" s="42"/>
      <c r="Y2241" s="42"/>
      <c r="Z2241" s="42"/>
      <c r="AA2241" s="42"/>
      <c r="AB2241" s="42"/>
    </row>
    <row r="2242" spans="1:28" x14ac:dyDescent="0.25">
      <c r="A2242" s="42"/>
      <c r="B2242" s="121"/>
      <c r="C2242" s="41"/>
      <c r="D2242" s="41"/>
      <c r="E2242" s="41"/>
      <c r="F2242" s="41"/>
      <c r="G2242" s="41"/>
      <c r="H2242" s="41"/>
      <c r="I2242" s="41"/>
      <c r="J2242" s="41"/>
      <c r="K2242" s="41"/>
      <c r="L2242" s="42"/>
      <c r="M2242" s="121"/>
      <c r="N2242" s="121"/>
      <c r="O2242" s="121"/>
      <c r="P2242" s="121"/>
      <c r="Q2242" s="121"/>
      <c r="R2242" s="121"/>
      <c r="S2242" s="121"/>
      <c r="T2242" s="42"/>
      <c r="U2242" s="122"/>
      <c r="V2242" s="42"/>
      <c r="W2242" s="42"/>
      <c r="X2242" s="42"/>
      <c r="Y2242" s="42"/>
      <c r="Z2242" s="42"/>
      <c r="AA2242" s="42"/>
      <c r="AB2242" s="42"/>
    </row>
    <row r="2243" spans="1:28" x14ac:dyDescent="0.25">
      <c r="A2243" s="42"/>
      <c r="B2243" s="121"/>
      <c r="C2243" s="41"/>
      <c r="D2243" s="41"/>
      <c r="E2243" s="41"/>
      <c r="F2243" s="41"/>
      <c r="G2243" s="41"/>
      <c r="H2243" s="41"/>
      <c r="I2243" s="41"/>
      <c r="J2243" s="41"/>
      <c r="K2243" s="41"/>
      <c r="L2243" s="42"/>
      <c r="M2243" s="121"/>
      <c r="N2243" s="121"/>
      <c r="O2243" s="121"/>
      <c r="P2243" s="121"/>
      <c r="Q2243" s="121"/>
      <c r="R2243" s="121"/>
      <c r="S2243" s="121"/>
      <c r="T2243" s="42"/>
      <c r="U2243" s="122"/>
      <c r="V2243" s="42"/>
      <c r="W2243" s="42"/>
      <c r="X2243" s="42"/>
      <c r="Y2243" s="42"/>
      <c r="Z2243" s="42"/>
      <c r="AA2243" s="42"/>
      <c r="AB2243" s="42"/>
    </row>
    <row r="2244" spans="1:28" x14ac:dyDescent="0.25">
      <c r="A2244" s="42"/>
      <c r="B2244" s="121"/>
      <c r="C2244" s="41"/>
      <c r="D2244" s="41"/>
      <c r="E2244" s="41"/>
      <c r="F2244" s="41"/>
      <c r="G2244" s="41"/>
      <c r="H2244" s="41"/>
      <c r="I2244" s="41"/>
      <c r="J2244" s="41"/>
      <c r="K2244" s="41"/>
      <c r="L2244" s="42"/>
      <c r="M2244" s="121"/>
      <c r="N2244" s="121"/>
      <c r="O2244" s="121"/>
      <c r="P2244" s="121"/>
      <c r="Q2244" s="121"/>
      <c r="R2244" s="121"/>
      <c r="S2244" s="121"/>
      <c r="T2244" s="42"/>
      <c r="U2244" s="122"/>
      <c r="V2244" s="42"/>
      <c r="W2244" s="42"/>
      <c r="X2244" s="42"/>
      <c r="Y2244" s="42"/>
      <c r="Z2244" s="42"/>
      <c r="AA2244" s="42"/>
      <c r="AB2244" s="42"/>
    </row>
    <row r="2245" spans="1:28" x14ac:dyDescent="0.25">
      <c r="A2245" s="42"/>
      <c r="B2245" s="121"/>
      <c r="C2245" s="41"/>
      <c r="D2245" s="41"/>
      <c r="E2245" s="41"/>
      <c r="F2245" s="41"/>
      <c r="G2245" s="41"/>
      <c r="H2245" s="41"/>
      <c r="I2245" s="41"/>
      <c r="J2245" s="41"/>
      <c r="K2245" s="41"/>
      <c r="L2245" s="42"/>
      <c r="M2245" s="121"/>
      <c r="N2245" s="121"/>
      <c r="O2245" s="121"/>
      <c r="P2245" s="121"/>
      <c r="Q2245" s="121"/>
      <c r="R2245" s="121"/>
      <c r="S2245" s="121"/>
      <c r="T2245" s="42"/>
      <c r="U2245" s="122"/>
      <c r="V2245" s="42"/>
      <c r="W2245" s="42"/>
      <c r="X2245" s="42"/>
      <c r="Y2245" s="42"/>
      <c r="Z2245" s="42"/>
      <c r="AA2245" s="42"/>
      <c r="AB2245" s="42"/>
    </row>
    <row r="2246" spans="1:28" x14ac:dyDescent="0.25">
      <c r="A2246" s="42"/>
      <c r="B2246" s="121"/>
      <c r="C2246" s="41"/>
      <c r="D2246" s="41"/>
      <c r="E2246" s="41"/>
      <c r="F2246" s="41"/>
      <c r="G2246" s="41"/>
      <c r="H2246" s="41"/>
      <c r="I2246" s="41"/>
      <c r="J2246" s="41"/>
      <c r="K2246" s="41"/>
      <c r="L2246" s="42"/>
      <c r="M2246" s="121"/>
      <c r="N2246" s="121"/>
      <c r="O2246" s="121"/>
      <c r="P2246" s="121"/>
      <c r="Q2246" s="121"/>
      <c r="R2246" s="121"/>
      <c r="S2246" s="121"/>
      <c r="T2246" s="42"/>
      <c r="U2246" s="122"/>
      <c r="V2246" s="42"/>
      <c r="W2246" s="42"/>
      <c r="X2246" s="42"/>
      <c r="Y2246" s="42"/>
      <c r="Z2246" s="42"/>
      <c r="AA2246" s="42"/>
      <c r="AB2246" s="42"/>
    </row>
    <row r="2247" spans="1:28" x14ac:dyDescent="0.25">
      <c r="A2247" s="42"/>
      <c r="B2247" s="121"/>
      <c r="C2247" s="41"/>
      <c r="D2247" s="41"/>
      <c r="E2247" s="41"/>
      <c r="F2247" s="41"/>
      <c r="G2247" s="41"/>
      <c r="H2247" s="41"/>
      <c r="I2247" s="41"/>
      <c r="J2247" s="41"/>
      <c r="K2247" s="41"/>
      <c r="L2247" s="42"/>
      <c r="M2247" s="121"/>
      <c r="N2247" s="121"/>
      <c r="O2247" s="121"/>
      <c r="P2247" s="121"/>
      <c r="Q2247" s="121"/>
      <c r="R2247" s="121"/>
      <c r="S2247" s="121"/>
      <c r="T2247" s="42"/>
      <c r="U2247" s="122"/>
      <c r="V2247" s="42"/>
      <c r="W2247" s="42"/>
      <c r="X2247" s="42"/>
      <c r="Y2247" s="42"/>
      <c r="Z2247" s="42"/>
      <c r="AA2247" s="42"/>
      <c r="AB2247" s="42"/>
    </row>
    <row r="2248" spans="1:28" x14ac:dyDescent="0.25">
      <c r="A2248" s="42"/>
      <c r="B2248" s="121"/>
      <c r="C2248" s="41"/>
      <c r="D2248" s="41"/>
      <c r="E2248" s="41"/>
      <c r="F2248" s="41"/>
      <c r="G2248" s="41"/>
      <c r="H2248" s="41"/>
      <c r="I2248" s="41"/>
      <c r="J2248" s="41"/>
      <c r="K2248" s="41"/>
      <c r="L2248" s="42"/>
      <c r="M2248" s="121"/>
      <c r="N2248" s="121"/>
      <c r="O2248" s="121"/>
      <c r="P2248" s="121"/>
      <c r="Q2248" s="121"/>
      <c r="R2248" s="121"/>
      <c r="S2248" s="121"/>
      <c r="T2248" s="42"/>
      <c r="U2248" s="122"/>
      <c r="V2248" s="42"/>
      <c r="W2248" s="42"/>
      <c r="X2248" s="42"/>
      <c r="Y2248" s="42"/>
      <c r="Z2248" s="42"/>
      <c r="AA2248" s="42"/>
      <c r="AB2248" s="42"/>
    </row>
    <row r="2249" spans="1:28" x14ac:dyDescent="0.25">
      <c r="A2249" s="42"/>
      <c r="B2249" s="121"/>
      <c r="C2249" s="41"/>
      <c r="D2249" s="41"/>
      <c r="E2249" s="41"/>
      <c r="F2249" s="41"/>
      <c r="G2249" s="41"/>
      <c r="H2249" s="41"/>
      <c r="I2249" s="41"/>
      <c r="J2249" s="41"/>
      <c r="K2249" s="41"/>
      <c r="L2249" s="42"/>
      <c r="M2249" s="121"/>
      <c r="N2249" s="121"/>
      <c r="O2249" s="121"/>
      <c r="P2249" s="121"/>
      <c r="Q2249" s="121"/>
      <c r="R2249" s="121"/>
      <c r="S2249" s="121"/>
      <c r="T2249" s="42"/>
      <c r="U2249" s="122"/>
      <c r="V2249" s="42"/>
      <c r="W2249" s="42"/>
      <c r="X2249" s="42"/>
      <c r="Y2249" s="42"/>
      <c r="Z2249" s="42"/>
      <c r="AA2249" s="42"/>
      <c r="AB2249" s="42"/>
    </row>
    <row r="2250" spans="1:28" x14ac:dyDescent="0.25">
      <c r="A2250" s="42"/>
      <c r="B2250" s="121"/>
      <c r="C2250" s="41"/>
      <c r="D2250" s="41"/>
      <c r="E2250" s="41"/>
      <c r="F2250" s="41"/>
      <c r="G2250" s="41"/>
      <c r="H2250" s="41"/>
      <c r="I2250" s="41"/>
      <c r="J2250" s="41"/>
      <c r="K2250" s="41"/>
      <c r="L2250" s="42"/>
      <c r="M2250" s="121"/>
      <c r="N2250" s="121"/>
      <c r="O2250" s="121"/>
      <c r="P2250" s="121"/>
      <c r="Q2250" s="121"/>
      <c r="R2250" s="121"/>
      <c r="S2250" s="121"/>
      <c r="T2250" s="42"/>
      <c r="U2250" s="122"/>
      <c r="V2250" s="42"/>
      <c r="W2250" s="42"/>
      <c r="X2250" s="42"/>
      <c r="Y2250" s="42"/>
      <c r="Z2250" s="42"/>
      <c r="AA2250" s="42"/>
      <c r="AB2250" s="42"/>
    </row>
    <row r="2251" spans="1:28" x14ac:dyDescent="0.25">
      <c r="A2251" s="42"/>
      <c r="B2251" s="121"/>
      <c r="C2251" s="41"/>
      <c r="D2251" s="41"/>
      <c r="E2251" s="41"/>
      <c r="F2251" s="41"/>
      <c r="G2251" s="41"/>
      <c r="H2251" s="41"/>
      <c r="I2251" s="41"/>
      <c r="J2251" s="41"/>
      <c r="K2251" s="41"/>
      <c r="L2251" s="42"/>
      <c r="M2251" s="121"/>
      <c r="N2251" s="121"/>
      <c r="O2251" s="121"/>
      <c r="P2251" s="121"/>
      <c r="Q2251" s="121"/>
      <c r="R2251" s="121"/>
      <c r="S2251" s="121"/>
      <c r="T2251" s="42"/>
      <c r="U2251" s="122"/>
      <c r="V2251" s="42"/>
      <c r="W2251" s="42"/>
      <c r="X2251" s="42"/>
      <c r="Y2251" s="42"/>
      <c r="Z2251" s="42"/>
      <c r="AA2251" s="42"/>
      <c r="AB2251" s="42"/>
    </row>
    <row r="2252" spans="1:28" x14ac:dyDescent="0.25">
      <c r="A2252" s="42"/>
      <c r="B2252" s="121"/>
      <c r="C2252" s="41"/>
      <c r="D2252" s="41"/>
      <c r="E2252" s="41"/>
      <c r="F2252" s="41"/>
      <c r="G2252" s="41"/>
      <c r="H2252" s="41"/>
      <c r="I2252" s="41"/>
      <c r="J2252" s="41"/>
      <c r="K2252" s="41"/>
      <c r="L2252" s="42"/>
      <c r="M2252" s="121"/>
      <c r="N2252" s="121"/>
      <c r="O2252" s="121"/>
      <c r="P2252" s="121"/>
      <c r="Q2252" s="121"/>
      <c r="R2252" s="121"/>
      <c r="S2252" s="121"/>
      <c r="T2252" s="42"/>
      <c r="U2252" s="122"/>
      <c r="V2252" s="42"/>
      <c r="W2252" s="42"/>
      <c r="X2252" s="42"/>
      <c r="Y2252" s="42"/>
      <c r="Z2252" s="42"/>
      <c r="AA2252" s="42"/>
      <c r="AB2252" s="42"/>
    </row>
    <row r="2253" spans="1:28" x14ac:dyDescent="0.25">
      <c r="A2253" s="42"/>
      <c r="B2253" s="121"/>
      <c r="C2253" s="41"/>
      <c r="D2253" s="41"/>
      <c r="E2253" s="41"/>
      <c r="F2253" s="41"/>
      <c r="G2253" s="41"/>
      <c r="H2253" s="41"/>
      <c r="I2253" s="41"/>
      <c r="J2253" s="41"/>
      <c r="K2253" s="41"/>
      <c r="L2253" s="42"/>
      <c r="M2253" s="121"/>
      <c r="N2253" s="121"/>
      <c r="O2253" s="121"/>
      <c r="P2253" s="121"/>
      <c r="Q2253" s="121"/>
      <c r="R2253" s="121"/>
      <c r="S2253" s="121"/>
      <c r="T2253" s="42"/>
      <c r="U2253" s="122"/>
      <c r="V2253" s="42"/>
      <c r="W2253" s="42"/>
      <c r="X2253" s="42"/>
      <c r="Y2253" s="42"/>
      <c r="Z2253" s="42"/>
      <c r="AA2253" s="42"/>
      <c r="AB2253" s="42"/>
    </row>
    <row r="2254" spans="1:28" x14ac:dyDescent="0.25">
      <c r="A2254" s="42"/>
      <c r="B2254" s="121"/>
      <c r="C2254" s="41"/>
      <c r="D2254" s="41"/>
      <c r="E2254" s="41"/>
      <c r="F2254" s="41"/>
      <c r="G2254" s="41"/>
      <c r="H2254" s="41"/>
      <c r="I2254" s="41"/>
      <c r="J2254" s="41"/>
      <c r="K2254" s="41"/>
      <c r="L2254" s="42"/>
      <c r="M2254" s="121"/>
      <c r="N2254" s="121"/>
      <c r="O2254" s="121"/>
      <c r="P2254" s="121"/>
      <c r="Q2254" s="121"/>
      <c r="R2254" s="121"/>
      <c r="S2254" s="121"/>
      <c r="T2254" s="42"/>
      <c r="U2254" s="122"/>
      <c r="V2254" s="42"/>
      <c r="W2254" s="42"/>
      <c r="X2254" s="42"/>
      <c r="Y2254" s="42"/>
      <c r="Z2254" s="42"/>
      <c r="AA2254" s="42"/>
      <c r="AB2254" s="42"/>
    </row>
    <row r="2255" spans="1:28" x14ac:dyDescent="0.25">
      <c r="A2255" s="42"/>
      <c r="B2255" s="121"/>
      <c r="C2255" s="41"/>
      <c r="D2255" s="41"/>
      <c r="E2255" s="41"/>
      <c r="F2255" s="41"/>
      <c r="G2255" s="41"/>
      <c r="H2255" s="41"/>
      <c r="I2255" s="41"/>
      <c r="J2255" s="41"/>
      <c r="K2255" s="41"/>
      <c r="L2255" s="42"/>
      <c r="M2255" s="121"/>
      <c r="N2255" s="121"/>
      <c r="O2255" s="121"/>
      <c r="P2255" s="121"/>
      <c r="Q2255" s="121"/>
      <c r="R2255" s="121"/>
      <c r="S2255" s="121"/>
      <c r="T2255" s="42"/>
      <c r="U2255" s="122"/>
      <c r="V2255" s="42"/>
      <c r="W2255" s="42"/>
      <c r="X2255" s="42"/>
      <c r="Y2255" s="42"/>
      <c r="Z2255" s="42"/>
      <c r="AA2255" s="42"/>
      <c r="AB2255" s="42"/>
    </row>
    <row r="2256" spans="1:28" x14ac:dyDescent="0.25">
      <c r="A2256" s="42"/>
      <c r="B2256" s="121"/>
      <c r="C2256" s="41"/>
      <c r="D2256" s="41"/>
      <c r="E2256" s="41"/>
      <c r="F2256" s="41"/>
      <c r="G2256" s="41"/>
      <c r="H2256" s="41"/>
      <c r="I2256" s="41"/>
      <c r="J2256" s="41"/>
      <c r="K2256" s="41"/>
      <c r="L2256" s="42"/>
      <c r="M2256" s="121"/>
      <c r="N2256" s="121"/>
      <c r="O2256" s="121"/>
      <c r="P2256" s="121"/>
      <c r="Q2256" s="121"/>
      <c r="R2256" s="121"/>
      <c r="S2256" s="121"/>
      <c r="T2256" s="42"/>
      <c r="U2256" s="122"/>
      <c r="V2256" s="42"/>
      <c r="W2256" s="42"/>
      <c r="X2256" s="42"/>
      <c r="Y2256" s="42"/>
      <c r="Z2256" s="42"/>
      <c r="AA2256" s="42"/>
      <c r="AB2256" s="42"/>
    </row>
    <row r="2257" spans="1:28" x14ac:dyDescent="0.25">
      <c r="A2257" s="42"/>
      <c r="B2257" s="121"/>
      <c r="C2257" s="41"/>
      <c r="D2257" s="41"/>
      <c r="E2257" s="41"/>
      <c r="F2257" s="41"/>
      <c r="G2257" s="41"/>
      <c r="H2257" s="41"/>
      <c r="I2257" s="41"/>
      <c r="J2257" s="41"/>
      <c r="K2257" s="41"/>
      <c r="L2257" s="42"/>
      <c r="M2257" s="121"/>
      <c r="N2257" s="121"/>
      <c r="O2257" s="121"/>
      <c r="P2257" s="121"/>
      <c r="Q2257" s="121"/>
      <c r="R2257" s="121"/>
      <c r="S2257" s="121"/>
      <c r="T2257" s="42"/>
      <c r="U2257" s="122"/>
      <c r="V2257" s="42"/>
      <c r="W2257" s="42"/>
      <c r="X2257" s="42"/>
      <c r="Y2257" s="42"/>
      <c r="Z2257" s="42"/>
      <c r="AA2257" s="42"/>
      <c r="AB2257" s="42"/>
    </row>
    <row r="2258" spans="1:28" x14ac:dyDescent="0.25">
      <c r="A2258" s="42"/>
      <c r="B2258" s="121"/>
      <c r="C2258" s="41"/>
      <c r="D2258" s="41"/>
      <c r="E2258" s="41"/>
      <c r="F2258" s="41"/>
      <c r="G2258" s="41"/>
      <c r="H2258" s="41"/>
      <c r="I2258" s="41"/>
      <c r="J2258" s="41"/>
      <c r="K2258" s="41"/>
      <c r="L2258" s="42"/>
      <c r="M2258" s="121"/>
      <c r="N2258" s="121"/>
      <c r="O2258" s="121"/>
      <c r="P2258" s="121"/>
      <c r="Q2258" s="121"/>
      <c r="R2258" s="121"/>
      <c r="S2258" s="121"/>
      <c r="T2258" s="42"/>
      <c r="U2258" s="122"/>
      <c r="V2258" s="42"/>
      <c r="W2258" s="42"/>
      <c r="X2258" s="42"/>
      <c r="Y2258" s="42"/>
      <c r="Z2258" s="42"/>
      <c r="AA2258" s="42"/>
      <c r="AB2258" s="42"/>
    </row>
    <row r="2259" spans="1:28" x14ac:dyDescent="0.25">
      <c r="A2259" s="42"/>
      <c r="B2259" s="121"/>
      <c r="C2259" s="41"/>
      <c r="D2259" s="41"/>
      <c r="E2259" s="41"/>
      <c r="F2259" s="41"/>
      <c r="G2259" s="41"/>
      <c r="H2259" s="41"/>
      <c r="I2259" s="41"/>
      <c r="J2259" s="41"/>
      <c r="K2259" s="41"/>
      <c r="L2259" s="42"/>
      <c r="M2259" s="121"/>
      <c r="N2259" s="121"/>
      <c r="O2259" s="121"/>
      <c r="P2259" s="121"/>
      <c r="Q2259" s="121"/>
      <c r="R2259" s="121"/>
      <c r="S2259" s="121"/>
      <c r="T2259" s="42"/>
      <c r="U2259" s="122"/>
      <c r="V2259" s="42"/>
      <c r="W2259" s="42"/>
      <c r="X2259" s="42"/>
      <c r="Y2259" s="42"/>
      <c r="Z2259" s="42"/>
      <c r="AA2259" s="42"/>
      <c r="AB2259" s="42"/>
    </row>
    <row r="2260" spans="1:28" x14ac:dyDescent="0.25">
      <c r="A2260" s="42"/>
      <c r="B2260" s="121"/>
      <c r="C2260" s="41"/>
      <c r="D2260" s="41"/>
      <c r="E2260" s="41"/>
      <c r="F2260" s="41"/>
      <c r="G2260" s="41"/>
      <c r="H2260" s="41"/>
      <c r="I2260" s="41"/>
      <c r="J2260" s="41"/>
      <c r="K2260" s="41"/>
      <c r="L2260" s="42"/>
      <c r="M2260" s="121"/>
      <c r="N2260" s="121"/>
      <c r="O2260" s="121"/>
      <c r="P2260" s="121"/>
      <c r="Q2260" s="121"/>
      <c r="R2260" s="121"/>
      <c r="S2260" s="121"/>
      <c r="T2260" s="42"/>
      <c r="U2260" s="122"/>
      <c r="V2260" s="42"/>
      <c r="W2260" s="42"/>
      <c r="X2260" s="42"/>
      <c r="Y2260" s="42"/>
      <c r="Z2260" s="42"/>
      <c r="AA2260" s="42"/>
      <c r="AB2260" s="42"/>
    </row>
    <row r="2261" spans="1:28" x14ac:dyDescent="0.25">
      <c r="A2261" s="42"/>
      <c r="B2261" s="121"/>
      <c r="C2261" s="41"/>
      <c r="D2261" s="41"/>
      <c r="E2261" s="41"/>
      <c r="F2261" s="41"/>
      <c r="G2261" s="41"/>
      <c r="H2261" s="41"/>
      <c r="I2261" s="41"/>
      <c r="J2261" s="41"/>
      <c r="K2261" s="41"/>
      <c r="L2261" s="42"/>
      <c r="M2261" s="121"/>
      <c r="N2261" s="121"/>
      <c r="O2261" s="121"/>
      <c r="P2261" s="121"/>
      <c r="Q2261" s="121"/>
      <c r="R2261" s="121"/>
      <c r="S2261" s="121"/>
      <c r="T2261" s="42"/>
      <c r="U2261" s="122"/>
      <c r="V2261" s="42"/>
      <c r="W2261" s="42"/>
      <c r="X2261" s="42"/>
      <c r="Y2261" s="42"/>
      <c r="Z2261" s="42"/>
      <c r="AA2261" s="42"/>
      <c r="AB2261" s="42"/>
    </row>
    <row r="2262" spans="1:28" x14ac:dyDescent="0.25">
      <c r="A2262" s="42"/>
      <c r="B2262" s="121"/>
      <c r="C2262" s="41"/>
      <c r="D2262" s="41"/>
      <c r="E2262" s="41"/>
      <c r="F2262" s="41"/>
      <c r="G2262" s="41"/>
      <c r="H2262" s="41"/>
      <c r="I2262" s="41"/>
      <c r="J2262" s="41"/>
      <c r="K2262" s="41"/>
      <c r="L2262" s="42"/>
      <c r="M2262" s="121"/>
      <c r="N2262" s="121"/>
      <c r="O2262" s="121"/>
      <c r="P2262" s="121"/>
      <c r="Q2262" s="121"/>
      <c r="R2262" s="121"/>
      <c r="S2262" s="121"/>
      <c r="T2262" s="42"/>
      <c r="U2262" s="122"/>
      <c r="V2262" s="42"/>
      <c r="W2262" s="42"/>
      <c r="X2262" s="42"/>
      <c r="Y2262" s="42"/>
      <c r="Z2262" s="42"/>
      <c r="AA2262" s="42"/>
      <c r="AB2262" s="42"/>
    </row>
    <row r="2263" spans="1:28" x14ac:dyDescent="0.25">
      <c r="A2263" s="42"/>
      <c r="B2263" s="121"/>
      <c r="C2263" s="41"/>
      <c r="D2263" s="41"/>
      <c r="E2263" s="41"/>
      <c r="F2263" s="41"/>
      <c r="G2263" s="41"/>
      <c r="H2263" s="41"/>
      <c r="I2263" s="41"/>
      <c r="J2263" s="41"/>
      <c r="K2263" s="41"/>
      <c r="L2263" s="42"/>
      <c r="M2263" s="121"/>
      <c r="N2263" s="121"/>
      <c r="O2263" s="121"/>
      <c r="P2263" s="121"/>
      <c r="Q2263" s="121"/>
      <c r="R2263" s="121"/>
      <c r="S2263" s="121"/>
      <c r="T2263" s="42"/>
      <c r="U2263" s="122"/>
      <c r="V2263" s="42"/>
      <c r="W2263" s="42"/>
      <c r="X2263" s="42"/>
      <c r="Y2263" s="42"/>
      <c r="Z2263" s="42"/>
      <c r="AA2263" s="42"/>
      <c r="AB2263" s="42"/>
    </row>
    <row r="2264" spans="1:28" x14ac:dyDescent="0.25">
      <c r="A2264" s="42"/>
      <c r="B2264" s="121"/>
      <c r="C2264" s="41"/>
      <c r="D2264" s="41"/>
      <c r="E2264" s="41"/>
      <c r="F2264" s="41"/>
      <c r="G2264" s="41"/>
      <c r="H2264" s="41"/>
      <c r="I2264" s="41"/>
      <c r="J2264" s="41"/>
      <c r="K2264" s="41"/>
      <c r="L2264" s="42"/>
      <c r="M2264" s="121"/>
      <c r="N2264" s="121"/>
      <c r="O2264" s="121"/>
      <c r="P2264" s="121"/>
      <c r="Q2264" s="121"/>
      <c r="R2264" s="121"/>
      <c r="S2264" s="121"/>
      <c r="T2264" s="42"/>
      <c r="U2264" s="122"/>
      <c r="V2264" s="42"/>
      <c r="W2264" s="42"/>
      <c r="X2264" s="42"/>
      <c r="Y2264" s="42"/>
      <c r="Z2264" s="42"/>
      <c r="AA2264" s="42"/>
      <c r="AB2264" s="42"/>
    </row>
    <row r="2265" spans="1:28" x14ac:dyDescent="0.25">
      <c r="A2265" s="42"/>
      <c r="B2265" s="121"/>
      <c r="C2265" s="41"/>
      <c r="D2265" s="41"/>
      <c r="E2265" s="41"/>
      <c r="F2265" s="41"/>
      <c r="G2265" s="41"/>
      <c r="H2265" s="41"/>
      <c r="I2265" s="41"/>
      <c r="J2265" s="41"/>
      <c r="K2265" s="41"/>
      <c r="L2265" s="42"/>
      <c r="M2265" s="121"/>
      <c r="N2265" s="121"/>
      <c r="O2265" s="121"/>
      <c r="P2265" s="121"/>
      <c r="Q2265" s="121"/>
      <c r="R2265" s="121"/>
      <c r="S2265" s="121"/>
      <c r="T2265" s="42"/>
      <c r="U2265" s="122"/>
      <c r="V2265" s="42"/>
      <c r="W2265" s="42"/>
      <c r="X2265" s="42"/>
      <c r="Y2265" s="42"/>
      <c r="Z2265" s="42"/>
      <c r="AA2265" s="42"/>
      <c r="AB2265" s="42"/>
    </row>
    <row r="2266" spans="1:28" x14ac:dyDescent="0.25">
      <c r="A2266" s="42"/>
      <c r="B2266" s="121"/>
      <c r="C2266" s="41"/>
      <c r="D2266" s="41"/>
      <c r="E2266" s="41"/>
      <c r="F2266" s="41"/>
      <c r="G2266" s="41"/>
      <c r="H2266" s="41"/>
      <c r="I2266" s="41"/>
      <c r="J2266" s="41"/>
      <c r="K2266" s="41"/>
      <c r="L2266" s="42"/>
      <c r="M2266" s="121"/>
      <c r="N2266" s="121"/>
      <c r="O2266" s="121"/>
      <c r="P2266" s="121"/>
      <c r="Q2266" s="121"/>
      <c r="R2266" s="121"/>
      <c r="S2266" s="121"/>
      <c r="T2266" s="42"/>
      <c r="U2266" s="122"/>
      <c r="V2266" s="42"/>
      <c r="W2266" s="42"/>
      <c r="X2266" s="42"/>
      <c r="Y2266" s="42"/>
      <c r="Z2266" s="42"/>
      <c r="AA2266" s="42"/>
      <c r="AB2266" s="42"/>
    </row>
    <row r="2267" spans="1:28" x14ac:dyDescent="0.25">
      <c r="A2267" s="42"/>
      <c r="B2267" s="121"/>
      <c r="C2267" s="41"/>
      <c r="D2267" s="41"/>
      <c r="E2267" s="41"/>
      <c r="F2267" s="41"/>
      <c r="G2267" s="41"/>
      <c r="H2267" s="41"/>
      <c r="I2267" s="41"/>
      <c r="J2267" s="41"/>
      <c r="K2267" s="41"/>
      <c r="L2267" s="42"/>
      <c r="M2267" s="121"/>
      <c r="N2267" s="121"/>
      <c r="O2267" s="121"/>
      <c r="P2267" s="121"/>
      <c r="Q2267" s="121"/>
      <c r="R2267" s="121"/>
      <c r="S2267" s="121"/>
      <c r="T2267" s="42"/>
      <c r="U2267" s="122"/>
      <c r="V2267" s="42"/>
      <c r="W2267" s="42"/>
      <c r="X2267" s="42"/>
      <c r="Y2267" s="42"/>
      <c r="Z2267" s="42"/>
      <c r="AA2267" s="42"/>
      <c r="AB2267" s="42"/>
    </row>
    <row r="2268" spans="1:28" x14ac:dyDescent="0.25">
      <c r="A2268" s="42"/>
      <c r="B2268" s="121"/>
      <c r="C2268" s="41"/>
      <c r="D2268" s="41"/>
      <c r="E2268" s="41"/>
      <c r="F2268" s="41"/>
      <c r="G2268" s="41"/>
      <c r="H2268" s="41"/>
      <c r="I2268" s="41"/>
      <c r="J2268" s="41"/>
      <c r="K2268" s="41"/>
      <c r="L2268" s="42"/>
      <c r="M2268" s="121"/>
      <c r="N2268" s="121"/>
      <c r="O2268" s="121"/>
      <c r="P2268" s="121"/>
      <c r="Q2268" s="121"/>
      <c r="R2268" s="121"/>
      <c r="S2268" s="121"/>
      <c r="T2268" s="42"/>
      <c r="U2268" s="122"/>
      <c r="V2268" s="42"/>
      <c r="W2268" s="42"/>
      <c r="X2268" s="42"/>
      <c r="Y2268" s="42"/>
      <c r="Z2268" s="42"/>
      <c r="AA2268" s="42"/>
      <c r="AB2268" s="42"/>
    </row>
    <row r="2269" spans="1:28" x14ac:dyDescent="0.25">
      <c r="A2269" s="42"/>
      <c r="B2269" s="121"/>
      <c r="C2269" s="41"/>
      <c r="D2269" s="41"/>
      <c r="E2269" s="41"/>
      <c r="F2269" s="41"/>
      <c r="G2269" s="41"/>
      <c r="H2269" s="41"/>
      <c r="I2269" s="41"/>
      <c r="J2269" s="41"/>
      <c r="K2269" s="41"/>
      <c r="L2269" s="42"/>
      <c r="M2269" s="121"/>
      <c r="N2269" s="121"/>
      <c r="O2269" s="121"/>
      <c r="P2269" s="121"/>
      <c r="Q2269" s="121"/>
      <c r="R2269" s="121"/>
      <c r="S2269" s="121"/>
      <c r="T2269" s="42"/>
      <c r="U2269" s="122"/>
      <c r="V2269" s="42"/>
      <c r="W2269" s="42"/>
      <c r="X2269" s="42"/>
      <c r="Y2269" s="42"/>
      <c r="Z2269" s="42"/>
      <c r="AA2269" s="42"/>
      <c r="AB2269" s="42"/>
    </row>
    <row r="2270" spans="1:28" x14ac:dyDescent="0.25">
      <c r="A2270" s="42"/>
      <c r="B2270" s="121"/>
      <c r="C2270" s="41"/>
      <c r="D2270" s="41"/>
      <c r="E2270" s="41"/>
      <c r="F2270" s="41"/>
      <c r="G2270" s="41"/>
      <c r="H2270" s="41"/>
      <c r="I2270" s="41"/>
      <c r="J2270" s="41"/>
      <c r="K2270" s="41"/>
      <c r="L2270" s="42"/>
      <c r="M2270" s="121"/>
      <c r="N2270" s="121"/>
      <c r="O2270" s="121"/>
      <c r="P2270" s="121"/>
      <c r="Q2270" s="121"/>
      <c r="R2270" s="121"/>
      <c r="S2270" s="121"/>
      <c r="T2270" s="42"/>
      <c r="U2270" s="122"/>
      <c r="V2270" s="42"/>
      <c r="W2270" s="42"/>
      <c r="X2270" s="42"/>
      <c r="Y2270" s="42"/>
      <c r="Z2270" s="42"/>
      <c r="AA2270" s="42"/>
      <c r="AB2270" s="42"/>
    </row>
    <row r="2271" spans="1:28" x14ac:dyDescent="0.25">
      <c r="A2271" s="42"/>
      <c r="B2271" s="121"/>
      <c r="C2271" s="41"/>
      <c r="D2271" s="41"/>
      <c r="E2271" s="41"/>
      <c r="F2271" s="41"/>
      <c r="G2271" s="41"/>
      <c r="H2271" s="41"/>
      <c r="I2271" s="41"/>
      <c r="J2271" s="41"/>
      <c r="K2271" s="41"/>
      <c r="L2271" s="42"/>
      <c r="M2271" s="121"/>
      <c r="N2271" s="121"/>
      <c r="O2271" s="121"/>
      <c r="P2271" s="121"/>
      <c r="Q2271" s="121"/>
      <c r="R2271" s="121"/>
      <c r="S2271" s="121"/>
      <c r="T2271" s="42"/>
      <c r="U2271" s="122"/>
      <c r="V2271" s="42"/>
      <c r="W2271" s="42"/>
      <c r="X2271" s="42"/>
      <c r="Y2271" s="42"/>
      <c r="Z2271" s="42"/>
      <c r="AA2271" s="42"/>
      <c r="AB2271" s="42"/>
    </row>
    <row r="2272" spans="1:28" x14ac:dyDescent="0.25">
      <c r="A2272" s="42"/>
      <c r="B2272" s="121"/>
      <c r="C2272" s="41"/>
      <c r="D2272" s="41"/>
      <c r="E2272" s="41"/>
      <c r="F2272" s="41"/>
      <c r="G2272" s="41"/>
      <c r="H2272" s="41"/>
      <c r="I2272" s="41"/>
      <c r="J2272" s="41"/>
      <c r="K2272" s="41"/>
      <c r="L2272" s="42"/>
      <c r="M2272" s="121"/>
      <c r="N2272" s="121"/>
      <c r="O2272" s="121"/>
      <c r="P2272" s="121"/>
      <c r="Q2272" s="121"/>
      <c r="R2272" s="121"/>
      <c r="S2272" s="121"/>
      <c r="T2272" s="42"/>
      <c r="U2272" s="122"/>
      <c r="V2272" s="42"/>
      <c r="W2272" s="42"/>
      <c r="X2272" s="42"/>
      <c r="Y2272" s="42"/>
      <c r="Z2272" s="42"/>
      <c r="AA2272" s="42"/>
      <c r="AB2272" s="42"/>
    </row>
    <row r="2273" spans="1:28" x14ac:dyDescent="0.25">
      <c r="A2273" s="42"/>
      <c r="B2273" s="121"/>
      <c r="C2273" s="41"/>
      <c r="D2273" s="41"/>
      <c r="E2273" s="41"/>
      <c r="F2273" s="41"/>
      <c r="G2273" s="41"/>
      <c r="H2273" s="41"/>
      <c r="I2273" s="41"/>
      <c r="J2273" s="41"/>
      <c r="K2273" s="41"/>
      <c r="L2273" s="42"/>
      <c r="M2273" s="121"/>
      <c r="N2273" s="121"/>
      <c r="O2273" s="121"/>
      <c r="P2273" s="121"/>
      <c r="Q2273" s="121"/>
      <c r="R2273" s="121"/>
      <c r="S2273" s="121"/>
      <c r="T2273" s="42"/>
      <c r="U2273" s="122"/>
      <c r="V2273" s="42"/>
      <c r="W2273" s="42"/>
      <c r="X2273" s="42"/>
      <c r="Y2273" s="42"/>
      <c r="Z2273" s="42"/>
      <c r="AA2273" s="42"/>
      <c r="AB2273" s="42"/>
    </row>
    <row r="2274" spans="1:28" x14ac:dyDescent="0.25">
      <c r="A2274" s="42"/>
      <c r="B2274" s="121"/>
      <c r="C2274" s="41"/>
      <c r="D2274" s="41"/>
      <c r="E2274" s="41"/>
      <c r="F2274" s="41"/>
      <c r="G2274" s="41"/>
      <c r="H2274" s="41"/>
      <c r="I2274" s="41"/>
      <c r="J2274" s="41"/>
      <c r="K2274" s="41"/>
      <c r="L2274" s="42"/>
      <c r="M2274" s="121"/>
      <c r="N2274" s="121"/>
      <c r="O2274" s="121"/>
      <c r="P2274" s="121"/>
      <c r="Q2274" s="121"/>
      <c r="R2274" s="121"/>
      <c r="S2274" s="121"/>
      <c r="T2274" s="42"/>
      <c r="U2274" s="122"/>
      <c r="V2274" s="42"/>
      <c r="W2274" s="42"/>
      <c r="X2274" s="42"/>
      <c r="Y2274" s="42"/>
      <c r="Z2274" s="42"/>
      <c r="AA2274" s="42"/>
      <c r="AB2274" s="42"/>
    </row>
    <row r="2275" spans="1:28" x14ac:dyDescent="0.25">
      <c r="A2275" s="42"/>
      <c r="B2275" s="121"/>
      <c r="C2275" s="41"/>
      <c r="D2275" s="41"/>
      <c r="E2275" s="41"/>
      <c r="F2275" s="41"/>
      <c r="G2275" s="41"/>
      <c r="H2275" s="41"/>
      <c r="I2275" s="41"/>
      <c r="J2275" s="41"/>
      <c r="K2275" s="41"/>
      <c r="L2275" s="42"/>
      <c r="M2275" s="121"/>
      <c r="N2275" s="121"/>
      <c r="O2275" s="121"/>
      <c r="P2275" s="121"/>
      <c r="Q2275" s="121"/>
      <c r="R2275" s="121"/>
      <c r="S2275" s="121"/>
      <c r="T2275" s="42"/>
      <c r="U2275" s="122"/>
      <c r="V2275" s="42"/>
      <c r="W2275" s="42"/>
      <c r="X2275" s="42"/>
      <c r="Y2275" s="42"/>
      <c r="Z2275" s="42"/>
      <c r="AA2275" s="42"/>
      <c r="AB2275" s="42"/>
    </row>
    <row r="2276" spans="1:28" x14ac:dyDescent="0.25">
      <c r="A2276" s="42"/>
      <c r="B2276" s="121"/>
      <c r="C2276" s="41"/>
      <c r="D2276" s="41"/>
      <c r="E2276" s="41"/>
      <c r="F2276" s="41"/>
      <c r="G2276" s="41"/>
      <c r="H2276" s="41"/>
      <c r="I2276" s="41"/>
      <c r="J2276" s="41"/>
      <c r="K2276" s="41"/>
      <c r="L2276" s="42"/>
      <c r="M2276" s="121"/>
      <c r="N2276" s="121"/>
      <c r="O2276" s="121"/>
      <c r="P2276" s="121"/>
      <c r="Q2276" s="121"/>
      <c r="R2276" s="121"/>
      <c r="S2276" s="121"/>
      <c r="T2276" s="42"/>
      <c r="U2276" s="122"/>
      <c r="V2276" s="42"/>
      <c r="W2276" s="42"/>
      <c r="X2276" s="42"/>
      <c r="Y2276" s="42"/>
      <c r="Z2276" s="42"/>
      <c r="AA2276" s="42"/>
      <c r="AB2276" s="42"/>
    </row>
    <row r="2277" spans="1:28" x14ac:dyDescent="0.25">
      <c r="A2277" s="42"/>
      <c r="B2277" s="121"/>
      <c r="C2277" s="41"/>
      <c r="D2277" s="41"/>
      <c r="E2277" s="41"/>
      <c r="F2277" s="41"/>
      <c r="G2277" s="41"/>
      <c r="H2277" s="41"/>
      <c r="I2277" s="41"/>
      <c r="J2277" s="41"/>
      <c r="K2277" s="41"/>
      <c r="L2277" s="42"/>
      <c r="M2277" s="121"/>
      <c r="N2277" s="121"/>
      <c r="O2277" s="121"/>
      <c r="P2277" s="121"/>
      <c r="Q2277" s="121"/>
      <c r="R2277" s="121"/>
      <c r="S2277" s="121"/>
      <c r="T2277" s="42"/>
      <c r="U2277" s="122"/>
      <c r="V2277" s="42"/>
      <c r="W2277" s="42"/>
      <c r="X2277" s="42"/>
      <c r="Y2277" s="42"/>
      <c r="Z2277" s="42"/>
      <c r="AA2277" s="42"/>
      <c r="AB2277" s="42"/>
    </row>
    <row r="2278" spans="1:28" x14ac:dyDescent="0.25">
      <c r="A2278" s="42"/>
      <c r="B2278" s="121"/>
      <c r="C2278" s="41"/>
      <c r="D2278" s="41"/>
      <c r="E2278" s="41"/>
      <c r="F2278" s="41"/>
      <c r="G2278" s="41"/>
      <c r="H2278" s="41"/>
      <c r="I2278" s="41"/>
      <c r="J2278" s="41"/>
      <c r="K2278" s="41"/>
      <c r="L2278" s="42"/>
      <c r="M2278" s="121"/>
      <c r="N2278" s="121"/>
      <c r="O2278" s="121"/>
      <c r="P2278" s="121"/>
      <c r="Q2278" s="121"/>
      <c r="R2278" s="121"/>
      <c r="S2278" s="121"/>
      <c r="T2278" s="42"/>
      <c r="U2278" s="122"/>
      <c r="V2278" s="42"/>
      <c r="W2278" s="42"/>
      <c r="X2278" s="42"/>
      <c r="Y2278" s="42"/>
      <c r="Z2278" s="42"/>
      <c r="AA2278" s="42"/>
      <c r="AB2278" s="42"/>
    </row>
    <row r="2279" spans="1:28" x14ac:dyDescent="0.25">
      <c r="A2279" s="42"/>
      <c r="B2279" s="121"/>
      <c r="C2279" s="41"/>
      <c r="D2279" s="41"/>
      <c r="E2279" s="41"/>
      <c r="F2279" s="41"/>
      <c r="G2279" s="41"/>
      <c r="H2279" s="41"/>
      <c r="I2279" s="41"/>
      <c r="J2279" s="41"/>
      <c r="K2279" s="41"/>
      <c r="L2279" s="42"/>
      <c r="M2279" s="121"/>
      <c r="N2279" s="121"/>
      <c r="O2279" s="121"/>
      <c r="P2279" s="121"/>
      <c r="Q2279" s="121"/>
      <c r="R2279" s="121"/>
      <c r="S2279" s="121"/>
      <c r="T2279" s="42"/>
      <c r="U2279" s="122"/>
      <c r="V2279" s="42"/>
      <c r="W2279" s="42"/>
      <c r="X2279" s="42"/>
      <c r="Y2279" s="42"/>
      <c r="Z2279" s="42"/>
      <c r="AA2279" s="42"/>
      <c r="AB2279" s="42"/>
    </row>
    <row r="2280" spans="1:28" x14ac:dyDescent="0.25">
      <c r="A2280" s="42"/>
      <c r="B2280" s="121"/>
      <c r="C2280" s="41"/>
      <c r="D2280" s="41"/>
      <c r="E2280" s="41"/>
      <c r="F2280" s="41"/>
      <c r="G2280" s="41"/>
      <c r="H2280" s="41"/>
      <c r="I2280" s="41"/>
      <c r="J2280" s="41"/>
      <c r="K2280" s="41"/>
      <c r="L2280" s="42"/>
      <c r="M2280" s="121"/>
      <c r="N2280" s="121"/>
      <c r="O2280" s="121"/>
      <c r="P2280" s="121"/>
      <c r="Q2280" s="121"/>
      <c r="R2280" s="121"/>
      <c r="S2280" s="121"/>
      <c r="T2280" s="42"/>
      <c r="U2280" s="122"/>
      <c r="V2280" s="42"/>
      <c r="W2280" s="42"/>
      <c r="X2280" s="42"/>
      <c r="Y2280" s="42"/>
      <c r="Z2280" s="42"/>
      <c r="AA2280" s="42"/>
      <c r="AB2280" s="42"/>
    </row>
    <row r="2281" spans="1:28" x14ac:dyDescent="0.25">
      <c r="A2281" s="42"/>
      <c r="B2281" s="121"/>
      <c r="C2281" s="41"/>
      <c r="D2281" s="41"/>
      <c r="E2281" s="41"/>
      <c r="F2281" s="41"/>
      <c r="G2281" s="41"/>
      <c r="H2281" s="41"/>
      <c r="I2281" s="41"/>
      <c r="J2281" s="41"/>
      <c r="K2281" s="41"/>
      <c r="L2281" s="42"/>
      <c r="M2281" s="121"/>
      <c r="N2281" s="121"/>
      <c r="O2281" s="121"/>
      <c r="P2281" s="121"/>
      <c r="Q2281" s="121"/>
      <c r="R2281" s="121"/>
      <c r="S2281" s="121"/>
      <c r="T2281" s="42"/>
      <c r="U2281" s="122"/>
      <c r="V2281" s="42"/>
      <c r="W2281" s="42"/>
      <c r="X2281" s="42"/>
      <c r="Y2281" s="42"/>
      <c r="Z2281" s="42"/>
      <c r="AA2281" s="42"/>
      <c r="AB2281" s="42"/>
    </row>
    <row r="2282" spans="1:28" x14ac:dyDescent="0.25">
      <c r="A2282" s="42"/>
      <c r="B2282" s="121"/>
      <c r="C2282" s="41"/>
      <c r="D2282" s="41"/>
      <c r="E2282" s="41"/>
      <c r="F2282" s="41"/>
      <c r="G2282" s="41"/>
      <c r="H2282" s="41"/>
      <c r="I2282" s="41"/>
      <c r="J2282" s="41"/>
      <c r="K2282" s="41"/>
      <c r="L2282" s="42"/>
      <c r="M2282" s="121"/>
      <c r="N2282" s="121"/>
      <c r="O2282" s="121"/>
      <c r="P2282" s="121"/>
      <c r="Q2282" s="121"/>
      <c r="R2282" s="121"/>
      <c r="S2282" s="121"/>
      <c r="T2282" s="42"/>
      <c r="U2282" s="122"/>
      <c r="V2282" s="42"/>
      <c r="W2282" s="42"/>
      <c r="X2282" s="42"/>
      <c r="Y2282" s="42"/>
      <c r="Z2282" s="42"/>
      <c r="AA2282" s="42"/>
      <c r="AB2282" s="42"/>
    </row>
    <row r="2283" spans="1:28" x14ac:dyDescent="0.25">
      <c r="A2283" s="42"/>
      <c r="B2283" s="121"/>
      <c r="C2283" s="41"/>
      <c r="D2283" s="41"/>
      <c r="E2283" s="41"/>
      <c r="F2283" s="41"/>
      <c r="G2283" s="41"/>
      <c r="H2283" s="41"/>
      <c r="I2283" s="41"/>
      <c r="J2283" s="41"/>
      <c r="K2283" s="41"/>
      <c r="L2283" s="42"/>
      <c r="M2283" s="121"/>
      <c r="N2283" s="121"/>
      <c r="O2283" s="121"/>
      <c r="P2283" s="121"/>
      <c r="Q2283" s="121"/>
      <c r="R2283" s="121"/>
      <c r="S2283" s="121"/>
      <c r="T2283" s="42"/>
      <c r="U2283" s="122"/>
      <c r="V2283" s="42"/>
      <c r="W2283" s="42"/>
      <c r="X2283" s="42"/>
      <c r="Y2283" s="42"/>
      <c r="Z2283" s="42"/>
      <c r="AA2283" s="42"/>
      <c r="AB2283" s="42"/>
    </row>
    <row r="2284" spans="1:28" x14ac:dyDescent="0.25">
      <c r="A2284" s="42"/>
      <c r="B2284" s="121"/>
      <c r="C2284" s="41"/>
      <c r="D2284" s="41"/>
      <c r="E2284" s="41"/>
      <c r="F2284" s="41"/>
      <c r="G2284" s="41"/>
      <c r="H2284" s="41"/>
      <c r="I2284" s="41"/>
      <c r="J2284" s="41"/>
      <c r="K2284" s="41"/>
      <c r="L2284" s="42"/>
      <c r="M2284" s="121"/>
      <c r="N2284" s="121"/>
      <c r="O2284" s="121"/>
      <c r="P2284" s="121"/>
      <c r="Q2284" s="121"/>
      <c r="R2284" s="121"/>
      <c r="S2284" s="121"/>
      <c r="T2284" s="42"/>
      <c r="U2284" s="122"/>
      <c r="V2284" s="42"/>
      <c r="W2284" s="42"/>
      <c r="X2284" s="42"/>
      <c r="Y2284" s="42"/>
      <c r="Z2284" s="42"/>
      <c r="AA2284" s="42"/>
      <c r="AB2284" s="42"/>
    </row>
    <row r="2285" spans="1:28" x14ac:dyDescent="0.25">
      <c r="A2285" s="42"/>
      <c r="B2285" s="121"/>
      <c r="C2285" s="41"/>
      <c r="D2285" s="41"/>
      <c r="E2285" s="41"/>
      <c r="F2285" s="41"/>
      <c r="G2285" s="41"/>
      <c r="H2285" s="41"/>
      <c r="I2285" s="41"/>
      <c r="J2285" s="41"/>
      <c r="K2285" s="41"/>
      <c r="L2285" s="42"/>
      <c r="M2285" s="121"/>
      <c r="N2285" s="121"/>
      <c r="O2285" s="121"/>
      <c r="P2285" s="121"/>
      <c r="Q2285" s="121"/>
      <c r="R2285" s="121"/>
      <c r="S2285" s="121"/>
      <c r="T2285" s="42"/>
      <c r="U2285" s="122"/>
      <c r="V2285" s="42"/>
      <c r="W2285" s="42"/>
      <c r="X2285" s="42"/>
      <c r="Y2285" s="42"/>
      <c r="Z2285" s="42"/>
      <c r="AA2285" s="42"/>
      <c r="AB2285" s="42"/>
    </row>
    <row r="2286" spans="1:28" x14ac:dyDescent="0.25">
      <c r="A2286" s="42"/>
      <c r="B2286" s="121"/>
      <c r="C2286" s="41"/>
      <c r="D2286" s="41"/>
      <c r="E2286" s="41"/>
      <c r="F2286" s="41"/>
      <c r="G2286" s="41"/>
      <c r="H2286" s="41"/>
      <c r="I2286" s="41"/>
      <c r="J2286" s="41"/>
      <c r="K2286" s="41"/>
      <c r="L2286" s="42"/>
      <c r="M2286" s="121"/>
      <c r="N2286" s="121"/>
      <c r="O2286" s="121"/>
      <c r="P2286" s="121"/>
      <c r="Q2286" s="121"/>
      <c r="R2286" s="121"/>
      <c r="S2286" s="121"/>
      <c r="T2286" s="42"/>
      <c r="U2286" s="122"/>
      <c r="V2286" s="42"/>
      <c r="W2286" s="42"/>
      <c r="X2286" s="42"/>
      <c r="Y2286" s="42"/>
      <c r="Z2286" s="42"/>
      <c r="AA2286" s="42"/>
      <c r="AB2286" s="42"/>
    </row>
    <row r="2287" spans="1:28" x14ac:dyDescent="0.25">
      <c r="A2287" s="42"/>
      <c r="B2287" s="121"/>
      <c r="C2287" s="41"/>
      <c r="D2287" s="41"/>
      <c r="E2287" s="41"/>
      <c r="F2287" s="41"/>
      <c r="G2287" s="41"/>
      <c r="H2287" s="41"/>
      <c r="I2287" s="41"/>
      <c r="J2287" s="41"/>
      <c r="K2287" s="41"/>
      <c r="L2287" s="42"/>
      <c r="M2287" s="121"/>
      <c r="N2287" s="121"/>
      <c r="O2287" s="121"/>
      <c r="P2287" s="121"/>
      <c r="Q2287" s="121"/>
      <c r="R2287" s="121"/>
      <c r="S2287" s="121"/>
      <c r="T2287" s="42"/>
      <c r="U2287" s="122"/>
      <c r="V2287" s="42"/>
      <c r="W2287" s="42"/>
      <c r="X2287" s="42"/>
      <c r="Y2287" s="42"/>
      <c r="Z2287" s="42"/>
      <c r="AA2287" s="42"/>
      <c r="AB2287" s="42"/>
    </row>
    <row r="2288" spans="1:28" x14ac:dyDescent="0.25">
      <c r="A2288" s="42"/>
      <c r="B2288" s="121"/>
      <c r="C2288" s="41"/>
      <c r="D2288" s="41"/>
      <c r="E2288" s="41"/>
      <c r="F2288" s="41"/>
      <c r="G2288" s="41"/>
      <c r="H2288" s="41"/>
      <c r="I2288" s="41"/>
      <c r="J2288" s="41"/>
      <c r="K2288" s="41"/>
      <c r="L2288" s="42"/>
      <c r="M2288" s="121"/>
      <c r="N2288" s="121"/>
      <c r="O2288" s="121"/>
      <c r="P2288" s="121"/>
      <c r="Q2288" s="121"/>
      <c r="R2288" s="121"/>
      <c r="S2288" s="121"/>
      <c r="T2288" s="42"/>
      <c r="U2288" s="122"/>
      <c r="V2288" s="42"/>
      <c r="W2288" s="42"/>
      <c r="X2288" s="42"/>
      <c r="Y2288" s="42"/>
      <c r="Z2288" s="42"/>
      <c r="AA2288" s="42"/>
      <c r="AB2288" s="42"/>
    </row>
    <row r="2289" spans="1:28" x14ac:dyDescent="0.25">
      <c r="A2289" s="42"/>
      <c r="B2289" s="121"/>
      <c r="C2289" s="41"/>
      <c r="D2289" s="41"/>
      <c r="E2289" s="41"/>
      <c r="F2289" s="41"/>
      <c r="G2289" s="41"/>
      <c r="H2289" s="41"/>
      <c r="I2289" s="41"/>
      <c r="J2289" s="41"/>
      <c r="K2289" s="41"/>
      <c r="L2289" s="42"/>
      <c r="M2289" s="121"/>
      <c r="N2289" s="121"/>
      <c r="O2289" s="121"/>
      <c r="P2289" s="121"/>
      <c r="Q2289" s="121"/>
      <c r="R2289" s="121"/>
      <c r="S2289" s="121"/>
      <c r="T2289" s="42"/>
      <c r="U2289" s="122"/>
      <c r="V2289" s="42"/>
      <c r="W2289" s="42"/>
      <c r="X2289" s="42"/>
      <c r="Y2289" s="42"/>
      <c r="Z2289" s="42"/>
      <c r="AA2289" s="42"/>
      <c r="AB2289" s="42"/>
    </row>
    <row r="2290" spans="1:28" x14ac:dyDescent="0.25">
      <c r="A2290" s="42"/>
      <c r="B2290" s="121"/>
      <c r="C2290" s="41"/>
      <c r="D2290" s="41"/>
      <c r="E2290" s="41"/>
      <c r="F2290" s="41"/>
      <c r="G2290" s="41"/>
      <c r="H2290" s="41"/>
      <c r="I2290" s="41"/>
      <c r="J2290" s="41"/>
      <c r="K2290" s="41"/>
      <c r="L2290" s="42"/>
      <c r="M2290" s="121"/>
      <c r="N2290" s="121"/>
      <c r="O2290" s="121"/>
      <c r="P2290" s="121"/>
      <c r="Q2290" s="121"/>
      <c r="R2290" s="121"/>
      <c r="S2290" s="121"/>
      <c r="T2290" s="42"/>
      <c r="U2290" s="122"/>
      <c r="V2290" s="42"/>
      <c r="W2290" s="42"/>
      <c r="X2290" s="42"/>
      <c r="Y2290" s="42"/>
      <c r="Z2290" s="42"/>
      <c r="AA2290" s="42"/>
      <c r="AB2290" s="42"/>
    </row>
    <row r="2291" spans="1:28" x14ac:dyDescent="0.25">
      <c r="A2291" s="42"/>
      <c r="B2291" s="121"/>
      <c r="C2291" s="41"/>
      <c r="D2291" s="41"/>
      <c r="E2291" s="41"/>
      <c r="F2291" s="41"/>
      <c r="G2291" s="41"/>
      <c r="H2291" s="41"/>
      <c r="I2291" s="41"/>
      <c r="J2291" s="41"/>
      <c r="K2291" s="41"/>
      <c r="L2291" s="42"/>
      <c r="M2291" s="121"/>
      <c r="N2291" s="121"/>
      <c r="O2291" s="121"/>
      <c r="P2291" s="121"/>
      <c r="Q2291" s="121"/>
      <c r="R2291" s="121"/>
      <c r="S2291" s="121"/>
      <c r="T2291" s="42"/>
      <c r="U2291" s="122"/>
      <c r="V2291" s="42"/>
      <c r="W2291" s="42"/>
      <c r="X2291" s="42"/>
      <c r="Y2291" s="42"/>
      <c r="Z2291" s="42"/>
      <c r="AA2291" s="42"/>
      <c r="AB2291" s="42"/>
    </row>
    <row r="2292" spans="1:28" x14ac:dyDescent="0.25">
      <c r="A2292" s="42"/>
      <c r="B2292" s="121"/>
      <c r="C2292" s="41"/>
      <c r="D2292" s="41"/>
      <c r="E2292" s="41"/>
      <c r="F2292" s="41"/>
      <c r="G2292" s="41"/>
      <c r="H2292" s="41"/>
      <c r="I2292" s="41"/>
      <c r="J2292" s="41"/>
      <c r="K2292" s="41"/>
      <c r="L2292" s="42"/>
      <c r="M2292" s="121"/>
      <c r="N2292" s="121"/>
      <c r="O2292" s="121"/>
      <c r="P2292" s="121"/>
      <c r="Q2292" s="121"/>
      <c r="R2292" s="121"/>
      <c r="S2292" s="121"/>
      <c r="T2292" s="42"/>
      <c r="U2292" s="122"/>
      <c r="V2292" s="42"/>
      <c r="W2292" s="42"/>
      <c r="X2292" s="42"/>
      <c r="Y2292" s="42"/>
      <c r="Z2292" s="42"/>
      <c r="AA2292" s="42"/>
      <c r="AB2292" s="42"/>
    </row>
    <row r="2293" spans="1:28" x14ac:dyDescent="0.25">
      <c r="A2293" s="42"/>
      <c r="B2293" s="121"/>
      <c r="C2293" s="41"/>
      <c r="D2293" s="41"/>
      <c r="E2293" s="41"/>
      <c r="F2293" s="41"/>
      <c r="G2293" s="41"/>
      <c r="H2293" s="41"/>
      <c r="I2293" s="41"/>
      <c r="J2293" s="41"/>
      <c r="K2293" s="41"/>
      <c r="L2293" s="42"/>
      <c r="M2293" s="121"/>
      <c r="N2293" s="121"/>
      <c r="O2293" s="121"/>
      <c r="P2293" s="121"/>
      <c r="Q2293" s="121"/>
      <c r="R2293" s="121"/>
      <c r="S2293" s="121"/>
      <c r="T2293" s="42"/>
      <c r="U2293" s="122"/>
      <c r="V2293" s="42"/>
      <c r="W2293" s="42"/>
      <c r="X2293" s="42"/>
      <c r="Y2293" s="42"/>
      <c r="Z2293" s="42"/>
      <c r="AA2293" s="42"/>
      <c r="AB2293" s="42"/>
    </row>
    <row r="2294" spans="1:28" x14ac:dyDescent="0.25">
      <c r="A2294" s="42"/>
      <c r="B2294" s="121"/>
      <c r="C2294" s="41"/>
      <c r="D2294" s="41"/>
      <c r="E2294" s="41"/>
      <c r="F2294" s="41"/>
      <c r="G2294" s="41"/>
      <c r="H2294" s="41"/>
      <c r="I2294" s="41"/>
      <c r="J2294" s="41"/>
      <c r="K2294" s="41"/>
      <c r="L2294" s="42"/>
      <c r="M2294" s="121"/>
      <c r="N2294" s="121"/>
      <c r="O2294" s="121"/>
      <c r="P2294" s="121"/>
      <c r="Q2294" s="121"/>
      <c r="R2294" s="121"/>
      <c r="S2294" s="121"/>
      <c r="T2294" s="42"/>
      <c r="U2294" s="122"/>
      <c r="V2294" s="42"/>
      <c r="W2294" s="42"/>
      <c r="X2294" s="42"/>
      <c r="Y2294" s="42"/>
      <c r="Z2294" s="42"/>
      <c r="AA2294" s="42"/>
      <c r="AB2294" s="42"/>
    </row>
    <row r="2295" spans="1:28" x14ac:dyDescent="0.25">
      <c r="A2295" s="42"/>
      <c r="B2295" s="121"/>
      <c r="C2295" s="41"/>
      <c r="D2295" s="41"/>
      <c r="E2295" s="41"/>
      <c r="F2295" s="41"/>
      <c r="G2295" s="41"/>
      <c r="H2295" s="41"/>
      <c r="I2295" s="41"/>
      <c r="J2295" s="41"/>
      <c r="K2295" s="41"/>
      <c r="L2295" s="42"/>
      <c r="M2295" s="121"/>
      <c r="N2295" s="121"/>
      <c r="O2295" s="121"/>
      <c r="P2295" s="121"/>
      <c r="Q2295" s="121"/>
      <c r="R2295" s="121"/>
      <c r="S2295" s="121"/>
      <c r="T2295" s="42"/>
      <c r="U2295" s="122"/>
      <c r="V2295" s="42"/>
      <c r="W2295" s="42"/>
      <c r="X2295" s="42"/>
      <c r="Y2295" s="42"/>
      <c r="Z2295" s="42"/>
      <c r="AA2295" s="42"/>
      <c r="AB2295" s="42"/>
    </row>
    <row r="2296" spans="1:28" x14ac:dyDescent="0.25">
      <c r="A2296" s="42"/>
      <c r="B2296" s="121"/>
      <c r="C2296" s="41"/>
      <c r="D2296" s="41"/>
      <c r="E2296" s="41"/>
      <c r="F2296" s="41"/>
      <c r="G2296" s="41"/>
      <c r="H2296" s="41"/>
      <c r="I2296" s="41"/>
      <c r="J2296" s="41"/>
      <c r="K2296" s="41"/>
      <c r="L2296" s="42"/>
      <c r="M2296" s="121"/>
      <c r="N2296" s="121"/>
      <c r="O2296" s="121"/>
      <c r="P2296" s="121"/>
      <c r="Q2296" s="121"/>
      <c r="R2296" s="121"/>
      <c r="S2296" s="121"/>
      <c r="T2296" s="42"/>
      <c r="U2296" s="122"/>
      <c r="V2296" s="42"/>
      <c r="W2296" s="42"/>
      <c r="X2296" s="42"/>
      <c r="Y2296" s="42"/>
      <c r="Z2296" s="42"/>
      <c r="AA2296" s="42"/>
      <c r="AB2296" s="42"/>
    </row>
    <row r="2297" spans="1:28" x14ac:dyDescent="0.25">
      <c r="A2297" s="42"/>
      <c r="B2297" s="121"/>
      <c r="C2297" s="41"/>
      <c r="D2297" s="41"/>
      <c r="E2297" s="41"/>
      <c r="F2297" s="41"/>
      <c r="G2297" s="41"/>
      <c r="H2297" s="41"/>
      <c r="I2297" s="41"/>
      <c r="J2297" s="41"/>
      <c r="K2297" s="41"/>
      <c r="L2297" s="42"/>
      <c r="M2297" s="121"/>
      <c r="N2297" s="121"/>
      <c r="O2297" s="121"/>
      <c r="P2297" s="121"/>
      <c r="Q2297" s="121"/>
      <c r="R2297" s="121"/>
      <c r="S2297" s="121"/>
      <c r="T2297" s="42"/>
      <c r="U2297" s="122"/>
      <c r="V2297" s="42"/>
      <c r="W2297" s="42"/>
      <c r="X2297" s="42"/>
      <c r="Y2297" s="42"/>
      <c r="Z2297" s="42"/>
      <c r="AA2297" s="42"/>
      <c r="AB2297" s="42"/>
    </row>
    <row r="2298" spans="1:28" x14ac:dyDescent="0.25">
      <c r="A2298" s="42"/>
      <c r="B2298" s="121"/>
      <c r="C2298" s="41"/>
      <c r="D2298" s="41"/>
      <c r="E2298" s="41"/>
      <c r="F2298" s="41"/>
      <c r="G2298" s="41"/>
      <c r="H2298" s="41"/>
      <c r="I2298" s="41"/>
      <c r="J2298" s="41"/>
      <c r="K2298" s="41"/>
      <c r="L2298" s="42"/>
      <c r="M2298" s="121"/>
      <c r="N2298" s="121"/>
      <c r="O2298" s="121"/>
      <c r="P2298" s="121"/>
      <c r="Q2298" s="121"/>
      <c r="R2298" s="121"/>
      <c r="S2298" s="121"/>
      <c r="T2298" s="42"/>
      <c r="U2298" s="122"/>
      <c r="V2298" s="42"/>
      <c r="W2298" s="42"/>
      <c r="X2298" s="42"/>
      <c r="Y2298" s="42"/>
      <c r="Z2298" s="42"/>
      <c r="AA2298" s="42"/>
      <c r="AB2298" s="42"/>
    </row>
    <row r="2299" spans="1:28" x14ac:dyDescent="0.25">
      <c r="A2299" s="42"/>
      <c r="B2299" s="121"/>
      <c r="C2299" s="41"/>
      <c r="D2299" s="41"/>
      <c r="E2299" s="41"/>
      <c r="F2299" s="41"/>
      <c r="G2299" s="41"/>
      <c r="H2299" s="41"/>
      <c r="I2299" s="41"/>
      <c r="J2299" s="41"/>
      <c r="K2299" s="41"/>
      <c r="L2299" s="42"/>
      <c r="M2299" s="121"/>
      <c r="N2299" s="121"/>
      <c r="O2299" s="121"/>
      <c r="P2299" s="121"/>
      <c r="Q2299" s="121"/>
      <c r="R2299" s="121"/>
      <c r="S2299" s="121"/>
      <c r="T2299" s="42"/>
      <c r="U2299" s="122"/>
      <c r="V2299" s="42"/>
      <c r="W2299" s="42"/>
      <c r="X2299" s="42"/>
      <c r="Y2299" s="42"/>
      <c r="Z2299" s="42"/>
      <c r="AA2299" s="42"/>
      <c r="AB2299" s="42"/>
    </row>
    <row r="2300" spans="1:28" x14ac:dyDescent="0.25">
      <c r="A2300" s="42"/>
      <c r="B2300" s="121"/>
      <c r="C2300" s="41"/>
      <c r="D2300" s="41"/>
      <c r="E2300" s="41"/>
      <c r="F2300" s="41"/>
      <c r="G2300" s="41"/>
      <c r="H2300" s="41"/>
      <c r="I2300" s="41"/>
      <c r="J2300" s="41"/>
      <c r="K2300" s="41"/>
      <c r="L2300" s="42"/>
      <c r="M2300" s="121"/>
      <c r="N2300" s="121"/>
      <c r="O2300" s="121"/>
      <c r="P2300" s="121"/>
      <c r="Q2300" s="121"/>
      <c r="R2300" s="121"/>
      <c r="S2300" s="121"/>
      <c r="T2300" s="42"/>
      <c r="U2300" s="122"/>
      <c r="V2300" s="42"/>
      <c r="W2300" s="42"/>
      <c r="X2300" s="42"/>
      <c r="Y2300" s="42"/>
      <c r="Z2300" s="42"/>
      <c r="AA2300" s="42"/>
      <c r="AB2300" s="42"/>
    </row>
    <row r="2301" spans="1:28" x14ac:dyDescent="0.25">
      <c r="A2301" s="42"/>
      <c r="B2301" s="121"/>
      <c r="C2301" s="41"/>
      <c r="D2301" s="41"/>
      <c r="E2301" s="41"/>
      <c r="F2301" s="41"/>
      <c r="G2301" s="41"/>
      <c r="H2301" s="41"/>
      <c r="I2301" s="41"/>
      <c r="J2301" s="41"/>
      <c r="K2301" s="41"/>
      <c r="L2301" s="42"/>
      <c r="M2301" s="121"/>
      <c r="N2301" s="121"/>
      <c r="O2301" s="121"/>
      <c r="P2301" s="121"/>
      <c r="Q2301" s="121"/>
      <c r="R2301" s="121"/>
      <c r="S2301" s="121"/>
      <c r="T2301" s="42"/>
      <c r="U2301" s="122"/>
      <c r="V2301" s="42"/>
      <c r="W2301" s="42"/>
      <c r="X2301" s="42"/>
      <c r="Y2301" s="42"/>
      <c r="Z2301" s="42"/>
      <c r="AA2301" s="42"/>
      <c r="AB2301" s="42"/>
    </row>
    <row r="2302" spans="1:28" x14ac:dyDescent="0.25">
      <c r="A2302" s="42"/>
      <c r="B2302" s="121"/>
      <c r="C2302" s="41"/>
      <c r="D2302" s="41"/>
      <c r="E2302" s="41"/>
      <c r="F2302" s="41"/>
      <c r="G2302" s="41"/>
      <c r="H2302" s="41"/>
      <c r="I2302" s="41"/>
      <c r="J2302" s="41"/>
      <c r="K2302" s="41"/>
      <c r="L2302" s="42"/>
      <c r="M2302" s="121"/>
      <c r="N2302" s="121"/>
      <c r="O2302" s="121"/>
      <c r="P2302" s="121"/>
      <c r="Q2302" s="121"/>
      <c r="R2302" s="121"/>
      <c r="S2302" s="121"/>
      <c r="T2302" s="42"/>
      <c r="U2302" s="122"/>
      <c r="V2302" s="42"/>
      <c r="W2302" s="42"/>
      <c r="X2302" s="42"/>
      <c r="Y2302" s="42"/>
      <c r="Z2302" s="42"/>
      <c r="AA2302" s="42"/>
      <c r="AB2302" s="42"/>
    </row>
    <row r="2303" spans="1:28" x14ac:dyDescent="0.25">
      <c r="A2303" s="42"/>
      <c r="B2303" s="121"/>
      <c r="C2303" s="41"/>
      <c r="D2303" s="41"/>
      <c r="E2303" s="41"/>
      <c r="F2303" s="41"/>
      <c r="G2303" s="41"/>
      <c r="H2303" s="41"/>
      <c r="I2303" s="41"/>
      <c r="J2303" s="41"/>
      <c r="K2303" s="41"/>
      <c r="L2303" s="42"/>
      <c r="M2303" s="121"/>
      <c r="N2303" s="121"/>
      <c r="O2303" s="121"/>
      <c r="P2303" s="121"/>
      <c r="Q2303" s="121"/>
      <c r="R2303" s="121"/>
      <c r="S2303" s="121"/>
      <c r="T2303" s="42"/>
      <c r="U2303" s="122"/>
      <c r="V2303" s="42"/>
      <c r="W2303" s="42"/>
      <c r="X2303" s="42"/>
      <c r="Y2303" s="42"/>
      <c r="Z2303" s="42"/>
      <c r="AA2303" s="42"/>
      <c r="AB2303" s="42"/>
    </row>
    <row r="2304" spans="1:28" x14ac:dyDescent="0.25">
      <c r="A2304" s="42"/>
      <c r="B2304" s="121"/>
      <c r="C2304" s="41"/>
      <c r="D2304" s="41"/>
      <c r="E2304" s="41"/>
      <c r="F2304" s="41"/>
      <c r="G2304" s="41"/>
      <c r="H2304" s="41"/>
      <c r="I2304" s="41"/>
      <c r="J2304" s="41"/>
      <c r="K2304" s="41"/>
      <c r="L2304" s="42"/>
      <c r="M2304" s="121"/>
      <c r="N2304" s="121"/>
      <c r="O2304" s="121"/>
      <c r="P2304" s="121"/>
      <c r="Q2304" s="121"/>
      <c r="R2304" s="121"/>
      <c r="S2304" s="121"/>
      <c r="T2304" s="42"/>
      <c r="U2304" s="122"/>
      <c r="V2304" s="42"/>
      <c r="W2304" s="42"/>
      <c r="X2304" s="42"/>
      <c r="Y2304" s="42"/>
      <c r="Z2304" s="42"/>
      <c r="AA2304" s="42"/>
      <c r="AB2304" s="42"/>
    </row>
    <row r="2305" spans="1:28" x14ac:dyDescent="0.25">
      <c r="A2305" s="42"/>
      <c r="B2305" s="121"/>
      <c r="C2305" s="41"/>
      <c r="D2305" s="41"/>
      <c r="E2305" s="41"/>
      <c r="F2305" s="41"/>
      <c r="G2305" s="41"/>
      <c r="H2305" s="41"/>
      <c r="I2305" s="41"/>
      <c r="J2305" s="41"/>
      <c r="K2305" s="41"/>
      <c r="L2305" s="42"/>
      <c r="M2305" s="121"/>
      <c r="N2305" s="121"/>
      <c r="O2305" s="121"/>
      <c r="P2305" s="121"/>
      <c r="Q2305" s="121"/>
      <c r="R2305" s="121"/>
      <c r="S2305" s="121"/>
      <c r="T2305" s="42"/>
      <c r="U2305" s="122"/>
      <c r="V2305" s="42"/>
      <c r="W2305" s="42"/>
      <c r="X2305" s="42"/>
      <c r="Y2305" s="42"/>
      <c r="Z2305" s="42"/>
      <c r="AA2305" s="42"/>
      <c r="AB2305" s="42"/>
    </row>
    <row r="2306" spans="1:28" x14ac:dyDescent="0.25">
      <c r="A2306" s="42"/>
      <c r="B2306" s="121"/>
      <c r="C2306" s="41"/>
      <c r="D2306" s="41"/>
      <c r="E2306" s="41"/>
      <c r="F2306" s="41"/>
      <c r="G2306" s="41"/>
      <c r="H2306" s="41"/>
      <c r="I2306" s="41"/>
      <c r="J2306" s="41"/>
      <c r="K2306" s="41"/>
      <c r="L2306" s="42"/>
      <c r="M2306" s="121"/>
      <c r="N2306" s="121"/>
      <c r="O2306" s="121"/>
      <c r="P2306" s="121"/>
      <c r="Q2306" s="121"/>
      <c r="R2306" s="121"/>
      <c r="S2306" s="121"/>
      <c r="T2306" s="42"/>
      <c r="U2306" s="122"/>
      <c r="V2306" s="42"/>
      <c r="W2306" s="42"/>
      <c r="X2306" s="42"/>
      <c r="Y2306" s="42"/>
      <c r="Z2306" s="42"/>
      <c r="AA2306" s="42"/>
      <c r="AB2306" s="42"/>
    </row>
    <row r="2307" spans="1:28" x14ac:dyDescent="0.25">
      <c r="A2307" s="42"/>
      <c r="B2307" s="121"/>
      <c r="C2307" s="41"/>
      <c r="D2307" s="41"/>
      <c r="E2307" s="41"/>
      <c r="F2307" s="41"/>
      <c r="G2307" s="41"/>
      <c r="H2307" s="41"/>
      <c r="I2307" s="41"/>
      <c r="J2307" s="41"/>
      <c r="K2307" s="41"/>
      <c r="L2307" s="42"/>
      <c r="M2307" s="121"/>
      <c r="N2307" s="121"/>
      <c r="O2307" s="121"/>
      <c r="P2307" s="121"/>
      <c r="Q2307" s="121"/>
      <c r="R2307" s="121"/>
      <c r="S2307" s="121"/>
      <c r="T2307" s="42"/>
      <c r="U2307" s="122"/>
      <c r="V2307" s="42"/>
      <c r="W2307" s="42"/>
      <c r="X2307" s="42"/>
      <c r="Y2307" s="42"/>
      <c r="Z2307" s="42"/>
      <c r="AA2307" s="42"/>
      <c r="AB2307" s="42"/>
    </row>
    <row r="2308" spans="1:28" x14ac:dyDescent="0.25">
      <c r="A2308" s="42"/>
      <c r="B2308" s="121"/>
      <c r="C2308" s="41"/>
      <c r="D2308" s="41"/>
      <c r="E2308" s="41"/>
      <c r="F2308" s="41"/>
      <c r="G2308" s="41"/>
      <c r="H2308" s="41"/>
      <c r="I2308" s="41"/>
      <c r="J2308" s="41"/>
      <c r="K2308" s="41"/>
      <c r="L2308" s="42"/>
      <c r="M2308" s="121"/>
      <c r="N2308" s="121"/>
      <c r="O2308" s="121"/>
      <c r="P2308" s="121"/>
      <c r="Q2308" s="121"/>
      <c r="R2308" s="121"/>
      <c r="S2308" s="121"/>
      <c r="T2308" s="42"/>
      <c r="U2308" s="122"/>
      <c r="V2308" s="42"/>
      <c r="W2308" s="42"/>
      <c r="X2308" s="42"/>
      <c r="Y2308" s="42"/>
      <c r="Z2308" s="42"/>
      <c r="AA2308" s="42"/>
      <c r="AB2308" s="42"/>
    </row>
    <row r="2309" spans="1:28" x14ac:dyDescent="0.25">
      <c r="A2309" s="42"/>
      <c r="B2309" s="121"/>
      <c r="C2309" s="41"/>
      <c r="D2309" s="41"/>
      <c r="E2309" s="41"/>
      <c r="F2309" s="41"/>
      <c r="G2309" s="41"/>
      <c r="H2309" s="41"/>
      <c r="I2309" s="41"/>
      <c r="J2309" s="41"/>
      <c r="K2309" s="41"/>
      <c r="L2309" s="42"/>
      <c r="M2309" s="121"/>
      <c r="N2309" s="121"/>
      <c r="O2309" s="121"/>
      <c r="P2309" s="121"/>
      <c r="Q2309" s="121"/>
      <c r="R2309" s="121"/>
      <c r="S2309" s="121"/>
      <c r="T2309" s="42"/>
      <c r="U2309" s="122"/>
      <c r="V2309" s="42"/>
      <c r="W2309" s="42"/>
      <c r="X2309" s="42"/>
      <c r="Y2309" s="42"/>
      <c r="Z2309" s="42"/>
      <c r="AA2309" s="42"/>
      <c r="AB2309" s="42"/>
    </row>
    <row r="2310" spans="1:28" x14ac:dyDescent="0.25">
      <c r="A2310" s="42"/>
      <c r="B2310" s="121"/>
      <c r="C2310" s="41"/>
      <c r="D2310" s="41"/>
      <c r="E2310" s="41"/>
      <c r="F2310" s="41"/>
      <c r="G2310" s="41"/>
      <c r="H2310" s="41"/>
      <c r="I2310" s="41"/>
      <c r="J2310" s="41"/>
      <c r="K2310" s="41"/>
      <c r="L2310" s="42"/>
      <c r="M2310" s="121"/>
      <c r="N2310" s="121"/>
      <c r="O2310" s="121"/>
      <c r="P2310" s="121"/>
      <c r="Q2310" s="121"/>
      <c r="R2310" s="121"/>
      <c r="S2310" s="121"/>
      <c r="T2310" s="42"/>
      <c r="U2310" s="122"/>
      <c r="V2310" s="42"/>
      <c r="W2310" s="42"/>
      <c r="X2310" s="42"/>
      <c r="Y2310" s="42"/>
      <c r="Z2310" s="42"/>
      <c r="AA2310" s="42"/>
      <c r="AB2310" s="42"/>
    </row>
    <row r="2311" spans="1:28" x14ac:dyDescent="0.25">
      <c r="A2311" s="42"/>
      <c r="B2311" s="121"/>
      <c r="C2311" s="41"/>
      <c r="D2311" s="41"/>
      <c r="E2311" s="41"/>
      <c r="F2311" s="41"/>
      <c r="G2311" s="41"/>
      <c r="H2311" s="41"/>
      <c r="I2311" s="41"/>
      <c r="J2311" s="41"/>
      <c r="K2311" s="41"/>
      <c r="L2311" s="42"/>
      <c r="M2311" s="121"/>
      <c r="N2311" s="121"/>
      <c r="O2311" s="121"/>
      <c r="P2311" s="121"/>
      <c r="Q2311" s="121"/>
      <c r="R2311" s="121"/>
      <c r="S2311" s="121"/>
      <c r="T2311" s="42"/>
      <c r="U2311" s="122"/>
      <c r="V2311" s="42"/>
      <c r="W2311" s="42"/>
      <c r="X2311" s="42"/>
      <c r="Y2311" s="42"/>
      <c r="Z2311" s="42"/>
      <c r="AA2311" s="42"/>
      <c r="AB2311" s="42"/>
    </row>
    <row r="2312" spans="1:28" x14ac:dyDescent="0.25">
      <c r="A2312" s="42"/>
      <c r="B2312" s="121"/>
      <c r="C2312" s="41"/>
      <c r="D2312" s="41"/>
      <c r="E2312" s="41"/>
      <c r="F2312" s="41"/>
      <c r="G2312" s="41"/>
      <c r="H2312" s="41"/>
      <c r="I2312" s="41"/>
      <c r="J2312" s="41"/>
      <c r="K2312" s="41"/>
      <c r="L2312" s="42"/>
      <c r="M2312" s="121"/>
      <c r="N2312" s="121"/>
      <c r="O2312" s="121"/>
      <c r="P2312" s="121"/>
      <c r="Q2312" s="121"/>
      <c r="R2312" s="121"/>
      <c r="S2312" s="121"/>
      <c r="T2312" s="42"/>
      <c r="U2312" s="122"/>
      <c r="V2312" s="42"/>
      <c r="W2312" s="42"/>
      <c r="X2312" s="42"/>
      <c r="Y2312" s="42"/>
      <c r="Z2312" s="42"/>
      <c r="AA2312" s="42"/>
      <c r="AB2312" s="42"/>
    </row>
    <row r="2313" spans="1:28" x14ac:dyDescent="0.25">
      <c r="A2313" s="42"/>
      <c r="B2313" s="121"/>
      <c r="C2313" s="41"/>
      <c r="D2313" s="41"/>
      <c r="E2313" s="41"/>
      <c r="F2313" s="41"/>
      <c r="G2313" s="41"/>
      <c r="H2313" s="41"/>
      <c r="I2313" s="41"/>
      <c r="J2313" s="41"/>
      <c r="K2313" s="41"/>
      <c r="L2313" s="42"/>
      <c r="M2313" s="121"/>
      <c r="N2313" s="121"/>
      <c r="O2313" s="121"/>
      <c r="P2313" s="121"/>
      <c r="Q2313" s="121"/>
      <c r="R2313" s="121"/>
      <c r="S2313" s="121"/>
      <c r="T2313" s="42"/>
      <c r="U2313" s="122"/>
      <c r="V2313" s="42"/>
      <c r="W2313" s="42"/>
      <c r="X2313" s="42"/>
      <c r="Y2313" s="42"/>
      <c r="Z2313" s="42"/>
      <c r="AA2313" s="42"/>
      <c r="AB2313" s="42"/>
    </row>
    <row r="2314" spans="1:28" x14ac:dyDescent="0.25">
      <c r="A2314" s="42"/>
      <c r="B2314" s="121"/>
      <c r="C2314" s="41"/>
      <c r="D2314" s="41"/>
      <c r="E2314" s="41"/>
      <c r="F2314" s="41"/>
      <c r="G2314" s="41"/>
      <c r="H2314" s="41"/>
      <c r="I2314" s="41"/>
      <c r="J2314" s="41"/>
      <c r="K2314" s="41"/>
      <c r="L2314" s="42"/>
      <c r="M2314" s="121"/>
      <c r="N2314" s="121"/>
      <c r="O2314" s="121"/>
      <c r="P2314" s="121"/>
      <c r="Q2314" s="121"/>
      <c r="R2314" s="121"/>
      <c r="S2314" s="121"/>
      <c r="T2314" s="42"/>
      <c r="U2314" s="122"/>
      <c r="V2314" s="42"/>
      <c r="W2314" s="42"/>
      <c r="X2314" s="42"/>
      <c r="Y2314" s="42"/>
      <c r="Z2314" s="42"/>
      <c r="AA2314" s="42"/>
      <c r="AB2314" s="42"/>
    </row>
    <row r="2315" spans="1:28" x14ac:dyDescent="0.25">
      <c r="A2315" s="42"/>
      <c r="B2315" s="121"/>
      <c r="C2315" s="41"/>
      <c r="D2315" s="41"/>
      <c r="E2315" s="41"/>
      <c r="F2315" s="41"/>
      <c r="G2315" s="41"/>
      <c r="H2315" s="41"/>
      <c r="I2315" s="41"/>
      <c r="J2315" s="41"/>
      <c r="K2315" s="41"/>
      <c r="L2315" s="42"/>
      <c r="M2315" s="121"/>
      <c r="N2315" s="121"/>
      <c r="O2315" s="121"/>
      <c r="P2315" s="121"/>
      <c r="Q2315" s="121"/>
      <c r="R2315" s="121"/>
      <c r="S2315" s="121"/>
      <c r="T2315" s="42"/>
      <c r="U2315" s="122"/>
      <c r="V2315" s="42"/>
      <c r="W2315" s="42"/>
      <c r="X2315" s="42"/>
      <c r="Y2315" s="42"/>
      <c r="Z2315" s="42"/>
      <c r="AA2315" s="42"/>
      <c r="AB2315" s="42"/>
    </row>
    <row r="2316" spans="1:28" x14ac:dyDescent="0.25">
      <c r="A2316" s="42"/>
      <c r="B2316" s="121"/>
      <c r="C2316" s="41"/>
      <c r="D2316" s="41"/>
      <c r="E2316" s="41"/>
      <c r="F2316" s="41"/>
      <c r="G2316" s="41"/>
      <c r="H2316" s="41"/>
      <c r="I2316" s="41"/>
      <c r="J2316" s="41"/>
      <c r="K2316" s="41"/>
      <c r="L2316" s="42"/>
      <c r="M2316" s="121"/>
      <c r="N2316" s="121"/>
      <c r="O2316" s="121"/>
      <c r="P2316" s="121"/>
      <c r="Q2316" s="121"/>
      <c r="R2316" s="121"/>
      <c r="S2316" s="121"/>
      <c r="T2316" s="42"/>
      <c r="U2316" s="122"/>
      <c r="V2316" s="42"/>
      <c r="W2316" s="42"/>
      <c r="X2316" s="42"/>
      <c r="Y2316" s="42"/>
      <c r="Z2316" s="42"/>
      <c r="AA2316" s="42"/>
      <c r="AB2316" s="42"/>
    </row>
    <row r="2317" spans="1:28" x14ac:dyDescent="0.25">
      <c r="A2317" s="42"/>
      <c r="B2317" s="121"/>
      <c r="C2317" s="41"/>
      <c r="D2317" s="41"/>
      <c r="E2317" s="41"/>
      <c r="F2317" s="41"/>
      <c r="G2317" s="41"/>
      <c r="H2317" s="41"/>
      <c r="I2317" s="41"/>
      <c r="J2317" s="41"/>
      <c r="K2317" s="41"/>
      <c r="L2317" s="42"/>
      <c r="M2317" s="121"/>
      <c r="N2317" s="121"/>
      <c r="O2317" s="121"/>
      <c r="P2317" s="121"/>
      <c r="Q2317" s="121"/>
      <c r="R2317" s="121"/>
      <c r="S2317" s="121"/>
      <c r="T2317" s="42"/>
      <c r="U2317" s="122"/>
      <c r="V2317" s="42"/>
      <c r="W2317" s="42"/>
      <c r="X2317" s="42"/>
      <c r="Y2317" s="42"/>
      <c r="Z2317" s="42"/>
      <c r="AA2317" s="42"/>
      <c r="AB2317" s="42"/>
    </row>
    <row r="2318" spans="1:28" x14ac:dyDescent="0.25">
      <c r="A2318" s="42"/>
      <c r="B2318" s="121"/>
      <c r="C2318" s="41"/>
      <c r="D2318" s="41"/>
      <c r="E2318" s="41"/>
      <c r="F2318" s="41"/>
      <c r="G2318" s="41"/>
      <c r="H2318" s="41"/>
      <c r="I2318" s="41"/>
      <c r="J2318" s="41"/>
      <c r="K2318" s="41"/>
      <c r="L2318" s="42"/>
      <c r="M2318" s="121"/>
      <c r="N2318" s="121"/>
      <c r="O2318" s="121"/>
      <c r="P2318" s="121"/>
      <c r="Q2318" s="121"/>
      <c r="R2318" s="121"/>
      <c r="S2318" s="121"/>
      <c r="T2318" s="42"/>
      <c r="U2318" s="122"/>
      <c r="V2318" s="42"/>
      <c r="W2318" s="42"/>
      <c r="X2318" s="42"/>
      <c r="Y2318" s="42"/>
      <c r="Z2318" s="42"/>
      <c r="AA2318" s="42"/>
      <c r="AB2318" s="42"/>
    </row>
    <row r="2319" spans="1:28" x14ac:dyDescent="0.25">
      <c r="A2319" s="42"/>
      <c r="B2319" s="121"/>
      <c r="C2319" s="41"/>
      <c r="D2319" s="41"/>
      <c r="E2319" s="41"/>
      <c r="F2319" s="41"/>
      <c r="G2319" s="41"/>
      <c r="H2319" s="41"/>
      <c r="I2319" s="41"/>
      <c r="J2319" s="41"/>
      <c r="K2319" s="41"/>
      <c r="L2319" s="42"/>
      <c r="M2319" s="121"/>
      <c r="N2319" s="121"/>
      <c r="O2319" s="121"/>
      <c r="P2319" s="121"/>
      <c r="Q2319" s="121"/>
      <c r="R2319" s="121"/>
      <c r="S2319" s="121"/>
      <c r="T2319" s="42"/>
      <c r="U2319" s="122"/>
      <c r="V2319" s="42"/>
      <c r="W2319" s="42"/>
      <c r="X2319" s="42"/>
      <c r="Y2319" s="42"/>
      <c r="Z2319" s="42"/>
      <c r="AA2319" s="42"/>
      <c r="AB2319" s="42"/>
    </row>
    <row r="2320" spans="1:28" x14ac:dyDescent="0.25">
      <c r="A2320" s="42"/>
      <c r="B2320" s="121"/>
      <c r="C2320" s="41"/>
      <c r="D2320" s="41"/>
      <c r="E2320" s="41"/>
      <c r="F2320" s="41"/>
      <c r="G2320" s="41"/>
      <c r="H2320" s="41"/>
      <c r="I2320" s="41"/>
      <c r="J2320" s="41"/>
      <c r="K2320" s="41"/>
      <c r="L2320" s="42"/>
      <c r="M2320" s="121"/>
      <c r="N2320" s="121"/>
      <c r="O2320" s="121"/>
      <c r="P2320" s="121"/>
      <c r="Q2320" s="121"/>
      <c r="R2320" s="121"/>
      <c r="S2320" s="121"/>
      <c r="T2320" s="42"/>
      <c r="U2320" s="122"/>
      <c r="V2320" s="42"/>
      <c r="W2320" s="42"/>
      <c r="X2320" s="42"/>
      <c r="Y2320" s="42"/>
      <c r="Z2320" s="42"/>
      <c r="AA2320" s="42"/>
      <c r="AB2320" s="42"/>
    </row>
    <row r="2321" spans="1:28" x14ac:dyDescent="0.25">
      <c r="A2321" s="42"/>
      <c r="B2321" s="121"/>
      <c r="C2321" s="41"/>
      <c r="D2321" s="41"/>
      <c r="E2321" s="41"/>
      <c r="F2321" s="41"/>
      <c r="G2321" s="41"/>
      <c r="H2321" s="41"/>
      <c r="I2321" s="41"/>
      <c r="J2321" s="41"/>
      <c r="K2321" s="41"/>
      <c r="L2321" s="42"/>
      <c r="M2321" s="121"/>
      <c r="N2321" s="121"/>
      <c r="O2321" s="121"/>
      <c r="P2321" s="121"/>
      <c r="Q2321" s="121"/>
      <c r="R2321" s="121"/>
      <c r="S2321" s="121"/>
      <c r="T2321" s="42"/>
      <c r="U2321" s="122"/>
      <c r="V2321" s="42"/>
      <c r="W2321" s="42"/>
      <c r="X2321" s="42"/>
      <c r="Y2321" s="42"/>
      <c r="Z2321" s="42"/>
      <c r="AA2321" s="42"/>
      <c r="AB2321" s="42"/>
    </row>
    <row r="2322" spans="1:28" x14ac:dyDescent="0.25">
      <c r="A2322" s="42"/>
      <c r="B2322" s="121"/>
      <c r="C2322" s="41"/>
      <c r="D2322" s="41"/>
      <c r="E2322" s="41"/>
      <c r="F2322" s="41"/>
      <c r="G2322" s="41"/>
      <c r="H2322" s="41"/>
      <c r="I2322" s="41"/>
      <c r="J2322" s="41"/>
      <c r="K2322" s="41"/>
      <c r="L2322" s="42"/>
      <c r="M2322" s="121"/>
      <c r="N2322" s="121"/>
      <c r="O2322" s="121"/>
      <c r="P2322" s="121"/>
      <c r="Q2322" s="121"/>
      <c r="R2322" s="121"/>
      <c r="S2322" s="121"/>
      <c r="T2322" s="42"/>
      <c r="U2322" s="122"/>
      <c r="V2322" s="42"/>
      <c r="W2322" s="42"/>
      <c r="X2322" s="42"/>
      <c r="Y2322" s="42"/>
      <c r="Z2322" s="42"/>
      <c r="AA2322" s="42"/>
      <c r="AB2322" s="42"/>
    </row>
    <row r="2323" spans="1:28" x14ac:dyDescent="0.25">
      <c r="A2323" s="42"/>
      <c r="B2323" s="121"/>
      <c r="C2323" s="41"/>
      <c r="D2323" s="41"/>
      <c r="E2323" s="41"/>
      <c r="F2323" s="41"/>
      <c r="G2323" s="41"/>
      <c r="H2323" s="41"/>
      <c r="I2323" s="41"/>
      <c r="J2323" s="41"/>
      <c r="K2323" s="41"/>
      <c r="L2323" s="42"/>
      <c r="M2323" s="121"/>
      <c r="N2323" s="121"/>
      <c r="O2323" s="121"/>
      <c r="P2323" s="121"/>
      <c r="Q2323" s="121"/>
      <c r="R2323" s="121"/>
      <c r="S2323" s="121"/>
      <c r="T2323" s="42"/>
      <c r="U2323" s="122"/>
      <c r="V2323" s="42"/>
      <c r="W2323" s="42"/>
      <c r="X2323" s="42"/>
      <c r="Y2323" s="42"/>
      <c r="Z2323" s="42"/>
      <c r="AA2323" s="42"/>
      <c r="AB2323" s="42"/>
    </row>
    <row r="2324" spans="1:28" x14ac:dyDescent="0.25">
      <c r="A2324" s="42"/>
      <c r="B2324" s="121"/>
      <c r="C2324" s="41"/>
      <c r="D2324" s="41"/>
      <c r="E2324" s="41"/>
      <c r="F2324" s="41"/>
      <c r="G2324" s="41"/>
      <c r="H2324" s="41"/>
      <c r="I2324" s="41"/>
      <c r="J2324" s="41"/>
      <c r="K2324" s="41"/>
      <c r="L2324" s="42"/>
      <c r="M2324" s="121"/>
      <c r="N2324" s="121"/>
      <c r="O2324" s="121"/>
      <c r="P2324" s="121"/>
      <c r="Q2324" s="121"/>
      <c r="R2324" s="121"/>
      <c r="S2324" s="121"/>
      <c r="T2324" s="42"/>
      <c r="U2324" s="122"/>
      <c r="V2324" s="42"/>
      <c r="W2324" s="42"/>
      <c r="X2324" s="42"/>
      <c r="Y2324" s="42"/>
      <c r="Z2324" s="42"/>
      <c r="AA2324" s="42"/>
      <c r="AB2324" s="42"/>
    </row>
    <row r="2325" spans="1:28" x14ac:dyDescent="0.25">
      <c r="A2325" s="42"/>
      <c r="B2325" s="121"/>
      <c r="C2325" s="41"/>
      <c r="D2325" s="41"/>
      <c r="E2325" s="41"/>
      <c r="F2325" s="41"/>
      <c r="G2325" s="41"/>
      <c r="H2325" s="41"/>
      <c r="I2325" s="41"/>
      <c r="J2325" s="41"/>
      <c r="K2325" s="41"/>
      <c r="L2325" s="42"/>
      <c r="M2325" s="121"/>
      <c r="N2325" s="121"/>
      <c r="O2325" s="121"/>
      <c r="P2325" s="121"/>
      <c r="Q2325" s="121"/>
      <c r="R2325" s="121"/>
      <c r="S2325" s="121"/>
      <c r="T2325" s="42"/>
      <c r="U2325" s="122"/>
      <c r="V2325" s="42"/>
      <c r="W2325" s="42"/>
      <c r="X2325" s="42"/>
      <c r="Y2325" s="42"/>
      <c r="Z2325" s="42"/>
      <c r="AA2325" s="42"/>
      <c r="AB2325" s="42"/>
    </row>
    <row r="2326" spans="1:28" x14ac:dyDescent="0.25">
      <c r="A2326" s="42"/>
      <c r="B2326" s="121"/>
      <c r="C2326" s="41"/>
      <c r="D2326" s="41"/>
      <c r="E2326" s="41"/>
      <c r="F2326" s="41"/>
      <c r="G2326" s="41"/>
      <c r="H2326" s="41"/>
      <c r="I2326" s="41"/>
      <c r="J2326" s="41"/>
      <c r="K2326" s="41"/>
      <c r="L2326" s="42"/>
      <c r="M2326" s="121"/>
      <c r="N2326" s="121"/>
      <c r="O2326" s="121"/>
      <c r="P2326" s="121"/>
      <c r="Q2326" s="121"/>
      <c r="R2326" s="121"/>
      <c r="S2326" s="121"/>
      <c r="T2326" s="42"/>
      <c r="U2326" s="122"/>
      <c r="V2326" s="42"/>
      <c r="W2326" s="42"/>
      <c r="X2326" s="42"/>
      <c r="Y2326" s="42"/>
      <c r="Z2326" s="42"/>
      <c r="AA2326" s="42"/>
      <c r="AB2326" s="42"/>
    </row>
    <row r="2327" spans="1:28" x14ac:dyDescent="0.25">
      <c r="A2327" s="42"/>
      <c r="B2327" s="121"/>
      <c r="C2327" s="41"/>
      <c r="D2327" s="41"/>
      <c r="E2327" s="41"/>
      <c r="F2327" s="41"/>
      <c r="G2327" s="41"/>
      <c r="H2327" s="41"/>
      <c r="I2327" s="41"/>
      <c r="J2327" s="41"/>
      <c r="K2327" s="41"/>
      <c r="L2327" s="42"/>
      <c r="M2327" s="121"/>
      <c r="N2327" s="121"/>
      <c r="O2327" s="121"/>
      <c r="P2327" s="121"/>
      <c r="Q2327" s="121"/>
      <c r="R2327" s="121"/>
      <c r="S2327" s="121"/>
      <c r="T2327" s="42"/>
      <c r="U2327" s="122"/>
      <c r="V2327" s="42"/>
      <c r="W2327" s="42"/>
      <c r="X2327" s="42"/>
      <c r="Y2327" s="42"/>
      <c r="Z2327" s="42"/>
      <c r="AA2327" s="42"/>
      <c r="AB2327" s="42"/>
    </row>
    <row r="2328" spans="1:28" x14ac:dyDescent="0.25">
      <c r="A2328" s="42"/>
      <c r="B2328" s="121"/>
      <c r="C2328" s="41"/>
      <c r="D2328" s="41"/>
      <c r="E2328" s="41"/>
      <c r="F2328" s="41"/>
      <c r="G2328" s="41"/>
      <c r="H2328" s="41"/>
      <c r="I2328" s="41"/>
      <c r="J2328" s="41"/>
      <c r="K2328" s="41"/>
      <c r="L2328" s="42"/>
      <c r="M2328" s="121"/>
      <c r="N2328" s="121"/>
      <c r="O2328" s="121"/>
      <c r="P2328" s="121"/>
      <c r="Q2328" s="121"/>
      <c r="R2328" s="121"/>
      <c r="S2328" s="121"/>
      <c r="T2328" s="42"/>
      <c r="U2328" s="122"/>
      <c r="V2328" s="42"/>
      <c r="W2328" s="42"/>
      <c r="X2328" s="42"/>
      <c r="Y2328" s="42"/>
      <c r="Z2328" s="42"/>
      <c r="AA2328" s="42"/>
      <c r="AB2328" s="42"/>
    </row>
    <row r="2329" spans="1:28" x14ac:dyDescent="0.25">
      <c r="A2329" s="42"/>
      <c r="B2329" s="121"/>
      <c r="C2329" s="41"/>
      <c r="D2329" s="41"/>
      <c r="E2329" s="41"/>
      <c r="F2329" s="41"/>
      <c r="G2329" s="41"/>
      <c r="H2329" s="41"/>
      <c r="I2329" s="41"/>
      <c r="J2329" s="41"/>
      <c r="K2329" s="41"/>
      <c r="L2329" s="42"/>
      <c r="M2329" s="121"/>
      <c r="N2329" s="121"/>
      <c r="O2329" s="121"/>
      <c r="P2329" s="121"/>
      <c r="Q2329" s="121"/>
      <c r="R2329" s="121"/>
      <c r="S2329" s="121"/>
      <c r="T2329" s="42"/>
      <c r="U2329" s="122"/>
      <c r="V2329" s="42"/>
      <c r="W2329" s="42"/>
      <c r="X2329" s="42"/>
      <c r="Y2329" s="42"/>
      <c r="Z2329" s="42"/>
      <c r="AA2329" s="42"/>
      <c r="AB2329" s="42"/>
    </row>
    <row r="2330" spans="1:28" x14ac:dyDescent="0.25">
      <c r="A2330" s="42"/>
      <c r="B2330" s="121"/>
      <c r="C2330" s="41"/>
      <c r="D2330" s="41"/>
      <c r="E2330" s="41"/>
      <c r="F2330" s="41"/>
      <c r="G2330" s="41"/>
      <c r="H2330" s="41"/>
      <c r="I2330" s="41"/>
      <c r="J2330" s="41"/>
      <c r="K2330" s="41"/>
      <c r="L2330" s="42"/>
      <c r="M2330" s="121"/>
      <c r="N2330" s="121"/>
      <c r="O2330" s="121"/>
      <c r="P2330" s="121"/>
      <c r="Q2330" s="121"/>
      <c r="R2330" s="121"/>
      <c r="S2330" s="121"/>
      <c r="T2330" s="42"/>
      <c r="U2330" s="122"/>
      <c r="V2330" s="42"/>
      <c r="W2330" s="42"/>
      <c r="X2330" s="42"/>
      <c r="Y2330" s="42"/>
      <c r="Z2330" s="42"/>
      <c r="AA2330" s="42"/>
      <c r="AB2330" s="42"/>
    </row>
    <row r="2331" spans="1:28" x14ac:dyDescent="0.25">
      <c r="A2331" s="42"/>
      <c r="B2331" s="121"/>
      <c r="C2331" s="41"/>
      <c r="D2331" s="41"/>
      <c r="E2331" s="41"/>
      <c r="F2331" s="41"/>
      <c r="G2331" s="41"/>
      <c r="H2331" s="41"/>
      <c r="I2331" s="41"/>
      <c r="J2331" s="41"/>
      <c r="K2331" s="41"/>
      <c r="L2331" s="42"/>
      <c r="M2331" s="121"/>
      <c r="N2331" s="121"/>
      <c r="O2331" s="121"/>
      <c r="P2331" s="121"/>
      <c r="Q2331" s="121"/>
      <c r="R2331" s="121"/>
      <c r="S2331" s="121"/>
      <c r="T2331" s="42"/>
      <c r="U2331" s="122"/>
      <c r="V2331" s="42"/>
      <c r="W2331" s="42"/>
      <c r="X2331" s="42"/>
      <c r="Y2331" s="42"/>
      <c r="Z2331" s="42"/>
      <c r="AA2331" s="42"/>
      <c r="AB2331" s="42"/>
    </row>
    <row r="2332" spans="1:28" x14ac:dyDescent="0.25">
      <c r="A2332" s="42"/>
      <c r="B2332" s="121"/>
      <c r="C2332" s="41"/>
      <c r="D2332" s="41"/>
      <c r="E2332" s="41"/>
      <c r="F2332" s="41"/>
      <c r="G2332" s="41"/>
      <c r="H2332" s="41"/>
      <c r="I2332" s="41"/>
      <c r="J2332" s="41"/>
      <c r="K2332" s="41"/>
      <c r="L2332" s="42"/>
      <c r="M2332" s="121"/>
      <c r="N2332" s="121"/>
      <c r="O2332" s="121"/>
      <c r="P2332" s="121"/>
      <c r="Q2332" s="121"/>
      <c r="R2332" s="121"/>
      <c r="S2332" s="121"/>
      <c r="T2332" s="42"/>
      <c r="U2332" s="122"/>
      <c r="V2332" s="42"/>
      <c r="W2332" s="42"/>
      <c r="X2332" s="42"/>
      <c r="Y2332" s="42"/>
      <c r="Z2332" s="42"/>
      <c r="AA2332" s="42"/>
      <c r="AB2332" s="42"/>
    </row>
    <row r="2333" spans="1:28" x14ac:dyDescent="0.25">
      <c r="A2333" s="42"/>
      <c r="B2333" s="121"/>
      <c r="C2333" s="41"/>
      <c r="D2333" s="41"/>
      <c r="E2333" s="41"/>
      <c r="F2333" s="41"/>
      <c r="G2333" s="41"/>
      <c r="H2333" s="41"/>
      <c r="I2333" s="41"/>
      <c r="J2333" s="41"/>
      <c r="K2333" s="41"/>
      <c r="L2333" s="42"/>
      <c r="M2333" s="121"/>
      <c r="N2333" s="121"/>
      <c r="O2333" s="121"/>
      <c r="P2333" s="121"/>
      <c r="Q2333" s="121"/>
      <c r="R2333" s="121"/>
      <c r="S2333" s="121"/>
      <c r="T2333" s="42"/>
      <c r="U2333" s="122"/>
      <c r="V2333" s="42"/>
      <c r="W2333" s="42"/>
      <c r="X2333" s="42"/>
      <c r="Y2333" s="42"/>
      <c r="Z2333" s="42"/>
      <c r="AA2333" s="42"/>
      <c r="AB2333" s="42"/>
    </row>
    <row r="2334" spans="1:28" x14ac:dyDescent="0.25">
      <c r="A2334" s="42"/>
      <c r="B2334" s="121"/>
      <c r="C2334" s="41"/>
      <c r="D2334" s="41"/>
      <c r="E2334" s="41"/>
      <c r="F2334" s="41"/>
      <c r="G2334" s="41"/>
      <c r="H2334" s="41"/>
      <c r="I2334" s="41"/>
      <c r="J2334" s="41"/>
      <c r="K2334" s="41"/>
      <c r="L2334" s="42"/>
      <c r="M2334" s="121"/>
      <c r="N2334" s="121"/>
      <c r="O2334" s="121"/>
      <c r="P2334" s="121"/>
      <c r="Q2334" s="121"/>
      <c r="R2334" s="121"/>
      <c r="S2334" s="121"/>
      <c r="T2334" s="42"/>
      <c r="U2334" s="122"/>
      <c r="V2334" s="42"/>
      <c r="W2334" s="42"/>
      <c r="X2334" s="42"/>
      <c r="Y2334" s="42"/>
      <c r="Z2334" s="42"/>
      <c r="AA2334" s="42"/>
      <c r="AB2334" s="42"/>
    </row>
    <row r="2335" spans="1:28" x14ac:dyDescent="0.25">
      <c r="A2335" s="42"/>
      <c r="B2335" s="121"/>
      <c r="C2335" s="41"/>
      <c r="D2335" s="41"/>
      <c r="E2335" s="41"/>
      <c r="F2335" s="41"/>
      <c r="G2335" s="41"/>
      <c r="H2335" s="41"/>
      <c r="I2335" s="41"/>
      <c r="J2335" s="41"/>
      <c r="K2335" s="41"/>
      <c r="L2335" s="42"/>
      <c r="M2335" s="121"/>
      <c r="N2335" s="121"/>
      <c r="O2335" s="121"/>
      <c r="P2335" s="121"/>
      <c r="Q2335" s="121"/>
      <c r="R2335" s="121"/>
      <c r="S2335" s="121"/>
      <c r="T2335" s="42"/>
      <c r="U2335" s="122"/>
      <c r="V2335" s="42"/>
      <c r="W2335" s="42"/>
      <c r="X2335" s="42"/>
      <c r="Y2335" s="42"/>
      <c r="Z2335" s="42"/>
      <c r="AA2335" s="42"/>
      <c r="AB2335" s="42"/>
    </row>
    <row r="2336" spans="1:28" x14ac:dyDescent="0.25">
      <c r="A2336" s="42"/>
      <c r="B2336" s="121"/>
      <c r="C2336" s="41"/>
      <c r="D2336" s="41"/>
      <c r="E2336" s="41"/>
      <c r="F2336" s="41"/>
      <c r="G2336" s="41"/>
      <c r="H2336" s="41"/>
      <c r="I2336" s="41"/>
      <c r="J2336" s="41"/>
      <c r="K2336" s="41"/>
      <c r="L2336" s="42"/>
      <c r="M2336" s="121"/>
      <c r="N2336" s="121"/>
      <c r="O2336" s="121"/>
      <c r="P2336" s="121"/>
      <c r="Q2336" s="121"/>
      <c r="R2336" s="121"/>
      <c r="S2336" s="121"/>
      <c r="T2336" s="42"/>
      <c r="U2336" s="122"/>
      <c r="V2336" s="42"/>
      <c r="W2336" s="42"/>
      <c r="X2336" s="42"/>
      <c r="Y2336" s="42"/>
      <c r="Z2336" s="42"/>
      <c r="AA2336" s="42"/>
      <c r="AB2336" s="42"/>
    </row>
    <row r="2337" spans="1:28" x14ac:dyDescent="0.25">
      <c r="A2337" s="42"/>
      <c r="B2337" s="121"/>
      <c r="C2337" s="41"/>
      <c r="D2337" s="41"/>
      <c r="E2337" s="41"/>
      <c r="F2337" s="41"/>
      <c r="G2337" s="41"/>
      <c r="H2337" s="41"/>
      <c r="I2337" s="41"/>
      <c r="J2337" s="41"/>
      <c r="K2337" s="41"/>
      <c r="L2337" s="42"/>
      <c r="M2337" s="121"/>
      <c r="N2337" s="121"/>
      <c r="O2337" s="121"/>
      <c r="P2337" s="121"/>
      <c r="Q2337" s="121"/>
      <c r="R2337" s="121"/>
      <c r="S2337" s="121"/>
      <c r="T2337" s="42"/>
      <c r="U2337" s="122"/>
      <c r="V2337" s="42"/>
      <c r="W2337" s="42"/>
      <c r="X2337" s="42"/>
      <c r="Y2337" s="42"/>
      <c r="Z2337" s="42"/>
      <c r="AA2337" s="42"/>
      <c r="AB2337" s="42"/>
    </row>
    <row r="2338" spans="1:28" x14ac:dyDescent="0.25">
      <c r="A2338" s="42"/>
      <c r="B2338" s="121"/>
      <c r="C2338" s="41"/>
      <c r="D2338" s="41"/>
      <c r="E2338" s="41"/>
      <c r="F2338" s="41"/>
      <c r="G2338" s="41"/>
      <c r="H2338" s="41"/>
      <c r="I2338" s="41"/>
      <c r="J2338" s="41"/>
      <c r="K2338" s="41"/>
      <c r="L2338" s="42"/>
      <c r="M2338" s="121"/>
      <c r="N2338" s="121"/>
      <c r="O2338" s="121"/>
      <c r="P2338" s="121"/>
      <c r="Q2338" s="121"/>
      <c r="R2338" s="121"/>
      <c r="S2338" s="121"/>
      <c r="T2338" s="42"/>
      <c r="U2338" s="122"/>
      <c r="V2338" s="42"/>
      <c r="W2338" s="42"/>
      <c r="X2338" s="42"/>
      <c r="Y2338" s="42"/>
      <c r="Z2338" s="42"/>
      <c r="AA2338" s="42"/>
      <c r="AB2338" s="42"/>
    </row>
    <row r="2339" spans="1:28" x14ac:dyDescent="0.25">
      <c r="A2339" s="42"/>
      <c r="B2339" s="121"/>
      <c r="C2339" s="41"/>
      <c r="D2339" s="41"/>
      <c r="E2339" s="41"/>
      <c r="F2339" s="41"/>
      <c r="G2339" s="41"/>
      <c r="H2339" s="41"/>
      <c r="I2339" s="41"/>
      <c r="J2339" s="41"/>
      <c r="K2339" s="41"/>
      <c r="L2339" s="42"/>
      <c r="M2339" s="121"/>
      <c r="N2339" s="121"/>
      <c r="O2339" s="121"/>
      <c r="P2339" s="121"/>
      <c r="Q2339" s="121"/>
      <c r="R2339" s="121"/>
      <c r="S2339" s="121"/>
      <c r="T2339" s="42"/>
      <c r="U2339" s="122"/>
      <c r="V2339" s="42"/>
      <c r="W2339" s="42"/>
      <c r="X2339" s="42"/>
      <c r="Y2339" s="42"/>
      <c r="Z2339" s="42"/>
      <c r="AA2339" s="42"/>
      <c r="AB2339" s="42"/>
    </row>
    <row r="2340" spans="1:28" x14ac:dyDescent="0.25">
      <c r="A2340" s="42"/>
      <c r="B2340" s="121"/>
      <c r="C2340" s="41"/>
      <c r="D2340" s="41"/>
      <c r="E2340" s="41"/>
      <c r="F2340" s="41"/>
      <c r="G2340" s="41"/>
      <c r="H2340" s="41"/>
      <c r="I2340" s="41"/>
      <c r="J2340" s="41"/>
      <c r="K2340" s="41"/>
      <c r="L2340" s="42"/>
      <c r="M2340" s="121"/>
      <c r="N2340" s="121"/>
      <c r="O2340" s="121"/>
      <c r="P2340" s="121"/>
      <c r="Q2340" s="121"/>
      <c r="R2340" s="121"/>
      <c r="S2340" s="121"/>
      <c r="T2340" s="42"/>
      <c r="U2340" s="122"/>
      <c r="V2340" s="42"/>
      <c r="W2340" s="42"/>
      <c r="X2340" s="42"/>
      <c r="Y2340" s="42"/>
      <c r="Z2340" s="42"/>
      <c r="AA2340" s="42"/>
      <c r="AB2340" s="42"/>
    </row>
    <row r="2341" spans="1:28" x14ac:dyDescent="0.25">
      <c r="A2341" s="42"/>
      <c r="B2341" s="121"/>
      <c r="C2341" s="41"/>
      <c r="D2341" s="41"/>
      <c r="E2341" s="41"/>
      <c r="F2341" s="41"/>
      <c r="G2341" s="41"/>
      <c r="H2341" s="41"/>
      <c r="I2341" s="41"/>
      <c r="J2341" s="41"/>
      <c r="K2341" s="41"/>
      <c r="L2341" s="42"/>
      <c r="M2341" s="121"/>
      <c r="N2341" s="121"/>
      <c r="O2341" s="121"/>
      <c r="P2341" s="121"/>
      <c r="Q2341" s="121"/>
      <c r="R2341" s="121"/>
      <c r="S2341" s="121"/>
      <c r="T2341" s="42"/>
      <c r="U2341" s="122"/>
      <c r="V2341" s="42"/>
      <c r="W2341" s="42"/>
      <c r="X2341" s="42"/>
      <c r="Y2341" s="42"/>
      <c r="Z2341" s="42"/>
      <c r="AA2341" s="42"/>
      <c r="AB2341" s="42"/>
    </row>
    <row r="2342" spans="1:28" x14ac:dyDescent="0.25">
      <c r="A2342" s="42"/>
      <c r="B2342" s="121"/>
      <c r="C2342" s="41"/>
      <c r="D2342" s="41"/>
      <c r="E2342" s="41"/>
      <c r="F2342" s="41"/>
      <c r="G2342" s="41"/>
      <c r="H2342" s="41"/>
      <c r="I2342" s="41"/>
      <c r="J2342" s="41"/>
      <c r="K2342" s="41"/>
      <c r="L2342" s="42"/>
      <c r="M2342" s="121"/>
      <c r="N2342" s="121"/>
      <c r="O2342" s="121"/>
      <c r="P2342" s="121"/>
      <c r="Q2342" s="121"/>
      <c r="R2342" s="121"/>
      <c r="S2342" s="121"/>
      <c r="T2342" s="42"/>
      <c r="U2342" s="122"/>
      <c r="V2342" s="42"/>
      <c r="W2342" s="42"/>
      <c r="X2342" s="42"/>
      <c r="Y2342" s="42"/>
      <c r="Z2342" s="42"/>
      <c r="AA2342" s="42"/>
      <c r="AB2342" s="42"/>
    </row>
    <row r="2343" spans="1:28" x14ac:dyDescent="0.25">
      <c r="A2343" s="42"/>
      <c r="B2343" s="121"/>
      <c r="C2343" s="41"/>
      <c r="D2343" s="41"/>
      <c r="E2343" s="41"/>
      <c r="F2343" s="41"/>
      <c r="G2343" s="41"/>
      <c r="H2343" s="41"/>
      <c r="I2343" s="41"/>
      <c r="J2343" s="41"/>
      <c r="K2343" s="41"/>
      <c r="L2343" s="42"/>
      <c r="M2343" s="121"/>
      <c r="N2343" s="121"/>
      <c r="O2343" s="121"/>
      <c r="P2343" s="121"/>
      <c r="Q2343" s="121"/>
      <c r="R2343" s="121"/>
      <c r="S2343" s="121"/>
      <c r="T2343" s="42"/>
      <c r="U2343" s="122"/>
      <c r="V2343" s="42"/>
      <c r="W2343" s="42"/>
      <c r="X2343" s="42"/>
      <c r="Y2343" s="42"/>
      <c r="Z2343" s="42"/>
      <c r="AA2343" s="42"/>
      <c r="AB2343" s="42"/>
    </row>
    <row r="2344" spans="1:28" x14ac:dyDescent="0.25">
      <c r="A2344" s="42"/>
      <c r="B2344" s="121"/>
      <c r="C2344" s="41"/>
      <c r="D2344" s="41"/>
      <c r="E2344" s="41"/>
      <c r="F2344" s="41"/>
      <c r="G2344" s="41"/>
      <c r="H2344" s="41"/>
      <c r="I2344" s="41"/>
      <c r="J2344" s="41"/>
      <c r="K2344" s="41"/>
      <c r="L2344" s="42"/>
      <c r="M2344" s="121"/>
      <c r="N2344" s="121"/>
      <c r="O2344" s="121"/>
      <c r="P2344" s="121"/>
      <c r="Q2344" s="121"/>
      <c r="R2344" s="121"/>
      <c r="S2344" s="121"/>
      <c r="T2344" s="42"/>
      <c r="U2344" s="122"/>
      <c r="V2344" s="42"/>
      <c r="W2344" s="42"/>
      <c r="X2344" s="42"/>
      <c r="Y2344" s="42"/>
      <c r="Z2344" s="42"/>
      <c r="AA2344" s="42"/>
      <c r="AB2344" s="42"/>
    </row>
    <row r="2345" spans="1:28" x14ac:dyDescent="0.25">
      <c r="A2345" s="42"/>
      <c r="B2345" s="121"/>
      <c r="C2345" s="41"/>
      <c r="D2345" s="41"/>
      <c r="E2345" s="41"/>
      <c r="F2345" s="41"/>
      <c r="G2345" s="41"/>
      <c r="H2345" s="41"/>
      <c r="I2345" s="41"/>
      <c r="J2345" s="41"/>
      <c r="K2345" s="41"/>
      <c r="L2345" s="42"/>
      <c r="M2345" s="121"/>
      <c r="N2345" s="121"/>
      <c r="O2345" s="121"/>
      <c r="P2345" s="121"/>
      <c r="Q2345" s="121"/>
      <c r="R2345" s="121"/>
      <c r="S2345" s="121"/>
      <c r="T2345" s="42"/>
      <c r="U2345" s="122"/>
      <c r="V2345" s="42"/>
      <c r="W2345" s="42"/>
      <c r="X2345" s="42"/>
      <c r="Y2345" s="42"/>
      <c r="Z2345" s="42"/>
      <c r="AA2345" s="42"/>
      <c r="AB2345" s="42"/>
    </row>
    <row r="2346" spans="1:28" x14ac:dyDescent="0.25">
      <c r="A2346" s="42"/>
      <c r="B2346" s="121"/>
      <c r="C2346" s="41"/>
      <c r="D2346" s="41"/>
      <c r="E2346" s="41"/>
      <c r="F2346" s="41"/>
      <c r="G2346" s="41"/>
      <c r="H2346" s="41"/>
      <c r="I2346" s="41"/>
      <c r="J2346" s="41"/>
      <c r="K2346" s="41"/>
      <c r="L2346" s="42"/>
      <c r="M2346" s="121"/>
      <c r="N2346" s="121"/>
      <c r="O2346" s="121"/>
      <c r="P2346" s="121"/>
      <c r="Q2346" s="121"/>
      <c r="R2346" s="121"/>
      <c r="S2346" s="121"/>
      <c r="T2346" s="42"/>
      <c r="U2346" s="122"/>
      <c r="V2346" s="42"/>
      <c r="W2346" s="42"/>
      <c r="X2346" s="42"/>
      <c r="Y2346" s="42"/>
      <c r="Z2346" s="42"/>
      <c r="AA2346" s="42"/>
      <c r="AB2346" s="42"/>
    </row>
    <row r="2347" spans="1:28" x14ac:dyDescent="0.25">
      <c r="A2347" s="42"/>
      <c r="B2347" s="121"/>
      <c r="C2347" s="41"/>
      <c r="D2347" s="41"/>
      <c r="E2347" s="41"/>
      <c r="F2347" s="41"/>
      <c r="G2347" s="41"/>
      <c r="H2347" s="41"/>
      <c r="I2347" s="41"/>
      <c r="J2347" s="41"/>
      <c r="K2347" s="41"/>
      <c r="L2347" s="42"/>
      <c r="M2347" s="121"/>
      <c r="N2347" s="121"/>
      <c r="O2347" s="121"/>
      <c r="P2347" s="121"/>
      <c r="Q2347" s="121"/>
      <c r="R2347" s="121"/>
      <c r="S2347" s="121"/>
      <c r="T2347" s="42"/>
      <c r="U2347" s="122"/>
      <c r="V2347" s="42"/>
      <c r="W2347" s="42"/>
      <c r="X2347" s="42"/>
      <c r="Y2347" s="42"/>
      <c r="Z2347" s="42"/>
      <c r="AA2347" s="42"/>
      <c r="AB2347" s="42"/>
    </row>
    <row r="2348" spans="1:28" x14ac:dyDescent="0.25">
      <c r="A2348" s="42"/>
      <c r="B2348" s="121"/>
      <c r="C2348" s="41"/>
      <c r="D2348" s="41"/>
      <c r="E2348" s="41"/>
      <c r="F2348" s="41"/>
      <c r="G2348" s="41"/>
      <c r="H2348" s="41"/>
      <c r="I2348" s="41"/>
      <c r="J2348" s="41"/>
      <c r="K2348" s="41"/>
      <c r="L2348" s="42"/>
      <c r="M2348" s="121"/>
      <c r="N2348" s="121"/>
      <c r="O2348" s="121"/>
      <c r="P2348" s="121"/>
      <c r="Q2348" s="121"/>
      <c r="R2348" s="121"/>
      <c r="S2348" s="121"/>
      <c r="T2348" s="42"/>
      <c r="U2348" s="122"/>
      <c r="V2348" s="42"/>
      <c r="W2348" s="42"/>
      <c r="X2348" s="42"/>
      <c r="Y2348" s="42"/>
      <c r="Z2348" s="42"/>
      <c r="AA2348" s="42"/>
      <c r="AB2348" s="42"/>
    </row>
    <row r="2349" spans="1:28" x14ac:dyDescent="0.25">
      <c r="A2349" s="42"/>
      <c r="B2349" s="121"/>
      <c r="C2349" s="41"/>
      <c r="D2349" s="41"/>
      <c r="E2349" s="41"/>
      <c r="F2349" s="41"/>
      <c r="G2349" s="41"/>
      <c r="H2349" s="41"/>
      <c r="I2349" s="41"/>
      <c r="J2349" s="41"/>
      <c r="K2349" s="41"/>
      <c r="L2349" s="42"/>
      <c r="M2349" s="121"/>
      <c r="N2349" s="121"/>
      <c r="O2349" s="121"/>
      <c r="P2349" s="121"/>
      <c r="Q2349" s="121"/>
      <c r="R2349" s="121"/>
      <c r="S2349" s="121"/>
      <c r="T2349" s="42"/>
      <c r="U2349" s="122"/>
      <c r="V2349" s="42"/>
      <c r="W2349" s="42"/>
      <c r="X2349" s="42"/>
      <c r="Y2349" s="42"/>
      <c r="Z2349" s="42"/>
      <c r="AA2349" s="42"/>
      <c r="AB2349" s="42"/>
    </row>
    <row r="2350" spans="1:28" x14ac:dyDescent="0.25">
      <c r="A2350" s="42"/>
      <c r="B2350" s="121"/>
      <c r="C2350" s="41"/>
      <c r="D2350" s="41"/>
      <c r="E2350" s="41"/>
      <c r="F2350" s="41"/>
      <c r="G2350" s="41"/>
      <c r="H2350" s="41"/>
      <c r="I2350" s="41"/>
      <c r="J2350" s="41"/>
      <c r="K2350" s="41"/>
      <c r="L2350" s="42"/>
      <c r="M2350" s="121"/>
      <c r="N2350" s="121"/>
      <c r="O2350" s="121"/>
      <c r="P2350" s="121"/>
      <c r="Q2350" s="121"/>
      <c r="R2350" s="121"/>
      <c r="S2350" s="121"/>
      <c r="T2350" s="42"/>
      <c r="U2350" s="122"/>
      <c r="V2350" s="42"/>
      <c r="W2350" s="42"/>
      <c r="X2350" s="42"/>
      <c r="Y2350" s="42"/>
      <c r="Z2350" s="42"/>
      <c r="AA2350" s="42"/>
      <c r="AB2350" s="42"/>
    </row>
    <row r="2351" spans="1:28" x14ac:dyDescent="0.25">
      <c r="A2351" s="42"/>
      <c r="B2351" s="121"/>
      <c r="C2351" s="41"/>
      <c r="D2351" s="41"/>
      <c r="E2351" s="41"/>
      <c r="F2351" s="41"/>
      <c r="G2351" s="41"/>
      <c r="H2351" s="41"/>
      <c r="I2351" s="41"/>
      <c r="J2351" s="41"/>
      <c r="K2351" s="41"/>
      <c r="L2351" s="42"/>
      <c r="M2351" s="121"/>
      <c r="N2351" s="121"/>
      <c r="O2351" s="121"/>
      <c r="P2351" s="121"/>
      <c r="Q2351" s="121"/>
      <c r="R2351" s="121"/>
      <c r="S2351" s="121"/>
      <c r="T2351" s="42"/>
      <c r="U2351" s="122"/>
      <c r="V2351" s="42"/>
      <c r="W2351" s="42"/>
      <c r="X2351" s="42"/>
      <c r="Y2351" s="42"/>
      <c r="Z2351" s="42"/>
      <c r="AA2351" s="42"/>
      <c r="AB2351" s="42"/>
    </row>
    <row r="2352" spans="1:28" x14ac:dyDescent="0.25">
      <c r="A2352" s="42"/>
      <c r="B2352" s="121"/>
      <c r="C2352" s="41"/>
      <c r="D2352" s="41"/>
      <c r="E2352" s="41"/>
      <c r="F2352" s="41"/>
      <c r="G2352" s="41"/>
      <c r="H2352" s="41"/>
      <c r="I2352" s="41"/>
      <c r="J2352" s="41"/>
      <c r="K2352" s="41"/>
      <c r="L2352" s="42"/>
      <c r="M2352" s="121"/>
      <c r="N2352" s="121"/>
      <c r="O2352" s="121"/>
      <c r="P2352" s="121"/>
      <c r="Q2352" s="121"/>
      <c r="R2352" s="121"/>
      <c r="S2352" s="121"/>
      <c r="T2352" s="42"/>
      <c r="U2352" s="122"/>
      <c r="V2352" s="42"/>
      <c r="W2352" s="42"/>
      <c r="X2352" s="42"/>
      <c r="Y2352" s="42"/>
      <c r="Z2352" s="42"/>
      <c r="AA2352" s="42"/>
      <c r="AB2352" s="42"/>
    </row>
    <row r="2353" spans="1:28" x14ac:dyDescent="0.25">
      <c r="A2353" s="42"/>
      <c r="B2353" s="121"/>
      <c r="C2353" s="41"/>
      <c r="D2353" s="41"/>
      <c r="E2353" s="41"/>
      <c r="F2353" s="41"/>
      <c r="G2353" s="41"/>
      <c r="H2353" s="41"/>
      <c r="I2353" s="41"/>
      <c r="J2353" s="41"/>
      <c r="K2353" s="41"/>
      <c r="L2353" s="42"/>
      <c r="M2353" s="121"/>
      <c r="N2353" s="121"/>
      <c r="O2353" s="121"/>
      <c r="P2353" s="121"/>
      <c r="Q2353" s="121"/>
      <c r="R2353" s="121"/>
      <c r="S2353" s="121"/>
      <c r="T2353" s="42"/>
      <c r="U2353" s="122"/>
      <c r="V2353" s="42"/>
      <c r="W2353" s="42"/>
      <c r="X2353" s="42"/>
      <c r="Y2353" s="42"/>
      <c r="Z2353" s="42"/>
      <c r="AA2353" s="42"/>
      <c r="AB2353" s="42"/>
    </row>
    <row r="2354" spans="1:28" x14ac:dyDescent="0.25">
      <c r="A2354" s="42"/>
      <c r="B2354" s="121"/>
      <c r="C2354" s="41"/>
      <c r="D2354" s="41"/>
      <c r="E2354" s="41"/>
      <c r="F2354" s="41"/>
      <c r="G2354" s="41"/>
      <c r="H2354" s="41"/>
      <c r="I2354" s="41"/>
      <c r="J2354" s="41"/>
      <c r="K2354" s="41"/>
      <c r="L2354" s="42"/>
      <c r="M2354" s="121"/>
      <c r="N2354" s="121"/>
      <c r="O2354" s="121"/>
      <c r="P2354" s="121"/>
      <c r="Q2354" s="121"/>
      <c r="R2354" s="121"/>
      <c r="S2354" s="121"/>
      <c r="T2354" s="42"/>
      <c r="U2354" s="122"/>
      <c r="V2354" s="42"/>
      <c r="W2354" s="42"/>
      <c r="X2354" s="42"/>
      <c r="Y2354" s="42"/>
      <c r="Z2354" s="42"/>
      <c r="AA2354" s="42"/>
      <c r="AB2354" s="42"/>
    </row>
    <row r="2355" spans="1:28" x14ac:dyDescent="0.25">
      <c r="A2355" s="42"/>
      <c r="B2355" s="121"/>
      <c r="C2355" s="41"/>
      <c r="D2355" s="41"/>
      <c r="E2355" s="41"/>
      <c r="F2355" s="41"/>
      <c r="G2355" s="41"/>
      <c r="H2355" s="41"/>
      <c r="I2355" s="41"/>
      <c r="J2355" s="41"/>
      <c r="K2355" s="41"/>
      <c r="L2355" s="42"/>
      <c r="M2355" s="121"/>
      <c r="N2355" s="121"/>
      <c r="O2355" s="121"/>
      <c r="P2355" s="121"/>
      <c r="Q2355" s="121"/>
      <c r="R2355" s="121"/>
      <c r="S2355" s="121"/>
      <c r="T2355" s="42"/>
      <c r="U2355" s="122"/>
      <c r="V2355" s="42"/>
      <c r="W2355" s="42"/>
      <c r="X2355" s="42"/>
      <c r="Y2355" s="42"/>
      <c r="Z2355" s="42"/>
      <c r="AA2355" s="42"/>
      <c r="AB2355" s="42"/>
    </row>
    <row r="2356" spans="1:28" x14ac:dyDescent="0.25">
      <c r="A2356" s="42"/>
      <c r="B2356" s="121"/>
      <c r="C2356" s="41"/>
      <c r="D2356" s="41"/>
      <c r="E2356" s="41"/>
      <c r="F2356" s="41"/>
      <c r="G2356" s="41"/>
      <c r="H2356" s="41"/>
      <c r="I2356" s="41"/>
      <c r="J2356" s="41"/>
      <c r="K2356" s="41"/>
      <c r="L2356" s="42"/>
      <c r="M2356" s="121"/>
      <c r="N2356" s="121"/>
      <c r="O2356" s="121"/>
      <c r="P2356" s="121"/>
      <c r="Q2356" s="121"/>
      <c r="R2356" s="121"/>
      <c r="S2356" s="121"/>
      <c r="T2356" s="42"/>
      <c r="U2356" s="122"/>
      <c r="V2356" s="42"/>
      <c r="W2356" s="42"/>
      <c r="X2356" s="42"/>
      <c r="Y2356" s="42"/>
      <c r="Z2356" s="42"/>
      <c r="AA2356" s="42"/>
      <c r="AB2356" s="42"/>
    </row>
    <row r="2357" spans="1:28" x14ac:dyDescent="0.25">
      <c r="A2357" s="42"/>
      <c r="B2357" s="121"/>
      <c r="C2357" s="41"/>
      <c r="D2357" s="41"/>
      <c r="E2357" s="41"/>
      <c r="F2357" s="41"/>
      <c r="G2357" s="41"/>
      <c r="H2357" s="41"/>
      <c r="I2357" s="41"/>
      <c r="J2357" s="41"/>
      <c r="K2357" s="41"/>
      <c r="L2357" s="42"/>
      <c r="M2357" s="121"/>
      <c r="N2357" s="121"/>
      <c r="O2357" s="121"/>
      <c r="P2357" s="121"/>
      <c r="Q2357" s="121"/>
      <c r="R2357" s="121"/>
      <c r="S2357" s="121"/>
      <c r="T2357" s="42"/>
      <c r="U2357" s="122"/>
      <c r="V2357" s="42"/>
      <c r="W2357" s="42"/>
      <c r="X2357" s="42"/>
      <c r="Y2357" s="42"/>
      <c r="Z2357" s="42"/>
      <c r="AA2357" s="42"/>
      <c r="AB2357" s="42"/>
    </row>
    <row r="2358" spans="1:28" x14ac:dyDescent="0.25">
      <c r="A2358" s="42"/>
      <c r="B2358" s="121"/>
      <c r="C2358" s="41"/>
      <c r="D2358" s="41"/>
      <c r="E2358" s="41"/>
      <c r="F2358" s="41"/>
      <c r="G2358" s="41"/>
      <c r="H2358" s="41"/>
      <c r="I2358" s="41"/>
      <c r="J2358" s="41"/>
      <c r="K2358" s="41"/>
      <c r="L2358" s="42"/>
      <c r="M2358" s="121"/>
      <c r="N2358" s="121"/>
      <c r="O2358" s="121"/>
      <c r="P2358" s="121"/>
      <c r="Q2358" s="121"/>
      <c r="R2358" s="121"/>
      <c r="S2358" s="121"/>
      <c r="T2358" s="42"/>
      <c r="U2358" s="122"/>
      <c r="V2358" s="42"/>
      <c r="W2358" s="42"/>
      <c r="X2358" s="42"/>
      <c r="Y2358" s="42"/>
      <c r="Z2358" s="42"/>
      <c r="AA2358" s="42"/>
      <c r="AB2358" s="42"/>
    </row>
    <row r="2359" spans="1:28" x14ac:dyDescent="0.25">
      <c r="A2359" s="42"/>
      <c r="B2359" s="121"/>
      <c r="C2359" s="41"/>
      <c r="D2359" s="41"/>
      <c r="E2359" s="41"/>
      <c r="F2359" s="41"/>
      <c r="G2359" s="41"/>
      <c r="H2359" s="41"/>
      <c r="I2359" s="41"/>
      <c r="J2359" s="41"/>
      <c r="K2359" s="41"/>
      <c r="L2359" s="42"/>
      <c r="M2359" s="121"/>
      <c r="N2359" s="121"/>
      <c r="O2359" s="121"/>
      <c r="P2359" s="121"/>
      <c r="Q2359" s="121"/>
      <c r="R2359" s="121"/>
      <c r="S2359" s="121"/>
      <c r="T2359" s="42"/>
      <c r="U2359" s="122"/>
      <c r="V2359" s="42"/>
      <c r="W2359" s="42"/>
      <c r="X2359" s="42"/>
      <c r="Y2359" s="42"/>
      <c r="Z2359" s="42"/>
      <c r="AA2359" s="42"/>
      <c r="AB2359" s="42"/>
    </row>
    <row r="2360" spans="1:28" x14ac:dyDescent="0.25">
      <c r="A2360" s="42"/>
      <c r="B2360" s="121"/>
      <c r="C2360" s="41"/>
      <c r="D2360" s="41"/>
      <c r="E2360" s="41"/>
      <c r="F2360" s="41"/>
      <c r="G2360" s="41"/>
      <c r="H2360" s="41"/>
      <c r="I2360" s="41"/>
      <c r="J2360" s="41"/>
      <c r="K2360" s="41"/>
      <c r="L2360" s="42"/>
      <c r="M2360" s="121"/>
      <c r="N2360" s="121"/>
      <c r="O2360" s="121"/>
      <c r="P2360" s="121"/>
      <c r="Q2360" s="121"/>
      <c r="R2360" s="121"/>
      <c r="S2360" s="121"/>
      <c r="T2360" s="42"/>
      <c r="U2360" s="122"/>
      <c r="V2360" s="42"/>
      <c r="W2360" s="42"/>
      <c r="X2360" s="42"/>
      <c r="Y2360" s="42"/>
      <c r="Z2360" s="42"/>
      <c r="AA2360" s="42"/>
      <c r="AB2360" s="42"/>
    </row>
    <row r="2361" spans="1:28" x14ac:dyDescent="0.25">
      <c r="A2361" s="42"/>
      <c r="B2361" s="121"/>
      <c r="C2361" s="41"/>
      <c r="D2361" s="41"/>
      <c r="E2361" s="41"/>
      <c r="F2361" s="41"/>
      <c r="G2361" s="41"/>
      <c r="H2361" s="41"/>
      <c r="I2361" s="41"/>
      <c r="J2361" s="41"/>
      <c r="K2361" s="41"/>
      <c r="L2361" s="42"/>
      <c r="M2361" s="121"/>
      <c r="N2361" s="121"/>
      <c r="O2361" s="121"/>
      <c r="P2361" s="121"/>
      <c r="Q2361" s="121"/>
      <c r="R2361" s="121"/>
      <c r="S2361" s="121"/>
      <c r="T2361" s="42"/>
      <c r="U2361" s="122"/>
      <c r="V2361" s="42"/>
      <c r="W2361" s="42"/>
      <c r="X2361" s="42"/>
      <c r="Y2361" s="42"/>
      <c r="Z2361" s="42"/>
      <c r="AA2361" s="42"/>
      <c r="AB2361" s="42"/>
    </row>
    <row r="2362" spans="1:28" x14ac:dyDescent="0.25">
      <c r="A2362" s="42"/>
      <c r="B2362" s="121"/>
      <c r="C2362" s="41"/>
      <c r="D2362" s="41"/>
      <c r="E2362" s="41"/>
      <c r="F2362" s="41"/>
      <c r="G2362" s="41"/>
      <c r="H2362" s="41"/>
      <c r="I2362" s="41"/>
      <c r="J2362" s="41"/>
      <c r="K2362" s="41"/>
      <c r="L2362" s="42"/>
      <c r="M2362" s="121"/>
      <c r="N2362" s="121"/>
      <c r="O2362" s="121"/>
      <c r="P2362" s="121"/>
      <c r="Q2362" s="121"/>
      <c r="R2362" s="121"/>
      <c r="S2362" s="121"/>
      <c r="T2362" s="42"/>
      <c r="U2362" s="122"/>
      <c r="V2362" s="42"/>
      <c r="W2362" s="42"/>
      <c r="X2362" s="42"/>
      <c r="Y2362" s="42"/>
      <c r="Z2362" s="42"/>
      <c r="AA2362" s="42"/>
      <c r="AB2362" s="42"/>
    </row>
    <row r="2363" spans="1:28" x14ac:dyDescent="0.25">
      <c r="A2363" s="42"/>
      <c r="B2363" s="121"/>
      <c r="C2363" s="41"/>
      <c r="D2363" s="41"/>
      <c r="E2363" s="41"/>
      <c r="F2363" s="41"/>
      <c r="G2363" s="41"/>
      <c r="H2363" s="41"/>
      <c r="I2363" s="41"/>
      <c r="J2363" s="41"/>
      <c r="K2363" s="41"/>
      <c r="L2363" s="42"/>
      <c r="M2363" s="121"/>
      <c r="N2363" s="121"/>
      <c r="O2363" s="121"/>
      <c r="P2363" s="121"/>
      <c r="Q2363" s="121"/>
      <c r="R2363" s="121"/>
      <c r="S2363" s="121"/>
      <c r="T2363" s="42"/>
      <c r="U2363" s="122"/>
      <c r="V2363" s="42"/>
      <c r="W2363" s="42"/>
      <c r="X2363" s="42"/>
      <c r="Y2363" s="42"/>
      <c r="Z2363" s="42"/>
      <c r="AA2363" s="42"/>
      <c r="AB2363" s="42"/>
    </row>
    <row r="2364" spans="1:28" x14ac:dyDescent="0.25">
      <c r="A2364" s="42"/>
      <c r="B2364" s="121"/>
      <c r="C2364" s="41"/>
      <c r="D2364" s="41"/>
      <c r="E2364" s="41"/>
      <c r="F2364" s="41"/>
      <c r="G2364" s="41"/>
      <c r="H2364" s="41"/>
      <c r="I2364" s="41"/>
      <c r="J2364" s="41"/>
      <c r="K2364" s="41"/>
      <c r="L2364" s="42"/>
      <c r="M2364" s="121"/>
      <c r="N2364" s="121"/>
      <c r="O2364" s="121"/>
      <c r="P2364" s="121"/>
      <c r="Q2364" s="121"/>
      <c r="R2364" s="121"/>
      <c r="S2364" s="121"/>
      <c r="T2364" s="42"/>
      <c r="U2364" s="122"/>
      <c r="V2364" s="42"/>
      <c r="W2364" s="42"/>
      <c r="X2364" s="42"/>
      <c r="Y2364" s="42"/>
      <c r="Z2364" s="42"/>
      <c r="AA2364" s="42"/>
      <c r="AB2364" s="42"/>
    </row>
    <row r="2365" spans="1:28" x14ac:dyDescent="0.25">
      <c r="A2365" s="42"/>
      <c r="B2365" s="121"/>
      <c r="C2365" s="41"/>
      <c r="D2365" s="41"/>
      <c r="E2365" s="41"/>
      <c r="F2365" s="41"/>
      <c r="G2365" s="41"/>
      <c r="H2365" s="41"/>
      <c r="I2365" s="41"/>
      <c r="J2365" s="41"/>
      <c r="K2365" s="41"/>
      <c r="L2365" s="42"/>
      <c r="M2365" s="121"/>
      <c r="N2365" s="121"/>
      <c r="O2365" s="121"/>
      <c r="P2365" s="121"/>
      <c r="Q2365" s="121"/>
      <c r="R2365" s="121"/>
      <c r="S2365" s="121"/>
      <c r="T2365" s="42"/>
      <c r="U2365" s="122"/>
      <c r="V2365" s="42"/>
      <c r="W2365" s="42"/>
      <c r="X2365" s="42"/>
      <c r="Y2365" s="42"/>
      <c r="Z2365" s="42"/>
      <c r="AA2365" s="42"/>
      <c r="AB2365" s="42"/>
    </row>
    <row r="2366" spans="1:28" x14ac:dyDescent="0.25">
      <c r="A2366" s="42"/>
      <c r="B2366" s="121"/>
      <c r="C2366" s="41"/>
      <c r="D2366" s="41"/>
      <c r="E2366" s="41"/>
      <c r="F2366" s="41"/>
      <c r="G2366" s="41"/>
      <c r="H2366" s="41"/>
      <c r="I2366" s="41"/>
      <c r="J2366" s="41"/>
      <c r="K2366" s="41"/>
      <c r="L2366" s="42"/>
      <c r="M2366" s="121"/>
      <c r="N2366" s="121"/>
      <c r="O2366" s="121"/>
      <c r="P2366" s="121"/>
      <c r="Q2366" s="121"/>
      <c r="R2366" s="121"/>
      <c r="S2366" s="121"/>
      <c r="T2366" s="42"/>
      <c r="U2366" s="122"/>
      <c r="V2366" s="42"/>
      <c r="W2366" s="42"/>
      <c r="X2366" s="42"/>
      <c r="Y2366" s="42"/>
      <c r="Z2366" s="42"/>
      <c r="AA2366" s="42"/>
      <c r="AB2366" s="42"/>
    </row>
    <row r="2367" spans="1:28" x14ac:dyDescent="0.25">
      <c r="A2367" s="42"/>
      <c r="B2367" s="121"/>
      <c r="C2367" s="41"/>
      <c r="D2367" s="41"/>
      <c r="E2367" s="41"/>
      <c r="F2367" s="41"/>
      <c r="G2367" s="41"/>
      <c r="H2367" s="41"/>
      <c r="I2367" s="41"/>
      <c r="J2367" s="41"/>
      <c r="K2367" s="41"/>
      <c r="L2367" s="42"/>
      <c r="M2367" s="121"/>
      <c r="N2367" s="121"/>
      <c r="O2367" s="121"/>
      <c r="P2367" s="121"/>
      <c r="Q2367" s="121"/>
      <c r="R2367" s="121"/>
      <c r="S2367" s="121"/>
      <c r="T2367" s="42"/>
      <c r="U2367" s="122"/>
      <c r="V2367" s="42"/>
      <c r="W2367" s="42"/>
      <c r="X2367" s="42"/>
      <c r="Y2367" s="42"/>
      <c r="Z2367" s="42"/>
      <c r="AA2367" s="42"/>
      <c r="AB2367" s="42"/>
    </row>
    <row r="2368" spans="1:28" x14ac:dyDescent="0.25">
      <c r="A2368" s="42"/>
      <c r="B2368" s="121"/>
      <c r="C2368" s="41"/>
      <c r="D2368" s="41"/>
      <c r="E2368" s="41"/>
      <c r="F2368" s="41"/>
      <c r="G2368" s="41"/>
      <c r="H2368" s="41"/>
      <c r="I2368" s="41"/>
      <c r="J2368" s="41"/>
      <c r="K2368" s="41"/>
      <c r="L2368" s="42"/>
      <c r="M2368" s="121"/>
      <c r="N2368" s="121"/>
      <c r="O2368" s="121"/>
      <c r="P2368" s="121"/>
      <c r="Q2368" s="121"/>
      <c r="R2368" s="121"/>
      <c r="S2368" s="121"/>
      <c r="T2368" s="42"/>
      <c r="U2368" s="122"/>
      <c r="V2368" s="42"/>
      <c r="W2368" s="42"/>
      <c r="X2368" s="42"/>
      <c r="Y2368" s="42"/>
      <c r="Z2368" s="42"/>
      <c r="AA2368" s="42"/>
      <c r="AB2368" s="42"/>
    </row>
    <row r="2369" spans="1:28" x14ac:dyDescent="0.25">
      <c r="A2369" s="42"/>
      <c r="B2369" s="121"/>
      <c r="C2369" s="41"/>
      <c r="D2369" s="41"/>
      <c r="E2369" s="41"/>
      <c r="F2369" s="41"/>
      <c r="G2369" s="41"/>
      <c r="H2369" s="41"/>
      <c r="I2369" s="41"/>
      <c r="J2369" s="41"/>
      <c r="K2369" s="41"/>
      <c r="L2369" s="42"/>
      <c r="M2369" s="121"/>
      <c r="N2369" s="121"/>
      <c r="O2369" s="121"/>
      <c r="P2369" s="121"/>
      <c r="Q2369" s="121"/>
      <c r="R2369" s="121"/>
      <c r="S2369" s="121"/>
      <c r="T2369" s="42"/>
      <c r="U2369" s="122"/>
      <c r="V2369" s="42"/>
      <c r="W2369" s="42"/>
      <c r="X2369" s="42"/>
      <c r="Y2369" s="42"/>
      <c r="Z2369" s="42"/>
      <c r="AA2369" s="42"/>
      <c r="AB2369" s="42"/>
    </row>
    <row r="2370" spans="1:28" x14ac:dyDescent="0.25">
      <c r="A2370" s="42"/>
      <c r="B2370" s="121"/>
      <c r="C2370" s="41"/>
      <c r="D2370" s="41"/>
      <c r="E2370" s="41"/>
      <c r="F2370" s="41"/>
      <c r="G2370" s="41"/>
      <c r="H2370" s="41"/>
      <c r="I2370" s="41"/>
      <c r="J2370" s="41"/>
      <c r="K2370" s="41"/>
      <c r="L2370" s="42"/>
      <c r="M2370" s="121"/>
      <c r="N2370" s="121"/>
      <c r="O2370" s="121"/>
      <c r="P2370" s="121"/>
      <c r="Q2370" s="121"/>
      <c r="R2370" s="121"/>
      <c r="S2370" s="121"/>
      <c r="T2370" s="42"/>
      <c r="U2370" s="122"/>
      <c r="V2370" s="42"/>
      <c r="W2370" s="42"/>
      <c r="X2370" s="42"/>
      <c r="Y2370" s="42"/>
      <c r="Z2370" s="42"/>
      <c r="AA2370" s="42"/>
      <c r="AB2370" s="42"/>
    </row>
    <row r="2371" spans="1:28" x14ac:dyDescent="0.25">
      <c r="A2371" s="42"/>
      <c r="B2371" s="121"/>
      <c r="C2371" s="41"/>
      <c r="D2371" s="41"/>
      <c r="E2371" s="41"/>
      <c r="F2371" s="41"/>
      <c r="G2371" s="41"/>
      <c r="H2371" s="41"/>
      <c r="I2371" s="41"/>
      <c r="J2371" s="41"/>
      <c r="K2371" s="41"/>
      <c r="L2371" s="42"/>
      <c r="M2371" s="121"/>
      <c r="N2371" s="121"/>
      <c r="O2371" s="121"/>
      <c r="P2371" s="121"/>
      <c r="Q2371" s="121"/>
      <c r="R2371" s="121"/>
      <c r="S2371" s="121"/>
      <c r="T2371" s="42"/>
      <c r="U2371" s="122"/>
      <c r="V2371" s="42"/>
      <c r="W2371" s="42"/>
      <c r="X2371" s="42"/>
      <c r="Y2371" s="42"/>
      <c r="Z2371" s="42"/>
      <c r="AA2371" s="42"/>
      <c r="AB2371" s="42"/>
    </row>
    <row r="2372" spans="1:28" x14ac:dyDescent="0.25">
      <c r="A2372" s="42"/>
      <c r="B2372" s="121"/>
      <c r="C2372" s="41"/>
      <c r="D2372" s="41"/>
      <c r="E2372" s="41"/>
      <c r="F2372" s="41"/>
      <c r="G2372" s="41"/>
      <c r="H2372" s="41"/>
      <c r="I2372" s="41"/>
      <c r="J2372" s="41"/>
      <c r="K2372" s="41"/>
      <c r="L2372" s="42"/>
      <c r="M2372" s="121"/>
      <c r="N2372" s="121"/>
      <c r="O2372" s="121"/>
      <c r="P2372" s="121"/>
      <c r="Q2372" s="121"/>
      <c r="R2372" s="121"/>
      <c r="S2372" s="121"/>
      <c r="T2372" s="42"/>
      <c r="U2372" s="122"/>
      <c r="V2372" s="42"/>
      <c r="W2372" s="42"/>
      <c r="X2372" s="42"/>
      <c r="Y2372" s="42"/>
      <c r="Z2372" s="42"/>
      <c r="AA2372" s="42"/>
      <c r="AB2372" s="42"/>
    </row>
    <row r="2373" spans="1:28" x14ac:dyDescent="0.25">
      <c r="A2373" s="42"/>
      <c r="B2373" s="121"/>
      <c r="C2373" s="41"/>
      <c r="D2373" s="41"/>
      <c r="E2373" s="41"/>
      <c r="F2373" s="41"/>
      <c r="G2373" s="41"/>
      <c r="H2373" s="41"/>
      <c r="I2373" s="41"/>
      <c r="J2373" s="41"/>
      <c r="K2373" s="41"/>
      <c r="L2373" s="42"/>
      <c r="M2373" s="121"/>
      <c r="N2373" s="121"/>
      <c r="O2373" s="121"/>
      <c r="P2373" s="121"/>
      <c r="Q2373" s="121"/>
      <c r="R2373" s="121"/>
      <c r="S2373" s="121"/>
      <c r="T2373" s="42"/>
      <c r="U2373" s="122"/>
      <c r="V2373" s="42"/>
      <c r="W2373" s="42"/>
      <c r="X2373" s="42"/>
      <c r="Y2373" s="42"/>
      <c r="Z2373" s="42"/>
      <c r="AA2373" s="42"/>
      <c r="AB2373" s="42"/>
    </row>
    <row r="2374" spans="1:28" x14ac:dyDescent="0.25">
      <c r="A2374" s="42"/>
      <c r="B2374" s="121"/>
      <c r="C2374" s="41"/>
      <c r="D2374" s="41"/>
      <c r="E2374" s="41"/>
      <c r="F2374" s="41"/>
      <c r="G2374" s="41"/>
      <c r="H2374" s="41"/>
      <c r="I2374" s="41"/>
      <c r="J2374" s="41"/>
      <c r="K2374" s="41"/>
      <c r="L2374" s="42"/>
      <c r="M2374" s="121"/>
      <c r="N2374" s="121"/>
      <c r="O2374" s="121"/>
      <c r="P2374" s="121"/>
      <c r="Q2374" s="121"/>
      <c r="R2374" s="121"/>
      <c r="S2374" s="121"/>
      <c r="T2374" s="42"/>
      <c r="U2374" s="122"/>
      <c r="V2374" s="42"/>
      <c r="W2374" s="42"/>
      <c r="X2374" s="42"/>
      <c r="Y2374" s="42"/>
      <c r="Z2374" s="42"/>
      <c r="AA2374" s="42"/>
      <c r="AB2374" s="42"/>
    </row>
    <row r="2375" spans="1:28" x14ac:dyDescent="0.25">
      <c r="A2375" s="42"/>
      <c r="B2375" s="121"/>
      <c r="C2375" s="41"/>
      <c r="D2375" s="41"/>
      <c r="E2375" s="41"/>
      <c r="F2375" s="41"/>
      <c r="G2375" s="41"/>
      <c r="H2375" s="41"/>
      <c r="I2375" s="41"/>
      <c r="J2375" s="41"/>
      <c r="K2375" s="41"/>
      <c r="L2375" s="42"/>
      <c r="M2375" s="121"/>
      <c r="N2375" s="121"/>
      <c r="O2375" s="121"/>
      <c r="P2375" s="121"/>
      <c r="Q2375" s="121"/>
      <c r="R2375" s="121"/>
      <c r="S2375" s="121"/>
      <c r="T2375" s="42"/>
      <c r="U2375" s="122"/>
      <c r="V2375" s="42"/>
      <c r="W2375" s="42"/>
      <c r="X2375" s="42"/>
      <c r="Y2375" s="42"/>
      <c r="Z2375" s="42"/>
      <c r="AA2375" s="42"/>
      <c r="AB2375" s="42"/>
    </row>
    <row r="2376" spans="1:28" x14ac:dyDescent="0.25">
      <c r="A2376" s="42"/>
      <c r="B2376" s="121"/>
      <c r="C2376" s="41"/>
      <c r="D2376" s="41"/>
      <c r="E2376" s="41"/>
      <c r="F2376" s="41"/>
      <c r="G2376" s="41"/>
      <c r="H2376" s="41"/>
      <c r="I2376" s="41"/>
      <c r="J2376" s="41"/>
      <c r="K2376" s="41"/>
      <c r="L2376" s="42"/>
      <c r="M2376" s="121"/>
      <c r="N2376" s="121"/>
      <c r="O2376" s="121"/>
      <c r="P2376" s="121"/>
      <c r="Q2376" s="121"/>
      <c r="R2376" s="121"/>
      <c r="S2376" s="121"/>
      <c r="T2376" s="42"/>
      <c r="U2376" s="122"/>
      <c r="V2376" s="42"/>
      <c r="W2376" s="42"/>
      <c r="X2376" s="42"/>
      <c r="Y2376" s="42"/>
      <c r="Z2376" s="42"/>
      <c r="AA2376" s="42"/>
      <c r="AB2376" s="42"/>
    </row>
    <row r="2377" spans="1:28" x14ac:dyDescent="0.25">
      <c r="A2377" s="42"/>
      <c r="B2377" s="121"/>
      <c r="C2377" s="41"/>
      <c r="D2377" s="41"/>
      <c r="E2377" s="41"/>
      <c r="F2377" s="41"/>
      <c r="G2377" s="41"/>
      <c r="H2377" s="41"/>
      <c r="I2377" s="41"/>
      <c r="J2377" s="41"/>
      <c r="K2377" s="41"/>
      <c r="L2377" s="42"/>
      <c r="M2377" s="121"/>
      <c r="N2377" s="121"/>
      <c r="O2377" s="121"/>
      <c r="P2377" s="121"/>
      <c r="Q2377" s="121"/>
      <c r="R2377" s="121"/>
      <c r="S2377" s="121"/>
      <c r="T2377" s="42"/>
      <c r="U2377" s="122"/>
      <c r="V2377" s="42"/>
      <c r="W2377" s="42"/>
      <c r="X2377" s="42"/>
      <c r="Y2377" s="42"/>
      <c r="Z2377" s="42"/>
      <c r="AA2377" s="42"/>
      <c r="AB2377" s="42"/>
    </row>
    <row r="2378" spans="1:28" x14ac:dyDescent="0.25">
      <c r="A2378" s="42"/>
      <c r="B2378" s="121"/>
      <c r="C2378" s="41"/>
      <c r="D2378" s="41"/>
      <c r="E2378" s="41"/>
      <c r="F2378" s="41"/>
      <c r="G2378" s="41"/>
      <c r="H2378" s="41"/>
      <c r="I2378" s="41"/>
      <c r="J2378" s="41"/>
      <c r="K2378" s="41"/>
      <c r="L2378" s="42"/>
      <c r="M2378" s="121"/>
      <c r="N2378" s="121"/>
      <c r="O2378" s="121"/>
      <c r="P2378" s="121"/>
      <c r="Q2378" s="121"/>
      <c r="R2378" s="121"/>
      <c r="S2378" s="121"/>
      <c r="T2378" s="42"/>
      <c r="U2378" s="122"/>
      <c r="V2378" s="42"/>
      <c r="W2378" s="42"/>
      <c r="X2378" s="42"/>
      <c r="Y2378" s="42"/>
      <c r="Z2378" s="42"/>
      <c r="AA2378" s="42"/>
      <c r="AB2378" s="42"/>
    </row>
    <row r="2379" spans="1:28" x14ac:dyDescent="0.25">
      <c r="A2379" s="42"/>
      <c r="B2379" s="121"/>
      <c r="C2379" s="41"/>
      <c r="D2379" s="41"/>
      <c r="E2379" s="41"/>
      <c r="F2379" s="41"/>
      <c r="G2379" s="41"/>
      <c r="H2379" s="41"/>
      <c r="I2379" s="41"/>
      <c r="J2379" s="41"/>
      <c r="K2379" s="41"/>
      <c r="L2379" s="42"/>
      <c r="M2379" s="121"/>
      <c r="N2379" s="121"/>
      <c r="O2379" s="121"/>
      <c r="P2379" s="121"/>
      <c r="Q2379" s="121"/>
      <c r="R2379" s="121"/>
      <c r="S2379" s="121"/>
      <c r="T2379" s="42"/>
      <c r="U2379" s="122"/>
      <c r="V2379" s="42"/>
      <c r="W2379" s="42"/>
      <c r="X2379" s="42"/>
      <c r="Y2379" s="42"/>
      <c r="Z2379" s="42"/>
      <c r="AA2379" s="42"/>
      <c r="AB2379" s="42"/>
    </row>
    <row r="2380" spans="1:28" x14ac:dyDescent="0.25">
      <c r="A2380" s="42"/>
      <c r="B2380" s="121"/>
      <c r="C2380" s="41"/>
      <c r="D2380" s="41"/>
      <c r="E2380" s="41"/>
      <c r="F2380" s="41"/>
      <c r="G2380" s="41"/>
      <c r="H2380" s="41"/>
      <c r="I2380" s="41"/>
      <c r="J2380" s="41"/>
      <c r="K2380" s="41"/>
      <c r="L2380" s="42"/>
      <c r="M2380" s="121"/>
      <c r="N2380" s="121"/>
      <c r="O2380" s="121"/>
      <c r="P2380" s="121"/>
      <c r="Q2380" s="121"/>
      <c r="R2380" s="121"/>
      <c r="S2380" s="121"/>
      <c r="T2380" s="42"/>
      <c r="U2380" s="122"/>
      <c r="V2380" s="42"/>
      <c r="W2380" s="42"/>
      <c r="X2380" s="42"/>
      <c r="Y2380" s="42"/>
      <c r="Z2380" s="42"/>
      <c r="AA2380" s="42"/>
      <c r="AB2380" s="42"/>
    </row>
    <row r="2381" spans="1:28" x14ac:dyDescent="0.25">
      <c r="A2381" s="42"/>
      <c r="B2381" s="121"/>
      <c r="C2381" s="41"/>
      <c r="D2381" s="41"/>
      <c r="E2381" s="41"/>
      <c r="F2381" s="41"/>
      <c r="G2381" s="41"/>
      <c r="H2381" s="41"/>
      <c r="I2381" s="41"/>
      <c r="J2381" s="41"/>
      <c r="K2381" s="41"/>
      <c r="L2381" s="42"/>
      <c r="M2381" s="121"/>
      <c r="N2381" s="121"/>
      <c r="O2381" s="121"/>
      <c r="P2381" s="121"/>
      <c r="Q2381" s="121"/>
      <c r="R2381" s="121"/>
      <c r="S2381" s="121"/>
      <c r="T2381" s="42"/>
      <c r="U2381" s="122"/>
      <c r="V2381" s="42"/>
      <c r="W2381" s="42"/>
      <c r="X2381" s="42"/>
      <c r="Y2381" s="42"/>
      <c r="Z2381" s="42"/>
      <c r="AA2381" s="42"/>
      <c r="AB2381" s="42"/>
    </row>
    <row r="2382" spans="1:28" x14ac:dyDescent="0.25">
      <c r="A2382" s="42"/>
      <c r="B2382" s="121"/>
      <c r="C2382" s="41"/>
      <c r="D2382" s="41"/>
      <c r="E2382" s="41"/>
      <c r="F2382" s="41"/>
      <c r="G2382" s="41"/>
      <c r="H2382" s="41"/>
      <c r="I2382" s="41"/>
      <c r="J2382" s="41"/>
      <c r="K2382" s="41"/>
      <c r="L2382" s="42"/>
      <c r="M2382" s="121"/>
      <c r="N2382" s="121"/>
      <c r="O2382" s="121"/>
      <c r="P2382" s="121"/>
      <c r="Q2382" s="121"/>
      <c r="R2382" s="121"/>
      <c r="S2382" s="121"/>
      <c r="T2382" s="42"/>
      <c r="U2382" s="122"/>
      <c r="V2382" s="42"/>
      <c r="W2382" s="42"/>
      <c r="X2382" s="42"/>
      <c r="Y2382" s="42"/>
      <c r="Z2382" s="42"/>
      <c r="AA2382" s="42"/>
      <c r="AB2382" s="42"/>
    </row>
    <row r="2383" spans="1:28" x14ac:dyDescent="0.25">
      <c r="A2383" s="42"/>
      <c r="B2383" s="121"/>
      <c r="C2383" s="41"/>
      <c r="D2383" s="41"/>
      <c r="E2383" s="41"/>
      <c r="F2383" s="41"/>
      <c r="G2383" s="41"/>
      <c r="H2383" s="41"/>
      <c r="I2383" s="41"/>
      <c r="J2383" s="41"/>
      <c r="K2383" s="41"/>
      <c r="L2383" s="42"/>
      <c r="M2383" s="121"/>
      <c r="N2383" s="121"/>
      <c r="O2383" s="121"/>
      <c r="P2383" s="121"/>
      <c r="Q2383" s="121"/>
      <c r="R2383" s="121"/>
      <c r="S2383" s="121"/>
      <c r="T2383" s="42"/>
      <c r="U2383" s="122"/>
      <c r="V2383" s="42"/>
      <c r="W2383" s="42"/>
      <c r="X2383" s="42"/>
      <c r="Y2383" s="42"/>
      <c r="Z2383" s="42"/>
      <c r="AA2383" s="42"/>
      <c r="AB2383" s="42"/>
    </row>
    <row r="2384" spans="1:28" x14ac:dyDescent="0.25">
      <c r="A2384" s="42"/>
      <c r="B2384" s="121"/>
      <c r="C2384" s="41"/>
      <c r="D2384" s="41"/>
      <c r="E2384" s="41"/>
      <c r="F2384" s="41"/>
      <c r="G2384" s="41"/>
      <c r="H2384" s="41"/>
      <c r="I2384" s="41"/>
      <c r="J2384" s="41"/>
      <c r="K2384" s="41"/>
      <c r="L2384" s="42"/>
      <c r="M2384" s="121"/>
      <c r="N2384" s="121"/>
      <c r="O2384" s="121"/>
      <c r="P2384" s="121"/>
      <c r="Q2384" s="121"/>
      <c r="R2384" s="121"/>
      <c r="S2384" s="121"/>
      <c r="T2384" s="42"/>
      <c r="U2384" s="122"/>
      <c r="V2384" s="42"/>
      <c r="W2384" s="42"/>
      <c r="X2384" s="42"/>
      <c r="Y2384" s="42"/>
      <c r="Z2384" s="42"/>
      <c r="AA2384" s="42"/>
      <c r="AB2384" s="42"/>
    </row>
    <row r="2385" spans="1:28" x14ac:dyDescent="0.25">
      <c r="A2385" s="42"/>
      <c r="B2385" s="121"/>
      <c r="C2385" s="41"/>
      <c r="D2385" s="41"/>
      <c r="E2385" s="41"/>
      <c r="F2385" s="41"/>
      <c r="G2385" s="41"/>
      <c r="H2385" s="41"/>
      <c r="I2385" s="41"/>
      <c r="J2385" s="41"/>
      <c r="K2385" s="41"/>
      <c r="L2385" s="42"/>
      <c r="M2385" s="121"/>
      <c r="N2385" s="121"/>
      <c r="O2385" s="121"/>
      <c r="P2385" s="121"/>
      <c r="Q2385" s="121"/>
      <c r="R2385" s="121"/>
      <c r="S2385" s="121"/>
      <c r="T2385" s="42"/>
      <c r="U2385" s="122"/>
      <c r="V2385" s="42"/>
      <c r="W2385" s="42"/>
      <c r="X2385" s="42"/>
      <c r="Y2385" s="42"/>
      <c r="Z2385" s="42"/>
      <c r="AA2385" s="42"/>
      <c r="AB2385" s="42"/>
    </row>
    <row r="2386" spans="1:28" x14ac:dyDescent="0.25">
      <c r="A2386" s="42"/>
      <c r="B2386" s="121"/>
      <c r="C2386" s="41"/>
      <c r="D2386" s="41"/>
      <c r="E2386" s="41"/>
      <c r="F2386" s="41"/>
      <c r="G2386" s="41"/>
      <c r="H2386" s="41"/>
      <c r="I2386" s="41"/>
      <c r="J2386" s="41"/>
      <c r="K2386" s="41"/>
      <c r="L2386" s="42"/>
      <c r="M2386" s="121"/>
      <c r="N2386" s="121"/>
      <c r="O2386" s="121"/>
      <c r="P2386" s="121"/>
      <c r="Q2386" s="121"/>
      <c r="R2386" s="121"/>
      <c r="S2386" s="121"/>
      <c r="T2386" s="42"/>
      <c r="U2386" s="122"/>
      <c r="V2386" s="42"/>
      <c r="W2386" s="42"/>
      <c r="X2386" s="42"/>
      <c r="Y2386" s="42"/>
      <c r="Z2386" s="42"/>
      <c r="AA2386" s="42"/>
      <c r="AB2386" s="42"/>
    </row>
    <row r="2387" spans="1:28" x14ac:dyDescent="0.25">
      <c r="A2387" s="42"/>
      <c r="B2387" s="121"/>
      <c r="C2387" s="41"/>
      <c r="D2387" s="41"/>
      <c r="E2387" s="41"/>
      <c r="F2387" s="41"/>
      <c r="G2387" s="41"/>
      <c r="H2387" s="41"/>
      <c r="I2387" s="41"/>
      <c r="J2387" s="41"/>
      <c r="K2387" s="41"/>
      <c r="L2387" s="42"/>
      <c r="M2387" s="121"/>
      <c r="N2387" s="121"/>
      <c r="O2387" s="121"/>
      <c r="P2387" s="121"/>
      <c r="Q2387" s="121"/>
      <c r="R2387" s="121"/>
      <c r="S2387" s="121"/>
      <c r="T2387" s="42"/>
      <c r="U2387" s="122"/>
      <c r="V2387" s="42"/>
      <c r="W2387" s="42"/>
      <c r="X2387" s="42"/>
      <c r="Y2387" s="42"/>
      <c r="Z2387" s="42"/>
      <c r="AA2387" s="42"/>
      <c r="AB2387" s="42"/>
    </row>
    <row r="2388" spans="1:28" x14ac:dyDescent="0.25">
      <c r="A2388" s="42"/>
      <c r="B2388" s="121"/>
      <c r="C2388" s="41"/>
      <c r="D2388" s="41"/>
      <c r="E2388" s="41"/>
      <c r="F2388" s="41"/>
      <c r="G2388" s="41"/>
      <c r="H2388" s="41"/>
      <c r="I2388" s="41"/>
      <c r="J2388" s="41"/>
      <c r="K2388" s="41"/>
      <c r="L2388" s="42"/>
      <c r="M2388" s="121"/>
      <c r="N2388" s="121"/>
      <c r="O2388" s="121"/>
      <c r="P2388" s="121"/>
      <c r="Q2388" s="121"/>
      <c r="R2388" s="121"/>
      <c r="S2388" s="121"/>
      <c r="T2388" s="42"/>
      <c r="U2388" s="122"/>
      <c r="V2388" s="42"/>
      <c r="W2388" s="42"/>
      <c r="X2388" s="42"/>
      <c r="Y2388" s="42"/>
      <c r="Z2388" s="42"/>
      <c r="AA2388" s="42"/>
      <c r="AB2388" s="42"/>
    </row>
    <row r="2389" spans="1:28" x14ac:dyDescent="0.25">
      <c r="A2389" s="42"/>
      <c r="B2389" s="121"/>
      <c r="C2389" s="41"/>
      <c r="D2389" s="41"/>
      <c r="E2389" s="41"/>
      <c r="F2389" s="41"/>
      <c r="G2389" s="41"/>
      <c r="H2389" s="41"/>
      <c r="I2389" s="41"/>
      <c r="J2389" s="41"/>
      <c r="K2389" s="41"/>
      <c r="L2389" s="42"/>
      <c r="M2389" s="121"/>
      <c r="N2389" s="121"/>
      <c r="O2389" s="121"/>
      <c r="P2389" s="121"/>
      <c r="Q2389" s="121"/>
      <c r="R2389" s="121"/>
      <c r="S2389" s="121"/>
      <c r="T2389" s="42"/>
      <c r="U2389" s="122"/>
      <c r="V2389" s="42"/>
      <c r="W2389" s="42"/>
      <c r="X2389" s="42"/>
      <c r="Y2389" s="42"/>
      <c r="Z2389" s="42"/>
      <c r="AA2389" s="42"/>
      <c r="AB2389" s="42"/>
    </row>
    <row r="2390" spans="1:28" x14ac:dyDescent="0.25">
      <c r="A2390" s="42"/>
      <c r="B2390" s="121"/>
      <c r="C2390" s="41"/>
      <c r="D2390" s="41"/>
      <c r="E2390" s="41"/>
      <c r="F2390" s="41"/>
      <c r="G2390" s="41"/>
      <c r="H2390" s="41"/>
      <c r="I2390" s="41"/>
      <c r="J2390" s="41"/>
      <c r="K2390" s="41"/>
      <c r="L2390" s="42"/>
      <c r="M2390" s="121"/>
      <c r="N2390" s="121"/>
      <c r="O2390" s="121"/>
      <c r="P2390" s="121"/>
      <c r="Q2390" s="121"/>
      <c r="R2390" s="121"/>
      <c r="S2390" s="121"/>
      <c r="T2390" s="42"/>
      <c r="U2390" s="122"/>
      <c r="V2390" s="42"/>
      <c r="W2390" s="42"/>
      <c r="X2390" s="42"/>
      <c r="Y2390" s="42"/>
      <c r="Z2390" s="42"/>
      <c r="AA2390" s="42"/>
      <c r="AB2390" s="42"/>
    </row>
    <row r="2391" spans="1:28" x14ac:dyDescent="0.25">
      <c r="A2391" s="42"/>
      <c r="B2391" s="121"/>
      <c r="C2391" s="41"/>
      <c r="D2391" s="41"/>
      <c r="E2391" s="41"/>
      <c r="F2391" s="41"/>
      <c r="G2391" s="41"/>
      <c r="H2391" s="41"/>
      <c r="I2391" s="41"/>
      <c r="J2391" s="41"/>
      <c r="K2391" s="41"/>
      <c r="L2391" s="42"/>
      <c r="M2391" s="121"/>
      <c r="N2391" s="121"/>
      <c r="O2391" s="121"/>
      <c r="P2391" s="121"/>
      <c r="Q2391" s="121"/>
      <c r="R2391" s="121"/>
      <c r="S2391" s="121"/>
      <c r="T2391" s="42"/>
      <c r="U2391" s="122"/>
      <c r="V2391" s="42"/>
      <c r="W2391" s="42"/>
      <c r="X2391" s="42"/>
      <c r="Y2391" s="42"/>
      <c r="Z2391" s="42"/>
      <c r="AA2391" s="42"/>
      <c r="AB2391" s="42"/>
    </row>
    <row r="2392" spans="1:28" x14ac:dyDescent="0.25">
      <c r="A2392" s="42"/>
      <c r="B2392" s="121"/>
      <c r="C2392" s="41"/>
      <c r="D2392" s="41"/>
      <c r="E2392" s="41"/>
      <c r="F2392" s="41"/>
      <c r="G2392" s="41"/>
      <c r="H2392" s="41"/>
      <c r="I2392" s="41"/>
      <c r="J2392" s="41"/>
      <c r="K2392" s="41"/>
      <c r="L2392" s="42"/>
      <c r="M2392" s="121"/>
      <c r="N2392" s="121"/>
      <c r="O2392" s="121"/>
      <c r="P2392" s="121"/>
      <c r="Q2392" s="121"/>
      <c r="R2392" s="121"/>
      <c r="S2392" s="121"/>
      <c r="T2392" s="42"/>
      <c r="U2392" s="122"/>
      <c r="V2392" s="42"/>
      <c r="W2392" s="42"/>
      <c r="X2392" s="42"/>
      <c r="Y2392" s="42"/>
      <c r="Z2392" s="42"/>
      <c r="AA2392" s="42"/>
      <c r="AB2392" s="42"/>
    </row>
    <row r="2393" spans="1:28" x14ac:dyDescent="0.25">
      <c r="A2393" s="42"/>
      <c r="B2393" s="121"/>
      <c r="C2393" s="41"/>
      <c r="D2393" s="41"/>
      <c r="E2393" s="41"/>
      <c r="F2393" s="41"/>
      <c r="G2393" s="41"/>
      <c r="H2393" s="41"/>
      <c r="I2393" s="41"/>
      <c r="J2393" s="41"/>
      <c r="K2393" s="41"/>
      <c r="L2393" s="42"/>
      <c r="M2393" s="121"/>
      <c r="N2393" s="121"/>
      <c r="O2393" s="121"/>
      <c r="P2393" s="121"/>
      <c r="Q2393" s="121"/>
      <c r="R2393" s="121"/>
      <c r="S2393" s="121"/>
      <c r="T2393" s="42"/>
      <c r="U2393" s="122"/>
      <c r="V2393" s="42"/>
      <c r="W2393" s="42"/>
      <c r="X2393" s="42"/>
      <c r="Y2393" s="42"/>
      <c r="Z2393" s="42"/>
      <c r="AA2393" s="42"/>
      <c r="AB2393" s="42"/>
    </row>
    <row r="2394" spans="1:28" x14ac:dyDescent="0.25">
      <c r="A2394" s="42"/>
      <c r="B2394" s="121"/>
      <c r="C2394" s="41"/>
      <c r="D2394" s="41"/>
      <c r="E2394" s="41"/>
      <c r="F2394" s="41"/>
      <c r="G2394" s="41"/>
      <c r="H2394" s="41"/>
      <c r="I2394" s="41"/>
      <c r="J2394" s="41"/>
      <c r="K2394" s="41"/>
      <c r="L2394" s="42"/>
      <c r="M2394" s="121"/>
      <c r="N2394" s="121"/>
      <c r="O2394" s="121"/>
      <c r="P2394" s="121"/>
      <c r="Q2394" s="121"/>
      <c r="R2394" s="121"/>
      <c r="S2394" s="121"/>
      <c r="T2394" s="42"/>
      <c r="U2394" s="122"/>
      <c r="V2394" s="42"/>
      <c r="W2394" s="42"/>
      <c r="X2394" s="42"/>
      <c r="Y2394" s="42"/>
      <c r="Z2394" s="42"/>
      <c r="AA2394" s="42"/>
      <c r="AB2394" s="42"/>
    </row>
    <row r="2395" spans="1:28" x14ac:dyDescent="0.25">
      <c r="A2395" s="42"/>
      <c r="B2395" s="121"/>
      <c r="C2395" s="41"/>
      <c r="D2395" s="41"/>
      <c r="E2395" s="41"/>
      <c r="F2395" s="41"/>
      <c r="G2395" s="41"/>
      <c r="H2395" s="41"/>
      <c r="I2395" s="41"/>
      <c r="J2395" s="41"/>
      <c r="K2395" s="41"/>
      <c r="L2395" s="42"/>
      <c r="M2395" s="121"/>
      <c r="N2395" s="121"/>
      <c r="O2395" s="121"/>
      <c r="P2395" s="121"/>
      <c r="Q2395" s="121"/>
      <c r="R2395" s="121"/>
      <c r="S2395" s="121"/>
      <c r="T2395" s="42"/>
      <c r="U2395" s="122"/>
      <c r="V2395" s="42"/>
      <c r="W2395" s="42"/>
      <c r="X2395" s="42"/>
      <c r="Y2395" s="42"/>
      <c r="Z2395" s="42"/>
      <c r="AA2395" s="42"/>
      <c r="AB2395" s="42"/>
    </row>
    <row r="2396" spans="1:28" x14ac:dyDescent="0.25">
      <c r="A2396" s="42"/>
      <c r="B2396" s="121"/>
      <c r="C2396" s="41"/>
      <c r="D2396" s="41"/>
      <c r="E2396" s="41"/>
      <c r="F2396" s="41"/>
      <c r="G2396" s="41"/>
      <c r="H2396" s="41"/>
      <c r="I2396" s="41"/>
      <c r="J2396" s="41"/>
      <c r="K2396" s="41"/>
      <c r="L2396" s="42"/>
      <c r="M2396" s="121"/>
      <c r="N2396" s="121"/>
      <c r="O2396" s="121"/>
      <c r="P2396" s="121"/>
      <c r="Q2396" s="121"/>
      <c r="R2396" s="121"/>
      <c r="S2396" s="121"/>
      <c r="T2396" s="42"/>
      <c r="U2396" s="122"/>
      <c r="V2396" s="42"/>
      <c r="W2396" s="42"/>
      <c r="X2396" s="42"/>
      <c r="Y2396" s="42"/>
      <c r="Z2396" s="42"/>
      <c r="AA2396" s="42"/>
      <c r="AB2396" s="42"/>
    </row>
    <row r="2397" spans="1:28" x14ac:dyDescent="0.25">
      <c r="A2397" s="42"/>
      <c r="B2397" s="121"/>
      <c r="C2397" s="41"/>
      <c r="D2397" s="41"/>
      <c r="E2397" s="41"/>
      <c r="F2397" s="41"/>
      <c r="G2397" s="41"/>
      <c r="H2397" s="41"/>
      <c r="I2397" s="41"/>
      <c r="J2397" s="41"/>
      <c r="K2397" s="41"/>
      <c r="L2397" s="42"/>
      <c r="M2397" s="121"/>
      <c r="N2397" s="121"/>
      <c r="O2397" s="121"/>
      <c r="P2397" s="121"/>
      <c r="Q2397" s="121"/>
      <c r="R2397" s="121"/>
      <c r="S2397" s="121"/>
      <c r="T2397" s="42"/>
      <c r="U2397" s="122"/>
      <c r="V2397" s="42"/>
      <c r="W2397" s="42"/>
      <c r="X2397" s="42"/>
      <c r="Y2397" s="42"/>
      <c r="Z2397" s="42"/>
      <c r="AA2397" s="42"/>
      <c r="AB2397" s="42"/>
    </row>
    <row r="2398" spans="1:28" x14ac:dyDescent="0.25">
      <c r="A2398" s="42"/>
      <c r="B2398" s="121"/>
      <c r="C2398" s="41"/>
      <c r="D2398" s="41"/>
      <c r="E2398" s="41"/>
      <c r="F2398" s="41"/>
      <c r="G2398" s="41"/>
      <c r="H2398" s="41"/>
      <c r="I2398" s="41"/>
      <c r="J2398" s="41"/>
      <c r="K2398" s="41"/>
      <c r="L2398" s="42"/>
      <c r="M2398" s="121"/>
      <c r="N2398" s="121"/>
      <c r="O2398" s="121"/>
      <c r="P2398" s="121"/>
      <c r="Q2398" s="121"/>
      <c r="R2398" s="121"/>
      <c r="S2398" s="121"/>
      <c r="T2398" s="42"/>
      <c r="U2398" s="122"/>
      <c r="V2398" s="42"/>
      <c r="W2398" s="42"/>
      <c r="X2398" s="42"/>
      <c r="Y2398" s="42"/>
      <c r="Z2398" s="42"/>
      <c r="AA2398" s="42"/>
      <c r="AB2398" s="42"/>
    </row>
    <row r="2399" spans="1:28" x14ac:dyDescent="0.25">
      <c r="A2399" s="42"/>
      <c r="B2399" s="121"/>
      <c r="C2399" s="41"/>
      <c r="D2399" s="41"/>
      <c r="E2399" s="41"/>
      <c r="F2399" s="41"/>
      <c r="G2399" s="41"/>
      <c r="H2399" s="41"/>
      <c r="I2399" s="41"/>
      <c r="J2399" s="41"/>
      <c r="K2399" s="41"/>
      <c r="L2399" s="42"/>
      <c r="M2399" s="121"/>
      <c r="N2399" s="121"/>
      <c r="O2399" s="121"/>
      <c r="P2399" s="121"/>
      <c r="Q2399" s="121"/>
      <c r="R2399" s="121"/>
      <c r="S2399" s="121"/>
      <c r="T2399" s="42"/>
      <c r="U2399" s="122"/>
      <c r="V2399" s="42"/>
      <c r="W2399" s="42"/>
      <c r="X2399" s="42"/>
      <c r="Y2399" s="42"/>
      <c r="Z2399" s="42"/>
      <c r="AA2399" s="42"/>
      <c r="AB2399" s="42"/>
    </row>
    <row r="2400" spans="1:28" x14ac:dyDescent="0.25">
      <c r="A2400" s="42"/>
      <c r="B2400" s="121"/>
      <c r="C2400" s="41"/>
      <c r="D2400" s="41"/>
      <c r="E2400" s="41"/>
      <c r="F2400" s="41"/>
      <c r="G2400" s="41"/>
      <c r="H2400" s="41"/>
      <c r="I2400" s="41"/>
      <c r="J2400" s="41"/>
      <c r="K2400" s="41"/>
      <c r="L2400" s="42"/>
      <c r="M2400" s="121"/>
      <c r="N2400" s="121"/>
      <c r="O2400" s="121"/>
      <c r="P2400" s="121"/>
      <c r="Q2400" s="121"/>
      <c r="R2400" s="121"/>
      <c r="S2400" s="121"/>
      <c r="T2400" s="42"/>
      <c r="U2400" s="122"/>
      <c r="V2400" s="42"/>
      <c r="W2400" s="42"/>
      <c r="X2400" s="42"/>
      <c r="Y2400" s="42"/>
      <c r="Z2400" s="42"/>
      <c r="AA2400" s="42"/>
      <c r="AB2400" s="42"/>
    </row>
    <row r="2401" spans="1:28" x14ac:dyDescent="0.25">
      <c r="A2401" s="42"/>
      <c r="B2401" s="121"/>
      <c r="C2401" s="41"/>
      <c r="D2401" s="41"/>
      <c r="E2401" s="41"/>
      <c r="F2401" s="41"/>
      <c r="G2401" s="41"/>
      <c r="H2401" s="41"/>
      <c r="I2401" s="41"/>
      <c r="J2401" s="41"/>
      <c r="K2401" s="41"/>
      <c r="L2401" s="42"/>
      <c r="M2401" s="121"/>
      <c r="N2401" s="121"/>
      <c r="O2401" s="121"/>
      <c r="P2401" s="121"/>
      <c r="Q2401" s="121"/>
      <c r="R2401" s="121"/>
      <c r="S2401" s="121"/>
      <c r="T2401" s="42"/>
      <c r="U2401" s="122"/>
      <c r="V2401" s="42"/>
      <c r="W2401" s="42"/>
      <c r="X2401" s="42"/>
      <c r="Y2401" s="42"/>
      <c r="Z2401" s="42"/>
      <c r="AA2401" s="42"/>
      <c r="AB2401" s="42"/>
    </row>
    <row r="2402" spans="1:28" x14ac:dyDescent="0.25">
      <c r="A2402" s="42"/>
      <c r="B2402" s="121"/>
      <c r="C2402" s="41"/>
      <c r="D2402" s="41"/>
      <c r="E2402" s="41"/>
      <c r="F2402" s="41"/>
      <c r="G2402" s="41"/>
      <c r="H2402" s="41"/>
      <c r="I2402" s="41"/>
      <c r="J2402" s="41"/>
      <c r="K2402" s="41"/>
      <c r="L2402" s="42"/>
      <c r="M2402" s="121"/>
      <c r="N2402" s="121"/>
      <c r="O2402" s="121"/>
      <c r="P2402" s="121"/>
      <c r="Q2402" s="121"/>
      <c r="R2402" s="121"/>
      <c r="S2402" s="121"/>
      <c r="T2402" s="42"/>
      <c r="U2402" s="122"/>
      <c r="V2402" s="42"/>
      <c r="W2402" s="42"/>
      <c r="X2402" s="42"/>
      <c r="Y2402" s="42"/>
      <c r="Z2402" s="42"/>
      <c r="AA2402" s="42"/>
      <c r="AB2402" s="42"/>
    </row>
    <row r="2403" spans="1:28" x14ac:dyDescent="0.25">
      <c r="A2403" s="42"/>
      <c r="B2403" s="121"/>
      <c r="C2403" s="41"/>
      <c r="D2403" s="41"/>
      <c r="E2403" s="41"/>
      <c r="F2403" s="41"/>
      <c r="G2403" s="41"/>
      <c r="H2403" s="41"/>
      <c r="I2403" s="41"/>
      <c r="J2403" s="41"/>
      <c r="K2403" s="41"/>
      <c r="L2403" s="42"/>
      <c r="M2403" s="121"/>
      <c r="N2403" s="121"/>
      <c r="O2403" s="121"/>
      <c r="P2403" s="121"/>
      <c r="Q2403" s="121"/>
      <c r="R2403" s="121"/>
      <c r="S2403" s="121"/>
      <c r="T2403" s="42"/>
      <c r="U2403" s="122"/>
      <c r="V2403" s="42"/>
      <c r="W2403" s="42"/>
      <c r="X2403" s="42"/>
      <c r="Y2403" s="42"/>
      <c r="Z2403" s="42"/>
      <c r="AA2403" s="42"/>
      <c r="AB2403" s="42"/>
    </row>
    <row r="2404" spans="1:28" x14ac:dyDescent="0.25">
      <c r="A2404" s="42"/>
      <c r="B2404" s="121"/>
      <c r="C2404" s="41"/>
      <c r="D2404" s="41"/>
      <c r="E2404" s="41"/>
      <c r="F2404" s="41"/>
      <c r="G2404" s="41"/>
      <c r="H2404" s="41"/>
      <c r="I2404" s="41"/>
      <c r="J2404" s="41"/>
      <c r="K2404" s="41"/>
      <c r="L2404" s="42"/>
      <c r="M2404" s="121"/>
      <c r="N2404" s="121"/>
      <c r="O2404" s="121"/>
      <c r="P2404" s="121"/>
      <c r="Q2404" s="121"/>
      <c r="R2404" s="121"/>
      <c r="S2404" s="121"/>
      <c r="T2404" s="42"/>
      <c r="U2404" s="122"/>
      <c r="V2404" s="42"/>
      <c r="W2404" s="42"/>
      <c r="X2404" s="42"/>
      <c r="Y2404" s="42"/>
      <c r="Z2404" s="42"/>
      <c r="AA2404" s="42"/>
      <c r="AB2404" s="42"/>
    </row>
    <row r="2405" spans="1:28" x14ac:dyDescent="0.25">
      <c r="A2405" s="42"/>
      <c r="B2405" s="121"/>
      <c r="C2405" s="41"/>
      <c r="D2405" s="41"/>
      <c r="E2405" s="41"/>
      <c r="F2405" s="41"/>
      <c r="G2405" s="41"/>
      <c r="H2405" s="41"/>
      <c r="I2405" s="41"/>
      <c r="J2405" s="41"/>
      <c r="K2405" s="41"/>
      <c r="L2405" s="42"/>
      <c r="M2405" s="121"/>
      <c r="N2405" s="121"/>
      <c r="O2405" s="121"/>
      <c r="P2405" s="121"/>
      <c r="Q2405" s="121"/>
      <c r="R2405" s="121"/>
      <c r="S2405" s="121"/>
      <c r="T2405" s="42"/>
      <c r="U2405" s="122"/>
      <c r="V2405" s="42"/>
      <c r="W2405" s="42"/>
      <c r="X2405" s="42"/>
      <c r="Y2405" s="42"/>
      <c r="Z2405" s="42"/>
      <c r="AA2405" s="42"/>
      <c r="AB2405" s="42"/>
    </row>
    <row r="2406" spans="1:28" x14ac:dyDescent="0.25">
      <c r="A2406" s="42"/>
      <c r="B2406" s="121"/>
      <c r="C2406" s="41"/>
      <c r="D2406" s="41"/>
      <c r="E2406" s="41"/>
      <c r="F2406" s="41"/>
      <c r="G2406" s="41"/>
      <c r="H2406" s="41"/>
      <c r="I2406" s="41"/>
      <c r="J2406" s="41"/>
      <c r="K2406" s="41"/>
      <c r="L2406" s="42"/>
      <c r="M2406" s="121"/>
      <c r="N2406" s="121"/>
      <c r="O2406" s="121"/>
      <c r="P2406" s="121"/>
      <c r="Q2406" s="121"/>
      <c r="R2406" s="121"/>
      <c r="S2406" s="121"/>
      <c r="T2406" s="42"/>
      <c r="U2406" s="122"/>
      <c r="V2406" s="42"/>
      <c r="W2406" s="42"/>
      <c r="X2406" s="42"/>
      <c r="Y2406" s="42"/>
      <c r="Z2406" s="42"/>
      <c r="AA2406" s="42"/>
      <c r="AB2406" s="42"/>
    </row>
    <row r="2407" spans="1:28" x14ac:dyDescent="0.25">
      <c r="A2407" s="42"/>
      <c r="B2407" s="121"/>
      <c r="C2407" s="41"/>
      <c r="D2407" s="41"/>
      <c r="E2407" s="41"/>
      <c r="F2407" s="41"/>
      <c r="G2407" s="41"/>
      <c r="H2407" s="41"/>
      <c r="I2407" s="41"/>
      <c r="J2407" s="41"/>
      <c r="K2407" s="41"/>
      <c r="L2407" s="42"/>
      <c r="M2407" s="121"/>
      <c r="N2407" s="121"/>
      <c r="O2407" s="121"/>
      <c r="P2407" s="121"/>
      <c r="Q2407" s="121"/>
      <c r="R2407" s="121"/>
      <c r="S2407" s="121"/>
      <c r="T2407" s="42"/>
      <c r="U2407" s="122"/>
      <c r="V2407" s="42"/>
      <c r="W2407" s="42"/>
      <c r="X2407" s="42"/>
      <c r="Y2407" s="42"/>
      <c r="Z2407" s="42"/>
      <c r="AA2407" s="42"/>
      <c r="AB2407" s="42"/>
    </row>
    <row r="2408" spans="1:28" x14ac:dyDescent="0.25">
      <c r="A2408" s="42"/>
      <c r="B2408" s="121"/>
      <c r="C2408" s="41"/>
      <c r="D2408" s="41"/>
      <c r="E2408" s="41"/>
      <c r="F2408" s="41"/>
      <c r="G2408" s="41"/>
      <c r="H2408" s="41"/>
      <c r="I2408" s="41"/>
      <c r="J2408" s="41"/>
      <c r="K2408" s="41"/>
      <c r="L2408" s="42"/>
      <c r="M2408" s="121"/>
      <c r="N2408" s="121"/>
      <c r="O2408" s="121"/>
      <c r="P2408" s="121"/>
      <c r="Q2408" s="121"/>
      <c r="R2408" s="121"/>
      <c r="S2408" s="121"/>
      <c r="T2408" s="42"/>
      <c r="U2408" s="122"/>
      <c r="V2408" s="42"/>
      <c r="W2408" s="42"/>
      <c r="X2408" s="42"/>
      <c r="Y2408" s="42"/>
      <c r="Z2408" s="42"/>
      <c r="AA2408" s="42"/>
      <c r="AB2408" s="42"/>
    </row>
    <row r="2409" spans="1:28" x14ac:dyDescent="0.25">
      <c r="A2409" s="42"/>
      <c r="B2409" s="121"/>
      <c r="C2409" s="41"/>
      <c r="D2409" s="41"/>
      <c r="E2409" s="41"/>
      <c r="F2409" s="41"/>
      <c r="G2409" s="41"/>
      <c r="H2409" s="41"/>
      <c r="I2409" s="41"/>
      <c r="J2409" s="41"/>
      <c r="K2409" s="41"/>
      <c r="L2409" s="42"/>
      <c r="M2409" s="121"/>
      <c r="N2409" s="121"/>
      <c r="O2409" s="121"/>
      <c r="P2409" s="121"/>
      <c r="Q2409" s="121"/>
      <c r="R2409" s="121"/>
      <c r="S2409" s="121"/>
      <c r="T2409" s="42"/>
      <c r="U2409" s="122"/>
      <c r="V2409" s="42"/>
      <c r="W2409" s="42"/>
      <c r="X2409" s="42"/>
      <c r="Y2409" s="42"/>
      <c r="Z2409" s="42"/>
      <c r="AA2409" s="42"/>
      <c r="AB2409" s="42"/>
    </row>
    <row r="2410" spans="1:28" x14ac:dyDescent="0.25">
      <c r="A2410" s="42"/>
      <c r="B2410" s="121"/>
      <c r="C2410" s="41"/>
      <c r="D2410" s="41"/>
      <c r="E2410" s="41"/>
      <c r="F2410" s="41"/>
      <c r="G2410" s="41"/>
      <c r="H2410" s="41"/>
      <c r="I2410" s="41"/>
      <c r="J2410" s="41"/>
      <c r="K2410" s="41"/>
      <c r="L2410" s="42"/>
      <c r="M2410" s="121"/>
      <c r="N2410" s="121"/>
      <c r="O2410" s="121"/>
      <c r="P2410" s="121"/>
      <c r="Q2410" s="121"/>
      <c r="R2410" s="121"/>
      <c r="S2410" s="121"/>
      <c r="T2410" s="42"/>
      <c r="U2410" s="122"/>
      <c r="V2410" s="42"/>
      <c r="W2410" s="42"/>
      <c r="X2410" s="42"/>
      <c r="Y2410" s="42"/>
      <c r="Z2410" s="42"/>
      <c r="AA2410" s="42"/>
      <c r="AB2410" s="42"/>
    </row>
    <row r="2411" spans="1:28" x14ac:dyDescent="0.25">
      <c r="A2411" s="42"/>
      <c r="B2411" s="121"/>
      <c r="C2411" s="41"/>
      <c r="D2411" s="41"/>
      <c r="E2411" s="41"/>
      <c r="F2411" s="41"/>
      <c r="G2411" s="41"/>
      <c r="H2411" s="41"/>
      <c r="I2411" s="41"/>
      <c r="J2411" s="41"/>
      <c r="K2411" s="41"/>
      <c r="L2411" s="42"/>
      <c r="M2411" s="121"/>
      <c r="N2411" s="121"/>
      <c r="O2411" s="121"/>
      <c r="P2411" s="121"/>
      <c r="Q2411" s="121"/>
      <c r="R2411" s="121"/>
      <c r="S2411" s="121"/>
      <c r="T2411" s="42"/>
      <c r="U2411" s="122"/>
      <c r="V2411" s="42"/>
      <c r="W2411" s="42"/>
      <c r="X2411" s="42"/>
      <c r="Y2411" s="42"/>
      <c r="Z2411" s="42"/>
      <c r="AA2411" s="42"/>
      <c r="AB2411" s="42"/>
    </row>
    <row r="2412" spans="1:28" x14ac:dyDescent="0.25">
      <c r="A2412" s="42"/>
      <c r="B2412" s="121"/>
      <c r="C2412" s="41"/>
      <c r="D2412" s="41"/>
      <c r="E2412" s="41"/>
      <c r="F2412" s="41"/>
      <c r="G2412" s="41"/>
      <c r="H2412" s="41"/>
      <c r="I2412" s="41"/>
      <c r="J2412" s="41"/>
      <c r="K2412" s="41"/>
      <c r="L2412" s="42"/>
      <c r="M2412" s="121"/>
      <c r="N2412" s="121"/>
      <c r="O2412" s="121"/>
      <c r="P2412" s="121"/>
      <c r="Q2412" s="121"/>
      <c r="R2412" s="121"/>
      <c r="S2412" s="121"/>
      <c r="T2412" s="42"/>
      <c r="U2412" s="122"/>
      <c r="V2412" s="42"/>
      <c r="W2412" s="42"/>
      <c r="X2412" s="42"/>
      <c r="Y2412" s="42"/>
      <c r="Z2412" s="42"/>
      <c r="AA2412" s="42"/>
      <c r="AB2412" s="42"/>
    </row>
    <row r="2413" spans="1:28" x14ac:dyDescent="0.25">
      <c r="A2413" s="42"/>
      <c r="B2413" s="121"/>
      <c r="C2413" s="41"/>
      <c r="D2413" s="41"/>
      <c r="E2413" s="41"/>
      <c r="F2413" s="41"/>
      <c r="G2413" s="41"/>
      <c r="H2413" s="41"/>
      <c r="I2413" s="41"/>
      <c r="J2413" s="41"/>
      <c r="K2413" s="41"/>
      <c r="L2413" s="42"/>
      <c r="M2413" s="121"/>
      <c r="N2413" s="121"/>
      <c r="O2413" s="121"/>
      <c r="P2413" s="121"/>
      <c r="Q2413" s="121"/>
      <c r="R2413" s="121"/>
      <c r="S2413" s="121"/>
      <c r="T2413" s="42"/>
      <c r="U2413" s="122"/>
      <c r="V2413" s="42"/>
      <c r="W2413" s="42"/>
      <c r="X2413" s="42"/>
      <c r="Y2413" s="42"/>
      <c r="Z2413" s="42"/>
      <c r="AA2413" s="42"/>
      <c r="AB2413" s="42"/>
    </row>
    <row r="2414" spans="1:28" x14ac:dyDescent="0.25">
      <c r="A2414" s="42"/>
      <c r="B2414" s="121"/>
      <c r="C2414" s="41"/>
      <c r="D2414" s="41"/>
      <c r="E2414" s="41"/>
      <c r="F2414" s="41"/>
      <c r="G2414" s="41"/>
      <c r="H2414" s="41"/>
      <c r="I2414" s="41"/>
      <c r="J2414" s="41"/>
      <c r="K2414" s="41"/>
      <c r="L2414" s="42"/>
      <c r="M2414" s="121"/>
      <c r="N2414" s="121"/>
      <c r="O2414" s="121"/>
      <c r="P2414" s="121"/>
      <c r="Q2414" s="121"/>
      <c r="R2414" s="121"/>
      <c r="S2414" s="121"/>
      <c r="T2414" s="42"/>
      <c r="U2414" s="122"/>
      <c r="V2414" s="42"/>
      <c r="W2414" s="42"/>
      <c r="X2414" s="42"/>
      <c r="Y2414" s="42"/>
      <c r="Z2414" s="42"/>
      <c r="AA2414" s="42"/>
      <c r="AB2414" s="42"/>
    </row>
    <row r="2415" spans="1:28" x14ac:dyDescent="0.25">
      <c r="A2415" s="42"/>
      <c r="B2415" s="121"/>
      <c r="C2415" s="41"/>
      <c r="D2415" s="41"/>
      <c r="E2415" s="41"/>
      <c r="F2415" s="41"/>
      <c r="G2415" s="41"/>
      <c r="H2415" s="41"/>
      <c r="I2415" s="41"/>
      <c r="J2415" s="41"/>
      <c r="K2415" s="41"/>
      <c r="L2415" s="42"/>
      <c r="M2415" s="121"/>
      <c r="N2415" s="121"/>
      <c r="O2415" s="121"/>
      <c r="P2415" s="121"/>
      <c r="Q2415" s="121"/>
      <c r="R2415" s="121"/>
      <c r="S2415" s="121"/>
      <c r="T2415" s="42"/>
      <c r="U2415" s="122"/>
      <c r="V2415" s="42"/>
      <c r="W2415" s="42"/>
      <c r="X2415" s="42"/>
      <c r="Y2415" s="42"/>
      <c r="Z2415" s="42"/>
      <c r="AA2415" s="42"/>
      <c r="AB2415" s="42"/>
    </row>
    <row r="2416" spans="1:28" x14ac:dyDescent="0.25">
      <c r="A2416" s="42"/>
      <c r="B2416" s="121"/>
      <c r="C2416" s="41"/>
      <c r="D2416" s="41"/>
      <c r="E2416" s="41"/>
      <c r="F2416" s="41"/>
      <c r="G2416" s="41"/>
      <c r="H2416" s="41"/>
      <c r="I2416" s="41"/>
      <c r="J2416" s="41"/>
      <c r="K2416" s="41"/>
      <c r="L2416" s="42"/>
      <c r="M2416" s="121"/>
      <c r="N2416" s="121"/>
      <c r="O2416" s="121"/>
      <c r="P2416" s="121"/>
      <c r="Q2416" s="121"/>
      <c r="R2416" s="121"/>
      <c r="S2416" s="121"/>
      <c r="T2416" s="42"/>
      <c r="U2416" s="122"/>
      <c r="V2416" s="42"/>
      <c r="W2416" s="42"/>
      <c r="X2416" s="42"/>
      <c r="Y2416" s="42"/>
      <c r="Z2416" s="42"/>
      <c r="AA2416" s="42"/>
      <c r="AB2416" s="42"/>
    </row>
    <row r="2417" spans="1:28" x14ac:dyDescent="0.25">
      <c r="A2417" s="42"/>
      <c r="B2417" s="121"/>
      <c r="C2417" s="41"/>
      <c r="D2417" s="41"/>
      <c r="E2417" s="41"/>
      <c r="F2417" s="41"/>
      <c r="G2417" s="41"/>
      <c r="H2417" s="41"/>
      <c r="I2417" s="41"/>
      <c r="J2417" s="41"/>
      <c r="K2417" s="41"/>
      <c r="L2417" s="42"/>
      <c r="M2417" s="121"/>
      <c r="N2417" s="121"/>
      <c r="O2417" s="121"/>
      <c r="P2417" s="121"/>
      <c r="Q2417" s="121"/>
      <c r="R2417" s="121"/>
      <c r="S2417" s="121"/>
      <c r="T2417" s="42"/>
      <c r="U2417" s="122"/>
      <c r="V2417" s="42"/>
      <c r="W2417" s="42"/>
      <c r="X2417" s="42"/>
      <c r="Y2417" s="42"/>
      <c r="Z2417" s="42"/>
      <c r="AA2417" s="42"/>
      <c r="AB2417" s="42"/>
    </row>
    <row r="2418" spans="1:28" x14ac:dyDescent="0.25">
      <c r="A2418" s="42"/>
      <c r="B2418" s="121"/>
      <c r="C2418" s="41"/>
      <c r="D2418" s="41"/>
      <c r="E2418" s="41"/>
      <c r="F2418" s="41"/>
      <c r="G2418" s="41"/>
      <c r="H2418" s="41"/>
      <c r="I2418" s="41"/>
      <c r="J2418" s="41"/>
      <c r="K2418" s="41"/>
      <c r="L2418" s="42"/>
      <c r="M2418" s="121"/>
      <c r="N2418" s="121"/>
      <c r="O2418" s="121"/>
      <c r="P2418" s="121"/>
      <c r="Q2418" s="121"/>
      <c r="R2418" s="121"/>
      <c r="S2418" s="121"/>
      <c r="T2418" s="42"/>
      <c r="U2418" s="122"/>
      <c r="V2418" s="42"/>
      <c r="W2418" s="42"/>
      <c r="X2418" s="42"/>
      <c r="Y2418" s="42"/>
      <c r="Z2418" s="42"/>
      <c r="AA2418" s="42"/>
      <c r="AB2418" s="42"/>
    </row>
    <row r="2419" spans="1:28" x14ac:dyDescent="0.25">
      <c r="A2419" s="42"/>
      <c r="B2419" s="121"/>
      <c r="C2419" s="41"/>
      <c r="D2419" s="41"/>
      <c r="E2419" s="41"/>
      <c r="F2419" s="41"/>
      <c r="G2419" s="41"/>
      <c r="H2419" s="41"/>
      <c r="I2419" s="41"/>
      <c r="J2419" s="41"/>
      <c r="K2419" s="41"/>
      <c r="L2419" s="42"/>
      <c r="M2419" s="121"/>
      <c r="N2419" s="121"/>
      <c r="O2419" s="121"/>
      <c r="P2419" s="121"/>
      <c r="Q2419" s="121"/>
      <c r="R2419" s="121"/>
      <c r="S2419" s="121"/>
      <c r="T2419" s="42"/>
      <c r="U2419" s="122"/>
      <c r="V2419" s="42"/>
      <c r="W2419" s="42"/>
      <c r="X2419" s="42"/>
      <c r="Y2419" s="42"/>
      <c r="Z2419" s="42"/>
      <c r="AA2419" s="42"/>
      <c r="AB2419" s="42"/>
    </row>
    <row r="2420" spans="1:28" x14ac:dyDescent="0.25">
      <c r="A2420" s="42"/>
      <c r="B2420" s="121"/>
      <c r="C2420" s="41"/>
      <c r="D2420" s="41"/>
      <c r="E2420" s="41"/>
      <c r="F2420" s="41"/>
      <c r="G2420" s="41"/>
      <c r="H2420" s="41"/>
      <c r="I2420" s="41"/>
      <c r="J2420" s="41"/>
      <c r="K2420" s="41"/>
      <c r="L2420" s="42"/>
      <c r="M2420" s="121"/>
      <c r="N2420" s="121"/>
      <c r="O2420" s="121"/>
      <c r="P2420" s="121"/>
      <c r="Q2420" s="121"/>
      <c r="R2420" s="121"/>
      <c r="S2420" s="121"/>
      <c r="T2420" s="42"/>
      <c r="U2420" s="122"/>
      <c r="V2420" s="42"/>
      <c r="W2420" s="42"/>
      <c r="X2420" s="42"/>
      <c r="Y2420" s="42"/>
      <c r="Z2420" s="42"/>
      <c r="AA2420" s="42"/>
      <c r="AB2420" s="42"/>
    </row>
    <row r="2421" spans="1:28" x14ac:dyDescent="0.25">
      <c r="A2421" s="42"/>
      <c r="B2421" s="121"/>
      <c r="C2421" s="41"/>
      <c r="D2421" s="41"/>
      <c r="E2421" s="41"/>
      <c r="F2421" s="41"/>
      <c r="G2421" s="41"/>
      <c r="H2421" s="41"/>
      <c r="I2421" s="41"/>
      <c r="J2421" s="41"/>
      <c r="K2421" s="41"/>
      <c r="L2421" s="42"/>
      <c r="M2421" s="121"/>
      <c r="N2421" s="121"/>
      <c r="O2421" s="121"/>
      <c r="P2421" s="121"/>
      <c r="Q2421" s="121"/>
      <c r="R2421" s="121"/>
      <c r="S2421" s="121"/>
      <c r="T2421" s="42"/>
      <c r="U2421" s="122"/>
      <c r="V2421" s="42"/>
      <c r="W2421" s="42"/>
      <c r="X2421" s="42"/>
      <c r="Y2421" s="42"/>
      <c r="Z2421" s="42"/>
      <c r="AA2421" s="42"/>
      <c r="AB2421" s="42"/>
    </row>
    <row r="2422" spans="1:28" x14ac:dyDescent="0.25">
      <c r="A2422" s="42"/>
      <c r="B2422" s="121"/>
      <c r="C2422" s="41"/>
      <c r="D2422" s="41"/>
      <c r="E2422" s="41"/>
      <c r="F2422" s="41"/>
      <c r="G2422" s="41"/>
      <c r="H2422" s="41"/>
      <c r="I2422" s="41"/>
      <c r="J2422" s="41"/>
      <c r="K2422" s="41"/>
      <c r="L2422" s="42"/>
      <c r="M2422" s="121"/>
      <c r="N2422" s="121"/>
      <c r="O2422" s="121"/>
      <c r="P2422" s="121"/>
      <c r="Q2422" s="121"/>
      <c r="R2422" s="121"/>
      <c r="S2422" s="121"/>
      <c r="T2422" s="42"/>
      <c r="U2422" s="122"/>
      <c r="V2422" s="42"/>
      <c r="W2422" s="42"/>
      <c r="X2422" s="42"/>
      <c r="Y2422" s="42"/>
      <c r="Z2422" s="42"/>
      <c r="AA2422" s="42"/>
      <c r="AB2422" s="42"/>
    </row>
    <row r="2423" spans="1:28" x14ac:dyDescent="0.25">
      <c r="A2423" s="42"/>
      <c r="B2423" s="121"/>
      <c r="C2423" s="41"/>
      <c r="D2423" s="41"/>
      <c r="E2423" s="41"/>
      <c r="F2423" s="41"/>
      <c r="G2423" s="41"/>
      <c r="H2423" s="41"/>
      <c r="I2423" s="41"/>
      <c r="J2423" s="41"/>
      <c r="K2423" s="41"/>
      <c r="L2423" s="42"/>
      <c r="M2423" s="121"/>
      <c r="N2423" s="121"/>
      <c r="O2423" s="121"/>
      <c r="P2423" s="121"/>
      <c r="Q2423" s="121"/>
      <c r="R2423" s="121"/>
      <c r="S2423" s="121"/>
      <c r="T2423" s="42"/>
      <c r="U2423" s="122"/>
      <c r="V2423" s="42"/>
      <c r="W2423" s="42"/>
      <c r="X2423" s="42"/>
      <c r="Y2423" s="42"/>
      <c r="Z2423" s="42"/>
      <c r="AA2423" s="42"/>
      <c r="AB2423" s="42"/>
    </row>
    <row r="2424" spans="1:28" x14ac:dyDescent="0.25">
      <c r="A2424" s="42"/>
      <c r="B2424" s="121"/>
      <c r="C2424" s="41"/>
      <c r="D2424" s="41"/>
      <c r="E2424" s="41"/>
      <c r="F2424" s="41"/>
      <c r="G2424" s="41"/>
      <c r="H2424" s="41"/>
      <c r="I2424" s="41"/>
      <c r="J2424" s="41"/>
      <c r="K2424" s="41"/>
      <c r="L2424" s="42"/>
      <c r="M2424" s="121"/>
      <c r="N2424" s="121"/>
      <c r="O2424" s="121"/>
      <c r="P2424" s="121"/>
      <c r="Q2424" s="121"/>
      <c r="R2424" s="121"/>
      <c r="S2424" s="121"/>
      <c r="T2424" s="42"/>
      <c r="U2424" s="122"/>
      <c r="V2424" s="42"/>
      <c r="W2424" s="42"/>
      <c r="X2424" s="42"/>
      <c r="Y2424" s="42"/>
      <c r="Z2424" s="42"/>
      <c r="AA2424" s="42"/>
      <c r="AB2424" s="42"/>
    </row>
    <row r="2425" spans="1:28" x14ac:dyDescent="0.25">
      <c r="A2425" s="42"/>
      <c r="B2425" s="121"/>
      <c r="C2425" s="41"/>
      <c r="D2425" s="41"/>
      <c r="E2425" s="41"/>
      <c r="F2425" s="41"/>
      <c r="G2425" s="41"/>
      <c r="H2425" s="41"/>
      <c r="I2425" s="41"/>
      <c r="J2425" s="41"/>
      <c r="K2425" s="41"/>
      <c r="L2425" s="42"/>
      <c r="M2425" s="121"/>
      <c r="N2425" s="121"/>
      <c r="O2425" s="121"/>
      <c r="P2425" s="121"/>
      <c r="Q2425" s="121"/>
      <c r="R2425" s="121"/>
      <c r="S2425" s="121"/>
      <c r="T2425" s="42"/>
      <c r="U2425" s="122"/>
      <c r="V2425" s="42"/>
      <c r="W2425" s="42"/>
      <c r="X2425" s="42"/>
      <c r="Y2425" s="42"/>
      <c r="Z2425" s="42"/>
      <c r="AA2425" s="42"/>
      <c r="AB2425" s="42"/>
    </row>
    <row r="2426" spans="1:28" x14ac:dyDescent="0.25">
      <c r="A2426" s="42"/>
      <c r="B2426" s="121"/>
      <c r="C2426" s="41"/>
      <c r="D2426" s="41"/>
      <c r="E2426" s="41"/>
      <c r="F2426" s="41"/>
      <c r="G2426" s="41"/>
      <c r="H2426" s="41"/>
      <c r="I2426" s="41"/>
      <c r="J2426" s="41"/>
      <c r="K2426" s="41"/>
      <c r="L2426" s="42"/>
      <c r="M2426" s="121"/>
      <c r="N2426" s="121"/>
      <c r="O2426" s="121"/>
      <c r="P2426" s="121"/>
      <c r="Q2426" s="121"/>
      <c r="R2426" s="121"/>
      <c r="S2426" s="121"/>
      <c r="T2426" s="42"/>
      <c r="U2426" s="122"/>
      <c r="V2426" s="42"/>
      <c r="W2426" s="42"/>
      <c r="X2426" s="42"/>
      <c r="Y2426" s="42"/>
      <c r="Z2426" s="42"/>
      <c r="AA2426" s="42"/>
      <c r="AB2426" s="42"/>
    </row>
    <row r="2427" spans="1:28" x14ac:dyDescent="0.25">
      <c r="A2427" s="42"/>
      <c r="B2427" s="121"/>
      <c r="C2427" s="41"/>
      <c r="D2427" s="41"/>
      <c r="E2427" s="41"/>
      <c r="F2427" s="41"/>
      <c r="G2427" s="41"/>
      <c r="H2427" s="41"/>
      <c r="I2427" s="41"/>
      <c r="J2427" s="41"/>
      <c r="K2427" s="41"/>
      <c r="L2427" s="42"/>
      <c r="M2427" s="121"/>
      <c r="N2427" s="121"/>
      <c r="O2427" s="121"/>
      <c r="P2427" s="121"/>
      <c r="Q2427" s="121"/>
      <c r="R2427" s="121"/>
      <c r="S2427" s="121"/>
      <c r="T2427" s="42"/>
      <c r="U2427" s="122"/>
      <c r="V2427" s="42"/>
      <c r="W2427" s="42"/>
      <c r="X2427" s="42"/>
      <c r="Y2427" s="42"/>
      <c r="Z2427" s="42"/>
      <c r="AA2427" s="42"/>
      <c r="AB2427" s="42"/>
    </row>
    <row r="2428" spans="1:28" x14ac:dyDescent="0.25">
      <c r="A2428" s="42"/>
      <c r="B2428" s="121"/>
      <c r="C2428" s="41"/>
      <c r="D2428" s="41"/>
      <c r="E2428" s="41"/>
      <c r="F2428" s="41"/>
      <c r="G2428" s="41"/>
      <c r="H2428" s="41"/>
      <c r="I2428" s="41"/>
      <c r="J2428" s="41"/>
      <c r="K2428" s="41"/>
      <c r="L2428" s="42"/>
      <c r="M2428" s="121"/>
      <c r="N2428" s="121"/>
      <c r="O2428" s="121"/>
      <c r="P2428" s="121"/>
      <c r="Q2428" s="121"/>
      <c r="R2428" s="121"/>
      <c r="S2428" s="121"/>
      <c r="T2428" s="42"/>
      <c r="U2428" s="122"/>
      <c r="V2428" s="42"/>
      <c r="W2428" s="42"/>
      <c r="X2428" s="42"/>
      <c r="Y2428" s="42"/>
      <c r="Z2428" s="42"/>
      <c r="AA2428" s="42"/>
      <c r="AB2428" s="42"/>
    </row>
    <row r="2429" spans="1:28" x14ac:dyDescent="0.25">
      <c r="A2429" s="42"/>
      <c r="B2429" s="121"/>
      <c r="C2429" s="41"/>
      <c r="D2429" s="41"/>
      <c r="E2429" s="41"/>
      <c r="F2429" s="41"/>
      <c r="G2429" s="41"/>
      <c r="H2429" s="41"/>
      <c r="I2429" s="41"/>
      <c r="J2429" s="41"/>
      <c r="K2429" s="41"/>
      <c r="L2429" s="42"/>
      <c r="M2429" s="121"/>
      <c r="N2429" s="121"/>
      <c r="O2429" s="121"/>
      <c r="P2429" s="121"/>
      <c r="Q2429" s="121"/>
      <c r="R2429" s="121"/>
      <c r="S2429" s="121"/>
      <c r="T2429" s="42"/>
      <c r="U2429" s="122"/>
      <c r="V2429" s="42"/>
      <c r="W2429" s="42"/>
      <c r="X2429" s="42"/>
      <c r="Y2429" s="42"/>
      <c r="Z2429" s="42"/>
      <c r="AA2429" s="42"/>
      <c r="AB2429" s="42"/>
    </row>
    <row r="2430" spans="1:28" x14ac:dyDescent="0.25">
      <c r="A2430" s="42"/>
      <c r="B2430" s="121"/>
      <c r="C2430" s="41"/>
      <c r="D2430" s="41"/>
      <c r="E2430" s="41"/>
      <c r="F2430" s="41"/>
      <c r="G2430" s="41"/>
      <c r="H2430" s="41"/>
      <c r="I2430" s="41"/>
      <c r="J2430" s="41"/>
      <c r="K2430" s="41"/>
      <c r="L2430" s="42"/>
      <c r="M2430" s="121"/>
      <c r="N2430" s="121"/>
      <c r="O2430" s="121"/>
      <c r="P2430" s="121"/>
      <c r="Q2430" s="121"/>
      <c r="R2430" s="121"/>
      <c r="S2430" s="121"/>
      <c r="T2430" s="42"/>
      <c r="U2430" s="122"/>
      <c r="V2430" s="42"/>
      <c r="W2430" s="42"/>
      <c r="X2430" s="42"/>
      <c r="Y2430" s="42"/>
      <c r="Z2430" s="42"/>
      <c r="AA2430" s="42"/>
      <c r="AB2430" s="42"/>
    </row>
    <row r="2431" spans="1:28" x14ac:dyDescent="0.25">
      <c r="A2431" s="42"/>
      <c r="B2431" s="121"/>
      <c r="C2431" s="41"/>
      <c r="D2431" s="41"/>
      <c r="E2431" s="41"/>
      <c r="F2431" s="41"/>
      <c r="G2431" s="41"/>
      <c r="H2431" s="41"/>
      <c r="I2431" s="41"/>
      <c r="J2431" s="41"/>
      <c r="K2431" s="41"/>
      <c r="L2431" s="42"/>
      <c r="M2431" s="121"/>
      <c r="N2431" s="121"/>
      <c r="O2431" s="121"/>
      <c r="P2431" s="121"/>
      <c r="Q2431" s="121"/>
      <c r="R2431" s="121"/>
      <c r="S2431" s="121"/>
      <c r="T2431" s="42"/>
      <c r="U2431" s="122"/>
      <c r="V2431" s="42"/>
      <c r="W2431" s="42"/>
      <c r="X2431" s="42"/>
      <c r="Y2431" s="42"/>
      <c r="Z2431" s="42"/>
      <c r="AA2431" s="42"/>
      <c r="AB2431" s="42"/>
    </row>
    <row r="2432" spans="1:28" x14ac:dyDescent="0.25">
      <c r="A2432" s="42"/>
      <c r="B2432" s="121"/>
      <c r="C2432" s="41"/>
      <c r="D2432" s="41"/>
      <c r="E2432" s="41"/>
      <c r="F2432" s="41"/>
      <c r="G2432" s="41"/>
      <c r="H2432" s="41"/>
      <c r="I2432" s="41"/>
      <c r="J2432" s="41"/>
      <c r="K2432" s="41"/>
      <c r="L2432" s="42"/>
      <c r="M2432" s="121"/>
      <c r="N2432" s="121"/>
      <c r="O2432" s="121"/>
      <c r="P2432" s="121"/>
      <c r="Q2432" s="121"/>
      <c r="R2432" s="121"/>
      <c r="S2432" s="121"/>
      <c r="T2432" s="42"/>
      <c r="U2432" s="122"/>
      <c r="V2432" s="42"/>
      <c r="W2432" s="42"/>
      <c r="X2432" s="42"/>
      <c r="Y2432" s="42"/>
      <c r="Z2432" s="42"/>
      <c r="AA2432" s="42"/>
      <c r="AB2432" s="42"/>
    </row>
    <row r="2433" spans="1:28" x14ac:dyDescent="0.25">
      <c r="A2433" s="42"/>
      <c r="B2433" s="121"/>
      <c r="C2433" s="41"/>
      <c r="D2433" s="41"/>
      <c r="E2433" s="41"/>
      <c r="F2433" s="41"/>
      <c r="G2433" s="41"/>
      <c r="H2433" s="41"/>
      <c r="I2433" s="41"/>
      <c r="J2433" s="41"/>
      <c r="K2433" s="41"/>
      <c r="L2433" s="42"/>
      <c r="M2433" s="121"/>
      <c r="N2433" s="121"/>
      <c r="O2433" s="121"/>
      <c r="P2433" s="121"/>
      <c r="Q2433" s="121"/>
      <c r="R2433" s="121"/>
      <c r="S2433" s="121"/>
      <c r="T2433" s="42"/>
      <c r="U2433" s="122"/>
      <c r="V2433" s="42"/>
      <c r="W2433" s="42"/>
      <c r="X2433" s="42"/>
      <c r="Y2433" s="42"/>
      <c r="Z2433" s="42"/>
      <c r="AA2433" s="42"/>
      <c r="AB2433" s="42"/>
    </row>
    <row r="2434" spans="1:28" x14ac:dyDescent="0.25">
      <c r="A2434" s="42"/>
      <c r="B2434" s="121"/>
      <c r="C2434" s="41"/>
      <c r="D2434" s="41"/>
      <c r="E2434" s="41"/>
      <c r="F2434" s="41"/>
      <c r="G2434" s="41"/>
      <c r="H2434" s="41"/>
      <c r="I2434" s="41"/>
      <c r="J2434" s="41"/>
      <c r="K2434" s="41"/>
      <c r="L2434" s="42"/>
      <c r="M2434" s="121"/>
      <c r="N2434" s="121"/>
      <c r="O2434" s="121"/>
      <c r="P2434" s="121"/>
      <c r="Q2434" s="121"/>
      <c r="R2434" s="121"/>
      <c r="S2434" s="121"/>
      <c r="T2434" s="42"/>
      <c r="U2434" s="122"/>
      <c r="V2434" s="42"/>
      <c r="W2434" s="42"/>
      <c r="X2434" s="42"/>
      <c r="Y2434" s="42"/>
      <c r="Z2434" s="42"/>
      <c r="AA2434" s="42"/>
      <c r="AB2434" s="42"/>
    </row>
    <row r="2435" spans="1:28" x14ac:dyDescent="0.25">
      <c r="A2435" s="42"/>
      <c r="B2435" s="121"/>
      <c r="C2435" s="41"/>
      <c r="D2435" s="41"/>
      <c r="E2435" s="41"/>
      <c r="F2435" s="41"/>
      <c r="G2435" s="41"/>
      <c r="H2435" s="41"/>
      <c r="I2435" s="41"/>
      <c r="J2435" s="41"/>
      <c r="K2435" s="41"/>
      <c r="L2435" s="42"/>
      <c r="M2435" s="121"/>
      <c r="N2435" s="121"/>
      <c r="O2435" s="121"/>
      <c r="P2435" s="121"/>
      <c r="Q2435" s="121"/>
      <c r="R2435" s="121"/>
      <c r="S2435" s="121"/>
      <c r="T2435" s="42"/>
      <c r="U2435" s="122"/>
      <c r="V2435" s="42"/>
      <c r="W2435" s="42"/>
      <c r="X2435" s="42"/>
      <c r="Y2435" s="42"/>
      <c r="Z2435" s="42"/>
      <c r="AA2435" s="42"/>
      <c r="AB2435" s="42"/>
    </row>
    <row r="2436" spans="1:28" x14ac:dyDescent="0.25">
      <c r="A2436" s="42"/>
      <c r="B2436" s="121"/>
      <c r="C2436" s="41"/>
      <c r="D2436" s="41"/>
      <c r="E2436" s="41"/>
      <c r="F2436" s="41"/>
      <c r="G2436" s="41"/>
      <c r="H2436" s="41"/>
      <c r="I2436" s="41"/>
      <c r="J2436" s="41"/>
      <c r="K2436" s="41"/>
      <c r="L2436" s="42"/>
      <c r="M2436" s="121"/>
      <c r="N2436" s="121"/>
      <c r="O2436" s="121"/>
      <c r="P2436" s="121"/>
      <c r="Q2436" s="121"/>
      <c r="R2436" s="121"/>
      <c r="S2436" s="121"/>
      <c r="T2436" s="42"/>
      <c r="U2436" s="122"/>
      <c r="V2436" s="42"/>
      <c r="W2436" s="42"/>
      <c r="X2436" s="42"/>
      <c r="Y2436" s="42"/>
      <c r="Z2436" s="42"/>
      <c r="AA2436" s="42"/>
      <c r="AB2436" s="42"/>
    </row>
    <row r="2437" spans="1:28" x14ac:dyDescent="0.25">
      <c r="A2437" s="42"/>
      <c r="B2437" s="121"/>
      <c r="C2437" s="41"/>
      <c r="D2437" s="41"/>
      <c r="E2437" s="41"/>
      <c r="F2437" s="41"/>
      <c r="G2437" s="41"/>
      <c r="H2437" s="41"/>
      <c r="I2437" s="41"/>
      <c r="J2437" s="41"/>
      <c r="K2437" s="41"/>
      <c r="L2437" s="42"/>
      <c r="M2437" s="121"/>
      <c r="N2437" s="121"/>
      <c r="O2437" s="121"/>
      <c r="P2437" s="121"/>
      <c r="Q2437" s="121"/>
      <c r="R2437" s="121"/>
      <c r="S2437" s="121"/>
      <c r="T2437" s="42"/>
      <c r="U2437" s="122"/>
      <c r="V2437" s="42"/>
      <c r="W2437" s="42"/>
      <c r="X2437" s="42"/>
      <c r="Y2437" s="42"/>
      <c r="Z2437" s="42"/>
      <c r="AA2437" s="42"/>
      <c r="AB2437" s="42"/>
    </row>
    <row r="2438" spans="1:28" x14ac:dyDescent="0.25">
      <c r="A2438" s="42"/>
      <c r="B2438" s="121"/>
      <c r="C2438" s="41"/>
      <c r="D2438" s="41"/>
      <c r="E2438" s="41"/>
      <c r="F2438" s="41"/>
      <c r="G2438" s="41"/>
      <c r="H2438" s="41"/>
      <c r="I2438" s="41"/>
      <c r="J2438" s="41"/>
      <c r="K2438" s="41"/>
      <c r="L2438" s="42"/>
      <c r="M2438" s="121"/>
      <c r="N2438" s="121"/>
      <c r="O2438" s="121"/>
      <c r="P2438" s="121"/>
      <c r="Q2438" s="121"/>
      <c r="R2438" s="121"/>
      <c r="S2438" s="121"/>
      <c r="T2438" s="42"/>
      <c r="U2438" s="122"/>
      <c r="V2438" s="42"/>
      <c r="W2438" s="42"/>
      <c r="X2438" s="42"/>
      <c r="Y2438" s="42"/>
      <c r="Z2438" s="42"/>
      <c r="AA2438" s="42"/>
      <c r="AB2438" s="42"/>
    </row>
    <row r="2439" spans="1:28" x14ac:dyDescent="0.25">
      <c r="A2439" s="42"/>
      <c r="B2439" s="121"/>
      <c r="C2439" s="41"/>
      <c r="D2439" s="41"/>
      <c r="E2439" s="41"/>
      <c r="F2439" s="41"/>
      <c r="G2439" s="41"/>
      <c r="H2439" s="41"/>
      <c r="I2439" s="41"/>
      <c r="J2439" s="41"/>
      <c r="K2439" s="41"/>
      <c r="L2439" s="42"/>
      <c r="M2439" s="121"/>
      <c r="N2439" s="121"/>
      <c r="O2439" s="121"/>
      <c r="P2439" s="121"/>
      <c r="Q2439" s="121"/>
      <c r="R2439" s="121"/>
      <c r="S2439" s="121"/>
      <c r="T2439" s="42"/>
      <c r="U2439" s="122"/>
      <c r="V2439" s="42"/>
      <c r="W2439" s="42"/>
      <c r="X2439" s="42"/>
      <c r="Y2439" s="42"/>
      <c r="Z2439" s="42"/>
      <c r="AA2439" s="42"/>
      <c r="AB2439" s="42"/>
    </row>
    <row r="2440" spans="1:28" x14ac:dyDescent="0.25">
      <c r="A2440" s="42"/>
      <c r="B2440" s="121"/>
      <c r="C2440" s="41"/>
      <c r="D2440" s="41"/>
      <c r="E2440" s="41"/>
      <c r="F2440" s="41"/>
      <c r="G2440" s="41"/>
      <c r="H2440" s="41"/>
      <c r="I2440" s="41"/>
      <c r="J2440" s="41"/>
      <c r="K2440" s="41"/>
      <c r="L2440" s="42"/>
      <c r="M2440" s="121"/>
      <c r="N2440" s="121"/>
      <c r="O2440" s="121"/>
      <c r="P2440" s="121"/>
      <c r="Q2440" s="121"/>
      <c r="R2440" s="121"/>
      <c r="S2440" s="121"/>
      <c r="T2440" s="42"/>
      <c r="U2440" s="122"/>
      <c r="V2440" s="42"/>
      <c r="W2440" s="42"/>
      <c r="X2440" s="42"/>
      <c r="Y2440" s="42"/>
      <c r="Z2440" s="42"/>
      <c r="AA2440" s="42"/>
      <c r="AB2440" s="42"/>
    </row>
    <row r="2441" spans="1:28" x14ac:dyDescent="0.25">
      <c r="A2441" s="42"/>
      <c r="B2441" s="121"/>
      <c r="C2441" s="41"/>
      <c r="D2441" s="41"/>
      <c r="E2441" s="41"/>
      <c r="F2441" s="41"/>
      <c r="G2441" s="41"/>
      <c r="H2441" s="41"/>
      <c r="I2441" s="41"/>
      <c r="J2441" s="41"/>
      <c r="K2441" s="41"/>
      <c r="L2441" s="42"/>
      <c r="M2441" s="121"/>
      <c r="N2441" s="121"/>
      <c r="O2441" s="121"/>
      <c r="P2441" s="121"/>
      <c r="Q2441" s="121"/>
      <c r="R2441" s="121"/>
      <c r="S2441" s="121"/>
      <c r="T2441" s="42"/>
      <c r="U2441" s="122"/>
      <c r="V2441" s="42"/>
      <c r="W2441" s="42"/>
      <c r="X2441" s="42"/>
      <c r="Y2441" s="42"/>
      <c r="Z2441" s="42"/>
      <c r="AA2441" s="42"/>
      <c r="AB2441" s="42"/>
    </row>
    <row r="2442" spans="1:28" x14ac:dyDescent="0.25">
      <c r="A2442" s="42"/>
      <c r="B2442" s="121"/>
      <c r="C2442" s="41"/>
      <c r="D2442" s="41"/>
      <c r="E2442" s="41"/>
      <c r="F2442" s="41"/>
      <c r="G2442" s="41"/>
      <c r="H2442" s="41"/>
      <c r="I2442" s="41"/>
      <c r="J2442" s="41"/>
      <c r="K2442" s="41"/>
      <c r="L2442" s="42"/>
      <c r="M2442" s="121"/>
      <c r="N2442" s="121"/>
      <c r="O2442" s="121"/>
      <c r="P2442" s="121"/>
      <c r="Q2442" s="121"/>
      <c r="R2442" s="121"/>
      <c r="S2442" s="121"/>
      <c r="T2442" s="42"/>
      <c r="U2442" s="122"/>
      <c r="V2442" s="42"/>
      <c r="W2442" s="42"/>
      <c r="X2442" s="42"/>
      <c r="Y2442" s="42"/>
      <c r="Z2442" s="42"/>
      <c r="AA2442" s="42"/>
      <c r="AB2442" s="42"/>
    </row>
    <row r="2443" spans="1:28" x14ac:dyDescent="0.25">
      <c r="A2443" s="42"/>
      <c r="B2443" s="121"/>
      <c r="C2443" s="41"/>
      <c r="D2443" s="41"/>
      <c r="E2443" s="41"/>
      <c r="F2443" s="41"/>
      <c r="G2443" s="41"/>
      <c r="H2443" s="41"/>
      <c r="I2443" s="41"/>
      <c r="J2443" s="41"/>
      <c r="K2443" s="41"/>
      <c r="L2443" s="42"/>
      <c r="M2443" s="121"/>
      <c r="N2443" s="121"/>
      <c r="O2443" s="121"/>
      <c r="P2443" s="121"/>
      <c r="Q2443" s="121"/>
      <c r="R2443" s="121"/>
      <c r="S2443" s="121"/>
      <c r="T2443" s="42"/>
      <c r="U2443" s="122"/>
      <c r="V2443" s="42"/>
      <c r="W2443" s="42"/>
      <c r="X2443" s="42"/>
      <c r="Y2443" s="42"/>
      <c r="Z2443" s="42"/>
      <c r="AA2443" s="42"/>
      <c r="AB2443" s="42"/>
    </row>
    <row r="2444" spans="1:28" x14ac:dyDescent="0.25">
      <c r="A2444" s="42"/>
      <c r="B2444" s="121"/>
      <c r="C2444" s="41"/>
      <c r="D2444" s="41"/>
      <c r="E2444" s="41"/>
      <c r="F2444" s="41"/>
      <c r="G2444" s="41"/>
      <c r="H2444" s="41"/>
      <c r="I2444" s="41"/>
      <c r="J2444" s="41"/>
      <c r="K2444" s="41"/>
      <c r="L2444" s="42"/>
      <c r="M2444" s="121"/>
      <c r="N2444" s="121"/>
      <c r="O2444" s="121"/>
      <c r="P2444" s="121"/>
      <c r="Q2444" s="121"/>
      <c r="R2444" s="121"/>
      <c r="S2444" s="121"/>
      <c r="T2444" s="42"/>
      <c r="U2444" s="122"/>
      <c r="V2444" s="42"/>
      <c r="W2444" s="42"/>
      <c r="X2444" s="42"/>
      <c r="Y2444" s="42"/>
      <c r="Z2444" s="42"/>
      <c r="AA2444" s="42"/>
      <c r="AB2444" s="42"/>
    </row>
    <row r="2445" spans="1:28" x14ac:dyDescent="0.25">
      <c r="A2445" s="42"/>
      <c r="B2445" s="121"/>
      <c r="C2445" s="41"/>
      <c r="D2445" s="41"/>
      <c r="E2445" s="41"/>
      <c r="F2445" s="41"/>
      <c r="G2445" s="41"/>
      <c r="H2445" s="41"/>
      <c r="I2445" s="41"/>
      <c r="J2445" s="41"/>
      <c r="K2445" s="41"/>
      <c r="L2445" s="42"/>
      <c r="M2445" s="121"/>
      <c r="N2445" s="121"/>
      <c r="O2445" s="121"/>
      <c r="P2445" s="121"/>
      <c r="Q2445" s="121"/>
      <c r="R2445" s="121"/>
      <c r="S2445" s="121"/>
      <c r="T2445" s="42"/>
      <c r="U2445" s="122"/>
      <c r="V2445" s="42"/>
      <c r="W2445" s="42"/>
      <c r="X2445" s="42"/>
      <c r="Y2445" s="42"/>
      <c r="Z2445" s="42"/>
      <c r="AA2445" s="42"/>
      <c r="AB2445" s="42"/>
    </row>
    <row r="2446" spans="1:28" x14ac:dyDescent="0.25">
      <c r="A2446" s="42"/>
      <c r="B2446" s="121"/>
      <c r="C2446" s="41"/>
      <c r="D2446" s="41"/>
      <c r="E2446" s="41"/>
      <c r="F2446" s="41"/>
      <c r="G2446" s="41"/>
      <c r="H2446" s="41"/>
      <c r="I2446" s="41"/>
      <c r="J2446" s="41"/>
      <c r="K2446" s="41"/>
      <c r="L2446" s="42"/>
      <c r="M2446" s="121"/>
      <c r="N2446" s="121"/>
      <c r="O2446" s="121"/>
      <c r="P2446" s="121"/>
      <c r="Q2446" s="121"/>
      <c r="R2446" s="121"/>
      <c r="S2446" s="121"/>
      <c r="T2446" s="42"/>
      <c r="U2446" s="122"/>
      <c r="V2446" s="42"/>
      <c r="W2446" s="42"/>
      <c r="X2446" s="42"/>
      <c r="Y2446" s="42"/>
      <c r="Z2446" s="42"/>
      <c r="AA2446" s="42"/>
      <c r="AB2446" s="42"/>
    </row>
    <row r="2447" spans="1:28" x14ac:dyDescent="0.25">
      <c r="A2447" s="42"/>
      <c r="B2447" s="121"/>
      <c r="C2447" s="41"/>
      <c r="D2447" s="41"/>
      <c r="E2447" s="41"/>
      <c r="F2447" s="41"/>
      <c r="G2447" s="41"/>
      <c r="H2447" s="41"/>
      <c r="I2447" s="41"/>
      <c r="J2447" s="41"/>
      <c r="K2447" s="41"/>
      <c r="L2447" s="42"/>
      <c r="M2447" s="121"/>
      <c r="N2447" s="121"/>
      <c r="O2447" s="121"/>
      <c r="P2447" s="121"/>
      <c r="Q2447" s="121"/>
      <c r="R2447" s="121"/>
      <c r="S2447" s="121"/>
      <c r="T2447" s="42"/>
      <c r="U2447" s="122"/>
      <c r="V2447" s="42"/>
      <c r="W2447" s="42"/>
      <c r="X2447" s="42"/>
      <c r="Y2447" s="42"/>
      <c r="Z2447" s="42"/>
      <c r="AA2447" s="42"/>
      <c r="AB2447" s="42"/>
    </row>
    <row r="2448" spans="1:28" x14ac:dyDescent="0.25">
      <c r="A2448" s="42"/>
      <c r="B2448" s="121"/>
      <c r="C2448" s="41"/>
      <c r="D2448" s="41"/>
      <c r="E2448" s="41"/>
      <c r="F2448" s="41"/>
      <c r="G2448" s="41"/>
      <c r="H2448" s="41"/>
      <c r="I2448" s="41"/>
      <c r="J2448" s="41"/>
      <c r="K2448" s="41"/>
      <c r="L2448" s="42"/>
      <c r="M2448" s="121"/>
      <c r="N2448" s="121"/>
      <c r="O2448" s="121"/>
      <c r="P2448" s="121"/>
      <c r="Q2448" s="121"/>
      <c r="R2448" s="121"/>
      <c r="S2448" s="121"/>
      <c r="T2448" s="42"/>
      <c r="U2448" s="122"/>
      <c r="V2448" s="42"/>
      <c r="W2448" s="42"/>
      <c r="X2448" s="42"/>
      <c r="Y2448" s="42"/>
      <c r="Z2448" s="42"/>
      <c r="AA2448" s="42"/>
      <c r="AB2448" s="42"/>
    </row>
    <row r="2449" spans="1:28" x14ac:dyDescent="0.25">
      <c r="A2449" s="42"/>
      <c r="B2449" s="121"/>
      <c r="C2449" s="41"/>
      <c r="D2449" s="41"/>
      <c r="E2449" s="41"/>
      <c r="F2449" s="41"/>
      <c r="G2449" s="41"/>
      <c r="H2449" s="41"/>
      <c r="I2449" s="41"/>
      <c r="J2449" s="41"/>
      <c r="K2449" s="41"/>
      <c r="L2449" s="42"/>
      <c r="M2449" s="121"/>
      <c r="N2449" s="121"/>
      <c r="O2449" s="121"/>
      <c r="P2449" s="121"/>
      <c r="Q2449" s="121"/>
      <c r="R2449" s="121"/>
      <c r="S2449" s="121"/>
      <c r="T2449" s="42"/>
      <c r="U2449" s="122"/>
      <c r="V2449" s="42"/>
      <c r="W2449" s="42"/>
      <c r="X2449" s="42"/>
      <c r="Y2449" s="42"/>
      <c r="Z2449" s="42"/>
      <c r="AA2449" s="42"/>
      <c r="AB2449" s="42"/>
    </row>
    <row r="2450" spans="1:28" x14ac:dyDescent="0.25">
      <c r="A2450" s="42"/>
      <c r="B2450" s="121"/>
      <c r="C2450" s="41"/>
      <c r="D2450" s="41"/>
      <c r="E2450" s="41"/>
      <c r="F2450" s="41"/>
      <c r="G2450" s="41"/>
      <c r="H2450" s="41"/>
      <c r="I2450" s="41"/>
      <c r="J2450" s="41"/>
      <c r="K2450" s="41"/>
      <c r="L2450" s="42"/>
      <c r="M2450" s="121"/>
      <c r="N2450" s="121"/>
      <c r="O2450" s="121"/>
      <c r="P2450" s="121"/>
      <c r="Q2450" s="121"/>
      <c r="R2450" s="121"/>
      <c r="S2450" s="121"/>
      <c r="T2450" s="42"/>
      <c r="U2450" s="122"/>
      <c r="V2450" s="42"/>
      <c r="W2450" s="42"/>
      <c r="X2450" s="42"/>
      <c r="Y2450" s="42"/>
      <c r="Z2450" s="42"/>
      <c r="AA2450" s="42"/>
      <c r="AB2450" s="42"/>
    </row>
    <row r="2451" spans="1:28" x14ac:dyDescent="0.25">
      <c r="A2451" s="42"/>
      <c r="B2451" s="121"/>
      <c r="C2451" s="41"/>
      <c r="D2451" s="41"/>
      <c r="E2451" s="41"/>
      <c r="F2451" s="41"/>
      <c r="G2451" s="41"/>
      <c r="H2451" s="41"/>
      <c r="I2451" s="41"/>
      <c r="J2451" s="41"/>
      <c r="K2451" s="41"/>
      <c r="L2451" s="42"/>
      <c r="M2451" s="121"/>
      <c r="N2451" s="121"/>
      <c r="O2451" s="121"/>
      <c r="P2451" s="121"/>
      <c r="Q2451" s="121"/>
      <c r="R2451" s="121"/>
      <c r="S2451" s="121"/>
      <c r="T2451" s="42"/>
      <c r="U2451" s="122"/>
      <c r="V2451" s="42"/>
      <c r="W2451" s="42"/>
      <c r="X2451" s="42"/>
      <c r="Y2451" s="42"/>
      <c r="Z2451" s="42"/>
      <c r="AA2451" s="42"/>
      <c r="AB2451" s="42"/>
    </row>
    <row r="2452" spans="1:28" x14ac:dyDescent="0.25">
      <c r="A2452" s="42"/>
      <c r="B2452" s="121"/>
      <c r="C2452" s="41"/>
      <c r="D2452" s="41"/>
      <c r="E2452" s="41"/>
      <c r="F2452" s="41"/>
      <c r="G2452" s="41"/>
      <c r="H2452" s="41"/>
      <c r="I2452" s="41"/>
      <c r="J2452" s="41"/>
      <c r="K2452" s="41"/>
      <c r="L2452" s="42"/>
      <c r="M2452" s="121"/>
      <c r="N2452" s="121"/>
      <c r="O2452" s="121"/>
      <c r="P2452" s="121"/>
      <c r="Q2452" s="121"/>
      <c r="R2452" s="121"/>
      <c r="S2452" s="121"/>
      <c r="T2452" s="42"/>
      <c r="U2452" s="122"/>
      <c r="V2452" s="42"/>
      <c r="W2452" s="42"/>
      <c r="X2452" s="42"/>
      <c r="Y2452" s="42"/>
      <c r="Z2452" s="42"/>
      <c r="AA2452" s="42"/>
      <c r="AB2452" s="42"/>
    </row>
    <row r="2453" spans="1:28" x14ac:dyDescent="0.25">
      <c r="A2453" s="42"/>
      <c r="B2453" s="121"/>
      <c r="C2453" s="41"/>
      <c r="D2453" s="41"/>
      <c r="E2453" s="41"/>
      <c r="F2453" s="41"/>
      <c r="G2453" s="41"/>
      <c r="H2453" s="41"/>
      <c r="I2453" s="41"/>
      <c r="J2453" s="41"/>
      <c r="K2453" s="41"/>
      <c r="L2453" s="42"/>
      <c r="M2453" s="121"/>
      <c r="N2453" s="121"/>
      <c r="O2453" s="121"/>
      <c r="P2453" s="121"/>
      <c r="Q2453" s="121"/>
      <c r="R2453" s="121"/>
      <c r="S2453" s="121"/>
      <c r="T2453" s="42"/>
      <c r="U2453" s="122"/>
      <c r="V2453" s="42"/>
      <c r="W2453" s="42"/>
      <c r="X2453" s="42"/>
      <c r="Y2453" s="42"/>
      <c r="Z2453" s="42"/>
      <c r="AA2453" s="42"/>
      <c r="AB2453" s="42"/>
    </row>
    <row r="2454" spans="1:28" x14ac:dyDescent="0.25">
      <c r="A2454" s="42"/>
      <c r="B2454" s="121"/>
      <c r="C2454" s="41"/>
      <c r="D2454" s="41"/>
      <c r="E2454" s="41"/>
      <c r="F2454" s="41"/>
      <c r="G2454" s="41"/>
      <c r="H2454" s="41"/>
      <c r="I2454" s="41"/>
      <c r="J2454" s="41"/>
      <c r="K2454" s="41"/>
      <c r="L2454" s="42"/>
      <c r="M2454" s="121"/>
      <c r="N2454" s="121"/>
      <c r="O2454" s="121"/>
      <c r="P2454" s="121"/>
      <c r="Q2454" s="121"/>
      <c r="R2454" s="121"/>
      <c r="S2454" s="121"/>
      <c r="T2454" s="42"/>
      <c r="U2454" s="122"/>
      <c r="V2454" s="42"/>
      <c r="W2454" s="42"/>
      <c r="X2454" s="42"/>
      <c r="Y2454" s="42"/>
      <c r="Z2454" s="42"/>
      <c r="AA2454" s="42"/>
      <c r="AB2454" s="42"/>
    </row>
    <row r="2455" spans="1:28" x14ac:dyDescent="0.25">
      <c r="A2455" s="42"/>
      <c r="B2455" s="121"/>
      <c r="C2455" s="41"/>
      <c r="D2455" s="41"/>
      <c r="E2455" s="41"/>
      <c r="F2455" s="41"/>
      <c r="G2455" s="41"/>
      <c r="H2455" s="41"/>
      <c r="I2455" s="41"/>
      <c r="J2455" s="41"/>
      <c r="K2455" s="41"/>
      <c r="L2455" s="42"/>
      <c r="M2455" s="121"/>
      <c r="N2455" s="121"/>
      <c r="O2455" s="121"/>
      <c r="P2455" s="121"/>
      <c r="Q2455" s="121"/>
      <c r="R2455" s="121"/>
      <c r="S2455" s="121"/>
      <c r="T2455" s="42"/>
      <c r="U2455" s="122"/>
      <c r="V2455" s="42"/>
      <c r="W2455" s="42"/>
      <c r="X2455" s="42"/>
      <c r="Y2455" s="42"/>
      <c r="Z2455" s="42"/>
      <c r="AA2455" s="42"/>
      <c r="AB2455" s="42"/>
    </row>
    <row r="2456" spans="1:28" x14ac:dyDescent="0.25">
      <c r="A2456" s="42"/>
      <c r="B2456" s="121"/>
      <c r="C2456" s="41"/>
      <c r="D2456" s="41"/>
      <c r="E2456" s="41"/>
      <c r="F2456" s="41"/>
      <c r="G2456" s="41"/>
      <c r="H2456" s="41"/>
      <c r="I2456" s="41"/>
      <c r="J2456" s="41"/>
      <c r="K2456" s="41"/>
      <c r="L2456" s="42"/>
      <c r="M2456" s="121"/>
      <c r="N2456" s="121"/>
      <c r="O2456" s="121"/>
      <c r="P2456" s="121"/>
      <c r="Q2456" s="121"/>
      <c r="R2456" s="121"/>
      <c r="S2456" s="121"/>
      <c r="T2456" s="42"/>
      <c r="U2456" s="122"/>
      <c r="V2456" s="42"/>
      <c r="W2456" s="42"/>
      <c r="X2456" s="42"/>
      <c r="Y2456" s="42"/>
      <c r="Z2456" s="42"/>
      <c r="AA2456" s="42"/>
      <c r="AB2456" s="42"/>
    </row>
    <row r="2457" spans="1:28" x14ac:dyDescent="0.25">
      <c r="A2457" s="42"/>
      <c r="B2457" s="121"/>
      <c r="C2457" s="41"/>
      <c r="D2457" s="41"/>
      <c r="E2457" s="41"/>
      <c r="F2457" s="41"/>
      <c r="G2457" s="41"/>
      <c r="H2457" s="41"/>
      <c r="I2457" s="41"/>
      <c r="J2457" s="41"/>
      <c r="K2457" s="41"/>
      <c r="L2457" s="42"/>
      <c r="M2457" s="121"/>
      <c r="N2457" s="121"/>
      <c r="O2457" s="121"/>
      <c r="P2457" s="121"/>
      <c r="Q2457" s="121"/>
      <c r="R2457" s="121"/>
      <c r="S2457" s="121"/>
      <c r="T2457" s="42"/>
      <c r="U2457" s="122"/>
      <c r="V2457" s="42"/>
      <c r="W2457" s="42"/>
      <c r="X2457" s="42"/>
      <c r="Y2457" s="42"/>
      <c r="Z2457" s="42"/>
      <c r="AA2457" s="42"/>
      <c r="AB2457" s="42"/>
    </row>
    <row r="2458" spans="1:28" x14ac:dyDescent="0.25">
      <c r="A2458" s="42"/>
      <c r="B2458" s="121"/>
      <c r="C2458" s="41"/>
      <c r="D2458" s="41"/>
      <c r="E2458" s="41"/>
      <c r="F2458" s="41"/>
      <c r="G2458" s="41"/>
      <c r="H2458" s="41"/>
      <c r="I2458" s="41"/>
      <c r="J2458" s="41"/>
      <c r="K2458" s="41"/>
      <c r="L2458" s="42"/>
      <c r="M2458" s="121"/>
      <c r="N2458" s="121"/>
      <c r="O2458" s="121"/>
      <c r="P2458" s="121"/>
      <c r="Q2458" s="121"/>
      <c r="R2458" s="121"/>
      <c r="S2458" s="121"/>
      <c r="T2458" s="42"/>
      <c r="U2458" s="122"/>
      <c r="V2458" s="42"/>
      <c r="W2458" s="42"/>
      <c r="X2458" s="42"/>
      <c r="Y2458" s="42"/>
      <c r="Z2458" s="42"/>
      <c r="AA2458" s="42"/>
      <c r="AB2458" s="42"/>
    </row>
    <row r="2459" spans="1:28" x14ac:dyDescent="0.25">
      <c r="A2459" s="42"/>
      <c r="B2459" s="121"/>
      <c r="C2459" s="41"/>
      <c r="D2459" s="41"/>
      <c r="E2459" s="41"/>
      <c r="F2459" s="41"/>
      <c r="G2459" s="41"/>
      <c r="H2459" s="41"/>
      <c r="I2459" s="41"/>
      <c r="J2459" s="41"/>
      <c r="K2459" s="41"/>
      <c r="L2459" s="42"/>
      <c r="M2459" s="121"/>
      <c r="N2459" s="121"/>
      <c r="O2459" s="121"/>
      <c r="P2459" s="121"/>
      <c r="Q2459" s="121"/>
      <c r="R2459" s="121"/>
      <c r="S2459" s="121"/>
      <c r="T2459" s="42"/>
      <c r="U2459" s="122"/>
      <c r="V2459" s="42"/>
      <c r="W2459" s="42"/>
      <c r="X2459" s="42"/>
      <c r="Y2459" s="42"/>
      <c r="Z2459" s="42"/>
      <c r="AA2459" s="42"/>
      <c r="AB2459" s="42"/>
    </row>
    <row r="2460" spans="1:28" x14ac:dyDescent="0.25">
      <c r="A2460" s="42"/>
      <c r="B2460" s="121"/>
      <c r="C2460" s="41"/>
      <c r="D2460" s="41"/>
      <c r="E2460" s="41"/>
      <c r="F2460" s="41"/>
      <c r="G2460" s="41"/>
      <c r="H2460" s="41"/>
      <c r="I2460" s="41"/>
      <c r="J2460" s="41"/>
      <c r="K2460" s="41"/>
      <c r="L2460" s="42"/>
      <c r="M2460" s="121"/>
      <c r="N2460" s="121"/>
      <c r="O2460" s="121"/>
      <c r="P2460" s="121"/>
      <c r="Q2460" s="121"/>
      <c r="R2460" s="121"/>
      <c r="S2460" s="121"/>
      <c r="T2460" s="42"/>
      <c r="U2460" s="122"/>
      <c r="V2460" s="42"/>
      <c r="W2460" s="42"/>
      <c r="X2460" s="42"/>
      <c r="Y2460" s="42"/>
      <c r="Z2460" s="42"/>
      <c r="AA2460" s="42"/>
      <c r="AB2460" s="42"/>
    </row>
    <row r="2461" spans="1:28" x14ac:dyDescent="0.25">
      <c r="A2461" s="42"/>
      <c r="B2461" s="121"/>
      <c r="C2461" s="41"/>
      <c r="D2461" s="41"/>
      <c r="E2461" s="41"/>
      <c r="F2461" s="41"/>
      <c r="G2461" s="41"/>
      <c r="H2461" s="41"/>
      <c r="I2461" s="41"/>
      <c r="J2461" s="41"/>
      <c r="K2461" s="41"/>
      <c r="L2461" s="42"/>
      <c r="M2461" s="121"/>
      <c r="N2461" s="121"/>
      <c r="O2461" s="121"/>
      <c r="P2461" s="121"/>
      <c r="Q2461" s="121"/>
      <c r="R2461" s="121"/>
      <c r="S2461" s="121"/>
      <c r="T2461" s="42"/>
      <c r="U2461" s="122"/>
      <c r="V2461" s="42"/>
      <c r="W2461" s="42"/>
      <c r="X2461" s="42"/>
      <c r="Y2461" s="42"/>
      <c r="Z2461" s="42"/>
      <c r="AA2461" s="42"/>
      <c r="AB2461" s="42"/>
    </row>
    <row r="2462" spans="1:28" x14ac:dyDescent="0.25">
      <c r="A2462" s="42"/>
      <c r="B2462" s="121"/>
      <c r="C2462" s="41"/>
      <c r="D2462" s="41"/>
      <c r="E2462" s="41"/>
      <c r="F2462" s="41"/>
      <c r="G2462" s="41"/>
      <c r="H2462" s="41"/>
      <c r="I2462" s="41"/>
      <c r="J2462" s="41"/>
      <c r="K2462" s="41"/>
      <c r="L2462" s="42"/>
      <c r="M2462" s="121"/>
      <c r="N2462" s="121"/>
      <c r="O2462" s="121"/>
      <c r="P2462" s="121"/>
      <c r="Q2462" s="121"/>
      <c r="R2462" s="121"/>
      <c r="S2462" s="121"/>
      <c r="T2462" s="42"/>
      <c r="U2462" s="122"/>
      <c r="V2462" s="42"/>
      <c r="W2462" s="42"/>
      <c r="X2462" s="42"/>
      <c r="Y2462" s="42"/>
      <c r="Z2462" s="42"/>
      <c r="AA2462" s="42"/>
      <c r="AB2462" s="42"/>
    </row>
    <row r="2463" spans="1:28" x14ac:dyDescent="0.25">
      <c r="A2463" s="42"/>
      <c r="B2463" s="121"/>
      <c r="C2463" s="41"/>
      <c r="D2463" s="41"/>
      <c r="E2463" s="41"/>
      <c r="F2463" s="41"/>
      <c r="G2463" s="41"/>
      <c r="H2463" s="41"/>
      <c r="I2463" s="41"/>
      <c r="J2463" s="41"/>
      <c r="K2463" s="41"/>
      <c r="L2463" s="42"/>
      <c r="M2463" s="121"/>
      <c r="N2463" s="121"/>
      <c r="O2463" s="121"/>
      <c r="P2463" s="121"/>
      <c r="Q2463" s="121"/>
      <c r="R2463" s="121"/>
      <c r="S2463" s="121"/>
      <c r="T2463" s="42"/>
      <c r="U2463" s="122"/>
      <c r="V2463" s="42"/>
      <c r="W2463" s="42"/>
      <c r="X2463" s="42"/>
      <c r="Y2463" s="42"/>
      <c r="Z2463" s="42"/>
      <c r="AA2463" s="42"/>
      <c r="AB2463" s="42"/>
    </row>
    <row r="2464" spans="1:28" x14ac:dyDescent="0.25">
      <c r="A2464" s="42"/>
      <c r="B2464" s="121"/>
      <c r="C2464" s="41"/>
      <c r="D2464" s="41"/>
      <c r="E2464" s="41"/>
      <c r="F2464" s="41"/>
      <c r="G2464" s="41"/>
      <c r="H2464" s="41"/>
      <c r="I2464" s="41"/>
      <c r="J2464" s="41"/>
      <c r="K2464" s="41"/>
      <c r="L2464" s="42"/>
      <c r="M2464" s="121"/>
      <c r="N2464" s="121"/>
      <c r="O2464" s="121"/>
      <c r="P2464" s="121"/>
      <c r="Q2464" s="121"/>
      <c r="R2464" s="121"/>
      <c r="S2464" s="121"/>
      <c r="T2464" s="42"/>
      <c r="U2464" s="122"/>
      <c r="V2464" s="42"/>
      <c r="W2464" s="42"/>
      <c r="X2464" s="42"/>
      <c r="Y2464" s="42"/>
      <c r="Z2464" s="42"/>
      <c r="AA2464" s="42"/>
      <c r="AB2464" s="42"/>
    </row>
    <row r="2465" spans="1:28" x14ac:dyDescent="0.25">
      <c r="A2465" s="42"/>
      <c r="B2465" s="121"/>
      <c r="C2465" s="41"/>
      <c r="D2465" s="41"/>
      <c r="E2465" s="41"/>
      <c r="F2465" s="41"/>
      <c r="G2465" s="41"/>
      <c r="H2465" s="41"/>
      <c r="I2465" s="41"/>
      <c r="J2465" s="41"/>
      <c r="K2465" s="41"/>
      <c r="L2465" s="42"/>
      <c r="M2465" s="121"/>
      <c r="N2465" s="121"/>
      <c r="O2465" s="121"/>
      <c r="P2465" s="121"/>
      <c r="Q2465" s="121"/>
      <c r="R2465" s="121"/>
      <c r="S2465" s="121"/>
      <c r="T2465" s="42"/>
      <c r="U2465" s="122"/>
      <c r="V2465" s="42"/>
      <c r="W2465" s="42"/>
      <c r="X2465" s="42"/>
      <c r="Y2465" s="42"/>
      <c r="Z2465" s="42"/>
      <c r="AA2465" s="42"/>
      <c r="AB2465" s="42"/>
    </row>
    <row r="2466" spans="1:28" x14ac:dyDescent="0.25">
      <c r="A2466" s="42"/>
      <c r="B2466" s="121"/>
      <c r="C2466" s="41"/>
      <c r="D2466" s="41"/>
      <c r="E2466" s="41"/>
      <c r="F2466" s="41"/>
      <c r="G2466" s="41"/>
      <c r="H2466" s="41"/>
      <c r="I2466" s="41"/>
      <c r="J2466" s="41"/>
      <c r="K2466" s="41"/>
      <c r="L2466" s="42"/>
      <c r="M2466" s="121"/>
      <c r="N2466" s="121"/>
      <c r="O2466" s="121"/>
      <c r="P2466" s="121"/>
      <c r="Q2466" s="121"/>
      <c r="R2466" s="121"/>
      <c r="S2466" s="121"/>
      <c r="T2466" s="42"/>
      <c r="U2466" s="122"/>
      <c r="V2466" s="42"/>
      <c r="W2466" s="42"/>
      <c r="X2466" s="42"/>
      <c r="Y2466" s="42"/>
      <c r="Z2466" s="42"/>
      <c r="AA2466" s="42"/>
      <c r="AB2466" s="42"/>
    </row>
    <row r="2467" spans="1:28" x14ac:dyDescent="0.25">
      <c r="A2467" s="42"/>
      <c r="B2467" s="121"/>
      <c r="C2467" s="41"/>
      <c r="D2467" s="41"/>
      <c r="E2467" s="41"/>
      <c r="F2467" s="41"/>
      <c r="G2467" s="41"/>
      <c r="H2467" s="41"/>
      <c r="I2467" s="41"/>
      <c r="J2467" s="41"/>
      <c r="K2467" s="41"/>
      <c r="L2467" s="42"/>
      <c r="M2467" s="121"/>
      <c r="N2467" s="121"/>
      <c r="O2467" s="121"/>
      <c r="P2467" s="121"/>
      <c r="Q2467" s="121"/>
      <c r="R2467" s="121"/>
      <c r="S2467" s="121"/>
      <c r="T2467" s="42"/>
      <c r="U2467" s="122"/>
      <c r="V2467" s="42"/>
      <c r="W2467" s="42"/>
      <c r="X2467" s="42"/>
      <c r="Y2467" s="42"/>
      <c r="Z2467" s="42"/>
      <c r="AA2467" s="42"/>
      <c r="AB2467" s="42"/>
    </row>
    <row r="2468" spans="1:28" x14ac:dyDescent="0.25">
      <c r="A2468" s="42"/>
      <c r="B2468" s="121"/>
      <c r="C2468" s="41"/>
      <c r="D2468" s="41"/>
      <c r="E2468" s="41"/>
      <c r="F2468" s="41"/>
      <c r="G2468" s="41"/>
      <c r="H2468" s="41"/>
      <c r="I2468" s="41"/>
      <c r="J2468" s="41"/>
      <c r="K2468" s="41"/>
      <c r="L2468" s="42"/>
      <c r="M2468" s="121"/>
      <c r="N2468" s="121"/>
      <c r="O2468" s="121"/>
      <c r="P2468" s="121"/>
      <c r="Q2468" s="121"/>
      <c r="R2468" s="121"/>
      <c r="S2468" s="121"/>
      <c r="T2468" s="42"/>
      <c r="U2468" s="122"/>
      <c r="V2468" s="42"/>
      <c r="W2468" s="42"/>
      <c r="X2468" s="42"/>
      <c r="Y2468" s="42"/>
      <c r="Z2468" s="42"/>
      <c r="AA2468" s="42"/>
      <c r="AB2468" s="42"/>
    </row>
    <row r="2469" spans="1:28" x14ac:dyDescent="0.25">
      <c r="A2469" s="42"/>
      <c r="B2469" s="121"/>
      <c r="C2469" s="41"/>
      <c r="D2469" s="41"/>
      <c r="E2469" s="41"/>
      <c r="F2469" s="41"/>
      <c r="G2469" s="41"/>
      <c r="H2469" s="41"/>
      <c r="I2469" s="41"/>
      <c r="J2469" s="41"/>
      <c r="K2469" s="41"/>
      <c r="L2469" s="42"/>
      <c r="M2469" s="121"/>
      <c r="N2469" s="121"/>
      <c r="O2469" s="121"/>
      <c r="P2469" s="121"/>
      <c r="Q2469" s="121"/>
      <c r="R2469" s="121"/>
      <c r="S2469" s="121"/>
      <c r="T2469" s="42"/>
      <c r="U2469" s="122"/>
      <c r="V2469" s="42"/>
      <c r="W2469" s="42"/>
      <c r="X2469" s="42"/>
      <c r="Y2469" s="42"/>
      <c r="Z2469" s="42"/>
      <c r="AA2469" s="42"/>
      <c r="AB2469" s="42"/>
    </row>
    <row r="2470" spans="1:28" x14ac:dyDescent="0.25">
      <c r="A2470" s="42"/>
      <c r="B2470" s="121"/>
      <c r="C2470" s="41"/>
      <c r="D2470" s="41"/>
      <c r="E2470" s="41"/>
      <c r="F2470" s="41"/>
      <c r="G2470" s="41"/>
      <c r="H2470" s="41"/>
      <c r="I2470" s="41"/>
      <c r="J2470" s="41"/>
      <c r="K2470" s="41"/>
      <c r="L2470" s="42"/>
      <c r="M2470" s="121"/>
      <c r="N2470" s="121"/>
      <c r="O2470" s="121"/>
      <c r="P2470" s="121"/>
      <c r="Q2470" s="121"/>
      <c r="R2470" s="121"/>
      <c r="S2470" s="121"/>
      <c r="T2470" s="42"/>
      <c r="U2470" s="122"/>
      <c r="V2470" s="42"/>
      <c r="W2470" s="42"/>
      <c r="X2470" s="42"/>
      <c r="Y2470" s="42"/>
      <c r="Z2470" s="42"/>
      <c r="AA2470" s="42"/>
      <c r="AB2470" s="42"/>
    </row>
    <row r="2471" spans="1:28" x14ac:dyDescent="0.25">
      <c r="A2471" s="42"/>
      <c r="B2471" s="121"/>
      <c r="C2471" s="41"/>
      <c r="D2471" s="41"/>
      <c r="E2471" s="41"/>
      <c r="F2471" s="41"/>
      <c r="G2471" s="41"/>
      <c r="H2471" s="41"/>
      <c r="I2471" s="41"/>
      <c r="J2471" s="41"/>
      <c r="K2471" s="41"/>
      <c r="L2471" s="42"/>
      <c r="M2471" s="121"/>
      <c r="N2471" s="121"/>
      <c r="O2471" s="121"/>
      <c r="P2471" s="121"/>
      <c r="Q2471" s="121"/>
      <c r="R2471" s="121"/>
      <c r="S2471" s="121"/>
      <c r="T2471" s="42"/>
      <c r="U2471" s="122"/>
      <c r="V2471" s="42"/>
      <c r="W2471" s="42"/>
      <c r="X2471" s="42"/>
      <c r="Y2471" s="42"/>
      <c r="Z2471" s="42"/>
      <c r="AA2471" s="42"/>
      <c r="AB2471" s="42"/>
    </row>
    <row r="2472" spans="1:28" x14ac:dyDescent="0.25">
      <c r="A2472" s="42"/>
      <c r="B2472" s="121"/>
      <c r="C2472" s="41"/>
      <c r="D2472" s="41"/>
      <c r="E2472" s="41"/>
      <c r="F2472" s="41"/>
      <c r="G2472" s="41"/>
      <c r="H2472" s="41"/>
      <c r="I2472" s="41"/>
      <c r="J2472" s="41"/>
      <c r="K2472" s="41"/>
      <c r="L2472" s="42"/>
      <c r="M2472" s="121"/>
      <c r="N2472" s="121"/>
      <c r="O2472" s="121"/>
      <c r="P2472" s="121"/>
      <c r="Q2472" s="121"/>
      <c r="R2472" s="121"/>
      <c r="S2472" s="121"/>
      <c r="T2472" s="42"/>
      <c r="U2472" s="122"/>
      <c r="V2472" s="42"/>
      <c r="W2472" s="42"/>
      <c r="X2472" s="42"/>
      <c r="Y2472" s="42"/>
      <c r="Z2472" s="42"/>
      <c r="AA2472" s="42"/>
      <c r="AB2472" s="42"/>
    </row>
    <row r="2473" spans="1:28" x14ac:dyDescent="0.25">
      <c r="A2473" s="42"/>
      <c r="B2473" s="121"/>
      <c r="C2473" s="41"/>
      <c r="D2473" s="41"/>
      <c r="E2473" s="41"/>
      <c r="F2473" s="41"/>
      <c r="G2473" s="41"/>
      <c r="H2473" s="41"/>
      <c r="I2473" s="41"/>
      <c r="J2473" s="41"/>
      <c r="K2473" s="41"/>
      <c r="L2473" s="42"/>
      <c r="M2473" s="121"/>
      <c r="N2473" s="121"/>
      <c r="O2473" s="121"/>
      <c r="P2473" s="121"/>
      <c r="Q2473" s="121"/>
      <c r="R2473" s="121"/>
      <c r="S2473" s="121"/>
      <c r="T2473" s="42"/>
      <c r="U2473" s="122"/>
      <c r="V2473" s="42"/>
      <c r="W2473" s="42"/>
      <c r="X2473" s="42"/>
      <c r="Y2473" s="42"/>
      <c r="Z2473" s="42"/>
      <c r="AA2473" s="42"/>
      <c r="AB2473" s="42"/>
    </row>
    <row r="2474" spans="1:28" x14ac:dyDescent="0.25">
      <c r="A2474" s="42"/>
      <c r="B2474" s="121"/>
      <c r="C2474" s="41"/>
      <c r="D2474" s="41"/>
      <c r="E2474" s="41"/>
      <c r="F2474" s="41"/>
      <c r="G2474" s="41"/>
      <c r="H2474" s="41"/>
      <c r="I2474" s="41"/>
      <c r="J2474" s="41"/>
      <c r="K2474" s="41"/>
      <c r="L2474" s="42"/>
      <c r="M2474" s="121"/>
      <c r="N2474" s="121"/>
      <c r="O2474" s="121"/>
      <c r="P2474" s="121"/>
      <c r="Q2474" s="121"/>
      <c r="R2474" s="121"/>
      <c r="S2474" s="121"/>
      <c r="T2474" s="42"/>
      <c r="U2474" s="122"/>
      <c r="V2474" s="42"/>
      <c r="W2474" s="42"/>
      <c r="X2474" s="42"/>
      <c r="Y2474" s="42"/>
      <c r="Z2474" s="42"/>
      <c r="AA2474" s="42"/>
      <c r="AB2474" s="42"/>
    </row>
    <row r="2475" spans="1:28" x14ac:dyDescent="0.25">
      <c r="A2475" s="42"/>
      <c r="B2475" s="121"/>
      <c r="C2475" s="41"/>
      <c r="D2475" s="41"/>
      <c r="E2475" s="41"/>
      <c r="F2475" s="41"/>
      <c r="G2475" s="41"/>
      <c r="H2475" s="41"/>
      <c r="I2475" s="41"/>
      <c r="J2475" s="41"/>
      <c r="K2475" s="41"/>
      <c r="L2475" s="42"/>
      <c r="M2475" s="121"/>
      <c r="N2475" s="121"/>
      <c r="O2475" s="121"/>
      <c r="P2475" s="121"/>
      <c r="Q2475" s="121"/>
      <c r="R2475" s="121"/>
      <c r="S2475" s="121"/>
      <c r="T2475" s="42"/>
      <c r="U2475" s="122"/>
      <c r="V2475" s="42"/>
      <c r="W2475" s="42"/>
      <c r="X2475" s="42"/>
      <c r="Y2475" s="42"/>
      <c r="Z2475" s="42"/>
      <c r="AA2475" s="42"/>
      <c r="AB2475" s="42"/>
    </row>
    <row r="2476" spans="1:28" x14ac:dyDescent="0.25">
      <c r="A2476" s="42"/>
      <c r="B2476" s="121"/>
      <c r="C2476" s="41"/>
      <c r="D2476" s="41"/>
      <c r="E2476" s="41"/>
      <c r="F2476" s="41"/>
      <c r="G2476" s="41"/>
      <c r="H2476" s="41"/>
      <c r="I2476" s="41"/>
      <c r="J2476" s="41"/>
      <c r="K2476" s="41"/>
      <c r="L2476" s="42"/>
      <c r="M2476" s="121"/>
      <c r="N2476" s="121"/>
      <c r="O2476" s="121"/>
      <c r="P2476" s="121"/>
      <c r="Q2476" s="121"/>
      <c r="R2476" s="121"/>
      <c r="S2476" s="121"/>
      <c r="T2476" s="42"/>
      <c r="U2476" s="122"/>
      <c r="V2476" s="42"/>
      <c r="W2476" s="42"/>
      <c r="X2476" s="42"/>
      <c r="Y2476" s="42"/>
      <c r="Z2476" s="42"/>
      <c r="AA2476" s="42"/>
      <c r="AB2476" s="42"/>
    </row>
    <row r="2477" spans="1:28" x14ac:dyDescent="0.25">
      <c r="A2477" s="42"/>
      <c r="B2477" s="121"/>
      <c r="C2477" s="41"/>
      <c r="D2477" s="41"/>
      <c r="E2477" s="41"/>
      <c r="F2477" s="41"/>
      <c r="G2477" s="41"/>
      <c r="H2477" s="41"/>
      <c r="I2477" s="41"/>
      <c r="J2477" s="41"/>
      <c r="K2477" s="41"/>
      <c r="L2477" s="42"/>
      <c r="M2477" s="121"/>
      <c r="N2477" s="121"/>
      <c r="O2477" s="121"/>
      <c r="P2477" s="121"/>
      <c r="Q2477" s="121"/>
      <c r="R2477" s="121"/>
      <c r="S2477" s="121"/>
      <c r="T2477" s="42"/>
      <c r="U2477" s="122"/>
      <c r="V2477" s="42"/>
      <c r="W2477" s="42"/>
      <c r="X2477" s="42"/>
      <c r="Y2477" s="42"/>
      <c r="Z2477" s="42"/>
      <c r="AA2477" s="42"/>
      <c r="AB2477" s="42"/>
    </row>
    <row r="2478" spans="1:28" x14ac:dyDescent="0.25">
      <c r="A2478" s="42"/>
      <c r="B2478" s="121"/>
      <c r="C2478" s="41"/>
      <c r="D2478" s="41"/>
      <c r="E2478" s="41"/>
      <c r="F2478" s="41"/>
      <c r="G2478" s="41"/>
      <c r="H2478" s="41"/>
      <c r="I2478" s="41"/>
      <c r="J2478" s="41"/>
      <c r="K2478" s="41"/>
      <c r="L2478" s="42"/>
      <c r="M2478" s="121"/>
      <c r="N2478" s="121"/>
      <c r="O2478" s="121"/>
      <c r="P2478" s="121"/>
      <c r="Q2478" s="121"/>
      <c r="R2478" s="121"/>
      <c r="S2478" s="121"/>
      <c r="T2478" s="42"/>
      <c r="U2478" s="122"/>
      <c r="V2478" s="42"/>
      <c r="W2478" s="42"/>
      <c r="X2478" s="42"/>
      <c r="Y2478" s="42"/>
      <c r="Z2478" s="42"/>
      <c r="AA2478" s="42"/>
      <c r="AB2478" s="42"/>
    </row>
    <row r="2479" spans="1:28" x14ac:dyDescent="0.25">
      <c r="A2479" s="42"/>
      <c r="B2479" s="121"/>
      <c r="C2479" s="41"/>
      <c r="D2479" s="41"/>
      <c r="E2479" s="41"/>
      <c r="F2479" s="41"/>
      <c r="G2479" s="41"/>
      <c r="H2479" s="41"/>
      <c r="I2479" s="41"/>
      <c r="J2479" s="41"/>
      <c r="K2479" s="41"/>
      <c r="L2479" s="42"/>
      <c r="M2479" s="121"/>
      <c r="N2479" s="121"/>
      <c r="O2479" s="121"/>
      <c r="P2479" s="121"/>
      <c r="Q2479" s="121"/>
      <c r="R2479" s="121"/>
      <c r="S2479" s="121"/>
      <c r="T2479" s="42"/>
      <c r="U2479" s="122"/>
      <c r="V2479" s="42"/>
      <c r="W2479" s="42"/>
      <c r="X2479" s="42"/>
      <c r="Y2479" s="42"/>
      <c r="Z2479" s="42"/>
      <c r="AA2479" s="42"/>
      <c r="AB2479" s="42"/>
    </row>
    <row r="2480" spans="1:28" x14ac:dyDescent="0.25">
      <c r="A2480" s="42"/>
      <c r="B2480" s="121"/>
      <c r="C2480" s="41"/>
      <c r="D2480" s="41"/>
      <c r="E2480" s="41"/>
      <c r="F2480" s="41"/>
      <c r="G2480" s="41"/>
      <c r="H2480" s="41"/>
      <c r="I2480" s="41"/>
      <c r="J2480" s="41"/>
      <c r="K2480" s="41"/>
      <c r="L2480" s="42"/>
      <c r="M2480" s="121"/>
      <c r="N2480" s="121"/>
      <c r="O2480" s="121"/>
      <c r="P2480" s="121"/>
      <c r="Q2480" s="121"/>
      <c r="R2480" s="121"/>
      <c r="S2480" s="121"/>
      <c r="T2480" s="42"/>
      <c r="U2480" s="122"/>
      <c r="V2480" s="42"/>
      <c r="W2480" s="42"/>
      <c r="X2480" s="42"/>
      <c r="Y2480" s="42"/>
      <c r="Z2480" s="42"/>
      <c r="AA2480" s="42"/>
      <c r="AB2480" s="42"/>
    </row>
    <row r="2481" spans="1:28" x14ac:dyDescent="0.25">
      <c r="A2481" s="42"/>
      <c r="B2481" s="121"/>
      <c r="C2481" s="41"/>
      <c r="D2481" s="41"/>
      <c r="E2481" s="41"/>
      <c r="F2481" s="41"/>
      <c r="G2481" s="41"/>
      <c r="H2481" s="41"/>
      <c r="I2481" s="41"/>
      <c r="J2481" s="41"/>
      <c r="K2481" s="41"/>
      <c r="L2481" s="42"/>
      <c r="M2481" s="121"/>
      <c r="N2481" s="121"/>
      <c r="O2481" s="121"/>
      <c r="P2481" s="121"/>
      <c r="Q2481" s="121"/>
      <c r="R2481" s="121"/>
      <c r="S2481" s="121"/>
      <c r="T2481" s="42"/>
      <c r="U2481" s="122"/>
      <c r="V2481" s="42"/>
      <c r="W2481" s="42"/>
      <c r="X2481" s="42"/>
      <c r="Y2481" s="42"/>
      <c r="Z2481" s="42"/>
      <c r="AA2481" s="42"/>
      <c r="AB2481" s="42"/>
    </row>
    <row r="2482" spans="1:28" x14ac:dyDescent="0.25">
      <c r="A2482" s="42"/>
      <c r="B2482" s="121"/>
      <c r="C2482" s="41"/>
      <c r="D2482" s="41"/>
      <c r="E2482" s="41"/>
      <c r="F2482" s="41"/>
      <c r="G2482" s="41"/>
      <c r="H2482" s="41"/>
      <c r="I2482" s="41"/>
      <c r="J2482" s="41"/>
      <c r="K2482" s="41"/>
      <c r="L2482" s="42"/>
      <c r="M2482" s="121"/>
      <c r="N2482" s="121"/>
      <c r="O2482" s="121"/>
      <c r="P2482" s="121"/>
      <c r="Q2482" s="121"/>
      <c r="R2482" s="121"/>
      <c r="S2482" s="121"/>
      <c r="T2482" s="42"/>
      <c r="U2482" s="122"/>
      <c r="V2482" s="42"/>
      <c r="W2482" s="42"/>
      <c r="X2482" s="42"/>
      <c r="Y2482" s="42"/>
      <c r="Z2482" s="42"/>
      <c r="AA2482" s="42"/>
      <c r="AB2482" s="42"/>
    </row>
    <row r="2483" spans="1:28" x14ac:dyDescent="0.25">
      <c r="A2483" s="42"/>
      <c r="B2483" s="121"/>
      <c r="C2483" s="41"/>
      <c r="D2483" s="41"/>
      <c r="E2483" s="41"/>
      <c r="F2483" s="41"/>
      <c r="G2483" s="41"/>
      <c r="H2483" s="41"/>
      <c r="I2483" s="41"/>
      <c r="J2483" s="41"/>
      <c r="K2483" s="41"/>
      <c r="L2483" s="42"/>
      <c r="M2483" s="121"/>
      <c r="N2483" s="121"/>
      <c r="O2483" s="121"/>
      <c r="P2483" s="121"/>
      <c r="Q2483" s="121"/>
      <c r="R2483" s="121"/>
      <c r="S2483" s="121"/>
      <c r="T2483" s="42"/>
      <c r="U2483" s="122"/>
      <c r="V2483" s="42"/>
      <c r="W2483" s="42"/>
      <c r="X2483" s="42"/>
      <c r="Y2483" s="42"/>
      <c r="Z2483" s="42"/>
      <c r="AA2483" s="42"/>
      <c r="AB2483" s="42"/>
    </row>
    <row r="2484" spans="1:28" x14ac:dyDescent="0.25">
      <c r="A2484" s="42"/>
      <c r="B2484" s="121"/>
      <c r="C2484" s="41"/>
      <c r="D2484" s="41"/>
      <c r="E2484" s="41"/>
      <c r="F2484" s="41"/>
      <c r="G2484" s="41"/>
      <c r="H2484" s="41"/>
      <c r="I2484" s="41"/>
      <c r="J2484" s="41"/>
      <c r="K2484" s="41"/>
      <c r="L2484" s="42"/>
      <c r="M2484" s="121"/>
      <c r="N2484" s="121"/>
      <c r="O2484" s="121"/>
      <c r="P2484" s="121"/>
      <c r="Q2484" s="121"/>
      <c r="R2484" s="121"/>
      <c r="S2484" s="121"/>
      <c r="T2484" s="42"/>
      <c r="U2484" s="122"/>
      <c r="V2484" s="42"/>
      <c r="W2484" s="42"/>
      <c r="X2484" s="42"/>
      <c r="Y2484" s="42"/>
      <c r="Z2484" s="42"/>
      <c r="AA2484" s="42"/>
      <c r="AB2484" s="42"/>
    </row>
    <row r="2485" spans="1:28" x14ac:dyDescent="0.25">
      <c r="A2485" s="42"/>
      <c r="B2485" s="121"/>
      <c r="C2485" s="41"/>
      <c r="D2485" s="41"/>
      <c r="E2485" s="41"/>
      <c r="F2485" s="41"/>
      <c r="G2485" s="41"/>
      <c r="H2485" s="41"/>
      <c r="I2485" s="41"/>
      <c r="J2485" s="41"/>
      <c r="K2485" s="41"/>
      <c r="L2485" s="42"/>
      <c r="M2485" s="121"/>
      <c r="N2485" s="121"/>
      <c r="O2485" s="121"/>
      <c r="P2485" s="121"/>
      <c r="Q2485" s="121"/>
      <c r="R2485" s="121"/>
      <c r="S2485" s="121"/>
      <c r="T2485" s="42"/>
      <c r="U2485" s="122"/>
      <c r="V2485" s="42"/>
      <c r="W2485" s="42"/>
      <c r="X2485" s="42"/>
      <c r="Y2485" s="42"/>
      <c r="Z2485" s="42"/>
      <c r="AA2485" s="42"/>
      <c r="AB2485" s="42"/>
    </row>
    <row r="2486" spans="1:28" x14ac:dyDescent="0.25">
      <c r="A2486" s="42"/>
      <c r="B2486" s="121"/>
      <c r="C2486" s="41"/>
      <c r="D2486" s="41"/>
      <c r="E2486" s="41"/>
      <c r="F2486" s="41"/>
      <c r="G2486" s="41"/>
      <c r="H2486" s="41"/>
      <c r="I2486" s="41"/>
      <c r="J2486" s="41"/>
      <c r="K2486" s="41"/>
      <c r="L2486" s="42"/>
      <c r="M2486" s="121"/>
      <c r="N2486" s="121"/>
      <c r="O2486" s="121"/>
      <c r="P2486" s="121"/>
      <c r="Q2486" s="121"/>
      <c r="R2486" s="121"/>
      <c r="S2486" s="121"/>
      <c r="T2486" s="42"/>
      <c r="U2486" s="122"/>
      <c r="V2486" s="42"/>
      <c r="W2486" s="42"/>
      <c r="X2486" s="42"/>
      <c r="Y2486" s="42"/>
      <c r="Z2486" s="42"/>
      <c r="AA2486" s="42"/>
      <c r="AB2486" s="42"/>
    </row>
    <row r="2487" spans="1:28" x14ac:dyDescent="0.25">
      <c r="A2487" s="42"/>
      <c r="B2487" s="121"/>
      <c r="C2487" s="41"/>
      <c r="D2487" s="41"/>
      <c r="E2487" s="41"/>
      <c r="F2487" s="41"/>
      <c r="G2487" s="41"/>
      <c r="H2487" s="41"/>
      <c r="I2487" s="41"/>
      <c r="J2487" s="41"/>
      <c r="K2487" s="41"/>
      <c r="L2487" s="42"/>
      <c r="M2487" s="121"/>
      <c r="N2487" s="121"/>
      <c r="O2487" s="121"/>
      <c r="P2487" s="121"/>
      <c r="Q2487" s="121"/>
      <c r="R2487" s="121"/>
      <c r="S2487" s="121"/>
      <c r="T2487" s="42"/>
      <c r="U2487" s="122"/>
      <c r="V2487" s="42"/>
      <c r="W2487" s="42"/>
      <c r="X2487" s="42"/>
      <c r="Y2487" s="42"/>
      <c r="Z2487" s="42"/>
      <c r="AA2487" s="42"/>
      <c r="AB2487" s="42"/>
    </row>
    <row r="2488" spans="1:28" x14ac:dyDescent="0.25">
      <c r="A2488" s="42"/>
      <c r="B2488" s="121"/>
      <c r="C2488" s="41"/>
      <c r="D2488" s="41"/>
      <c r="E2488" s="41"/>
      <c r="F2488" s="41"/>
      <c r="G2488" s="41"/>
      <c r="H2488" s="41"/>
      <c r="I2488" s="41"/>
      <c r="J2488" s="41"/>
      <c r="K2488" s="41"/>
      <c r="L2488" s="42"/>
      <c r="M2488" s="121"/>
      <c r="N2488" s="121"/>
      <c r="O2488" s="121"/>
      <c r="P2488" s="121"/>
      <c r="Q2488" s="121"/>
      <c r="R2488" s="121"/>
      <c r="S2488" s="121"/>
      <c r="T2488" s="42"/>
      <c r="U2488" s="122"/>
      <c r="V2488" s="42"/>
      <c r="W2488" s="42"/>
      <c r="X2488" s="42"/>
      <c r="Y2488" s="42"/>
      <c r="Z2488" s="42"/>
      <c r="AA2488" s="42"/>
      <c r="AB2488" s="42"/>
    </row>
    <row r="2489" spans="1:28" x14ac:dyDescent="0.25">
      <c r="A2489" s="42"/>
      <c r="B2489" s="121"/>
      <c r="C2489" s="41"/>
      <c r="D2489" s="41"/>
      <c r="E2489" s="41"/>
      <c r="F2489" s="41"/>
      <c r="G2489" s="41"/>
      <c r="H2489" s="41"/>
      <c r="I2489" s="41"/>
      <c r="J2489" s="41"/>
      <c r="K2489" s="41"/>
      <c r="L2489" s="42"/>
      <c r="M2489" s="121"/>
      <c r="N2489" s="121"/>
      <c r="O2489" s="121"/>
      <c r="P2489" s="121"/>
      <c r="Q2489" s="121"/>
      <c r="R2489" s="121"/>
      <c r="S2489" s="121"/>
      <c r="T2489" s="42"/>
      <c r="U2489" s="122"/>
      <c r="V2489" s="42"/>
      <c r="W2489" s="42"/>
      <c r="X2489" s="42"/>
      <c r="Y2489" s="42"/>
      <c r="Z2489" s="42"/>
      <c r="AA2489" s="42"/>
      <c r="AB2489" s="42"/>
    </row>
    <row r="2490" spans="1:28" x14ac:dyDescent="0.25">
      <c r="A2490" s="42"/>
      <c r="B2490" s="121"/>
      <c r="C2490" s="41"/>
      <c r="D2490" s="41"/>
      <c r="E2490" s="41"/>
      <c r="F2490" s="41"/>
      <c r="G2490" s="41"/>
      <c r="H2490" s="41"/>
      <c r="I2490" s="41"/>
      <c r="J2490" s="41"/>
      <c r="K2490" s="41"/>
      <c r="L2490" s="42"/>
      <c r="M2490" s="121"/>
      <c r="N2490" s="121"/>
      <c r="O2490" s="121"/>
      <c r="P2490" s="121"/>
      <c r="Q2490" s="121"/>
      <c r="R2490" s="121"/>
      <c r="S2490" s="121"/>
      <c r="T2490" s="42"/>
      <c r="U2490" s="122"/>
      <c r="V2490" s="42"/>
      <c r="W2490" s="42"/>
      <c r="X2490" s="42"/>
      <c r="Y2490" s="42"/>
      <c r="Z2490" s="42"/>
      <c r="AA2490" s="42"/>
      <c r="AB2490" s="42"/>
    </row>
    <row r="2491" spans="1:28" x14ac:dyDescent="0.25">
      <c r="A2491" s="42"/>
      <c r="B2491" s="121"/>
      <c r="C2491" s="41"/>
      <c r="D2491" s="41"/>
      <c r="E2491" s="41"/>
      <c r="F2491" s="41"/>
      <c r="G2491" s="41"/>
      <c r="H2491" s="41"/>
      <c r="I2491" s="41"/>
      <c r="J2491" s="41"/>
      <c r="K2491" s="41"/>
      <c r="L2491" s="42"/>
      <c r="M2491" s="121"/>
      <c r="N2491" s="121"/>
      <c r="O2491" s="121"/>
      <c r="P2491" s="121"/>
      <c r="Q2491" s="121"/>
      <c r="R2491" s="121"/>
      <c r="S2491" s="121"/>
      <c r="T2491" s="42"/>
      <c r="U2491" s="122"/>
      <c r="V2491" s="42"/>
      <c r="W2491" s="42"/>
      <c r="X2491" s="42"/>
      <c r="Y2491" s="42"/>
      <c r="Z2491" s="42"/>
      <c r="AA2491" s="42"/>
      <c r="AB2491" s="42"/>
    </row>
    <row r="2492" spans="1:28" x14ac:dyDescent="0.25">
      <c r="A2492" s="42"/>
      <c r="B2492" s="121"/>
      <c r="C2492" s="41"/>
      <c r="D2492" s="41"/>
      <c r="E2492" s="41"/>
      <c r="F2492" s="41"/>
      <c r="G2492" s="41"/>
      <c r="H2492" s="41"/>
      <c r="I2492" s="41"/>
      <c r="J2492" s="41"/>
      <c r="K2492" s="41"/>
      <c r="L2492" s="42"/>
      <c r="M2492" s="121"/>
      <c r="N2492" s="121"/>
      <c r="O2492" s="121"/>
      <c r="P2492" s="121"/>
      <c r="Q2492" s="121"/>
      <c r="R2492" s="121"/>
      <c r="S2492" s="121"/>
      <c r="T2492" s="42"/>
      <c r="U2492" s="122"/>
      <c r="V2492" s="42"/>
      <c r="W2492" s="42"/>
      <c r="X2492" s="42"/>
      <c r="Y2492" s="42"/>
      <c r="Z2492" s="42"/>
      <c r="AA2492" s="42"/>
      <c r="AB2492" s="42"/>
    </row>
    <row r="2493" spans="1:28" x14ac:dyDescent="0.25">
      <c r="A2493" s="42"/>
      <c r="B2493" s="121"/>
      <c r="C2493" s="41"/>
      <c r="D2493" s="41"/>
      <c r="E2493" s="41"/>
      <c r="F2493" s="41"/>
      <c r="G2493" s="41"/>
      <c r="H2493" s="41"/>
      <c r="I2493" s="41"/>
      <c r="J2493" s="41"/>
      <c r="K2493" s="41"/>
      <c r="L2493" s="42"/>
      <c r="M2493" s="121"/>
      <c r="N2493" s="121"/>
      <c r="O2493" s="121"/>
      <c r="P2493" s="121"/>
      <c r="Q2493" s="121"/>
      <c r="R2493" s="121"/>
      <c r="S2493" s="121"/>
      <c r="T2493" s="42"/>
      <c r="U2493" s="122"/>
      <c r="V2493" s="42"/>
      <c r="W2493" s="42"/>
      <c r="X2493" s="42"/>
      <c r="Y2493" s="42"/>
      <c r="Z2493" s="42"/>
      <c r="AA2493" s="42"/>
      <c r="AB2493" s="42"/>
    </row>
    <row r="2494" spans="1:28" x14ac:dyDescent="0.25">
      <c r="A2494" s="42"/>
      <c r="B2494" s="121"/>
      <c r="C2494" s="41"/>
      <c r="D2494" s="41"/>
      <c r="E2494" s="41"/>
      <c r="F2494" s="41"/>
      <c r="G2494" s="41"/>
      <c r="H2494" s="41"/>
      <c r="I2494" s="41"/>
      <c r="J2494" s="41"/>
      <c r="K2494" s="41"/>
      <c r="L2494" s="42"/>
      <c r="M2494" s="121"/>
      <c r="N2494" s="121"/>
      <c r="O2494" s="121"/>
      <c r="P2494" s="121"/>
      <c r="Q2494" s="121"/>
      <c r="R2494" s="121"/>
      <c r="S2494" s="121"/>
      <c r="T2494" s="42"/>
      <c r="U2494" s="122"/>
      <c r="V2494" s="42"/>
      <c r="W2494" s="42"/>
      <c r="X2494" s="42"/>
      <c r="Y2494" s="42"/>
      <c r="Z2494" s="42"/>
      <c r="AA2494" s="42"/>
      <c r="AB2494" s="42"/>
    </row>
    <row r="2495" spans="1:28" x14ac:dyDescent="0.25">
      <c r="A2495" s="42"/>
      <c r="B2495" s="121"/>
      <c r="C2495" s="41"/>
      <c r="D2495" s="41"/>
      <c r="E2495" s="41"/>
      <c r="F2495" s="41"/>
      <c r="G2495" s="41"/>
      <c r="H2495" s="41"/>
      <c r="I2495" s="41"/>
      <c r="J2495" s="41"/>
      <c r="K2495" s="41"/>
      <c r="L2495" s="42"/>
      <c r="M2495" s="121"/>
      <c r="N2495" s="121"/>
      <c r="O2495" s="121"/>
      <c r="P2495" s="121"/>
      <c r="Q2495" s="121"/>
      <c r="R2495" s="121"/>
      <c r="S2495" s="121"/>
      <c r="T2495" s="42"/>
      <c r="U2495" s="122"/>
      <c r="V2495" s="42"/>
      <c r="W2495" s="42"/>
      <c r="X2495" s="42"/>
      <c r="Y2495" s="42"/>
      <c r="Z2495" s="42"/>
      <c r="AA2495" s="42"/>
      <c r="AB2495" s="42"/>
    </row>
    <row r="2496" spans="1:28" x14ac:dyDescent="0.25">
      <c r="A2496" s="42"/>
      <c r="B2496" s="121"/>
      <c r="C2496" s="41"/>
      <c r="D2496" s="41"/>
      <c r="E2496" s="41"/>
      <c r="F2496" s="41"/>
      <c r="G2496" s="41"/>
      <c r="H2496" s="41"/>
      <c r="I2496" s="41"/>
      <c r="J2496" s="41"/>
      <c r="K2496" s="41"/>
      <c r="L2496" s="42"/>
      <c r="M2496" s="121"/>
      <c r="N2496" s="121"/>
      <c r="O2496" s="121"/>
      <c r="P2496" s="121"/>
      <c r="Q2496" s="121"/>
      <c r="R2496" s="121"/>
      <c r="S2496" s="121"/>
      <c r="T2496" s="42"/>
      <c r="U2496" s="122"/>
      <c r="V2496" s="42"/>
      <c r="W2496" s="42"/>
      <c r="X2496" s="42"/>
      <c r="Y2496" s="42"/>
      <c r="Z2496" s="42"/>
      <c r="AA2496" s="42"/>
      <c r="AB2496" s="42"/>
    </row>
    <row r="2497" spans="1:28" x14ac:dyDescent="0.25">
      <c r="A2497" s="42"/>
      <c r="B2497" s="121"/>
      <c r="C2497" s="41"/>
      <c r="D2497" s="41"/>
      <c r="E2497" s="41"/>
      <c r="F2497" s="41"/>
      <c r="G2497" s="41"/>
      <c r="H2497" s="41"/>
      <c r="I2497" s="41"/>
      <c r="J2497" s="41"/>
      <c r="K2497" s="41"/>
      <c r="L2497" s="42"/>
      <c r="M2497" s="121"/>
      <c r="N2497" s="121"/>
      <c r="O2497" s="121"/>
      <c r="P2497" s="121"/>
      <c r="Q2497" s="121"/>
      <c r="R2497" s="121"/>
      <c r="S2497" s="121"/>
      <c r="T2497" s="42"/>
      <c r="U2497" s="122"/>
      <c r="V2497" s="42"/>
      <c r="W2497" s="42"/>
      <c r="X2497" s="42"/>
      <c r="Y2497" s="42"/>
      <c r="Z2497" s="42"/>
      <c r="AA2497" s="42"/>
      <c r="AB2497" s="42"/>
    </row>
    <row r="2498" spans="1:28" x14ac:dyDescent="0.25">
      <c r="A2498" s="42"/>
      <c r="B2498" s="121"/>
      <c r="C2498" s="41"/>
      <c r="D2498" s="41"/>
      <c r="E2498" s="41"/>
      <c r="F2498" s="41"/>
      <c r="G2498" s="41"/>
      <c r="H2498" s="41"/>
      <c r="I2498" s="41"/>
      <c r="J2498" s="41"/>
      <c r="K2498" s="41"/>
      <c r="L2498" s="42"/>
      <c r="M2498" s="121"/>
      <c r="N2498" s="121"/>
      <c r="O2498" s="121"/>
      <c r="P2498" s="121"/>
      <c r="Q2498" s="121"/>
      <c r="R2498" s="121"/>
      <c r="S2498" s="121"/>
      <c r="T2498" s="42"/>
      <c r="U2498" s="122"/>
      <c r="V2498" s="42"/>
      <c r="W2498" s="42"/>
      <c r="X2498" s="42"/>
      <c r="Y2498" s="42"/>
      <c r="Z2498" s="42"/>
      <c r="AA2498" s="42"/>
      <c r="AB2498" s="42"/>
    </row>
    <row r="2499" spans="1:28" x14ac:dyDescent="0.25">
      <c r="A2499" s="42"/>
      <c r="B2499" s="121"/>
      <c r="C2499" s="41"/>
      <c r="D2499" s="41"/>
      <c r="E2499" s="41"/>
      <c r="F2499" s="41"/>
      <c r="G2499" s="41"/>
      <c r="H2499" s="41"/>
      <c r="I2499" s="41"/>
      <c r="J2499" s="41"/>
      <c r="K2499" s="41"/>
      <c r="L2499" s="42"/>
      <c r="M2499" s="121"/>
      <c r="N2499" s="121"/>
      <c r="O2499" s="121"/>
      <c r="P2499" s="121"/>
      <c r="Q2499" s="121"/>
      <c r="R2499" s="121"/>
      <c r="S2499" s="121"/>
      <c r="T2499" s="42"/>
      <c r="U2499" s="122"/>
      <c r="V2499" s="42"/>
      <c r="W2499" s="42"/>
      <c r="X2499" s="42"/>
      <c r="Y2499" s="42"/>
      <c r="Z2499" s="42"/>
      <c r="AA2499" s="42"/>
      <c r="AB2499" s="42"/>
    </row>
    <row r="2500" spans="1:28" x14ac:dyDescent="0.25">
      <c r="A2500" s="42"/>
      <c r="B2500" s="121"/>
      <c r="C2500" s="41"/>
      <c r="D2500" s="41"/>
      <c r="E2500" s="41"/>
      <c r="F2500" s="41"/>
      <c r="G2500" s="41"/>
      <c r="H2500" s="41"/>
      <c r="I2500" s="41"/>
      <c r="J2500" s="41"/>
      <c r="K2500" s="41"/>
      <c r="L2500" s="42"/>
      <c r="M2500" s="121"/>
      <c r="N2500" s="121"/>
      <c r="O2500" s="121"/>
      <c r="P2500" s="121"/>
      <c r="Q2500" s="121"/>
      <c r="R2500" s="121"/>
      <c r="S2500" s="121"/>
      <c r="T2500" s="42"/>
      <c r="U2500" s="122"/>
      <c r="V2500" s="42"/>
      <c r="W2500" s="42"/>
      <c r="X2500" s="42"/>
      <c r="Y2500" s="42"/>
      <c r="Z2500" s="42"/>
      <c r="AA2500" s="42"/>
      <c r="AB2500" s="42"/>
    </row>
    <row r="2501" spans="1:28" x14ac:dyDescent="0.25">
      <c r="A2501" s="42"/>
      <c r="B2501" s="121"/>
      <c r="C2501" s="41"/>
      <c r="D2501" s="41"/>
      <c r="E2501" s="41"/>
      <c r="F2501" s="41"/>
      <c r="G2501" s="41"/>
      <c r="H2501" s="41"/>
      <c r="I2501" s="41"/>
      <c r="J2501" s="41"/>
      <c r="K2501" s="41"/>
      <c r="L2501" s="42"/>
      <c r="M2501" s="121"/>
      <c r="N2501" s="121"/>
      <c r="O2501" s="121"/>
      <c r="P2501" s="121"/>
      <c r="Q2501" s="121"/>
      <c r="R2501" s="121"/>
      <c r="S2501" s="121"/>
      <c r="T2501" s="42"/>
      <c r="U2501" s="122"/>
      <c r="V2501" s="42"/>
      <c r="W2501" s="42"/>
      <c r="X2501" s="42"/>
      <c r="Y2501" s="42"/>
      <c r="Z2501" s="42"/>
      <c r="AA2501" s="42"/>
      <c r="AB2501" s="42"/>
    </row>
    <row r="2502" spans="1:28" x14ac:dyDescent="0.25">
      <c r="A2502" s="42"/>
      <c r="B2502" s="121"/>
      <c r="C2502" s="41"/>
      <c r="D2502" s="41"/>
      <c r="E2502" s="41"/>
      <c r="F2502" s="41"/>
      <c r="G2502" s="41"/>
      <c r="H2502" s="41"/>
      <c r="I2502" s="41"/>
      <c r="J2502" s="41"/>
      <c r="K2502" s="41"/>
      <c r="L2502" s="42"/>
      <c r="M2502" s="121"/>
      <c r="N2502" s="121"/>
      <c r="O2502" s="121"/>
      <c r="P2502" s="121"/>
      <c r="Q2502" s="121"/>
      <c r="R2502" s="121"/>
      <c r="S2502" s="121"/>
      <c r="T2502" s="42"/>
      <c r="U2502" s="122"/>
      <c r="V2502" s="42"/>
      <c r="W2502" s="42"/>
      <c r="X2502" s="42"/>
      <c r="Y2502" s="42"/>
      <c r="Z2502" s="42"/>
      <c r="AA2502" s="42"/>
      <c r="AB2502" s="42"/>
    </row>
    <row r="2503" spans="1:28" x14ac:dyDescent="0.25">
      <c r="A2503" s="42"/>
      <c r="B2503" s="121"/>
      <c r="C2503" s="41"/>
      <c r="D2503" s="41"/>
      <c r="E2503" s="41"/>
      <c r="F2503" s="41"/>
      <c r="G2503" s="41"/>
      <c r="H2503" s="41"/>
      <c r="I2503" s="41"/>
      <c r="J2503" s="41"/>
      <c r="K2503" s="41"/>
      <c r="L2503" s="42"/>
      <c r="M2503" s="121"/>
      <c r="N2503" s="121"/>
      <c r="O2503" s="121"/>
      <c r="P2503" s="121"/>
      <c r="Q2503" s="121"/>
      <c r="R2503" s="121"/>
      <c r="S2503" s="121"/>
      <c r="T2503" s="42"/>
      <c r="U2503" s="122"/>
      <c r="V2503" s="42"/>
      <c r="W2503" s="42"/>
      <c r="X2503" s="42"/>
      <c r="Y2503" s="42"/>
      <c r="Z2503" s="42"/>
      <c r="AA2503" s="42"/>
      <c r="AB2503" s="42"/>
    </row>
    <row r="2504" spans="1:28" x14ac:dyDescent="0.25">
      <c r="A2504" s="42"/>
      <c r="B2504" s="121"/>
      <c r="C2504" s="41"/>
      <c r="D2504" s="41"/>
      <c r="E2504" s="41"/>
      <c r="F2504" s="41"/>
      <c r="G2504" s="41"/>
      <c r="H2504" s="41"/>
      <c r="I2504" s="41"/>
      <c r="J2504" s="41"/>
      <c r="K2504" s="41"/>
      <c r="L2504" s="42"/>
      <c r="M2504" s="121"/>
      <c r="N2504" s="121"/>
      <c r="O2504" s="121"/>
      <c r="P2504" s="121"/>
      <c r="Q2504" s="121"/>
      <c r="R2504" s="121"/>
      <c r="S2504" s="121"/>
      <c r="T2504" s="42"/>
      <c r="U2504" s="122"/>
      <c r="V2504" s="42"/>
      <c r="W2504" s="42"/>
      <c r="X2504" s="42"/>
      <c r="Y2504" s="42"/>
      <c r="Z2504" s="42"/>
      <c r="AA2504" s="42"/>
      <c r="AB2504" s="42"/>
    </row>
    <row r="2505" spans="1:28" x14ac:dyDescent="0.25">
      <c r="A2505" s="42"/>
      <c r="B2505" s="121"/>
      <c r="C2505" s="41"/>
      <c r="D2505" s="41"/>
      <c r="E2505" s="41"/>
      <c r="F2505" s="41"/>
      <c r="G2505" s="41"/>
      <c r="H2505" s="41"/>
      <c r="I2505" s="41"/>
      <c r="J2505" s="41"/>
      <c r="K2505" s="41"/>
      <c r="L2505" s="42"/>
      <c r="M2505" s="121"/>
      <c r="N2505" s="121"/>
      <c r="O2505" s="121"/>
      <c r="P2505" s="121"/>
      <c r="Q2505" s="121"/>
      <c r="R2505" s="121"/>
      <c r="S2505" s="121"/>
      <c r="T2505" s="42"/>
      <c r="U2505" s="122"/>
      <c r="V2505" s="42"/>
      <c r="W2505" s="42"/>
      <c r="X2505" s="42"/>
      <c r="Y2505" s="42"/>
      <c r="Z2505" s="42"/>
      <c r="AA2505" s="42"/>
      <c r="AB2505" s="42"/>
    </row>
    <row r="2506" spans="1:28" x14ac:dyDescent="0.25">
      <c r="A2506" s="42"/>
      <c r="B2506" s="121"/>
      <c r="C2506" s="41"/>
      <c r="D2506" s="41"/>
      <c r="E2506" s="41"/>
      <c r="F2506" s="41"/>
      <c r="G2506" s="41"/>
      <c r="H2506" s="41"/>
      <c r="I2506" s="41"/>
      <c r="J2506" s="41"/>
      <c r="K2506" s="41"/>
      <c r="L2506" s="42"/>
      <c r="M2506" s="121"/>
      <c r="N2506" s="121"/>
      <c r="O2506" s="121"/>
      <c r="P2506" s="121"/>
      <c r="Q2506" s="121"/>
      <c r="R2506" s="121"/>
      <c r="S2506" s="121"/>
      <c r="T2506" s="42"/>
      <c r="U2506" s="122"/>
      <c r="V2506" s="42"/>
      <c r="W2506" s="42"/>
      <c r="X2506" s="42"/>
      <c r="Y2506" s="42"/>
      <c r="Z2506" s="42"/>
      <c r="AA2506" s="42"/>
      <c r="AB2506" s="42"/>
    </row>
    <row r="2507" spans="1:28" x14ac:dyDescent="0.25">
      <c r="A2507" s="42"/>
      <c r="B2507" s="121"/>
      <c r="C2507" s="41"/>
      <c r="D2507" s="41"/>
      <c r="E2507" s="41"/>
      <c r="F2507" s="41"/>
      <c r="G2507" s="41"/>
      <c r="H2507" s="41"/>
      <c r="I2507" s="41"/>
      <c r="J2507" s="41"/>
      <c r="K2507" s="41"/>
      <c r="L2507" s="42"/>
      <c r="M2507" s="121"/>
      <c r="N2507" s="121"/>
      <c r="O2507" s="121"/>
      <c r="P2507" s="121"/>
      <c r="Q2507" s="121"/>
      <c r="R2507" s="121"/>
      <c r="S2507" s="121"/>
      <c r="T2507" s="42"/>
      <c r="U2507" s="122"/>
      <c r="V2507" s="42"/>
      <c r="W2507" s="42"/>
      <c r="X2507" s="42"/>
      <c r="Y2507" s="42"/>
      <c r="Z2507" s="42"/>
      <c r="AA2507" s="42"/>
      <c r="AB2507" s="42"/>
    </row>
    <row r="2508" spans="1:28" x14ac:dyDescent="0.25">
      <c r="A2508" s="42"/>
      <c r="B2508" s="121"/>
      <c r="C2508" s="41"/>
      <c r="D2508" s="41"/>
      <c r="E2508" s="41"/>
      <c r="F2508" s="41"/>
      <c r="G2508" s="41"/>
      <c r="H2508" s="41"/>
      <c r="I2508" s="41"/>
      <c r="J2508" s="41"/>
      <c r="K2508" s="41"/>
      <c r="L2508" s="42"/>
      <c r="M2508" s="121"/>
      <c r="N2508" s="121"/>
      <c r="O2508" s="121"/>
      <c r="P2508" s="121"/>
      <c r="Q2508" s="121"/>
      <c r="R2508" s="121"/>
      <c r="S2508" s="121"/>
      <c r="T2508" s="42"/>
      <c r="U2508" s="122"/>
      <c r="V2508" s="42"/>
      <c r="W2508" s="42"/>
      <c r="X2508" s="42"/>
      <c r="Y2508" s="42"/>
      <c r="Z2508" s="42"/>
      <c r="AA2508" s="42"/>
      <c r="AB2508" s="42"/>
    </row>
    <row r="2509" spans="1:28" x14ac:dyDescent="0.25">
      <c r="A2509" s="42"/>
      <c r="B2509" s="121"/>
      <c r="C2509" s="41"/>
      <c r="D2509" s="41"/>
      <c r="E2509" s="41"/>
      <c r="F2509" s="41"/>
      <c r="G2509" s="41"/>
      <c r="H2509" s="41"/>
      <c r="I2509" s="41"/>
      <c r="J2509" s="41"/>
      <c r="K2509" s="41"/>
      <c r="L2509" s="42"/>
      <c r="M2509" s="121"/>
      <c r="N2509" s="121"/>
      <c r="O2509" s="121"/>
      <c r="P2509" s="121"/>
      <c r="Q2509" s="121"/>
      <c r="R2509" s="121"/>
      <c r="S2509" s="121"/>
      <c r="T2509" s="42"/>
      <c r="U2509" s="122"/>
      <c r="V2509" s="42"/>
      <c r="W2509" s="42"/>
      <c r="X2509" s="42"/>
      <c r="Y2509" s="42"/>
      <c r="Z2509" s="42"/>
      <c r="AA2509" s="42"/>
      <c r="AB2509" s="42"/>
    </row>
    <row r="2510" spans="1:28" x14ac:dyDescent="0.25">
      <c r="A2510" s="42"/>
      <c r="B2510" s="121"/>
      <c r="C2510" s="41"/>
      <c r="D2510" s="41"/>
      <c r="E2510" s="41"/>
      <c r="F2510" s="41"/>
      <c r="G2510" s="41"/>
      <c r="H2510" s="41"/>
      <c r="I2510" s="41"/>
      <c r="J2510" s="41"/>
      <c r="K2510" s="41"/>
      <c r="L2510" s="42"/>
      <c r="M2510" s="121"/>
      <c r="N2510" s="121"/>
      <c r="O2510" s="121"/>
      <c r="P2510" s="121"/>
      <c r="Q2510" s="121"/>
      <c r="R2510" s="121"/>
      <c r="S2510" s="121"/>
      <c r="T2510" s="42"/>
      <c r="U2510" s="122"/>
      <c r="V2510" s="42"/>
      <c r="W2510" s="42"/>
      <c r="X2510" s="42"/>
      <c r="Y2510" s="42"/>
      <c r="Z2510" s="42"/>
      <c r="AA2510" s="42"/>
      <c r="AB2510" s="42"/>
    </row>
    <row r="2511" spans="1:28" x14ac:dyDescent="0.25">
      <c r="A2511" s="42"/>
      <c r="B2511" s="121"/>
      <c r="C2511" s="41"/>
      <c r="D2511" s="41"/>
      <c r="E2511" s="41"/>
      <c r="F2511" s="41"/>
      <c r="G2511" s="41"/>
      <c r="H2511" s="41"/>
      <c r="I2511" s="41"/>
      <c r="J2511" s="41"/>
      <c r="K2511" s="41"/>
      <c r="L2511" s="42"/>
      <c r="M2511" s="121"/>
      <c r="N2511" s="121"/>
      <c r="O2511" s="121"/>
      <c r="P2511" s="121"/>
      <c r="Q2511" s="121"/>
      <c r="R2511" s="121"/>
      <c r="S2511" s="121"/>
      <c r="T2511" s="42"/>
      <c r="U2511" s="122"/>
      <c r="V2511" s="42"/>
      <c r="W2511" s="42"/>
      <c r="X2511" s="42"/>
      <c r="Y2511" s="42"/>
      <c r="Z2511" s="42"/>
      <c r="AA2511" s="42"/>
      <c r="AB2511" s="42"/>
    </row>
    <row r="2512" spans="1:28" x14ac:dyDescent="0.25">
      <c r="A2512" s="42"/>
      <c r="B2512" s="121"/>
      <c r="C2512" s="41"/>
      <c r="D2512" s="41"/>
      <c r="E2512" s="41"/>
      <c r="F2512" s="41"/>
      <c r="G2512" s="41"/>
      <c r="H2512" s="41"/>
      <c r="I2512" s="41"/>
      <c r="J2512" s="41"/>
      <c r="K2512" s="41"/>
      <c r="L2512" s="42"/>
      <c r="M2512" s="121"/>
      <c r="N2512" s="121"/>
      <c r="O2512" s="121"/>
      <c r="P2512" s="121"/>
      <c r="Q2512" s="121"/>
      <c r="R2512" s="121"/>
      <c r="S2512" s="121"/>
      <c r="T2512" s="42"/>
      <c r="U2512" s="122"/>
      <c r="V2512" s="42"/>
      <c r="W2512" s="42"/>
      <c r="X2512" s="42"/>
      <c r="Y2512" s="42"/>
      <c r="Z2512" s="42"/>
      <c r="AA2512" s="42"/>
      <c r="AB2512" s="42"/>
    </row>
    <row r="2513" spans="1:28" x14ac:dyDescent="0.25">
      <c r="A2513" s="42"/>
      <c r="B2513" s="121"/>
      <c r="C2513" s="41"/>
      <c r="D2513" s="41"/>
      <c r="E2513" s="41"/>
      <c r="F2513" s="41"/>
      <c r="G2513" s="41"/>
      <c r="H2513" s="41"/>
      <c r="I2513" s="41"/>
      <c r="J2513" s="41"/>
      <c r="K2513" s="41"/>
      <c r="L2513" s="42"/>
      <c r="M2513" s="121"/>
      <c r="N2513" s="121"/>
      <c r="O2513" s="121"/>
      <c r="P2513" s="121"/>
      <c r="Q2513" s="121"/>
      <c r="R2513" s="121"/>
      <c r="S2513" s="121"/>
      <c r="T2513" s="42"/>
      <c r="U2513" s="122"/>
      <c r="V2513" s="42"/>
      <c r="W2513" s="42"/>
      <c r="X2513" s="42"/>
      <c r="Y2513" s="42"/>
      <c r="Z2513" s="42"/>
      <c r="AA2513" s="42"/>
      <c r="AB2513" s="42"/>
    </row>
    <row r="2514" spans="1:28" x14ac:dyDescent="0.25">
      <c r="A2514" s="42"/>
      <c r="B2514" s="121"/>
      <c r="C2514" s="41"/>
      <c r="D2514" s="41"/>
      <c r="E2514" s="41"/>
      <c r="F2514" s="41"/>
      <c r="G2514" s="41"/>
      <c r="H2514" s="41"/>
      <c r="I2514" s="41"/>
      <c r="J2514" s="41"/>
      <c r="K2514" s="41"/>
      <c r="L2514" s="42"/>
      <c r="M2514" s="121"/>
      <c r="N2514" s="121"/>
      <c r="O2514" s="121"/>
      <c r="P2514" s="121"/>
      <c r="Q2514" s="121"/>
      <c r="R2514" s="121"/>
      <c r="S2514" s="121"/>
      <c r="T2514" s="42"/>
      <c r="U2514" s="122"/>
      <c r="V2514" s="42"/>
      <c r="W2514" s="42"/>
      <c r="X2514" s="42"/>
      <c r="Y2514" s="42"/>
      <c r="Z2514" s="42"/>
      <c r="AA2514" s="42"/>
      <c r="AB2514" s="42"/>
    </row>
    <row r="2515" spans="1:28" x14ac:dyDescent="0.25">
      <c r="A2515" s="42"/>
      <c r="B2515" s="121"/>
      <c r="C2515" s="41"/>
      <c r="D2515" s="41"/>
      <c r="E2515" s="41"/>
      <c r="F2515" s="41"/>
      <c r="G2515" s="41"/>
      <c r="H2515" s="41"/>
      <c r="I2515" s="41"/>
      <c r="J2515" s="41"/>
      <c r="K2515" s="41"/>
      <c r="L2515" s="42"/>
      <c r="M2515" s="121"/>
      <c r="N2515" s="121"/>
      <c r="O2515" s="121"/>
      <c r="P2515" s="121"/>
      <c r="Q2515" s="121"/>
      <c r="R2515" s="121"/>
      <c r="S2515" s="121"/>
      <c r="T2515" s="42"/>
      <c r="U2515" s="122"/>
      <c r="V2515" s="42"/>
      <c r="W2515" s="42"/>
      <c r="X2515" s="42"/>
      <c r="Y2515" s="42"/>
      <c r="Z2515" s="42"/>
      <c r="AA2515" s="42"/>
      <c r="AB2515" s="42"/>
    </row>
    <row r="2516" spans="1:28" x14ac:dyDescent="0.25">
      <c r="A2516" s="42"/>
      <c r="B2516" s="121"/>
      <c r="C2516" s="41"/>
      <c r="D2516" s="41"/>
      <c r="E2516" s="41"/>
      <c r="F2516" s="41"/>
      <c r="G2516" s="41"/>
      <c r="H2516" s="41"/>
      <c r="I2516" s="41"/>
      <c r="J2516" s="41"/>
      <c r="K2516" s="41"/>
      <c r="L2516" s="42"/>
      <c r="M2516" s="121"/>
      <c r="N2516" s="121"/>
      <c r="O2516" s="121"/>
      <c r="P2516" s="121"/>
      <c r="Q2516" s="121"/>
      <c r="R2516" s="121"/>
      <c r="S2516" s="121"/>
      <c r="T2516" s="42"/>
      <c r="U2516" s="122"/>
      <c r="V2516" s="42"/>
      <c r="W2516" s="42"/>
      <c r="X2516" s="42"/>
      <c r="Y2516" s="42"/>
      <c r="Z2516" s="42"/>
      <c r="AA2516" s="42"/>
      <c r="AB2516" s="42"/>
    </row>
    <row r="2517" spans="1:28" x14ac:dyDescent="0.25">
      <c r="A2517" s="42"/>
      <c r="B2517" s="121"/>
      <c r="C2517" s="41"/>
      <c r="D2517" s="41"/>
      <c r="E2517" s="41"/>
      <c r="F2517" s="41"/>
      <c r="G2517" s="41"/>
      <c r="H2517" s="41"/>
      <c r="I2517" s="41"/>
      <c r="J2517" s="41"/>
      <c r="K2517" s="41"/>
      <c r="L2517" s="42"/>
      <c r="M2517" s="121"/>
      <c r="N2517" s="121"/>
      <c r="O2517" s="121"/>
      <c r="P2517" s="121"/>
      <c r="Q2517" s="121"/>
      <c r="R2517" s="121"/>
      <c r="S2517" s="121"/>
      <c r="T2517" s="42"/>
      <c r="U2517" s="122"/>
      <c r="V2517" s="42"/>
      <c r="W2517" s="42"/>
      <c r="X2517" s="42"/>
      <c r="Y2517" s="42"/>
      <c r="Z2517" s="42"/>
      <c r="AA2517" s="42"/>
      <c r="AB2517" s="42"/>
    </row>
    <row r="2518" spans="1:28" x14ac:dyDescent="0.25">
      <c r="A2518" s="42"/>
      <c r="B2518" s="121"/>
      <c r="C2518" s="41"/>
      <c r="D2518" s="41"/>
      <c r="E2518" s="41"/>
      <c r="F2518" s="41"/>
      <c r="G2518" s="41"/>
      <c r="H2518" s="41"/>
      <c r="I2518" s="41"/>
      <c r="J2518" s="41"/>
      <c r="K2518" s="41"/>
      <c r="L2518" s="42"/>
      <c r="M2518" s="121"/>
      <c r="N2518" s="121"/>
      <c r="O2518" s="121"/>
      <c r="P2518" s="121"/>
      <c r="Q2518" s="121"/>
      <c r="R2518" s="121"/>
      <c r="S2518" s="121"/>
      <c r="T2518" s="42"/>
      <c r="U2518" s="122"/>
      <c r="V2518" s="42"/>
      <c r="W2518" s="42"/>
      <c r="X2518" s="42"/>
      <c r="Y2518" s="42"/>
      <c r="Z2518" s="42"/>
      <c r="AA2518" s="42"/>
      <c r="AB2518" s="42"/>
    </row>
    <row r="2519" spans="1:28" x14ac:dyDescent="0.25">
      <c r="A2519" s="42"/>
      <c r="B2519" s="121"/>
      <c r="C2519" s="41"/>
      <c r="D2519" s="41"/>
      <c r="E2519" s="41"/>
      <c r="F2519" s="41"/>
      <c r="G2519" s="41"/>
      <c r="H2519" s="41"/>
      <c r="I2519" s="41"/>
      <c r="J2519" s="41"/>
      <c r="K2519" s="41"/>
      <c r="L2519" s="42"/>
      <c r="M2519" s="121"/>
      <c r="N2519" s="121"/>
      <c r="O2519" s="121"/>
      <c r="P2519" s="121"/>
      <c r="Q2519" s="121"/>
      <c r="R2519" s="121"/>
      <c r="S2519" s="121"/>
      <c r="T2519" s="42"/>
      <c r="U2519" s="122"/>
      <c r="V2519" s="42"/>
      <c r="W2519" s="42"/>
      <c r="X2519" s="42"/>
      <c r="Y2519" s="42"/>
      <c r="Z2519" s="42"/>
      <c r="AA2519" s="42"/>
      <c r="AB2519" s="42"/>
    </row>
    <row r="2520" spans="1:28" x14ac:dyDescent="0.25">
      <c r="A2520" s="42"/>
      <c r="B2520" s="121"/>
      <c r="C2520" s="41"/>
      <c r="D2520" s="41"/>
      <c r="E2520" s="41"/>
      <c r="F2520" s="41"/>
      <c r="G2520" s="41"/>
      <c r="H2520" s="41"/>
      <c r="I2520" s="41"/>
      <c r="J2520" s="41"/>
      <c r="K2520" s="41"/>
      <c r="L2520" s="42"/>
      <c r="M2520" s="121"/>
      <c r="N2520" s="121"/>
      <c r="O2520" s="121"/>
      <c r="P2520" s="121"/>
      <c r="Q2520" s="121"/>
      <c r="R2520" s="121"/>
      <c r="S2520" s="121"/>
      <c r="T2520" s="42"/>
      <c r="U2520" s="122"/>
      <c r="V2520" s="42"/>
      <c r="W2520" s="42"/>
      <c r="X2520" s="42"/>
      <c r="Y2520" s="42"/>
      <c r="Z2520" s="42"/>
      <c r="AA2520" s="42"/>
      <c r="AB2520" s="42"/>
    </row>
    <row r="2521" spans="1:28" x14ac:dyDescent="0.25">
      <c r="A2521" s="42"/>
      <c r="B2521" s="121"/>
      <c r="C2521" s="41"/>
      <c r="D2521" s="41"/>
      <c r="E2521" s="41"/>
      <c r="F2521" s="41"/>
      <c r="G2521" s="41"/>
      <c r="H2521" s="41"/>
      <c r="I2521" s="41"/>
      <c r="J2521" s="41"/>
      <c r="K2521" s="41"/>
      <c r="L2521" s="42"/>
      <c r="M2521" s="121"/>
      <c r="N2521" s="121"/>
      <c r="O2521" s="121"/>
      <c r="P2521" s="121"/>
      <c r="Q2521" s="121"/>
      <c r="R2521" s="121"/>
      <c r="S2521" s="121"/>
      <c r="T2521" s="42"/>
      <c r="U2521" s="122"/>
      <c r="V2521" s="42"/>
      <c r="W2521" s="42"/>
      <c r="X2521" s="42"/>
      <c r="Y2521" s="42"/>
      <c r="Z2521" s="42"/>
      <c r="AA2521" s="42"/>
      <c r="AB2521" s="42"/>
    </row>
    <row r="2522" spans="1:28" x14ac:dyDescent="0.25">
      <c r="A2522" s="42"/>
      <c r="B2522" s="121"/>
      <c r="C2522" s="41"/>
      <c r="D2522" s="41"/>
      <c r="E2522" s="41"/>
      <c r="F2522" s="41"/>
      <c r="G2522" s="41"/>
      <c r="H2522" s="41"/>
      <c r="I2522" s="41"/>
      <c r="J2522" s="41"/>
      <c r="K2522" s="41"/>
      <c r="L2522" s="42"/>
      <c r="M2522" s="121"/>
      <c r="N2522" s="121"/>
      <c r="O2522" s="121"/>
      <c r="P2522" s="121"/>
      <c r="Q2522" s="121"/>
      <c r="R2522" s="121"/>
      <c r="S2522" s="121"/>
      <c r="T2522" s="42"/>
      <c r="U2522" s="122"/>
      <c r="V2522" s="42"/>
      <c r="W2522" s="42"/>
      <c r="X2522" s="42"/>
      <c r="Y2522" s="42"/>
      <c r="Z2522" s="42"/>
      <c r="AA2522" s="42"/>
      <c r="AB2522" s="42"/>
    </row>
    <row r="2523" spans="1:28" x14ac:dyDescent="0.25">
      <c r="A2523" s="42"/>
      <c r="B2523" s="121"/>
      <c r="C2523" s="41"/>
      <c r="D2523" s="41"/>
      <c r="E2523" s="41"/>
      <c r="F2523" s="41"/>
      <c r="G2523" s="41"/>
      <c r="H2523" s="41"/>
      <c r="I2523" s="41"/>
      <c r="J2523" s="41"/>
      <c r="K2523" s="41"/>
      <c r="L2523" s="42"/>
      <c r="M2523" s="121"/>
      <c r="N2523" s="121"/>
      <c r="O2523" s="121"/>
      <c r="P2523" s="121"/>
      <c r="Q2523" s="121"/>
      <c r="R2523" s="121"/>
      <c r="S2523" s="121"/>
      <c r="T2523" s="42"/>
      <c r="U2523" s="122"/>
      <c r="V2523" s="42"/>
      <c r="W2523" s="42"/>
      <c r="X2523" s="42"/>
      <c r="Y2523" s="42"/>
      <c r="Z2523" s="42"/>
      <c r="AA2523" s="42"/>
      <c r="AB2523" s="42"/>
    </row>
    <row r="2524" spans="1:28" x14ac:dyDescent="0.25">
      <c r="A2524" s="42"/>
      <c r="B2524" s="121"/>
      <c r="C2524" s="41"/>
      <c r="D2524" s="41"/>
      <c r="E2524" s="41"/>
      <c r="F2524" s="41"/>
      <c r="G2524" s="41"/>
      <c r="H2524" s="41"/>
      <c r="I2524" s="41"/>
      <c r="J2524" s="41"/>
      <c r="K2524" s="41"/>
      <c r="L2524" s="42"/>
      <c r="M2524" s="121"/>
      <c r="N2524" s="121"/>
      <c r="O2524" s="121"/>
      <c r="P2524" s="121"/>
      <c r="Q2524" s="121"/>
      <c r="R2524" s="121"/>
      <c r="S2524" s="121"/>
      <c r="T2524" s="42"/>
      <c r="U2524" s="122"/>
      <c r="V2524" s="42"/>
      <c r="W2524" s="42"/>
      <c r="X2524" s="42"/>
      <c r="Y2524" s="42"/>
      <c r="Z2524" s="42"/>
      <c r="AA2524" s="42"/>
      <c r="AB2524" s="42"/>
    </row>
    <row r="2525" spans="1:28" x14ac:dyDescent="0.25">
      <c r="A2525" s="42"/>
      <c r="B2525" s="121"/>
      <c r="C2525" s="41"/>
      <c r="D2525" s="41"/>
      <c r="E2525" s="41"/>
      <c r="F2525" s="41"/>
      <c r="G2525" s="41"/>
      <c r="H2525" s="41"/>
      <c r="I2525" s="41"/>
      <c r="J2525" s="41"/>
      <c r="K2525" s="41"/>
      <c r="L2525" s="42"/>
      <c r="M2525" s="121"/>
      <c r="N2525" s="121"/>
      <c r="O2525" s="121"/>
      <c r="P2525" s="121"/>
      <c r="Q2525" s="121"/>
      <c r="R2525" s="121"/>
      <c r="S2525" s="121"/>
      <c r="T2525" s="42"/>
      <c r="U2525" s="122"/>
      <c r="V2525" s="42"/>
      <c r="W2525" s="42"/>
      <c r="X2525" s="42"/>
      <c r="Y2525" s="42"/>
      <c r="Z2525" s="42"/>
      <c r="AA2525" s="42"/>
      <c r="AB2525" s="42"/>
    </row>
    <row r="2526" spans="1:28" x14ac:dyDescent="0.25">
      <c r="A2526" s="42"/>
      <c r="B2526" s="121"/>
      <c r="C2526" s="41"/>
      <c r="D2526" s="41"/>
      <c r="E2526" s="41"/>
      <c r="F2526" s="41"/>
      <c r="G2526" s="41"/>
      <c r="H2526" s="41"/>
      <c r="I2526" s="41"/>
      <c r="J2526" s="41"/>
      <c r="K2526" s="41"/>
      <c r="L2526" s="42"/>
      <c r="M2526" s="121"/>
      <c r="N2526" s="121"/>
      <c r="O2526" s="121"/>
      <c r="P2526" s="121"/>
      <c r="Q2526" s="121"/>
      <c r="R2526" s="121"/>
      <c r="S2526" s="121"/>
      <c r="T2526" s="42"/>
      <c r="U2526" s="122"/>
      <c r="V2526" s="42"/>
      <c r="W2526" s="42"/>
      <c r="X2526" s="42"/>
      <c r="Y2526" s="42"/>
      <c r="Z2526" s="42"/>
      <c r="AA2526" s="42"/>
      <c r="AB2526" s="42"/>
    </row>
    <row r="2527" spans="1:28" x14ac:dyDescent="0.25">
      <c r="A2527" s="42"/>
      <c r="B2527" s="121"/>
      <c r="C2527" s="41"/>
      <c r="D2527" s="41"/>
      <c r="E2527" s="41"/>
      <c r="F2527" s="41"/>
      <c r="G2527" s="41"/>
      <c r="H2527" s="41"/>
      <c r="I2527" s="41"/>
      <c r="J2527" s="41"/>
      <c r="K2527" s="41"/>
      <c r="L2527" s="42"/>
      <c r="M2527" s="121"/>
      <c r="N2527" s="121"/>
      <c r="O2527" s="121"/>
      <c r="P2527" s="121"/>
      <c r="Q2527" s="121"/>
      <c r="R2527" s="121"/>
      <c r="S2527" s="121"/>
      <c r="T2527" s="42"/>
      <c r="U2527" s="122"/>
      <c r="V2527" s="42"/>
      <c r="W2527" s="42"/>
      <c r="X2527" s="42"/>
      <c r="Y2527" s="42"/>
      <c r="Z2527" s="42"/>
      <c r="AA2527" s="42"/>
      <c r="AB2527" s="42"/>
    </row>
    <row r="2528" spans="1:28" x14ac:dyDescent="0.25">
      <c r="A2528" s="42"/>
      <c r="B2528" s="121"/>
      <c r="C2528" s="41"/>
      <c r="D2528" s="41"/>
      <c r="E2528" s="41"/>
      <c r="F2528" s="41"/>
      <c r="G2528" s="41"/>
      <c r="H2528" s="41"/>
      <c r="I2528" s="41"/>
      <c r="J2528" s="41"/>
      <c r="K2528" s="41"/>
      <c r="L2528" s="42"/>
      <c r="M2528" s="121"/>
      <c r="N2528" s="121"/>
      <c r="O2528" s="121"/>
      <c r="P2528" s="121"/>
      <c r="Q2528" s="121"/>
      <c r="R2528" s="121"/>
      <c r="S2528" s="121"/>
      <c r="T2528" s="42"/>
      <c r="U2528" s="122"/>
      <c r="V2528" s="42"/>
      <c r="W2528" s="42"/>
      <c r="X2528" s="42"/>
      <c r="Y2528" s="42"/>
      <c r="Z2528" s="42"/>
      <c r="AA2528" s="42"/>
      <c r="AB2528" s="42"/>
    </row>
    <row r="2529" spans="1:28" x14ac:dyDescent="0.25">
      <c r="A2529" s="42"/>
      <c r="B2529" s="121"/>
      <c r="C2529" s="41"/>
      <c r="D2529" s="41"/>
      <c r="E2529" s="41"/>
      <c r="F2529" s="41"/>
      <c r="G2529" s="41"/>
      <c r="H2529" s="41"/>
      <c r="I2529" s="41"/>
      <c r="J2529" s="41"/>
      <c r="K2529" s="41"/>
      <c r="L2529" s="42"/>
      <c r="M2529" s="121"/>
      <c r="N2529" s="121"/>
      <c r="O2529" s="121"/>
      <c r="P2529" s="121"/>
      <c r="Q2529" s="121"/>
      <c r="R2529" s="121"/>
      <c r="S2529" s="121"/>
      <c r="T2529" s="42"/>
      <c r="U2529" s="122"/>
      <c r="V2529" s="42"/>
      <c r="W2529" s="42"/>
      <c r="X2529" s="42"/>
      <c r="Y2529" s="42"/>
      <c r="Z2529" s="42"/>
      <c r="AA2529" s="42"/>
      <c r="AB2529" s="42"/>
    </row>
    <row r="2530" spans="1:28" x14ac:dyDescent="0.25">
      <c r="A2530" s="42"/>
      <c r="B2530" s="121"/>
      <c r="C2530" s="41"/>
      <c r="D2530" s="41"/>
      <c r="E2530" s="41"/>
      <c r="F2530" s="41"/>
      <c r="G2530" s="41"/>
      <c r="H2530" s="41"/>
      <c r="I2530" s="41"/>
      <c r="J2530" s="41"/>
      <c r="K2530" s="41"/>
      <c r="L2530" s="42"/>
      <c r="M2530" s="121"/>
      <c r="N2530" s="121"/>
      <c r="O2530" s="121"/>
      <c r="P2530" s="121"/>
      <c r="Q2530" s="121"/>
      <c r="R2530" s="121"/>
      <c r="S2530" s="121"/>
      <c r="T2530" s="42"/>
      <c r="U2530" s="122"/>
      <c r="V2530" s="42"/>
      <c r="W2530" s="42"/>
      <c r="X2530" s="42"/>
      <c r="Y2530" s="42"/>
      <c r="Z2530" s="42"/>
      <c r="AA2530" s="42"/>
      <c r="AB2530" s="42"/>
    </row>
    <row r="2531" spans="1:28" x14ac:dyDescent="0.25">
      <c r="A2531" s="42"/>
      <c r="B2531" s="121"/>
      <c r="C2531" s="41"/>
      <c r="D2531" s="41"/>
      <c r="E2531" s="41"/>
      <c r="F2531" s="41"/>
      <c r="G2531" s="41"/>
      <c r="H2531" s="41"/>
      <c r="I2531" s="41"/>
      <c r="J2531" s="41"/>
      <c r="K2531" s="41"/>
      <c r="L2531" s="42"/>
      <c r="M2531" s="121"/>
      <c r="N2531" s="121"/>
      <c r="O2531" s="121"/>
      <c r="P2531" s="121"/>
      <c r="Q2531" s="121"/>
      <c r="R2531" s="121"/>
      <c r="S2531" s="121"/>
      <c r="T2531" s="42"/>
      <c r="U2531" s="122"/>
      <c r="V2531" s="42"/>
      <c r="W2531" s="42"/>
      <c r="X2531" s="42"/>
      <c r="Y2531" s="42"/>
      <c r="Z2531" s="42"/>
      <c r="AA2531" s="42"/>
      <c r="AB2531" s="42"/>
    </row>
    <row r="2532" spans="1:28" x14ac:dyDescent="0.25">
      <c r="A2532" s="42"/>
      <c r="B2532" s="121"/>
      <c r="C2532" s="41"/>
      <c r="D2532" s="41"/>
      <c r="E2532" s="41"/>
      <c r="F2532" s="41"/>
      <c r="G2532" s="41"/>
      <c r="H2532" s="41"/>
      <c r="I2532" s="41"/>
      <c r="J2532" s="41"/>
      <c r="K2532" s="41"/>
      <c r="L2532" s="42"/>
      <c r="M2532" s="121"/>
      <c r="N2532" s="121"/>
      <c r="O2532" s="121"/>
      <c r="P2532" s="121"/>
      <c r="Q2532" s="121"/>
      <c r="R2532" s="121"/>
      <c r="S2532" s="121"/>
      <c r="T2532" s="42"/>
      <c r="U2532" s="122"/>
      <c r="V2532" s="42"/>
      <c r="W2532" s="42"/>
      <c r="X2532" s="42"/>
      <c r="Y2532" s="42"/>
      <c r="Z2532" s="42"/>
      <c r="AA2532" s="42"/>
      <c r="AB2532" s="42"/>
    </row>
    <row r="2533" spans="1:28" x14ac:dyDescent="0.25">
      <c r="A2533" s="42"/>
      <c r="B2533" s="121"/>
      <c r="C2533" s="41"/>
      <c r="D2533" s="41"/>
      <c r="E2533" s="41"/>
      <c r="F2533" s="41"/>
      <c r="G2533" s="41"/>
      <c r="H2533" s="41"/>
      <c r="I2533" s="41"/>
      <c r="J2533" s="41"/>
      <c r="K2533" s="41"/>
      <c r="L2533" s="42"/>
      <c r="M2533" s="121"/>
      <c r="N2533" s="121"/>
      <c r="O2533" s="121"/>
      <c r="P2533" s="121"/>
      <c r="Q2533" s="121"/>
      <c r="R2533" s="121"/>
      <c r="S2533" s="121"/>
      <c r="T2533" s="42"/>
      <c r="U2533" s="122"/>
      <c r="V2533" s="42"/>
      <c r="W2533" s="42"/>
      <c r="X2533" s="42"/>
      <c r="Y2533" s="42"/>
      <c r="Z2533" s="42"/>
      <c r="AA2533" s="42"/>
      <c r="AB2533" s="42"/>
    </row>
    <row r="2534" spans="1:28" x14ac:dyDescent="0.25">
      <c r="A2534" s="42"/>
      <c r="B2534" s="121"/>
      <c r="C2534" s="41"/>
      <c r="D2534" s="41"/>
      <c r="E2534" s="41"/>
      <c r="F2534" s="41"/>
      <c r="G2534" s="41"/>
      <c r="H2534" s="41"/>
      <c r="I2534" s="41"/>
      <c r="J2534" s="41"/>
      <c r="K2534" s="41"/>
      <c r="L2534" s="42"/>
      <c r="M2534" s="121"/>
      <c r="N2534" s="121"/>
      <c r="O2534" s="121"/>
      <c r="P2534" s="121"/>
      <c r="Q2534" s="121"/>
      <c r="R2534" s="121"/>
      <c r="S2534" s="121"/>
      <c r="T2534" s="42"/>
      <c r="U2534" s="122"/>
      <c r="V2534" s="42"/>
      <c r="W2534" s="42"/>
      <c r="X2534" s="42"/>
      <c r="Y2534" s="42"/>
      <c r="Z2534" s="42"/>
      <c r="AA2534" s="42"/>
      <c r="AB2534" s="42"/>
    </row>
    <row r="2535" spans="1:28" x14ac:dyDescent="0.25">
      <c r="A2535" s="42"/>
      <c r="B2535" s="121"/>
      <c r="C2535" s="41"/>
      <c r="D2535" s="41"/>
      <c r="E2535" s="41"/>
      <c r="F2535" s="41"/>
      <c r="G2535" s="41"/>
      <c r="H2535" s="41"/>
      <c r="I2535" s="41"/>
      <c r="J2535" s="41"/>
      <c r="K2535" s="41"/>
      <c r="L2535" s="42"/>
      <c r="M2535" s="121"/>
      <c r="N2535" s="121"/>
      <c r="O2535" s="121"/>
      <c r="P2535" s="121"/>
      <c r="Q2535" s="121"/>
      <c r="R2535" s="121"/>
      <c r="S2535" s="121"/>
      <c r="T2535" s="42"/>
      <c r="U2535" s="122"/>
      <c r="V2535" s="42"/>
      <c r="W2535" s="42"/>
      <c r="X2535" s="42"/>
      <c r="Y2535" s="42"/>
      <c r="Z2535" s="42"/>
      <c r="AA2535" s="42"/>
      <c r="AB2535" s="42"/>
    </row>
    <row r="2536" spans="1:28" x14ac:dyDescent="0.25">
      <c r="A2536" s="42"/>
      <c r="B2536" s="121"/>
      <c r="C2536" s="41"/>
      <c r="D2536" s="41"/>
      <c r="E2536" s="41"/>
      <c r="F2536" s="41"/>
      <c r="G2536" s="41"/>
      <c r="H2536" s="41"/>
      <c r="I2536" s="41"/>
      <c r="J2536" s="41"/>
      <c r="K2536" s="41"/>
      <c r="L2536" s="42"/>
      <c r="M2536" s="121"/>
      <c r="N2536" s="121"/>
      <c r="O2536" s="121"/>
      <c r="P2536" s="121"/>
      <c r="Q2536" s="121"/>
      <c r="R2536" s="121"/>
      <c r="S2536" s="121"/>
      <c r="T2536" s="42"/>
      <c r="U2536" s="122"/>
      <c r="V2536" s="42"/>
      <c r="W2536" s="42"/>
      <c r="X2536" s="42"/>
      <c r="Y2536" s="42"/>
      <c r="Z2536" s="42"/>
      <c r="AA2536" s="42"/>
      <c r="AB2536" s="42"/>
    </row>
    <row r="2537" spans="1:28" x14ac:dyDescent="0.25">
      <c r="A2537" s="42"/>
      <c r="B2537" s="121"/>
      <c r="C2537" s="41"/>
      <c r="D2537" s="41"/>
      <c r="E2537" s="41"/>
      <c r="F2537" s="41"/>
      <c r="G2537" s="41"/>
      <c r="H2537" s="41"/>
      <c r="I2537" s="41"/>
      <c r="J2537" s="41"/>
      <c r="K2537" s="41"/>
      <c r="L2537" s="42"/>
      <c r="M2537" s="121"/>
      <c r="N2537" s="121"/>
      <c r="O2537" s="121"/>
      <c r="P2537" s="121"/>
      <c r="Q2537" s="121"/>
      <c r="R2537" s="121"/>
      <c r="S2537" s="121"/>
      <c r="T2537" s="42"/>
      <c r="U2537" s="122"/>
      <c r="V2537" s="42"/>
      <c r="W2537" s="42"/>
      <c r="X2537" s="42"/>
      <c r="Y2537" s="42"/>
      <c r="Z2537" s="42"/>
      <c r="AA2537" s="42"/>
      <c r="AB2537" s="42"/>
    </row>
    <row r="2538" spans="1:28" x14ac:dyDescent="0.25">
      <c r="A2538" s="42"/>
      <c r="B2538" s="121"/>
      <c r="C2538" s="41"/>
      <c r="D2538" s="41"/>
      <c r="E2538" s="41"/>
      <c r="F2538" s="41"/>
      <c r="G2538" s="41"/>
      <c r="H2538" s="41"/>
      <c r="I2538" s="41"/>
      <c r="J2538" s="41"/>
      <c r="K2538" s="41"/>
      <c r="L2538" s="42"/>
      <c r="M2538" s="121"/>
      <c r="N2538" s="121"/>
      <c r="O2538" s="121"/>
      <c r="P2538" s="121"/>
      <c r="Q2538" s="121"/>
      <c r="R2538" s="121"/>
      <c r="S2538" s="121"/>
      <c r="T2538" s="42"/>
      <c r="U2538" s="122"/>
      <c r="V2538" s="42"/>
      <c r="W2538" s="42"/>
      <c r="X2538" s="42"/>
      <c r="Y2538" s="42"/>
      <c r="Z2538" s="42"/>
      <c r="AA2538" s="42"/>
      <c r="AB2538" s="42"/>
    </row>
    <row r="2539" spans="1:28" x14ac:dyDescent="0.25">
      <c r="A2539" s="42"/>
      <c r="B2539" s="121"/>
      <c r="C2539" s="41"/>
      <c r="D2539" s="41"/>
      <c r="E2539" s="41"/>
      <c r="F2539" s="41"/>
      <c r="G2539" s="41"/>
      <c r="H2539" s="41"/>
      <c r="I2539" s="41"/>
      <c r="J2539" s="41"/>
      <c r="K2539" s="41"/>
      <c r="L2539" s="42"/>
      <c r="M2539" s="121"/>
      <c r="N2539" s="121"/>
      <c r="O2539" s="121"/>
      <c r="P2539" s="121"/>
      <c r="Q2539" s="121"/>
      <c r="R2539" s="121"/>
      <c r="S2539" s="121"/>
      <c r="T2539" s="42"/>
      <c r="U2539" s="122"/>
      <c r="V2539" s="42"/>
      <c r="W2539" s="42"/>
      <c r="X2539" s="42"/>
      <c r="Y2539" s="42"/>
      <c r="Z2539" s="42"/>
      <c r="AA2539" s="42"/>
      <c r="AB2539" s="42"/>
    </row>
    <row r="2540" spans="1:28" x14ac:dyDescent="0.25">
      <c r="A2540" s="42"/>
      <c r="B2540" s="121"/>
      <c r="C2540" s="41"/>
      <c r="D2540" s="41"/>
      <c r="E2540" s="41"/>
      <c r="F2540" s="41"/>
      <c r="G2540" s="41"/>
      <c r="H2540" s="41"/>
      <c r="I2540" s="41"/>
      <c r="J2540" s="41"/>
      <c r="K2540" s="41"/>
      <c r="L2540" s="42"/>
      <c r="M2540" s="121"/>
      <c r="N2540" s="121"/>
      <c r="O2540" s="121"/>
      <c r="P2540" s="121"/>
      <c r="Q2540" s="121"/>
      <c r="R2540" s="121"/>
      <c r="S2540" s="121"/>
      <c r="T2540" s="42"/>
      <c r="U2540" s="122"/>
      <c r="V2540" s="42"/>
      <c r="W2540" s="42"/>
      <c r="X2540" s="42"/>
      <c r="Y2540" s="42"/>
      <c r="Z2540" s="42"/>
      <c r="AA2540" s="42"/>
      <c r="AB2540" s="42"/>
    </row>
    <row r="2541" spans="1:28" x14ac:dyDescent="0.25">
      <c r="A2541" s="42"/>
      <c r="B2541" s="121"/>
      <c r="C2541" s="41"/>
      <c r="D2541" s="41"/>
      <c r="E2541" s="41"/>
      <c r="F2541" s="41"/>
      <c r="G2541" s="41"/>
      <c r="H2541" s="41"/>
      <c r="I2541" s="41"/>
      <c r="J2541" s="41"/>
      <c r="K2541" s="41"/>
      <c r="L2541" s="42"/>
      <c r="M2541" s="121"/>
      <c r="N2541" s="121"/>
      <c r="O2541" s="121"/>
      <c r="P2541" s="121"/>
      <c r="Q2541" s="121"/>
      <c r="R2541" s="121"/>
      <c r="S2541" s="121"/>
      <c r="T2541" s="42"/>
      <c r="U2541" s="122"/>
      <c r="V2541" s="42"/>
      <c r="W2541" s="42"/>
      <c r="X2541" s="42"/>
      <c r="Y2541" s="42"/>
      <c r="Z2541" s="42"/>
      <c r="AA2541" s="42"/>
      <c r="AB2541" s="42"/>
    </row>
    <row r="2542" spans="1:28" x14ac:dyDescent="0.25">
      <c r="A2542" s="42"/>
      <c r="B2542" s="121"/>
      <c r="C2542" s="41"/>
      <c r="D2542" s="41"/>
      <c r="E2542" s="41"/>
      <c r="F2542" s="41"/>
      <c r="G2542" s="41"/>
      <c r="H2542" s="41"/>
      <c r="I2542" s="41"/>
      <c r="J2542" s="41"/>
      <c r="K2542" s="41"/>
      <c r="L2542" s="42"/>
      <c r="M2542" s="121"/>
      <c r="N2542" s="121"/>
      <c r="O2542" s="121"/>
      <c r="P2542" s="121"/>
      <c r="Q2542" s="121"/>
      <c r="R2542" s="121"/>
      <c r="S2542" s="121"/>
      <c r="T2542" s="42"/>
      <c r="U2542" s="122"/>
      <c r="V2542" s="42"/>
      <c r="W2542" s="42"/>
      <c r="X2542" s="42"/>
      <c r="Y2542" s="42"/>
      <c r="Z2542" s="42"/>
      <c r="AA2542" s="42"/>
      <c r="AB2542" s="42"/>
    </row>
    <row r="2543" spans="1:28" x14ac:dyDescent="0.25">
      <c r="A2543" s="42"/>
      <c r="B2543" s="121"/>
      <c r="C2543" s="41"/>
      <c r="D2543" s="41"/>
      <c r="E2543" s="41"/>
      <c r="F2543" s="41"/>
      <c r="G2543" s="41"/>
      <c r="H2543" s="41"/>
      <c r="I2543" s="41"/>
      <c r="J2543" s="41"/>
      <c r="K2543" s="41"/>
      <c r="L2543" s="42"/>
      <c r="M2543" s="121"/>
      <c r="N2543" s="121"/>
      <c r="O2543" s="121"/>
      <c r="P2543" s="121"/>
      <c r="Q2543" s="121"/>
      <c r="R2543" s="121"/>
      <c r="S2543" s="121"/>
      <c r="T2543" s="42"/>
      <c r="U2543" s="122"/>
      <c r="V2543" s="42"/>
      <c r="W2543" s="42"/>
      <c r="X2543" s="42"/>
      <c r="Y2543" s="42"/>
      <c r="Z2543" s="42"/>
      <c r="AA2543" s="42"/>
      <c r="AB2543" s="42"/>
    </row>
    <row r="2544" spans="1:28" x14ac:dyDescent="0.25">
      <c r="A2544" s="42"/>
      <c r="B2544" s="121"/>
      <c r="C2544" s="41"/>
      <c r="D2544" s="41"/>
      <c r="E2544" s="41"/>
      <c r="F2544" s="41"/>
      <c r="G2544" s="41"/>
      <c r="H2544" s="41"/>
      <c r="I2544" s="41"/>
      <c r="J2544" s="41"/>
      <c r="K2544" s="41"/>
      <c r="L2544" s="42"/>
      <c r="M2544" s="121"/>
      <c r="N2544" s="121"/>
      <c r="O2544" s="121"/>
      <c r="P2544" s="121"/>
      <c r="Q2544" s="121"/>
      <c r="R2544" s="121"/>
      <c r="S2544" s="121"/>
      <c r="T2544" s="42"/>
      <c r="U2544" s="122"/>
      <c r="V2544" s="42"/>
      <c r="W2544" s="42"/>
      <c r="X2544" s="42"/>
      <c r="Y2544" s="42"/>
      <c r="Z2544" s="42"/>
      <c r="AA2544" s="42"/>
      <c r="AB2544" s="42"/>
    </row>
    <row r="2545" spans="1:28" x14ac:dyDescent="0.25">
      <c r="A2545" s="42"/>
      <c r="B2545" s="121"/>
      <c r="C2545" s="41"/>
      <c r="D2545" s="41"/>
      <c r="E2545" s="41"/>
      <c r="F2545" s="41"/>
      <c r="G2545" s="41"/>
      <c r="H2545" s="41"/>
      <c r="I2545" s="41"/>
      <c r="J2545" s="41"/>
      <c r="K2545" s="41"/>
      <c r="L2545" s="42"/>
      <c r="M2545" s="121"/>
      <c r="N2545" s="121"/>
      <c r="O2545" s="121"/>
      <c r="P2545" s="121"/>
      <c r="Q2545" s="121"/>
      <c r="R2545" s="121"/>
      <c r="S2545" s="121"/>
      <c r="T2545" s="42"/>
      <c r="U2545" s="122"/>
      <c r="V2545" s="42"/>
      <c r="W2545" s="42"/>
      <c r="X2545" s="42"/>
      <c r="Y2545" s="42"/>
      <c r="Z2545" s="42"/>
      <c r="AA2545" s="42"/>
      <c r="AB2545" s="42"/>
    </row>
    <row r="2546" spans="1:28" x14ac:dyDescent="0.25">
      <c r="A2546" s="42"/>
      <c r="B2546" s="121"/>
      <c r="C2546" s="41"/>
      <c r="D2546" s="41"/>
      <c r="E2546" s="41"/>
      <c r="F2546" s="41"/>
      <c r="G2546" s="41"/>
      <c r="H2546" s="41"/>
      <c r="I2546" s="41"/>
      <c r="J2546" s="41"/>
      <c r="K2546" s="41"/>
      <c r="L2546" s="42"/>
      <c r="M2546" s="121"/>
      <c r="N2546" s="121"/>
      <c r="O2546" s="121"/>
      <c r="P2546" s="121"/>
      <c r="Q2546" s="121"/>
      <c r="R2546" s="121"/>
      <c r="S2546" s="121"/>
      <c r="T2546" s="42"/>
      <c r="U2546" s="122"/>
      <c r="V2546" s="42"/>
      <c r="W2546" s="42"/>
      <c r="X2546" s="42"/>
      <c r="Y2546" s="42"/>
      <c r="Z2546" s="42"/>
      <c r="AA2546" s="42"/>
      <c r="AB2546" s="42"/>
    </row>
    <row r="2547" spans="1:28" x14ac:dyDescent="0.25">
      <c r="A2547" s="42"/>
      <c r="B2547" s="121"/>
      <c r="C2547" s="41"/>
      <c r="D2547" s="41"/>
      <c r="E2547" s="41"/>
      <c r="F2547" s="41"/>
      <c r="G2547" s="41"/>
      <c r="H2547" s="41"/>
      <c r="I2547" s="41"/>
      <c r="J2547" s="41"/>
      <c r="K2547" s="41"/>
      <c r="L2547" s="42"/>
      <c r="M2547" s="121"/>
      <c r="N2547" s="121"/>
      <c r="O2547" s="121"/>
      <c r="P2547" s="121"/>
      <c r="Q2547" s="121"/>
      <c r="R2547" s="121"/>
      <c r="S2547" s="121"/>
      <c r="T2547" s="42"/>
      <c r="U2547" s="122"/>
      <c r="V2547" s="42"/>
      <c r="W2547" s="42"/>
      <c r="X2547" s="42"/>
      <c r="Y2547" s="42"/>
      <c r="Z2547" s="42"/>
      <c r="AA2547" s="42"/>
      <c r="AB2547" s="42"/>
    </row>
    <row r="2548" spans="1:28" x14ac:dyDescent="0.25">
      <c r="A2548" s="42"/>
      <c r="B2548" s="121"/>
      <c r="C2548" s="41"/>
      <c r="D2548" s="41"/>
      <c r="E2548" s="41"/>
      <c r="F2548" s="41"/>
      <c r="G2548" s="41"/>
      <c r="H2548" s="41"/>
      <c r="I2548" s="41"/>
      <c r="J2548" s="41"/>
      <c r="K2548" s="41"/>
      <c r="L2548" s="42"/>
      <c r="M2548" s="121"/>
      <c r="N2548" s="121"/>
      <c r="O2548" s="121"/>
      <c r="P2548" s="121"/>
      <c r="Q2548" s="121"/>
      <c r="R2548" s="121"/>
      <c r="S2548" s="121"/>
      <c r="T2548" s="42"/>
      <c r="U2548" s="122"/>
      <c r="V2548" s="42"/>
      <c r="W2548" s="42"/>
      <c r="X2548" s="42"/>
      <c r="Y2548" s="42"/>
      <c r="Z2548" s="42"/>
      <c r="AA2548" s="42"/>
      <c r="AB2548" s="42"/>
    </row>
    <row r="2549" spans="1:28" x14ac:dyDescent="0.25">
      <c r="A2549" s="42"/>
      <c r="B2549" s="121"/>
      <c r="C2549" s="41"/>
      <c r="D2549" s="41"/>
      <c r="E2549" s="41"/>
      <c r="F2549" s="41"/>
      <c r="G2549" s="41"/>
      <c r="H2549" s="41"/>
      <c r="I2549" s="41"/>
      <c r="J2549" s="41"/>
      <c r="K2549" s="41"/>
      <c r="L2549" s="42"/>
      <c r="M2549" s="121"/>
      <c r="N2549" s="121"/>
      <c r="O2549" s="121"/>
      <c r="P2549" s="121"/>
      <c r="Q2549" s="121"/>
      <c r="R2549" s="121"/>
      <c r="S2549" s="121"/>
      <c r="T2549" s="42"/>
      <c r="U2549" s="122"/>
      <c r="V2549" s="42"/>
      <c r="W2549" s="42"/>
      <c r="X2549" s="42"/>
      <c r="Y2549" s="42"/>
      <c r="Z2549" s="42"/>
      <c r="AA2549" s="42"/>
      <c r="AB2549" s="42"/>
    </row>
    <row r="2550" spans="1:28" x14ac:dyDescent="0.25">
      <c r="A2550" s="42"/>
      <c r="B2550" s="121"/>
      <c r="C2550" s="41"/>
      <c r="D2550" s="41"/>
      <c r="E2550" s="41"/>
      <c r="F2550" s="41"/>
      <c r="G2550" s="41"/>
      <c r="H2550" s="41"/>
      <c r="I2550" s="41"/>
      <c r="J2550" s="41"/>
      <c r="K2550" s="41"/>
      <c r="L2550" s="42"/>
      <c r="M2550" s="121"/>
      <c r="N2550" s="121"/>
      <c r="O2550" s="121"/>
      <c r="P2550" s="121"/>
      <c r="Q2550" s="121"/>
      <c r="R2550" s="121"/>
      <c r="S2550" s="121"/>
      <c r="T2550" s="42"/>
      <c r="U2550" s="122"/>
      <c r="V2550" s="42"/>
      <c r="W2550" s="42"/>
      <c r="X2550" s="42"/>
      <c r="Y2550" s="42"/>
      <c r="Z2550" s="42"/>
      <c r="AA2550" s="42"/>
      <c r="AB2550" s="42"/>
    </row>
    <row r="2551" spans="1:28" x14ac:dyDescent="0.25">
      <c r="A2551" s="42"/>
      <c r="B2551" s="121"/>
      <c r="C2551" s="41"/>
      <c r="D2551" s="41"/>
      <c r="E2551" s="41"/>
      <c r="F2551" s="41"/>
      <c r="G2551" s="41"/>
      <c r="H2551" s="41"/>
      <c r="I2551" s="41"/>
      <c r="J2551" s="41"/>
      <c r="K2551" s="41"/>
      <c r="L2551" s="42"/>
      <c r="M2551" s="121"/>
      <c r="N2551" s="121"/>
      <c r="O2551" s="121"/>
      <c r="P2551" s="121"/>
      <c r="Q2551" s="121"/>
      <c r="R2551" s="121"/>
      <c r="S2551" s="121"/>
      <c r="T2551" s="42"/>
      <c r="U2551" s="122"/>
      <c r="V2551" s="42"/>
      <c r="W2551" s="42"/>
      <c r="X2551" s="42"/>
      <c r="Y2551" s="42"/>
      <c r="Z2551" s="42"/>
      <c r="AA2551" s="42"/>
      <c r="AB2551" s="42"/>
    </row>
    <row r="2552" spans="1:28" x14ac:dyDescent="0.25">
      <c r="A2552" s="42"/>
      <c r="B2552" s="121"/>
      <c r="C2552" s="41"/>
      <c r="D2552" s="41"/>
      <c r="E2552" s="41"/>
      <c r="F2552" s="41"/>
      <c r="G2552" s="41"/>
      <c r="H2552" s="41"/>
      <c r="I2552" s="41"/>
      <c r="J2552" s="41"/>
      <c r="K2552" s="41"/>
      <c r="L2552" s="42"/>
      <c r="M2552" s="121"/>
      <c r="N2552" s="121"/>
      <c r="O2552" s="121"/>
      <c r="P2552" s="121"/>
      <c r="Q2552" s="121"/>
      <c r="R2552" s="121"/>
      <c r="S2552" s="121"/>
      <c r="T2552" s="42"/>
      <c r="U2552" s="122"/>
      <c r="V2552" s="42"/>
      <c r="W2552" s="42"/>
      <c r="X2552" s="42"/>
      <c r="Y2552" s="42"/>
      <c r="Z2552" s="42"/>
      <c r="AA2552" s="42"/>
      <c r="AB2552" s="42"/>
    </row>
    <row r="2553" spans="1:28" x14ac:dyDescent="0.25">
      <c r="A2553" s="42"/>
      <c r="B2553" s="121"/>
      <c r="C2553" s="41"/>
      <c r="D2553" s="41"/>
      <c r="E2553" s="41"/>
      <c r="F2553" s="41"/>
      <c r="G2553" s="41"/>
      <c r="H2553" s="41"/>
      <c r="I2553" s="41"/>
      <c r="J2553" s="41"/>
      <c r="K2553" s="41"/>
      <c r="L2553" s="42"/>
      <c r="M2553" s="121"/>
      <c r="N2553" s="121"/>
      <c r="O2553" s="121"/>
      <c r="P2553" s="121"/>
      <c r="Q2553" s="121"/>
      <c r="R2553" s="121"/>
      <c r="S2553" s="121"/>
      <c r="T2553" s="42"/>
      <c r="U2553" s="122"/>
      <c r="V2553" s="42"/>
      <c r="W2553" s="42"/>
      <c r="X2553" s="42"/>
      <c r="Y2553" s="42"/>
      <c r="Z2553" s="42"/>
      <c r="AA2553" s="42"/>
      <c r="AB2553" s="42"/>
    </row>
    <row r="2554" spans="1:28" x14ac:dyDescent="0.25">
      <c r="A2554" s="42"/>
      <c r="B2554" s="121"/>
      <c r="C2554" s="41"/>
      <c r="D2554" s="41"/>
      <c r="E2554" s="41"/>
      <c r="F2554" s="41"/>
      <c r="G2554" s="41"/>
      <c r="H2554" s="41"/>
      <c r="I2554" s="41"/>
      <c r="J2554" s="41"/>
      <c r="K2554" s="41"/>
      <c r="L2554" s="42"/>
      <c r="M2554" s="121"/>
      <c r="N2554" s="121"/>
      <c r="O2554" s="121"/>
      <c r="P2554" s="121"/>
      <c r="Q2554" s="121"/>
      <c r="R2554" s="121"/>
      <c r="S2554" s="121"/>
      <c r="T2554" s="42"/>
      <c r="U2554" s="122"/>
      <c r="V2554" s="42"/>
      <c r="W2554" s="42"/>
      <c r="X2554" s="42"/>
      <c r="Y2554" s="42"/>
      <c r="Z2554" s="42"/>
      <c r="AA2554" s="42"/>
      <c r="AB2554" s="42"/>
    </row>
    <row r="2555" spans="1:28" x14ac:dyDescent="0.25">
      <c r="A2555" s="42"/>
      <c r="B2555" s="121"/>
      <c r="C2555" s="41"/>
      <c r="D2555" s="41"/>
      <c r="E2555" s="41"/>
      <c r="F2555" s="41"/>
      <c r="G2555" s="41"/>
      <c r="H2555" s="41"/>
      <c r="I2555" s="41"/>
      <c r="J2555" s="41"/>
      <c r="K2555" s="41"/>
      <c r="L2555" s="42"/>
      <c r="M2555" s="121"/>
      <c r="N2555" s="121"/>
      <c r="O2555" s="121"/>
      <c r="P2555" s="121"/>
      <c r="Q2555" s="121"/>
      <c r="R2555" s="121"/>
      <c r="S2555" s="121"/>
      <c r="T2555" s="42"/>
      <c r="U2555" s="122"/>
      <c r="V2555" s="42"/>
      <c r="W2555" s="42"/>
      <c r="X2555" s="42"/>
      <c r="Y2555" s="42"/>
      <c r="Z2555" s="42"/>
      <c r="AA2555" s="42"/>
      <c r="AB2555" s="42"/>
    </row>
    <row r="2556" spans="1:28" x14ac:dyDescent="0.25">
      <c r="A2556" s="42"/>
      <c r="B2556" s="121"/>
      <c r="C2556" s="41"/>
      <c r="D2556" s="41"/>
      <c r="E2556" s="41"/>
      <c r="F2556" s="41"/>
      <c r="G2556" s="41"/>
      <c r="H2556" s="41"/>
      <c r="I2556" s="41"/>
      <c r="J2556" s="41"/>
      <c r="K2556" s="41"/>
      <c r="L2556" s="42"/>
      <c r="M2556" s="121"/>
      <c r="N2556" s="121"/>
      <c r="O2556" s="121"/>
      <c r="P2556" s="121"/>
      <c r="Q2556" s="121"/>
      <c r="R2556" s="121"/>
      <c r="S2556" s="121"/>
      <c r="T2556" s="42"/>
      <c r="U2556" s="122"/>
      <c r="V2556" s="42"/>
      <c r="W2556" s="42"/>
      <c r="X2556" s="42"/>
      <c r="Y2556" s="42"/>
      <c r="Z2556" s="42"/>
      <c r="AA2556" s="42"/>
      <c r="AB2556" s="42"/>
    </row>
    <row r="2557" spans="1:28" x14ac:dyDescent="0.25">
      <c r="A2557" s="42"/>
      <c r="B2557" s="121"/>
      <c r="C2557" s="41"/>
      <c r="D2557" s="41"/>
      <c r="E2557" s="41"/>
      <c r="F2557" s="41"/>
      <c r="G2557" s="41"/>
      <c r="H2557" s="41"/>
      <c r="I2557" s="41"/>
      <c r="J2557" s="41"/>
      <c r="K2557" s="41"/>
      <c r="L2557" s="42"/>
      <c r="M2557" s="121"/>
      <c r="N2557" s="121"/>
      <c r="O2557" s="121"/>
      <c r="P2557" s="121"/>
      <c r="Q2557" s="121"/>
      <c r="R2557" s="121"/>
      <c r="S2557" s="121"/>
      <c r="T2557" s="42"/>
      <c r="U2557" s="122"/>
      <c r="V2557" s="42"/>
      <c r="W2557" s="42"/>
      <c r="X2557" s="42"/>
      <c r="Y2557" s="42"/>
      <c r="Z2557" s="42"/>
      <c r="AA2557" s="42"/>
      <c r="AB2557" s="42"/>
    </row>
    <row r="2558" spans="1:28" x14ac:dyDescent="0.25">
      <c r="A2558" s="42"/>
      <c r="B2558" s="121"/>
      <c r="C2558" s="41"/>
      <c r="D2558" s="41"/>
      <c r="E2558" s="41"/>
      <c r="F2558" s="41"/>
      <c r="G2558" s="41"/>
      <c r="H2558" s="41"/>
      <c r="I2558" s="41"/>
      <c r="J2558" s="41"/>
      <c r="K2558" s="41"/>
      <c r="L2558" s="42"/>
      <c r="M2558" s="121"/>
      <c r="N2558" s="121"/>
      <c r="O2558" s="121"/>
      <c r="P2558" s="121"/>
      <c r="Q2558" s="121"/>
      <c r="R2558" s="121"/>
      <c r="S2558" s="121"/>
      <c r="T2558" s="42"/>
      <c r="U2558" s="122"/>
      <c r="V2558" s="42"/>
      <c r="W2558" s="42"/>
      <c r="X2558" s="42"/>
      <c r="Y2558" s="42"/>
      <c r="Z2558" s="42"/>
      <c r="AA2558" s="42"/>
      <c r="AB2558" s="42"/>
    </row>
    <row r="2559" spans="1:28" x14ac:dyDescent="0.25">
      <c r="A2559" s="42"/>
      <c r="B2559" s="121"/>
      <c r="C2559" s="41"/>
      <c r="D2559" s="41"/>
      <c r="E2559" s="41"/>
      <c r="F2559" s="41"/>
      <c r="G2559" s="41"/>
      <c r="H2559" s="41"/>
      <c r="I2559" s="41"/>
      <c r="J2559" s="41"/>
      <c r="K2559" s="41"/>
      <c r="L2559" s="42"/>
      <c r="M2559" s="121"/>
      <c r="N2559" s="121"/>
      <c r="O2559" s="121"/>
      <c r="P2559" s="121"/>
      <c r="Q2559" s="121"/>
      <c r="R2559" s="121"/>
      <c r="S2559" s="121"/>
      <c r="T2559" s="42"/>
      <c r="U2559" s="122"/>
      <c r="V2559" s="42"/>
      <c r="W2559" s="42"/>
      <c r="X2559" s="42"/>
      <c r="Y2559" s="42"/>
      <c r="Z2559" s="42"/>
      <c r="AA2559" s="42"/>
      <c r="AB2559" s="42"/>
    </row>
    <row r="2560" spans="1:28" x14ac:dyDescent="0.25">
      <c r="A2560" s="42"/>
      <c r="B2560" s="121"/>
      <c r="C2560" s="41"/>
      <c r="D2560" s="41"/>
      <c r="E2560" s="41"/>
      <c r="F2560" s="41"/>
      <c r="G2560" s="41"/>
      <c r="H2560" s="41"/>
      <c r="I2560" s="41"/>
      <c r="J2560" s="41"/>
      <c r="K2560" s="41"/>
      <c r="L2560" s="42"/>
      <c r="M2560" s="121"/>
      <c r="N2560" s="121"/>
      <c r="O2560" s="121"/>
      <c r="P2560" s="121"/>
      <c r="Q2560" s="121"/>
      <c r="R2560" s="121"/>
      <c r="S2560" s="121"/>
      <c r="T2560" s="42"/>
      <c r="U2560" s="122"/>
      <c r="V2560" s="42"/>
      <c r="W2560" s="42"/>
      <c r="X2560" s="42"/>
      <c r="Y2560" s="42"/>
      <c r="Z2560" s="42"/>
      <c r="AA2560" s="42"/>
      <c r="AB2560" s="42"/>
    </row>
    <row r="2561" spans="1:28" x14ac:dyDescent="0.25">
      <c r="A2561" s="42"/>
      <c r="B2561" s="121"/>
      <c r="C2561" s="41"/>
      <c r="D2561" s="41"/>
      <c r="E2561" s="41"/>
      <c r="F2561" s="41"/>
      <c r="G2561" s="41"/>
      <c r="H2561" s="41"/>
      <c r="I2561" s="41"/>
      <c r="J2561" s="41"/>
      <c r="K2561" s="41"/>
      <c r="L2561" s="42"/>
      <c r="M2561" s="121"/>
      <c r="N2561" s="121"/>
      <c r="O2561" s="121"/>
      <c r="P2561" s="121"/>
      <c r="Q2561" s="121"/>
      <c r="R2561" s="121"/>
      <c r="S2561" s="121"/>
      <c r="T2561" s="42"/>
      <c r="U2561" s="122"/>
      <c r="V2561" s="42"/>
      <c r="W2561" s="42"/>
      <c r="X2561" s="42"/>
      <c r="Y2561" s="42"/>
      <c r="Z2561" s="42"/>
      <c r="AA2561" s="42"/>
      <c r="AB2561" s="42"/>
    </row>
    <row r="2562" spans="1:28" x14ac:dyDescent="0.25">
      <c r="A2562" s="42"/>
      <c r="B2562" s="121"/>
      <c r="C2562" s="41"/>
      <c r="D2562" s="41"/>
      <c r="E2562" s="41"/>
      <c r="F2562" s="41"/>
      <c r="G2562" s="41"/>
      <c r="H2562" s="41"/>
      <c r="I2562" s="41"/>
      <c r="J2562" s="41"/>
      <c r="K2562" s="41"/>
      <c r="L2562" s="42"/>
      <c r="M2562" s="121"/>
      <c r="N2562" s="121"/>
      <c r="O2562" s="121"/>
      <c r="P2562" s="121"/>
      <c r="Q2562" s="121"/>
      <c r="R2562" s="121"/>
      <c r="S2562" s="121"/>
      <c r="T2562" s="42"/>
      <c r="U2562" s="122"/>
      <c r="V2562" s="42"/>
      <c r="W2562" s="42"/>
      <c r="X2562" s="42"/>
      <c r="Y2562" s="42"/>
      <c r="Z2562" s="42"/>
      <c r="AA2562" s="42"/>
      <c r="AB2562" s="42"/>
    </row>
    <row r="2563" spans="1:28" x14ac:dyDescent="0.25">
      <c r="A2563" s="42"/>
      <c r="B2563" s="121"/>
      <c r="C2563" s="41"/>
      <c r="D2563" s="41"/>
      <c r="E2563" s="41"/>
      <c r="F2563" s="41"/>
      <c r="G2563" s="41"/>
      <c r="H2563" s="41"/>
      <c r="I2563" s="41"/>
      <c r="J2563" s="41"/>
      <c r="K2563" s="41"/>
      <c r="L2563" s="42"/>
      <c r="M2563" s="121"/>
      <c r="N2563" s="121"/>
      <c r="O2563" s="121"/>
      <c r="P2563" s="121"/>
      <c r="Q2563" s="121"/>
      <c r="R2563" s="121"/>
      <c r="S2563" s="121"/>
      <c r="T2563" s="42"/>
      <c r="U2563" s="122"/>
      <c r="V2563" s="42"/>
      <c r="W2563" s="42"/>
      <c r="X2563" s="42"/>
      <c r="Y2563" s="42"/>
      <c r="Z2563" s="42"/>
      <c r="AA2563" s="42"/>
      <c r="AB2563" s="42"/>
    </row>
    <row r="2564" spans="1:28" x14ac:dyDescent="0.25">
      <c r="A2564" s="42"/>
      <c r="B2564" s="121"/>
      <c r="C2564" s="41"/>
      <c r="D2564" s="41"/>
      <c r="E2564" s="41"/>
      <c r="F2564" s="41"/>
      <c r="G2564" s="41"/>
      <c r="H2564" s="41"/>
      <c r="I2564" s="41"/>
      <c r="J2564" s="41"/>
      <c r="K2564" s="41"/>
      <c r="L2564" s="42"/>
      <c r="M2564" s="121"/>
      <c r="N2564" s="121"/>
      <c r="O2564" s="121"/>
      <c r="P2564" s="121"/>
      <c r="Q2564" s="121"/>
      <c r="R2564" s="121"/>
      <c r="S2564" s="121"/>
      <c r="T2564" s="42"/>
      <c r="U2564" s="122"/>
      <c r="V2564" s="42"/>
      <c r="W2564" s="42"/>
      <c r="X2564" s="42"/>
      <c r="Y2564" s="42"/>
      <c r="Z2564" s="42"/>
      <c r="AA2564" s="42"/>
      <c r="AB2564" s="42"/>
    </row>
    <row r="2565" spans="1:28" x14ac:dyDescent="0.25">
      <c r="A2565" s="42"/>
      <c r="B2565" s="121"/>
      <c r="C2565" s="41"/>
      <c r="D2565" s="41"/>
      <c r="E2565" s="41"/>
      <c r="F2565" s="41"/>
      <c r="G2565" s="41"/>
      <c r="H2565" s="41"/>
      <c r="I2565" s="41"/>
      <c r="J2565" s="41"/>
      <c r="K2565" s="41"/>
      <c r="L2565" s="42"/>
      <c r="M2565" s="121"/>
      <c r="N2565" s="121"/>
      <c r="O2565" s="121"/>
      <c r="P2565" s="121"/>
      <c r="Q2565" s="121"/>
      <c r="R2565" s="121"/>
      <c r="S2565" s="121"/>
      <c r="T2565" s="42"/>
      <c r="U2565" s="122"/>
      <c r="V2565" s="42"/>
      <c r="W2565" s="42"/>
      <c r="X2565" s="42"/>
      <c r="Y2565" s="42"/>
      <c r="Z2565" s="42"/>
      <c r="AA2565" s="42"/>
      <c r="AB2565" s="42"/>
    </row>
    <row r="2566" spans="1:28" x14ac:dyDescent="0.25">
      <c r="A2566" s="42"/>
      <c r="B2566" s="121"/>
      <c r="C2566" s="41"/>
      <c r="D2566" s="41"/>
      <c r="E2566" s="41"/>
      <c r="F2566" s="41"/>
      <c r="G2566" s="41"/>
      <c r="H2566" s="41"/>
      <c r="I2566" s="41"/>
      <c r="J2566" s="41"/>
      <c r="K2566" s="41"/>
      <c r="L2566" s="42"/>
      <c r="M2566" s="121"/>
      <c r="N2566" s="121"/>
      <c r="O2566" s="121"/>
      <c r="P2566" s="121"/>
      <c r="Q2566" s="121"/>
      <c r="R2566" s="121"/>
      <c r="S2566" s="121"/>
      <c r="T2566" s="42"/>
      <c r="U2566" s="122"/>
      <c r="V2566" s="42"/>
      <c r="W2566" s="42"/>
      <c r="X2566" s="42"/>
      <c r="Y2566" s="42"/>
      <c r="Z2566" s="42"/>
      <c r="AA2566" s="42"/>
      <c r="AB2566" s="42"/>
    </row>
    <row r="2567" spans="1:28" x14ac:dyDescent="0.25">
      <c r="A2567" s="42"/>
      <c r="B2567" s="121"/>
      <c r="C2567" s="41"/>
      <c r="D2567" s="41"/>
      <c r="E2567" s="41"/>
      <c r="F2567" s="41"/>
      <c r="G2567" s="41"/>
      <c r="H2567" s="41"/>
      <c r="I2567" s="41"/>
      <c r="J2567" s="41"/>
      <c r="K2567" s="41"/>
      <c r="L2567" s="42"/>
      <c r="M2567" s="121"/>
      <c r="N2567" s="121"/>
      <c r="O2567" s="121"/>
      <c r="P2567" s="121"/>
      <c r="Q2567" s="121"/>
      <c r="R2567" s="121"/>
      <c r="S2567" s="121"/>
      <c r="T2567" s="42"/>
      <c r="U2567" s="122"/>
      <c r="V2567" s="42"/>
      <c r="W2567" s="42"/>
      <c r="X2567" s="42"/>
      <c r="Y2567" s="42"/>
      <c r="Z2567" s="42"/>
      <c r="AA2567" s="42"/>
      <c r="AB2567" s="42"/>
    </row>
    <row r="2568" spans="1:28" x14ac:dyDescent="0.25">
      <c r="A2568" s="42"/>
      <c r="B2568" s="121"/>
      <c r="C2568" s="41"/>
      <c r="D2568" s="41"/>
      <c r="E2568" s="41"/>
      <c r="F2568" s="41"/>
      <c r="G2568" s="41"/>
      <c r="H2568" s="41"/>
      <c r="I2568" s="41"/>
      <c r="J2568" s="41"/>
      <c r="K2568" s="41"/>
      <c r="L2568" s="42"/>
      <c r="M2568" s="121"/>
      <c r="N2568" s="121"/>
      <c r="O2568" s="121"/>
      <c r="P2568" s="121"/>
      <c r="Q2568" s="121"/>
      <c r="R2568" s="121"/>
      <c r="S2568" s="121"/>
      <c r="T2568" s="42"/>
      <c r="U2568" s="122"/>
      <c r="V2568" s="42"/>
      <c r="W2568" s="42"/>
      <c r="X2568" s="42"/>
      <c r="Y2568" s="42"/>
      <c r="Z2568" s="42"/>
      <c r="AA2568" s="42"/>
      <c r="AB2568" s="42"/>
    </row>
    <row r="2569" spans="1:28" x14ac:dyDescent="0.25">
      <c r="A2569" s="42"/>
      <c r="B2569" s="121"/>
      <c r="C2569" s="41"/>
      <c r="D2569" s="41"/>
      <c r="E2569" s="41"/>
      <c r="F2569" s="41"/>
      <c r="G2569" s="41"/>
      <c r="H2569" s="41"/>
      <c r="I2569" s="41"/>
      <c r="J2569" s="41"/>
      <c r="K2569" s="41"/>
      <c r="L2569" s="42"/>
      <c r="M2569" s="121"/>
      <c r="N2569" s="121"/>
      <c r="O2569" s="121"/>
      <c r="P2569" s="121"/>
      <c r="Q2569" s="121"/>
      <c r="R2569" s="121"/>
      <c r="S2569" s="121"/>
      <c r="T2569" s="42"/>
      <c r="U2569" s="122"/>
      <c r="V2569" s="42"/>
      <c r="W2569" s="42"/>
      <c r="X2569" s="42"/>
      <c r="Y2569" s="42"/>
      <c r="Z2569" s="42"/>
      <c r="AA2569" s="42"/>
      <c r="AB2569" s="42"/>
    </row>
    <row r="2570" spans="1:28" x14ac:dyDescent="0.25">
      <c r="A2570" s="42"/>
      <c r="B2570" s="121"/>
      <c r="C2570" s="41"/>
      <c r="D2570" s="41"/>
      <c r="E2570" s="41"/>
      <c r="F2570" s="41"/>
      <c r="G2570" s="41"/>
      <c r="H2570" s="41"/>
      <c r="I2570" s="41"/>
      <c r="J2570" s="41"/>
      <c r="K2570" s="41"/>
      <c r="L2570" s="42"/>
      <c r="M2570" s="121"/>
      <c r="N2570" s="121"/>
      <c r="O2570" s="121"/>
      <c r="P2570" s="121"/>
      <c r="Q2570" s="121"/>
      <c r="R2570" s="121"/>
      <c r="S2570" s="121"/>
      <c r="T2570" s="42"/>
      <c r="U2570" s="122"/>
      <c r="V2570" s="42"/>
      <c r="W2570" s="42"/>
      <c r="X2570" s="42"/>
      <c r="Y2570" s="42"/>
      <c r="Z2570" s="42"/>
      <c r="AA2570" s="42"/>
      <c r="AB2570" s="42"/>
    </row>
    <row r="2571" spans="1:28" x14ac:dyDescent="0.25">
      <c r="A2571" s="42"/>
      <c r="B2571" s="121"/>
      <c r="C2571" s="41"/>
      <c r="D2571" s="41"/>
      <c r="E2571" s="41"/>
      <c r="F2571" s="41"/>
      <c r="G2571" s="41"/>
      <c r="H2571" s="41"/>
      <c r="I2571" s="41"/>
      <c r="J2571" s="41"/>
      <c r="K2571" s="41"/>
      <c r="L2571" s="42"/>
      <c r="M2571" s="121"/>
      <c r="N2571" s="121"/>
      <c r="O2571" s="121"/>
      <c r="P2571" s="121"/>
      <c r="Q2571" s="121"/>
      <c r="R2571" s="121"/>
      <c r="S2571" s="121"/>
      <c r="T2571" s="42"/>
      <c r="U2571" s="122"/>
      <c r="V2571" s="42"/>
      <c r="W2571" s="42"/>
      <c r="X2571" s="42"/>
      <c r="Y2571" s="42"/>
      <c r="Z2571" s="42"/>
      <c r="AA2571" s="42"/>
      <c r="AB2571" s="42"/>
    </row>
    <row r="2572" spans="1:28" x14ac:dyDescent="0.25">
      <c r="A2572" s="42"/>
      <c r="B2572" s="121"/>
      <c r="C2572" s="41"/>
      <c r="D2572" s="41"/>
      <c r="E2572" s="41"/>
      <c r="F2572" s="41"/>
      <c r="G2572" s="41"/>
      <c r="H2572" s="41"/>
      <c r="I2572" s="41"/>
      <c r="J2572" s="41"/>
      <c r="K2572" s="41"/>
      <c r="L2572" s="42"/>
      <c r="M2572" s="121"/>
      <c r="N2572" s="121"/>
      <c r="O2572" s="121"/>
      <c r="P2572" s="121"/>
      <c r="Q2572" s="121"/>
      <c r="R2572" s="121"/>
      <c r="S2572" s="121"/>
      <c r="T2572" s="42"/>
      <c r="U2572" s="122"/>
      <c r="V2572" s="42"/>
      <c r="W2572" s="42"/>
      <c r="X2572" s="42"/>
      <c r="Y2572" s="42"/>
      <c r="Z2572" s="42"/>
      <c r="AA2572" s="42"/>
      <c r="AB2572" s="42"/>
    </row>
    <row r="2573" spans="1:28" x14ac:dyDescent="0.25">
      <c r="A2573" s="42"/>
      <c r="B2573" s="121"/>
      <c r="C2573" s="41"/>
      <c r="D2573" s="41"/>
      <c r="E2573" s="41"/>
      <c r="F2573" s="41"/>
      <c r="G2573" s="41"/>
      <c r="H2573" s="41"/>
      <c r="I2573" s="41"/>
      <c r="J2573" s="41"/>
      <c r="K2573" s="41"/>
      <c r="L2573" s="42"/>
      <c r="M2573" s="121"/>
      <c r="N2573" s="121"/>
      <c r="O2573" s="121"/>
      <c r="P2573" s="121"/>
      <c r="Q2573" s="121"/>
      <c r="R2573" s="121"/>
      <c r="S2573" s="121"/>
      <c r="T2573" s="42"/>
      <c r="U2573" s="122"/>
      <c r="V2573" s="42"/>
      <c r="W2573" s="42"/>
      <c r="X2573" s="42"/>
      <c r="Y2573" s="42"/>
      <c r="Z2573" s="42"/>
      <c r="AA2573" s="42"/>
      <c r="AB2573" s="42"/>
    </row>
    <row r="2574" spans="1:28" x14ac:dyDescent="0.25">
      <c r="A2574" s="42"/>
      <c r="B2574" s="121"/>
      <c r="C2574" s="41"/>
      <c r="D2574" s="41"/>
      <c r="E2574" s="41"/>
      <c r="F2574" s="41"/>
      <c r="G2574" s="41"/>
      <c r="H2574" s="41"/>
      <c r="I2574" s="41"/>
      <c r="J2574" s="41"/>
      <c r="K2574" s="41"/>
      <c r="L2574" s="42"/>
      <c r="M2574" s="121"/>
      <c r="N2574" s="121"/>
      <c r="O2574" s="121"/>
      <c r="P2574" s="121"/>
      <c r="Q2574" s="121"/>
      <c r="R2574" s="121"/>
      <c r="S2574" s="121"/>
      <c r="T2574" s="42"/>
      <c r="U2574" s="122"/>
      <c r="V2574" s="42"/>
      <c r="W2574" s="42"/>
      <c r="X2574" s="42"/>
      <c r="Y2574" s="42"/>
      <c r="Z2574" s="42"/>
      <c r="AA2574" s="42"/>
      <c r="AB2574" s="42"/>
    </row>
    <row r="2575" spans="1:28" x14ac:dyDescent="0.25">
      <c r="A2575" s="42"/>
      <c r="B2575" s="121"/>
      <c r="C2575" s="41"/>
      <c r="D2575" s="41"/>
      <c r="E2575" s="41"/>
      <c r="F2575" s="41"/>
      <c r="G2575" s="41"/>
      <c r="H2575" s="41"/>
      <c r="I2575" s="41"/>
      <c r="J2575" s="41"/>
      <c r="K2575" s="41"/>
      <c r="L2575" s="42"/>
      <c r="M2575" s="121"/>
      <c r="N2575" s="121"/>
      <c r="O2575" s="121"/>
      <c r="P2575" s="121"/>
      <c r="Q2575" s="121"/>
      <c r="R2575" s="121"/>
      <c r="S2575" s="121"/>
      <c r="T2575" s="42"/>
      <c r="U2575" s="122"/>
      <c r="V2575" s="42"/>
      <c r="W2575" s="42"/>
      <c r="X2575" s="42"/>
      <c r="Y2575" s="42"/>
      <c r="Z2575" s="42"/>
      <c r="AA2575" s="42"/>
      <c r="AB2575" s="42"/>
    </row>
    <row r="2576" spans="1:28" x14ac:dyDescent="0.25">
      <c r="A2576" s="42"/>
      <c r="B2576" s="121"/>
      <c r="C2576" s="41"/>
      <c r="D2576" s="41"/>
      <c r="E2576" s="41"/>
      <c r="F2576" s="41"/>
      <c r="G2576" s="41"/>
      <c r="H2576" s="41"/>
      <c r="I2576" s="41"/>
      <c r="J2576" s="41"/>
      <c r="K2576" s="41"/>
      <c r="L2576" s="42"/>
      <c r="M2576" s="121"/>
      <c r="N2576" s="121"/>
      <c r="O2576" s="121"/>
      <c r="P2576" s="121"/>
      <c r="Q2576" s="121"/>
      <c r="R2576" s="121"/>
      <c r="S2576" s="121"/>
      <c r="T2576" s="42"/>
      <c r="U2576" s="122"/>
      <c r="V2576" s="42"/>
      <c r="W2576" s="42"/>
      <c r="X2576" s="42"/>
      <c r="Y2576" s="42"/>
      <c r="Z2576" s="42"/>
      <c r="AA2576" s="42"/>
      <c r="AB2576" s="42"/>
    </row>
    <row r="2577" spans="1:28" x14ac:dyDescent="0.25">
      <c r="A2577" s="42"/>
      <c r="B2577" s="121"/>
      <c r="C2577" s="41"/>
      <c r="D2577" s="41"/>
      <c r="E2577" s="41"/>
      <c r="F2577" s="41"/>
      <c r="G2577" s="41"/>
      <c r="H2577" s="41"/>
      <c r="I2577" s="41"/>
      <c r="J2577" s="41"/>
      <c r="K2577" s="41"/>
      <c r="L2577" s="42"/>
      <c r="M2577" s="121"/>
      <c r="N2577" s="121"/>
      <c r="O2577" s="121"/>
      <c r="P2577" s="121"/>
      <c r="Q2577" s="121"/>
      <c r="R2577" s="121"/>
      <c r="S2577" s="121"/>
      <c r="T2577" s="42"/>
      <c r="U2577" s="122"/>
      <c r="V2577" s="42"/>
      <c r="W2577" s="42"/>
      <c r="X2577" s="42"/>
      <c r="Y2577" s="42"/>
      <c r="Z2577" s="42"/>
      <c r="AA2577" s="42"/>
      <c r="AB2577" s="42"/>
    </row>
    <row r="2578" spans="1:28" x14ac:dyDescent="0.25">
      <c r="A2578" s="42"/>
      <c r="B2578" s="121"/>
      <c r="C2578" s="41"/>
      <c r="D2578" s="41"/>
      <c r="E2578" s="41"/>
      <c r="F2578" s="41"/>
      <c r="G2578" s="41"/>
      <c r="H2578" s="41"/>
      <c r="I2578" s="41"/>
      <c r="J2578" s="41"/>
      <c r="K2578" s="41"/>
      <c r="L2578" s="42"/>
      <c r="M2578" s="121"/>
      <c r="N2578" s="121"/>
      <c r="O2578" s="121"/>
      <c r="P2578" s="121"/>
      <c r="Q2578" s="121"/>
      <c r="R2578" s="121"/>
      <c r="S2578" s="121"/>
      <c r="T2578" s="42"/>
      <c r="U2578" s="122"/>
      <c r="V2578" s="42"/>
      <c r="W2578" s="42"/>
      <c r="X2578" s="42"/>
      <c r="Y2578" s="42"/>
      <c r="Z2578" s="42"/>
      <c r="AA2578" s="42"/>
      <c r="AB2578" s="42"/>
    </row>
    <row r="2579" spans="1:28" x14ac:dyDescent="0.25">
      <c r="A2579" s="42"/>
      <c r="B2579" s="121"/>
      <c r="C2579" s="41"/>
      <c r="D2579" s="41"/>
      <c r="E2579" s="41"/>
      <c r="F2579" s="41"/>
      <c r="G2579" s="41"/>
      <c r="H2579" s="41"/>
      <c r="I2579" s="41"/>
      <c r="J2579" s="41"/>
      <c r="K2579" s="41"/>
      <c r="L2579" s="42"/>
      <c r="M2579" s="121"/>
      <c r="N2579" s="121"/>
      <c r="O2579" s="121"/>
      <c r="P2579" s="121"/>
      <c r="Q2579" s="121"/>
      <c r="R2579" s="121"/>
      <c r="S2579" s="121"/>
      <c r="T2579" s="42"/>
      <c r="U2579" s="122"/>
      <c r="V2579" s="42"/>
      <c r="W2579" s="42"/>
      <c r="X2579" s="42"/>
      <c r="Y2579" s="42"/>
      <c r="Z2579" s="42"/>
      <c r="AA2579" s="42"/>
      <c r="AB2579" s="42"/>
    </row>
    <row r="2580" spans="1:28" x14ac:dyDescent="0.25">
      <c r="A2580" s="42"/>
      <c r="B2580" s="121"/>
      <c r="C2580" s="41"/>
      <c r="D2580" s="41"/>
      <c r="E2580" s="41"/>
      <c r="F2580" s="41"/>
      <c r="G2580" s="41"/>
      <c r="H2580" s="41"/>
      <c r="I2580" s="41"/>
      <c r="J2580" s="41"/>
      <c r="K2580" s="41"/>
      <c r="L2580" s="42"/>
      <c r="M2580" s="121"/>
      <c r="N2580" s="121"/>
      <c r="O2580" s="121"/>
      <c r="P2580" s="121"/>
      <c r="Q2580" s="121"/>
      <c r="R2580" s="121"/>
      <c r="S2580" s="121"/>
      <c r="T2580" s="42"/>
      <c r="U2580" s="122"/>
      <c r="V2580" s="42"/>
      <c r="W2580" s="42"/>
      <c r="X2580" s="42"/>
      <c r="Y2580" s="42"/>
      <c r="Z2580" s="42"/>
      <c r="AA2580" s="42"/>
      <c r="AB2580" s="42"/>
    </row>
    <row r="2581" spans="1:28" x14ac:dyDescent="0.25">
      <c r="A2581" s="42"/>
      <c r="B2581" s="121"/>
      <c r="C2581" s="41"/>
      <c r="D2581" s="41"/>
      <c r="E2581" s="41"/>
      <c r="F2581" s="41"/>
      <c r="G2581" s="41"/>
      <c r="H2581" s="41"/>
      <c r="I2581" s="41"/>
      <c r="J2581" s="41"/>
      <c r="K2581" s="41"/>
      <c r="L2581" s="42"/>
      <c r="M2581" s="121"/>
      <c r="N2581" s="121"/>
      <c r="O2581" s="121"/>
      <c r="P2581" s="121"/>
      <c r="Q2581" s="121"/>
      <c r="R2581" s="121"/>
      <c r="S2581" s="121"/>
      <c r="T2581" s="42"/>
      <c r="U2581" s="122"/>
      <c r="V2581" s="42"/>
      <c r="W2581" s="42"/>
      <c r="X2581" s="42"/>
      <c r="Y2581" s="42"/>
      <c r="Z2581" s="42"/>
      <c r="AA2581" s="42"/>
      <c r="AB2581" s="42"/>
    </row>
    <row r="2582" spans="1:28" x14ac:dyDescent="0.25">
      <c r="A2582" s="42"/>
      <c r="B2582" s="121"/>
      <c r="C2582" s="41"/>
      <c r="D2582" s="41"/>
      <c r="E2582" s="41"/>
      <c r="F2582" s="41"/>
      <c r="G2582" s="41"/>
      <c r="H2582" s="41"/>
      <c r="I2582" s="41"/>
      <c r="J2582" s="41"/>
      <c r="K2582" s="41"/>
      <c r="L2582" s="42"/>
      <c r="M2582" s="121"/>
      <c r="N2582" s="121"/>
      <c r="O2582" s="121"/>
      <c r="P2582" s="121"/>
      <c r="Q2582" s="121"/>
      <c r="R2582" s="121"/>
      <c r="S2582" s="121"/>
      <c r="T2582" s="42"/>
      <c r="U2582" s="122"/>
      <c r="V2582" s="42"/>
      <c r="W2582" s="42"/>
      <c r="X2582" s="42"/>
      <c r="Y2582" s="42"/>
      <c r="Z2582" s="42"/>
      <c r="AA2582" s="42"/>
      <c r="AB2582" s="42"/>
    </row>
    <row r="2583" spans="1:28" x14ac:dyDescent="0.25">
      <c r="A2583" s="42"/>
      <c r="B2583" s="121"/>
      <c r="C2583" s="41"/>
      <c r="D2583" s="41"/>
      <c r="E2583" s="41"/>
      <c r="F2583" s="41"/>
      <c r="G2583" s="41"/>
      <c r="H2583" s="41"/>
      <c r="I2583" s="41"/>
      <c r="J2583" s="41"/>
      <c r="K2583" s="41"/>
      <c r="L2583" s="42"/>
      <c r="M2583" s="121"/>
      <c r="N2583" s="121"/>
      <c r="O2583" s="121"/>
      <c r="P2583" s="121"/>
      <c r="Q2583" s="121"/>
      <c r="R2583" s="121"/>
      <c r="S2583" s="121"/>
      <c r="T2583" s="42"/>
      <c r="U2583" s="122"/>
      <c r="V2583" s="42"/>
      <c r="W2583" s="42"/>
      <c r="X2583" s="42"/>
      <c r="Y2583" s="42"/>
      <c r="Z2583" s="42"/>
      <c r="AA2583" s="42"/>
      <c r="AB2583" s="42"/>
    </row>
    <row r="2584" spans="1:28" x14ac:dyDescent="0.25">
      <c r="A2584" s="42"/>
      <c r="B2584" s="121"/>
      <c r="C2584" s="41"/>
      <c r="D2584" s="41"/>
      <c r="E2584" s="41"/>
      <c r="F2584" s="41"/>
      <c r="G2584" s="41"/>
      <c r="H2584" s="41"/>
      <c r="I2584" s="41"/>
      <c r="J2584" s="41"/>
      <c r="K2584" s="41"/>
      <c r="L2584" s="42"/>
      <c r="M2584" s="121"/>
      <c r="N2584" s="121"/>
      <c r="O2584" s="121"/>
      <c r="P2584" s="121"/>
      <c r="Q2584" s="121"/>
      <c r="R2584" s="121"/>
      <c r="S2584" s="121"/>
      <c r="T2584" s="42"/>
      <c r="U2584" s="122"/>
      <c r="V2584" s="42"/>
      <c r="W2584" s="42"/>
      <c r="X2584" s="42"/>
      <c r="Y2584" s="42"/>
      <c r="Z2584" s="42"/>
      <c r="AA2584" s="42"/>
      <c r="AB2584" s="42"/>
    </row>
    <row r="2585" spans="1:28" x14ac:dyDescent="0.25">
      <c r="A2585" s="42"/>
      <c r="B2585" s="121"/>
      <c r="C2585" s="41"/>
      <c r="D2585" s="41"/>
      <c r="E2585" s="41"/>
      <c r="F2585" s="41"/>
      <c r="G2585" s="41"/>
      <c r="H2585" s="41"/>
      <c r="I2585" s="41"/>
      <c r="J2585" s="41"/>
      <c r="K2585" s="41"/>
      <c r="L2585" s="42"/>
      <c r="M2585" s="121"/>
      <c r="N2585" s="121"/>
      <c r="O2585" s="121"/>
      <c r="P2585" s="121"/>
      <c r="Q2585" s="121"/>
      <c r="R2585" s="121"/>
      <c r="S2585" s="121"/>
      <c r="T2585" s="42"/>
      <c r="U2585" s="122"/>
      <c r="V2585" s="42"/>
      <c r="W2585" s="42"/>
      <c r="X2585" s="42"/>
      <c r="Y2585" s="42"/>
      <c r="Z2585" s="42"/>
      <c r="AA2585" s="42"/>
      <c r="AB2585" s="42"/>
    </row>
    <row r="2586" spans="1:28" x14ac:dyDescent="0.25">
      <c r="A2586" s="42"/>
      <c r="B2586" s="121"/>
      <c r="C2586" s="41"/>
      <c r="D2586" s="41"/>
      <c r="E2586" s="41"/>
      <c r="F2586" s="41"/>
      <c r="G2586" s="41"/>
      <c r="H2586" s="41"/>
      <c r="I2586" s="41"/>
      <c r="J2586" s="41"/>
      <c r="K2586" s="41"/>
      <c r="L2586" s="42"/>
      <c r="M2586" s="121"/>
      <c r="N2586" s="121"/>
      <c r="O2586" s="121"/>
      <c r="P2586" s="121"/>
      <c r="Q2586" s="121"/>
      <c r="R2586" s="121"/>
      <c r="S2586" s="121"/>
      <c r="T2586" s="42"/>
      <c r="U2586" s="122"/>
      <c r="V2586" s="42"/>
      <c r="W2586" s="42"/>
      <c r="X2586" s="42"/>
      <c r="Y2586" s="42"/>
      <c r="Z2586" s="42"/>
      <c r="AA2586" s="42"/>
      <c r="AB2586" s="42"/>
    </row>
    <row r="2587" spans="1:28" x14ac:dyDescent="0.25">
      <c r="A2587" s="42"/>
      <c r="B2587" s="121"/>
      <c r="C2587" s="41"/>
      <c r="D2587" s="41"/>
      <c r="E2587" s="41"/>
      <c r="F2587" s="41"/>
      <c r="G2587" s="41"/>
      <c r="H2587" s="41"/>
      <c r="I2587" s="41"/>
      <c r="J2587" s="41"/>
      <c r="K2587" s="41"/>
      <c r="L2587" s="42"/>
      <c r="M2587" s="121"/>
      <c r="N2587" s="121"/>
      <c r="O2587" s="121"/>
      <c r="P2587" s="121"/>
      <c r="Q2587" s="121"/>
      <c r="R2587" s="121"/>
      <c r="S2587" s="121"/>
      <c r="T2587" s="42"/>
      <c r="U2587" s="122"/>
      <c r="V2587" s="42"/>
      <c r="W2587" s="42"/>
      <c r="X2587" s="42"/>
      <c r="Y2587" s="42"/>
      <c r="Z2587" s="42"/>
      <c r="AA2587" s="42"/>
      <c r="AB2587" s="42"/>
    </row>
    <row r="2588" spans="1:28" x14ac:dyDescent="0.25">
      <c r="A2588" s="42"/>
      <c r="B2588" s="121"/>
      <c r="C2588" s="41"/>
      <c r="D2588" s="41"/>
      <c r="E2588" s="41"/>
      <c r="F2588" s="41"/>
      <c r="G2588" s="41"/>
      <c r="H2588" s="41"/>
      <c r="I2588" s="41"/>
      <c r="J2588" s="41"/>
      <c r="K2588" s="41"/>
      <c r="L2588" s="42"/>
      <c r="M2588" s="121"/>
      <c r="N2588" s="121"/>
      <c r="O2588" s="121"/>
      <c r="P2588" s="121"/>
      <c r="Q2588" s="121"/>
      <c r="R2588" s="121"/>
      <c r="S2588" s="121"/>
      <c r="T2588" s="42"/>
      <c r="U2588" s="122"/>
      <c r="V2588" s="42"/>
      <c r="W2588" s="42"/>
      <c r="X2588" s="42"/>
      <c r="Y2588" s="42"/>
      <c r="Z2588" s="42"/>
      <c r="AA2588" s="42"/>
      <c r="AB2588" s="42"/>
    </row>
    <row r="2589" spans="1:28" x14ac:dyDescent="0.25">
      <c r="A2589" s="42"/>
      <c r="B2589" s="121"/>
      <c r="C2589" s="41"/>
      <c r="D2589" s="41"/>
      <c r="E2589" s="41"/>
      <c r="F2589" s="41"/>
      <c r="G2589" s="41"/>
      <c r="H2589" s="41"/>
      <c r="I2589" s="41"/>
      <c r="J2589" s="41"/>
      <c r="K2589" s="41"/>
      <c r="L2589" s="42"/>
      <c r="M2589" s="121"/>
      <c r="N2589" s="121"/>
      <c r="O2589" s="121"/>
      <c r="P2589" s="121"/>
      <c r="Q2589" s="121"/>
      <c r="R2589" s="121"/>
      <c r="S2589" s="121"/>
      <c r="T2589" s="42"/>
      <c r="U2589" s="122"/>
      <c r="V2589" s="42"/>
      <c r="W2589" s="42"/>
      <c r="X2589" s="42"/>
      <c r="Y2589" s="42"/>
      <c r="Z2589" s="42"/>
      <c r="AA2589" s="42"/>
      <c r="AB2589" s="42"/>
    </row>
    <row r="2590" spans="1:28" x14ac:dyDescent="0.25">
      <c r="A2590" s="42"/>
      <c r="B2590" s="121"/>
      <c r="C2590" s="41"/>
      <c r="D2590" s="41"/>
      <c r="E2590" s="41"/>
      <c r="F2590" s="41"/>
      <c r="G2590" s="41"/>
      <c r="H2590" s="41"/>
      <c r="I2590" s="41"/>
      <c r="J2590" s="41"/>
      <c r="K2590" s="41"/>
      <c r="L2590" s="42"/>
      <c r="M2590" s="121"/>
      <c r="N2590" s="121"/>
      <c r="O2590" s="121"/>
      <c r="P2590" s="121"/>
      <c r="Q2590" s="121"/>
      <c r="R2590" s="121"/>
      <c r="S2590" s="121"/>
      <c r="T2590" s="42"/>
      <c r="U2590" s="122"/>
      <c r="V2590" s="42"/>
      <c r="W2590" s="42"/>
      <c r="X2590" s="42"/>
      <c r="Y2590" s="42"/>
      <c r="Z2590" s="42"/>
      <c r="AA2590" s="42"/>
      <c r="AB2590" s="42"/>
    </row>
    <row r="2591" spans="1:28" x14ac:dyDescent="0.25">
      <c r="A2591" s="42"/>
      <c r="B2591" s="121"/>
      <c r="C2591" s="41"/>
      <c r="D2591" s="41"/>
      <c r="E2591" s="41"/>
      <c r="F2591" s="41"/>
      <c r="G2591" s="41"/>
      <c r="H2591" s="41"/>
      <c r="I2591" s="41"/>
      <c r="J2591" s="41"/>
      <c r="K2591" s="41"/>
      <c r="L2591" s="42"/>
      <c r="M2591" s="121"/>
      <c r="N2591" s="121"/>
      <c r="O2591" s="121"/>
      <c r="P2591" s="121"/>
      <c r="Q2591" s="121"/>
      <c r="R2591" s="121"/>
      <c r="S2591" s="121"/>
      <c r="T2591" s="42"/>
      <c r="U2591" s="122"/>
      <c r="V2591" s="42"/>
      <c r="W2591" s="42"/>
      <c r="X2591" s="42"/>
      <c r="Y2591" s="42"/>
      <c r="Z2591" s="42"/>
      <c r="AA2591" s="42"/>
      <c r="AB2591" s="42"/>
    </row>
    <row r="2592" spans="1:28" x14ac:dyDescent="0.25">
      <c r="A2592" s="42"/>
      <c r="B2592" s="121"/>
      <c r="C2592" s="41"/>
      <c r="D2592" s="41"/>
      <c r="E2592" s="41"/>
      <c r="F2592" s="41"/>
      <c r="G2592" s="41"/>
      <c r="H2592" s="41"/>
      <c r="I2592" s="41"/>
      <c r="J2592" s="41"/>
      <c r="K2592" s="41"/>
      <c r="L2592" s="42"/>
      <c r="M2592" s="121"/>
      <c r="N2592" s="121"/>
      <c r="O2592" s="121"/>
      <c r="P2592" s="121"/>
      <c r="Q2592" s="121"/>
      <c r="R2592" s="121"/>
      <c r="S2592" s="121"/>
      <c r="T2592" s="42"/>
      <c r="U2592" s="122"/>
      <c r="V2592" s="42"/>
      <c r="W2592" s="42"/>
      <c r="X2592" s="42"/>
      <c r="Y2592" s="42"/>
      <c r="Z2592" s="42"/>
      <c r="AA2592" s="42"/>
      <c r="AB2592" s="42"/>
    </row>
    <row r="2593" spans="1:28" x14ac:dyDescent="0.25">
      <c r="A2593" s="42"/>
      <c r="B2593" s="121"/>
      <c r="C2593" s="41"/>
      <c r="D2593" s="41"/>
      <c r="E2593" s="41"/>
      <c r="F2593" s="41"/>
      <c r="G2593" s="41"/>
      <c r="H2593" s="41"/>
      <c r="I2593" s="41"/>
      <c r="J2593" s="41"/>
      <c r="K2593" s="41"/>
      <c r="L2593" s="42"/>
      <c r="M2593" s="121"/>
      <c r="N2593" s="121"/>
      <c r="O2593" s="121"/>
      <c r="P2593" s="121"/>
      <c r="Q2593" s="121"/>
      <c r="R2593" s="121"/>
      <c r="S2593" s="121"/>
      <c r="T2593" s="42"/>
      <c r="U2593" s="122"/>
      <c r="V2593" s="42"/>
      <c r="W2593" s="42"/>
      <c r="X2593" s="42"/>
      <c r="Y2593" s="42"/>
      <c r="Z2593" s="42"/>
      <c r="AA2593" s="42"/>
      <c r="AB2593" s="42"/>
    </row>
    <row r="2594" spans="1:28" x14ac:dyDescent="0.25">
      <c r="A2594" s="42"/>
      <c r="B2594" s="121"/>
      <c r="C2594" s="41"/>
      <c r="D2594" s="41"/>
      <c r="E2594" s="41"/>
      <c r="F2594" s="41"/>
      <c r="G2594" s="41"/>
      <c r="H2594" s="41"/>
      <c r="I2594" s="41"/>
      <c r="J2594" s="41"/>
      <c r="K2594" s="41"/>
      <c r="L2594" s="42"/>
      <c r="M2594" s="121"/>
      <c r="N2594" s="121"/>
      <c r="O2594" s="121"/>
      <c r="P2594" s="121"/>
      <c r="Q2594" s="121"/>
      <c r="R2594" s="121"/>
      <c r="S2594" s="121"/>
      <c r="T2594" s="42"/>
      <c r="U2594" s="122"/>
      <c r="V2594" s="42"/>
      <c r="W2594" s="42"/>
      <c r="X2594" s="42"/>
      <c r="Y2594" s="42"/>
      <c r="Z2594" s="42"/>
      <c r="AA2594" s="42"/>
      <c r="AB2594" s="42"/>
    </row>
    <row r="2595" spans="1:28" x14ac:dyDescent="0.25">
      <c r="A2595" s="42"/>
      <c r="B2595" s="121"/>
      <c r="C2595" s="41"/>
      <c r="D2595" s="41"/>
      <c r="E2595" s="41"/>
      <c r="F2595" s="41"/>
      <c r="G2595" s="41"/>
      <c r="H2595" s="41"/>
      <c r="I2595" s="41"/>
      <c r="J2595" s="41"/>
      <c r="K2595" s="41"/>
      <c r="L2595" s="42"/>
      <c r="M2595" s="121"/>
      <c r="N2595" s="121"/>
      <c r="O2595" s="121"/>
      <c r="P2595" s="121"/>
      <c r="Q2595" s="121"/>
      <c r="R2595" s="121"/>
      <c r="S2595" s="121"/>
      <c r="T2595" s="42"/>
      <c r="U2595" s="122"/>
      <c r="V2595" s="42"/>
      <c r="W2595" s="42"/>
      <c r="X2595" s="42"/>
      <c r="Y2595" s="42"/>
      <c r="Z2595" s="42"/>
      <c r="AA2595" s="42"/>
      <c r="AB2595" s="42"/>
    </row>
    <row r="2596" spans="1:28" x14ac:dyDescent="0.25">
      <c r="A2596" s="42"/>
      <c r="B2596" s="121"/>
      <c r="C2596" s="41"/>
      <c r="D2596" s="41"/>
      <c r="E2596" s="41"/>
      <c r="F2596" s="41"/>
      <c r="G2596" s="41"/>
      <c r="H2596" s="41"/>
      <c r="I2596" s="41"/>
      <c r="J2596" s="41"/>
      <c r="K2596" s="41"/>
      <c r="L2596" s="42"/>
      <c r="M2596" s="121"/>
      <c r="N2596" s="121"/>
      <c r="O2596" s="121"/>
      <c r="P2596" s="121"/>
      <c r="Q2596" s="121"/>
      <c r="R2596" s="121"/>
      <c r="S2596" s="121"/>
      <c r="T2596" s="42"/>
      <c r="U2596" s="122"/>
      <c r="V2596" s="42"/>
      <c r="W2596" s="42"/>
      <c r="X2596" s="42"/>
      <c r="Y2596" s="42"/>
      <c r="Z2596" s="42"/>
      <c r="AA2596" s="42"/>
      <c r="AB2596" s="42"/>
    </row>
    <row r="2597" spans="1:28" x14ac:dyDescent="0.25">
      <c r="A2597" s="42"/>
      <c r="B2597" s="121"/>
      <c r="C2597" s="41"/>
      <c r="D2597" s="41"/>
      <c r="E2597" s="41"/>
      <c r="F2597" s="41"/>
      <c r="G2597" s="41"/>
      <c r="H2597" s="41"/>
      <c r="I2597" s="41"/>
      <c r="J2597" s="41"/>
      <c r="K2597" s="41"/>
      <c r="L2597" s="42"/>
      <c r="M2597" s="121"/>
      <c r="N2597" s="121"/>
      <c r="O2597" s="121"/>
      <c r="P2597" s="121"/>
      <c r="Q2597" s="121"/>
      <c r="R2597" s="121"/>
      <c r="S2597" s="121"/>
      <c r="T2597" s="42"/>
      <c r="U2597" s="122"/>
      <c r="V2597" s="42"/>
      <c r="W2597" s="42"/>
      <c r="X2597" s="42"/>
      <c r="Y2597" s="42"/>
      <c r="Z2597" s="42"/>
      <c r="AA2597" s="42"/>
      <c r="AB2597" s="42"/>
    </row>
    <row r="2598" spans="1:28" x14ac:dyDescent="0.25">
      <c r="A2598" s="42"/>
      <c r="B2598" s="121"/>
      <c r="C2598" s="41"/>
      <c r="D2598" s="41"/>
      <c r="E2598" s="41"/>
      <c r="F2598" s="41"/>
      <c r="G2598" s="41"/>
      <c r="H2598" s="41"/>
      <c r="I2598" s="41"/>
      <c r="J2598" s="41"/>
      <c r="K2598" s="41"/>
      <c r="L2598" s="42"/>
      <c r="M2598" s="121"/>
      <c r="N2598" s="121"/>
      <c r="O2598" s="121"/>
      <c r="P2598" s="121"/>
      <c r="Q2598" s="121"/>
      <c r="R2598" s="121"/>
      <c r="S2598" s="121"/>
      <c r="T2598" s="42"/>
      <c r="U2598" s="122"/>
      <c r="V2598" s="42"/>
      <c r="W2598" s="42"/>
      <c r="X2598" s="42"/>
      <c r="Y2598" s="42"/>
      <c r="Z2598" s="42"/>
      <c r="AA2598" s="42"/>
      <c r="AB2598" s="42"/>
    </row>
    <row r="2599" spans="1:28" x14ac:dyDescent="0.25">
      <c r="A2599" s="42"/>
      <c r="B2599" s="121"/>
      <c r="C2599" s="41"/>
      <c r="D2599" s="41"/>
      <c r="E2599" s="41"/>
      <c r="F2599" s="41"/>
      <c r="G2599" s="41"/>
      <c r="H2599" s="41"/>
      <c r="I2599" s="41"/>
      <c r="J2599" s="41"/>
      <c r="K2599" s="41"/>
      <c r="L2599" s="42"/>
      <c r="M2599" s="121"/>
      <c r="N2599" s="121"/>
      <c r="O2599" s="121"/>
      <c r="P2599" s="121"/>
      <c r="Q2599" s="121"/>
      <c r="R2599" s="121"/>
      <c r="S2599" s="121"/>
      <c r="T2599" s="42"/>
      <c r="U2599" s="122"/>
      <c r="V2599" s="42"/>
      <c r="W2599" s="42"/>
      <c r="X2599" s="42"/>
      <c r="Y2599" s="42"/>
      <c r="Z2599" s="42"/>
      <c r="AA2599" s="42"/>
      <c r="AB2599" s="42"/>
    </row>
    <row r="2600" spans="1:28" x14ac:dyDescent="0.25">
      <c r="A2600" s="42"/>
      <c r="B2600" s="121"/>
      <c r="C2600" s="41"/>
      <c r="D2600" s="41"/>
      <c r="E2600" s="41"/>
      <c r="F2600" s="41"/>
      <c r="G2600" s="41"/>
      <c r="H2600" s="41"/>
      <c r="I2600" s="41"/>
      <c r="J2600" s="41"/>
      <c r="K2600" s="41"/>
      <c r="L2600" s="42"/>
      <c r="M2600" s="121"/>
      <c r="N2600" s="121"/>
      <c r="O2600" s="121"/>
      <c r="P2600" s="121"/>
      <c r="Q2600" s="121"/>
      <c r="R2600" s="121"/>
      <c r="S2600" s="121"/>
      <c r="T2600" s="42"/>
      <c r="U2600" s="122"/>
      <c r="V2600" s="42"/>
      <c r="W2600" s="42"/>
      <c r="X2600" s="42"/>
      <c r="Y2600" s="42"/>
      <c r="Z2600" s="42"/>
      <c r="AA2600" s="42"/>
      <c r="AB2600" s="42"/>
    </row>
    <row r="2601" spans="1:28" x14ac:dyDescent="0.25">
      <c r="A2601" s="42"/>
      <c r="B2601" s="121"/>
      <c r="C2601" s="41"/>
      <c r="D2601" s="41"/>
      <c r="E2601" s="41"/>
      <c r="F2601" s="41"/>
      <c r="G2601" s="41"/>
      <c r="H2601" s="41"/>
      <c r="I2601" s="41"/>
      <c r="J2601" s="41"/>
      <c r="K2601" s="41"/>
      <c r="L2601" s="42"/>
      <c r="M2601" s="121"/>
      <c r="N2601" s="121"/>
      <c r="O2601" s="121"/>
      <c r="P2601" s="121"/>
      <c r="Q2601" s="121"/>
      <c r="R2601" s="121"/>
      <c r="S2601" s="121"/>
      <c r="T2601" s="42"/>
      <c r="U2601" s="122"/>
      <c r="V2601" s="42"/>
      <c r="W2601" s="42"/>
      <c r="X2601" s="42"/>
      <c r="Y2601" s="42"/>
      <c r="Z2601" s="42"/>
      <c r="AA2601" s="42"/>
      <c r="AB2601" s="42"/>
    </row>
    <row r="2602" spans="1:28" x14ac:dyDescent="0.25">
      <c r="A2602" s="42"/>
      <c r="B2602" s="121"/>
      <c r="C2602" s="41"/>
      <c r="D2602" s="41"/>
      <c r="E2602" s="41"/>
      <c r="F2602" s="41"/>
      <c r="G2602" s="41"/>
      <c r="H2602" s="41"/>
      <c r="I2602" s="41"/>
      <c r="J2602" s="41"/>
      <c r="K2602" s="41"/>
      <c r="L2602" s="42"/>
      <c r="M2602" s="121"/>
      <c r="N2602" s="121"/>
      <c r="O2602" s="121"/>
      <c r="P2602" s="121"/>
      <c r="Q2602" s="121"/>
      <c r="R2602" s="121"/>
      <c r="S2602" s="121"/>
      <c r="T2602" s="42"/>
      <c r="U2602" s="122"/>
      <c r="V2602" s="42"/>
      <c r="W2602" s="42"/>
      <c r="X2602" s="42"/>
      <c r="Y2602" s="42"/>
      <c r="Z2602" s="42"/>
      <c r="AA2602" s="42"/>
      <c r="AB2602" s="42"/>
    </row>
    <row r="2603" spans="1:28" x14ac:dyDescent="0.25">
      <c r="A2603" s="42"/>
      <c r="B2603" s="121"/>
      <c r="C2603" s="41"/>
      <c r="D2603" s="41"/>
      <c r="E2603" s="41"/>
      <c r="F2603" s="41"/>
      <c r="G2603" s="41"/>
      <c r="H2603" s="41"/>
      <c r="I2603" s="41"/>
      <c r="J2603" s="41"/>
      <c r="K2603" s="41"/>
      <c r="L2603" s="42"/>
      <c r="M2603" s="121"/>
      <c r="N2603" s="121"/>
      <c r="O2603" s="121"/>
      <c r="P2603" s="121"/>
      <c r="Q2603" s="121"/>
      <c r="R2603" s="121"/>
      <c r="S2603" s="121"/>
      <c r="T2603" s="42"/>
      <c r="U2603" s="122"/>
      <c r="V2603" s="42"/>
      <c r="W2603" s="42"/>
      <c r="X2603" s="42"/>
      <c r="Y2603" s="42"/>
      <c r="Z2603" s="42"/>
      <c r="AA2603" s="42"/>
      <c r="AB2603" s="42"/>
    </row>
    <row r="2604" spans="1:28" x14ac:dyDescent="0.25">
      <c r="A2604" s="42"/>
      <c r="B2604" s="121"/>
      <c r="C2604" s="41"/>
      <c r="D2604" s="41"/>
      <c r="E2604" s="41"/>
      <c r="F2604" s="41"/>
      <c r="G2604" s="41"/>
      <c r="H2604" s="41"/>
      <c r="I2604" s="41"/>
      <c r="J2604" s="41"/>
      <c r="K2604" s="41"/>
      <c r="L2604" s="42"/>
      <c r="M2604" s="121"/>
      <c r="N2604" s="121"/>
      <c r="O2604" s="121"/>
      <c r="P2604" s="121"/>
      <c r="Q2604" s="121"/>
      <c r="R2604" s="121"/>
      <c r="S2604" s="121"/>
      <c r="T2604" s="42"/>
      <c r="U2604" s="122"/>
      <c r="V2604" s="42"/>
      <c r="W2604" s="42"/>
      <c r="X2604" s="42"/>
      <c r="Y2604" s="42"/>
      <c r="Z2604" s="42"/>
      <c r="AA2604" s="42"/>
      <c r="AB2604" s="42"/>
    </row>
    <row r="2605" spans="1:28" x14ac:dyDescent="0.25">
      <c r="A2605" s="42"/>
      <c r="B2605" s="121"/>
      <c r="C2605" s="41"/>
      <c r="D2605" s="41"/>
      <c r="E2605" s="41"/>
      <c r="F2605" s="41"/>
      <c r="G2605" s="41"/>
      <c r="H2605" s="41"/>
      <c r="I2605" s="41"/>
      <c r="J2605" s="41"/>
      <c r="K2605" s="41"/>
      <c r="L2605" s="42"/>
      <c r="M2605" s="121"/>
      <c r="N2605" s="121"/>
      <c r="O2605" s="121"/>
      <c r="P2605" s="121"/>
      <c r="Q2605" s="121"/>
      <c r="R2605" s="121"/>
      <c r="S2605" s="121"/>
      <c r="T2605" s="42"/>
      <c r="U2605" s="122"/>
      <c r="V2605" s="42"/>
      <c r="W2605" s="42"/>
      <c r="X2605" s="42"/>
      <c r="Y2605" s="42"/>
      <c r="Z2605" s="42"/>
      <c r="AA2605" s="42"/>
      <c r="AB2605" s="42"/>
    </row>
    <row r="2606" spans="1:28" x14ac:dyDescent="0.25">
      <c r="A2606" s="42"/>
      <c r="B2606" s="121"/>
      <c r="C2606" s="41"/>
      <c r="D2606" s="41"/>
      <c r="E2606" s="41"/>
      <c r="F2606" s="41"/>
      <c r="G2606" s="41"/>
      <c r="H2606" s="41"/>
      <c r="I2606" s="41"/>
      <c r="J2606" s="41"/>
      <c r="K2606" s="41"/>
      <c r="L2606" s="42"/>
      <c r="M2606" s="121"/>
      <c r="N2606" s="121"/>
      <c r="O2606" s="121"/>
      <c r="P2606" s="121"/>
      <c r="Q2606" s="121"/>
      <c r="R2606" s="121"/>
      <c r="S2606" s="121"/>
      <c r="T2606" s="42"/>
      <c r="U2606" s="122"/>
      <c r="V2606" s="42"/>
      <c r="W2606" s="42"/>
      <c r="X2606" s="42"/>
      <c r="Y2606" s="42"/>
      <c r="Z2606" s="42"/>
      <c r="AA2606" s="42"/>
      <c r="AB2606" s="42"/>
    </row>
    <row r="2607" spans="1:28" x14ac:dyDescent="0.25">
      <c r="A2607" s="42"/>
      <c r="B2607" s="121"/>
      <c r="C2607" s="41"/>
      <c r="D2607" s="41"/>
      <c r="E2607" s="41"/>
      <c r="F2607" s="41"/>
      <c r="G2607" s="41"/>
      <c r="H2607" s="41"/>
      <c r="I2607" s="41"/>
      <c r="J2607" s="41"/>
      <c r="K2607" s="41"/>
      <c r="L2607" s="42"/>
      <c r="M2607" s="121"/>
      <c r="N2607" s="121"/>
      <c r="O2607" s="121"/>
      <c r="P2607" s="121"/>
      <c r="Q2607" s="121"/>
      <c r="R2607" s="121"/>
      <c r="S2607" s="121"/>
      <c r="T2607" s="42"/>
      <c r="U2607" s="122"/>
      <c r="V2607" s="42"/>
      <c r="W2607" s="42"/>
      <c r="X2607" s="42"/>
      <c r="Y2607" s="42"/>
      <c r="Z2607" s="42"/>
      <c r="AA2607" s="42"/>
      <c r="AB2607" s="42"/>
    </row>
    <row r="2608" spans="1:28" x14ac:dyDescent="0.25">
      <c r="A2608" s="42"/>
      <c r="B2608" s="121"/>
      <c r="C2608" s="41"/>
      <c r="D2608" s="41"/>
      <c r="E2608" s="41"/>
      <c r="F2608" s="41"/>
      <c r="G2608" s="41"/>
      <c r="H2608" s="41"/>
      <c r="I2608" s="41"/>
      <c r="J2608" s="41"/>
      <c r="K2608" s="41"/>
      <c r="L2608" s="42"/>
      <c r="M2608" s="121"/>
      <c r="N2608" s="121"/>
      <c r="O2608" s="121"/>
      <c r="P2608" s="121"/>
      <c r="Q2608" s="121"/>
      <c r="R2608" s="121"/>
      <c r="S2608" s="121"/>
      <c r="T2608" s="42"/>
      <c r="U2608" s="122"/>
      <c r="V2608" s="42"/>
      <c r="W2608" s="42"/>
      <c r="X2608" s="42"/>
      <c r="Y2608" s="42"/>
      <c r="Z2608" s="42"/>
      <c r="AA2608" s="42"/>
      <c r="AB2608" s="42"/>
    </row>
    <row r="2609" spans="1:28" x14ac:dyDescent="0.25">
      <c r="A2609" s="42"/>
      <c r="B2609" s="121"/>
      <c r="C2609" s="41"/>
      <c r="D2609" s="41"/>
      <c r="E2609" s="41"/>
      <c r="F2609" s="41"/>
      <c r="G2609" s="41"/>
      <c r="H2609" s="41"/>
      <c r="I2609" s="41"/>
      <c r="J2609" s="41"/>
      <c r="K2609" s="41"/>
      <c r="L2609" s="42"/>
      <c r="M2609" s="121"/>
      <c r="N2609" s="121"/>
      <c r="O2609" s="121"/>
      <c r="P2609" s="121"/>
      <c r="Q2609" s="121"/>
      <c r="R2609" s="121"/>
      <c r="S2609" s="121"/>
      <c r="T2609" s="42"/>
      <c r="U2609" s="122"/>
      <c r="V2609" s="42"/>
      <c r="W2609" s="42"/>
      <c r="X2609" s="42"/>
      <c r="Y2609" s="42"/>
      <c r="Z2609" s="42"/>
      <c r="AA2609" s="42"/>
      <c r="AB2609" s="42"/>
    </row>
    <row r="2610" spans="1:28" x14ac:dyDescent="0.25">
      <c r="A2610" s="42"/>
      <c r="B2610" s="121"/>
      <c r="C2610" s="41"/>
      <c r="D2610" s="41"/>
      <c r="E2610" s="41"/>
      <c r="F2610" s="41"/>
      <c r="G2610" s="41"/>
      <c r="H2610" s="41"/>
      <c r="I2610" s="41"/>
      <c r="J2610" s="41"/>
      <c r="K2610" s="41"/>
      <c r="L2610" s="42"/>
      <c r="M2610" s="121"/>
      <c r="N2610" s="121"/>
      <c r="O2610" s="121"/>
      <c r="P2610" s="121"/>
      <c r="Q2610" s="121"/>
      <c r="R2610" s="121"/>
      <c r="S2610" s="121"/>
      <c r="T2610" s="42"/>
      <c r="U2610" s="122"/>
      <c r="V2610" s="42"/>
      <c r="W2610" s="42"/>
      <c r="X2610" s="42"/>
      <c r="Y2610" s="42"/>
      <c r="Z2610" s="42"/>
      <c r="AA2610" s="42"/>
      <c r="AB2610" s="42"/>
    </row>
    <row r="2611" spans="1:28" x14ac:dyDescent="0.25">
      <c r="A2611" s="42"/>
      <c r="B2611" s="121"/>
      <c r="C2611" s="41"/>
      <c r="D2611" s="41"/>
      <c r="E2611" s="41"/>
      <c r="F2611" s="41"/>
      <c r="G2611" s="41"/>
      <c r="H2611" s="41"/>
      <c r="I2611" s="41"/>
      <c r="J2611" s="41"/>
      <c r="K2611" s="41"/>
      <c r="L2611" s="42"/>
      <c r="M2611" s="121"/>
      <c r="N2611" s="121"/>
      <c r="O2611" s="121"/>
      <c r="P2611" s="121"/>
      <c r="Q2611" s="121"/>
      <c r="R2611" s="121"/>
      <c r="S2611" s="121"/>
      <c r="T2611" s="42"/>
      <c r="U2611" s="122"/>
      <c r="V2611" s="42"/>
      <c r="W2611" s="42"/>
      <c r="X2611" s="42"/>
      <c r="Y2611" s="42"/>
      <c r="Z2611" s="42"/>
      <c r="AA2611" s="42"/>
      <c r="AB2611" s="42"/>
    </row>
    <row r="2612" spans="1:28" x14ac:dyDescent="0.25">
      <c r="A2612" s="42"/>
      <c r="B2612" s="121"/>
      <c r="C2612" s="41"/>
      <c r="D2612" s="41"/>
      <c r="E2612" s="41"/>
      <c r="F2612" s="41"/>
      <c r="G2612" s="41"/>
      <c r="H2612" s="41"/>
      <c r="I2612" s="41"/>
      <c r="J2612" s="41"/>
      <c r="K2612" s="41"/>
      <c r="L2612" s="42"/>
      <c r="M2612" s="121"/>
      <c r="N2612" s="121"/>
      <c r="O2612" s="121"/>
      <c r="P2612" s="121"/>
      <c r="Q2612" s="121"/>
      <c r="R2612" s="121"/>
      <c r="S2612" s="121"/>
      <c r="T2612" s="42"/>
      <c r="U2612" s="122"/>
      <c r="V2612" s="42"/>
      <c r="W2612" s="42"/>
      <c r="X2612" s="42"/>
      <c r="Y2612" s="42"/>
      <c r="Z2612" s="42"/>
      <c r="AA2612" s="42"/>
      <c r="AB2612" s="42"/>
    </row>
    <row r="2613" spans="1:28" x14ac:dyDescent="0.25">
      <c r="A2613" s="42"/>
      <c r="B2613" s="121"/>
      <c r="C2613" s="41"/>
      <c r="D2613" s="41"/>
      <c r="E2613" s="41"/>
      <c r="F2613" s="41"/>
      <c r="G2613" s="41"/>
      <c r="H2613" s="41"/>
      <c r="I2613" s="41"/>
      <c r="J2613" s="41"/>
      <c r="K2613" s="41"/>
      <c r="L2613" s="42"/>
      <c r="M2613" s="121"/>
      <c r="N2613" s="121"/>
      <c r="O2613" s="121"/>
      <c r="P2613" s="121"/>
      <c r="Q2613" s="121"/>
      <c r="R2613" s="121"/>
      <c r="S2613" s="121"/>
      <c r="T2613" s="42"/>
      <c r="U2613" s="122"/>
      <c r="V2613" s="42"/>
      <c r="W2613" s="42"/>
      <c r="X2613" s="42"/>
      <c r="Y2613" s="42"/>
      <c r="Z2613" s="42"/>
      <c r="AA2613" s="42"/>
      <c r="AB2613" s="42"/>
    </row>
    <row r="2614" spans="1:28" x14ac:dyDescent="0.25">
      <c r="A2614" s="42"/>
      <c r="B2614" s="121"/>
      <c r="C2614" s="41"/>
      <c r="D2614" s="41"/>
      <c r="E2614" s="41"/>
      <c r="F2614" s="41"/>
      <c r="G2614" s="41"/>
      <c r="H2614" s="41"/>
      <c r="I2614" s="41"/>
      <c r="J2614" s="41"/>
      <c r="K2614" s="41"/>
      <c r="L2614" s="42"/>
      <c r="M2614" s="121"/>
      <c r="N2614" s="121"/>
      <c r="O2614" s="121"/>
      <c r="P2614" s="121"/>
      <c r="Q2614" s="121"/>
      <c r="R2614" s="121"/>
      <c r="S2614" s="121"/>
      <c r="T2614" s="42"/>
      <c r="U2614" s="122"/>
      <c r="V2614" s="42"/>
      <c r="W2614" s="42"/>
      <c r="X2614" s="42"/>
      <c r="Y2614" s="42"/>
      <c r="Z2614" s="42"/>
      <c r="AA2614" s="42"/>
      <c r="AB2614" s="42"/>
    </row>
    <row r="2615" spans="1:28" x14ac:dyDescent="0.25">
      <c r="A2615" s="42"/>
      <c r="B2615" s="121"/>
      <c r="C2615" s="41"/>
      <c r="D2615" s="41"/>
      <c r="E2615" s="41"/>
      <c r="F2615" s="41"/>
      <c r="G2615" s="41"/>
      <c r="H2615" s="41"/>
      <c r="I2615" s="41"/>
      <c r="J2615" s="41"/>
      <c r="K2615" s="41"/>
      <c r="L2615" s="42"/>
      <c r="M2615" s="121"/>
      <c r="N2615" s="121"/>
      <c r="O2615" s="121"/>
      <c r="P2615" s="121"/>
      <c r="Q2615" s="121"/>
      <c r="R2615" s="121"/>
      <c r="S2615" s="121"/>
      <c r="T2615" s="42"/>
      <c r="U2615" s="122"/>
      <c r="V2615" s="42"/>
      <c r="W2615" s="42"/>
      <c r="X2615" s="42"/>
      <c r="Y2615" s="42"/>
      <c r="Z2615" s="42"/>
      <c r="AA2615" s="42"/>
      <c r="AB2615" s="42"/>
    </row>
    <row r="2616" spans="1:28" x14ac:dyDescent="0.25">
      <c r="A2616" s="42"/>
      <c r="B2616" s="121"/>
      <c r="C2616" s="41"/>
      <c r="D2616" s="41"/>
      <c r="E2616" s="41"/>
      <c r="F2616" s="41"/>
      <c r="G2616" s="41"/>
      <c r="H2616" s="41"/>
      <c r="I2616" s="41"/>
      <c r="J2616" s="41"/>
      <c r="K2616" s="41"/>
      <c r="L2616" s="42"/>
      <c r="M2616" s="121"/>
      <c r="N2616" s="121"/>
      <c r="O2616" s="121"/>
      <c r="P2616" s="121"/>
      <c r="Q2616" s="121"/>
      <c r="R2616" s="121"/>
      <c r="S2616" s="121"/>
      <c r="T2616" s="42"/>
      <c r="U2616" s="122"/>
      <c r="V2616" s="42"/>
      <c r="W2616" s="42"/>
      <c r="X2616" s="42"/>
      <c r="Y2616" s="42"/>
      <c r="Z2616" s="42"/>
      <c r="AA2616" s="42"/>
      <c r="AB2616" s="42"/>
    </row>
    <row r="2617" spans="1:28" x14ac:dyDescent="0.25">
      <c r="A2617" s="42"/>
      <c r="B2617" s="121"/>
      <c r="C2617" s="41"/>
      <c r="D2617" s="41"/>
      <c r="E2617" s="41"/>
      <c r="F2617" s="41"/>
      <c r="G2617" s="41"/>
      <c r="H2617" s="41"/>
      <c r="I2617" s="41"/>
      <c r="J2617" s="41"/>
      <c r="K2617" s="41"/>
      <c r="L2617" s="42"/>
      <c r="M2617" s="121"/>
      <c r="N2617" s="121"/>
      <c r="O2617" s="121"/>
      <c r="P2617" s="121"/>
      <c r="Q2617" s="121"/>
      <c r="R2617" s="121"/>
      <c r="S2617" s="121"/>
      <c r="T2617" s="42"/>
      <c r="U2617" s="122"/>
      <c r="V2617" s="42"/>
      <c r="W2617" s="42"/>
      <c r="X2617" s="42"/>
      <c r="Y2617" s="42"/>
      <c r="Z2617" s="42"/>
      <c r="AA2617" s="42"/>
      <c r="AB2617" s="42"/>
    </row>
    <row r="2618" spans="1:28" x14ac:dyDescent="0.25">
      <c r="A2618" s="42"/>
      <c r="B2618" s="121"/>
      <c r="C2618" s="41"/>
      <c r="D2618" s="41"/>
      <c r="E2618" s="41"/>
      <c r="F2618" s="41"/>
      <c r="G2618" s="41"/>
      <c r="H2618" s="41"/>
      <c r="I2618" s="41"/>
      <c r="J2618" s="41"/>
      <c r="K2618" s="41"/>
      <c r="L2618" s="42"/>
      <c r="M2618" s="121"/>
      <c r="N2618" s="121"/>
      <c r="O2618" s="121"/>
      <c r="P2618" s="121"/>
      <c r="Q2618" s="121"/>
      <c r="R2618" s="121"/>
      <c r="S2618" s="121"/>
      <c r="T2618" s="42"/>
      <c r="U2618" s="122"/>
      <c r="V2618" s="42"/>
      <c r="W2618" s="42"/>
      <c r="X2618" s="42"/>
      <c r="Y2618" s="42"/>
      <c r="Z2618" s="42"/>
      <c r="AA2618" s="42"/>
      <c r="AB2618" s="42"/>
    </row>
    <row r="2619" spans="1:28" x14ac:dyDescent="0.25">
      <c r="A2619" s="42"/>
      <c r="B2619" s="121"/>
      <c r="C2619" s="41"/>
      <c r="D2619" s="41"/>
      <c r="E2619" s="41"/>
      <c r="F2619" s="41"/>
      <c r="G2619" s="41"/>
      <c r="H2619" s="41"/>
      <c r="I2619" s="41"/>
      <c r="J2619" s="41"/>
      <c r="K2619" s="41"/>
      <c r="L2619" s="42"/>
      <c r="M2619" s="121"/>
      <c r="N2619" s="121"/>
      <c r="O2619" s="121"/>
      <c r="P2619" s="121"/>
      <c r="Q2619" s="121"/>
      <c r="R2619" s="121"/>
      <c r="S2619" s="121"/>
      <c r="T2619" s="42"/>
      <c r="U2619" s="122"/>
      <c r="V2619" s="42"/>
      <c r="W2619" s="42"/>
      <c r="X2619" s="42"/>
      <c r="Y2619" s="42"/>
      <c r="Z2619" s="42"/>
      <c r="AA2619" s="42"/>
      <c r="AB2619" s="42"/>
    </row>
    <row r="2620" spans="1:28" x14ac:dyDescent="0.25">
      <c r="A2620" s="42"/>
      <c r="B2620" s="121"/>
      <c r="C2620" s="41"/>
      <c r="D2620" s="41"/>
      <c r="E2620" s="41"/>
      <c r="F2620" s="41"/>
      <c r="G2620" s="41"/>
      <c r="H2620" s="41"/>
      <c r="I2620" s="41"/>
      <c r="J2620" s="41"/>
      <c r="K2620" s="41"/>
      <c r="L2620" s="42"/>
      <c r="M2620" s="121"/>
      <c r="N2620" s="121"/>
      <c r="O2620" s="121"/>
      <c r="P2620" s="121"/>
      <c r="Q2620" s="121"/>
      <c r="R2620" s="121"/>
      <c r="S2620" s="121"/>
      <c r="T2620" s="42"/>
      <c r="U2620" s="122"/>
      <c r="V2620" s="42"/>
      <c r="W2620" s="42"/>
      <c r="X2620" s="42"/>
      <c r="Y2620" s="42"/>
      <c r="Z2620" s="42"/>
      <c r="AA2620" s="42"/>
      <c r="AB2620" s="42"/>
    </row>
    <row r="2621" spans="1:28" x14ac:dyDescent="0.25">
      <c r="A2621" s="42"/>
      <c r="B2621" s="121"/>
      <c r="C2621" s="41"/>
      <c r="D2621" s="41"/>
      <c r="E2621" s="41"/>
      <c r="F2621" s="41"/>
      <c r="G2621" s="41"/>
      <c r="H2621" s="41"/>
      <c r="I2621" s="41"/>
      <c r="J2621" s="41"/>
      <c r="K2621" s="41"/>
      <c r="L2621" s="42"/>
      <c r="M2621" s="121"/>
      <c r="N2621" s="121"/>
      <c r="O2621" s="121"/>
      <c r="P2621" s="121"/>
      <c r="Q2621" s="121"/>
      <c r="R2621" s="121"/>
      <c r="S2621" s="121"/>
      <c r="T2621" s="42"/>
      <c r="U2621" s="122"/>
      <c r="V2621" s="42"/>
      <c r="W2621" s="42"/>
      <c r="X2621" s="42"/>
      <c r="Y2621" s="42"/>
      <c r="Z2621" s="42"/>
      <c r="AA2621" s="42"/>
      <c r="AB2621" s="42"/>
    </row>
    <row r="2622" spans="1:28" x14ac:dyDescent="0.25">
      <c r="A2622" s="42"/>
      <c r="B2622" s="121"/>
      <c r="C2622" s="41"/>
      <c r="D2622" s="41"/>
      <c r="E2622" s="41"/>
      <c r="F2622" s="41"/>
      <c r="G2622" s="41"/>
      <c r="H2622" s="41"/>
      <c r="I2622" s="41"/>
      <c r="J2622" s="41"/>
      <c r="K2622" s="41"/>
      <c r="L2622" s="42"/>
      <c r="M2622" s="121"/>
      <c r="N2622" s="121"/>
      <c r="O2622" s="121"/>
      <c r="P2622" s="121"/>
      <c r="Q2622" s="121"/>
      <c r="R2622" s="121"/>
      <c r="S2622" s="121"/>
      <c r="T2622" s="42"/>
      <c r="U2622" s="122"/>
      <c r="V2622" s="42"/>
      <c r="W2622" s="42"/>
      <c r="X2622" s="42"/>
      <c r="Y2622" s="42"/>
      <c r="Z2622" s="42"/>
      <c r="AA2622" s="42"/>
      <c r="AB2622" s="42"/>
    </row>
    <row r="2623" spans="1:28" x14ac:dyDescent="0.25">
      <c r="A2623" s="42"/>
      <c r="B2623" s="121"/>
      <c r="C2623" s="41"/>
      <c r="D2623" s="41"/>
      <c r="E2623" s="41"/>
      <c r="F2623" s="41"/>
      <c r="G2623" s="41"/>
      <c r="H2623" s="41"/>
      <c r="I2623" s="41"/>
      <c r="J2623" s="41"/>
      <c r="K2623" s="41"/>
      <c r="L2623" s="42"/>
      <c r="M2623" s="121"/>
      <c r="N2623" s="121"/>
      <c r="O2623" s="121"/>
      <c r="P2623" s="121"/>
      <c r="Q2623" s="121"/>
      <c r="R2623" s="121"/>
      <c r="S2623" s="121"/>
      <c r="T2623" s="42"/>
      <c r="U2623" s="122"/>
      <c r="V2623" s="42"/>
      <c r="W2623" s="42"/>
      <c r="X2623" s="42"/>
      <c r="Y2623" s="42"/>
      <c r="Z2623" s="42"/>
      <c r="AA2623" s="42"/>
      <c r="AB2623" s="42"/>
    </row>
    <row r="2624" spans="1:28" x14ac:dyDescent="0.25">
      <c r="A2624" s="42"/>
      <c r="B2624" s="121"/>
      <c r="C2624" s="41"/>
      <c r="D2624" s="41"/>
      <c r="E2624" s="41"/>
      <c r="F2624" s="41"/>
      <c r="G2624" s="41"/>
      <c r="H2624" s="41"/>
      <c r="I2624" s="41"/>
      <c r="J2624" s="41"/>
      <c r="K2624" s="41"/>
      <c r="L2624" s="42"/>
      <c r="M2624" s="121"/>
      <c r="N2624" s="121"/>
      <c r="O2624" s="121"/>
      <c r="P2624" s="121"/>
      <c r="Q2624" s="121"/>
      <c r="R2624" s="121"/>
      <c r="S2624" s="121"/>
      <c r="T2624" s="42"/>
      <c r="U2624" s="122"/>
      <c r="V2624" s="42"/>
      <c r="W2624" s="42"/>
      <c r="X2624" s="42"/>
      <c r="Y2624" s="42"/>
      <c r="Z2624" s="42"/>
      <c r="AA2624" s="42"/>
      <c r="AB2624" s="42"/>
    </row>
    <row r="2625" spans="1:28" x14ac:dyDescent="0.25">
      <c r="A2625" s="42"/>
      <c r="B2625" s="121"/>
      <c r="C2625" s="41"/>
      <c r="D2625" s="41"/>
      <c r="E2625" s="41"/>
      <c r="F2625" s="41"/>
      <c r="G2625" s="41"/>
      <c r="H2625" s="41"/>
      <c r="I2625" s="41"/>
      <c r="J2625" s="41"/>
      <c r="K2625" s="41"/>
      <c r="L2625" s="42"/>
      <c r="M2625" s="121"/>
      <c r="N2625" s="121"/>
      <c r="O2625" s="121"/>
      <c r="P2625" s="121"/>
      <c r="Q2625" s="121"/>
      <c r="R2625" s="121"/>
      <c r="S2625" s="121"/>
      <c r="T2625" s="42"/>
      <c r="U2625" s="122"/>
      <c r="V2625" s="42"/>
      <c r="W2625" s="42"/>
      <c r="X2625" s="42"/>
      <c r="Y2625" s="42"/>
      <c r="Z2625" s="42"/>
      <c r="AA2625" s="42"/>
      <c r="AB2625" s="42"/>
    </row>
    <row r="2626" spans="1:28" x14ac:dyDescent="0.25">
      <c r="A2626" s="42"/>
      <c r="B2626" s="121"/>
      <c r="C2626" s="41"/>
      <c r="D2626" s="41"/>
      <c r="E2626" s="41"/>
      <c r="F2626" s="41"/>
      <c r="G2626" s="41"/>
      <c r="H2626" s="41"/>
      <c r="I2626" s="41"/>
      <c r="J2626" s="41"/>
      <c r="K2626" s="41"/>
      <c r="L2626" s="42"/>
      <c r="M2626" s="121"/>
      <c r="N2626" s="121"/>
      <c r="O2626" s="121"/>
      <c r="P2626" s="121"/>
      <c r="Q2626" s="121"/>
      <c r="R2626" s="121"/>
      <c r="S2626" s="121"/>
      <c r="T2626" s="42"/>
      <c r="U2626" s="122"/>
      <c r="V2626" s="42"/>
      <c r="W2626" s="42"/>
      <c r="X2626" s="42"/>
      <c r="Y2626" s="42"/>
      <c r="Z2626" s="42"/>
      <c r="AA2626" s="42"/>
      <c r="AB2626" s="42"/>
    </row>
    <row r="2627" spans="1:28" x14ac:dyDescent="0.25">
      <c r="A2627" s="42"/>
      <c r="B2627" s="121"/>
      <c r="C2627" s="41"/>
      <c r="D2627" s="41"/>
      <c r="E2627" s="41"/>
      <c r="F2627" s="41"/>
      <c r="G2627" s="41"/>
      <c r="H2627" s="41"/>
      <c r="I2627" s="41"/>
      <c r="J2627" s="41"/>
      <c r="K2627" s="41"/>
      <c r="L2627" s="42"/>
      <c r="M2627" s="121"/>
      <c r="N2627" s="121"/>
      <c r="O2627" s="121"/>
      <c r="P2627" s="121"/>
      <c r="Q2627" s="121"/>
      <c r="R2627" s="121"/>
      <c r="S2627" s="121"/>
      <c r="T2627" s="42"/>
      <c r="U2627" s="122"/>
      <c r="V2627" s="42"/>
      <c r="W2627" s="42"/>
      <c r="X2627" s="42"/>
      <c r="Y2627" s="42"/>
      <c r="Z2627" s="42"/>
      <c r="AA2627" s="42"/>
      <c r="AB2627" s="42"/>
    </row>
    <row r="2628" spans="1:28" x14ac:dyDescent="0.25">
      <c r="A2628" s="42"/>
      <c r="B2628" s="121"/>
      <c r="C2628" s="41"/>
      <c r="D2628" s="41"/>
      <c r="E2628" s="41"/>
      <c r="F2628" s="41"/>
      <c r="G2628" s="41"/>
      <c r="H2628" s="41"/>
      <c r="I2628" s="41"/>
      <c r="J2628" s="41"/>
      <c r="K2628" s="41"/>
      <c r="L2628" s="42"/>
      <c r="M2628" s="121"/>
      <c r="N2628" s="121"/>
      <c r="O2628" s="121"/>
      <c r="P2628" s="121"/>
      <c r="Q2628" s="121"/>
      <c r="R2628" s="121"/>
      <c r="S2628" s="121"/>
      <c r="T2628" s="42"/>
      <c r="U2628" s="122"/>
      <c r="V2628" s="42"/>
      <c r="W2628" s="42"/>
      <c r="X2628" s="42"/>
      <c r="Y2628" s="42"/>
      <c r="Z2628" s="42"/>
      <c r="AA2628" s="42"/>
      <c r="AB2628" s="42"/>
    </row>
    <row r="2629" spans="1:28" x14ac:dyDescent="0.25">
      <c r="A2629" s="42"/>
      <c r="B2629" s="121"/>
      <c r="C2629" s="41"/>
      <c r="D2629" s="41"/>
      <c r="E2629" s="41"/>
      <c r="F2629" s="41"/>
      <c r="G2629" s="41"/>
      <c r="H2629" s="41"/>
      <c r="I2629" s="41"/>
      <c r="J2629" s="41"/>
      <c r="K2629" s="41"/>
      <c r="L2629" s="42"/>
      <c r="M2629" s="121"/>
      <c r="N2629" s="121"/>
      <c r="O2629" s="121"/>
      <c r="P2629" s="121"/>
      <c r="Q2629" s="121"/>
      <c r="R2629" s="121"/>
      <c r="S2629" s="121"/>
      <c r="T2629" s="42"/>
      <c r="U2629" s="122"/>
      <c r="V2629" s="42"/>
      <c r="W2629" s="42"/>
      <c r="X2629" s="42"/>
      <c r="Y2629" s="42"/>
      <c r="Z2629" s="42"/>
      <c r="AA2629" s="42"/>
      <c r="AB2629" s="42"/>
    </row>
    <row r="2630" spans="1:28" x14ac:dyDescent="0.25">
      <c r="A2630" s="42"/>
      <c r="B2630" s="121"/>
      <c r="C2630" s="41"/>
      <c r="D2630" s="41"/>
      <c r="E2630" s="41"/>
      <c r="F2630" s="41"/>
      <c r="G2630" s="41"/>
      <c r="H2630" s="41"/>
      <c r="I2630" s="41"/>
      <c r="J2630" s="41"/>
      <c r="K2630" s="41"/>
      <c r="L2630" s="42"/>
      <c r="M2630" s="121"/>
      <c r="N2630" s="121"/>
      <c r="O2630" s="121"/>
      <c r="P2630" s="121"/>
      <c r="Q2630" s="121"/>
      <c r="R2630" s="121"/>
      <c r="S2630" s="121"/>
      <c r="T2630" s="42"/>
      <c r="U2630" s="122"/>
      <c r="V2630" s="42"/>
      <c r="W2630" s="42"/>
      <c r="X2630" s="42"/>
      <c r="Y2630" s="42"/>
      <c r="Z2630" s="42"/>
      <c r="AA2630" s="42"/>
      <c r="AB2630" s="42"/>
    </row>
    <row r="2631" spans="1:28" x14ac:dyDescent="0.25">
      <c r="A2631" s="42"/>
      <c r="B2631" s="121"/>
      <c r="C2631" s="41"/>
      <c r="D2631" s="41"/>
      <c r="E2631" s="41"/>
      <c r="F2631" s="41"/>
      <c r="G2631" s="41"/>
      <c r="H2631" s="41"/>
      <c r="I2631" s="41"/>
      <c r="J2631" s="41"/>
      <c r="K2631" s="41"/>
      <c r="L2631" s="42"/>
      <c r="M2631" s="121"/>
      <c r="N2631" s="121"/>
      <c r="O2631" s="121"/>
      <c r="P2631" s="121"/>
      <c r="Q2631" s="121"/>
      <c r="R2631" s="121"/>
      <c r="S2631" s="121"/>
      <c r="T2631" s="42"/>
      <c r="U2631" s="122"/>
      <c r="V2631" s="42"/>
      <c r="W2631" s="42"/>
      <c r="X2631" s="42"/>
      <c r="Y2631" s="42"/>
      <c r="Z2631" s="42"/>
      <c r="AA2631" s="42"/>
      <c r="AB2631" s="42"/>
    </row>
    <row r="2632" spans="1:28" x14ac:dyDescent="0.25">
      <c r="A2632" s="42"/>
      <c r="B2632" s="121"/>
      <c r="C2632" s="41"/>
      <c r="D2632" s="41"/>
      <c r="E2632" s="41"/>
      <c r="F2632" s="41"/>
      <c r="G2632" s="41"/>
      <c r="H2632" s="41"/>
      <c r="I2632" s="41"/>
      <c r="J2632" s="41"/>
      <c r="K2632" s="41"/>
      <c r="L2632" s="42"/>
      <c r="M2632" s="121"/>
      <c r="N2632" s="121"/>
      <c r="O2632" s="121"/>
      <c r="P2632" s="121"/>
      <c r="Q2632" s="121"/>
      <c r="R2632" s="121"/>
      <c r="S2632" s="121"/>
      <c r="T2632" s="42"/>
      <c r="U2632" s="122"/>
      <c r="V2632" s="42"/>
      <c r="W2632" s="42"/>
      <c r="X2632" s="42"/>
      <c r="Y2632" s="42"/>
      <c r="Z2632" s="42"/>
      <c r="AA2632" s="42"/>
      <c r="AB2632" s="42"/>
    </row>
    <row r="2633" spans="1:28" x14ac:dyDescent="0.25">
      <c r="A2633" s="42"/>
      <c r="B2633" s="121"/>
      <c r="C2633" s="41"/>
      <c r="D2633" s="41"/>
      <c r="E2633" s="41"/>
      <c r="F2633" s="41"/>
      <c r="G2633" s="41"/>
      <c r="H2633" s="41"/>
      <c r="I2633" s="41"/>
      <c r="J2633" s="41"/>
      <c r="K2633" s="41"/>
      <c r="L2633" s="42"/>
      <c r="M2633" s="121"/>
      <c r="N2633" s="121"/>
      <c r="O2633" s="121"/>
      <c r="P2633" s="121"/>
      <c r="Q2633" s="121"/>
      <c r="R2633" s="121"/>
      <c r="S2633" s="121"/>
      <c r="T2633" s="42"/>
      <c r="U2633" s="122"/>
      <c r="V2633" s="42"/>
      <c r="W2633" s="42"/>
      <c r="X2633" s="42"/>
      <c r="Y2633" s="42"/>
      <c r="Z2633" s="42"/>
      <c r="AA2633" s="42"/>
      <c r="AB2633" s="42"/>
    </row>
    <row r="2634" spans="1:28" x14ac:dyDescent="0.25">
      <c r="A2634" s="42"/>
      <c r="B2634" s="121"/>
      <c r="C2634" s="41"/>
      <c r="D2634" s="41"/>
      <c r="E2634" s="41"/>
      <c r="F2634" s="41"/>
      <c r="G2634" s="41"/>
      <c r="H2634" s="41"/>
      <c r="I2634" s="41"/>
      <c r="J2634" s="41"/>
      <c r="K2634" s="41"/>
      <c r="L2634" s="42"/>
      <c r="M2634" s="121"/>
      <c r="N2634" s="121"/>
      <c r="O2634" s="121"/>
      <c r="P2634" s="121"/>
      <c r="Q2634" s="121"/>
      <c r="R2634" s="121"/>
      <c r="S2634" s="121"/>
      <c r="T2634" s="42"/>
      <c r="U2634" s="122"/>
      <c r="V2634" s="42"/>
      <c r="W2634" s="42"/>
      <c r="X2634" s="42"/>
      <c r="Y2634" s="42"/>
      <c r="Z2634" s="42"/>
      <c r="AA2634" s="42"/>
      <c r="AB2634" s="42"/>
    </row>
    <row r="2635" spans="1:28" x14ac:dyDescent="0.25">
      <c r="A2635" s="42"/>
      <c r="B2635" s="121"/>
      <c r="C2635" s="41"/>
      <c r="D2635" s="41"/>
      <c r="E2635" s="41"/>
      <c r="F2635" s="41"/>
      <c r="G2635" s="41"/>
      <c r="H2635" s="41"/>
      <c r="I2635" s="41"/>
      <c r="J2635" s="41"/>
      <c r="K2635" s="41"/>
      <c r="L2635" s="42"/>
      <c r="M2635" s="121"/>
      <c r="N2635" s="121"/>
      <c r="O2635" s="121"/>
      <c r="P2635" s="121"/>
      <c r="Q2635" s="121"/>
      <c r="R2635" s="121"/>
      <c r="S2635" s="121"/>
      <c r="T2635" s="42"/>
      <c r="U2635" s="122"/>
      <c r="V2635" s="42"/>
      <c r="W2635" s="42"/>
      <c r="X2635" s="42"/>
      <c r="Y2635" s="42"/>
      <c r="Z2635" s="42"/>
      <c r="AA2635" s="42"/>
      <c r="AB2635" s="42"/>
    </row>
    <row r="2636" spans="1:28" x14ac:dyDescent="0.25">
      <c r="A2636" s="42"/>
      <c r="B2636" s="121"/>
      <c r="C2636" s="41"/>
      <c r="D2636" s="41"/>
      <c r="E2636" s="41"/>
      <c r="F2636" s="41"/>
      <c r="G2636" s="41"/>
      <c r="H2636" s="41"/>
      <c r="I2636" s="41"/>
      <c r="J2636" s="41"/>
      <c r="K2636" s="41"/>
      <c r="L2636" s="42"/>
      <c r="M2636" s="121"/>
      <c r="N2636" s="121"/>
      <c r="O2636" s="121"/>
      <c r="P2636" s="121"/>
      <c r="Q2636" s="121"/>
      <c r="R2636" s="121"/>
      <c r="S2636" s="121"/>
      <c r="T2636" s="42"/>
      <c r="U2636" s="122"/>
      <c r="V2636" s="42"/>
      <c r="W2636" s="42"/>
      <c r="X2636" s="42"/>
      <c r="Y2636" s="42"/>
      <c r="Z2636" s="42"/>
      <c r="AA2636" s="42"/>
      <c r="AB2636" s="42"/>
    </row>
    <row r="2637" spans="1:28" x14ac:dyDescent="0.25">
      <c r="A2637" s="42"/>
      <c r="B2637" s="121"/>
      <c r="C2637" s="41"/>
      <c r="D2637" s="41"/>
      <c r="E2637" s="41"/>
      <c r="F2637" s="41"/>
      <c r="G2637" s="41"/>
      <c r="H2637" s="41"/>
      <c r="I2637" s="41"/>
      <c r="J2637" s="41"/>
      <c r="K2637" s="41"/>
      <c r="L2637" s="42"/>
      <c r="M2637" s="121"/>
      <c r="N2637" s="121"/>
      <c r="O2637" s="121"/>
      <c r="P2637" s="121"/>
      <c r="Q2637" s="121"/>
      <c r="R2637" s="121"/>
      <c r="S2637" s="121"/>
      <c r="T2637" s="42"/>
      <c r="U2637" s="122"/>
      <c r="V2637" s="42"/>
      <c r="W2637" s="42"/>
      <c r="X2637" s="42"/>
      <c r="Y2637" s="42"/>
      <c r="Z2637" s="42"/>
      <c r="AA2637" s="42"/>
      <c r="AB2637" s="42"/>
    </row>
    <row r="2638" spans="1:28" x14ac:dyDescent="0.25">
      <c r="A2638" s="42"/>
      <c r="B2638" s="121"/>
      <c r="C2638" s="41"/>
      <c r="D2638" s="41"/>
      <c r="E2638" s="41"/>
      <c r="F2638" s="41"/>
      <c r="G2638" s="41"/>
      <c r="H2638" s="41"/>
      <c r="I2638" s="41"/>
      <c r="J2638" s="41"/>
      <c r="K2638" s="41"/>
      <c r="L2638" s="42"/>
      <c r="M2638" s="121"/>
      <c r="N2638" s="121"/>
      <c r="O2638" s="121"/>
      <c r="P2638" s="121"/>
      <c r="Q2638" s="121"/>
      <c r="R2638" s="121"/>
      <c r="S2638" s="121"/>
      <c r="T2638" s="42"/>
      <c r="U2638" s="122"/>
      <c r="V2638" s="42"/>
      <c r="W2638" s="42"/>
      <c r="X2638" s="42"/>
      <c r="Y2638" s="42"/>
      <c r="Z2638" s="42"/>
      <c r="AA2638" s="42"/>
      <c r="AB2638" s="42"/>
    </row>
    <row r="2639" spans="1:28" x14ac:dyDescent="0.25">
      <c r="A2639" s="42"/>
      <c r="B2639" s="121"/>
      <c r="C2639" s="41"/>
      <c r="D2639" s="41"/>
      <c r="E2639" s="41"/>
      <c r="F2639" s="41"/>
      <c r="G2639" s="41"/>
      <c r="H2639" s="41"/>
      <c r="I2639" s="41"/>
      <c r="J2639" s="41"/>
      <c r="K2639" s="41"/>
      <c r="L2639" s="42"/>
      <c r="M2639" s="121"/>
      <c r="N2639" s="121"/>
      <c r="O2639" s="121"/>
      <c r="P2639" s="121"/>
      <c r="Q2639" s="121"/>
      <c r="R2639" s="121"/>
      <c r="S2639" s="121"/>
      <c r="T2639" s="42"/>
      <c r="U2639" s="122"/>
      <c r="V2639" s="42"/>
      <c r="W2639" s="42"/>
      <c r="X2639" s="42"/>
      <c r="Y2639" s="42"/>
      <c r="Z2639" s="42"/>
      <c r="AA2639" s="42"/>
      <c r="AB2639" s="42"/>
    </row>
    <row r="2640" spans="1:28" x14ac:dyDescent="0.25">
      <c r="A2640" s="42"/>
      <c r="B2640" s="121"/>
      <c r="C2640" s="41"/>
      <c r="D2640" s="41"/>
      <c r="E2640" s="41"/>
      <c r="F2640" s="41"/>
      <c r="G2640" s="41"/>
      <c r="H2640" s="41"/>
      <c r="I2640" s="41"/>
      <c r="J2640" s="41"/>
      <c r="K2640" s="41"/>
      <c r="L2640" s="42"/>
      <c r="M2640" s="121"/>
      <c r="N2640" s="121"/>
      <c r="O2640" s="121"/>
      <c r="P2640" s="121"/>
      <c r="Q2640" s="121"/>
      <c r="R2640" s="121"/>
      <c r="S2640" s="121"/>
      <c r="T2640" s="42"/>
      <c r="U2640" s="122"/>
      <c r="V2640" s="42"/>
      <c r="W2640" s="42"/>
      <c r="X2640" s="42"/>
      <c r="Y2640" s="42"/>
      <c r="Z2640" s="42"/>
      <c r="AA2640" s="42"/>
      <c r="AB2640" s="42"/>
    </row>
    <row r="2641" spans="1:28" x14ac:dyDescent="0.25">
      <c r="A2641" s="42"/>
      <c r="B2641" s="121"/>
      <c r="C2641" s="41"/>
      <c r="D2641" s="41"/>
      <c r="E2641" s="41"/>
      <c r="F2641" s="41"/>
      <c r="G2641" s="41"/>
      <c r="H2641" s="41"/>
      <c r="I2641" s="41"/>
      <c r="J2641" s="41"/>
      <c r="K2641" s="41"/>
      <c r="L2641" s="42"/>
      <c r="M2641" s="121"/>
      <c r="N2641" s="121"/>
      <c r="O2641" s="121"/>
      <c r="P2641" s="121"/>
      <c r="Q2641" s="121"/>
      <c r="R2641" s="121"/>
      <c r="S2641" s="121"/>
      <c r="T2641" s="42"/>
      <c r="U2641" s="122"/>
      <c r="V2641" s="42"/>
      <c r="W2641" s="42"/>
      <c r="X2641" s="42"/>
      <c r="Y2641" s="42"/>
      <c r="Z2641" s="42"/>
      <c r="AA2641" s="42"/>
      <c r="AB2641" s="42"/>
    </row>
    <row r="2642" spans="1:28" x14ac:dyDescent="0.25">
      <c r="A2642" s="42"/>
      <c r="B2642" s="121"/>
      <c r="C2642" s="41"/>
      <c r="D2642" s="41"/>
      <c r="E2642" s="41"/>
      <c r="F2642" s="41"/>
      <c r="G2642" s="41"/>
      <c r="H2642" s="41"/>
      <c r="I2642" s="41"/>
      <c r="J2642" s="41"/>
      <c r="K2642" s="41"/>
      <c r="L2642" s="42"/>
      <c r="M2642" s="121"/>
      <c r="N2642" s="121"/>
      <c r="O2642" s="121"/>
      <c r="P2642" s="121"/>
      <c r="Q2642" s="121"/>
      <c r="R2642" s="121"/>
      <c r="S2642" s="121"/>
      <c r="T2642" s="42"/>
      <c r="U2642" s="122"/>
      <c r="V2642" s="42"/>
      <c r="W2642" s="42"/>
      <c r="X2642" s="42"/>
      <c r="Y2642" s="42"/>
      <c r="Z2642" s="42"/>
      <c r="AA2642" s="42"/>
      <c r="AB2642" s="42"/>
    </row>
    <row r="2643" spans="1:28" x14ac:dyDescent="0.25">
      <c r="A2643" s="42"/>
      <c r="B2643" s="121"/>
      <c r="C2643" s="41"/>
      <c r="D2643" s="41"/>
      <c r="E2643" s="41"/>
      <c r="F2643" s="41"/>
      <c r="G2643" s="41"/>
      <c r="H2643" s="41"/>
      <c r="I2643" s="41"/>
      <c r="J2643" s="41"/>
      <c r="K2643" s="41"/>
      <c r="L2643" s="42"/>
      <c r="M2643" s="121"/>
      <c r="N2643" s="121"/>
      <c r="O2643" s="121"/>
      <c r="P2643" s="121"/>
      <c r="Q2643" s="121"/>
      <c r="R2643" s="121"/>
      <c r="S2643" s="121"/>
      <c r="T2643" s="42"/>
      <c r="U2643" s="122"/>
      <c r="V2643" s="42"/>
      <c r="W2643" s="42"/>
      <c r="X2643" s="42"/>
      <c r="Y2643" s="42"/>
      <c r="Z2643" s="42"/>
      <c r="AA2643" s="42"/>
      <c r="AB2643" s="42"/>
    </row>
    <row r="2644" spans="1:28" x14ac:dyDescent="0.25">
      <c r="A2644" s="42"/>
      <c r="B2644" s="121"/>
      <c r="C2644" s="41"/>
      <c r="D2644" s="41"/>
      <c r="E2644" s="41"/>
      <c r="F2644" s="41"/>
      <c r="G2644" s="41"/>
      <c r="H2644" s="41"/>
      <c r="I2644" s="41"/>
      <c r="J2644" s="41"/>
      <c r="K2644" s="41"/>
      <c r="L2644" s="42"/>
      <c r="M2644" s="121"/>
      <c r="N2644" s="121"/>
      <c r="O2644" s="121"/>
      <c r="P2644" s="121"/>
      <c r="Q2644" s="121"/>
      <c r="R2644" s="121"/>
      <c r="S2644" s="121"/>
      <c r="T2644" s="42"/>
      <c r="U2644" s="122"/>
      <c r="V2644" s="42"/>
      <c r="W2644" s="42"/>
      <c r="X2644" s="42"/>
      <c r="Y2644" s="42"/>
      <c r="Z2644" s="42"/>
      <c r="AA2644" s="42"/>
      <c r="AB2644" s="42"/>
    </row>
    <row r="2645" spans="1:28" x14ac:dyDescent="0.25">
      <c r="A2645" s="42"/>
      <c r="B2645" s="121"/>
      <c r="C2645" s="41"/>
      <c r="D2645" s="41"/>
      <c r="E2645" s="41"/>
      <c r="F2645" s="41"/>
      <c r="G2645" s="41"/>
      <c r="H2645" s="41"/>
      <c r="I2645" s="41"/>
      <c r="J2645" s="41"/>
      <c r="K2645" s="41"/>
      <c r="L2645" s="42"/>
      <c r="M2645" s="121"/>
      <c r="N2645" s="121"/>
      <c r="O2645" s="121"/>
      <c r="P2645" s="121"/>
      <c r="Q2645" s="121"/>
      <c r="R2645" s="121"/>
      <c r="S2645" s="121"/>
      <c r="T2645" s="42"/>
      <c r="U2645" s="122"/>
      <c r="V2645" s="42"/>
      <c r="W2645" s="42"/>
      <c r="X2645" s="42"/>
      <c r="Y2645" s="42"/>
      <c r="Z2645" s="42"/>
      <c r="AA2645" s="42"/>
      <c r="AB2645" s="42"/>
    </row>
    <row r="2646" spans="1:28" x14ac:dyDescent="0.25">
      <c r="A2646" s="42"/>
      <c r="B2646" s="121"/>
      <c r="C2646" s="41"/>
      <c r="D2646" s="41"/>
      <c r="E2646" s="41"/>
      <c r="F2646" s="41"/>
      <c r="G2646" s="41"/>
      <c r="H2646" s="41"/>
      <c r="I2646" s="41"/>
      <c r="J2646" s="41"/>
      <c r="K2646" s="41"/>
      <c r="L2646" s="42"/>
      <c r="M2646" s="121"/>
      <c r="N2646" s="121"/>
      <c r="O2646" s="121"/>
      <c r="P2646" s="121"/>
      <c r="Q2646" s="121"/>
      <c r="R2646" s="121"/>
      <c r="S2646" s="121"/>
      <c r="T2646" s="42"/>
      <c r="U2646" s="122"/>
      <c r="V2646" s="42"/>
      <c r="W2646" s="42"/>
      <c r="X2646" s="42"/>
      <c r="Y2646" s="42"/>
      <c r="Z2646" s="42"/>
      <c r="AA2646" s="42"/>
      <c r="AB2646" s="42"/>
    </row>
    <row r="2647" spans="1:28" x14ac:dyDescent="0.25">
      <c r="A2647" s="42"/>
      <c r="B2647" s="121"/>
      <c r="C2647" s="41"/>
      <c r="D2647" s="41"/>
      <c r="E2647" s="41"/>
      <c r="F2647" s="41"/>
      <c r="G2647" s="41"/>
      <c r="H2647" s="41"/>
      <c r="I2647" s="41"/>
      <c r="J2647" s="41"/>
      <c r="K2647" s="41"/>
      <c r="L2647" s="42"/>
      <c r="M2647" s="121"/>
      <c r="N2647" s="121"/>
      <c r="O2647" s="121"/>
      <c r="P2647" s="121"/>
      <c r="Q2647" s="121"/>
      <c r="R2647" s="121"/>
      <c r="S2647" s="121"/>
      <c r="T2647" s="42"/>
      <c r="U2647" s="122"/>
      <c r="V2647" s="42"/>
      <c r="W2647" s="42"/>
      <c r="X2647" s="42"/>
      <c r="Y2647" s="42"/>
      <c r="Z2647" s="42"/>
      <c r="AA2647" s="42"/>
      <c r="AB2647" s="42"/>
    </row>
    <row r="2648" spans="1:28" x14ac:dyDescent="0.25">
      <c r="A2648" s="42"/>
      <c r="B2648" s="121"/>
      <c r="C2648" s="41"/>
      <c r="D2648" s="41"/>
      <c r="E2648" s="41"/>
      <c r="F2648" s="41"/>
      <c r="G2648" s="41"/>
      <c r="H2648" s="41"/>
      <c r="I2648" s="41"/>
      <c r="J2648" s="41"/>
      <c r="K2648" s="41"/>
      <c r="L2648" s="42"/>
      <c r="M2648" s="121"/>
      <c r="N2648" s="121"/>
      <c r="O2648" s="121"/>
      <c r="P2648" s="121"/>
      <c r="Q2648" s="121"/>
      <c r="R2648" s="121"/>
      <c r="S2648" s="121"/>
      <c r="T2648" s="42"/>
      <c r="U2648" s="122"/>
      <c r="V2648" s="42"/>
      <c r="W2648" s="42"/>
      <c r="X2648" s="42"/>
      <c r="Y2648" s="42"/>
      <c r="Z2648" s="42"/>
      <c r="AA2648" s="42"/>
      <c r="AB2648" s="42"/>
    </row>
    <row r="2649" spans="1:28" x14ac:dyDescent="0.25">
      <c r="A2649" s="42"/>
      <c r="B2649" s="121"/>
      <c r="C2649" s="41"/>
      <c r="D2649" s="41"/>
      <c r="E2649" s="41"/>
      <c r="F2649" s="41"/>
      <c r="G2649" s="41"/>
      <c r="H2649" s="41"/>
      <c r="I2649" s="41"/>
      <c r="J2649" s="41"/>
      <c r="K2649" s="41"/>
      <c r="L2649" s="42"/>
      <c r="M2649" s="121"/>
      <c r="N2649" s="121"/>
      <c r="O2649" s="121"/>
      <c r="P2649" s="121"/>
      <c r="Q2649" s="121"/>
      <c r="R2649" s="121"/>
      <c r="S2649" s="121"/>
      <c r="T2649" s="42"/>
      <c r="U2649" s="122"/>
      <c r="V2649" s="42"/>
      <c r="W2649" s="42"/>
      <c r="X2649" s="42"/>
      <c r="Y2649" s="42"/>
      <c r="Z2649" s="42"/>
      <c r="AA2649" s="42"/>
      <c r="AB2649" s="42"/>
    </row>
    <row r="2650" spans="1:28" x14ac:dyDescent="0.25">
      <c r="A2650" s="42"/>
      <c r="B2650" s="121"/>
      <c r="C2650" s="41"/>
      <c r="D2650" s="41"/>
      <c r="E2650" s="41"/>
      <c r="F2650" s="41"/>
      <c r="G2650" s="41"/>
      <c r="H2650" s="41"/>
      <c r="I2650" s="41"/>
      <c r="J2650" s="41"/>
      <c r="K2650" s="41"/>
      <c r="L2650" s="42"/>
      <c r="M2650" s="121"/>
      <c r="N2650" s="121"/>
      <c r="O2650" s="121"/>
      <c r="P2650" s="121"/>
      <c r="Q2650" s="121"/>
      <c r="R2650" s="121"/>
      <c r="S2650" s="121"/>
      <c r="T2650" s="42"/>
      <c r="U2650" s="122"/>
      <c r="V2650" s="42"/>
      <c r="W2650" s="42"/>
      <c r="X2650" s="42"/>
      <c r="Y2650" s="42"/>
      <c r="Z2650" s="42"/>
      <c r="AA2650" s="42"/>
      <c r="AB2650" s="42"/>
    </row>
    <row r="2651" spans="1:28" x14ac:dyDescent="0.25">
      <c r="A2651" s="42"/>
      <c r="B2651" s="121"/>
      <c r="C2651" s="41"/>
      <c r="D2651" s="41"/>
      <c r="E2651" s="41"/>
      <c r="F2651" s="41"/>
      <c r="G2651" s="41"/>
      <c r="H2651" s="41"/>
      <c r="I2651" s="41"/>
      <c r="J2651" s="41"/>
      <c r="K2651" s="41"/>
      <c r="L2651" s="42"/>
      <c r="M2651" s="121"/>
      <c r="N2651" s="121"/>
      <c r="O2651" s="121"/>
      <c r="P2651" s="121"/>
      <c r="Q2651" s="121"/>
      <c r="R2651" s="121"/>
      <c r="S2651" s="121"/>
      <c r="T2651" s="42"/>
      <c r="U2651" s="122"/>
      <c r="V2651" s="42"/>
      <c r="W2651" s="42"/>
      <c r="X2651" s="42"/>
      <c r="Y2651" s="42"/>
      <c r="Z2651" s="42"/>
      <c r="AA2651" s="42"/>
      <c r="AB2651" s="42"/>
    </row>
    <row r="2652" spans="1:28" x14ac:dyDescent="0.25">
      <c r="A2652" s="42"/>
      <c r="B2652" s="121"/>
      <c r="C2652" s="41"/>
      <c r="D2652" s="41"/>
      <c r="E2652" s="41"/>
      <c r="F2652" s="41"/>
      <c r="G2652" s="41"/>
      <c r="H2652" s="41"/>
      <c r="I2652" s="41"/>
      <c r="J2652" s="41"/>
      <c r="K2652" s="41"/>
      <c r="L2652" s="42"/>
      <c r="M2652" s="121"/>
      <c r="N2652" s="121"/>
      <c r="O2652" s="121"/>
      <c r="P2652" s="121"/>
      <c r="Q2652" s="121"/>
      <c r="R2652" s="121"/>
      <c r="S2652" s="121"/>
      <c r="T2652" s="42"/>
      <c r="U2652" s="122"/>
      <c r="V2652" s="42"/>
      <c r="W2652" s="42"/>
      <c r="X2652" s="42"/>
      <c r="Y2652" s="42"/>
      <c r="Z2652" s="42"/>
      <c r="AA2652" s="42"/>
      <c r="AB2652" s="42"/>
    </row>
    <row r="2653" spans="1:28" x14ac:dyDescent="0.25">
      <c r="A2653" s="42"/>
      <c r="B2653" s="121"/>
      <c r="C2653" s="41"/>
      <c r="D2653" s="41"/>
      <c r="E2653" s="41"/>
      <c r="F2653" s="41"/>
      <c r="G2653" s="41"/>
      <c r="H2653" s="41"/>
      <c r="I2653" s="41"/>
      <c r="J2653" s="41"/>
      <c r="K2653" s="41"/>
      <c r="L2653" s="42"/>
      <c r="M2653" s="121"/>
      <c r="N2653" s="121"/>
      <c r="O2653" s="121"/>
      <c r="P2653" s="121"/>
      <c r="Q2653" s="121"/>
      <c r="R2653" s="121"/>
      <c r="S2653" s="121"/>
      <c r="T2653" s="42"/>
      <c r="U2653" s="122"/>
      <c r="V2653" s="42"/>
      <c r="W2653" s="42"/>
      <c r="X2653" s="42"/>
      <c r="Y2653" s="42"/>
      <c r="Z2653" s="42"/>
      <c r="AA2653" s="42"/>
      <c r="AB2653" s="42"/>
    </row>
    <row r="2654" spans="1:28" x14ac:dyDescent="0.25">
      <c r="A2654" s="42"/>
      <c r="B2654" s="121"/>
      <c r="C2654" s="41"/>
      <c r="D2654" s="41"/>
      <c r="E2654" s="41"/>
      <c r="F2654" s="41"/>
      <c r="G2654" s="41"/>
      <c r="H2654" s="41"/>
      <c r="I2654" s="41"/>
      <c r="J2654" s="41"/>
      <c r="K2654" s="41"/>
      <c r="L2654" s="42"/>
      <c r="M2654" s="121"/>
      <c r="N2654" s="121"/>
      <c r="O2654" s="121"/>
      <c r="P2654" s="121"/>
      <c r="Q2654" s="121"/>
      <c r="R2654" s="121"/>
      <c r="S2654" s="121"/>
      <c r="T2654" s="42"/>
      <c r="U2654" s="122"/>
      <c r="V2654" s="42"/>
      <c r="W2654" s="42"/>
      <c r="X2654" s="42"/>
      <c r="Y2654" s="42"/>
      <c r="Z2654" s="42"/>
      <c r="AA2654" s="42"/>
      <c r="AB2654" s="42"/>
    </row>
    <row r="2655" spans="1:28" x14ac:dyDescent="0.25">
      <c r="A2655" s="42"/>
      <c r="B2655" s="121"/>
      <c r="C2655" s="41"/>
      <c r="D2655" s="41"/>
      <c r="E2655" s="41"/>
      <c r="F2655" s="41"/>
      <c r="G2655" s="41"/>
      <c r="H2655" s="41"/>
      <c r="I2655" s="41"/>
      <c r="J2655" s="41"/>
      <c r="K2655" s="41"/>
      <c r="L2655" s="42"/>
      <c r="M2655" s="121"/>
      <c r="N2655" s="121"/>
      <c r="O2655" s="121"/>
      <c r="P2655" s="121"/>
      <c r="Q2655" s="121"/>
      <c r="R2655" s="121"/>
      <c r="S2655" s="121"/>
      <c r="T2655" s="42"/>
      <c r="U2655" s="122"/>
      <c r="V2655" s="42"/>
      <c r="W2655" s="42"/>
      <c r="X2655" s="42"/>
      <c r="Y2655" s="42"/>
      <c r="Z2655" s="42"/>
      <c r="AA2655" s="42"/>
      <c r="AB2655" s="42"/>
    </row>
    <row r="2656" spans="1:28" x14ac:dyDescent="0.25">
      <c r="A2656" s="42"/>
      <c r="B2656" s="121"/>
      <c r="C2656" s="41"/>
      <c r="D2656" s="41"/>
      <c r="E2656" s="41"/>
      <c r="F2656" s="41"/>
      <c r="G2656" s="41"/>
      <c r="H2656" s="41"/>
      <c r="I2656" s="41"/>
      <c r="J2656" s="41"/>
      <c r="K2656" s="41"/>
      <c r="L2656" s="42"/>
      <c r="M2656" s="121"/>
      <c r="N2656" s="121"/>
      <c r="O2656" s="121"/>
      <c r="P2656" s="121"/>
      <c r="Q2656" s="121"/>
      <c r="R2656" s="121"/>
      <c r="S2656" s="121"/>
      <c r="T2656" s="42"/>
      <c r="U2656" s="122"/>
      <c r="V2656" s="42"/>
      <c r="W2656" s="42"/>
      <c r="X2656" s="42"/>
      <c r="Y2656" s="42"/>
      <c r="Z2656" s="42"/>
      <c r="AA2656" s="42"/>
      <c r="AB2656" s="42"/>
    </row>
    <row r="2657" spans="1:28" x14ac:dyDescent="0.25">
      <c r="A2657" s="42"/>
      <c r="B2657" s="121"/>
      <c r="C2657" s="41"/>
      <c r="D2657" s="41"/>
      <c r="E2657" s="41"/>
      <c r="F2657" s="41"/>
      <c r="G2657" s="41"/>
      <c r="H2657" s="41"/>
      <c r="I2657" s="41"/>
      <c r="J2657" s="41"/>
      <c r="K2657" s="41"/>
      <c r="L2657" s="42"/>
      <c r="M2657" s="121"/>
      <c r="N2657" s="121"/>
      <c r="O2657" s="121"/>
      <c r="P2657" s="121"/>
      <c r="Q2657" s="121"/>
      <c r="R2657" s="121"/>
      <c r="S2657" s="121"/>
      <c r="T2657" s="42"/>
      <c r="U2657" s="122"/>
      <c r="V2657" s="42"/>
      <c r="W2657" s="42"/>
      <c r="X2657" s="42"/>
      <c r="Y2657" s="42"/>
      <c r="Z2657" s="42"/>
      <c r="AA2657" s="42"/>
      <c r="AB2657" s="42"/>
    </row>
    <row r="2658" spans="1:28" x14ac:dyDescent="0.25">
      <c r="A2658" s="42"/>
      <c r="B2658" s="121"/>
      <c r="C2658" s="41"/>
      <c r="D2658" s="41"/>
      <c r="E2658" s="41"/>
      <c r="F2658" s="41"/>
      <c r="G2658" s="41"/>
      <c r="H2658" s="41"/>
      <c r="I2658" s="41"/>
      <c r="J2658" s="41"/>
      <c r="K2658" s="41"/>
      <c r="L2658" s="42"/>
      <c r="M2658" s="121"/>
      <c r="N2658" s="121"/>
      <c r="O2658" s="121"/>
      <c r="P2658" s="121"/>
      <c r="Q2658" s="121"/>
      <c r="R2658" s="121"/>
      <c r="S2658" s="121"/>
      <c r="T2658" s="42"/>
      <c r="U2658" s="122"/>
      <c r="V2658" s="42"/>
      <c r="W2658" s="42"/>
      <c r="X2658" s="42"/>
      <c r="Y2658" s="42"/>
      <c r="Z2658" s="42"/>
      <c r="AA2658" s="42"/>
      <c r="AB2658" s="42"/>
    </row>
    <row r="2659" spans="1:28" x14ac:dyDescent="0.25">
      <c r="A2659" s="42"/>
      <c r="B2659" s="121"/>
      <c r="C2659" s="41"/>
      <c r="D2659" s="41"/>
      <c r="E2659" s="41"/>
      <c r="F2659" s="41"/>
      <c r="G2659" s="41"/>
      <c r="H2659" s="41"/>
      <c r="I2659" s="41"/>
      <c r="J2659" s="41"/>
      <c r="K2659" s="41"/>
      <c r="L2659" s="42"/>
      <c r="M2659" s="121"/>
      <c r="N2659" s="121"/>
      <c r="O2659" s="121"/>
      <c r="P2659" s="121"/>
      <c r="Q2659" s="121"/>
      <c r="R2659" s="121"/>
      <c r="S2659" s="121"/>
      <c r="T2659" s="42"/>
      <c r="U2659" s="122"/>
      <c r="V2659" s="42"/>
      <c r="W2659" s="42"/>
      <c r="X2659" s="42"/>
      <c r="Y2659" s="42"/>
      <c r="Z2659" s="42"/>
      <c r="AA2659" s="42"/>
      <c r="AB2659" s="42"/>
    </row>
    <row r="2660" spans="1:28" x14ac:dyDescent="0.25">
      <c r="A2660" s="42"/>
      <c r="B2660" s="121"/>
      <c r="C2660" s="41"/>
      <c r="D2660" s="41"/>
      <c r="E2660" s="41"/>
      <c r="F2660" s="41"/>
      <c r="G2660" s="41"/>
      <c r="H2660" s="41"/>
      <c r="I2660" s="41"/>
      <c r="J2660" s="41"/>
      <c r="K2660" s="41"/>
      <c r="L2660" s="42"/>
      <c r="M2660" s="121"/>
      <c r="N2660" s="121"/>
      <c r="O2660" s="121"/>
      <c r="P2660" s="121"/>
      <c r="Q2660" s="121"/>
      <c r="R2660" s="121"/>
      <c r="S2660" s="121"/>
      <c r="T2660" s="42"/>
      <c r="U2660" s="122"/>
      <c r="V2660" s="42"/>
      <c r="W2660" s="42"/>
      <c r="X2660" s="42"/>
      <c r="Y2660" s="42"/>
      <c r="Z2660" s="42"/>
      <c r="AA2660" s="42"/>
      <c r="AB2660" s="42"/>
    </row>
    <row r="2661" spans="1:28" x14ac:dyDescent="0.25">
      <c r="A2661" s="42"/>
      <c r="B2661" s="121"/>
      <c r="C2661" s="41"/>
      <c r="D2661" s="41"/>
      <c r="E2661" s="41"/>
      <c r="F2661" s="41"/>
      <c r="G2661" s="41"/>
      <c r="H2661" s="41"/>
      <c r="I2661" s="41"/>
      <c r="J2661" s="41"/>
      <c r="K2661" s="41"/>
      <c r="L2661" s="42"/>
      <c r="M2661" s="121"/>
      <c r="N2661" s="121"/>
      <c r="O2661" s="121"/>
      <c r="P2661" s="121"/>
      <c r="Q2661" s="121"/>
      <c r="R2661" s="121"/>
      <c r="S2661" s="121"/>
      <c r="T2661" s="42"/>
      <c r="U2661" s="122"/>
      <c r="V2661" s="42"/>
      <c r="W2661" s="42"/>
      <c r="X2661" s="42"/>
      <c r="Y2661" s="42"/>
      <c r="Z2661" s="42"/>
      <c r="AA2661" s="42"/>
      <c r="AB2661" s="42"/>
    </row>
    <row r="2662" spans="1:28" x14ac:dyDescent="0.25">
      <c r="A2662" s="42"/>
      <c r="B2662" s="121"/>
      <c r="C2662" s="41"/>
      <c r="D2662" s="41"/>
      <c r="E2662" s="41"/>
      <c r="F2662" s="41"/>
      <c r="G2662" s="41"/>
      <c r="H2662" s="41"/>
      <c r="I2662" s="41"/>
      <c r="J2662" s="41"/>
      <c r="K2662" s="41"/>
      <c r="L2662" s="42"/>
      <c r="M2662" s="121"/>
      <c r="N2662" s="121"/>
      <c r="O2662" s="121"/>
      <c r="P2662" s="121"/>
      <c r="Q2662" s="121"/>
      <c r="R2662" s="121"/>
      <c r="S2662" s="121"/>
      <c r="T2662" s="42"/>
      <c r="U2662" s="122"/>
      <c r="V2662" s="42"/>
      <c r="W2662" s="42"/>
      <c r="X2662" s="42"/>
      <c r="Y2662" s="42"/>
      <c r="Z2662" s="42"/>
      <c r="AA2662" s="42"/>
      <c r="AB2662" s="42"/>
    </row>
    <row r="2663" spans="1:28" x14ac:dyDescent="0.25">
      <c r="A2663" s="42"/>
      <c r="B2663" s="121"/>
      <c r="C2663" s="41"/>
      <c r="D2663" s="41"/>
      <c r="E2663" s="41"/>
      <c r="F2663" s="41"/>
      <c r="G2663" s="41"/>
      <c r="H2663" s="41"/>
      <c r="I2663" s="41"/>
      <c r="J2663" s="41"/>
      <c r="K2663" s="41"/>
      <c r="L2663" s="42"/>
      <c r="M2663" s="121"/>
      <c r="N2663" s="121"/>
      <c r="O2663" s="121"/>
      <c r="P2663" s="121"/>
      <c r="Q2663" s="121"/>
      <c r="R2663" s="121"/>
      <c r="S2663" s="121"/>
      <c r="T2663" s="42"/>
      <c r="U2663" s="122"/>
      <c r="V2663" s="42"/>
      <c r="W2663" s="42"/>
      <c r="X2663" s="42"/>
      <c r="Y2663" s="42"/>
      <c r="Z2663" s="42"/>
      <c r="AA2663" s="42"/>
      <c r="AB2663" s="42"/>
    </row>
    <row r="2664" spans="1:28" x14ac:dyDescent="0.25">
      <c r="A2664" s="42"/>
      <c r="B2664" s="121"/>
      <c r="C2664" s="41"/>
      <c r="D2664" s="41"/>
      <c r="E2664" s="41"/>
      <c r="F2664" s="41"/>
      <c r="G2664" s="41"/>
      <c r="H2664" s="41"/>
      <c r="I2664" s="41"/>
      <c r="J2664" s="41"/>
      <c r="K2664" s="41"/>
      <c r="L2664" s="42"/>
      <c r="M2664" s="121"/>
      <c r="N2664" s="121"/>
      <c r="O2664" s="121"/>
      <c r="P2664" s="121"/>
      <c r="Q2664" s="121"/>
      <c r="R2664" s="121"/>
      <c r="S2664" s="121"/>
      <c r="T2664" s="42"/>
      <c r="U2664" s="122"/>
      <c r="V2664" s="42"/>
      <c r="W2664" s="42"/>
      <c r="X2664" s="42"/>
      <c r="Y2664" s="42"/>
      <c r="Z2664" s="42"/>
      <c r="AA2664" s="42"/>
      <c r="AB2664" s="42"/>
    </row>
    <row r="2665" spans="1:28" x14ac:dyDescent="0.25">
      <c r="A2665" s="42"/>
      <c r="B2665" s="121"/>
      <c r="C2665" s="41"/>
      <c r="D2665" s="41"/>
      <c r="E2665" s="41"/>
      <c r="F2665" s="41"/>
      <c r="G2665" s="41"/>
      <c r="H2665" s="41"/>
      <c r="I2665" s="41"/>
      <c r="J2665" s="41"/>
      <c r="K2665" s="41"/>
      <c r="L2665" s="42"/>
      <c r="M2665" s="121"/>
      <c r="N2665" s="121"/>
      <c r="O2665" s="121"/>
      <c r="P2665" s="121"/>
      <c r="Q2665" s="121"/>
      <c r="R2665" s="121"/>
      <c r="S2665" s="121"/>
      <c r="T2665" s="42"/>
      <c r="U2665" s="122"/>
      <c r="V2665" s="42"/>
      <c r="W2665" s="42"/>
      <c r="X2665" s="42"/>
      <c r="Y2665" s="42"/>
      <c r="Z2665" s="42"/>
      <c r="AA2665" s="42"/>
      <c r="AB2665" s="42"/>
    </row>
    <row r="2666" spans="1:28" x14ac:dyDescent="0.25">
      <c r="A2666" s="42"/>
      <c r="B2666" s="121"/>
      <c r="C2666" s="41"/>
      <c r="D2666" s="41"/>
      <c r="E2666" s="41"/>
      <c r="F2666" s="41"/>
      <c r="G2666" s="41"/>
      <c r="H2666" s="41"/>
      <c r="I2666" s="41"/>
      <c r="J2666" s="41"/>
      <c r="K2666" s="41"/>
      <c r="L2666" s="42"/>
      <c r="M2666" s="121"/>
      <c r="N2666" s="121"/>
      <c r="O2666" s="121"/>
      <c r="P2666" s="121"/>
      <c r="Q2666" s="121"/>
      <c r="R2666" s="121"/>
      <c r="S2666" s="121"/>
      <c r="T2666" s="42"/>
      <c r="U2666" s="122"/>
      <c r="V2666" s="42"/>
      <c r="W2666" s="42"/>
      <c r="X2666" s="42"/>
      <c r="Y2666" s="42"/>
      <c r="Z2666" s="42"/>
      <c r="AA2666" s="42"/>
      <c r="AB2666" s="42"/>
    </row>
    <row r="2667" spans="1:28" x14ac:dyDescent="0.25">
      <c r="A2667" s="42"/>
      <c r="B2667" s="121"/>
      <c r="C2667" s="41"/>
      <c r="D2667" s="41"/>
      <c r="E2667" s="41"/>
      <c r="F2667" s="41"/>
      <c r="G2667" s="41"/>
      <c r="H2667" s="41"/>
      <c r="I2667" s="41"/>
      <c r="J2667" s="41"/>
      <c r="K2667" s="41"/>
      <c r="L2667" s="42"/>
      <c r="M2667" s="121"/>
      <c r="N2667" s="121"/>
      <c r="O2667" s="121"/>
      <c r="P2667" s="121"/>
      <c r="Q2667" s="121"/>
      <c r="R2667" s="121"/>
      <c r="S2667" s="121"/>
      <c r="T2667" s="42"/>
      <c r="U2667" s="122"/>
      <c r="V2667" s="42"/>
      <c r="W2667" s="42"/>
      <c r="X2667" s="42"/>
      <c r="Y2667" s="42"/>
      <c r="Z2667" s="42"/>
      <c r="AA2667" s="42"/>
      <c r="AB2667" s="42"/>
    </row>
    <row r="2668" spans="1:28" x14ac:dyDescent="0.25">
      <c r="A2668" s="42"/>
      <c r="B2668" s="121"/>
      <c r="C2668" s="41"/>
      <c r="D2668" s="41"/>
      <c r="E2668" s="41"/>
      <c r="F2668" s="41"/>
      <c r="G2668" s="41"/>
      <c r="H2668" s="41"/>
      <c r="I2668" s="41"/>
      <c r="J2668" s="41"/>
      <c r="K2668" s="41"/>
      <c r="L2668" s="42"/>
      <c r="M2668" s="121"/>
      <c r="N2668" s="121"/>
      <c r="O2668" s="121"/>
      <c r="P2668" s="121"/>
      <c r="Q2668" s="121"/>
      <c r="R2668" s="121"/>
      <c r="S2668" s="121"/>
      <c r="T2668" s="42"/>
      <c r="U2668" s="122"/>
      <c r="V2668" s="42"/>
      <c r="W2668" s="42"/>
      <c r="X2668" s="42"/>
      <c r="Y2668" s="42"/>
      <c r="Z2668" s="42"/>
      <c r="AA2668" s="42"/>
      <c r="AB2668" s="42"/>
    </row>
    <row r="2669" spans="1:28" x14ac:dyDescent="0.25">
      <c r="A2669" s="42"/>
      <c r="B2669" s="121"/>
      <c r="C2669" s="41"/>
      <c r="D2669" s="41"/>
      <c r="E2669" s="41"/>
      <c r="F2669" s="41"/>
      <c r="G2669" s="41"/>
      <c r="H2669" s="41"/>
      <c r="I2669" s="41"/>
      <c r="J2669" s="41"/>
      <c r="K2669" s="41"/>
      <c r="L2669" s="42"/>
      <c r="M2669" s="121"/>
      <c r="N2669" s="121"/>
      <c r="O2669" s="121"/>
      <c r="P2669" s="121"/>
      <c r="Q2669" s="121"/>
      <c r="R2669" s="121"/>
      <c r="S2669" s="121"/>
      <c r="T2669" s="42"/>
      <c r="U2669" s="122"/>
      <c r="V2669" s="42"/>
      <c r="W2669" s="42"/>
      <c r="X2669" s="42"/>
      <c r="Y2669" s="42"/>
      <c r="Z2669" s="42"/>
      <c r="AA2669" s="42"/>
      <c r="AB2669" s="42"/>
    </row>
    <row r="2670" spans="1:28" x14ac:dyDescent="0.25">
      <c r="A2670" s="42"/>
      <c r="B2670" s="121"/>
      <c r="C2670" s="41"/>
      <c r="D2670" s="41"/>
      <c r="E2670" s="41"/>
      <c r="F2670" s="41"/>
      <c r="G2670" s="41"/>
      <c r="H2670" s="41"/>
      <c r="I2670" s="41"/>
      <c r="J2670" s="41"/>
      <c r="K2670" s="41"/>
      <c r="L2670" s="42"/>
      <c r="M2670" s="121"/>
      <c r="N2670" s="121"/>
      <c r="O2670" s="121"/>
      <c r="P2670" s="121"/>
      <c r="Q2670" s="121"/>
      <c r="R2670" s="121"/>
      <c r="S2670" s="121"/>
      <c r="T2670" s="42"/>
      <c r="U2670" s="122"/>
      <c r="V2670" s="42"/>
      <c r="W2670" s="42"/>
      <c r="X2670" s="42"/>
      <c r="Y2670" s="42"/>
      <c r="Z2670" s="42"/>
      <c r="AA2670" s="42"/>
      <c r="AB2670" s="42"/>
    </row>
    <row r="2671" spans="1:28" x14ac:dyDescent="0.25">
      <c r="A2671" s="42"/>
      <c r="B2671" s="121"/>
      <c r="C2671" s="41"/>
      <c r="D2671" s="41"/>
      <c r="E2671" s="41"/>
      <c r="F2671" s="41"/>
      <c r="G2671" s="41"/>
      <c r="H2671" s="41"/>
      <c r="I2671" s="41"/>
      <c r="J2671" s="41"/>
      <c r="K2671" s="41"/>
      <c r="L2671" s="42"/>
      <c r="M2671" s="121"/>
      <c r="N2671" s="121"/>
      <c r="O2671" s="121"/>
      <c r="P2671" s="121"/>
      <c r="Q2671" s="121"/>
      <c r="R2671" s="121"/>
      <c r="S2671" s="121"/>
      <c r="T2671" s="42"/>
      <c r="U2671" s="122"/>
      <c r="V2671" s="42"/>
      <c r="W2671" s="42"/>
      <c r="X2671" s="42"/>
      <c r="Y2671" s="42"/>
      <c r="Z2671" s="42"/>
      <c r="AA2671" s="42"/>
      <c r="AB2671" s="42"/>
    </row>
    <row r="2672" spans="1:28" x14ac:dyDescent="0.25">
      <c r="A2672" s="42"/>
      <c r="B2672" s="121"/>
      <c r="C2672" s="41"/>
      <c r="D2672" s="41"/>
      <c r="E2672" s="41"/>
      <c r="F2672" s="41"/>
      <c r="G2672" s="41"/>
      <c r="H2672" s="41"/>
      <c r="I2672" s="41"/>
      <c r="J2672" s="41"/>
      <c r="K2672" s="41"/>
      <c r="L2672" s="42"/>
      <c r="M2672" s="121"/>
      <c r="N2672" s="121"/>
      <c r="O2672" s="121"/>
      <c r="P2672" s="121"/>
      <c r="Q2672" s="121"/>
      <c r="R2672" s="121"/>
      <c r="S2672" s="121"/>
      <c r="T2672" s="42"/>
      <c r="U2672" s="122"/>
      <c r="V2672" s="42"/>
      <c r="W2672" s="42"/>
      <c r="X2672" s="42"/>
      <c r="Y2672" s="42"/>
      <c r="Z2672" s="42"/>
      <c r="AA2672" s="42"/>
      <c r="AB2672" s="42"/>
    </row>
    <row r="2673" spans="1:28" x14ac:dyDescent="0.25">
      <c r="A2673" s="42"/>
      <c r="B2673" s="121"/>
      <c r="C2673" s="41"/>
      <c r="D2673" s="41"/>
      <c r="E2673" s="41"/>
      <c r="F2673" s="41"/>
      <c r="G2673" s="41"/>
      <c r="H2673" s="41"/>
      <c r="I2673" s="41"/>
      <c r="J2673" s="41"/>
      <c r="K2673" s="41"/>
      <c r="L2673" s="42"/>
      <c r="M2673" s="121"/>
      <c r="N2673" s="121"/>
      <c r="O2673" s="121"/>
      <c r="P2673" s="121"/>
      <c r="Q2673" s="121"/>
      <c r="R2673" s="121"/>
      <c r="S2673" s="121"/>
      <c r="T2673" s="42"/>
      <c r="U2673" s="122"/>
      <c r="V2673" s="42"/>
      <c r="W2673" s="42"/>
      <c r="X2673" s="42"/>
      <c r="Y2673" s="42"/>
      <c r="Z2673" s="42"/>
      <c r="AA2673" s="42"/>
      <c r="AB2673" s="42"/>
    </row>
    <row r="2674" spans="1:28" x14ac:dyDescent="0.25">
      <c r="A2674" s="42"/>
      <c r="B2674" s="121"/>
      <c r="C2674" s="41"/>
      <c r="D2674" s="41"/>
      <c r="E2674" s="41"/>
      <c r="F2674" s="41"/>
      <c r="G2674" s="41"/>
      <c r="H2674" s="41"/>
      <c r="I2674" s="41"/>
      <c r="J2674" s="41"/>
      <c r="K2674" s="41"/>
      <c r="L2674" s="42"/>
      <c r="M2674" s="121"/>
      <c r="N2674" s="121"/>
      <c r="O2674" s="121"/>
      <c r="P2674" s="121"/>
      <c r="Q2674" s="121"/>
      <c r="R2674" s="121"/>
      <c r="S2674" s="121"/>
      <c r="T2674" s="42"/>
      <c r="U2674" s="122"/>
      <c r="V2674" s="42"/>
      <c r="W2674" s="42"/>
      <c r="X2674" s="42"/>
      <c r="Y2674" s="42"/>
      <c r="Z2674" s="42"/>
      <c r="AA2674" s="42"/>
      <c r="AB2674" s="42"/>
    </row>
    <row r="2675" spans="1:28" x14ac:dyDescent="0.25">
      <c r="A2675" s="42"/>
      <c r="B2675" s="121"/>
      <c r="C2675" s="41"/>
      <c r="D2675" s="41"/>
      <c r="E2675" s="41"/>
      <c r="F2675" s="41"/>
      <c r="G2675" s="41"/>
      <c r="H2675" s="41"/>
      <c r="I2675" s="41"/>
      <c r="J2675" s="41"/>
      <c r="K2675" s="41"/>
      <c r="L2675" s="42"/>
      <c r="M2675" s="121"/>
      <c r="N2675" s="121"/>
      <c r="O2675" s="121"/>
      <c r="P2675" s="121"/>
      <c r="Q2675" s="121"/>
      <c r="R2675" s="121"/>
      <c r="S2675" s="121"/>
      <c r="T2675" s="42"/>
      <c r="U2675" s="122"/>
      <c r="V2675" s="42"/>
      <c r="W2675" s="42"/>
      <c r="X2675" s="42"/>
      <c r="Y2675" s="42"/>
      <c r="Z2675" s="42"/>
      <c r="AA2675" s="42"/>
      <c r="AB2675" s="42"/>
    </row>
    <row r="2676" spans="1:28" x14ac:dyDescent="0.25">
      <c r="A2676" s="42"/>
      <c r="B2676" s="121"/>
      <c r="C2676" s="41"/>
      <c r="D2676" s="41"/>
      <c r="E2676" s="41"/>
      <c r="F2676" s="41"/>
      <c r="G2676" s="41"/>
      <c r="H2676" s="41"/>
      <c r="I2676" s="41"/>
      <c r="J2676" s="41"/>
      <c r="K2676" s="41"/>
      <c r="L2676" s="42"/>
      <c r="M2676" s="121"/>
      <c r="N2676" s="121"/>
      <c r="O2676" s="121"/>
      <c r="P2676" s="121"/>
      <c r="Q2676" s="121"/>
      <c r="R2676" s="121"/>
      <c r="S2676" s="121"/>
      <c r="T2676" s="42"/>
      <c r="U2676" s="122"/>
      <c r="V2676" s="42"/>
      <c r="W2676" s="42"/>
      <c r="X2676" s="42"/>
      <c r="Y2676" s="42"/>
      <c r="Z2676" s="42"/>
      <c r="AA2676" s="42"/>
      <c r="AB2676" s="42"/>
    </row>
    <row r="2677" spans="1:28" x14ac:dyDescent="0.25">
      <c r="A2677" s="42"/>
      <c r="B2677" s="121"/>
      <c r="C2677" s="41"/>
      <c r="D2677" s="41"/>
      <c r="E2677" s="41"/>
      <c r="F2677" s="41"/>
      <c r="G2677" s="41"/>
      <c r="H2677" s="41"/>
      <c r="I2677" s="41"/>
      <c r="J2677" s="41"/>
      <c r="K2677" s="41"/>
      <c r="L2677" s="42"/>
      <c r="M2677" s="121"/>
      <c r="N2677" s="121"/>
      <c r="O2677" s="121"/>
      <c r="P2677" s="121"/>
      <c r="Q2677" s="121"/>
      <c r="R2677" s="121"/>
      <c r="S2677" s="121"/>
      <c r="T2677" s="42"/>
      <c r="U2677" s="122"/>
      <c r="V2677" s="42"/>
      <c r="W2677" s="42"/>
      <c r="X2677" s="42"/>
      <c r="Y2677" s="42"/>
      <c r="Z2677" s="42"/>
      <c r="AA2677" s="42"/>
      <c r="AB2677" s="42"/>
    </row>
    <row r="2678" spans="1:28" x14ac:dyDescent="0.25">
      <c r="A2678" s="42"/>
      <c r="B2678" s="121"/>
      <c r="C2678" s="41"/>
      <c r="D2678" s="41"/>
      <c r="E2678" s="41"/>
      <c r="F2678" s="41"/>
      <c r="G2678" s="41"/>
      <c r="H2678" s="41"/>
      <c r="I2678" s="41"/>
      <c r="J2678" s="41"/>
      <c r="K2678" s="41"/>
      <c r="L2678" s="42"/>
      <c r="M2678" s="121"/>
      <c r="N2678" s="121"/>
      <c r="O2678" s="121"/>
      <c r="P2678" s="121"/>
      <c r="Q2678" s="121"/>
      <c r="R2678" s="121"/>
      <c r="S2678" s="121"/>
      <c r="T2678" s="42"/>
      <c r="U2678" s="122"/>
      <c r="V2678" s="42"/>
      <c r="W2678" s="42"/>
      <c r="X2678" s="42"/>
      <c r="Y2678" s="42"/>
      <c r="Z2678" s="42"/>
      <c r="AA2678" s="42"/>
      <c r="AB2678" s="42"/>
    </row>
    <row r="2679" spans="1:28" x14ac:dyDescent="0.25">
      <c r="A2679" s="42"/>
      <c r="B2679" s="121"/>
      <c r="C2679" s="41"/>
      <c r="D2679" s="41"/>
      <c r="E2679" s="41"/>
      <c r="F2679" s="41"/>
      <c r="G2679" s="41"/>
      <c r="H2679" s="41"/>
      <c r="I2679" s="41"/>
      <c r="J2679" s="41"/>
      <c r="K2679" s="41"/>
      <c r="L2679" s="42"/>
      <c r="M2679" s="121"/>
      <c r="N2679" s="121"/>
      <c r="O2679" s="121"/>
      <c r="P2679" s="121"/>
      <c r="Q2679" s="121"/>
      <c r="R2679" s="121"/>
      <c r="S2679" s="121"/>
      <c r="T2679" s="42"/>
      <c r="U2679" s="122"/>
      <c r="V2679" s="42"/>
      <c r="W2679" s="42"/>
      <c r="X2679" s="42"/>
      <c r="Y2679" s="42"/>
      <c r="Z2679" s="42"/>
      <c r="AA2679" s="42"/>
      <c r="AB2679" s="42"/>
    </row>
    <row r="2680" spans="1:28" x14ac:dyDescent="0.25">
      <c r="A2680" s="42"/>
      <c r="B2680" s="121"/>
      <c r="C2680" s="41"/>
      <c r="D2680" s="41"/>
      <c r="E2680" s="41"/>
      <c r="F2680" s="41"/>
      <c r="G2680" s="41"/>
      <c r="H2680" s="41"/>
      <c r="I2680" s="41"/>
      <c r="J2680" s="41"/>
      <c r="K2680" s="41"/>
      <c r="L2680" s="42"/>
      <c r="M2680" s="121"/>
      <c r="N2680" s="121"/>
      <c r="O2680" s="121"/>
      <c r="P2680" s="121"/>
      <c r="Q2680" s="121"/>
      <c r="R2680" s="121"/>
      <c r="S2680" s="121"/>
      <c r="T2680" s="42"/>
      <c r="U2680" s="122"/>
      <c r="V2680" s="42"/>
      <c r="W2680" s="42"/>
      <c r="X2680" s="42"/>
      <c r="Y2680" s="42"/>
      <c r="Z2680" s="42"/>
      <c r="AA2680" s="42"/>
      <c r="AB2680" s="42"/>
    </row>
    <row r="2681" spans="1:28" x14ac:dyDescent="0.25">
      <c r="A2681" s="42"/>
      <c r="B2681" s="121"/>
      <c r="C2681" s="41"/>
      <c r="D2681" s="41"/>
      <c r="E2681" s="41"/>
      <c r="F2681" s="41"/>
      <c r="G2681" s="41"/>
      <c r="H2681" s="41"/>
      <c r="I2681" s="41"/>
      <c r="J2681" s="41"/>
      <c r="K2681" s="41"/>
      <c r="L2681" s="42"/>
      <c r="M2681" s="121"/>
      <c r="N2681" s="121"/>
      <c r="O2681" s="121"/>
      <c r="P2681" s="121"/>
      <c r="Q2681" s="121"/>
      <c r="R2681" s="121"/>
      <c r="S2681" s="121"/>
      <c r="T2681" s="42"/>
      <c r="U2681" s="122"/>
      <c r="V2681" s="42"/>
      <c r="W2681" s="42"/>
      <c r="X2681" s="42"/>
      <c r="Y2681" s="42"/>
      <c r="Z2681" s="42"/>
      <c r="AA2681" s="42"/>
      <c r="AB2681" s="42"/>
    </row>
    <row r="2682" spans="1:28" x14ac:dyDescent="0.25">
      <c r="A2682" s="42"/>
      <c r="B2682" s="121"/>
      <c r="C2682" s="41"/>
      <c r="D2682" s="41"/>
      <c r="E2682" s="41"/>
      <c r="F2682" s="41"/>
      <c r="G2682" s="41"/>
      <c r="H2682" s="41"/>
      <c r="I2682" s="41"/>
      <c r="J2682" s="41"/>
      <c r="K2682" s="41"/>
      <c r="L2682" s="42"/>
      <c r="M2682" s="121"/>
      <c r="N2682" s="121"/>
      <c r="O2682" s="121"/>
      <c r="P2682" s="121"/>
      <c r="Q2682" s="121"/>
      <c r="R2682" s="121"/>
      <c r="S2682" s="121"/>
      <c r="T2682" s="42"/>
      <c r="U2682" s="122"/>
      <c r="V2682" s="42"/>
      <c r="W2682" s="42"/>
      <c r="X2682" s="42"/>
      <c r="Y2682" s="42"/>
      <c r="Z2682" s="42"/>
      <c r="AA2682" s="42"/>
      <c r="AB2682" s="42"/>
    </row>
    <row r="2683" spans="1:28" x14ac:dyDescent="0.25">
      <c r="A2683" s="42"/>
      <c r="B2683" s="121"/>
      <c r="C2683" s="41"/>
      <c r="D2683" s="41"/>
      <c r="E2683" s="41"/>
      <c r="F2683" s="41"/>
      <c r="G2683" s="41"/>
      <c r="H2683" s="41"/>
      <c r="I2683" s="41"/>
      <c r="J2683" s="41"/>
      <c r="K2683" s="41"/>
      <c r="L2683" s="42"/>
      <c r="M2683" s="121"/>
      <c r="N2683" s="121"/>
      <c r="O2683" s="121"/>
      <c r="P2683" s="121"/>
      <c r="Q2683" s="121"/>
      <c r="R2683" s="121"/>
      <c r="S2683" s="121"/>
      <c r="T2683" s="42"/>
      <c r="U2683" s="122"/>
      <c r="V2683" s="42"/>
      <c r="W2683" s="42"/>
      <c r="X2683" s="42"/>
      <c r="Y2683" s="42"/>
      <c r="Z2683" s="42"/>
      <c r="AA2683" s="42"/>
      <c r="AB2683" s="42"/>
    </row>
    <row r="2684" spans="1:28" x14ac:dyDescent="0.25">
      <c r="A2684" s="42"/>
      <c r="B2684" s="121"/>
      <c r="C2684" s="41"/>
      <c r="D2684" s="41"/>
      <c r="E2684" s="41"/>
      <c r="F2684" s="41"/>
      <c r="G2684" s="41"/>
      <c r="H2684" s="41"/>
      <c r="I2684" s="41"/>
      <c r="J2684" s="41"/>
      <c r="K2684" s="41"/>
      <c r="L2684" s="42"/>
      <c r="M2684" s="121"/>
      <c r="N2684" s="121"/>
      <c r="O2684" s="121"/>
      <c r="P2684" s="121"/>
      <c r="Q2684" s="121"/>
      <c r="R2684" s="121"/>
      <c r="S2684" s="121"/>
      <c r="T2684" s="42"/>
      <c r="U2684" s="122"/>
      <c r="V2684" s="42"/>
      <c r="W2684" s="42"/>
      <c r="X2684" s="42"/>
      <c r="Y2684" s="42"/>
      <c r="Z2684" s="42"/>
      <c r="AA2684" s="42"/>
      <c r="AB2684" s="42"/>
    </row>
    <row r="2685" spans="1:28" x14ac:dyDescent="0.25">
      <c r="A2685" s="42"/>
      <c r="B2685" s="121"/>
      <c r="C2685" s="41"/>
      <c r="D2685" s="41"/>
      <c r="E2685" s="41"/>
      <c r="F2685" s="41"/>
      <c r="G2685" s="41"/>
      <c r="H2685" s="41"/>
      <c r="I2685" s="41"/>
      <c r="J2685" s="41"/>
      <c r="K2685" s="41"/>
      <c r="L2685" s="42"/>
      <c r="M2685" s="121"/>
      <c r="N2685" s="121"/>
      <c r="O2685" s="121"/>
      <c r="P2685" s="121"/>
      <c r="Q2685" s="121"/>
      <c r="R2685" s="121"/>
      <c r="S2685" s="121"/>
      <c r="T2685" s="42"/>
      <c r="U2685" s="122"/>
      <c r="V2685" s="42"/>
      <c r="W2685" s="42"/>
      <c r="X2685" s="42"/>
      <c r="Y2685" s="42"/>
      <c r="Z2685" s="42"/>
      <c r="AA2685" s="42"/>
      <c r="AB2685" s="42"/>
    </row>
    <row r="2686" spans="1:28" x14ac:dyDescent="0.25">
      <c r="A2686" s="42"/>
      <c r="B2686" s="121"/>
      <c r="C2686" s="41"/>
      <c r="D2686" s="41"/>
      <c r="E2686" s="41"/>
      <c r="F2686" s="41"/>
      <c r="G2686" s="41"/>
      <c r="H2686" s="41"/>
      <c r="I2686" s="41"/>
      <c r="J2686" s="41"/>
      <c r="K2686" s="41"/>
      <c r="L2686" s="42"/>
      <c r="M2686" s="121"/>
      <c r="N2686" s="121"/>
      <c r="O2686" s="121"/>
      <c r="P2686" s="121"/>
      <c r="Q2686" s="121"/>
      <c r="R2686" s="121"/>
      <c r="S2686" s="121"/>
      <c r="T2686" s="42"/>
      <c r="U2686" s="122"/>
      <c r="V2686" s="42"/>
      <c r="W2686" s="42"/>
      <c r="X2686" s="42"/>
      <c r="Y2686" s="42"/>
      <c r="Z2686" s="42"/>
      <c r="AA2686" s="42"/>
      <c r="AB2686" s="42"/>
    </row>
    <row r="2687" spans="1:28" x14ac:dyDescent="0.25">
      <c r="A2687" s="42"/>
      <c r="B2687" s="121"/>
      <c r="C2687" s="41"/>
      <c r="D2687" s="41"/>
      <c r="E2687" s="41"/>
      <c r="F2687" s="41"/>
      <c r="G2687" s="41"/>
      <c r="H2687" s="41"/>
      <c r="I2687" s="41"/>
      <c r="J2687" s="41"/>
      <c r="K2687" s="41"/>
      <c r="L2687" s="42"/>
      <c r="M2687" s="121"/>
      <c r="N2687" s="121"/>
      <c r="O2687" s="121"/>
      <c r="P2687" s="121"/>
      <c r="Q2687" s="121"/>
      <c r="R2687" s="121"/>
      <c r="S2687" s="121"/>
      <c r="T2687" s="42"/>
      <c r="U2687" s="122"/>
      <c r="V2687" s="42"/>
      <c r="W2687" s="42"/>
      <c r="X2687" s="42"/>
      <c r="Y2687" s="42"/>
      <c r="Z2687" s="42"/>
      <c r="AA2687" s="42"/>
      <c r="AB2687" s="42"/>
    </row>
    <row r="2688" spans="1:28" x14ac:dyDescent="0.25">
      <c r="A2688" s="42"/>
      <c r="B2688" s="121"/>
      <c r="C2688" s="41"/>
      <c r="D2688" s="41"/>
      <c r="E2688" s="41"/>
      <c r="F2688" s="41"/>
      <c r="G2688" s="41"/>
      <c r="H2688" s="41"/>
      <c r="I2688" s="41"/>
      <c r="J2688" s="41"/>
      <c r="K2688" s="41"/>
      <c r="L2688" s="42"/>
      <c r="M2688" s="121"/>
      <c r="N2688" s="121"/>
      <c r="O2688" s="121"/>
      <c r="P2688" s="121"/>
      <c r="Q2688" s="121"/>
      <c r="R2688" s="121"/>
      <c r="S2688" s="121"/>
      <c r="T2688" s="42"/>
      <c r="U2688" s="122"/>
      <c r="V2688" s="42"/>
      <c r="W2688" s="42"/>
      <c r="X2688" s="42"/>
      <c r="Y2688" s="42"/>
      <c r="Z2688" s="42"/>
      <c r="AA2688" s="42"/>
      <c r="AB2688" s="42"/>
    </row>
    <row r="2689" spans="1:28" x14ac:dyDescent="0.25">
      <c r="A2689" s="42"/>
      <c r="B2689" s="121"/>
      <c r="C2689" s="41"/>
      <c r="D2689" s="41"/>
      <c r="E2689" s="41"/>
      <c r="F2689" s="41"/>
      <c r="G2689" s="41"/>
      <c r="H2689" s="41"/>
      <c r="I2689" s="41"/>
      <c r="J2689" s="41"/>
      <c r="K2689" s="41"/>
      <c r="L2689" s="42"/>
      <c r="M2689" s="121"/>
      <c r="N2689" s="121"/>
      <c r="O2689" s="121"/>
      <c r="P2689" s="121"/>
      <c r="Q2689" s="121"/>
      <c r="R2689" s="121"/>
      <c r="S2689" s="121"/>
      <c r="T2689" s="42"/>
      <c r="U2689" s="122"/>
      <c r="V2689" s="42"/>
      <c r="W2689" s="42"/>
      <c r="X2689" s="42"/>
      <c r="Y2689" s="42"/>
      <c r="Z2689" s="42"/>
      <c r="AA2689" s="42"/>
      <c r="AB2689" s="42"/>
    </row>
    <row r="2690" spans="1:28" x14ac:dyDescent="0.25">
      <c r="A2690" s="42"/>
      <c r="B2690" s="121"/>
      <c r="C2690" s="41"/>
      <c r="D2690" s="41"/>
      <c r="E2690" s="41"/>
      <c r="F2690" s="41"/>
      <c r="G2690" s="41"/>
      <c r="H2690" s="41"/>
      <c r="I2690" s="41"/>
      <c r="J2690" s="41"/>
      <c r="K2690" s="41"/>
      <c r="L2690" s="42"/>
      <c r="M2690" s="121"/>
      <c r="N2690" s="121"/>
      <c r="O2690" s="121"/>
      <c r="P2690" s="121"/>
      <c r="Q2690" s="121"/>
      <c r="R2690" s="121"/>
      <c r="S2690" s="121"/>
      <c r="T2690" s="42"/>
      <c r="U2690" s="122"/>
      <c r="V2690" s="42"/>
      <c r="W2690" s="42"/>
      <c r="X2690" s="42"/>
      <c r="Y2690" s="42"/>
      <c r="Z2690" s="42"/>
      <c r="AA2690" s="42"/>
      <c r="AB2690" s="42"/>
    </row>
    <row r="2691" spans="1:28" x14ac:dyDescent="0.25">
      <c r="A2691" s="42"/>
      <c r="B2691" s="121"/>
      <c r="C2691" s="41"/>
      <c r="D2691" s="41"/>
      <c r="E2691" s="41"/>
      <c r="F2691" s="41"/>
      <c r="G2691" s="41"/>
      <c r="H2691" s="41"/>
      <c r="I2691" s="41"/>
      <c r="J2691" s="41"/>
      <c r="K2691" s="41"/>
      <c r="L2691" s="42"/>
      <c r="M2691" s="121"/>
      <c r="N2691" s="121"/>
      <c r="O2691" s="121"/>
      <c r="P2691" s="121"/>
      <c r="Q2691" s="121"/>
      <c r="R2691" s="121"/>
      <c r="S2691" s="121"/>
      <c r="T2691" s="42"/>
      <c r="U2691" s="122"/>
      <c r="V2691" s="42"/>
      <c r="W2691" s="42"/>
      <c r="X2691" s="42"/>
      <c r="Y2691" s="42"/>
      <c r="Z2691" s="42"/>
      <c r="AA2691" s="42"/>
      <c r="AB2691" s="42"/>
    </row>
    <row r="2692" spans="1:28" x14ac:dyDescent="0.25">
      <c r="A2692" s="42"/>
      <c r="B2692" s="121"/>
      <c r="C2692" s="41"/>
      <c r="D2692" s="41"/>
      <c r="E2692" s="41"/>
      <c r="F2692" s="41"/>
      <c r="G2692" s="41"/>
      <c r="H2692" s="41"/>
      <c r="I2692" s="41"/>
      <c r="J2692" s="41"/>
      <c r="K2692" s="41"/>
      <c r="L2692" s="42"/>
      <c r="M2692" s="121"/>
      <c r="N2692" s="121"/>
      <c r="O2692" s="121"/>
      <c r="P2692" s="121"/>
      <c r="Q2692" s="121"/>
      <c r="R2692" s="121"/>
      <c r="S2692" s="121"/>
      <c r="T2692" s="42"/>
      <c r="U2692" s="122"/>
      <c r="V2692" s="42"/>
      <c r="W2692" s="42"/>
      <c r="X2692" s="42"/>
      <c r="Y2692" s="42"/>
      <c r="Z2692" s="42"/>
      <c r="AA2692" s="42"/>
      <c r="AB2692" s="42"/>
    </row>
    <row r="2693" spans="1:28" x14ac:dyDescent="0.25">
      <c r="A2693" s="42"/>
      <c r="B2693" s="121"/>
      <c r="C2693" s="41"/>
      <c r="D2693" s="41"/>
      <c r="E2693" s="41"/>
      <c r="F2693" s="41"/>
      <c r="G2693" s="41"/>
      <c r="H2693" s="41"/>
      <c r="I2693" s="41"/>
      <c r="J2693" s="41"/>
      <c r="K2693" s="41"/>
      <c r="L2693" s="42"/>
      <c r="M2693" s="121"/>
      <c r="N2693" s="121"/>
      <c r="O2693" s="121"/>
      <c r="P2693" s="121"/>
      <c r="Q2693" s="121"/>
      <c r="R2693" s="121"/>
      <c r="S2693" s="121"/>
      <c r="T2693" s="42"/>
      <c r="U2693" s="122"/>
      <c r="V2693" s="42"/>
      <c r="W2693" s="42"/>
      <c r="X2693" s="42"/>
      <c r="Y2693" s="42"/>
      <c r="Z2693" s="42"/>
      <c r="AA2693" s="42"/>
      <c r="AB2693" s="42"/>
    </row>
    <row r="2694" spans="1:28" x14ac:dyDescent="0.25">
      <c r="A2694" s="42"/>
      <c r="B2694" s="121"/>
      <c r="C2694" s="41"/>
      <c r="D2694" s="41"/>
      <c r="E2694" s="41"/>
      <c r="F2694" s="41"/>
      <c r="G2694" s="41"/>
      <c r="H2694" s="41"/>
      <c r="I2694" s="41"/>
      <c r="J2694" s="41"/>
      <c r="K2694" s="41"/>
      <c r="L2694" s="42"/>
      <c r="M2694" s="121"/>
      <c r="N2694" s="121"/>
      <c r="O2694" s="121"/>
      <c r="P2694" s="121"/>
      <c r="Q2694" s="121"/>
      <c r="R2694" s="121"/>
      <c r="S2694" s="121"/>
      <c r="T2694" s="42"/>
      <c r="U2694" s="122"/>
      <c r="V2694" s="42"/>
      <c r="W2694" s="42"/>
      <c r="X2694" s="42"/>
      <c r="Y2694" s="42"/>
      <c r="Z2694" s="42"/>
      <c r="AA2694" s="42"/>
      <c r="AB2694" s="42"/>
    </row>
    <row r="2695" spans="1:28" x14ac:dyDescent="0.25">
      <c r="A2695" s="42"/>
      <c r="B2695" s="121"/>
      <c r="C2695" s="41"/>
      <c r="D2695" s="41"/>
      <c r="E2695" s="41"/>
      <c r="F2695" s="41"/>
      <c r="G2695" s="41"/>
      <c r="H2695" s="41"/>
      <c r="I2695" s="41"/>
      <c r="J2695" s="41"/>
      <c r="K2695" s="41"/>
      <c r="L2695" s="42"/>
      <c r="M2695" s="121"/>
      <c r="N2695" s="121"/>
      <c r="O2695" s="121"/>
      <c r="P2695" s="121"/>
      <c r="Q2695" s="121"/>
      <c r="R2695" s="121"/>
      <c r="S2695" s="121"/>
      <c r="T2695" s="42"/>
      <c r="U2695" s="122"/>
      <c r="V2695" s="42"/>
      <c r="W2695" s="42"/>
      <c r="X2695" s="42"/>
      <c r="Y2695" s="42"/>
      <c r="Z2695" s="42"/>
      <c r="AA2695" s="42"/>
      <c r="AB2695" s="42"/>
    </row>
    <row r="2696" spans="1:28" x14ac:dyDescent="0.25">
      <c r="A2696" s="42"/>
      <c r="B2696" s="121"/>
      <c r="C2696" s="41"/>
      <c r="D2696" s="41"/>
      <c r="E2696" s="41"/>
      <c r="F2696" s="41"/>
      <c r="G2696" s="41"/>
      <c r="H2696" s="41"/>
      <c r="I2696" s="41"/>
      <c r="J2696" s="41"/>
      <c r="K2696" s="41"/>
      <c r="L2696" s="42"/>
      <c r="M2696" s="121"/>
      <c r="N2696" s="121"/>
      <c r="O2696" s="121"/>
      <c r="P2696" s="121"/>
      <c r="Q2696" s="121"/>
      <c r="R2696" s="121"/>
      <c r="S2696" s="121"/>
      <c r="T2696" s="42"/>
      <c r="U2696" s="122"/>
      <c r="V2696" s="42"/>
      <c r="W2696" s="42"/>
      <c r="X2696" s="42"/>
      <c r="Y2696" s="42"/>
      <c r="Z2696" s="42"/>
      <c r="AA2696" s="42"/>
      <c r="AB2696" s="42"/>
    </row>
    <row r="2697" spans="1:28" x14ac:dyDescent="0.25">
      <c r="A2697" s="42"/>
      <c r="B2697" s="121"/>
      <c r="C2697" s="41"/>
      <c r="D2697" s="41"/>
      <c r="E2697" s="41"/>
      <c r="F2697" s="41"/>
      <c r="G2697" s="41"/>
      <c r="H2697" s="41"/>
      <c r="I2697" s="41"/>
      <c r="J2697" s="41"/>
      <c r="K2697" s="41"/>
      <c r="L2697" s="42"/>
      <c r="M2697" s="121"/>
      <c r="N2697" s="121"/>
      <c r="O2697" s="121"/>
      <c r="P2697" s="121"/>
      <c r="Q2697" s="121"/>
      <c r="R2697" s="121"/>
      <c r="S2697" s="121"/>
      <c r="T2697" s="42"/>
      <c r="U2697" s="122"/>
      <c r="V2697" s="42"/>
      <c r="W2697" s="42"/>
      <c r="X2697" s="42"/>
      <c r="Y2697" s="42"/>
      <c r="Z2697" s="42"/>
      <c r="AA2697" s="42"/>
      <c r="AB2697" s="42"/>
    </row>
    <row r="2698" spans="1:28" x14ac:dyDescent="0.25">
      <c r="A2698" s="42"/>
      <c r="B2698" s="121"/>
      <c r="C2698" s="41"/>
      <c r="D2698" s="41"/>
      <c r="E2698" s="41"/>
      <c r="F2698" s="41"/>
      <c r="G2698" s="41"/>
      <c r="H2698" s="41"/>
      <c r="I2698" s="41"/>
      <c r="J2698" s="41"/>
      <c r="K2698" s="41"/>
      <c r="L2698" s="42"/>
      <c r="M2698" s="121"/>
      <c r="N2698" s="121"/>
      <c r="O2698" s="121"/>
      <c r="P2698" s="121"/>
      <c r="Q2698" s="121"/>
      <c r="R2698" s="121"/>
      <c r="S2698" s="121"/>
      <c r="T2698" s="42"/>
      <c r="U2698" s="122"/>
      <c r="V2698" s="42"/>
      <c r="W2698" s="42"/>
      <c r="X2698" s="42"/>
      <c r="Y2698" s="42"/>
      <c r="Z2698" s="42"/>
      <c r="AA2698" s="42"/>
      <c r="AB2698" s="42"/>
    </row>
    <row r="2699" spans="1:28" x14ac:dyDescent="0.25">
      <c r="A2699" s="42"/>
      <c r="B2699" s="121"/>
      <c r="C2699" s="41"/>
      <c r="D2699" s="41"/>
      <c r="E2699" s="41"/>
      <c r="F2699" s="41"/>
      <c r="G2699" s="41"/>
      <c r="H2699" s="41"/>
      <c r="I2699" s="41"/>
      <c r="J2699" s="41"/>
      <c r="K2699" s="41"/>
      <c r="L2699" s="42"/>
      <c r="M2699" s="121"/>
      <c r="N2699" s="121"/>
      <c r="O2699" s="121"/>
      <c r="P2699" s="121"/>
      <c r="Q2699" s="121"/>
      <c r="R2699" s="121"/>
      <c r="S2699" s="121"/>
      <c r="T2699" s="42"/>
      <c r="U2699" s="122"/>
      <c r="V2699" s="42"/>
      <c r="W2699" s="42"/>
      <c r="X2699" s="42"/>
      <c r="Y2699" s="42"/>
      <c r="Z2699" s="42"/>
      <c r="AA2699" s="42"/>
      <c r="AB2699" s="42"/>
    </row>
    <row r="2700" spans="1:28" x14ac:dyDescent="0.25">
      <c r="A2700" s="42"/>
      <c r="B2700" s="121"/>
      <c r="C2700" s="41"/>
      <c r="D2700" s="41"/>
      <c r="E2700" s="41"/>
      <c r="F2700" s="41"/>
      <c r="G2700" s="41"/>
      <c r="H2700" s="41"/>
      <c r="I2700" s="41"/>
      <c r="J2700" s="41"/>
      <c r="K2700" s="41"/>
      <c r="L2700" s="42"/>
      <c r="M2700" s="121"/>
      <c r="N2700" s="121"/>
      <c r="O2700" s="121"/>
      <c r="P2700" s="121"/>
      <c r="Q2700" s="121"/>
      <c r="R2700" s="121"/>
      <c r="S2700" s="121"/>
      <c r="T2700" s="42"/>
      <c r="U2700" s="122"/>
      <c r="V2700" s="42"/>
      <c r="W2700" s="42"/>
      <c r="X2700" s="42"/>
      <c r="Y2700" s="42"/>
      <c r="Z2700" s="42"/>
      <c r="AA2700" s="42"/>
      <c r="AB2700" s="4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M25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73" customWidth="1"/>
    <col min="2" max="2" width="13.88671875" customWidth="1"/>
    <col min="3" max="3" width="5.109375" customWidth="1"/>
    <col min="4" max="4" width="8.6640625" customWidth="1"/>
    <col min="5" max="5" width="3.109375" customWidth="1"/>
    <col min="6" max="8" width="3.6640625" customWidth="1"/>
    <col min="9" max="9" width="2.109375" customWidth="1"/>
    <col min="10" max="10" width="5" customWidth="1"/>
    <col min="11" max="11" width="3.88671875" customWidth="1"/>
    <col min="12" max="12" width="4.44140625" customWidth="1"/>
    <col min="13" max="14" width="5.6640625" customWidth="1"/>
    <col min="15" max="15" width="5.88671875" customWidth="1"/>
    <col min="17" max="17" width="35" customWidth="1"/>
    <col min="18" max="18" width="39.6640625" customWidth="1"/>
    <col min="21" max="21" width="43.6640625" customWidth="1"/>
    <col min="22" max="22" width="72" customWidth="1"/>
  </cols>
  <sheetData>
    <row r="1" spans="1:39" x14ac:dyDescent="0.25">
      <c r="A1" s="123" t="s">
        <v>353</v>
      </c>
      <c r="B1" s="50"/>
      <c r="C1" s="50">
        <f>COUNTA(A:A)+1</f>
        <v>2038</v>
      </c>
      <c r="D1" s="124" t="str">
        <f>HYPERLINK("https://docs.google.com/spreadsheets/d/1TN50V4dyej71yIZH8yOz3FeZfIXcW0r_lw9k-DofxOM/edit#gid=0&amp;range=A"&amp;C1,"Goto end")</f>
        <v>Goto end</v>
      </c>
      <c r="E1" s="39"/>
      <c r="F1" s="39"/>
      <c r="G1" s="39"/>
      <c r="H1" s="39"/>
      <c r="I1" s="39"/>
      <c r="J1" s="50"/>
      <c r="K1" s="39"/>
      <c r="L1" s="39"/>
      <c r="M1" s="125"/>
      <c r="N1" s="39"/>
      <c r="O1" s="39"/>
      <c r="P1" s="39"/>
      <c r="Q1" s="50"/>
      <c r="R1" s="38"/>
      <c r="S1" s="38"/>
      <c r="T1" s="38"/>
      <c r="U1" s="38"/>
      <c r="V1" s="126"/>
      <c r="W1" s="42"/>
      <c r="X1" s="42"/>
      <c r="Y1" s="42"/>
      <c r="Z1" s="42"/>
      <c r="AA1" s="42"/>
      <c r="AB1" s="42"/>
      <c r="AC1" s="42"/>
      <c r="AD1" s="42"/>
      <c r="AE1" s="42"/>
      <c r="AF1" s="42"/>
      <c r="AG1" s="42"/>
      <c r="AH1" s="42"/>
      <c r="AI1" s="42"/>
      <c r="AJ1" s="42"/>
      <c r="AK1" s="42"/>
      <c r="AL1" s="42"/>
      <c r="AM1" s="42"/>
    </row>
    <row r="2" spans="1:39" x14ac:dyDescent="0.25">
      <c r="A2" s="35"/>
      <c r="B2" s="42"/>
      <c r="C2" s="42"/>
      <c r="D2" s="42"/>
      <c r="E2" s="39"/>
      <c r="F2" s="41"/>
      <c r="G2" s="41"/>
      <c r="H2" s="41"/>
      <c r="I2" s="41"/>
      <c r="J2" s="42"/>
      <c r="K2" s="41"/>
      <c r="L2" s="41"/>
      <c r="M2" s="127"/>
      <c r="N2" s="41"/>
      <c r="O2" s="41"/>
      <c r="P2" s="41"/>
      <c r="Q2" s="42"/>
      <c r="R2" s="35"/>
      <c r="S2" s="35"/>
      <c r="T2" s="35"/>
      <c r="U2" s="35"/>
      <c r="V2" s="121"/>
      <c r="W2" s="42"/>
      <c r="X2" s="42"/>
      <c r="Y2" s="42"/>
      <c r="Z2" s="42"/>
      <c r="AA2" s="42"/>
      <c r="AB2" s="42"/>
      <c r="AC2" s="42"/>
      <c r="AD2" s="42"/>
      <c r="AE2" s="42"/>
      <c r="AF2" s="42"/>
      <c r="AG2" s="42"/>
      <c r="AH2" s="42"/>
      <c r="AI2" s="42"/>
      <c r="AJ2" s="42"/>
      <c r="AK2" s="42"/>
      <c r="AL2" s="42"/>
      <c r="AM2" s="42"/>
    </row>
    <row r="3" spans="1:39" x14ac:dyDescent="0.25">
      <c r="A3" s="38" t="s">
        <v>354</v>
      </c>
      <c r="B3" s="42"/>
      <c r="C3" s="42"/>
      <c r="D3" s="42"/>
      <c r="E3" s="39"/>
      <c r="F3" s="41"/>
      <c r="G3" s="41"/>
      <c r="H3" s="41"/>
      <c r="I3" s="41"/>
      <c r="J3" s="42"/>
      <c r="K3" s="41"/>
      <c r="L3" s="41"/>
      <c r="M3" s="127"/>
      <c r="N3" s="41"/>
      <c r="O3" s="41"/>
      <c r="P3" s="41"/>
      <c r="Q3" s="42"/>
      <c r="R3" s="35"/>
      <c r="S3" s="35"/>
      <c r="T3" s="35"/>
      <c r="U3" s="35"/>
      <c r="V3" s="121"/>
      <c r="W3" s="42"/>
      <c r="X3" s="42"/>
      <c r="Y3" s="42"/>
      <c r="Z3" s="42"/>
      <c r="AA3" s="42"/>
      <c r="AB3" s="42"/>
      <c r="AC3" s="42"/>
      <c r="AD3" s="42"/>
      <c r="AE3" s="42"/>
      <c r="AF3" s="42"/>
      <c r="AG3" s="42"/>
      <c r="AH3" s="42"/>
      <c r="AI3" s="42"/>
      <c r="AJ3" s="42"/>
      <c r="AK3" s="42"/>
      <c r="AL3" s="42"/>
      <c r="AM3" s="42"/>
    </row>
    <row r="4" spans="1:39" x14ac:dyDescent="0.25">
      <c r="A4" s="38" t="s">
        <v>355</v>
      </c>
      <c r="B4" s="42"/>
      <c r="C4" s="42"/>
      <c r="D4" s="42"/>
      <c r="E4" s="39"/>
      <c r="F4" s="41"/>
      <c r="G4" s="41"/>
      <c r="H4" s="41"/>
      <c r="I4" s="41"/>
      <c r="J4" s="42"/>
      <c r="K4" s="41"/>
      <c r="L4" s="41"/>
      <c r="M4" s="127"/>
      <c r="N4" s="41"/>
      <c r="O4" s="41"/>
      <c r="P4" s="41"/>
      <c r="Q4" s="42"/>
      <c r="R4" s="35"/>
      <c r="S4" s="35"/>
      <c r="T4" s="35"/>
      <c r="U4" s="35"/>
      <c r="V4" s="121"/>
      <c r="W4" s="42"/>
      <c r="X4" s="42"/>
      <c r="Y4" s="42"/>
      <c r="Z4" s="42"/>
      <c r="AA4" s="42"/>
      <c r="AB4" s="42"/>
      <c r="AC4" s="42"/>
      <c r="AD4" s="42"/>
      <c r="AE4" s="42"/>
      <c r="AF4" s="42"/>
      <c r="AG4" s="42"/>
      <c r="AH4" s="42"/>
      <c r="AI4" s="42"/>
      <c r="AJ4" s="42"/>
      <c r="AK4" s="42"/>
      <c r="AL4" s="42"/>
      <c r="AM4" s="42"/>
    </row>
    <row r="5" spans="1:39" x14ac:dyDescent="0.25">
      <c r="A5" s="38" t="s">
        <v>356</v>
      </c>
      <c r="B5" s="42"/>
      <c r="C5" s="42"/>
      <c r="D5" s="42"/>
      <c r="E5" s="39"/>
      <c r="F5" s="41"/>
      <c r="G5" s="41"/>
      <c r="H5" s="41"/>
      <c r="I5" s="41"/>
      <c r="J5" s="42"/>
      <c r="K5" s="41"/>
      <c r="L5" s="41"/>
      <c r="M5" s="127"/>
      <c r="N5" s="41"/>
      <c r="O5" s="41"/>
      <c r="P5" s="41"/>
      <c r="Q5" s="42"/>
      <c r="R5" s="35"/>
      <c r="S5" s="35"/>
      <c r="T5" s="35"/>
      <c r="U5" s="35"/>
      <c r="V5" s="121"/>
      <c r="W5" s="42"/>
      <c r="X5" s="42"/>
      <c r="Y5" s="42"/>
      <c r="Z5" s="42"/>
      <c r="AA5" s="42"/>
      <c r="AB5" s="42"/>
      <c r="AC5" s="42"/>
      <c r="AD5" s="42"/>
      <c r="AE5" s="42"/>
      <c r="AF5" s="42"/>
      <c r="AG5" s="42"/>
      <c r="AH5" s="42"/>
      <c r="AI5" s="42"/>
      <c r="AJ5" s="42"/>
      <c r="AK5" s="42"/>
      <c r="AL5" s="42"/>
      <c r="AM5" s="42"/>
    </row>
    <row r="6" spans="1:39" x14ac:dyDescent="0.25">
      <c r="A6" s="38" t="s">
        <v>357</v>
      </c>
      <c r="B6" s="42"/>
      <c r="C6" s="42"/>
      <c r="D6" s="42"/>
      <c r="E6" s="39"/>
      <c r="F6" s="41"/>
      <c r="G6" s="41"/>
      <c r="H6" s="41"/>
      <c r="I6" s="41"/>
      <c r="J6" s="42"/>
      <c r="K6" s="41"/>
      <c r="L6" s="41"/>
      <c r="M6" s="127"/>
      <c r="N6" s="41"/>
      <c r="O6" s="41"/>
      <c r="P6" s="41"/>
      <c r="Q6" s="42"/>
      <c r="R6" s="35"/>
      <c r="S6" s="35"/>
      <c r="T6" s="35"/>
      <c r="U6" s="35"/>
      <c r="V6" s="121"/>
      <c r="W6" s="42"/>
      <c r="X6" s="42"/>
      <c r="Y6" s="42"/>
      <c r="Z6" s="42"/>
      <c r="AA6" s="42"/>
      <c r="AB6" s="42"/>
      <c r="AC6" s="42"/>
      <c r="AD6" s="42"/>
      <c r="AE6" s="42"/>
      <c r="AF6" s="42"/>
      <c r="AG6" s="42"/>
      <c r="AH6" s="42"/>
      <c r="AI6" s="42"/>
      <c r="AJ6" s="42"/>
      <c r="AK6" s="42"/>
      <c r="AL6" s="42"/>
      <c r="AM6" s="42"/>
    </row>
    <row r="7" spans="1:39" x14ac:dyDescent="0.25">
      <c r="A7" s="38" t="s">
        <v>358</v>
      </c>
      <c r="B7" s="42"/>
      <c r="C7" s="42"/>
      <c r="D7" s="42"/>
      <c r="E7" s="39"/>
      <c r="F7" s="41"/>
      <c r="G7" s="41"/>
      <c r="H7" s="41"/>
      <c r="I7" s="41"/>
      <c r="J7" s="42"/>
      <c r="K7" s="41"/>
      <c r="L7" s="41"/>
      <c r="M7" s="127"/>
      <c r="N7" s="41"/>
      <c r="O7" s="41"/>
      <c r="P7" s="41"/>
      <c r="Q7" s="42"/>
      <c r="R7" s="35"/>
      <c r="S7" s="35"/>
      <c r="T7" s="35"/>
      <c r="U7" s="35"/>
      <c r="V7" s="121"/>
      <c r="W7" s="42"/>
      <c r="X7" s="42"/>
      <c r="Y7" s="42"/>
      <c r="Z7" s="42"/>
      <c r="AA7" s="42"/>
      <c r="AB7" s="42"/>
      <c r="AC7" s="42"/>
      <c r="AD7" s="42"/>
      <c r="AE7" s="42"/>
      <c r="AF7" s="42"/>
      <c r="AG7" s="42"/>
      <c r="AH7" s="42"/>
      <c r="AI7" s="42"/>
      <c r="AJ7" s="42"/>
      <c r="AK7" s="42"/>
      <c r="AL7" s="42"/>
      <c r="AM7" s="42"/>
    </row>
    <row r="8" spans="1:39" x14ac:dyDescent="0.25">
      <c r="A8" s="38" t="s">
        <v>359</v>
      </c>
      <c r="B8" s="42"/>
      <c r="C8" s="42"/>
      <c r="D8" s="42"/>
      <c r="E8" s="39"/>
      <c r="F8" s="41"/>
      <c r="G8" s="41"/>
      <c r="H8" s="41"/>
      <c r="I8" s="41"/>
      <c r="J8" s="42"/>
      <c r="K8" s="41"/>
      <c r="L8" s="41"/>
      <c r="M8" s="127"/>
      <c r="N8" s="41"/>
      <c r="O8" s="41"/>
      <c r="P8" s="41"/>
      <c r="Q8" s="42"/>
      <c r="R8" s="35"/>
      <c r="S8" s="35"/>
      <c r="T8" s="35"/>
      <c r="U8" s="35"/>
      <c r="V8" s="121"/>
      <c r="W8" s="42"/>
      <c r="X8" s="42"/>
      <c r="Y8" s="42"/>
      <c r="Z8" s="42"/>
      <c r="AA8" s="42"/>
      <c r="AB8" s="42"/>
      <c r="AC8" s="42"/>
      <c r="AD8" s="42"/>
      <c r="AE8" s="42"/>
      <c r="AF8" s="42"/>
      <c r="AG8" s="42"/>
      <c r="AH8" s="42"/>
      <c r="AI8" s="42"/>
      <c r="AJ8" s="42"/>
      <c r="AK8" s="42"/>
      <c r="AL8" s="42"/>
      <c r="AM8" s="42"/>
    </row>
    <row r="9" spans="1:39" x14ac:dyDescent="0.25">
      <c r="A9" s="38" t="s">
        <v>360</v>
      </c>
      <c r="B9" s="42"/>
      <c r="C9" s="42"/>
      <c r="D9" s="42"/>
      <c r="E9" s="39"/>
      <c r="F9" s="41"/>
      <c r="G9" s="41"/>
      <c r="H9" s="41"/>
      <c r="I9" s="41"/>
      <c r="J9" s="42"/>
      <c r="K9" s="41"/>
      <c r="L9" s="41"/>
      <c r="M9" s="127"/>
      <c r="N9" s="41"/>
      <c r="O9" s="41"/>
      <c r="P9" s="41"/>
      <c r="Q9" s="42"/>
      <c r="R9" s="35"/>
      <c r="S9" s="35"/>
      <c r="T9" s="35"/>
      <c r="U9" s="35"/>
      <c r="V9" s="121"/>
      <c r="W9" s="42"/>
      <c r="X9" s="42"/>
      <c r="Y9" s="42"/>
      <c r="Z9" s="42"/>
      <c r="AA9" s="42"/>
      <c r="AB9" s="42"/>
      <c r="AC9" s="42"/>
      <c r="AD9" s="42"/>
      <c r="AE9" s="42"/>
      <c r="AF9" s="42"/>
      <c r="AG9" s="42"/>
      <c r="AH9" s="42"/>
      <c r="AI9" s="42"/>
      <c r="AJ9" s="42"/>
      <c r="AK9" s="42"/>
      <c r="AL9" s="42"/>
      <c r="AM9" s="42"/>
    </row>
    <row r="10" spans="1:39" x14ac:dyDescent="0.25">
      <c r="A10" s="38" t="s">
        <v>361</v>
      </c>
      <c r="B10" s="42"/>
      <c r="C10" s="42"/>
      <c r="D10" s="42"/>
      <c r="E10" s="39"/>
      <c r="F10" s="41"/>
      <c r="G10" s="41"/>
      <c r="H10" s="41"/>
      <c r="I10" s="41"/>
      <c r="J10" s="42"/>
      <c r="K10" s="41"/>
      <c r="L10" s="41"/>
      <c r="M10" s="127"/>
      <c r="N10" s="41"/>
      <c r="O10" s="41"/>
      <c r="P10" s="41"/>
      <c r="Q10" s="42"/>
      <c r="R10" s="35"/>
      <c r="S10" s="35"/>
      <c r="T10" s="35"/>
      <c r="U10" s="35"/>
      <c r="V10" s="121"/>
      <c r="W10" s="42"/>
      <c r="X10" s="42"/>
      <c r="Y10" s="42"/>
      <c r="Z10" s="42"/>
      <c r="AA10" s="42"/>
      <c r="AB10" s="42"/>
      <c r="AC10" s="42"/>
      <c r="AD10" s="42"/>
      <c r="AE10" s="42"/>
      <c r="AF10" s="42"/>
      <c r="AG10" s="42"/>
      <c r="AH10" s="42"/>
      <c r="AI10" s="42"/>
      <c r="AJ10" s="42"/>
      <c r="AK10" s="42"/>
      <c r="AL10" s="42"/>
      <c r="AM10" s="42"/>
    </row>
    <row r="11" spans="1:39" x14ac:dyDescent="0.25">
      <c r="A11" s="38" t="s">
        <v>362</v>
      </c>
      <c r="B11" s="42"/>
      <c r="C11" s="42"/>
      <c r="D11" s="42"/>
      <c r="E11" s="39"/>
      <c r="F11" s="41"/>
      <c r="G11" s="41"/>
      <c r="H11" s="41"/>
      <c r="I11" s="41"/>
      <c r="J11" s="42"/>
      <c r="K11" s="41"/>
      <c r="L11" s="41"/>
      <c r="M11" s="127"/>
      <c r="N11" s="41"/>
      <c r="O11" s="41"/>
      <c r="P11" s="41"/>
      <c r="Q11" s="42"/>
      <c r="R11" s="35"/>
      <c r="S11" s="35"/>
      <c r="T11" s="35"/>
      <c r="U11" s="35"/>
      <c r="V11" s="121"/>
      <c r="W11" s="42"/>
      <c r="X11" s="42"/>
      <c r="Y11" s="42"/>
      <c r="Z11" s="42"/>
      <c r="AA11" s="42"/>
      <c r="AB11" s="42"/>
      <c r="AC11" s="42"/>
      <c r="AD11" s="42"/>
      <c r="AE11" s="42"/>
      <c r="AF11" s="42"/>
      <c r="AG11" s="42"/>
      <c r="AH11" s="42"/>
      <c r="AI11" s="42"/>
      <c r="AJ11" s="42"/>
      <c r="AK11" s="42"/>
      <c r="AL11" s="42"/>
      <c r="AM11" s="42"/>
    </row>
    <row r="12" spans="1:39" x14ac:dyDescent="0.25">
      <c r="A12" s="38" t="s">
        <v>363</v>
      </c>
      <c r="B12" s="42"/>
      <c r="C12" s="42"/>
      <c r="D12" s="42"/>
      <c r="E12" s="39"/>
      <c r="F12" s="41"/>
      <c r="G12" s="41"/>
      <c r="H12" s="41"/>
      <c r="I12" s="41"/>
      <c r="J12" s="42"/>
      <c r="K12" s="41"/>
      <c r="L12" s="41"/>
      <c r="M12" s="127"/>
      <c r="N12" s="41"/>
      <c r="O12" s="41"/>
      <c r="P12" s="41"/>
      <c r="Q12" s="42"/>
      <c r="R12" s="35"/>
      <c r="S12" s="35"/>
      <c r="T12" s="35"/>
      <c r="U12" s="35"/>
      <c r="V12" s="121"/>
      <c r="W12" s="42"/>
      <c r="X12" s="42"/>
      <c r="Y12" s="42"/>
      <c r="Z12" s="42"/>
      <c r="AA12" s="42"/>
      <c r="AB12" s="42"/>
      <c r="AC12" s="42"/>
      <c r="AD12" s="42"/>
      <c r="AE12" s="42"/>
      <c r="AF12" s="42"/>
      <c r="AG12" s="42"/>
      <c r="AH12" s="42"/>
      <c r="AI12" s="42"/>
      <c r="AJ12" s="42"/>
      <c r="AK12" s="42"/>
      <c r="AL12" s="42"/>
      <c r="AM12" s="42"/>
    </row>
    <row r="13" spans="1:39" x14ac:dyDescent="0.25">
      <c r="A13" s="38" t="s">
        <v>364</v>
      </c>
      <c r="B13" s="42"/>
      <c r="C13" s="42"/>
      <c r="D13" s="42"/>
      <c r="E13" s="39"/>
      <c r="F13" s="41"/>
      <c r="G13" s="41"/>
      <c r="H13" s="41"/>
      <c r="I13" s="41"/>
      <c r="J13" s="42"/>
      <c r="K13" s="41"/>
      <c r="L13" s="41"/>
      <c r="M13" s="127"/>
      <c r="N13" s="41"/>
      <c r="O13" s="41"/>
      <c r="P13" s="41"/>
      <c r="Q13" s="42"/>
      <c r="R13" s="35"/>
      <c r="S13" s="35"/>
      <c r="T13" s="35"/>
      <c r="U13" s="35"/>
      <c r="V13" s="121"/>
      <c r="W13" s="42"/>
      <c r="X13" s="42"/>
      <c r="Y13" s="42"/>
      <c r="Z13" s="42"/>
      <c r="AA13" s="42"/>
      <c r="AB13" s="42"/>
      <c r="AC13" s="42"/>
      <c r="AD13" s="42"/>
      <c r="AE13" s="42"/>
      <c r="AF13" s="42"/>
      <c r="AG13" s="42"/>
      <c r="AH13" s="42"/>
      <c r="AI13" s="42"/>
      <c r="AJ13" s="42"/>
      <c r="AK13" s="42"/>
      <c r="AL13" s="42"/>
      <c r="AM13" s="42"/>
    </row>
    <row r="14" spans="1:39" x14ac:dyDescent="0.25">
      <c r="A14" s="38" t="s">
        <v>365</v>
      </c>
      <c r="B14" s="42"/>
      <c r="C14" s="42"/>
      <c r="D14" s="42"/>
      <c r="E14" s="39"/>
      <c r="F14" s="41"/>
      <c r="G14" s="41"/>
      <c r="H14" s="41"/>
      <c r="I14" s="41"/>
      <c r="J14" s="42"/>
      <c r="K14" s="41"/>
      <c r="L14" s="41"/>
      <c r="M14" s="127"/>
      <c r="N14" s="41"/>
      <c r="O14" s="41"/>
      <c r="P14" s="41"/>
      <c r="Q14" s="42"/>
      <c r="R14" s="35"/>
      <c r="S14" s="35"/>
      <c r="T14" s="35"/>
      <c r="U14" s="35"/>
      <c r="V14" s="121"/>
      <c r="W14" s="42"/>
      <c r="X14" s="42"/>
      <c r="Y14" s="42"/>
      <c r="Z14" s="42"/>
      <c r="AA14" s="42"/>
      <c r="AB14" s="42"/>
      <c r="AC14" s="42"/>
      <c r="AD14" s="42"/>
      <c r="AE14" s="42"/>
      <c r="AF14" s="42"/>
      <c r="AG14" s="42"/>
      <c r="AH14" s="42"/>
      <c r="AI14" s="42"/>
      <c r="AJ14" s="42"/>
      <c r="AK14" s="42"/>
      <c r="AL14" s="42"/>
      <c r="AM14" s="42"/>
    </row>
    <row r="15" spans="1:39" x14ac:dyDescent="0.25">
      <c r="A15" s="38" t="s">
        <v>366</v>
      </c>
      <c r="B15" s="42"/>
      <c r="C15" s="42"/>
      <c r="D15" s="42"/>
      <c r="E15" s="39"/>
      <c r="F15" s="41"/>
      <c r="G15" s="41"/>
      <c r="H15" s="41"/>
      <c r="I15" s="41"/>
      <c r="J15" s="42"/>
      <c r="K15" s="41"/>
      <c r="L15" s="41"/>
      <c r="M15" s="127"/>
      <c r="N15" s="41"/>
      <c r="O15" s="41"/>
      <c r="P15" s="41"/>
      <c r="Q15" s="42"/>
      <c r="R15" s="35"/>
      <c r="S15" s="35"/>
      <c r="T15" s="35"/>
      <c r="U15" s="35"/>
      <c r="V15" s="121"/>
      <c r="W15" s="42"/>
      <c r="X15" s="42"/>
      <c r="Y15" s="42"/>
      <c r="Z15" s="42"/>
      <c r="AA15" s="42"/>
      <c r="AB15" s="42"/>
      <c r="AC15" s="42"/>
      <c r="AD15" s="42"/>
      <c r="AE15" s="42"/>
      <c r="AF15" s="42"/>
      <c r="AG15" s="42"/>
      <c r="AH15" s="42"/>
      <c r="AI15" s="42"/>
      <c r="AJ15" s="42"/>
      <c r="AK15" s="42"/>
      <c r="AL15" s="42"/>
      <c r="AM15" s="42"/>
    </row>
    <row r="16" spans="1:39" x14ac:dyDescent="0.25">
      <c r="A16" s="38" t="s">
        <v>367</v>
      </c>
      <c r="B16" s="42"/>
      <c r="C16" s="42"/>
      <c r="D16" s="42"/>
      <c r="E16" s="39"/>
      <c r="F16" s="41"/>
      <c r="G16" s="41"/>
      <c r="H16" s="41"/>
      <c r="I16" s="41"/>
      <c r="J16" s="42"/>
      <c r="K16" s="41"/>
      <c r="L16" s="41"/>
      <c r="M16" s="127"/>
      <c r="N16" s="41"/>
      <c r="O16" s="41"/>
      <c r="P16" s="41"/>
      <c r="Q16" s="42"/>
      <c r="R16" s="35"/>
      <c r="S16" s="35"/>
      <c r="T16" s="35"/>
      <c r="U16" s="35"/>
      <c r="V16" s="121"/>
      <c r="W16" s="42"/>
      <c r="X16" s="42"/>
      <c r="Y16" s="42"/>
      <c r="Z16" s="42"/>
      <c r="AA16" s="42"/>
      <c r="AB16" s="42"/>
      <c r="AC16" s="42"/>
      <c r="AD16" s="42"/>
      <c r="AE16" s="42"/>
      <c r="AF16" s="42"/>
      <c r="AG16" s="42"/>
      <c r="AH16" s="42"/>
      <c r="AI16" s="42"/>
      <c r="AJ16" s="42"/>
      <c r="AK16" s="42"/>
      <c r="AL16" s="42"/>
      <c r="AM16" s="42"/>
    </row>
    <row r="17" spans="1:39" x14ac:dyDescent="0.25">
      <c r="A17" s="38" t="s">
        <v>368</v>
      </c>
      <c r="B17" s="42"/>
      <c r="C17" s="42"/>
      <c r="D17" s="42"/>
      <c r="E17" s="39"/>
      <c r="F17" s="41"/>
      <c r="G17" s="41"/>
      <c r="H17" s="41"/>
      <c r="I17" s="41"/>
      <c r="J17" s="42"/>
      <c r="K17" s="41"/>
      <c r="L17" s="41"/>
      <c r="M17" s="127"/>
      <c r="N17" s="41"/>
      <c r="O17" s="41"/>
      <c r="P17" s="41"/>
      <c r="Q17" s="42"/>
      <c r="R17" s="35"/>
      <c r="S17" s="35"/>
      <c r="T17" s="35"/>
      <c r="U17" s="35"/>
      <c r="V17" s="121"/>
      <c r="W17" s="42"/>
      <c r="X17" s="42"/>
      <c r="Y17" s="42"/>
      <c r="Z17" s="42"/>
      <c r="AA17" s="42"/>
      <c r="AB17" s="42"/>
      <c r="AC17" s="42"/>
      <c r="AD17" s="42"/>
      <c r="AE17" s="42"/>
      <c r="AF17" s="42"/>
      <c r="AG17" s="42"/>
      <c r="AH17" s="42"/>
      <c r="AI17" s="42"/>
      <c r="AJ17" s="42"/>
      <c r="AK17" s="42"/>
      <c r="AL17" s="42"/>
      <c r="AM17" s="42"/>
    </row>
    <row r="18" spans="1:39" x14ac:dyDescent="0.25">
      <c r="A18" s="38" t="s">
        <v>369</v>
      </c>
      <c r="B18" s="42"/>
      <c r="C18" s="42"/>
      <c r="D18" s="42"/>
      <c r="E18" s="39"/>
      <c r="F18" s="41"/>
      <c r="G18" s="41"/>
      <c r="H18" s="41"/>
      <c r="I18" s="41"/>
      <c r="J18" s="42"/>
      <c r="K18" s="41"/>
      <c r="L18" s="41"/>
      <c r="M18" s="127"/>
      <c r="N18" s="41"/>
      <c r="O18" s="41"/>
      <c r="P18" s="41"/>
      <c r="Q18" s="42"/>
      <c r="R18" s="35"/>
      <c r="S18" s="35"/>
      <c r="T18" s="35"/>
      <c r="U18" s="35"/>
      <c r="V18" s="121"/>
      <c r="W18" s="42"/>
      <c r="X18" s="42"/>
      <c r="Y18" s="42"/>
      <c r="Z18" s="42"/>
      <c r="AA18" s="42"/>
      <c r="AB18" s="42"/>
      <c r="AC18" s="42"/>
      <c r="AD18" s="42"/>
      <c r="AE18" s="42"/>
      <c r="AF18" s="42"/>
      <c r="AG18" s="42"/>
      <c r="AH18" s="42"/>
      <c r="AI18" s="42"/>
      <c r="AJ18" s="42"/>
      <c r="AK18" s="42"/>
      <c r="AL18" s="42"/>
      <c r="AM18" s="42"/>
    </row>
    <row r="19" spans="1:39" x14ac:dyDescent="0.25">
      <c r="A19" s="38" t="s">
        <v>370</v>
      </c>
      <c r="B19" s="42"/>
      <c r="C19" s="42"/>
      <c r="D19" s="42"/>
      <c r="E19" s="39"/>
      <c r="F19" s="41"/>
      <c r="G19" s="41"/>
      <c r="H19" s="41"/>
      <c r="I19" s="41"/>
      <c r="J19" s="42"/>
      <c r="K19" s="41"/>
      <c r="L19" s="41"/>
      <c r="M19" s="127"/>
      <c r="N19" s="41"/>
      <c r="O19" s="41"/>
      <c r="P19" s="41"/>
      <c r="Q19" s="42"/>
      <c r="R19" s="35"/>
      <c r="S19" s="35"/>
      <c r="T19" s="35"/>
      <c r="U19" s="35"/>
      <c r="V19" s="121"/>
      <c r="W19" s="42"/>
      <c r="X19" s="42"/>
      <c r="Y19" s="42"/>
      <c r="Z19" s="42"/>
      <c r="AA19" s="42"/>
      <c r="AB19" s="42"/>
      <c r="AC19" s="42"/>
      <c r="AD19" s="42"/>
      <c r="AE19" s="42"/>
      <c r="AF19" s="42"/>
      <c r="AG19" s="42"/>
      <c r="AH19" s="42"/>
      <c r="AI19" s="42"/>
      <c r="AJ19" s="42"/>
      <c r="AK19" s="42"/>
      <c r="AL19" s="42"/>
      <c r="AM19" s="42"/>
    </row>
    <row r="20" spans="1:39" x14ac:dyDescent="0.25">
      <c r="A20" s="38" t="s">
        <v>371</v>
      </c>
      <c r="B20" s="42"/>
      <c r="C20" s="42"/>
      <c r="D20" s="42"/>
      <c r="E20" s="39"/>
      <c r="F20" s="41"/>
      <c r="G20" s="41"/>
      <c r="H20" s="41"/>
      <c r="I20" s="41"/>
      <c r="J20" s="42"/>
      <c r="K20" s="41"/>
      <c r="L20" s="41"/>
      <c r="M20" s="127"/>
      <c r="N20" s="41"/>
      <c r="O20" s="41"/>
      <c r="P20" s="41"/>
      <c r="Q20" s="42"/>
      <c r="R20" s="35"/>
      <c r="S20" s="35"/>
      <c r="T20" s="35"/>
      <c r="U20" s="35"/>
      <c r="V20" s="121"/>
      <c r="W20" s="42"/>
      <c r="X20" s="42"/>
      <c r="Y20" s="42"/>
      <c r="Z20" s="42"/>
      <c r="AA20" s="42"/>
      <c r="AB20" s="42"/>
      <c r="AC20" s="42"/>
      <c r="AD20" s="42"/>
      <c r="AE20" s="42"/>
      <c r="AF20" s="42"/>
      <c r="AG20" s="42"/>
      <c r="AH20" s="42"/>
      <c r="AI20" s="42"/>
      <c r="AJ20" s="42"/>
      <c r="AK20" s="42"/>
      <c r="AL20" s="42"/>
      <c r="AM20" s="42"/>
    </row>
    <row r="21" spans="1:39" x14ac:dyDescent="0.25">
      <c r="A21" s="38" t="s">
        <v>372</v>
      </c>
      <c r="B21" s="42"/>
      <c r="C21" s="42"/>
      <c r="D21" s="42"/>
      <c r="E21" s="39"/>
      <c r="F21" s="41"/>
      <c r="G21" s="41"/>
      <c r="H21" s="41"/>
      <c r="I21" s="41"/>
      <c r="J21" s="42"/>
      <c r="K21" s="41"/>
      <c r="L21" s="41"/>
      <c r="M21" s="127"/>
      <c r="N21" s="41"/>
      <c r="O21" s="41"/>
      <c r="P21" s="41"/>
      <c r="Q21" s="42"/>
      <c r="R21" s="35"/>
      <c r="S21" s="35"/>
      <c r="T21" s="35"/>
      <c r="U21" s="35"/>
      <c r="V21" s="121"/>
      <c r="W21" s="42"/>
      <c r="X21" s="42"/>
      <c r="Y21" s="42"/>
      <c r="Z21" s="42"/>
      <c r="AA21" s="42"/>
      <c r="AB21" s="42"/>
      <c r="AC21" s="42"/>
      <c r="AD21" s="42"/>
      <c r="AE21" s="42"/>
      <c r="AF21" s="42"/>
      <c r="AG21" s="42"/>
      <c r="AH21" s="42"/>
      <c r="AI21" s="42"/>
      <c r="AJ21" s="42"/>
      <c r="AK21" s="42"/>
      <c r="AL21" s="42"/>
      <c r="AM21" s="42"/>
    </row>
    <row r="22" spans="1:39" x14ac:dyDescent="0.25">
      <c r="A22" s="38" t="s">
        <v>373</v>
      </c>
      <c r="B22" s="42"/>
      <c r="C22" s="42"/>
      <c r="D22" s="42"/>
      <c r="E22" s="39"/>
      <c r="F22" s="41"/>
      <c r="G22" s="41"/>
      <c r="H22" s="41"/>
      <c r="I22" s="41"/>
      <c r="J22" s="42"/>
      <c r="K22" s="41"/>
      <c r="L22" s="41"/>
      <c r="M22" s="127"/>
      <c r="N22" s="41"/>
      <c r="O22" s="41"/>
      <c r="P22" s="41"/>
      <c r="Q22" s="42"/>
      <c r="R22" s="35"/>
      <c r="S22" s="35"/>
      <c r="T22" s="35"/>
      <c r="U22" s="35"/>
      <c r="V22" s="121"/>
      <c r="W22" s="42"/>
      <c r="X22" s="42"/>
      <c r="Y22" s="42"/>
      <c r="Z22" s="42"/>
      <c r="AA22" s="42"/>
      <c r="AB22" s="42"/>
      <c r="AC22" s="42"/>
      <c r="AD22" s="42"/>
      <c r="AE22" s="42"/>
      <c r="AF22" s="42"/>
      <c r="AG22" s="42"/>
      <c r="AH22" s="42"/>
      <c r="AI22" s="42"/>
      <c r="AJ22" s="42"/>
      <c r="AK22" s="42"/>
      <c r="AL22" s="42"/>
      <c r="AM22" s="42"/>
    </row>
    <row r="23" spans="1:39" x14ac:dyDescent="0.25">
      <c r="A23" s="38" t="s">
        <v>374</v>
      </c>
      <c r="B23" s="42"/>
      <c r="C23" s="42"/>
      <c r="D23" s="42"/>
      <c r="E23" s="39"/>
      <c r="F23" s="41"/>
      <c r="G23" s="41"/>
      <c r="H23" s="41"/>
      <c r="I23" s="41"/>
      <c r="J23" s="42"/>
      <c r="K23" s="41"/>
      <c r="L23" s="41"/>
      <c r="M23" s="127"/>
      <c r="N23" s="41"/>
      <c r="O23" s="41"/>
      <c r="P23" s="41"/>
      <c r="Q23" s="42"/>
      <c r="R23" s="35"/>
      <c r="S23" s="35"/>
      <c r="T23" s="35"/>
      <c r="U23" s="35"/>
      <c r="V23" s="121"/>
      <c r="W23" s="42"/>
      <c r="X23" s="42"/>
      <c r="Y23" s="42"/>
      <c r="Z23" s="42"/>
      <c r="AA23" s="42"/>
      <c r="AB23" s="42"/>
      <c r="AC23" s="42"/>
      <c r="AD23" s="42"/>
      <c r="AE23" s="42"/>
      <c r="AF23" s="42"/>
      <c r="AG23" s="42"/>
      <c r="AH23" s="42"/>
      <c r="AI23" s="42"/>
      <c r="AJ23" s="42"/>
      <c r="AK23" s="42"/>
      <c r="AL23" s="42"/>
      <c r="AM23" s="42"/>
    </row>
    <row r="24" spans="1:39" x14ac:dyDescent="0.25">
      <c r="A24" s="38" t="s">
        <v>375</v>
      </c>
      <c r="B24" s="42"/>
      <c r="C24" s="42"/>
      <c r="D24" s="42"/>
      <c r="E24" s="39"/>
      <c r="F24" s="41"/>
      <c r="G24" s="41"/>
      <c r="H24" s="41"/>
      <c r="I24" s="41"/>
      <c r="J24" s="42"/>
      <c r="K24" s="41"/>
      <c r="L24" s="41"/>
      <c r="M24" s="127"/>
      <c r="N24" s="41"/>
      <c r="O24" s="41"/>
      <c r="P24" s="41"/>
      <c r="Q24" s="42"/>
      <c r="R24" s="35"/>
      <c r="S24" s="35"/>
      <c r="T24" s="35"/>
      <c r="U24" s="35"/>
      <c r="V24" s="121"/>
      <c r="W24" s="42"/>
      <c r="X24" s="42"/>
      <c r="Y24" s="42"/>
      <c r="Z24" s="42"/>
      <c r="AA24" s="42"/>
      <c r="AB24" s="42"/>
      <c r="AC24" s="42"/>
      <c r="AD24" s="42"/>
      <c r="AE24" s="42"/>
      <c r="AF24" s="42"/>
      <c r="AG24" s="42"/>
      <c r="AH24" s="42"/>
      <c r="AI24" s="42"/>
      <c r="AJ24" s="42"/>
      <c r="AK24" s="42"/>
      <c r="AL24" s="42"/>
      <c r="AM24" s="42"/>
    </row>
    <row r="25" spans="1:39" x14ac:dyDescent="0.25">
      <c r="A25" s="38" t="s">
        <v>376</v>
      </c>
      <c r="B25" s="42"/>
      <c r="C25" s="42"/>
      <c r="D25" s="42"/>
      <c r="E25" s="39"/>
      <c r="F25" s="41"/>
      <c r="G25" s="41"/>
      <c r="H25" s="41"/>
      <c r="I25" s="41"/>
      <c r="J25" s="42"/>
      <c r="K25" s="41"/>
      <c r="L25" s="41"/>
      <c r="M25" s="127"/>
      <c r="N25" s="41"/>
      <c r="O25" s="41"/>
      <c r="P25" s="41"/>
      <c r="Q25" s="42"/>
      <c r="R25" s="35"/>
      <c r="S25" s="35"/>
      <c r="T25" s="35"/>
      <c r="U25" s="35"/>
      <c r="V25" s="121"/>
      <c r="W25" s="42"/>
      <c r="X25" s="42"/>
      <c r="Y25" s="42"/>
      <c r="Z25" s="42"/>
      <c r="AA25" s="42"/>
      <c r="AB25" s="42"/>
      <c r="AC25" s="42"/>
      <c r="AD25" s="42"/>
      <c r="AE25" s="42"/>
      <c r="AF25" s="42"/>
      <c r="AG25" s="42"/>
      <c r="AH25" s="42"/>
      <c r="AI25" s="42"/>
      <c r="AJ25" s="42"/>
      <c r="AK25" s="42"/>
      <c r="AL25" s="42"/>
      <c r="AM25" s="42"/>
    </row>
    <row r="26" spans="1:39" x14ac:dyDescent="0.25">
      <c r="A26" s="38" t="s">
        <v>377</v>
      </c>
      <c r="B26" s="42"/>
      <c r="C26" s="42"/>
      <c r="D26" s="42"/>
      <c r="E26" s="39"/>
      <c r="F26" s="41"/>
      <c r="G26" s="41"/>
      <c r="H26" s="41"/>
      <c r="I26" s="41"/>
      <c r="J26" s="42"/>
      <c r="K26" s="41"/>
      <c r="L26" s="41"/>
      <c r="M26" s="127"/>
      <c r="N26" s="41"/>
      <c r="O26" s="41"/>
      <c r="P26" s="41"/>
      <c r="Q26" s="42"/>
      <c r="R26" s="35"/>
      <c r="S26" s="35"/>
      <c r="T26" s="35"/>
      <c r="U26" s="35"/>
      <c r="V26" s="121"/>
      <c r="W26" s="42"/>
      <c r="X26" s="42"/>
      <c r="Y26" s="42"/>
      <c r="Z26" s="42"/>
      <c r="AA26" s="42"/>
      <c r="AB26" s="42"/>
      <c r="AC26" s="42"/>
      <c r="AD26" s="42"/>
      <c r="AE26" s="42"/>
      <c r="AF26" s="42"/>
      <c r="AG26" s="42"/>
      <c r="AH26" s="42"/>
      <c r="AI26" s="42"/>
      <c r="AJ26" s="42"/>
      <c r="AK26" s="42"/>
      <c r="AL26" s="42"/>
      <c r="AM26" s="42"/>
    </row>
    <row r="27" spans="1:39" x14ac:dyDescent="0.25">
      <c r="A27" s="38" t="s">
        <v>378</v>
      </c>
      <c r="B27" s="42"/>
      <c r="C27" s="42"/>
      <c r="D27" s="42"/>
      <c r="E27" s="39"/>
      <c r="F27" s="41"/>
      <c r="G27" s="41"/>
      <c r="H27" s="41"/>
      <c r="I27" s="41"/>
      <c r="J27" s="42"/>
      <c r="K27" s="41"/>
      <c r="L27" s="41"/>
      <c r="M27" s="127"/>
      <c r="N27" s="41"/>
      <c r="O27" s="41"/>
      <c r="P27" s="41"/>
      <c r="Q27" s="42"/>
      <c r="R27" s="35"/>
      <c r="S27" s="35"/>
      <c r="T27" s="35"/>
      <c r="U27" s="35"/>
      <c r="V27" s="121"/>
      <c r="W27" s="42"/>
      <c r="X27" s="42"/>
      <c r="Y27" s="42"/>
      <c r="Z27" s="42"/>
      <c r="AA27" s="42"/>
      <c r="AB27" s="42"/>
      <c r="AC27" s="42"/>
      <c r="AD27" s="42"/>
      <c r="AE27" s="42"/>
      <c r="AF27" s="42"/>
      <c r="AG27" s="42"/>
      <c r="AH27" s="42"/>
      <c r="AI27" s="42"/>
      <c r="AJ27" s="42"/>
      <c r="AK27" s="42"/>
      <c r="AL27" s="42"/>
      <c r="AM27" s="42"/>
    </row>
    <row r="28" spans="1:39" x14ac:dyDescent="0.25">
      <c r="A28" s="38" t="s">
        <v>379</v>
      </c>
      <c r="B28" s="42"/>
      <c r="C28" s="42"/>
      <c r="D28" s="42"/>
      <c r="E28" s="39"/>
      <c r="F28" s="41"/>
      <c r="G28" s="41"/>
      <c r="H28" s="41"/>
      <c r="I28" s="41"/>
      <c r="J28" s="42"/>
      <c r="K28" s="41"/>
      <c r="L28" s="41"/>
      <c r="M28" s="127"/>
      <c r="N28" s="41"/>
      <c r="O28" s="41"/>
      <c r="P28" s="41"/>
      <c r="Q28" s="42"/>
      <c r="R28" s="35"/>
      <c r="S28" s="35"/>
      <c r="T28" s="35"/>
      <c r="U28" s="35"/>
      <c r="V28" s="121"/>
      <c r="W28" s="42"/>
      <c r="X28" s="42"/>
      <c r="Y28" s="42"/>
      <c r="Z28" s="42"/>
      <c r="AA28" s="42"/>
      <c r="AB28" s="42"/>
      <c r="AC28" s="42"/>
      <c r="AD28" s="42"/>
      <c r="AE28" s="42"/>
      <c r="AF28" s="42"/>
      <c r="AG28" s="42"/>
      <c r="AH28" s="42"/>
      <c r="AI28" s="42"/>
      <c r="AJ28" s="42"/>
      <c r="AK28" s="42"/>
      <c r="AL28" s="42"/>
      <c r="AM28" s="42"/>
    </row>
    <row r="29" spans="1:39" x14ac:dyDescent="0.25">
      <c r="A29" s="38" t="s">
        <v>380</v>
      </c>
      <c r="B29" s="42"/>
      <c r="C29" s="42"/>
      <c r="D29" s="42"/>
      <c r="E29" s="41"/>
      <c r="F29" s="41"/>
      <c r="G29" s="41"/>
      <c r="H29" s="41"/>
      <c r="I29" s="41"/>
      <c r="J29" s="42"/>
      <c r="K29" s="41"/>
      <c r="L29" s="41"/>
      <c r="M29" s="127"/>
      <c r="N29" s="41"/>
      <c r="O29" s="41"/>
      <c r="P29" s="41"/>
      <c r="Q29" s="42"/>
      <c r="R29" s="35"/>
      <c r="S29" s="35"/>
      <c r="T29" s="35"/>
      <c r="U29" s="35"/>
      <c r="V29" s="121"/>
      <c r="W29" s="42"/>
      <c r="X29" s="42"/>
      <c r="Y29" s="42"/>
      <c r="Z29" s="42"/>
      <c r="AA29" s="42"/>
      <c r="AB29" s="42"/>
      <c r="AC29" s="42"/>
      <c r="AD29" s="42"/>
      <c r="AE29" s="42"/>
      <c r="AF29" s="42"/>
      <c r="AG29" s="42"/>
      <c r="AH29" s="42"/>
      <c r="AI29" s="42"/>
      <c r="AJ29" s="42"/>
      <c r="AK29" s="42"/>
      <c r="AL29" s="42"/>
      <c r="AM29" s="42"/>
    </row>
    <row r="30" spans="1:39" x14ac:dyDescent="0.25">
      <c r="A30" s="38" t="s">
        <v>381</v>
      </c>
      <c r="B30" s="42"/>
      <c r="C30" s="42"/>
      <c r="D30" s="42"/>
      <c r="E30" s="41"/>
      <c r="F30" s="41"/>
      <c r="G30" s="41"/>
      <c r="H30" s="41"/>
      <c r="I30" s="41"/>
      <c r="J30" s="42"/>
      <c r="K30" s="41"/>
      <c r="L30" s="41"/>
      <c r="M30" s="127"/>
      <c r="N30" s="41"/>
      <c r="O30" s="41"/>
      <c r="P30" s="41"/>
      <c r="Q30" s="42"/>
      <c r="R30" s="35"/>
      <c r="S30" s="35"/>
      <c r="T30" s="35"/>
      <c r="U30" s="35"/>
      <c r="V30" s="121"/>
      <c r="W30" s="42"/>
      <c r="X30" s="42"/>
      <c r="Y30" s="42"/>
      <c r="Z30" s="42"/>
      <c r="AA30" s="42"/>
      <c r="AB30" s="42"/>
      <c r="AC30" s="42"/>
      <c r="AD30" s="42"/>
      <c r="AE30" s="42"/>
      <c r="AF30" s="42"/>
      <c r="AG30" s="42"/>
      <c r="AH30" s="42"/>
      <c r="AI30" s="42"/>
      <c r="AJ30" s="42"/>
      <c r="AK30" s="42"/>
      <c r="AL30" s="42"/>
      <c r="AM30" s="42"/>
    </row>
    <row r="31" spans="1:39" x14ac:dyDescent="0.25">
      <c r="A31" s="38" t="s">
        <v>382</v>
      </c>
      <c r="B31" s="42"/>
      <c r="C31" s="42"/>
      <c r="D31" s="42"/>
      <c r="E31" s="41"/>
      <c r="F31" s="41"/>
      <c r="G31" s="41"/>
      <c r="H31" s="41"/>
      <c r="I31" s="41"/>
      <c r="J31" s="42"/>
      <c r="K31" s="41"/>
      <c r="L31" s="41"/>
      <c r="M31" s="127"/>
      <c r="N31" s="41"/>
      <c r="O31" s="41"/>
      <c r="P31" s="41"/>
      <c r="Q31" s="42"/>
      <c r="R31" s="35"/>
      <c r="S31" s="35"/>
      <c r="T31" s="35"/>
      <c r="U31" s="35"/>
      <c r="V31" s="121"/>
      <c r="W31" s="42"/>
      <c r="X31" s="42"/>
      <c r="Y31" s="42"/>
      <c r="Z31" s="42"/>
      <c r="AA31" s="42"/>
      <c r="AB31" s="42"/>
      <c r="AC31" s="42"/>
      <c r="AD31" s="42"/>
      <c r="AE31" s="42"/>
      <c r="AF31" s="42"/>
      <c r="AG31" s="42"/>
      <c r="AH31" s="42"/>
      <c r="AI31" s="42"/>
      <c r="AJ31" s="42"/>
      <c r="AK31" s="42"/>
      <c r="AL31" s="42"/>
      <c r="AM31" s="42"/>
    </row>
    <row r="32" spans="1:39" x14ac:dyDescent="0.25">
      <c r="A32" s="38" t="s">
        <v>383</v>
      </c>
      <c r="B32" s="42"/>
      <c r="C32" s="42"/>
      <c r="D32" s="42"/>
      <c r="E32" s="41"/>
      <c r="F32" s="41"/>
      <c r="G32" s="41"/>
      <c r="H32" s="41"/>
      <c r="I32" s="41"/>
      <c r="J32" s="42"/>
      <c r="K32" s="41"/>
      <c r="L32" s="41"/>
      <c r="M32" s="127"/>
      <c r="N32" s="41"/>
      <c r="O32" s="41"/>
      <c r="P32" s="41"/>
      <c r="Q32" s="42"/>
      <c r="R32" s="35"/>
      <c r="S32" s="35"/>
      <c r="T32" s="35"/>
      <c r="U32" s="35"/>
      <c r="V32" s="121"/>
      <c r="W32" s="42"/>
      <c r="X32" s="42"/>
      <c r="Y32" s="42"/>
      <c r="Z32" s="42"/>
      <c r="AA32" s="42"/>
      <c r="AB32" s="42"/>
      <c r="AC32" s="42"/>
      <c r="AD32" s="42"/>
      <c r="AE32" s="42"/>
      <c r="AF32" s="42"/>
      <c r="AG32" s="42"/>
      <c r="AH32" s="42"/>
      <c r="AI32" s="42"/>
      <c r="AJ32" s="42"/>
      <c r="AK32" s="42"/>
      <c r="AL32" s="42"/>
      <c r="AM32" s="42"/>
    </row>
    <row r="33" spans="1:39" x14ac:dyDescent="0.25">
      <c r="A33" s="38" t="s">
        <v>384</v>
      </c>
      <c r="B33" s="42"/>
      <c r="C33" s="42"/>
      <c r="D33" s="42"/>
      <c r="E33" s="41"/>
      <c r="F33" s="41"/>
      <c r="G33" s="41"/>
      <c r="H33" s="41"/>
      <c r="I33" s="41"/>
      <c r="J33" s="42"/>
      <c r="K33" s="41"/>
      <c r="L33" s="41"/>
      <c r="M33" s="127"/>
      <c r="N33" s="41"/>
      <c r="O33" s="41"/>
      <c r="P33" s="41"/>
      <c r="Q33" s="42"/>
      <c r="R33" s="35"/>
      <c r="S33" s="35"/>
      <c r="T33" s="35"/>
      <c r="U33" s="35"/>
      <c r="V33" s="121"/>
      <c r="W33" s="42"/>
      <c r="X33" s="42"/>
      <c r="Y33" s="42"/>
      <c r="Z33" s="42"/>
      <c r="AA33" s="42"/>
      <c r="AB33" s="42"/>
      <c r="AC33" s="42"/>
      <c r="AD33" s="42"/>
      <c r="AE33" s="42"/>
      <c r="AF33" s="42"/>
      <c r="AG33" s="42"/>
      <c r="AH33" s="42"/>
      <c r="AI33" s="42"/>
      <c r="AJ33" s="42"/>
      <c r="AK33" s="42"/>
      <c r="AL33" s="42"/>
      <c r="AM33" s="42"/>
    </row>
    <row r="34" spans="1:39" x14ac:dyDescent="0.25">
      <c r="A34" s="38" t="s">
        <v>385</v>
      </c>
      <c r="B34" s="42"/>
      <c r="C34" s="42"/>
      <c r="D34" s="42"/>
      <c r="E34" s="41"/>
      <c r="F34" s="41"/>
      <c r="G34" s="41"/>
      <c r="H34" s="41"/>
      <c r="I34" s="41"/>
      <c r="J34" s="42"/>
      <c r="K34" s="41"/>
      <c r="L34" s="41"/>
      <c r="M34" s="127"/>
      <c r="N34" s="41"/>
      <c r="O34" s="41"/>
      <c r="P34" s="41"/>
      <c r="Q34" s="42"/>
      <c r="R34" s="35"/>
      <c r="S34" s="35"/>
      <c r="T34" s="35"/>
      <c r="U34" s="35"/>
      <c r="V34" s="121"/>
      <c r="W34" s="42"/>
      <c r="X34" s="42"/>
      <c r="Y34" s="42"/>
      <c r="Z34" s="42"/>
      <c r="AA34" s="42"/>
      <c r="AB34" s="42"/>
      <c r="AC34" s="42"/>
      <c r="AD34" s="42"/>
      <c r="AE34" s="42"/>
      <c r="AF34" s="42"/>
      <c r="AG34" s="42"/>
      <c r="AH34" s="42"/>
      <c r="AI34" s="42"/>
      <c r="AJ34" s="42"/>
      <c r="AK34" s="42"/>
      <c r="AL34" s="42"/>
      <c r="AM34" s="42"/>
    </row>
    <row r="35" spans="1:39" x14ac:dyDescent="0.25">
      <c r="A35" s="38" t="s">
        <v>386</v>
      </c>
      <c r="B35" s="42"/>
      <c r="C35" s="42"/>
      <c r="D35" s="42"/>
      <c r="E35" s="41"/>
      <c r="F35" s="41"/>
      <c r="G35" s="41"/>
      <c r="H35" s="41"/>
      <c r="I35" s="41"/>
      <c r="J35" s="42"/>
      <c r="K35" s="41"/>
      <c r="L35" s="41"/>
      <c r="M35" s="127"/>
      <c r="N35" s="41"/>
      <c r="O35" s="41"/>
      <c r="P35" s="41"/>
      <c r="Q35" s="42"/>
      <c r="R35" s="35"/>
      <c r="S35" s="35"/>
      <c r="T35" s="35"/>
      <c r="U35" s="35"/>
      <c r="V35" s="121"/>
      <c r="W35" s="42"/>
      <c r="X35" s="42"/>
      <c r="Y35" s="42"/>
      <c r="Z35" s="42"/>
      <c r="AA35" s="42"/>
      <c r="AB35" s="42"/>
      <c r="AC35" s="42"/>
      <c r="AD35" s="42"/>
      <c r="AE35" s="42"/>
      <c r="AF35" s="42"/>
      <c r="AG35" s="42"/>
      <c r="AH35" s="42"/>
      <c r="AI35" s="42"/>
      <c r="AJ35" s="42"/>
      <c r="AK35" s="42"/>
      <c r="AL35" s="42"/>
      <c r="AM35" s="42"/>
    </row>
    <row r="36" spans="1:39" x14ac:dyDescent="0.25">
      <c r="A36" s="38" t="s">
        <v>387</v>
      </c>
      <c r="B36" s="42"/>
      <c r="C36" s="42"/>
      <c r="D36" s="42"/>
      <c r="E36" s="41"/>
      <c r="F36" s="41"/>
      <c r="G36" s="41"/>
      <c r="H36" s="41"/>
      <c r="I36" s="41"/>
      <c r="J36" s="42"/>
      <c r="K36" s="41"/>
      <c r="L36" s="41"/>
      <c r="M36" s="127"/>
      <c r="N36" s="41"/>
      <c r="O36" s="41"/>
      <c r="P36" s="41"/>
      <c r="Q36" s="42"/>
      <c r="R36" s="35"/>
      <c r="S36" s="35"/>
      <c r="T36" s="35"/>
      <c r="U36" s="35"/>
      <c r="V36" s="121"/>
      <c r="W36" s="42"/>
      <c r="X36" s="42"/>
      <c r="Y36" s="42"/>
      <c r="Z36" s="42"/>
      <c r="AA36" s="42"/>
      <c r="AB36" s="42"/>
      <c r="AC36" s="42"/>
      <c r="AD36" s="42"/>
      <c r="AE36" s="42"/>
      <c r="AF36" s="42"/>
      <c r="AG36" s="42"/>
      <c r="AH36" s="42"/>
      <c r="AI36" s="42"/>
      <c r="AJ36" s="42"/>
      <c r="AK36" s="42"/>
      <c r="AL36" s="42"/>
      <c r="AM36" s="42"/>
    </row>
    <row r="37" spans="1:39" x14ac:dyDescent="0.25">
      <c r="A37" s="38" t="s">
        <v>388</v>
      </c>
      <c r="B37" s="42"/>
      <c r="C37" s="42"/>
      <c r="D37" s="42"/>
      <c r="E37" s="41"/>
      <c r="F37" s="41"/>
      <c r="G37" s="41"/>
      <c r="H37" s="41"/>
      <c r="I37" s="41"/>
      <c r="J37" s="42"/>
      <c r="K37" s="41"/>
      <c r="L37" s="41"/>
      <c r="M37" s="127"/>
      <c r="N37" s="41"/>
      <c r="O37" s="41"/>
      <c r="P37" s="41"/>
      <c r="Q37" s="42"/>
      <c r="R37" s="35"/>
      <c r="S37" s="35"/>
      <c r="T37" s="35"/>
      <c r="U37" s="35"/>
      <c r="V37" s="121"/>
      <c r="W37" s="42"/>
      <c r="X37" s="42"/>
      <c r="Y37" s="42"/>
      <c r="Z37" s="42"/>
      <c r="AA37" s="42"/>
      <c r="AB37" s="42"/>
      <c r="AC37" s="42"/>
      <c r="AD37" s="42"/>
      <c r="AE37" s="42"/>
      <c r="AF37" s="42"/>
      <c r="AG37" s="42"/>
      <c r="AH37" s="42"/>
      <c r="AI37" s="42"/>
      <c r="AJ37" s="42"/>
      <c r="AK37" s="42"/>
      <c r="AL37" s="42"/>
      <c r="AM37" s="42"/>
    </row>
    <row r="38" spans="1:39" x14ac:dyDescent="0.25">
      <c r="A38" s="38" t="s">
        <v>389</v>
      </c>
      <c r="B38" s="42"/>
      <c r="C38" s="42"/>
      <c r="D38" s="42"/>
      <c r="E38" s="41"/>
      <c r="F38" s="41"/>
      <c r="G38" s="41"/>
      <c r="H38" s="41"/>
      <c r="I38" s="41"/>
      <c r="J38" s="42"/>
      <c r="K38" s="41"/>
      <c r="L38" s="41"/>
      <c r="M38" s="127"/>
      <c r="N38" s="41"/>
      <c r="O38" s="41"/>
      <c r="P38" s="41"/>
      <c r="Q38" s="42"/>
      <c r="R38" s="35"/>
      <c r="S38" s="35"/>
      <c r="T38" s="35"/>
      <c r="U38" s="35"/>
      <c r="V38" s="121"/>
      <c r="W38" s="42"/>
      <c r="X38" s="42"/>
      <c r="Y38" s="42"/>
      <c r="Z38" s="42"/>
      <c r="AA38" s="42"/>
      <c r="AB38" s="42"/>
      <c r="AC38" s="42"/>
      <c r="AD38" s="42"/>
      <c r="AE38" s="42"/>
      <c r="AF38" s="42"/>
      <c r="AG38" s="42"/>
      <c r="AH38" s="42"/>
      <c r="AI38" s="42"/>
      <c r="AJ38" s="42"/>
      <c r="AK38" s="42"/>
      <c r="AL38" s="42"/>
      <c r="AM38" s="42"/>
    </row>
    <row r="39" spans="1:39" x14ac:dyDescent="0.25">
      <c r="A39" s="38" t="s">
        <v>390</v>
      </c>
      <c r="B39" s="42"/>
      <c r="C39" s="42"/>
      <c r="D39" s="42"/>
      <c r="E39" s="41"/>
      <c r="F39" s="41"/>
      <c r="G39" s="41"/>
      <c r="H39" s="41"/>
      <c r="I39" s="41"/>
      <c r="J39" s="42"/>
      <c r="K39" s="41"/>
      <c r="L39" s="41"/>
      <c r="M39" s="127"/>
      <c r="N39" s="41"/>
      <c r="O39" s="41"/>
      <c r="P39" s="41"/>
      <c r="Q39" s="42"/>
      <c r="R39" s="35"/>
      <c r="S39" s="35"/>
      <c r="T39" s="35"/>
      <c r="U39" s="35"/>
      <c r="V39" s="121"/>
      <c r="W39" s="42"/>
      <c r="X39" s="42"/>
      <c r="Y39" s="42"/>
      <c r="Z39" s="42"/>
      <c r="AA39" s="42"/>
      <c r="AB39" s="42"/>
      <c r="AC39" s="42"/>
      <c r="AD39" s="42"/>
      <c r="AE39" s="42"/>
      <c r="AF39" s="42"/>
      <c r="AG39" s="42"/>
      <c r="AH39" s="42"/>
      <c r="AI39" s="42"/>
      <c r="AJ39" s="42"/>
      <c r="AK39" s="42"/>
      <c r="AL39" s="42"/>
      <c r="AM39" s="42"/>
    </row>
    <row r="40" spans="1:39" x14ac:dyDescent="0.25">
      <c r="A40" s="38" t="s">
        <v>391</v>
      </c>
      <c r="B40" s="42"/>
      <c r="C40" s="42"/>
      <c r="D40" s="42"/>
      <c r="E40" s="41"/>
      <c r="F40" s="41"/>
      <c r="G40" s="41"/>
      <c r="H40" s="41"/>
      <c r="I40" s="41"/>
      <c r="J40" s="42"/>
      <c r="K40" s="41"/>
      <c r="L40" s="41"/>
      <c r="M40" s="127"/>
      <c r="N40" s="41"/>
      <c r="O40" s="41"/>
      <c r="P40" s="41"/>
      <c r="Q40" s="42"/>
      <c r="R40" s="35"/>
      <c r="S40" s="35"/>
      <c r="T40" s="35"/>
      <c r="U40" s="35"/>
      <c r="V40" s="121"/>
      <c r="W40" s="42"/>
      <c r="X40" s="42"/>
      <c r="Y40" s="42"/>
      <c r="Z40" s="42"/>
      <c r="AA40" s="42"/>
      <c r="AB40" s="42"/>
      <c r="AC40" s="42"/>
      <c r="AD40" s="42"/>
      <c r="AE40" s="42"/>
      <c r="AF40" s="42"/>
      <c r="AG40" s="42"/>
      <c r="AH40" s="42"/>
      <c r="AI40" s="42"/>
      <c r="AJ40" s="42"/>
      <c r="AK40" s="42"/>
      <c r="AL40" s="42"/>
      <c r="AM40" s="42"/>
    </row>
    <row r="41" spans="1:39" x14ac:dyDescent="0.25">
      <c r="A41" s="38" t="s">
        <v>392</v>
      </c>
      <c r="B41" s="42"/>
      <c r="C41" s="42"/>
      <c r="D41" s="42"/>
      <c r="E41" s="41"/>
      <c r="F41" s="41"/>
      <c r="G41" s="41"/>
      <c r="H41" s="41"/>
      <c r="I41" s="41"/>
      <c r="J41" s="42"/>
      <c r="K41" s="41"/>
      <c r="L41" s="41"/>
      <c r="M41" s="127"/>
      <c r="N41" s="41"/>
      <c r="O41" s="41"/>
      <c r="P41" s="41"/>
      <c r="Q41" s="42"/>
      <c r="R41" s="35"/>
      <c r="S41" s="35"/>
      <c r="T41" s="35"/>
      <c r="U41" s="35"/>
      <c r="V41" s="121"/>
      <c r="W41" s="42"/>
      <c r="X41" s="42"/>
      <c r="Y41" s="42"/>
      <c r="Z41" s="42"/>
      <c r="AA41" s="42"/>
      <c r="AB41" s="42"/>
      <c r="AC41" s="42"/>
      <c r="AD41" s="42"/>
      <c r="AE41" s="42"/>
      <c r="AF41" s="42"/>
      <c r="AG41" s="42"/>
      <c r="AH41" s="42"/>
      <c r="AI41" s="42"/>
      <c r="AJ41" s="42"/>
      <c r="AK41" s="42"/>
      <c r="AL41" s="42"/>
      <c r="AM41" s="42"/>
    </row>
    <row r="42" spans="1:39" x14ac:dyDescent="0.25">
      <c r="A42" s="38" t="s">
        <v>393</v>
      </c>
      <c r="B42" s="42"/>
      <c r="C42" s="42"/>
      <c r="D42" s="42"/>
      <c r="E42" s="41"/>
      <c r="F42" s="41"/>
      <c r="G42" s="41"/>
      <c r="H42" s="41"/>
      <c r="I42" s="41"/>
      <c r="J42" s="42"/>
      <c r="K42" s="41"/>
      <c r="L42" s="41"/>
      <c r="M42" s="127"/>
      <c r="N42" s="41"/>
      <c r="O42" s="41"/>
      <c r="P42" s="41"/>
      <c r="Q42" s="42"/>
      <c r="R42" s="35"/>
      <c r="S42" s="35"/>
      <c r="T42" s="35"/>
      <c r="U42" s="35"/>
      <c r="V42" s="121"/>
      <c r="W42" s="42"/>
      <c r="X42" s="42"/>
      <c r="Y42" s="42"/>
      <c r="Z42" s="42"/>
      <c r="AA42" s="42"/>
      <c r="AB42" s="42"/>
      <c r="AC42" s="42"/>
      <c r="AD42" s="42"/>
      <c r="AE42" s="42"/>
      <c r="AF42" s="42"/>
      <c r="AG42" s="42"/>
      <c r="AH42" s="42"/>
      <c r="AI42" s="42"/>
      <c r="AJ42" s="42"/>
      <c r="AK42" s="42"/>
      <c r="AL42" s="42"/>
      <c r="AM42" s="42"/>
    </row>
    <row r="43" spans="1:39" x14ac:dyDescent="0.25">
      <c r="A43" s="38" t="s">
        <v>394</v>
      </c>
      <c r="B43" s="42"/>
      <c r="C43" s="42"/>
      <c r="D43" s="42"/>
      <c r="E43" s="41"/>
      <c r="F43" s="41"/>
      <c r="G43" s="41"/>
      <c r="H43" s="41"/>
      <c r="I43" s="41"/>
      <c r="J43" s="42"/>
      <c r="K43" s="41"/>
      <c r="L43" s="41"/>
      <c r="M43" s="127"/>
      <c r="N43" s="41"/>
      <c r="O43" s="41"/>
      <c r="P43" s="41"/>
      <c r="Q43" s="42"/>
      <c r="R43" s="35"/>
      <c r="S43" s="35"/>
      <c r="T43" s="35"/>
      <c r="U43" s="35"/>
      <c r="V43" s="121"/>
      <c r="W43" s="42"/>
      <c r="X43" s="42"/>
      <c r="Y43" s="42"/>
      <c r="Z43" s="42"/>
      <c r="AA43" s="42"/>
      <c r="AB43" s="42"/>
      <c r="AC43" s="42"/>
      <c r="AD43" s="42"/>
      <c r="AE43" s="42"/>
      <c r="AF43" s="42"/>
      <c r="AG43" s="42"/>
      <c r="AH43" s="42"/>
      <c r="AI43" s="42"/>
      <c r="AJ43" s="42"/>
      <c r="AK43" s="42"/>
      <c r="AL43" s="42"/>
      <c r="AM43" s="42"/>
    </row>
    <row r="44" spans="1:39" x14ac:dyDescent="0.25">
      <c r="A44" s="38" t="s">
        <v>395</v>
      </c>
      <c r="B44" s="42"/>
      <c r="C44" s="42"/>
      <c r="D44" s="42"/>
      <c r="E44" s="41"/>
      <c r="F44" s="41"/>
      <c r="G44" s="41"/>
      <c r="H44" s="41"/>
      <c r="I44" s="41"/>
      <c r="J44" s="42"/>
      <c r="K44" s="41"/>
      <c r="L44" s="41"/>
      <c r="M44" s="127"/>
      <c r="N44" s="41"/>
      <c r="O44" s="41"/>
      <c r="P44" s="41"/>
      <c r="Q44" s="42"/>
      <c r="R44" s="35"/>
      <c r="S44" s="35"/>
      <c r="T44" s="35"/>
      <c r="U44" s="35"/>
      <c r="V44" s="121"/>
      <c r="W44" s="42"/>
      <c r="X44" s="42"/>
      <c r="Y44" s="42"/>
      <c r="Z44" s="42"/>
      <c r="AA44" s="42"/>
      <c r="AB44" s="42"/>
      <c r="AC44" s="42"/>
      <c r="AD44" s="42"/>
      <c r="AE44" s="42"/>
      <c r="AF44" s="42"/>
      <c r="AG44" s="42"/>
      <c r="AH44" s="42"/>
      <c r="AI44" s="42"/>
      <c r="AJ44" s="42"/>
      <c r="AK44" s="42"/>
      <c r="AL44" s="42"/>
      <c r="AM44" s="42"/>
    </row>
    <row r="45" spans="1:39" x14ac:dyDescent="0.25">
      <c r="A45" s="38" t="s">
        <v>396</v>
      </c>
      <c r="B45" s="42"/>
      <c r="C45" s="42"/>
      <c r="D45" s="42"/>
      <c r="E45" s="41"/>
      <c r="F45" s="41"/>
      <c r="G45" s="41"/>
      <c r="H45" s="41"/>
      <c r="I45" s="41"/>
      <c r="J45" s="42"/>
      <c r="K45" s="41"/>
      <c r="L45" s="41"/>
      <c r="M45" s="127"/>
      <c r="N45" s="41"/>
      <c r="O45" s="41"/>
      <c r="P45" s="41"/>
      <c r="Q45" s="42"/>
      <c r="R45" s="35"/>
      <c r="S45" s="35"/>
      <c r="T45" s="35"/>
      <c r="U45" s="35"/>
      <c r="V45" s="121"/>
      <c r="W45" s="42"/>
      <c r="X45" s="42"/>
      <c r="Y45" s="42"/>
      <c r="Z45" s="42"/>
      <c r="AA45" s="42"/>
      <c r="AB45" s="42"/>
      <c r="AC45" s="42"/>
      <c r="AD45" s="42"/>
      <c r="AE45" s="42"/>
      <c r="AF45" s="42"/>
      <c r="AG45" s="42"/>
      <c r="AH45" s="42"/>
      <c r="AI45" s="42"/>
      <c r="AJ45" s="42"/>
      <c r="AK45" s="42"/>
      <c r="AL45" s="42"/>
      <c r="AM45" s="42"/>
    </row>
    <row r="46" spans="1:39" x14ac:dyDescent="0.25">
      <c r="A46" s="38" t="s">
        <v>397</v>
      </c>
      <c r="B46" s="42"/>
      <c r="C46" s="42"/>
      <c r="D46" s="42"/>
      <c r="E46" s="41"/>
      <c r="F46" s="41"/>
      <c r="G46" s="41"/>
      <c r="H46" s="41"/>
      <c r="I46" s="41"/>
      <c r="J46" s="42"/>
      <c r="K46" s="41"/>
      <c r="L46" s="41"/>
      <c r="M46" s="127"/>
      <c r="N46" s="41"/>
      <c r="O46" s="41"/>
      <c r="P46" s="41"/>
      <c r="Q46" s="42"/>
      <c r="R46" s="35"/>
      <c r="S46" s="35"/>
      <c r="T46" s="35"/>
      <c r="U46" s="35"/>
      <c r="V46" s="121"/>
      <c r="W46" s="42"/>
      <c r="X46" s="42"/>
      <c r="Y46" s="42"/>
      <c r="Z46" s="42"/>
      <c r="AA46" s="42"/>
      <c r="AB46" s="42"/>
      <c r="AC46" s="42"/>
      <c r="AD46" s="42"/>
      <c r="AE46" s="42"/>
      <c r="AF46" s="42"/>
      <c r="AG46" s="42"/>
      <c r="AH46" s="42"/>
      <c r="AI46" s="42"/>
      <c r="AJ46" s="42"/>
      <c r="AK46" s="42"/>
      <c r="AL46" s="42"/>
      <c r="AM46" s="42"/>
    </row>
    <row r="47" spans="1:39" x14ac:dyDescent="0.25">
      <c r="A47" s="38" t="s">
        <v>398</v>
      </c>
      <c r="B47" s="42"/>
      <c r="C47" s="42"/>
      <c r="D47" s="42"/>
      <c r="E47" s="41"/>
      <c r="F47" s="41"/>
      <c r="G47" s="41"/>
      <c r="H47" s="41"/>
      <c r="I47" s="41"/>
      <c r="J47" s="42"/>
      <c r="K47" s="41"/>
      <c r="L47" s="41"/>
      <c r="M47" s="127"/>
      <c r="N47" s="41"/>
      <c r="O47" s="41"/>
      <c r="P47" s="41"/>
      <c r="Q47" s="42"/>
      <c r="R47" s="35"/>
      <c r="S47" s="35"/>
      <c r="T47" s="35"/>
      <c r="U47" s="35"/>
      <c r="V47" s="121"/>
      <c r="W47" s="42"/>
      <c r="X47" s="42"/>
      <c r="Y47" s="42"/>
      <c r="Z47" s="42"/>
      <c r="AA47" s="42"/>
      <c r="AB47" s="42"/>
      <c r="AC47" s="42"/>
      <c r="AD47" s="42"/>
      <c r="AE47" s="42"/>
      <c r="AF47" s="42"/>
      <c r="AG47" s="42"/>
      <c r="AH47" s="42"/>
      <c r="AI47" s="42"/>
      <c r="AJ47" s="42"/>
      <c r="AK47" s="42"/>
      <c r="AL47" s="42"/>
      <c r="AM47" s="42"/>
    </row>
    <row r="48" spans="1:39" x14ac:dyDescent="0.25">
      <c r="A48" s="38" t="s">
        <v>399</v>
      </c>
      <c r="B48" s="42"/>
      <c r="C48" s="42"/>
      <c r="D48" s="42"/>
      <c r="E48" s="41"/>
      <c r="F48" s="41"/>
      <c r="G48" s="41"/>
      <c r="H48" s="41"/>
      <c r="I48" s="41"/>
      <c r="J48" s="42"/>
      <c r="K48" s="41"/>
      <c r="L48" s="41"/>
      <c r="M48" s="127"/>
      <c r="N48" s="41"/>
      <c r="O48" s="41"/>
      <c r="P48" s="41"/>
      <c r="Q48" s="42"/>
      <c r="R48" s="35"/>
      <c r="S48" s="35"/>
      <c r="T48" s="35"/>
      <c r="U48" s="35"/>
      <c r="V48" s="121"/>
      <c r="W48" s="42"/>
      <c r="X48" s="42"/>
      <c r="Y48" s="42"/>
      <c r="Z48" s="42"/>
      <c r="AA48" s="42"/>
      <c r="AB48" s="42"/>
      <c r="AC48" s="42"/>
      <c r="AD48" s="42"/>
      <c r="AE48" s="42"/>
      <c r="AF48" s="42"/>
      <c r="AG48" s="42"/>
      <c r="AH48" s="42"/>
      <c r="AI48" s="42"/>
      <c r="AJ48" s="42"/>
      <c r="AK48" s="42"/>
      <c r="AL48" s="42"/>
      <c r="AM48" s="42"/>
    </row>
    <row r="49" spans="1:39" x14ac:dyDescent="0.25">
      <c r="A49" s="38" t="s">
        <v>400</v>
      </c>
      <c r="B49" s="42"/>
      <c r="C49" s="42"/>
      <c r="D49" s="42"/>
      <c r="E49" s="41"/>
      <c r="F49" s="41"/>
      <c r="G49" s="41"/>
      <c r="H49" s="41"/>
      <c r="I49" s="41"/>
      <c r="J49" s="42"/>
      <c r="K49" s="41"/>
      <c r="L49" s="41"/>
      <c r="M49" s="127"/>
      <c r="N49" s="41"/>
      <c r="O49" s="41"/>
      <c r="P49" s="41"/>
      <c r="Q49" s="42"/>
      <c r="R49" s="35"/>
      <c r="S49" s="35"/>
      <c r="T49" s="35"/>
      <c r="U49" s="35"/>
      <c r="V49" s="121"/>
      <c r="W49" s="42"/>
      <c r="X49" s="42"/>
      <c r="Y49" s="42"/>
      <c r="Z49" s="42"/>
      <c r="AA49" s="42"/>
      <c r="AB49" s="42"/>
      <c r="AC49" s="42"/>
      <c r="AD49" s="42"/>
      <c r="AE49" s="42"/>
      <c r="AF49" s="42"/>
      <c r="AG49" s="42"/>
      <c r="AH49" s="42"/>
      <c r="AI49" s="42"/>
      <c r="AJ49" s="42"/>
      <c r="AK49" s="42"/>
      <c r="AL49" s="42"/>
      <c r="AM49" s="42"/>
    </row>
    <row r="50" spans="1:39" x14ac:dyDescent="0.25">
      <c r="A50" s="38" t="s">
        <v>401</v>
      </c>
      <c r="B50" s="42"/>
      <c r="C50" s="42"/>
      <c r="D50" s="42"/>
      <c r="E50" s="41"/>
      <c r="F50" s="41"/>
      <c r="G50" s="41"/>
      <c r="H50" s="41"/>
      <c r="I50" s="41"/>
      <c r="J50" s="42"/>
      <c r="K50" s="41"/>
      <c r="L50" s="41"/>
      <c r="M50" s="127"/>
      <c r="N50" s="41"/>
      <c r="O50" s="41"/>
      <c r="P50" s="41"/>
      <c r="Q50" s="42"/>
      <c r="R50" s="35"/>
      <c r="S50" s="35"/>
      <c r="T50" s="35"/>
      <c r="U50" s="35"/>
      <c r="V50" s="121"/>
      <c r="W50" s="42"/>
      <c r="X50" s="42"/>
      <c r="Y50" s="42"/>
      <c r="Z50" s="42"/>
      <c r="AA50" s="42"/>
      <c r="AB50" s="42"/>
      <c r="AC50" s="42"/>
      <c r="AD50" s="42"/>
      <c r="AE50" s="42"/>
      <c r="AF50" s="42"/>
      <c r="AG50" s="42"/>
      <c r="AH50" s="42"/>
      <c r="AI50" s="42"/>
      <c r="AJ50" s="42"/>
      <c r="AK50" s="42"/>
      <c r="AL50" s="42"/>
      <c r="AM50" s="42"/>
    </row>
    <row r="51" spans="1:39" x14ac:dyDescent="0.25">
      <c r="A51" s="38" t="s">
        <v>402</v>
      </c>
      <c r="B51" s="42"/>
      <c r="C51" s="42"/>
      <c r="D51" s="42"/>
      <c r="E51" s="41"/>
      <c r="F51" s="41"/>
      <c r="G51" s="41"/>
      <c r="H51" s="41"/>
      <c r="I51" s="41"/>
      <c r="J51" s="42"/>
      <c r="K51" s="41"/>
      <c r="L51" s="41"/>
      <c r="M51" s="127"/>
      <c r="N51" s="41"/>
      <c r="O51" s="41"/>
      <c r="P51" s="41"/>
      <c r="Q51" s="42"/>
      <c r="R51" s="35"/>
      <c r="S51" s="35"/>
      <c r="T51" s="35"/>
      <c r="U51" s="35"/>
      <c r="V51" s="121"/>
      <c r="W51" s="42"/>
      <c r="X51" s="42"/>
      <c r="Y51" s="42"/>
      <c r="Z51" s="42"/>
      <c r="AA51" s="42"/>
      <c r="AB51" s="42"/>
      <c r="AC51" s="42"/>
      <c r="AD51" s="42"/>
      <c r="AE51" s="42"/>
      <c r="AF51" s="42"/>
      <c r="AG51" s="42"/>
      <c r="AH51" s="42"/>
      <c r="AI51" s="42"/>
      <c r="AJ51" s="42"/>
      <c r="AK51" s="42"/>
      <c r="AL51" s="42"/>
      <c r="AM51" s="42"/>
    </row>
    <row r="52" spans="1:39" x14ac:dyDescent="0.25">
      <c r="A52" s="38" t="s">
        <v>403</v>
      </c>
      <c r="B52" s="42"/>
      <c r="C52" s="42"/>
      <c r="D52" s="42"/>
      <c r="E52" s="41"/>
      <c r="F52" s="41"/>
      <c r="G52" s="41"/>
      <c r="H52" s="41"/>
      <c r="I52" s="41"/>
      <c r="J52" s="42"/>
      <c r="K52" s="41"/>
      <c r="L52" s="41"/>
      <c r="M52" s="127"/>
      <c r="N52" s="41"/>
      <c r="O52" s="41"/>
      <c r="P52" s="41"/>
      <c r="Q52" s="42"/>
      <c r="R52" s="35"/>
      <c r="S52" s="35"/>
      <c r="T52" s="35"/>
      <c r="U52" s="35"/>
      <c r="V52" s="121"/>
      <c r="W52" s="42"/>
      <c r="X52" s="42"/>
      <c r="Y52" s="42"/>
      <c r="Z52" s="42"/>
      <c r="AA52" s="42"/>
      <c r="AB52" s="42"/>
      <c r="AC52" s="42"/>
      <c r="AD52" s="42"/>
      <c r="AE52" s="42"/>
      <c r="AF52" s="42"/>
      <c r="AG52" s="42"/>
      <c r="AH52" s="42"/>
      <c r="AI52" s="42"/>
      <c r="AJ52" s="42"/>
      <c r="AK52" s="42"/>
      <c r="AL52" s="42"/>
      <c r="AM52" s="42"/>
    </row>
    <row r="53" spans="1:39" x14ac:dyDescent="0.25">
      <c r="A53" s="38" t="s">
        <v>404</v>
      </c>
      <c r="B53" s="42"/>
      <c r="C53" s="42"/>
      <c r="D53" s="42"/>
      <c r="E53" s="41"/>
      <c r="F53" s="41"/>
      <c r="G53" s="41"/>
      <c r="H53" s="41"/>
      <c r="I53" s="41"/>
      <c r="J53" s="42"/>
      <c r="K53" s="41"/>
      <c r="L53" s="41"/>
      <c r="M53" s="127"/>
      <c r="N53" s="41"/>
      <c r="O53" s="41"/>
      <c r="P53" s="41"/>
      <c r="Q53" s="42"/>
      <c r="R53" s="35"/>
      <c r="S53" s="35"/>
      <c r="T53" s="35"/>
      <c r="U53" s="35"/>
      <c r="V53" s="121"/>
      <c r="W53" s="42"/>
      <c r="X53" s="42"/>
      <c r="Y53" s="42"/>
      <c r="Z53" s="42"/>
      <c r="AA53" s="42"/>
      <c r="AB53" s="42"/>
      <c r="AC53" s="42"/>
      <c r="AD53" s="42"/>
      <c r="AE53" s="42"/>
      <c r="AF53" s="42"/>
      <c r="AG53" s="42"/>
      <c r="AH53" s="42"/>
      <c r="AI53" s="42"/>
      <c r="AJ53" s="42"/>
      <c r="AK53" s="42"/>
      <c r="AL53" s="42"/>
      <c r="AM53" s="42"/>
    </row>
    <row r="54" spans="1:39" x14ac:dyDescent="0.25">
      <c r="A54" s="38" t="s">
        <v>405</v>
      </c>
      <c r="B54" s="42"/>
      <c r="C54" s="42"/>
      <c r="D54" s="42"/>
      <c r="E54" s="41"/>
      <c r="F54" s="41"/>
      <c r="G54" s="41"/>
      <c r="H54" s="41"/>
      <c r="I54" s="41"/>
      <c r="J54" s="42"/>
      <c r="K54" s="41"/>
      <c r="L54" s="41"/>
      <c r="M54" s="127"/>
      <c r="N54" s="41"/>
      <c r="O54" s="41"/>
      <c r="P54" s="41"/>
      <c r="Q54" s="42"/>
      <c r="R54" s="35"/>
      <c r="S54" s="35"/>
      <c r="T54" s="35"/>
      <c r="U54" s="35"/>
      <c r="V54" s="121"/>
      <c r="W54" s="42"/>
      <c r="X54" s="42"/>
      <c r="Y54" s="42"/>
      <c r="Z54" s="42"/>
      <c r="AA54" s="42"/>
      <c r="AB54" s="42"/>
      <c r="AC54" s="42"/>
      <c r="AD54" s="42"/>
      <c r="AE54" s="42"/>
      <c r="AF54" s="42"/>
      <c r="AG54" s="42"/>
      <c r="AH54" s="42"/>
      <c r="AI54" s="42"/>
      <c r="AJ54" s="42"/>
      <c r="AK54" s="42"/>
      <c r="AL54" s="42"/>
      <c r="AM54" s="42"/>
    </row>
    <row r="55" spans="1:39" x14ac:dyDescent="0.25">
      <c r="A55" s="38" t="s">
        <v>406</v>
      </c>
      <c r="B55" s="42"/>
      <c r="C55" s="42"/>
      <c r="D55" s="42"/>
      <c r="E55" s="41"/>
      <c r="F55" s="41"/>
      <c r="G55" s="41"/>
      <c r="H55" s="41"/>
      <c r="I55" s="41"/>
      <c r="J55" s="42"/>
      <c r="K55" s="41"/>
      <c r="L55" s="41"/>
      <c r="M55" s="127"/>
      <c r="N55" s="41"/>
      <c r="O55" s="41"/>
      <c r="P55" s="41"/>
      <c r="Q55" s="42"/>
      <c r="R55" s="35"/>
      <c r="S55" s="35"/>
      <c r="T55" s="35"/>
      <c r="U55" s="35"/>
      <c r="V55" s="121"/>
      <c r="W55" s="42"/>
      <c r="X55" s="42"/>
      <c r="Y55" s="42"/>
      <c r="Z55" s="42"/>
      <c r="AA55" s="42"/>
      <c r="AB55" s="42"/>
      <c r="AC55" s="42"/>
      <c r="AD55" s="42"/>
      <c r="AE55" s="42"/>
      <c r="AF55" s="42"/>
      <c r="AG55" s="42"/>
      <c r="AH55" s="42"/>
      <c r="AI55" s="42"/>
      <c r="AJ55" s="42"/>
      <c r="AK55" s="42"/>
      <c r="AL55" s="42"/>
      <c r="AM55" s="42"/>
    </row>
    <row r="56" spans="1:39" x14ac:dyDescent="0.25">
      <c r="A56" s="38" t="s">
        <v>407</v>
      </c>
      <c r="B56" s="42"/>
      <c r="C56" s="42"/>
      <c r="D56" s="42"/>
      <c r="E56" s="41"/>
      <c r="F56" s="41"/>
      <c r="G56" s="41"/>
      <c r="H56" s="41"/>
      <c r="I56" s="41"/>
      <c r="J56" s="42"/>
      <c r="K56" s="41"/>
      <c r="L56" s="41"/>
      <c r="M56" s="127"/>
      <c r="N56" s="41"/>
      <c r="O56" s="41"/>
      <c r="P56" s="41"/>
      <c r="Q56" s="42"/>
      <c r="R56" s="35"/>
      <c r="S56" s="35"/>
      <c r="T56" s="35"/>
      <c r="U56" s="35"/>
      <c r="V56" s="121"/>
      <c r="W56" s="42"/>
      <c r="X56" s="42"/>
      <c r="Y56" s="42"/>
      <c r="Z56" s="42"/>
      <c r="AA56" s="42"/>
      <c r="AB56" s="42"/>
      <c r="AC56" s="42"/>
      <c r="AD56" s="42"/>
      <c r="AE56" s="42"/>
      <c r="AF56" s="42"/>
      <c r="AG56" s="42"/>
      <c r="AH56" s="42"/>
      <c r="AI56" s="42"/>
      <c r="AJ56" s="42"/>
      <c r="AK56" s="42"/>
      <c r="AL56" s="42"/>
      <c r="AM56" s="42"/>
    </row>
    <row r="57" spans="1:39" x14ac:dyDescent="0.25">
      <c r="A57" s="38" t="s">
        <v>408</v>
      </c>
      <c r="B57" s="42"/>
      <c r="C57" s="42"/>
      <c r="D57" s="42"/>
      <c r="E57" s="41"/>
      <c r="F57" s="41"/>
      <c r="G57" s="41"/>
      <c r="H57" s="41"/>
      <c r="I57" s="41"/>
      <c r="J57" s="42"/>
      <c r="K57" s="41"/>
      <c r="L57" s="41"/>
      <c r="M57" s="127"/>
      <c r="N57" s="41"/>
      <c r="O57" s="41"/>
      <c r="P57" s="41"/>
      <c r="Q57" s="42"/>
      <c r="R57" s="35"/>
      <c r="S57" s="35"/>
      <c r="T57" s="35"/>
      <c r="U57" s="35"/>
      <c r="V57" s="121"/>
      <c r="W57" s="42"/>
      <c r="X57" s="42"/>
      <c r="Y57" s="42"/>
      <c r="Z57" s="42"/>
      <c r="AA57" s="42"/>
      <c r="AB57" s="42"/>
      <c r="AC57" s="42"/>
      <c r="AD57" s="42"/>
      <c r="AE57" s="42"/>
      <c r="AF57" s="42"/>
      <c r="AG57" s="42"/>
      <c r="AH57" s="42"/>
      <c r="AI57" s="42"/>
      <c r="AJ57" s="42"/>
      <c r="AK57" s="42"/>
      <c r="AL57" s="42"/>
      <c r="AM57" s="42"/>
    </row>
    <row r="58" spans="1:39" x14ac:dyDescent="0.25">
      <c r="A58" s="38" t="s">
        <v>409</v>
      </c>
      <c r="B58" s="42"/>
      <c r="C58" s="42"/>
      <c r="D58" s="42"/>
      <c r="E58" s="41"/>
      <c r="F58" s="41"/>
      <c r="G58" s="41"/>
      <c r="H58" s="41"/>
      <c r="I58" s="41"/>
      <c r="J58" s="42"/>
      <c r="K58" s="41"/>
      <c r="L58" s="41"/>
      <c r="M58" s="127"/>
      <c r="N58" s="41"/>
      <c r="O58" s="41"/>
      <c r="P58" s="41"/>
      <c r="Q58" s="42"/>
      <c r="R58" s="35"/>
      <c r="S58" s="35"/>
      <c r="T58" s="35"/>
      <c r="U58" s="35"/>
      <c r="V58" s="121"/>
      <c r="W58" s="42"/>
      <c r="X58" s="42"/>
      <c r="Y58" s="42"/>
      <c r="Z58" s="42"/>
      <c r="AA58" s="42"/>
      <c r="AB58" s="42"/>
      <c r="AC58" s="42"/>
      <c r="AD58" s="42"/>
      <c r="AE58" s="42"/>
      <c r="AF58" s="42"/>
      <c r="AG58" s="42"/>
      <c r="AH58" s="42"/>
      <c r="AI58" s="42"/>
      <c r="AJ58" s="42"/>
      <c r="AK58" s="42"/>
      <c r="AL58" s="42"/>
      <c r="AM58" s="42"/>
    </row>
    <row r="59" spans="1:39" x14ac:dyDescent="0.25">
      <c r="A59" s="38" t="s">
        <v>410</v>
      </c>
      <c r="B59" s="42"/>
      <c r="C59" s="42"/>
      <c r="D59" s="42"/>
      <c r="E59" s="41"/>
      <c r="F59" s="41"/>
      <c r="G59" s="41"/>
      <c r="H59" s="41"/>
      <c r="I59" s="41"/>
      <c r="J59" s="42"/>
      <c r="K59" s="41"/>
      <c r="L59" s="41"/>
      <c r="M59" s="127"/>
      <c r="N59" s="41"/>
      <c r="O59" s="41"/>
      <c r="P59" s="41"/>
      <c r="Q59" s="42"/>
      <c r="R59" s="35"/>
      <c r="S59" s="35"/>
      <c r="T59" s="35"/>
      <c r="U59" s="35"/>
      <c r="V59" s="121"/>
      <c r="W59" s="42"/>
      <c r="X59" s="42"/>
      <c r="Y59" s="42"/>
      <c r="Z59" s="42"/>
      <c r="AA59" s="42"/>
      <c r="AB59" s="42"/>
      <c r="AC59" s="42"/>
      <c r="AD59" s="42"/>
      <c r="AE59" s="42"/>
      <c r="AF59" s="42"/>
      <c r="AG59" s="42"/>
      <c r="AH59" s="42"/>
      <c r="AI59" s="42"/>
      <c r="AJ59" s="42"/>
      <c r="AK59" s="42"/>
      <c r="AL59" s="42"/>
      <c r="AM59" s="42"/>
    </row>
    <row r="60" spans="1:39" x14ac:dyDescent="0.25">
      <c r="A60" s="38" t="s">
        <v>411</v>
      </c>
      <c r="B60" s="42"/>
      <c r="C60" s="42"/>
      <c r="D60" s="42"/>
      <c r="E60" s="41"/>
      <c r="F60" s="41"/>
      <c r="G60" s="41"/>
      <c r="H60" s="41"/>
      <c r="I60" s="41"/>
      <c r="J60" s="42"/>
      <c r="K60" s="41"/>
      <c r="L60" s="41"/>
      <c r="M60" s="127"/>
      <c r="N60" s="41"/>
      <c r="O60" s="41"/>
      <c r="P60" s="41"/>
      <c r="Q60" s="42"/>
      <c r="R60" s="35"/>
      <c r="S60" s="35"/>
      <c r="T60" s="35"/>
      <c r="U60" s="35"/>
      <c r="V60" s="121"/>
      <c r="W60" s="42"/>
      <c r="X60" s="42"/>
      <c r="Y60" s="42"/>
      <c r="Z60" s="42"/>
      <c r="AA60" s="42"/>
      <c r="AB60" s="42"/>
      <c r="AC60" s="42"/>
      <c r="AD60" s="42"/>
      <c r="AE60" s="42"/>
      <c r="AF60" s="42"/>
      <c r="AG60" s="42"/>
      <c r="AH60" s="42"/>
      <c r="AI60" s="42"/>
      <c r="AJ60" s="42"/>
      <c r="AK60" s="42"/>
      <c r="AL60" s="42"/>
      <c r="AM60" s="42"/>
    </row>
    <row r="61" spans="1:39" x14ac:dyDescent="0.25">
      <c r="A61" s="38" t="s">
        <v>412</v>
      </c>
      <c r="B61" s="42"/>
      <c r="C61" s="42"/>
      <c r="D61" s="42"/>
      <c r="E61" s="41"/>
      <c r="F61" s="41"/>
      <c r="G61" s="41"/>
      <c r="H61" s="41"/>
      <c r="I61" s="41"/>
      <c r="J61" s="42"/>
      <c r="K61" s="41"/>
      <c r="L61" s="41"/>
      <c r="M61" s="127"/>
      <c r="N61" s="41"/>
      <c r="O61" s="41"/>
      <c r="P61" s="41"/>
      <c r="Q61" s="42"/>
      <c r="R61" s="35"/>
      <c r="S61" s="35"/>
      <c r="T61" s="35"/>
      <c r="U61" s="35"/>
      <c r="V61" s="121"/>
      <c r="W61" s="42"/>
      <c r="X61" s="42"/>
      <c r="Y61" s="42"/>
      <c r="Z61" s="42"/>
      <c r="AA61" s="42"/>
      <c r="AB61" s="42"/>
      <c r="AC61" s="42"/>
      <c r="AD61" s="42"/>
      <c r="AE61" s="42"/>
      <c r="AF61" s="42"/>
      <c r="AG61" s="42"/>
      <c r="AH61" s="42"/>
      <c r="AI61" s="42"/>
      <c r="AJ61" s="42"/>
      <c r="AK61" s="42"/>
      <c r="AL61" s="42"/>
      <c r="AM61" s="42"/>
    </row>
    <row r="62" spans="1:39" x14ac:dyDescent="0.25">
      <c r="A62" s="38" t="s">
        <v>413</v>
      </c>
      <c r="B62" s="42"/>
      <c r="C62" s="42"/>
      <c r="D62" s="42"/>
      <c r="E62" s="41"/>
      <c r="F62" s="41"/>
      <c r="G62" s="41"/>
      <c r="H62" s="41"/>
      <c r="I62" s="41"/>
      <c r="J62" s="42"/>
      <c r="K62" s="41"/>
      <c r="L62" s="41"/>
      <c r="M62" s="127"/>
      <c r="N62" s="41"/>
      <c r="O62" s="41"/>
      <c r="P62" s="41"/>
      <c r="Q62" s="42"/>
      <c r="R62" s="35"/>
      <c r="S62" s="35"/>
      <c r="T62" s="35"/>
      <c r="U62" s="35"/>
      <c r="V62" s="121"/>
      <c r="W62" s="42"/>
      <c r="X62" s="42"/>
      <c r="Y62" s="42"/>
      <c r="Z62" s="42"/>
      <c r="AA62" s="42"/>
      <c r="AB62" s="42"/>
      <c r="AC62" s="42"/>
      <c r="AD62" s="42"/>
      <c r="AE62" s="42"/>
      <c r="AF62" s="42"/>
      <c r="AG62" s="42"/>
      <c r="AH62" s="42"/>
      <c r="AI62" s="42"/>
      <c r="AJ62" s="42"/>
      <c r="AK62" s="42"/>
      <c r="AL62" s="42"/>
      <c r="AM62" s="42"/>
    </row>
    <row r="63" spans="1:39" x14ac:dyDescent="0.25">
      <c r="A63" s="38" t="s">
        <v>414</v>
      </c>
      <c r="B63" s="42"/>
      <c r="C63" s="42"/>
      <c r="D63" s="42"/>
      <c r="E63" s="41"/>
      <c r="F63" s="41"/>
      <c r="G63" s="41"/>
      <c r="H63" s="41"/>
      <c r="I63" s="41"/>
      <c r="J63" s="42"/>
      <c r="K63" s="41"/>
      <c r="L63" s="41"/>
      <c r="M63" s="127"/>
      <c r="N63" s="41"/>
      <c r="O63" s="41"/>
      <c r="P63" s="41"/>
      <c r="Q63" s="42"/>
      <c r="R63" s="35"/>
      <c r="S63" s="35"/>
      <c r="T63" s="35"/>
      <c r="U63" s="35"/>
      <c r="V63" s="121"/>
      <c r="W63" s="42"/>
      <c r="X63" s="42"/>
      <c r="Y63" s="42"/>
      <c r="Z63" s="42"/>
      <c r="AA63" s="42"/>
      <c r="AB63" s="42"/>
      <c r="AC63" s="42"/>
      <c r="AD63" s="42"/>
      <c r="AE63" s="42"/>
      <c r="AF63" s="42"/>
      <c r="AG63" s="42"/>
      <c r="AH63" s="42"/>
      <c r="AI63" s="42"/>
      <c r="AJ63" s="42"/>
      <c r="AK63" s="42"/>
      <c r="AL63" s="42"/>
      <c r="AM63" s="42"/>
    </row>
    <row r="64" spans="1:39" x14ac:dyDescent="0.25">
      <c r="A64" s="38" t="s">
        <v>415</v>
      </c>
      <c r="B64" s="42"/>
      <c r="C64" s="42"/>
      <c r="D64" s="42"/>
      <c r="E64" s="41"/>
      <c r="F64" s="41"/>
      <c r="G64" s="41"/>
      <c r="H64" s="41"/>
      <c r="I64" s="41"/>
      <c r="J64" s="42"/>
      <c r="K64" s="41"/>
      <c r="L64" s="41"/>
      <c r="M64" s="127"/>
      <c r="N64" s="41"/>
      <c r="O64" s="41"/>
      <c r="P64" s="41"/>
      <c r="Q64" s="42"/>
      <c r="R64" s="35"/>
      <c r="S64" s="35"/>
      <c r="T64" s="35"/>
      <c r="U64" s="35"/>
      <c r="V64" s="121"/>
      <c r="W64" s="42"/>
      <c r="X64" s="42"/>
      <c r="Y64" s="42"/>
      <c r="Z64" s="42"/>
      <c r="AA64" s="42"/>
      <c r="AB64" s="42"/>
      <c r="AC64" s="42"/>
      <c r="AD64" s="42"/>
      <c r="AE64" s="42"/>
      <c r="AF64" s="42"/>
      <c r="AG64" s="42"/>
      <c r="AH64" s="42"/>
      <c r="AI64" s="42"/>
      <c r="AJ64" s="42"/>
      <c r="AK64" s="42"/>
      <c r="AL64" s="42"/>
      <c r="AM64" s="42"/>
    </row>
    <row r="65" spans="1:39" x14ac:dyDescent="0.25">
      <c r="A65" s="38" t="s">
        <v>416</v>
      </c>
      <c r="B65" s="42"/>
      <c r="C65" s="42"/>
      <c r="D65" s="42"/>
      <c r="E65" s="41"/>
      <c r="F65" s="41"/>
      <c r="G65" s="41"/>
      <c r="H65" s="41"/>
      <c r="I65" s="41"/>
      <c r="J65" s="42"/>
      <c r="K65" s="41"/>
      <c r="L65" s="41"/>
      <c r="M65" s="127"/>
      <c r="N65" s="41"/>
      <c r="O65" s="41"/>
      <c r="P65" s="41"/>
      <c r="Q65" s="42"/>
      <c r="R65" s="35"/>
      <c r="S65" s="35"/>
      <c r="T65" s="35"/>
      <c r="U65" s="35"/>
      <c r="V65" s="121"/>
      <c r="W65" s="42"/>
      <c r="X65" s="42"/>
      <c r="Y65" s="42"/>
      <c r="Z65" s="42"/>
      <c r="AA65" s="42"/>
      <c r="AB65" s="42"/>
      <c r="AC65" s="42"/>
      <c r="AD65" s="42"/>
      <c r="AE65" s="42"/>
      <c r="AF65" s="42"/>
      <c r="AG65" s="42"/>
      <c r="AH65" s="42"/>
      <c r="AI65" s="42"/>
      <c r="AJ65" s="42"/>
      <c r="AK65" s="42"/>
      <c r="AL65" s="42"/>
      <c r="AM65" s="42"/>
    </row>
    <row r="66" spans="1:39" x14ac:dyDescent="0.25">
      <c r="A66" s="38" t="s">
        <v>417</v>
      </c>
      <c r="B66" s="42"/>
      <c r="C66" s="42"/>
      <c r="D66" s="42"/>
      <c r="E66" s="41"/>
      <c r="F66" s="41"/>
      <c r="G66" s="41"/>
      <c r="H66" s="41"/>
      <c r="I66" s="41"/>
      <c r="J66" s="42"/>
      <c r="K66" s="41"/>
      <c r="L66" s="41"/>
      <c r="M66" s="127"/>
      <c r="N66" s="41"/>
      <c r="O66" s="41"/>
      <c r="P66" s="41"/>
      <c r="Q66" s="42"/>
      <c r="R66" s="35"/>
      <c r="S66" s="35"/>
      <c r="T66" s="35"/>
      <c r="U66" s="35"/>
      <c r="V66" s="121"/>
      <c r="W66" s="42"/>
      <c r="X66" s="42"/>
      <c r="Y66" s="42"/>
      <c r="Z66" s="42"/>
      <c r="AA66" s="42"/>
      <c r="AB66" s="42"/>
      <c r="AC66" s="42"/>
      <c r="AD66" s="42"/>
      <c r="AE66" s="42"/>
      <c r="AF66" s="42"/>
      <c r="AG66" s="42"/>
      <c r="AH66" s="42"/>
      <c r="AI66" s="42"/>
      <c r="AJ66" s="42"/>
      <c r="AK66" s="42"/>
      <c r="AL66" s="42"/>
      <c r="AM66" s="42"/>
    </row>
    <row r="67" spans="1:39" x14ac:dyDescent="0.25">
      <c r="A67" s="38" t="s">
        <v>418</v>
      </c>
      <c r="B67" s="42"/>
      <c r="C67" s="42"/>
      <c r="D67" s="42"/>
      <c r="E67" s="41"/>
      <c r="F67" s="41"/>
      <c r="G67" s="41"/>
      <c r="H67" s="41"/>
      <c r="I67" s="41"/>
      <c r="J67" s="42"/>
      <c r="K67" s="41"/>
      <c r="L67" s="41"/>
      <c r="M67" s="127"/>
      <c r="N67" s="41"/>
      <c r="O67" s="41"/>
      <c r="P67" s="41"/>
      <c r="Q67" s="42"/>
      <c r="R67" s="35"/>
      <c r="S67" s="35"/>
      <c r="T67" s="35"/>
      <c r="U67" s="35"/>
      <c r="V67" s="121"/>
      <c r="W67" s="42"/>
      <c r="X67" s="42"/>
      <c r="Y67" s="42"/>
      <c r="Z67" s="42"/>
      <c r="AA67" s="42"/>
      <c r="AB67" s="42"/>
      <c r="AC67" s="42"/>
      <c r="AD67" s="42"/>
      <c r="AE67" s="42"/>
      <c r="AF67" s="42"/>
      <c r="AG67" s="42"/>
      <c r="AH67" s="42"/>
      <c r="AI67" s="42"/>
      <c r="AJ67" s="42"/>
      <c r="AK67" s="42"/>
      <c r="AL67" s="42"/>
      <c r="AM67" s="42"/>
    </row>
    <row r="68" spans="1:39" x14ac:dyDescent="0.25">
      <c r="A68" s="38" t="s">
        <v>419</v>
      </c>
      <c r="B68" s="42"/>
      <c r="C68" s="42"/>
      <c r="D68" s="42"/>
      <c r="E68" s="41"/>
      <c r="F68" s="41"/>
      <c r="G68" s="41"/>
      <c r="H68" s="41"/>
      <c r="I68" s="41"/>
      <c r="J68" s="42"/>
      <c r="K68" s="41"/>
      <c r="L68" s="41"/>
      <c r="M68" s="127"/>
      <c r="N68" s="41"/>
      <c r="O68" s="41"/>
      <c r="P68" s="41"/>
      <c r="Q68" s="42"/>
      <c r="R68" s="35"/>
      <c r="S68" s="35"/>
      <c r="T68" s="35"/>
      <c r="U68" s="35"/>
      <c r="V68" s="121"/>
      <c r="W68" s="42"/>
      <c r="X68" s="42"/>
      <c r="Y68" s="42"/>
      <c r="Z68" s="42"/>
      <c r="AA68" s="42"/>
      <c r="AB68" s="42"/>
      <c r="AC68" s="42"/>
      <c r="AD68" s="42"/>
      <c r="AE68" s="42"/>
      <c r="AF68" s="42"/>
      <c r="AG68" s="42"/>
      <c r="AH68" s="42"/>
      <c r="AI68" s="42"/>
      <c r="AJ68" s="42"/>
      <c r="AK68" s="42"/>
      <c r="AL68" s="42"/>
      <c r="AM68" s="42"/>
    </row>
    <row r="69" spans="1:39" x14ac:dyDescent="0.25">
      <c r="A69" s="38" t="s">
        <v>420</v>
      </c>
      <c r="B69" s="42"/>
      <c r="C69" s="42"/>
      <c r="D69" s="42"/>
      <c r="E69" s="41"/>
      <c r="F69" s="41"/>
      <c r="G69" s="41"/>
      <c r="H69" s="41"/>
      <c r="I69" s="41"/>
      <c r="J69" s="42"/>
      <c r="K69" s="41"/>
      <c r="L69" s="41"/>
      <c r="M69" s="127"/>
      <c r="N69" s="41"/>
      <c r="O69" s="41"/>
      <c r="P69" s="41"/>
      <c r="Q69" s="42"/>
      <c r="R69" s="35"/>
      <c r="S69" s="35"/>
      <c r="T69" s="35"/>
      <c r="U69" s="35"/>
      <c r="V69" s="121"/>
      <c r="W69" s="42"/>
      <c r="X69" s="42"/>
      <c r="Y69" s="42"/>
      <c r="Z69" s="42"/>
      <c r="AA69" s="42"/>
      <c r="AB69" s="42"/>
      <c r="AC69" s="42"/>
      <c r="AD69" s="42"/>
      <c r="AE69" s="42"/>
      <c r="AF69" s="42"/>
      <c r="AG69" s="42"/>
      <c r="AH69" s="42"/>
      <c r="AI69" s="42"/>
      <c r="AJ69" s="42"/>
      <c r="AK69" s="42"/>
      <c r="AL69" s="42"/>
      <c r="AM69" s="42"/>
    </row>
    <row r="70" spans="1:39" x14ac:dyDescent="0.25">
      <c r="A70" s="38" t="s">
        <v>421</v>
      </c>
      <c r="B70" s="42"/>
      <c r="C70" s="42"/>
      <c r="D70" s="42"/>
      <c r="E70" s="41"/>
      <c r="F70" s="41"/>
      <c r="G70" s="41"/>
      <c r="H70" s="41"/>
      <c r="I70" s="41"/>
      <c r="J70" s="42"/>
      <c r="K70" s="41"/>
      <c r="L70" s="41"/>
      <c r="M70" s="127"/>
      <c r="N70" s="41"/>
      <c r="O70" s="41"/>
      <c r="P70" s="41"/>
      <c r="Q70" s="42"/>
      <c r="R70" s="35"/>
      <c r="S70" s="35"/>
      <c r="T70" s="35"/>
      <c r="U70" s="35"/>
      <c r="V70" s="121"/>
      <c r="W70" s="42"/>
      <c r="X70" s="42"/>
      <c r="Y70" s="42"/>
      <c r="Z70" s="42"/>
      <c r="AA70" s="42"/>
      <c r="AB70" s="42"/>
      <c r="AC70" s="42"/>
      <c r="AD70" s="42"/>
      <c r="AE70" s="42"/>
      <c r="AF70" s="42"/>
      <c r="AG70" s="42"/>
      <c r="AH70" s="42"/>
      <c r="AI70" s="42"/>
      <c r="AJ70" s="42"/>
      <c r="AK70" s="42"/>
      <c r="AL70" s="42"/>
      <c r="AM70" s="42"/>
    </row>
    <row r="71" spans="1:39" x14ac:dyDescent="0.25">
      <c r="A71" s="38" t="s">
        <v>422</v>
      </c>
      <c r="B71" s="42"/>
      <c r="C71" s="42"/>
      <c r="D71" s="42"/>
      <c r="E71" s="41"/>
      <c r="F71" s="41"/>
      <c r="G71" s="41"/>
      <c r="H71" s="41"/>
      <c r="I71" s="41"/>
      <c r="J71" s="42"/>
      <c r="K71" s="41"/>
      <c r="L71" s="41"/>
      <c r="M71" s="127"/>
      <c r="N71" s="41"/>
      <c r="O71" s="41"/>
      <c r="P71" s="41"/>
      <c r="Q71" s="42"/>
      <c r="R71" s="35"/>
      <c r="S71" s="35"/>
      <c r="T71" s="35"/>
      <c r="U71" s="35"/>
      <c r="V71" s="121"/>
      <c r="W71" s="42"/>
      <c r="X71" s="42"/>
      <c r="Y71" s="42"/>
      <c r="Z71" s="42"/>
      <c r="AA71" s="42"/>
      <c r="AB71" s="42"/>
      <c r="AC71" s="42"/>
      <c r="AD71" s="42"/>
      <c r="AE71" s="42"/>
      <c r="AF71" s="42"/>
      <c r="AG71" s="42"/>
      <c r="AH71" s="42"/>
      <c r="AI71" s="42"/>
      <c r="AJ71" s="42"/>
      <c r="AK71" s="42"/>
      <c r="AL71" s="42"/>
      <c r="AM71" s="42"/>
    </row>
    <row r="72" spans="1:39" x14ac:dyDescent="0.25">
      <c r="A72" s="38" t="s">
        <v>423</v>
      </c>
      <c r="B72" s="42"/>
      <c r="C72" s="42"/>
      <c r="D72" s="42"/>
      <c r="E72" s="41"/>
      <c r="F72" s="41"/>
      <c r="G72" s="41"/>
      <c r="H72" s="41"/>
      <c r="I72" s="41"/>
      <c r="J72" s="42"/>
      <c r="K72" s="41"/>
      <c r="L72" s="41"/>
      <c r="M72" s="127"/>
      <c r="N72" s="41"/>
      <c r="O72" s="41"/>
      <c r="P72" s="41"/>
      <c r="Q72" s="42"/>
      <c r="R72" s="35"/>
      <c r="S72" s="35"/>
      <c r="T72" s="35"/>
      <c r="U72" s="35"/>
      <c r="V72" s="121"/>
      <c r="W72" s="42"/>
      <c r="X72" s="42"/>
      <c r="Y72" s="42"/>
      <c r="Z72" s="42"/>
      <c r="AA72" s="42"/>
      <c r="AB72" s="42"/>
      <c r="AC72" s="42"/>
      <c r="AD72" s="42"/>
      <c r="AE72" s="42"/>
      <c r="AF72" s="42"/>
      <c r="AG72" s="42"/>
      <c r="AH72" s="42"/>
      <c r="AI72" s="42"/>
      <c r="AJ72" s="42"/>
      <c r="AK72" s="42"/>
      <c r="AL72" s="42"/>
      <c r="AM72" s="42"/>
    </row>
    <row r="73" spans="1:39" x14ac:dyDescent="0.25">
      <c r="A73" s="38" t="s">
        <v>424</v>
      </c>
      <c r="B73" s="42"/>
      <c r="C73" s="42"/>
      <c r="D73" s="42"/>
      <c r="E73" s="41"/>
      <c r="F73" s="41"/>
      <c r="G73" s="41"/>
      <c r="H73" s="41"/>
      <c r="I73" s="41"/>
      <c r="J73" s="42"/>
      <c r="K73" s="41"/>
      <c r="L73" s="41"/>
      <c r="M73" s="127"/>
      <c r="N73" s="41"/>
      <c r="O73" s="41"/>
      <c r="P73" s="41"/>
      <c r="Q73" s="42"/>
      <c r="R73" s="35"/>
      <c r="S73" s="35"/>
      <c r="T73" s="35"/>
      <c r="U73" s="35"/>
      <c r="V73" s="121"/>
      <c r="W73" s="42"/>
      <c r="X73" s="42"/>
      <c r="Y73" s="42"/>
      <c r="Z73" s="42"/>
      <c r="AA73" s="42"/>
      <c r="AB73" s="42"/>
      <c r="AC73" s="42"/>
      <c r="AD73" s="42"/>
      <c r="AE73" s="42"/>
      <c r="AF73" s="42"/>
      <c r="AG73" s="42"/>
      <c r="AH73" s="42"/>
      <c r="AI73" s="42"/>
      <c r="AJ73" s="42"/>
      <c r="AK73" s="42"/>
      <c r="AL73" s="42"/>
      <c r="AM73" s="42"/>
    </row>
    <row r="74" spans="1:39" x14ac:dyDescent="0.25">
      <c r="A74" s="38" t="s">
        <v>425</v>
      </c>
      <c r="B74" s="42"/>
      <c r="C74" s="42"/>
      <c r="D74" s="42"/>
      <c r="E74" s="41"/>
      <c r="F74" s="41"/>
      <c r="G74" s="41"/>
      <c r="H74" s="41"/>
      <c r="I74" s="41"/>
      <c r="J74" s="42"/>
      <c r="K74" s="41"/>
      <c r="L74" s="41"/>
      <c r="M74" s="127"/>
      <c r="N74" s="41"/>
      <c r="O74" s="41"/>
      <c r="P74" s="41"/>
      <c r="Q74" s="42"/>
      <c r="R74" s="35"/>
      <c r="S74" s="35"/>
      <c r="T74" s="35"/>
      <c r="U74" s="35"/>
      <c r="V74" s="121"/>
      <c r="W74" s="42"/>
      <c r="X74" s="42"/>
      <c r="Y74" s="42"/>
      <c r="Z74" s="42"/>
      <c r="AA74" s="42"/>
      <c r="AB74" s="42"/>
      <c r="AC74" s="42"/>
      <c r="AD74" s="42"/>
      <c r="AE74" s="42"/>
      <c r="AF74" s="42"/>
      <c r="AG74" s="42"/>
      <c r="AH74" s="42"/>
      <c r="AI74" s="42"/>
      <c r="AJ74" s="42"/>
      <c r="AK74" s="42"/>
      <c r="AL74" s="42"/>
      <c r="AM74" s="42"/>
    </row>
    <row r="75" spans="1:39" x14ac:dyDescent="0.25">
      <c r="A75" s="38" t="s">
        <v>426</v>
      </c>
      <c r="B75" s="42"/>
      <c r="C75" s="42"/>
      <c r="D75" s="42"/>
      <c r="E75" s="41"/>
      <c r="F75" s="41"/>
      <c r="G75" s="41"/>
      <c r="H75" s="41"/>
      <c r="I75" s="41"/>
      <c r="J75" s="42"/>
      <c r="K75" s="41"/>
      <c r="L75" s="41"/>
      <c r="M75" s="127"/>
      <c r="N75" s="41"/>
      <c r="O75" s="41"/>
      <c r="P75" s="41"/>
      <c r="Q75" s="42"/>
      <c r="R75" s="35"/>
      <c r="S75" s="35"/>
      <c r="T75" s="35"/>
      <c r="U75" s="35"/>
      <c r="V75" s="121"/>
      <c r="W75" s="42"/>
      <c r="X75" s="42"/>
      <c r="Y75" s="42"/>
      <c r="Z75" s="42"/>
      <c r="AA75" s="42"/>
      <c r="AB75" s="42"/>
      <c r="AC75" s="42"/>
      <c r="AD75" s="42"/>
      <c r="AE75" s="42"/>
      <c r="AF75" s="42"/>
      <c r="AG75" s="42"/>
      <c r="AH75" s="42"/>
      <c r="AI75" s="42"/>
      <c r="AJ75" s="42"/>
      <c r="AK75" s="42"/>
      <c r="AL75" s="42"/>
      <c r="AM75" s="42"/>
    </row>
    <row r="76" spans="1:39" x14ac:dyDescent="0.25">
      <c r="A76" s="38" t="s">
        <v>427</v>
      </c>
      <c r="B76" s="42"/>
      <c r="C76" s="42"/>
      <c r="D76" s="42"/>
      <c r="E76" s="41"/>
      <c r="F76" s="41"/>
      <c r="G76" s="41"/>
      <c r="H76" s="41"/>
      <c r="I76" s="41"/>
      <c r="J76" s="42"/>
      <c r="K76" s="41"/>
      <c r="L76" s="41"/>
      <c r="M76" s="127"/>
      <c r="N76" s="41"/>
      <c r="O76" s="41"/>
      <c r="P76" s="41"/>
      <c r="Q76" s="42"/>
      <c r="R76" s="35"/>
      <c r="S76" s="35"/>
      <c r="T76" s="35"/>
      <c r="U76" s="35"/>
      <c r="V76" s="121"/>
      <c r="W76" s="42"/>
      <c r="X76" s="42"/>
      <c r="Y76" s="42"/>
      <c r="Z76" s="42"/>
      <c r="AA76" s="42"/>
      <c r="AB76" s="42"/>
      <c r="AC76" s="42"/>
      <c r="AD76" s="42"/>
      <c r="AE76" s="42"/>
      <c r="AF76" s="42"/>
      <c r="AG76" s="42"/>
      <c r="AH76" s="42"/>
      <c r="AI76" s="42"/>
      <c r="AJ76" s="42"/>
      <c r="AK76" s="42"/>
      <c r="AL76" s="42"/>
      <c r="AM76" s="42"/>
    </row>
    <row r="77" spans="1:39" x14ac:dyDescent="0.25">
      <c r="A77" s="38" t="s">
        <v>428</v>
      </c>
      <c r="B77" s="42"/>
      <c r="C77" s="42"/>
      <c r="D77" s="42"/>
      <c r="E77" s="41"/>
      <c r="F77" s="41"/>
      <c r="G77" s="41"/>
      <c r="H77" s="41"/>
      <c r="I77" s="41"/>
      <c r="J77" s="42"/>
      <c r="K77" s="41"/>
      <c r="L77" s="41"/>
      <c r="M77" s="127"/>
      <c r="N77" s="41"/>
      <c r="O77" s="41"/>
      <c r="P77" s="41"/>
      <c r="Q77" s="42"/>
      <c r="R77" s="35"/>
      <c r="S77" s="35"/>
      <c r="T77" s="35"/>
      <c r="U77" s="35"/>
      <c r="V77" s="121"/>
      <c r="W77" s="42"/>
      <c r="X77" s="42"/>
      <c r="Y77" s="42"/>
      <c r="Z77" s="42"/>
      <c r="AA77" s="42"/>
      <c r="AB77" s="42"/>
      <c r="AC77" s="42"/>
      <c r="AD77" s="42"/>
      <c r="AE77" s="42"/>
      <c r="AF77" s="42"/>
      <c r="AG77" s="42"/>
      <c r="AH77" s="42"/>
      <c r="AI77" s="42"/>
      <c r="AJ77" s="42"/>
      <c r="AK77" s="42"/>
      <c r="AL77" s="42"/>
      <c r="AM77" s="42"/>
    </row>
    <row r="78" spans="1:39" x14ac:dyDescent="0.25">
      <c r="A78" s="38" t="s">
        <v>429</v>
      </c>
      <c r="B78" s="42"/>
      <c r="C78" s="42"/>
      <c r="D78" s="42"/>
      <c r="E78" s="41"/>
      <c r="F78" s="41"/>
      <c r="G78" s="41"/>
      <c r="H78" s="41"/>
      <c r="I78" s="41"/>
      <c r="J78" s="42"/>
      <c r="K78" s="41"/>
      <c r="L78" s="41"/>
      <c r="M78" s="127"/>
      <c r="N78" s="41"/>
      <c r="O78" s="41"/>
      <c r="P78" s="41"/>
      <c r="Q78" s="42"/>
      <c r="R78" s="35"/>
      <c r="S78" s="35"/>
      <c r="T78" s="35"/>
      <c r="U78" s="35"/>
      <c r="V78" s="121"/>
      <c r="W78" s="42"/>
      <c r="X78" s="42"/>
      <c r="Y78" s="42"/>
      <c r="Z78" s="42"/>
      <c r="AA78" s="42"/>
      <c r="AB78" s="42"/>
      <c r="AC78" s="42"/>
      <c r="AD78" s="42"/>
      <c r="AE78" s="42"/>
      <c r="AF78" s="42"/>
      <c r="AG78" s="42"/>
      <c r="AH78" s="42"/>
      <c r="AI78" s="42"/>
      <c r="AJ78" s="42"/>
      <c r="AK78" s="42"/>
      <c r="AL78" s="42"/>
      <c r="AM78" s="42"/>
    </row>
    <row r="79" spans="1:39" x14ac:dyDescent="0.25">
      <c r="A79" s="38" t="s">
        <v>430</v>
      </c>
      <c r="B79" s="42"/>
      <c r="C79" s="42"/>
      <c r="D79" s="42"/>
      <c r="E79" s="41"/>
      <c r="F79" s="41"/>
      <c r="G79" s="41"/>
      <c r="H79" s="41"/>
      <c r="I79" s="41"/>
      <c r="J79" s="42"/>
      <c r="K79" s="41"/>
      <c r="L79" s="41"/>
      <c r="M79" s="127"/>
      <c r="N79" s="41"/>
      <c r="O79" s="41"/>
      <c r="P79" s="41"/>
      <c r="Q79" s="42"/>
      <c r="R79" s="35"/>
      <c r="S79" s="35"/>
      <c r="T79" s="35"/>
      <c r="U79" s="35"/>
      <c r="V79" s="121"/>
      <c r="W79" s="42"/>
      <c r="X79" s="42"/>
      <c r="Y79" s="42"/>
      <c r="Z79" s="42"/>
      <c r="AA79" s="42"/>
      <c r="AB79" s="42"/>
      <c r="AC79" s="42"/>
      <c r="AD79" s="42"/>
      <c r="AE79" s="42"/>
      <c r="AF79" s="42"/>
      <c r="AG79" s="42"/>
      <c r="AH79" s="42"/>
      <c r="AI79" s="42"/>
      <c r="AJ79" s="42"/>
      <c r="AK79" s="42"/>
      <c r="AL79" s="42"/>
      <c r="AM79" s="42"/>
    </row>
    <row r="80" spans="1:39" x14ac:dyDescent="0.25">
      <c r="A80" s="38" t="s">
        <v>431</v>
      </c>
      <c r="B80" s="42"/>
      <c r="C80" s="42"/>
      <c r="D80" s="42"/>
      <c r="E80" s="41"/>
      <c r="F80" s="41"/>
      <c r="G80" s="41"/>
      <c r="H80" s="41"/>
      <c r="I80" s="41"/>
      <c r="J80" s="42"/>
      <c r="K80" s="41"/>
      <c r="L80" s="41"/>
      <c r="M80" s="127"/>
      <c r="N80" s="41"/>
      <c r="O80" s="41"/>
      <c r="P80" s="41"/>
      <c r="Q80" s="42"/>
      <c r="R80" s="35"/>
      <c r="S80" s="35"/>
      <c r="T80" s="35"/>
      <c r="U80" s="35"/>
      <c r="V80" s="121"/>
      <c r="W80" s="42"/>
      <c r="X80" s="42"/>
      <c r="Y80" s="42"/>
      <c r="Z80" s="42"/>
      <c r="AA80" s="42"/>
      <c r="AB80" s="42"/>
      <c r="AC80" s="42"/>
      <c r="AD80" s="42"/>
      <c r="AE80" s="42"/>
      <c r="AF80" s="42"/>
      <c r="AG80" s="42"/>
      <c r="AH80" s="42"/>
      <c r="AI80" s="42"/>
      <c r="AJ80" s="42"/>
      <c r="AK80" s="42"/>
      <c r="AL80" s="42"/>
      <c r="AM80" s="42"/>
    </row>
    <row r="81" spans="1:39" x14ac:dyDescent="0.25">
      <c r="A81" s="38" t="s">
        <v>432</v>
      </c>
      <c r="B81" s="42"/>
      <c r="C81" s="42"/>
      <c r="D81" s="42"/>
      <c r="E81" s="41"/>
      <c r="F81" s="41"/>
      <c r="G81" s="41"/>
      <c r="H81" s="41"/>
      <c r="I81" s="41"/>
      <c r="J81" s="42"/>
      <c r="K81" s="41"/>
      <c r="L81" s="41"/>
      <c r="M81" s="127"/>
      <c r="N81" s="41"/>
      <c r="O81" s="41"/>
      <c r="P81" s="41"/>
      <c r="Q81" s="42"/>
      <c r="R81" s="35"/>
      <c r="S81" s="35"/>
      <c r="T81" s="35"/>
      <c r="U81" s="35"/>
      <c r="V81" s="121"/>
      <c r="W81" s="42"/>
      <c r="X81" s="42"/>
      <c r="Y81" s="42"/>
      <c r="Z81" s="42"/>
      <c r="AA81" s="42"/>
      <c r="AB81" s="42"/>
      <c r="AC81" s="42"/>
      <c r="AD81" s="42"/>
      <c r="AE81" s="42"/>
      <c r="AF81" s="42"/>
      <c r="AG81" s="42"/>
      <c r="AH81" s="42"/>
      <c r="AI81" s="42"/>
      <c r="AJ81" s="42"/>
      <c r="AK81" s="42"/>
      <c r="AL81" s="42"/>
      <c r="AM81" s="42"/>
    </row>
    <row r="82" spans="1:39" x14ac:dyDescent="0.25">
      <c r="A82" s="38" t="s">
        <v>433</v>
      </c>
      <c r="B82" s="42"/>
      <c r="C82" s="42"/>
      <c r="D82" s="42"/>
      <c r="E82" s="41"/>
      <c r="F82" s="41"/>
      <c r="G82" s="41"/>
      <c r="H82" s="41"/>
      <c r="I82" s="41"/>
      <c r="J82" s="42"/>
      <c r="K82" s="41"/>
      <c r="L82" s="41"/>
      <c r="M82" s="127"/>
      <c r="N82" s="41"/>
      <c r="O82" s="41"/>
      <c r="P82" s="41"/>
      <c r="Q82" s="42"/>
      <c r="R82" s="35"/>
      <c r="S82" s="35"/>
      <c r="T82" s="35"/>
      <c r="U82" s="35"/>
      <c r="V82" s="121"/>
      <c r="W82" s="42"/>
      <c r="X82" s="42"/>
      <c r="Y82" s="42"/>
      <c r="Z82" s="42"/>
      <c r="AA82" s="42"/>
      <c r="AB82" s="42"/>
      <c r="AC82" s="42"/>
      <c r="AD82" s="42"/>
      <c r="AE82" s="42"/>
      <c r="AF82" s="42"/>
      <c r="AG82" s="42"/>
      <c r="AH82" s="42"/>
      <c r="AI82" s="42"/>
      <c r="AJ82" s="42"/>
      <c r="AK82" s="42"/>
      <c r="AL82" s="42"/>
      <c r="AM82" s="42"/>
    </row>
    <row r="83" spans="1:39" x14ac:dyDescent="0.25">
      <c r="A83" s="38" t="s">
        <v>434</v>
      </c>
      <c r="B83" s="42"/>
      <c r="C83" s="42"/>
      <c r="D83" s="42"/>
      <c r="E83" s="41"/>
      <c r="F83" s="41"/>
      <c r="G83" s="41"/>
      <c r="H83" s="41"/>
      <c r="I83" s="41"/>
      <c r="J83" s="42"/>
      <c r="K83" s="41"/>
      <c r="L83" s="41"/>
      <c r="M83" s="127"/>
      <c r="N83" s="41"/>
      <c r="O83" s="41"/>
      <c r="P83" s="41"/>
      <c r="Q83" s="42"/>
      <c r="R83" s="35"/>
      <c r="S83" s="35"/>
      <c r="T83" s="35"/>
      <c r="U83" s="35"/>
      <c r="V83" s="121"/>
      <c r="W83" s="42"/>
      <c r="X83" s="42"/>
      <c r="Y83" s="42"/>
      <c r="Z83" s="42"/>
      <c r="AA83" s="42"/>
      <c r="AB83" s="42"/>
      <c r="AC83" s="42"/>
      <c r="AD83" s="42"/>
      <c r="AE83" s="42"/>
      <c r="AF83" s="42"/>
      <c r="AG83" s="42"/>
      <c r="AH83" s="42"/>
      <c r="AI83" s="42"/>
      <c r="AJ83" s="42"/>
      <c r="AK83" s="42"/>
      <c r="AL83" s="42"/>
      <c r="AM83" s="42"/>
    </row>
    <row r="84" spans="1:39" x14ac:dyDescent="0.25">
      <c r="A84" s="38" t="s">
        <v>435</v>
      </c>
      <c r="B84" s="42"/>
      <c r="C84" s="42"/>
      <c r="D84" s="42"/>
      <c r="E84" s="41"/>
      <c r="F84" s="41"/>
      <c r="G84" s="41"/>
      <c r="H84" s="41"/>
      <c r="I84" s="41"/>
      <c r="J84" s="42"/>
      <c r="K84" s="41"/>
      <c r="L84" s="41"/>
      <c r="M84" s="127"/>
      <c r="N84" s="41"/>
      <c r="O84" s="41"/>
      <c r="P84" s="41"/>
      <c r="Q84" s="42"/>
      <c r="R84" s="35"/>
      <c r="S84" s="35"/>
      <c r="T84" s="35"/>
      <c r="U84" s="35"/>
      <c r="V84" s="121"/>
      <c r="W84" s="42"/>
      <c r="X84" s="42"/>
      <c r="Y84" s="42"/>
      <c r="Z84" s="42"/>
      <c r="AA84" s="42"/>
      <c r="AB84" s="42"/>
      <c r="AC84" s="42"/>
      <c r="AD84" s="42"/>
      <c r="AE84" s="42"/>
      <c r="AF84" s="42"/>
      <c r="AG84" s="42"/>
      <c r="AH84" s="42"/>
      <c r="AI84" s="42"/>
      <c r="AJ84" s="42"/>
      <c r="AK84" s="42"/>
      <c r="AL84" s="42"/>
      <c r="AM84" s="42"/>
    </row>
    <row r="85" spans="1:39" x14ac:dyDescent="0.25">
      <c r="A85" s="38" t="s">
        <v>436</v>
      </c>
      <c r="B85" s="42"/>
      <c r="C85" s="42"/>
      <c r="D85" s="42"/>
      <c r="E85" s="41"/>
      <c r="F85" s="41"/>
      <c r="G85" s="41"/>
      <c r="H85" s="41"/>
      <c r="I85" s="41"/>
      <c r="J85" s="42"/>
      <c r="K85" s="41"/>
      <c r="L85" s="41"/>
      <c r="M85" s="127"/>
      <c r="N85" s="41"/>
      <c r="O85" s="41"/>
      <c r="P85" s="41"/>
      <c r="Q85" s="42"/>
      <c r="R85" s="35"/>
      <c r="S85" s="35"/>
      <c r="T85" s="35"/>
      <c r="U85" s="35"/>
      <c r="V85" s="121"/>
      <c r="W85" s="42"/>
      <c r="X85" s="42"/>
      <c r="Y85" s="42"/>
      <c r="Z85" s="42"/>
      <c r="AA85" s="42"/>
      <c r="AB85" s="42"/>
      <c r="AC85" s="42"/>
      <c r="AD85" s="42"/>
      <c r="AE85" s="42"/>
      <c r="AF85" s="42"/>
      <c r="AG85" s="42"/>
      <c r="AH85" s="42"/>
      <c r="AI85" s="42"/>
      <c r="AJ85" s="42"/>
      <c r="AK85" s="42"/>
      <c r="AL85" s="42"/>
      <c r="AM85" s="42"/>
    </row>
    <row r="86" spans="1:39" x14ac:dyDescent="0.25">
      <c r="A86" s="38" t="s">
        <v>437</v>
      </c>
      <c r="B86" s="42"/>
      <c r="C86" s="42"/>
      <c r="D86" s="42"/>
      <c r="E86" s="41"/>
      <c r="F86" s="41"/>
      <c r="G86" s="41"/>
      <c r="H86" s="41"/>
      <c r="I86" s="41"/>
      <c r="J86" s="42"/>
      <c r="K86" s="41"/>
      <c r="L86" s="41"/>
      <c r="M86" s="127"/>
      <c r="N86" s="41"/>
      <c r="O86" s="41"/>
      <c r="P86" s="41"/>
      <c r="Q86" s="42"/>
      <c r="R86" s="35"/>
      <c r="S86" s="35"/>
      <c r="T86" s="35"/>
      <c r="U86" s="35"/>
      <c r="V86" s="121"/>
      <c r="W86" s="42"/>
      <c r="X86" s="42"/>
      <c r="Y86" s="42"/>
      <c r="Z86" s="42"/>
      <c r="AA86" s="42"/>
      <c r="AB86" s="42"/>
      <c r="AC86" s="42"/>
      <c r="AD86" s="42"/>
      <c r="AE86" s="42"/>
      <c r="AF86" s="42"/>
      <c r="AG86" s="42"/>
      <c r="AH86" s="42"/>
      <c r="AI86" s="42"/>
      <c r="AJ86" s="42"/>
      <c r="AK86" s="42"/>
      <c r="AL86" s="42"/>
      <c r="AM86" s="42"/>
    </row>
    <row r="87" spans="1:39" x14ac:dyDescent="0.25">
      <c r="A87" s="38" t="s">
        <v>438</v>
      </c>
      <c r="B87" s="42"/>
      <c r="C87" s="42"/>
      <c r="D87" s="42"/>
      <c r="E87" s="41"/>
      <c r="F87" s="41"/>
      <c r="G87" s="41"/>
      <c r="H87" s="41"/>
      <c r="I87" s="41"/>
      <c r="J87" s="42"/>
      <c r="K87" s="41"/>
      <c r="L87" s="41"/>
      <c r="M87" s="127"/>
      <c r="N87" s="41"/>
      <c r="O87" s="41"/>
      <c r="P87" s="41"/>
      <c r="Q87" s="42"/>
      <c r="R87" s="35"/>
      <c r="S87" s="35"/>
      <c r="T87" s="35"/>
      <c r="U87" s="35"/>
      <c r="V87" s="121"/>
      <c r="W87" s="42"/>
      <c r="X87" s="42"/>
      <c r="Y87" s="42"/>
      <c r="Z87" s="42"/>
      <c r="AA87" s="42"/>
      <c r="AB87" s="42"/>
      <c r="AC87" s="42"/>
      <c r="AD87" s="42"/>
      <c r="AE87" s="42"/>
      <c r="AF87" s="42"/>
      <c r="AG87" s="42"/>
      <c r="AH87" s="42"/>
      <c r="AI87" s="42"/>
      <c r="AJ87" s="42"/>
      <c r="AK87" s="42"/>
      <c r="AL87" s="42"/>
      <c r="AM87" s="42"/>
    </row>
    <row r="88" spans="1:39" x14ac:dyDescent="0.25">
      <c r="A88" s="38" t="s">
        <v>439</v>
      </c>
      <c r="B88" s="42"/>
      <c r="C88" s="42"/>
      <c r="D88" s="42"/>
      <c r="E88" s="41"/>
      <c r="F88" s="41"/>
      <c r="G88" s="41"/>
      <c r="H88" s="41"/>
      <c r="I88" s="41"/>
      <c r="J88" s="42"/>
      <c r="K88" s="41"/>
      <c r="L88" s="41"/>
      <c r="M88" s="127"/>
      <c r="N88" s="41"/>
      <c r="O88" s="41"/>
      <c r="P88" s="41"/>
      <c r="Q88" s="42"/>
      <c r="R88" s="35"/>
      <c r="S88" s="35"/>
      <c r="T88" s="35"/>
      <c r="U88" s="35"/>
      <c r="V88" s="121"/>
      <c r="W88" s="42"/>
      <c r="X88" s="42"/>
      <c r="Y88" s="42"/>
      <c r="Z88" s="42"/>
      <c r="AA88" s="42"/>
      <c r="AB88" s="42"/>
      <c r="AC88" s="42"/>
      <c r="AD88" s="42"/>
      <c r="AE88" s="42"/>
      <c r="AF88" s="42"/>
      <c r="AG88" s="42"/>
      <c r="AH88" s="42"/>
      <c r="AI88" s="42"/>
      <c r="AJ88" s="42"/>
      <c r="AK88" s="42"/>
      <c r="AL88" s="42"/>
      <c r="AM88" s="42"/>
    </row>
    <row r="89" spans="1:39" x14ac:dyDescent="0.25">
      <c r="A89" s="38" t="s">
        <v>440</v>
      </c>
      <c r="B89" s="42"/>
      <c r="C89" s="42"/>
      <c r="D89" s="42"/>
      <c r="E89" s="41"/>
      <c r="F89" s="41"/>
      <c r="G89" s="41"/>
      <c r="H89" s="41"/>
      <c r="I89" s="41"/>
      <c r="J89" s="42"/>
      <c r="K89" s="41"/>
      <c r="L89" s="41"/>
      <c r="M89" s="127"/>
      <c r="N89" s="41"/>
      <c r="O89" s="41"/>
      <c r="P89" s="41"/>
      <c r="Q89" s="42"/>
      <c r="R89" s="35"/>
      <c r="S89" s="35"/>
      <c r="T89" s="35"/>
      <c r="U89" s="35"/>
      <c r="V89" s="121"/>
      <c r="W89" s="42"/>
      <c r="X89" s="42"/>
      <c r="Y89" s="42"/>
      <c r="Z89" s="42"/>
      <c r="AA89" s="42"/>
      <c r="AB89" s="42"/>
      <c r="AC89" s="42"/>
      <c r="AD89" s="42"/>
      <c r="AE89" s="42"/>
      <c r="AF89" s="42"/>
      <c r="AG89" s="42"/>
      <c r="AH89" s="42"/>
      <c r="AI89" s="42"/>
      <c r="AJ89" s="42"/>
      <c r="AK89" s="42"/>
      <c r="AL89" s="42"/>
      <c r="AM89" s="42"/>
    </row>
    <row r="90" spans="1:39" x14ac:dyDescent="0.25">
      <c r="A90" s="38" t="s">
        <v>441</v>
      </c>
      <c r="B90" s="42"/>
      <c r="C90" s="42"/>
      <c r="D90" s="42"/>
      <c r="E90" s="41"/>
      <c r="F90" s="41"/>
      <c r="G90" s="41"/>
      <c r="H90" s="41"/>
      <c r="I90" s="41"/>
      <c r="J90" s="42"/>
      <c r="K90" s="41"/>
      <c r="L90" s="41"/>
      <c r="M90" s="127"/>
      <c r="N90" s="41"/>
      <c r="O90" s="41"/>
      <c r="P90" s="41"/>
      <c r="Q90" s="42"/>
      <c r="R90" s="35"/>
      <c r="S90" s="35"/>
      <c r="T90" s="35"/>
      <c r="U90" s="35"/>
      <c r="V90" s="121"/>
      <c r="W90" s="42"/>
      <c r="X90" s="42"/>
      <c r="Y90" s="42"/>
      <c r="Z90" s="42"/>
      <c r="AA90" s="42"/>
      <c r="AB90" s="42"/>
      <c r="AC90" s="42"/>
      <c r="AD90" s="42"/>
      <c r="AE90" s="42"/>
      <c r="AF90" s="42"/>
      <c r="AG90" s="42"/>
      <c r="AH90" s="42"/>
      <c r="AI90" s="42"/>
      <c r="AJ90" s="42"/>
      <c r="AK90" s="42"/>
      <c r="AL90" s="42"/>
      <c r="AM90" s="42"/>
    </row>
    <row r="91" spans="1:39" x14ac:dyDescent="0.25">
      <c r="A91" s="38" t="s">
        <v>442</v>
      </c>
      <c r="B91" s="42"/>
      <c r="C91" s="42"/>
      <c r="D91" s="42"/>
      <c r="E91" s="41"/>
      <c r="F91" s="41"/>
      <c r="G91" s="41"/>
      <c r="H91" s="41"/>
      <c r="I91" s="41"/>
      <c r="J91" s="42"/>
      <c r="K91" s="41"/>
      <c r="L91" s="41"/>
      <c r="M91" s="127"/>
      <c r="N91" s="41"/>
      <c r="O91" s="41"/>
      <c r="P91" s="41"/>
      <c r="Q91" s="42"/>
      <c r="R91" s="35"/>
      <c r="S91" s="35"/>
      <c r="T91" s="35"/>
      <c r="U91" s="35"/>
      <c r="V91" s="121"/>
      <c r="W91" s="42"/>
      <c r="X91" s="42"/>
      <c r="Y91" s="42"/>
      <c r="Z91" s="42"/>
      <c r="AA91" s="42"/>
      <c r="AB91" s="42"/>
      <c r="AC91" s="42"/>
      <c r="AD91" s="42"/>
      <c r="AE91" s="42"/>
      <c r="AF91" s="42"/>
      <c r="AG91" s="42"/>
      <c r="AH91" s="42"/>
      <c r="AI91" s="42"/>
      <c r="AJ91" s="42"/>
      <c r="AK91" s="42"/>
      <c r="AL91" s="42"/>
      <c r="AM91" s="42"/>
    </row>
    <row r="92" spans="1:39" x14ac:dyDescent="0.25">
      <c r="A92" s="38" t="s">
        <v>443</v>
      </c>
      <c r="B92" s="42"/>
      <c r="C92" s="42"/>
      <c r="D92" s="42"/>
      <c r="E92" s="41"/>
      <c r="F92" s="41"/>
      <c r="G92" s="41"/>
      <c r="H92" s="41"/>
      <c r="I92" s="41"/>
      <c r="J92" s="42"/>
      <c r="K92" s="41"/>
      <c r="L92" s="41"/>
      <c r="M92" s="127"/>
      <c r="N92" s="41"/>
      <c r="O92" s="41"/>
      <c r="P92" s="41"/>
      <c r="Q92" s="42"/>
      <c r="R92" s="35"/>
      <c r="S92" s="35"/>
      <c r="T92" s="35"/>
      <c r="U92" s="35"/>
      <c r="V92" s="121"/>
      <c r="W92" s="42"/>
      <c r="X92" s="42"/>
      <c r="Y92" s="42"/>
      <c r="Z92" s="42"/>
      <c r="AA92" s="42"/>
      <c r="AB92" s="42"/>
      <c r="AC92" s="42"/>
      <c r="AD92" s="42"/>
      <c r="AE92" s="42"/>
      <c r="AF92" s="42"/>
      <c r="AG92" s="42"/>
      <c r="AH92" s="42"/>
      <c r="AI92" s="42"/>
      <c r="AJ92" s="42"/>
      <c r="AK92" s="42"/>
      <c r="AL92" s="42"/>
      <c r="AM92" s="42"/>
    </row>
    <row r="93" spans="1:39" x14ac:dyDescent="0.25">
      <c r="A93" s="38" t="s">
        <v>444</v>
      </c>
      <c r="B93" s="42"/>
      <c r="C93" s="42"/>
      <c r="D93" s="42"/>
      <c r="E93" s="41"/>
      <c r="F93" s="41"/>
      <c r="G93" s="41"/>
      <c r="H93" s="41"/>
      <c r="I93" s="41"/>
      <c r="J93" s="42"/>
      <c r="K93" s="41"/>
      <c r="L93" s="41"/>
      <c r="M93" s="127"/>
      <c r="N93" s="41"/>
      <c r="O93" s="41"/>
      <c r="P93" s="41"/>
      <c r="Q93" s="42"/>
      <c r="R93" s="35"/>
      <c r="S93" s="35"/>
      <c r="T93" s="35"/>
      <c r="U93" s="35"/>
      <c r="V93" s="121"/>
      <c r="W93" s="42"/>
      <c r="X93" s="42"/>
      <c r="Y93" s="42"/>
      <c r="Z93" s="42"/>
      <c r="AA93" s="42"/>
      <c r="AB93" s="42"/>
      <c r="AC93" s="42"/>
      <c r="AD93" s="42"/>
      <c r="AE93" s="42"/>
      <c r="AF93" s="42"/>
      <c r="AG93" s="42"/>
      <c r="AH93" s="42"/>
      <c r="AI93" s="42"/>
      <c r="AJ93" s="42"/>
      <c r="AK93" s="42"/>
      <c r="AL93" s="42"/>
      <c r="AM93" s="42"/>
    </row>
    <row r="94" spans="1:39" x14ac:dyDescent="0.25">
      <c r="A94" s="38" t="s">
        <v>445</v>
      </c>
      <c r="B94" s="42"/>
      <c r="C94" s="42"/>
      <c r="D94" s="42"/>
      <c r="E94" s="41"/>
      <c r="F94" s="41"/>
      <c r="G94" s="41"/>
      <c r="H94" s="41"/>
      <c r="I94" s="41"/>
      <c r="J94" s="42"/>
      <c r="K94" s="41"/>
      <c r="L94" s="41"/>
      <c r="M94" s="127"/>
      <c r="N94" s="41"/>
      <c r="O94" s="41"/>
      <c r="P94" s="41"/>
      <c r="Q94" s="42"/>
      <c r="R94" s="35"/>
      <c r="S94" s="35"/>
      <c r="T94" s="35"/>
      <c r="U94" s="35"/>
      <c r="V94" s="121"/>
      <c r="W94" s="42"/>
      <c r="X94" s="42"/>
      <c r="Y94" s="42"/>
      <c r="Z94" s="42"/>
      <c r="AA94" s="42"/>
      <c r="AB94" s="42"/>
      <c r="AC94" s="42"/>
      <c r="AD94" s="42"/>
      <c r="AE94" s="42"/>
      <c r="AF94" s="42"/>
      <c r="AG94" s="42"/>
      <c r="AH94" s="42"/>
      <c r="AI94" s="42"/>
      <c r="AJ94" s="42"/>
      <c r="AK94" s="42"/>
      <c r="AL94" s="42"/>
      <c r="AM94" s="42"/>
    </row>
    <row r="95" spans="1:39" x14ac:dyDescent="0.25">
      <c r="A95" s="38" t="s">
        <v>446</v>
      </c>
      <c r="B95" s="42"/>
      <c r="C95" s="42"/>
      <c r="D95" s="42"/>
      <c r="E95" s="41"/>
      <c r="F95" s="41"/>
      <c r="G95" s="41"/>
      <c r="H95" s="41"/>
      <c r="I95" s="41"/>
      <c r="J95" s="42"/>
      <c r="K95" s="41"/>
      <c r="L95" s="41"/>
      <c r="M95" s="127"/>
      <c r="N95" s="41"/>
      <c r="O95" s="41"/>
      <c r="P95" s="41"/>
      <c r="Q95" s="42"/>
      <c r="R95" s="35"/>
      <c r="S95" s="35"/>
      <c r="T95" s="35"/>
      <c r="U95" s="35"/>
      <c r="V95" s="121"/>
      <c r="W95" s="42"/>
      <c r="X95" s="42"/>
      <c r="Y95" s="42"/>
      <c r="Z95" s="42"/>
      <c r="AA95" s="42"/>
      <c r="AB95" s="42"/>
      <c r="AC95" s="42"/>
      <c r="AD95" s="42"/>
      <c r="AE95" s="42"/>
      <c r="AF95" s="42"/>
      <c r="AG95" s="42"/>
      <c r="AH95" s="42"/>
      <c r="AI95" s="42"/>
      <c r="AJ95" s="42"/>
      <c r="AK95" s="42"/>
      <c r="AL95" s="42"/>
      <c r="AM95" s="42"/>
    </row>
    <row r="96" spans="1:39" x14ac:dyDescent="0.25">
      <c r="A96" s="38" t="s">
        <v>447</v>
      </c>
      <c r="B96" s="42"/>
      <c r="C96" s="42"/>
      <c r="D96" s="42"/>
      <c r="E96" s="41"/>
      <c r="F96" s="41"/>
      <c r="G96" s="41"/>
      <c r="H96" s="41"/>
      <c r="I96" s="41"/>
      <c r="J96" s="42"/>
      <c r="K96" s="41"/>
      <c r="L96" s="41"/>
      <c r="M96" s="127"/>
      <c r="N96" s="41"/>
      <c r="O96" s="41"/>
      <c r="P96" s="41"/>
      <c r="Q96" s="42"/>
      <c r="R96" s="35"/>
      <c r="S96" s="35"/>
      <c r="T96" s="35"/>
      <c r="U96" s="35"/>
      <c r="V96" s="121"/>
      <c r="W96" s="42"/>
      <c r="X96" s="42"/>
      <c r="Y96" s="42"/>
      <c r="Z96" s="42"/>
      <c r="AA96" s="42"/>
      <c r="AB96" s="42"/>
      <c r="AC96" s="42"/>
      <c r="AD96" s="42"/>
      <c r="AE96" s="42"/>
      <c r="AF96" s="42"/>
      <c r="AG96" s="42"/>
      <c r="AH96" s="42"/>
      <c r="AI96" s="42"/>
      <c r="AJ96" s="42"/>
      <c r="AK96" s="42"/>
      <c r="AL96" s="42"/>
      <c r="AM96" s="42"/>
    </row>
    <row r="97" spans="1:39" x14ac:dyDescent="0.25">
      <c r="A97" s="38" t="s">
        <v>448</v>
      </c>
      <c r="B97" s="42"/>
      <c r="C97" s="42"/>
      <c r="D97" s="42"/>
      <c r="E97" s="41"/>
      <c r="F97" s="41"/>
      <c r="G97" s="41"/>
      <c r="H97" s="41"/>
      <c r="I97" s="41"/>
      <c r="J97" s="42"/>
      <c r="K97" s="41"/>
      <c r="L97" s="41"/>
      <c r="M97" s="127"/>
      <c r="N97" s="41"/>
      <c r="O97" s="41"/>
      <c r="P97" s="41"/>
      <c r="Q97" s="42"/>
      <c r="R97" s="35"/>
      <c r="S97" s="35"/>
      <c r="T97" s="35"/>
      <c r="U97" s="35"/>
      <c r="V97" s="121"/>
      <c r="W97" s="42"/>
      <c r="X97" s="42"/>
      <c r="Y97" s="42"/>
      <c r="Z97" s="42"/>
      <c r="AA97" s="42"/>
      <c r="AB97" s="42"/>
      <c r="AC97" s="42"/>
      <c r="AD97" s="42"/>
      <c r="AE97" s="42"/>
      <c r="AF97" s="42"/>
      <c r="AG97" s="42"/>
      <c r="AH97" s="42"/>
      <c r="AI97" s="42"/>
      <c r="AJ97" s="42"/>
      <c r="AK97" s="42"/>
      <c r="AL97" s="42"/>
      <c r="AM97" s="42"/>
    </row>
    <row r="98" spans="1:39" x14ac:dyDescent="0.25">
      <c r="A98" s="38" t="s">
        <v>449</v>
      </c>
      <c r="B98" s="42"/>
      <c r="C98" s="42"/>
      <c r="D98" s="42"/>
      <c r="E98" s="41"/>
      <c r="F98" s="41"/>
      <c r="G98" s="41"/>
      <c r="H98" s="41"/>
      <c r="I98" s="41"/>
      <c r="J98" s="42"/>
      <c r="K98" s="41"/>
      <c r="L98" s="41"/>
      <c r="M98" s="127"/>
      <c r="N98" s="41"/>
      <c r="O98" s="41"/>
      <c r="P98" s="41"/>
      <c r="Q98" s="42"/>
      <c r="R98" s="35"/>
      <c r="S98" s="35"/>
      <c r="T98" s="35"/>
      <c r="U98" s="35"/>
      <c r="V98" s="121"/>
      <c r="W98" s="42"/>
      <c r="X98" s="42"/>
      <c r="Y98" s="42"/>
      <c r="Z98" s="42"/>
      <c r="AA98" s="42"/>
      <c r="AB98" s="42"/>
      <c r="AC98" s="42"/>
      <c r="AD98" s="42"/>
      <c r="AE98" s="42"/>
      <c r="AF98" s="42"/>
      <c r="AG98" s="42"/>
      <c r="AH98" s="42"/>
      <c r="AI98" s="42"/>
      <c r="AJ98" s="42"/>
      <c r="AK98" s="42"/>
      <c r="AL98" s="42"/>
      <c r="AM98" s="42"/>
    </row>
    <row r="99" spans="1:39" x14ac:dyDescent="0.25">
      <c r="A99" s="38" t="s">
        <v>450</v>
      </c>
      <c r="B99" s="42"/>
      <c r="C99" s="42"/>
      <c r="D99" s="42"/>
      <c r="E99" s="41"/>
      <c r="F99" s="41"/>
      <c r="G99" s="41"/>
      <c r="H99" s="41"/>
      <c r="I99" s="41"/>
      <c r="J99" s="42"/>
      <c r="K99" s="41"/>
      <c r="L99" s="41"/>
      <c r="M99" s="127"/>
      <c r="N99" s="41"/>
      <c r="O99" s="41"/>
      <c r="P99" s="41"/>
      <c r="Q99" s="42"/>
      <c r="R99" s="35"/>
      <c r="S99" s="35"/>
      <c r="T99" s="35"/>
      <c r="U99" s="35"/>
      <c r="V99" s="121"/>
      <c r="W99" s="42"/>
      <c r="X99" s="42"/>
      <c r="Y99" s="42"/>
      <c r="Z99" s="42"/>
      <c r="AA99" s="42"/>
      <c r="AB99" s="42"/>
      <c r="AC99" s="42"/>
      <c r="AD99" s="42"/>
      <c r="AE99" s="42"/>
      <c r="AF99" s="42"/>
      <c r="AG99" s="42"/>
      <c r="AH99" s="42"/>
      <c r="AI99" s="42"/>
      <c r="AJ99" s="42"/>
      <c r="AK99" s="42"/>
      <c r="AL99" s="42"/>
      <c r="AM99" s="42"/>
    </row>
    <row r="100" spans="1:39" x14ac:dyDescent="0.25">
      <c r="A100" s="38" t="s">
        <v>451</v>
      </c>
      <c r="B100" s="42"/>
      <c r="C100" s="42"/>
      <c r="D100" s="42"/>
      <c r="E100" s="41"/>
      <c r="F100" s="41"/>
      <c r="G100" s="41"/>
      <c r="H100" s="41"/>
      <c r="I100" s="41"/>
      <c r="J100" s="42"/>
      <c r="K100" s="41"/>
      <c r="L100" s="41"/>
      <c r="M100" s="127"/>
      <c r="N100" s="41"/>
      <c r="O100" s="41"/>
      <c r="P100" s="41"/>
      <c r="Q100" s="42"/>
      <c r="R100" s="35"/>
      <c r="S100" s="35"/>
      <c r="T100" s="35"/>
      <c r="U100" s="35"/>
      <c r="V100" s="121"/>
      <c r="W100" s="42"/>
      <c r="X100" s="42"/>
      <c r="Y100" s="42"/>
      <c r="Z100" s="42"/>
      <c r="AA100" s="42"/>
      <c r="AB100" s="42"/>
      <c r="AC100" s="42"/>
      <c r="AD100" s="42"/>
      <c r="AE100" s="42"/>
      <c r="AF100" s="42"/>
      <c r="AG100" s="42"/>
      <c r="AH100" s="42"/>
      <c r="AI100" s="42"/>
      <c r="AJ100" s="42"/>
      <c r="AK100" s="42"/>
      <c r="AL100" s="42"/>
      <c r="AM100" s="42"/>
    </row>
    <row r="101" spans="1:39" x14ac:dyDescent="0.25">
      <c r="A101" s="38" t="s">
        <v>452</v>
      </c>
      <c r="B101" s="42"/>
      <c r="C101" s="42"/>
      <c r="D101" s="42"/>
      <c r="E101" s="41"/>
      <c r="F101" s="41"/>
      <c r="G101" s="41"/>
      <c r="H101" s="41"/>
      <c r="I101" s="41"/>
      <c r="J101" s="42"/>
      <c r="K101" s="41"/>
      <c r="L101" s="41"/>
      <c r="M101" s="127"/>
      <c r="N101" s="41"/>
      <c r="O101" s="41"/>
      <c r="P101" s="41"/>
      <c r="Q101" s="42"/>
      <c r="R101" s="35"/>
      <c r="S101" s="35"/>
      <c r="T101" s="35"/>
      <c r="U101" s="35"/>
      <c r="V101" s="121"/>
      <c r="W101" s="42"/>
      <c r="X101" s="42"/>
      <c r="Y101" s="42"/>
      <c r="Z101" s="42"/>
      <c r="AA101" s="42"/>
      <c r="AB101" s="42"/>
      <c r="AC101" s="42"/>
      <c r="AD101" s="42"/>
      <c r="AE101" s="42"/>
      <c r="AF101" s="42"/>
      <c r="AG101" s="42"/>
      <c r="AH101" s="42"/>
      <c r="AI101" s="42"/>
      <c r="AJ101" s="42"/>
      <c r="AK101" s="42"/>
      <c r="AL101" s="42"/>
      <c r="AM101" s="42"/>
    </row>
    <row r="102" spans="1:39" x14ac:dyDescent="0.25">
      <c r="A102" s="38" t="s">
        <v>453</v>
      </c>
      <c r="B102" s="42"/>
      <c r="C102" s="42"/>
      <c r="D102" s="42"/>
      <c r="E102" s="41"/>
      <c r="F102" s="41"/>
      <c r="G102" s="41"/>
      <c r="H102" s="41"/>
      <c r="I102" s="41"/>
      <c r="J102" s="42"/>
      <c r="K102" s="41"/>
      <c r="L102" s="41"/>
      <c r="M102" s="127"/>
      <c r="N102" s="41"/>
      <c r="O102" s="41"/>
      <c r="P102" s="41"/>
      <c r="Q102" s="42"/>
      <c r="R102" s="35"/>
      <c r="S102" s="35"/>
      <c r="T102" s="35"/>
      <c r="U102" s="35"/>
      <c r="V102" s="121"/>
      <c r="W102" s="42"/>
      <c r="X102" s="42"/>
      <c r="Y102" s="42"/>
      <c r="Z102" s="42"/>
      <c r="AA102" s="42"/>
      <c r="AB102" s="42"/>
      <c r="AC102" s="42"/>
      <c r="AD102" s="42"/>
      <c r="AE102" s="42"/>
      <c r="AF102" s="42"/>
      <c r="AG102" s="42"/>
      <c r="AH102" s="42"/>
      <c r="AI102" s="42"/>
      <c r="AJ102" s="42"/>
      <c r="AK102" s="42"/>
      <c r="AL102" s="42"/>
      <c r="AM102" s="42"/>
    </row>
    <row r="103" spans="1:39" x14ac:dyDescent="0.25">
      <c r="A103" s="38" t="s">
        <v>454</v>
      </c>
      <c r="B103" s="42"/>
      <c r="C103" s="42"/>
      <c r="D103" s="42"/>
      <c r="E103" s="41"/>
      <c r="F103" s="41"/>
      <c r="G103" s="41"/>
      <c r="H103" s="41"/>
      <c r="I103" s="41"/>
      <c r="J103" s="42"/>
      <c r="K103" s="41"/>
      <c r="L103" s="41"/>
      <c r="M103" s="127"/>
      <c r="N103" s="41"/>
      <c r="O103" s="41"/>
      <c r="P103" s="41"/>
      <c r="Q103" s="42"/>
      <c r="R103" s="35"/>
      <c r="S103" s="35"/>
      <c r="T103" s="35"/>
      <c r="U103" s="35"/>
      <c r="V103" s="121"/>
      <c r="W103" s="42"/>
      <c r="X103" s="42"/>
      <c r="Y103" s="42"/>
      <c r="Z103" s="42"/>
      <c r="AA103" s="42"/>
      <c r="AB103" s="42"/>
      <c r="AC103" s="42"/>
      <c r="AD103" s="42"/>
      <c r="AE103" s="42"/>
      <c r="AF103" s="42"/>
      <c r="AG103" s="42"/>
      <c r="AH103" s="42"/>
      <c r="AI103" s="42"/>
      <c r="AJ103" s="42"/>
      <c r="AK103" s="42"/>
      <c r="AL103" s="42"/>
      <c r="AM103" s="42"/>
    </row>
    <row r="104" spans="1:39" x14ac:dyDescent="0.25">
      <c r="A104" s="38" t="s">
        <v>455</v>
      </c>
      <c r="B104" s="42"/>
      <c r="C104" s="42"/>
      <c r="D104" s="42"/>
      <c r="E104" s="41"/>
      <c r="F104" s="41"/>
      <c r="G104" s="41"/>
      <c r="H104" s="41"/>
      <c r="I104" s="41"/>
      <c r="J104" s="42"/>
      <c r="K104" s="41"/>
      <c r="L104" s="41"/>
      <c r="M104" s="127"/>
      <c r="N104" s="41"/>
      <c r="O104" s="41"/>
      <c r="P104" s="41"/>
      <c r="Q104" s="42"/>
      <c r="R104" s="35"/>
      <c r="S104" s="35"/>
      <c r="T104" s="35"/>
      <c r="U104" s="35"/>
      <c r="V104" s="121"/>
      <c r="W104" s="42"/>
      <c r="X104" s="42"/>
      <c r="Y104" s="42"/>
      <c r="Z104" s="42"/>
      <c r="AA104" s="42"/>
      <c r="AB104" s="42"/>
      <c r="AC104" s="42"/>
      <c r="AD104" s="42"/>
      <c r="AE104" s="42"/>
      <c r="AF104" s="42"/>
      <c r="AG104" s="42"/>
      <c r="AH104" s="42"/>
      <c r="AI104" s="42"/>
      <c r="AJ104" s="42"/>
      <c r="AK104" s="42"/>
      <c r="AL104" s="42"/>
      <c r="AM104" s="42"/>
    </row>
    <row r="105" spans="1:39" x14ac:dyDescent="0.25">
      <c r="A105" s="38" t="s">
        <v>456</v>
      </c>
      <c r="B105" s="42"/>
      <c r="C105" s="42"/>
      <c r="D105" s="42"/>
      <c r="E105" s="41"/>
      <c r="F105" s="41"/>
      <c r="G105" s="41"/>
      <c r="H105" s="41"/>
      <c r="I105" s="41"/>
      <c r="J105" s="42"/>
      <c r="K105" s="41"/>
      <c r="L105" s="41"/>
      <c r="M105" s="127"/>
      <c r="N105" s="41"/>
      <c r="O105" s="41"/>
      <c r="P105" s="41"/>
      <c r="Q105" s="42"/>
      <c r="R105" s="35"/>
      <c r="S105" s="35"/>
      <c r="T105" s="35"/>
      <c r="U105" s="35"/>
      <c r="V105" s="121"/>
      <c r="W105" s="42"/>
      <c r="X105" s="42"/>
      <c r="Y105" s="42"/>
      <c r="Z105" s="42"/>
      <c r="AA105" s="42"/>
      <c r="AB105" s="42"/>
      <c r="AC105" s="42"/>
      <c r="AD105" s="42"/>
      <c r="AE105" s="42"/>
      <c r="AF105" s="42"/>
      <c r="AG105" s="42"/>
      <c r="AH105" s="42"/>
      <c r="AI105" s="42"/>
      <c r="AJ105" s="42"/>
      <c r="AK105" s="42"/>
      <c r="AL105" s="42"/>
      <c r="AM105" s="42"/>
    </row>
    <row r="106" spans="1:39" x14ac:dyDescent="0.25">
      <c r="A106" s="38" t="s">
        <v>457</v>
      </c>
      <c r="B106" s="42"/>
      <c r="C106" s="42"/>
      <c r="D106" s="42"/>
      <c r="E106" s="41"/>
      <c r="F106" s="41"/>
      <c r="G106" s="41"/>
      <c r="H106" s="41"/>
      <c r="I106" s="41"/>
      <c r="J106" s="42"/>
      <c r="K106" s="41"/>
      <c r="L106" s="41"/>
      <c r="M106" s="127"/>
      <c r="N106" s="41"/>
      <c r="O106" s="41"/>
      <c r="P106" s="41"/>
      <c r="Q106" s="42"/>
      <c r="R106" s="35"/>
      <c r="S106" s="35"/>
      <c r="T106" s="35"/>
      <c r="U106" s="35"/>
      <c r="V106" s="121"/>
      <c r="W106" s="42"/>
      <c r="X106" s="42"/>
      <c r="Y106" s="42"/>
      <c r="Z106" s="42"/>
      <c r="AA106" s="42"/>
      <c r="AB106" s="42"/>
      <c r="AC106" s="42"/>
      <c r="AD106" s="42"/>
      <c r="AE106" s="42"/>
      <c r="AF106" s="42"/>
      <c r="AG106" s="42"/>
      <c r="AH106" s="42"/>
      <c r="AI106" s="42"/>
      <c r="AJ106" s="42"/>
      <c r="AK106" s="42"/>
      <c r="AL106" s="42"/>
      <c r="AM106" s="42"/>
    </row>
    <row r="107" spans="1:39" x14ac:dyDescent="0.25">
      <c r="A107" s="38" t="s">
        <v>458</v>
      </c>
      <c r="B107" s="42"/>
      <c r="C107" s="42"/>
      <c r="D107" s="42"/>
      <c r="E107" s="41"/>
      <c r="F107" s="41"/>
      <c r="G107" s="41"/>
      <c r="H107" s="41"/>
      <c r="I107" s="41"/>
      <c r="J107" s="42"/>
      <c r="K107" s="41"/>
      <c r="L107" s="41"/>
      <c r="M107" s="127"/>
      <c r="N107" s="41"/>
      <c r="O107" s="41"/>
      <c r="P107" s="41"/>
      <c r="Q107" s="42"/>
      <c r="R107" s="35"/>
      <c r="S107" s="35"/>
      <c r="T107" s="35"/>
      <c r="U107" s="35"/>
      <c r="V107" s="121"/>
      <c r="W107" s="42"/>
      <c r="X107" s="42"/>
      <c r="Y107" s="42"/>
      <c r="Z107" s="42"/>
      <c r="AA107" s="42"/>
      <c r="AB107" s="42"/>
      <c r="AC107" s="42"/>
      <c r="AD107" s="42"/>
      <c r="AE107" s="42"/>
      <c r="AF107" s="42"/>
      <c r="AG107" s="42"/>
      <c r="AH107" s="42"/>
      <c r="AI107" s="42"/>
      <c r="AJ107" s="42"/>
      <c r="AK107" s="42"/>
      <c r="AL107" s="42"/>
      <c r="AM107" s="42"/>
    </row>
    <row r="108" spans="1:39" x14ac:dyDescent="0.25">
      <c r="A108" s="38" t="s">
        <v>459</v>
      </c>
      <c r="B108" s="42"/>
      <c r="C108" s="42"/>
      <c r="D108" s="42"/>
      <c r="E108" s="41"/>
      <c r="F108" s="41"/>
      <c r="G108" s="41"/>
      <c r="H108" s="41"/>
      <c r="I108" s="41"/>
      <c r="J108" s="42"/>
      <c r="K108" s="41"/>
      <c r="L108" s="41"/>
      <c r="M108" s="127"/>
      <c r="N108" s="41"/>
      <c r="O108" s="41"/>
      <c r="P108" s="41"/>
      <c r="Q108" s="42"/>
      <c r="R108" s="35"/>
      <c r="S108" s="35"/>
      <c r="T108" s="35"/>
      <c r="U108" s="35"/>
      <c r="V108" s="121"/>
      <c r="W108" s="42"/>
      <c r="X108" s="42"/>
      <c r="Y108" s="42"/>
      <c r="Z108" s="42"/>
      <c r="AA108" s="42"/>
      <c r="AB108" s="42"/>
      <c r="AC108" s="42"/>
      <c r="AD108" s="42"/>
      <c r="AE108" s="42"/>
      <c r="AF108" s="42"/>
      <c r="AG108" s="42"/>
      <c r="AH108" s="42"/>
      <c r="AI108" s="42"/>
      <c r="AJ108" s="42"/>
      <c r="AK108" s="42"/>
      <c r="AL108" s="42"/>
      <c r="AM108" s="42"/>
    </row>
    <row r="109" spans="1:39" x14ac:dyDescent="0.25">
      <c r="A109" s="38" t="s">
        <v>460</v>
      </c>
      <c r="B109" s="42"/>
      <c r="C109" s="42"/>
      <c r="D109" s="42"/>
      <c r="E109" s="41"/>
      <c r="F109" s="41"/>
      <c r="G109" s="41"/>
      <c r="H109" s="41"/>
      <c r="I109" s="41"/>
      <c r="J109" s="42"/>
      <c r="K109" s="41"/>
      <c r="L109" s="41"/>
      <c r="M109" s="127"/>
      <c r="N109" s="41"/>
      <c r="O109" s="41"/>
      <c r="P109" s="41"/>
      <c r="Q109" s="42"/>
      <c r="R109" s="35"/>
      <c r="S109" s="35"/>
      <c r="T109" s="35"/>
      <c r="U109" s="35"/>
      <c r="V109" s="121"/>
      <c r="W109" s="42"/>
      <c r="X109" s="42"/>
      <c r="Y109" s="42"/>
      <c r="Z109" s="42"/>
      <c r="AA109" s="42"/>
      <c r="AB109" s="42"/>
      <c r="AC109" s="42"/>
      <c r="AD109" s="42"/>
      <c r="AE109" s="42"/>
      <c r="AF109" s="42"/>
      <c r="AG109" s="42"/>
      <c r="AH109" s="42"/>
      <c r="AI109" s="42"/>
      <c r="AJ109" s="42"/>
      <c r="AK109" s="42"/>
      <c r="AL109" s="42"/>
      <c r="AM109" s="42"/>
    </row>
    <row r="110" spans="1:39" x14ac:dyDescent="0.25">
      <c r="A110" s="38" t="s">
        <v>461</v>
      </c>
      <c r="B110" s="42"/>
      <c r="C110" s="42"/>
      <c r="D110" s="42"/>
      <c r="E110" s="41"/>
      <c r="F110" s="41"/>
      <c r="G110" s="41"/>
      <c r="H110" s="41"/>
      <c r="I110" s="41"/>
      <c r="J110" s="42"/>
      <c r="K110" s="41"/>
      <c r="L110" s="41"/>
      <c r="M110" s="127"/>
      <c r="N110" s="41"/>
      <c r="O110" s="41"/>
      <c r="P110" s="41"/>
      <c r="Q110" s="42"/>
      <c r="R110" s="35"/>
      <c r="S110" s="35"/>
      <c r="T110" s="35"/>
      <c r="U110" s="35"/>
      <c r="V110" s="121"/>
      <c r="W110" s="42"/>
      <c r="X110" s="42"/>
      <c r="Y110" s="42"/>
      <c r="Z110" s="42"/>
      <c r="AA110" s="42"/>
      <c r="AB110" s="42"/>
      <c r="AC110" s="42"/>
      <c r="AD110" s="42"/>
      <c r="AE110" s="42"/>
      <c r="AF110" s="42"/>
      <c r="AG110" s="42"/>
      <c r="AH110" s="42"/>
      <c r="AI110" s="42"/>
      <c r="AJ110" s="42"/>
      <c r="AK110" s="42"/>
      <c r="AL110" s="42"/>
      <c r="AM110" s="42"/>
    </row>
    <row r="111" spans="1:39" x14ac:dyDescent="0.25">
      <c r="A111" s="38" t="s">
        <v>462</v>
      </c>
      <c r="B111" s="42"/>
      <c r="C111" s="42"/>
      <c r="D111" s="42"/>
      <c r="E111" s="41"/>
      <c r="F111" s="41"/>
      <c r="G111" s="41"/>
      <c r="H111" s="41"/>
      <c r="I111" s="41"/>
      <c r="J111" s="42"/>
      <c r="K111" s="41"/>
      <c r="L111" s="41"/>
      <c r="M111" s="127"/>
      <c r="N111" s="41"/>
      <c r="O111" s="41"/>
      <c r="P111" s="41"/>
      <c r="Q111" s="42"/>
      <c r="R111" s="35"/>
      <c r="S111" s="35"/>
      <c r="T111" s="35"/>
      <c r="U111" s="35"/>
      <c r="V111" s="121"/>
      <c r="W111" s="42"/>
      <c r="X111" s="42"/>
      <c r="Y111" s="42"/>
      <c r="Z111" s="42"/>
      <c r="AA111" s="42"/>
      <c r="AB111" s="42"/>
      <c r="AC111" s="42"/>
      <c r="AD111" s="42"/>
      <c r="AE111" s="42"/>
      <c r="AF111" s="42"/>
      <c r="AG111" s="42"/>
      <c r="AH111" s="42"/>
      <c r="AI111" s="42"/>
      <c r="AJ111" s="42"/>
      <c r="AK111" s="42"/>
      <c r="AL111" s="42"/>
      <c r="AM111" s="42"/>
    </row>
    <row r="112" spans="1:39" x14ac:dyDescent="0.25">
      <c r="A112" s="38" t="s">
        <v>463</v>
      </c>
      <c r="B112" s="42"/>
      <c r="C112" s="42"/>
      <c r="D112" s="42"/>
      <c r="E112" s="41"/>
      <c r="F112" s="41"/>
      <c r="G112" s="41"/>
      <c r="H112" s="41"/>
      <c r="I112" s="41"/>
      <c r="J112" s="42"/>
      <c r="K112" s="41"/>
      <c r="L112" s="41"/>
      <c r="M112" s="127"/>
      <c r="N112" s="41"/>
      <c r="O112" s="41"/>
      <c r="P112" s="41"/>
      <c r="Q112" s="42"/>
      <c r="R112" s="35"/>
      <c r="S112" s="35"/>
      <c r="T112" s="35"/>
      <c r="U112" s="35"/>
      <c r="V112" s="121"/>
      <c r="W112" s="42"/>
      <c r="X112" s="42"/>
      <c r="Y112" s="42"/>
      <c r="Z112" s="42"/>
      <c r="AA112" s="42"/>
      <c r="AB112" s="42"/>
      <c r="AC112" s="42"/>
      <c r="AD112" s="42"/>
      <c r="AE112" s="42"/>
      <c r="AF112" s="42"/>
      <c r="AG112" s="42"/>
      <c r="AH112" s="42"/>
      <c r="AI112" s="42"/>
      <c r="AJ112" s="42"/>
      <c r="AK112" s="42"/>
      <c r="AL112" s="42"/>
      <c r="AM112" s="42"/>
    </row>
    <row r="113" spans="1:39" x14ac:dyDescent="0.25">
      <c r="A113" s="38" t="s">
        <v>464</v>
      </c>
      <c r="B113" s="42"/>
      <c r="C113" s="42"/>
      <c r="D113" s="42"/>
      <c r="E113" s="41"/>
      <c r="F113" s="41"/>
      <c r="G113" s="41"/>
      <c r="H113" s="41"/>
      <c r="I113" s="41"/>
      <c r="J113" s="42"/>
      <c r="K113" s="41"/>
      <c r="L113" s="41"/>
      <c r="M113" s="127"/>
      <c r="N113" s="41"/>
      <c r="O113" s="41"/>
      <c r="P113" s="41"/>
      <c r="Q113" s="42"/>
      <c r="R113" s="35"/>
      <c r="S113" s="35"/>
      <c r="T113" s="35"/>
      <c r="U113" s="35"/>
      <c r="V113" s="121"/>
      <c r="W113" s="42"/>
      <c r="X113" s="42"/>
      <c r="Y113" s="42"/>
      <c r="Z113" s="42"/>
      <c r="AA113" s="42"/>
      <c r="AB113" s="42"/>
      <c r="AC113" s="42"/>
      <c r="AD113" s="42"/>
      <c r="AE113" s="42"/>
      <c r="AF113" s="42"/>
      <c r="AG113" s="42"/>
      <c r="AH113" s="42"/>
      <c r="AI113" s="42"/>
      <c r="AJ113" s="42"/>
      <c r="AK113" s="42"/>
      <c r="AL113" s="42"/>
      <c r="AM113" s="42"/>
    </row>
    <row r="114" spans="1:39" x14ac:dyDescent="0.25">
      <c r="A114" s="38" t="s">
        <v>465</v>
      </c>
      <c r="B114" s="42"/>
      <c r="C114" s="42"/>
      <c r="D114" s="42"/>
      <c r="E114" s="41"/>
      <c r="F114" s="41"/>
      <c r="G114" s="41"/>
      <c r="H114" s="41"/>
      <c r="I114" s="41"/>
      <c r="J114" s="42"/>
      <c r="K114" s="41"/>
      <c r="L114" s="41"/>
      <c r="M114" s="127"/>
      <c r="N114" s="41"/>
      <c r="O114" s="41"/>
      <c r="P114" s="41"/>
      <c r="Q114" s="42"/>
      <c r="R114" s="35"/>
      <c r="S114" s="35"/>
      <c r="T114" s="35"/>
      <c r="U114" s="35"/>
      <c r="V114" s="121"/>
      <c r="W114" s="42"/>
      <c r="X114" s="42"/>
      <c r="Y114" s="42"/>
      <c r="Z114" s="42"/>
      <c r="AA114" s="42"/>
      <c r="AB114" s="42"/>
      <c r="AC114" s="42"/>
      <c r="AD114" s="42"/>
      <c r="AE114" s="42"/>
      <c r="AF114" s="42"/>
      <c r="AG114" s="42"/>
      <c r="AH114" s="42"/>
      <c r="AI114" s="42"/>
      <c r="AJ114" s="42"/>
      <c r="AK114" s="42"/>
      <c r="AL114" s="42"/>
      <c r="AM114" s="42"/>
    </row>
    <row r="115" spans="1:39" x14ac:dyDescent="0.25">
      <c r="A115" s="38" t="s">
        <v>466</v>
      </c>
      <c r="B115" s="42"/>
      <c r="C115" s="42"/>
      <c r="D115" s="42"/>
      <c r="E115" s="41"/>
      <c r="F115" s="41"/>
      <c r="G115" s="41"/>
      <c r="H115" s="41"/>
      <c r="I115" s="41"/>
      <c r="J115" s="42"/>
      <c r="K115" s="41"/>
      <c r="L115" s="41"/>
      <c r="M115" s="127"/>
      <c r="N115" s="41"/>
      <c r="O115" s="41"/>
      <c r="P115" s="41"/>
      <c r="Q115" s="42"/>
      <c r="R115" s="35"/>
      <c r="S115" s="35"/>
      <c r="T115" s="35"/>
      <c r="U115" s="35"/>
      <c r="V115" s="121"/>
      <c r="W115" s="42"/>
      <c r="X115" s="42"/>
      <c r="Y115" s="42"/>
      <c r="Z115" s="42"/>
      <c r="AA115" s="42"/>
      <c r="AB115" s="42"/>
      <c r="AC115" s="42"/>
      <c r="AD115" s="42"/>
      <c r="AE115" s="42"/>
      <c r="AF115" s="42"/>
      <c r="AG115" s="42"/>
      <c r="AH115" s="42"/>
      <c r="AI115" s="42"/>
      <c r="AJ115" s="42"/>
      <c r="AK115" s="42"/>
      <c r="AL115" s="42"/>
      <c r="AM115" s="42"/>
    </row>
    <row r="116" spans="1:39" x14ac:dyDescent="0.25">
      <c r="A116" s="38" t="s">
        <v>467</v>
      </c>
      <c r="B116" s="42"/>
      <c r="C116" s="42"/>
      <c r="D116" s="42"/>
      <c r="E116" s="41"/>
      <c r="F116" s="41"/>
      <c r="G116" s="41"/>
      <c r="H116" s="41"/>
      <c r="I116" s="41"/>
      <c r="J116" s="42"/>
      <c r="K116" s="41"/>
      <c r="L116" s="41"/>
      <c r="M116" s="127"/>
      <c r="N116" s="41"/>
      <c r="O116" s="41"/>
      <c r="P116" s="41"/>
      <c r="Q116" s="42"/>
      <c r="R116" s="35"/>
      <c r="S116" s="35"/>
      <c r="T116" s="35"/>
      <c r="U116" s="35"/>
      <c r="V116" s="121"/>
      <c r="W116" s="42"/>
      <c r="X116" s="42"/>
      <c r="Y116" s="42"/>
      <c r="Z116" s="42"/>
      <c r="AA116" s="42"/>
      <c r="AB116" s="42"/>
      <c r="AC116" s="42"/>
      <c r="AD116" s="42"/>
      <c r="AE116" s="42"/>
      <c r="AF116" s="42"/>
      <c r="AG116" s="42"/>
      <c r="AH116" s="42"/>
      <c r="AI116" s="42"/>
      <c r="AJ116" s="42"/>
      <c r="AK116" s="42"/>
      <c r="AL116" s="42"/>
      <c r="AM116" s="42"/>
    </row>
    <row r="117" spans="1:39" x14ac:dyDescent="0.25">
      <c r="A117" s="38" t="s">
        <v>468</v>
      </c>
      <c r="B117" s="42"/>
      <c r="C117" s="42"/>
      <c r="D117" s="42"/>
      <c r="E117" s="41"/>
      <c r="F117" s="41"/>
      <c r="G117" s="41"/>
      <c r="H117" s="41"/>
      <c r="I117" s="41"/>
      <c r="J117" s="42"/>
      <c r="K117" s="41"/>
      <c r="L117" s="41"/>
      <c r="M117" s="127"/>
      <c r="N117" s="41"/>
      <c r="O117" s="41"/>
      <c r="P117" s="41"/>
      <c r="Q117" s="42"/>
      <c r="R117" s="35"/>
      <c r="S117" s="35"/>
      <c r="T117" s="35"/>
      <c r="U117" s="35"/>
      <c r="V117" s="121"/>
      <c r="W117" s="42"/>
      <c r="X117" s="42"/>
      <c r="Y117" s="42"/>
      <c r="Z117" s="42"/>
      <c r="AA117" s="42"/>
      <c r="AB117" s="42"/>
      <c r="AC117" s="42"/>
      <c r="AD117" s="42"/>
      <c r="AE117" s="42"/>
      <c r="AF117" s="42"/>
      <c r="AG117" s="42"/>
      <c r="AH117" s="42"/>
      <c r="AI117" s="42"/>
      <c r="AJ117" s="42"/>
      <c r="AK117" s="42"/>
      <c r="AL117" s="42"/>
      <c r="AM117" s="42"/>
    </row>
    <row r="118" spans="1:39" x14ac:dyDescent="0.25">
      <c r="A118" s="38" t="s">
        <v>469</v>
      </c>
      <c r="B118" s="42"/>
      <c r="C118" s="42"/>
      <c r="D118" s="42"/>
      <c r="E118" s="41"/>
      <c r="F118" s="41"/>
      <c r="G118" s="41"/>
      <c r="H118" s="41"/>
      <c r="I118" s="41"/>
      <c r="J118" s="42"/>
      <c r="K118" s="41"/>
      <c r="L118" s="41"/>
      <c r="M118" s="127"/>
      <c r="N118" s="41"/>
      <c r="O118" s="41"/>
      <c r="P118" s="41"/>
      <c r="Q118" s="42"/>
      <c r="R118" s="35"/>
      <c r="S118" s="35"/>
      <c r="T118" s="35"/>
      <c r="U118" s="35"/>
      <c r="V118" s="121"/>
      <c r="W118" s="42"/>
      <c r="X118" s="42"/>
      <c r="Y118" s="42"/>
      <c r="Z118" s="42"/>
      <c r="AA118" s="42"/>
      <c r="AB118" s="42"/>
      <c r="AC118" s="42"/>
      <c r="AD118" s="42"/>
      <c r="AE118" s="42"/>
      <c r="AF118" s="42"/>
      <c r="AG118" s="42"/>
      <c r="AH118" s="42"/>
      <c r="AI118" s="42"/>
      <c r="AJ118" s="42"/>
      <c r="AK118" s="42"/>
      <c r="AL118" s="42"/>
      <c r="AM118" s="42"/>
    </row>
    <row r="119" spans="1:39" x14ac:dyDescent="0.25">
      <c r="A119" s="38" t="s">
        <v>470</v>
      </c>
      <c r="B119" s="42"/>
      <c r="C119" s="42"/>
      <c r="D119" s="42"/>
      <c r="E119" s="41"/>
      <c r="F119" s="41"/>
      <c r="G119" s="41"/>
      <c r="H119" s="41"/>
      <c r="I119" s="41"/>
      <c r="J119" s="42"/>
      <c r="K119" s="41"/>
      <c r="L119" s="41"/>
      <c r="M119" s="127"/>
      <c r="N119" s="41"/>
      <c r="O119" s="41"/>
      <c r="P119" s="41"/>
      <c r="Q119" s="42"/>
      <c r="R119" s="35"/>
      <c r="S119" s="35"/>
      <c r="T119" s="35"/>
      <c r="U119" s="35"/>
      <c r="V119" s="121"/>
      <c r="W119" s="42"/>
      <c r="X119" s="42"/>
      <c r="Y119" s="42"/>
      <c r="Z119" s="42"/>
      <c r="AA119" s="42"/>
      <c r="AB119" s="42"/>
      <c r="AC119" s="42"/>
      <c r="AD119" s="42"/>
      <c r="AE119" s="42"/>
      <c r="AF119" s="42"/>
      <c r="AG119" s="42"/>
      <c r="AH119" s="42"/>
      <c r="AI119" s="42"/>
      <c r="AJ119" s="42"/>
      <c r="AK119" s="42"/>
      <c r="AL119" s="42"/>
      <c r="AM119" s="42"/>
    </row>
    <row r="120" spans="1:39" x14ac:dyDescent="0.25">
      <c r="A120" s="38" t="s">
        <v>471</v>
      </c>
      <c r="B120" s="42"/>
      <c r="C120" s="42"/>
      <c r="D120" s="42"/>
      <c r="E120" s="41"/>
      <c r="F120" s="41"/>
      <c r="G120" s="41"/>
      <c r="H120" s="41"/>
      <c r="I120" s="41"/>
      <c r="J120" s="42"/>
      <c r="K120" s="41"/>
      <c r="L120" s="41"/>
      <c r="M120" s="127"/>
      <c r="N120" s="41"/>
      <c r="O120" s="41"/>
      <c r="P120" s="41"/>
      <c r="Q120" s="42"/>
      <c r="R120" s="35"/>
      <c r="S120" s="35"/>
      <c r="T120" s="35"/>
      <c r="U120" s="35"/>
      <c r="V120" s="121"/>
      <c r="W120" s="42"/>
      <c r="X120" s="42"/>
      <c r="Y120" s="42"/>
      <c r="Z120" s="42"/>
      <c r="AA120" s="42"/>
      <c r="AB120" s="42"/>
      <c r="AC120" s="42"/>
      <c r="AD120" s="42"/>
      <c r="AE120" s="42"/>
      <c r="AF120" s="42"/>
      <c r="AG120" s="42"/>
      <c r="AH120" s="42"/>
      <c r="AI120" s="42"/>
      <c r="AJ120" s="42"/>
      <c r="AK120" s="42"/>
      <c r="AL120" s="42"/>
      <c r="AM120" s="42"/>
    </row>
    <row r="121" spans="1:39" x14ac:dyDescent="0.25">
      <c r="A121" s="38" t="s">
        <v>472</v>
      </c>
      <c r="B121" s="42"/>
      <c r="C121" s="42"/>
      <c r="D121" s="42"/>
      <c r="E121" s="41"/>
      <c r="F121" s="41"/>
      <c r="G121" s="41"/>
      <c r="H121" s="41"/>
      <c r="I121" s="41"/>
      <c r="J121" s="42"/>
      <c r="K121" s="41"/>
      <c r="L121" s="41"/>
      <c r="M121" s="127"/>
      <c r="N121" s="41"/>
      <c r="O121" s="41"/>
      <c r="P121" s="41"/>
      <c r="Q121" s="42"/>
      <c r="R121" s="35"/>
      <c r="S121" s="35"/>
      <c r="T121" s="35"/>
      <c r="U121" s="35"/>
      <c r="V121" s="121"/>
      <c r="W121" s="42"/>
      <c r="X121" s="42"/>
      <c r="Y121" s="42"/>
      <c r="Z121" s="42"/>
      <c r="AA121" s="42"/>
      <c r="AB121" s="42"/>
      <c r="AC121" s="42"/>
      <c r="AD121" s="42"/>
      <c r="AE121" s="42"/>
      <c r="AF121" s="42"/>
      <c r="AG121" s="42"/>
      <c r="AH121" s="42"/>
      <c r="AI121" s="42"/>
      <c r="AJ121" s="42"/>
      <c r="AK121" s="42"/>
      <c r="AL121" s="42"/>
      <c r="AM121" s="42"/>
    </row>
    <row r="122" spans="1:39" x14ac:dyDescent="0.25">
      <c r="A122" s="38" t="s">
        <v>473</v>
      </c>
      <c r="B122" s="42"/>
      <c r="C122" s="42"/>
      <c r="D122" s="42"/>
      <c r="E122" s="41"/>
      <c r="F122" s="41"/>
      <c r="G122" s="41"/>
      <c r="H122" s="41"/>
      <c r="I122" s="41"/>
      <c r="J122" s="42"/>
      <c r="K122" s="41"/>
      <c r="L122" s="41"/>
      <c r="M122" s="127"/>
      <c r="N122" s="41"/>
      <c r="O122" s="41"/>
      <c r="P122" s="41"/>
      <c r="Q122" s="42"/>
      <c r="R122" s="35"/>
      <c r="S122" s="35"/>
      <c r="T122" s="35"/>
      <c r="U122" s="35"/>
      <c r="V122" s="121"/>
      <c r="W122" s="42"/>
      <c r="X122" s="42"/>
      <c r="Y122" s="42"/>
      <c r="Z122" s="42"/>
      <c r="AA122" s="42"/>
      <c r="AB122" s="42"/>
      <c r="AC122" s="42"/>
      <c r="AD122" s="42"/>
      <c r="AE122" s="42"/>
      <c r="AF122" s="42"/>
      <c r="AG122" s="42"/>
      <c r="AH122" s="42"/>
      <c r="AI122" s="42"/>
      <c r="AJ122" s="42"/>
      <c r="AK122" s="42"/>
      <c r="AL122" s="42"/>
      <c r="AM122" s="42"/>
    </row>
    <row r="123" spans="1:39" x14ac:dyDescent="0.25">
      <c r="A123" s="38" t="s">
        <v>474</v>
      </c>
      <c r="B123" s="42"/>
      <c r="C123" s="42"/>
      <c r="D123" s="42"/>
      <c r="E123" s="41"/>
      <c r="F123" s="41"/>
      <c r="G123" s="41"/>
      <c r="H123" s="41"/>
      <c r="I123" s="41"/>
      <c r="J123" s="42"/>
      <c r="K123" s="41"/>
      <c r="L123" s="41"/>
      <c r="M123" s="127"/>
      <c r="N123" s="41"/>
      <c r="O123" s="41"/>
      <c r="P123" s="41"/>
      <c r="Q123" s="42"/>
      <c r="R123" s="35"/>
      <c r="S123" s="35"/>
      <c r="T123" s="35"/>
      <c r="U123" s="35"/>
      <c r="V123" s="121"/>
      <c r="W123" s="42"/>
      <c r="X123" s="42"/>
      <c r="Y123" s="42"/>
      <c r="Z123" s="42"/>
      <c r="AA123" s="42"/>
      <c r="AB123" s="42"/>
      <c r="AC123" s="42"/>
      <c r="AD123" s="42"/>
      <c r="AE123" s="42"/>
      <c r="AF123" s="42"/>
      <c r="AG123" s="42"/>
      <c r="AH123" s="42"/>
      <c r="AI123" s="42"/>
      <c r="AJ123" s="42"/>
      <c r="AK123" s="42"/>
      <c r="AL123" s="42"/>
      <c r="AM123" s="42"/>
    </row>
    <row r="124" spans="1:39" x14ac:dyDescent="0.25">
      <c r="A124" s="38" t="s">
        <v>475</v>
      </c>
      <c r="B124" s="42"/>
      <c r="C124" s="42"/>
      <c r="D124" s="42"/>
      <c r="E124" s="41"/>
      <c r="F124" s="41"/>
      <c r="G124" s="41"/>
      <c r="H124" s="41"/>
      <c r="I124" s="41"/>
      <c r="J124" s="42"/>
      <c r="K124" s="41"/>
      <c r="L124" s="41"/>
      <c r="M124" s="127"/>
      <c r="N124" s="41"/>
      <c r="O124" s="41"/>
      <c r="P124" s="41"/>
      <c r="Q124" s="42"/>
      <c r="R124" s="35"/>
      <c r="S124" s="35"/>
      <c r="T124" s="35"/>
      <c r="U124" s="35"/>
      <c r="V124" s="121"/>
      <c r="W124" s="42"/>
      <c r="X124" s="42"/>
      <c r="Y124" s="42"/>
      <c r="Z124" s="42"/>
      <c r="AA124" s="42"/>
      <c r="AB124" s="42"/>
      <c r="AC124" s="42"/>
      <c r="AD124" s="42"/>
      <c r="AE124" s="42"/>
      <c r="AF124" s="42"/>
      <c r="AG124" s="42"/>
      <c r="AH124" s="42"/>
      <c r="AI124" s="42"/>
      <c r="AJ124" s="42"/>
      <c r="AK124" s="42"/>
      <c r="AL124" s="42"/>
      <c r="AM124" s="42"/>
    </row>
    <row r="125" spans="1:39" x14ac:dyDescent="0.25">
      <c r="A125" s="38" t="s">
        <v>476</v>
      </c>
      <c r="B125" s="42"/>
      <c r="C125" s="42"/>
      <c r="D125" s="42"/>
      <c r="E125" s="41"/>
      <c r="F125" s="41"/>
      <c r="G125" s="41"/>
      <c r="H125" s="41"/>
      <c r="I125" s="41"/>
      <c r="J125" s="42"/>
      <c r="K125" s="41"/>
      <c r="L125" s="41"/>
      <c r="M125" s="127"/>
      <c r="N125" s="41"/>
      <c r="O125" s="41"/>
      <c r="P125" s="41"/>
      <c r="Q125" s="42"/>
      <c r="R125" s="35"/>
      <c r="S125" s="35"/>
      <c r="T125" s="35"/>
      <c r="U125" s="35"/>
      <c r="V125" s="121"/>
      <c r="W125" s="42"/>
      <c r="X125" s="42"/>
      <c r="Y125" s="42"/>
      <c r="Z125" s="42"/>
      <c r="AA125" s="42"/>
      <c r="AB125" s="42"/>
      <c r="AC125" s="42"/>
      <c r="AD125" s="42"/>
      <c r="AE125" s="42"/>
      <c r="AF125" s="42"/>
      <c r="AG125" s="42"/>
      <c r="AH125" s="42"/>
      <c r="AI125" s="42"/>
      <c r="AJ125" s="42"/>
      <c r="AK125" s="42"/>
      <c r="AL125" s="42"/>
      <c r="AM125" s="42"/>
    </row>
    <row r="126" spans="1:39" x14ac:dyDescent="0.25">
      <c r="A126" s="38" t="s">
        <v>477</v>
      </c>
      <c r="B126" s="42"/>
      <c r="C126" s="42"/>
      <c r="D126" s="42"/>
      <c r="E126" s="41"/>
      <c r="F126" s="41"/>
      <c r="G126" s="41"/>
      <c r="H126" s="41"/>
      <c r="I126" s="41"/>
      <c r="J126" s="42"/>
      <c r="K126" s="41"/>
      <c r="L126" s="41"/>
      <c r="M126" s="127"/>
      <c r="N126" s="41"/>
      <c r="O126" s="41"/>
      <c r="P126" s="41"/>
      <c r="Q126" s="42"/>
      <c r="R126" s="35"/>
      <c r="S126" s="35"/>
      <c r="T126" s="35"/>
      <c r="U126" s="35"/>
      <c r="V126" s="121"/>
      <c r="W126" s="42"/>
      <c r="X126" s="42"/>
      <c r="Y126" s="42"/>
      <c r="Z126" s="42"/>
      <c r="AA126" s="42"/>
      <c r="AB126" s="42"/>
      <c r="AC126" s="42"/>
      <c r="AD126" s="42"/>
      <c r="AE126" s="42"/>
      <c r="AF126" s="42"/>
      <c r="AG126" s="42"/>
      <c r="AH126" s="42"/>
      <c r="AI126" s="42"/>
      <c r="AJ126" s="42"/>
      <c r="AK126" s="42"/>
      <c r="AL126" s="42"/>
      <c r="AM126" s="42"/>
    </row>
    <row r="127" spans="1:39" x14ac:dyDescent="0.25">
      <c r="A127" s="38" t="s">
        <v>478</v>
      </c>
      <c r="B127" s="42"/>
      <c r="C127" s="42"/>
      <c r="D127" s="42"/>
      <c r="E127" s="41"/>
      <c r="F127" s="41"/>
      <c r="G127" s="41"/>
      <c r="H127" s="41"/>
      <c r="I127" s="41"/>
      <c r="J127" s="42"/>
      <c r="K127" s="41"/>
      <c r="L127" s="41"/>
      <c r="M127" s="127"/>
      <c r="N127" s="41"/>
      <c r="O127" s="41"/>
      <c r="P127" s="41"/>
      <c r="Q127" s="42"/>
      <c r="R127" s="35"/>
      <c r="S127" s="35"/>
      <c r="T127" s="35"/>
      <c r="U127" s="35"/>
      <c r="V127" s="121"/>
      <c r="W127" s="42"/>
      <c r="X127" s="42"/>
      <c r="Y127" s="42"/>
      <c r="Z127" s="42"/>
      <c r="AA127" s="42"/>
      <c r="AB127" s="42"/>
      <c r="AC127" s="42"/>
      <c r="AD127" s="42"/>
      <c r="AE127" s="42"/>
      <c r="AF127" s="42"/>
      <c r="AG127" s="42"/>
      <c r="AH127" s="42"/>
      <c r="AI127" s="42"/>
      <c r="AJ127" s="42"/>
      <c r="AK127" s="42"/>
      <c r="AL127" s="42"/>
      <c r="AM127" s="42"/>
    </row>
    <row r="128" spans="1:39" x14ac:dyDescent="0.25">
      <c r="A128" s="38" t="s">
        <v>479</v>
      </c>
      <c r="B128" s="42"/>
      <c r="C128" s="42"/>
      <c r="D128" s="42"/>
      <c r="E128" s="41"/>
      <c r="F128" s="41"/>
      <c r="G128" s="41"/>
      <c r="H128" s="41"/>
      <c r="I128" s="41"/>
      <c r="J128" s="42"/>
      <c r="K128" s="41"/>
      <c r="L128" s="41"/>
      <c r="M128" s="127"/>
      <c r="N128" s="41"/>
      <c r="O128" s="41"/>
      <c r="P128" s="41"/>
      <c r="Q128" s="42"/>
      <c r="R128" s="35"/>
      <c r="S128" s="35"/>
      <c r="T128" s="35"/>
      <c r="U128" s="35"/>
      <c r="V128" s="121"/>
      <c r="W128" s="42"/>
      <c r="X128" s="42"/>
      <c r="Y128" s="42"/>
      <c r="Z128" s="42"/>
      <c r="AA128" s="42"/>
      <c r="AB128" s="42"/>
      <c r="AC128" s="42"/>
      <c r="AD128" s="42"/>
      <c r="AE128" s="42"/>
      <c r="AF128" s="42"/>
      <c r="AG128" s="42"/>
      <c r="AH128" s="42"/>
      <c r="AI128" s="42"/>
      <c r="AJ128" s="42"/>
      <c r="AK128" s="42"/>
      <c r="AL128" s="42"/>
      <c r="AM128" s="42"/>
    </row>
    <row r="129" spans="1:39" x14ac:dyDescent="0.25">
      <c r="A129" s="38" t="s">
        <v>480</v>
      </c>
      <c r="B129" s="42"/>
      <c r="C129" s="42"/>
      <c r="D129" s="42"/>
      <c r="E129" s="41"/>
      <c r="F129" s="41"/>
      <c r="G129" s="41"/>
      <c r="H129" s="41"/>
      <c r="I129" s="41"/>
      <c r="J129" s="42"/>
      <c r="K129" s="41"/>
      <c r="L129" s="41"/>
      <c r="M129" s="127"/>
      <c r="N129" s="41"/>
      <c r="O129" s="41"/>
      <c r="P129" s="41"/>
      <c r="Q129" s="42"/>
      <c r="R129" s="35"/>
      <c r="S129" s="35"/>
      <c r="T129" s="35"/>
      <c r="U129" s="35"/>
      <c r="V129" s="121"/>
      <c r="W129" s="42"/>
      <c r="X129" s="42"/>
      <c r="Y129" s="42"/>
      <c r="Z129" s="42"/>
      <c r="AA129" s="42"/>
      <c r="AB129" s="42"/>
      <c r="AC129" s="42"/>
      <c r="AD129" s="42"/>
      <c r="AE129" s="42"/>
      <c r="AF129" s="42"/>
      <c r="AG129" s="42"/>
      <c r="AH129" s="42"/>
      <c r="AI129" s="42"/>
      <c r="AJ129" s="42"/>
      <c r="AK129" s="42"/>
      <c r="AL129" s="42"/>
      <c r="AM129" s="42"/>
    </row>
    <row r="130" spans="1:39" x14ac:dyDescent="0.25">
      <c r="A130" s="38" t="s">
        <v>481</v>
      </c>
      <c r="B130" s="42"/>
      <c r="C130" s="42"/>
      <c r="D130" s="42"/>
      <c r="E130" s="41"/>
      <c r="F130" s="41"/>
      <c r="G130" s="41"/>
      <c r="H130" s="41"/>
      <c r="I130" s="41"/>
      <c r="J130" s="42"/>
      <c r="K130" s="41"/>
      <c r="L130" s="41"/>
      <c r="M130" s="127"/>
      <c r="N130" s="41"/>
      <c r="O130" s="41"/>
      <c r="P130" s="41"/>
      <c r="Q130" s="42"/>
      <c r="R130" s="35"/>
      <c r="S130" s="35"/>
      <c r="T130" s="35"/>
      <c r="U130" s="35"/>
      <c r="V130" s="121"/>
      <c r="W130" s="42"/>
      <c r="X130" s="42"/>
      <c r="Y130" s="42"/>
      <c r="Z130" s="42"/>
      <c r="AA130" s="42"/>
      <c r="AB130" s="42"/>
      <c r="AC130" s="42"/>
      <c r="AD130" s="42"/>
      <c r="AE130" s="42"/>
      <c r="AF130" s="42"/>
      <c r="AG130" s="42"/>
      <c r="AH130" s="42"/>
      <c r="AI130" s="42"/>
      <c r="AJ130" s="42"/>
      <c r="AK130" s="42"/>
      <c r="AL130" s="42"/>
      <c r="AM130" s="42"/>
    </row>
    <row r="131" spans="1:39" x14ac:dyDescent="0.25">
      <c r="A131" s="38" t="s">
        <v>482</v>
      </c>
      <c r="B131" s="42"/>
      <c r="C131" s="42"/>
      <c r="D131" s="42"/>
      <c r="E131" s="41"/>
      <c r="F131" s="41"/>
      <c r="G131" s="41"/>
      <c r="H131" s="41"/>
      <c r="I131" s="41"/>
      <c r="J131" s="42"/>
      <c r="K131" s="41"/>
      <c r="L131" s="41"/>
      <c r="M131" s="127"/>
      <c r="N131" s="41"/>
      <c r="O131" s="41"/>
      <c r="P131" s="41"/>
      <c r="Q131" s="42"/>
      <c r="R131" s="35"/>
      <c r="S131" s="35"/>
      <c r="T131" s="35"/>
      <c r="U131" s="35"/>
      <c r="V131" s="121"/>
      <c r="W131" s="42"/>
      <c r="X131" s="42"/>
      <c r="Y131" s="42"/>
      <c r="Z131" s="42"/>
      <c r="AA131" s="42"/>
      <c r="AB131" s="42"/>
      <c r="AC131" s="42"/>
      <c r="AD131" s="42"/>
      <c r="AE131" s="42"/>
      <c r="AF131" s="42"/>
      <c r="AG131" s="42"/>
      <c r="AH131" s="42"/>
      <c r="AI131" s="42"/>
      <c r="AJ131" s="42"/>
      <c r="AK131" s="42"/>
      <c r="AL131" s="42"/>
      <c r="AM131" s="42"/>
    </row>
    <row r="132" spans="1:39" x14ac:dyDescent="0.25">
      <c r="A132" s="38" t="s">
        <v>483</v>
      </c>
      <c r="B132" s="42"/>
      <c r="C132" s="42"/>
      <c r="D132" s="42"/>
      <c r="E132" s="41"/>
      <c r="F132" s="41"/>
      <c r="G132" s="41"/>
      <c r="H132" s="41"/>
      <c r="I132" s="41"/>
      <c r="J132" s="42"/>
      <c r="K132" s="41"/>
      <c r="L132" s="41"/>
      <c r="M132" s="127"/>
      <c r="N132" s="41"/>
      <c r="O132" s="41"/>
      <c r="P132" s="41"/>
      <c r="Q132" s="42"/>
      <c r="R132" s="35"/>
      <c r="S132" s="35"/>
      <c r="T132" s="35"/>
      <c r="U132" s="35"/>
      <c r="V132" s="121"/>
      <c r="W132" s="42"/>
      <c r="X132" s="42"/>
      <c r="Y132" s="42"/>
      <c r="Z132" s="42"/>
      <c r="AA132" s="42"/>
      <c r="AB132" s="42"/>
      <c r="AC132" s="42"/>
      <c r="AD132" s="42"/>
      <c r="AE132" s="42"/>
      <c r="AF132" s="42"/>
      <c r="AG132" s="42"/>
      <c r="AH132" s="42"/>
      <c r="AI132" s="42"/>
      <c r="AJ132" s="42"/>
      <c r="AK132" s="42"/>
      <c r="AL132" s="42"/>
      <c r="AM132" s="42"/>
    </row>
    <row r="133" spans="1:39" x14ac:dyDescent="0.25">
      <c r="A133" s="38" t="s">
        <v>484</v>
      </c>
      <c r="B133" s="42"/>
      <c r="C133" s="42"/>
      <c r="D133" s="42"/>
      <c r="E133" s="41"/>
      <c r="F133" s="41"/>
      <c r="G133" s="41"/>
      <c r="H133" s="41"/>
      <c r="I133" s="41"/>
      <c r="J133" s="42"/>
      <c r="K133" s="41"/>
      <c r="L133" s="41"/>
      <c r="M133" s="127"/>
      <c r="N133" s="41"/>
      <c r="O133" s="41"/>
      <c r="P133" s="41"/>
      <c r="Q133" s="42"/>
      <c r="R133" s="35"/>
      <c r="S133" s="35"/>
      <c r="T133" s="35"/>
      <c r="U133" s="35"/>
      <c r="V133" s="121"/>
      <c r="W133" s="42"/>
      <c r="X133" s="42"/>
      <c r="Y133" s="42"/>
      <c r="Z133" s="42"/>
      <c r="AA133" s="42"/>
      <c r="AB133" s="42"/>
      <c r="AC133" s="42"/>
      <c r="AD133" s="42"/>
      <c r="AE133" s="42"/>
      <c r="AF133" s="42"/>
      <c r="AG133" s="42"/>
      <c r="AH133" s="42"/>
      <c r="AI133" s="42"/>
      <c r="AJ133" s="42"/>
      <c r="AK133" s="42"/>
      <c r="AL133" s="42"/>
      <c r="AM133" s="42"/>
    </row>
    <row r="134" spans="1:39" x14ac:dyDescent="0.25">
      <c r="A134" s="38" t="s">
        <v>485</v>
      </c>
      <c r="B134" s="42"/>
      <c r="C134" s="42"/>
      <c r="D134" s="42"/>
      <c r="E134" s="41"/>
      <c r="F134" s="41"/>
      <c r="G134" s="41"/>
      <c r="H134" s="41"/>
      <c r="I134" s="41"/>
      <c r="J134" s="42"/>
      <c r="K134" s="41"/>
      <c r="L134" s="41"/>
      <c r="M134" s="127"/>
      <c r="N134" s="41"/>
      <c r="O134" s="41"/>
      <c r="P134" s="41"/>
      <c r="Q134" s="42"/>
      <c r="R134" s="35"/>
      <c r="S134" s="35"/>
      <c r="T134" s="35"/>
      <c r="U134" s="35"/>
      <c r="V134" s="121"/>
      <c r="W134" s="42"/>
      <c r="X134" s="42"/>
      <c r="Y134" s="42"/>
      <c r="Z134" s="42"/>
      <c r="AA134" s="42"/>
      <c r="AB134" s="42"/>
      <c r="AC134" s="42"/>
      <c r="AD134" s="42"/>
      <c r="AE134" s="42"/>
      <c r="AF134" s="42"/>
      <c r="AG134" s="42"/>
      <c r="AH134" s="42"/>
      <c r="AI134" s="42"/>
      <c r="AJ134" s="42"/>
      <c r="AK134" s="42"/>
      <c r="AL134" s="42"/>
      <c r="AM134" s="42"/>
    </row>
    <row r="135" spans="1:39" x14ac:dyDescent="0.25">
      <c r="A135" s="38" t="s">
        <v>486</v>
      </c>
      <c r="B135" s="42"/>
      <c r="C135" s="42"/>
      <c r="D135" s="42"/>
      <c r="E135" s="41"/>
      <c r="F135" s="41"/>
      <c r="G135" s="41"/>
      <c r="H135" s="41"/>
      <c r="I135" s="41"/>
      <c r="J135" s="42"/>
      <c r="K135" s="41"/>
      <c r="L135" s="41"/>
      <c r="M135" s="127"/>
      <c r="N135" s="41"/>
      <c r="O135" s="41"/>
      <c r="P135" s="41"/>
      <c r="Q135" s="42"/>
      <c r="R135" s="35"/>
      <c r="S135" s="35"/>
      <c r="T135" s="35"/>
      <c r="U135" s="35"/>
      <c r="V135" s="121"/>
      <c r="W135" s="42"/>
      <c r="X135" s="42"/>
      <c r="Y135" s="42"/>
      <c r="Z135" s="42"/>
      <c r="AA135" s="42"/>
      <c r="AB135" s="42"/>
      <c r="AC135" s="42"/>
      <c r="AD135" s="42"/>
      <c r="AE135" s="42"/>
      <c r="AF135" s="42"/>
      <c r="AG135" s="42"/>
      <c r="AH135" s="42"/>
      <c r="AI135" s="42"/>
      <c r="AJ135" s="42"/>
      <c r="AK135" s="42"/>
      <c r="AL135" s="42"/>
      <c r="AM135" s="42"/>
    </row>
    <row r="136" spans="1:39" x14ac:dyDescent="0.25">
      <c r="A136" s="38" t="s">
        <v>487</v>
      </c>
      <c r="B136" s="42"/>
      <c r="C136" s="42"/>
      <c r="D136" s="42"/>
      <c r="E136" s="41"/>
      <c r="F136" s="41"/>
      <c r="G136" s="41"/>
      <c r="H136" s="41"/>
      <c r="I136" s="41"/>
      <c r="J136" s="42"/>
      <c r="K136" s="41"/>
      <c r="L136" s="41"/>
      <c r="M136" s="127"/>
      <c r="N136" s="41"/>
      <c r="O136" s="41"/>
      <c r="P136" s="41"/>
      <c r="Q136" s="42"/>
      <c r="R136" s="35"/>
      <c r="S136" s="35"/>
      <c r="T136" s="35"/>
      <c r="U136" s="35"/>
      <c r="V136" s="121"/>
      <c r="W136" s="42"/>
      <c r="X136" s="42"/>
      <c r="Y136" s="42"/>
      <c r="Z136" s="42"/>
      <c r="AA136" s="42"/>
      <c r="AB136" s="42"/>
      <c r="AC136" s="42"/>
      <c r="AD136" s="42"/>
      <c r="AE136" s="42"/>
      <c r="AF136" s="42"/>
      <c r="AG136" s="42"/>
      <c r="AH136" s="42"/>
      <c r="AI136" s="42"/>
      <c r="AJ136" s="42"/>
      <c r="AK136" s="42"/>
      <c r="AL136" s="42"/>
      <c r="AM136" s="42"/>
    </row>
    <row r="137" spans="1:39" x14ac:dyDescent="0.25">
      <c r="A137" s="38" t="s">
        <v>488</v>
      </c>
      <c r="B137" s="42"/>
      <c r="C137" s="42"/>
      <c r="D137" s="42"/>
      <c r="E137" s="41"/>
      <c r="F137" s="41"/>
      <c r="G137" s="41"/>
      <c r="H137" s="41"/>
      <c r="I137" s="41"/>
      <c r="J137" s="42"/>
      <c r="K137" s="41"/>
      <c r="L137" s="41"/>
      <c r="M137" s="127"/>
      <c r="N137" s="41"/>
      <c r="O137" s="41"/>
      <c r="P137" s="41"/>
      <c r="Q137" s="42"/>
      <c r="R137" s="35"/>
      <c r="S137" s="35"/>
      <c r="T137" s="35"/>
      <c r="U137" s="35"/>
      <c r="V137" s="121"/>
      <c r="W137" s="42"/>
      <c r="X137" s="42"/>
      <c r="Y137" s="42"/>
      <c r="Z137" s="42"/>
      <c r="AA137" s="42"/>
      <c r="AB137" s="42"/>
      <c r="AC137" s="42"/>
      <c r="AD137" s="42"/>
      <c r="AE137" s="42"/>
      <c r="AF137" s="42"/>
      <c r="AG137" s="42"/>
      <c r="AH137" s="42"/>
      <c r="AI137" s="42"/>
      <c r="AJ137" s="42"/>
      <c r="AK137" s="42"/>
      <c r="AL137" s="42"/>
      <c r="AM137" s="42"/>
    </row>
    <row r="138" spans="1:39" x14ac:dyDescent="0.25">
      <c r="A138" s="38" t="s">
        <v>489</v>
      </c>
      <c r="B138" s="42"/>
      <c r="C138" s="42"/>
      <c r="D138" s="42"/>
      <c r="E138" s="41"/>
      <c r="F138" s="41"/>
      <c r="G138" s="41"/>
      <c r="H138" s="41"/>
      <c r="I138" s="41"/>
      <c r="J138" s="42"/>
      <c r="K138" s="41"/>
      <c r="L138" s="41"/>
      <c r="M138" s="127"/>
      <c r="N138" s="41"/>
      <c r="O138" s="41"/>
      <c r="P138" s="41"/>
      <c r="Q138" s="42"/>
      <c r="R138" s="35"/>
      <c r="S138" s="35"/>
      <c r="T138" s="35"/>
      <c r="U138" s="35"/>
      <c r="V138" s="121"/>
      <c r="W138" s="42"/>
      <c r="X138" s="42"/>
      <c r="Y138" s="42"/>
      <c r="Z138" s="42"/>
      <c r="AA138" s="42"/>
      <c r="AB138" s="42"/>
      <c r="AC138" s="42"/>
      <c r="AD138" s="42"/>
      <c r="AE138" s="42"/>
      <c r="AF138" s="42"/>
      <c r="AG138" s="42"/>
      <c r="AH138" s="42"/>
      <c r="AI138" s="42"/>
      <c r="AJ138" s="42"/>
      <c r="AK138" s="42"/>
      <c r="AL138" s="42"/>
      <c r="AM138" s="42"/>
    </row>
    <row r="139" spans="1:39" x14ac:dyDescent="0.25">
      <c r="A139" s="38" t="s">
        <v>490</v>
      </c>
      <c r="B139" s="42"/>
      <c r="C139" s="42"/>
      <c r="D139" s="42"/>
      <c r="E139" s="41"/>
      <c r="F139" s="41"/>
      <c r="G139" s="41"/>
      <c r="H139" s="41"/>
      <c r="I139" s="41"/>
      <c r="J139" s="42"/>
      <c r="K139" s="41"/>
      <c r="L139" s="41"/>
      <c r="M139" s="127"/>
      <c r="N139" s="41"/>
      <c r="O139" s="41"/>
      <c r="P139" s="41"/>
      <c r="Q139" s="42"/>
      <c r="R139" s="35"/>
      <c r="S139" s="35"/>
      <c r="T139" s="35"/>
      <c r="U139" s="35"/>
      <c r="V139" s="121"/>
      <c r="W139" s="42"/>
      <c r="X139" s="42"/>
      <c r="Y139" s="42"/>
      <c r="Z139" s="42"/>
      <c r="AA139" s="42"/>
      <c r="AB139" s="42"/>
      <c r="AC139" s="42"/>
      <c r="AD139" s="42"/>
      <c r="AE139" s="42"/>
      <c r="AF139" s="42"/>
      <c r="AG139" s="42"/>
      <c r="AH139" s="42"/>
      <c r="AI139" s="42"/>
      <c r="AJ139" s="42"/>
      <c r="AK139" s="42"/>
      <c r="AL139" s="42"/>
      <c r="AM139" s="42"/>
    </row>
    <row r="140" spans="1:39" x14ac:dyDescent="0.25">
      <c r="A140" s="38" t="s">
        <v>491</v>
      </c>
      <c r="B140" s="42"/>
      <c r="C140" s="42"/>
      <c r="D140" s="42"/>
      <c r="E140" s="41"/>
      <c r="F140" s="41"/>
      <c r="G140" s="41"/>
      <c r="H140" s="41"/>
      <c r="I140" s="41"/>
      <c r="J140" s="42"/>
      <c r="K140" s="41"/>
      <c r="L140" s="41"/>
      <c r="M140" s="127"/>
      <c r="N140" s="41"/>
      <c r="O140" s="41"/>
      <c r="P140" s="41"/>
      <c r="Q140" s="42"/>
      <c r="R140" s="35"/>
      <c r="S140" s="35"/>
      <c r="T140" s="35"/>
      <c r="U140" s="35"/>
      <c r="V140" s="121"/>
      <c r="W140" s="42"/>
      <c r="X140" s="42"/>
      <c r="Y140" s="42"/>
      <c r="Z140" s="42"/>
      <c r="AA140" s="42"/>
      <c r="AB140" s="42"/>
      <c r="AC140" s="42"/>
      <c r="AD140" s="42"/>
      <c r="AE140" s="42"/>
      <c r="AF140" s="42"/>
      <c r="AG140" s="42"/>
      <c r="AH140" s="42"/>
      <c r="AI140" s="42"/>
      <c r="AJ140" s="42"/>
      <c r="AK140" s="42"/>
      <c r="AL140" s="42"/>
      <c r="AM140" s="42"/>
    </row>
    <row r="141" spans="1:39" x14ac:dyDescent="0.25">
      <c r="A141" s="38" t="s">
        <v>492</v>
      </c>
      <c r="B141" s="42"/>
      <c r="C141" s="42"/>
      <c r="D141" s="42"/>
      <c r="E141" s="41"/>
      <c r="F141" s="41"/>
      <c r="G141" s="41"/>
      <c r="H141" s="41"/>
      <c r="I141" s="41"/>
      <c r="J141" s="42"/>
      <c r="K141" s="41"/>
      <c r="L141" s="41"/>
      <c r="M141" s="127"/>
      <c r="N141" s="41"/>
      <c r="O141" s="41"/>
      <c r="P141" s="41"/>
      <c r="Q141" s="42"/>
      <c r="R141" s="35"/>
      <c r="S141" s="35"/>
      <c r="T141" s="35"/>
      <c r="U141" s="35"/>
      <c r="V141" s="121"/>
      <c r="W141" s="42"/>
      <c r="X141" s="42"/>
      <c r="Y141" s="42"/>
      <c r="Z141" s="42"/>
      <c r="AA141" s="42"/>
      <c r="AB141" s="42"/>
      <c r="AC141" s="42"/>
      <c r="AD141" s="42"/>
      <c r="AE141" s="42"/>
      <c r="AF141" s="42"/>
      <c r="AG141" s="42"/>
      <c r="AH141" s="42"/>
      <c r="AI141" s="42"/>
      <c r="AJ141" s="42"/>
      <c r="AK141" s="42"/>
      <c r="AL141" s="42"/>
      <c r="AM141" s="42"/>
    </row>
    <row r="142" spans="1:39" x14ac:dyDescent="0.25">
      <c r="A142" s="38" t="s">
        <v>493</v>
      </c>
      <c r="B142" s="42"/>
      <c r="C142" s="42"/>
      <c r="D142" s="42"/>
      <c r="E142" s="41"/>
      <c r="F142" s="41"/>
      <c r="G142" s="41"/>
      <c r="H142" s="41"/>
      <c r="I142" s="41"/>
      <c r="J142" s="42"/>
      <c r="K142" s="41"/>
      <c r="L142" s="41"/>
      <c r="M142" s="127"/>
      <c r="N142" s="41"/>
      <c r="O142" s="41"/>
      <c r="P142" s="41"/>
      <c r="Q142" s="42"/>
      <c r="R142" s="35"/>
      <c r="S142" s="35"/>
      <c r="T142" s="35"/>
      <c r="U142" s="35"/>
      <c r="V142" s="121"/>
      <c r="W142" s="42"/>
      <c r="X142" s="42"/>
      <c r="Y142" s="42"/>
      <c r="Z142" s="42"/>
      <c r="AA142" s="42"/>
      <c r="AB142" s="42"/>
      <c r="AC142" s="42"/>
      <c r="AD142" s="42"/>
      <c r="AE142" s="42"/>
      <c r="AF142" s="42"/>
      <c r="AG142" s="42"/>
      <c r="AH142" s="42"/>
      <c r="AI142" s="42"/>
      <c r="AJ142" s="42"/>
      <c r="AK142" s="42"/>
      <c r="AL142" s="42"/>
      <c r="AM142" s="42"/>
    </row>
    <row r="143" spans="1:39" x14ac:dyDescent="0.25">
      <c r="A143" s="38" t="s">
        <v>494</v>
      </c>
      <c r="B143" s="42"/>
      <c r="C143" s="42"/>
      <c r="D143" s="42"/>
      <c r="E143" s="41"/>
      <c r="F143" s="41"/>
      <c r="G143" s="41"/>
      <c r="H143" s="41"/>
      <c r="I143" s="41"/>
      <c r="J143" s="42"/>
      <c r="K143" s="41"/>
      <c r="L143" s="41"/>
      <c r="M143" s="127"/>
      <c r="N143" s="41"/>
      <c r="O143" s="41"/>
      <c r="P143" s="41"/>
      <c r="Q143" s="42"/>
      <c r="R143" s="35"/>
      <c r="S143" s="35"/>
      <c r="T143" s="35"/>
      <c r="U143" s="35"/>
      <c r="V143" s="121"/>
      <c r="W143" s="42"/>
      <c r="X143" s="42"/>
      <c r="Y143" s="42"/>
      <c r="Z143" s="42"/>
      <c r="AA143" s="42"/>
      <c r="AB143" s="42"/>
      <c r="AC143" s="42"/>
      <c r="AD143" s="42"/>
      <c r="AE143" s="42"/>
      <c r="AF143" s="42"/>
      <c r="AG143" s="42"/>
      <c r="AH143" s="42"/>
      <c r="AI143" s="42"/>
      <c r="AJ143" s="42"/>
      <c r="AK143" s="42"/>
      <c r="AL143" s="42"/>
      <c r="AM143" s="42"/>
    </row>
    <row r="144" spans="1:39" x14ac:dyDescent="0.25">
      <c r="A144" s="38" t="s">
        <v>495</v>
      </c>
      <c r="B144" s="42"/>
      <c r="C144" s="42"/>
      <c r="D144" s="42"/>
      <c r="E144" s="41"/>
      <c r="F144" s="41"/>
      <c r="G144" s="41"/>
      <c r="H144" s="41"/>
      <c r="I144" s="41"/>
      <c r="J144" s="42"/>
      <c r="K144" s="41"/>
      <c r="L144" s="41"/>
      <c r="M144" s="127"/>
      <c r="N144" s="41"/>
      <c r="O144" s="41"/>
      <c r="P144" s="41"/>
      <c r="Q144" s="42"/>
      <c r="R144" s="35"/>
      <c r="S144" s="35"/>
      <c r="T144" s="35"/>
      <c r="U144" s="35"/>
      <c r="V144" s="121"/>
      <c r="W144" s="42"/>
      <c r="X144" s="42"/>
      <c r="Y144" s="42"/>
      <c r="Z144" s="42"/>
      <c r="AA144" s="42"/>
      <c r="AB144" s="42"/>
      <c r="AC144" s="42"/>
      <c r="AD144" s="42"/>
      <c r="AE144" s="42"/>
      <c r="AF144" s="42"/>
      <c r="AG144" s="42"/>
      <c r="AH144" s="42"/>
      <c r="AI144" s="42"/>
      <c r="AJ144" s="42"/>
      <c r="AK144" s="42"/>
      <c r="AL144" s="42"/>
      <c r="AM144" s="42"/>
    </row>
    <row r="145" spans="1:39" x14ac:dyDescent="0.25">
      <c r="A145" s="38" t="s">
        <v>496</v>
      </c>
      <c r="B145" s="42"/>
      <c r="C145" s="42"/>
      <c r="D145" s="42"/>
      <c r="E145" s="41"/>
      <c r="F145" s="41"/>
      <c r="G145" s="41"/>
      <c r="H145" s="41"/>
      <c r="I145" s="41"/>
      <c r="J145" s="42"/>
      <c r="K145" s="41"/>
      <c r="L145" s="41"/>
      <c r="M145" s="127"/>
      <c r="N145" s="41"/>
      <c r="O145" s="41"/>
      <c r="P145" s="41"/>
      <c r="Q145" s="42"/>
      <c r="R145" s="35"/>
      <c r="S145" s="35"/>
      <c r="T145" s="35"/>
      <c r="U145" s="35"/>
      <c r="V145" s="121"/>
      <c r="W145" s="42"/>
      <c r="X145" s="42"/>
      <c r="Y145" s="42"/>
      <c r="Z145" s="42"/>
      <c r="AA145" s="42"/>
      <c r="AB145" s="42"/>
      <c r="AC145" s="42"/>
      <c r="AD145" s="42"/>
      <c r="AE145" s="42"/>
      <c r="AF145" s="42"/>
      <c r="AG145" s="42"/>
      <c r="AH145" s="42"/>
      <c r="AI145" s="42"/>
      <c r="AJ145" s="42"/>
      <c r="AK145" s="42"/>
      <c r="AL145" s="42"/>
      <c r="AM145" s="42"/>
    </row>
    <row r="146" spans="1:39" x14ac:dyDescent="0.25">
      <c r="A146" s="38" t="s">
        <v>497</v>
      </c>
      <c r="B146" s="42"/>
      <c r="C146" s="42"/>
      <c r="D146" s="42"/>
      <c r="E146" s="41"/>
      <c r="F146" s="41"/>
      <c r="G146" s="41"/>
      <c r="H146" s="41"/>
      <c r="I146" s="41"/>
      <c r="J146" s="42"/>
      <c r="K146" s="41"/>
      <c r="L146" s="41"/>
      <c r="M146" s="127"/>
      <c r="N146" s="41"/>
      <c r="O146" s="41"/>
      <c r="P146" s="41"/>
      <c r="Q146" s="42"/>
      <c r="R146" s="35"/>
      <c r="S146" s="35"/>
      <c r="T146" s="35"/>
      <c r="U146" s="35"/>
      <c r="V146" s="121"/>
      <c r="W146" s="42"/>
      <c r="X146" s="42"/>
      <c r="Y146" s="42"/>
      <c r="Z146" s="42"/>
      <c r="AA146" s="42"/>
      <c r="AB146" s="42"/>
      <c r="AC146" s="42"/>
      <c r="AD146" s="42"/>
      <c r="AE146" s="42"/>
      <c r="AF146" s="42"/>
      <c r="AG146" s="42"/>
      <c r="AH146" s="42"/>
      <c r="AI146" s="42"/>
      <c r="AJ146" s="42"/>
      <c r="AK146" s="42"/>
      <c r="AL146" s="42"/>
      <c r="AM146" s="42"/>
    </row>
    <row r="147" spans="1:39" x14ac:dyDescent="0.25">
      <c r="A147" s="38" t="s">
        <v>498</v>
      </c>
      <c r="B147" s="42"/>
      <c r="C147" s="42"/>
      <c r="D147" s="42"/>
      <c r="E147" s="41"/>
      <c r="F147" s="41"/>
      <c r="G147" s="41"/>
      <c r="H147" s="41"/>
      <c r="I147" s="41"/>
      <c r="J147" s="42"/>
      <c r="K147" s="41"/>
      <c r="L147" s="41"/>
      <c r="M147" s="127"/>
      <c r="N147" s="41"/>
      <c r="O147" s="41"/>
      <c r="P147" s="41"/>
      <c r="Q147" s="42"/>
      <c r="R147" s="35"/>
      <c r="S147" s="35"/>
      <c r="T147" s="35"/>
      <c r="U147" s="35"/>
      <c r="V147" s="121"/>
      <c r="W147" s="42"/>
      <c r="X147" s="42"/>
      <c r="Y147" s="42"/>
      <c r="Z147" s="42"/>
      <c r="AA147" s="42"/>
      <c r="AB147" s="42"/>
      <c r="AC147" s="42"/>
      <c r="AD147" s="42"/>
      <c r="AE147" s="42"/>
      <c r="AF147" s="42"/>
      <c r="AG147" s="42"/>
      <c r="AH147" s="42"/>
      <c r="AI147" s="42"/>
      <c r="AJ147" s="42"/>
      <c r="AK147" s="42"/>
      <c r="AL147" s="42"/>
      <c r="AM147" s="42"/>
    </row>
    <row r="148" spans="1:39" x14ac:dyDescent="0.25">
      <c r="A148" s="38" t="s">
        <v>499</v>
      </c>
      <c r="B148" s="42"/>
      <c r="C148" s="42"/>
      <c r="D148" s="42"/>
      <c r="E148" s="41"/>
      <c r="F148" s="41"/>
      <c r="G148" s="41"/>
      <c r="H148" s="41"/>
      <c r="I148" s="41"/>
      <c r="J148" s="42"/>
      <c r="K148" s="41"/>
      <c r="L148" s="41"/>
      <c r="M148" s="127"/>
      <c r="N148" s="41"/>
      <c r="O148" s="41"/>
      <c r="P148" s="41"/>
      <c r="Q148" s="42"/>
      <c r="R148" s="35"/>
      <c r="S148" s="35"/>
      <c r="T148" s="35"/>
      <c r="U148" s="35"/>
      <c r="V148" s="121"/>
      <c r="W148" s="42"/>
      <c r="X148" s="42"/>
      <c r="Y148" s="42"/>
      <c r="Z148" s="42"/>
      <c r="AA148" s="42"/>
      <c r="AB148" s="42"/>
      <c r="AC148" s="42"/>
      <c r="AD148" s="42"/>
      <c r="AE148" s="42"/>
      <c r="AF148" s="42"/>
      <c r="AG148" s="42"/>
      <c r="AH148" s="42"/>
      <c r="AI148" s="42"/>
      <c r="AJ148" s="42"/>
      <c r="AK148" s="42"/>
      <c r="AL148" s="42"/>
      <c r="AM148" s="42"/>
    </row>
    <row r="149" spans="1:39" x14ac:dyDescent="0.25">
      <c r="A149" s="38" t="s">
        <v>500</v>
      </c>
      <c r="B149" s="42"/>
      <c r="C149" s="42"/>
      <c r="D149" s="42"/>
      <c r="E149" s="41"/>
      <c r="F149" s="41"/>
      <c r="G149" s="41"/>
      <c r="H149" s="41"/>
      <c r="I149" s="41"/>
      <c r="J149" s="42"/>
      <c r="K149" s="41"/>
      <c r="L149" s="41"/>
      <c r="M149" s="127"/>
      <c r="N149" s="41"/>
      <c r="O149" s="41"/>
      <c r="P149" s="41"/>
      <c r="Q149" s="42"/>
      <c r="R149" s="35"/>
      <c r="S149" s="35"/>
      <c r="T149" s="35"/>
      <c r="U149" s="35"/>
      <c r="V149" s="121"/>
      <c r="W149" s="42"/>
      <c r="X149" s="42"/>
      <c r="Y149" s="42"/>
      <c r="Z149" s="42"/>
      <c r="AA149" s="42"/>
      <c r="AB149" s="42"/>
      <c r="AC149" s="42"/>
      <c r="AD149" s="42"/>
      <c r="AE149" s="42"/>
      <c r="AF149" s="42"/>
      <c r="AG149" s="42"/>
      <c r="AH149" s="42"/>
      <c r="AI149" s="42"/>
      <c r="AJ149" s="42"/>
      <c r="AK149" s="42"/>
      <c r="AL149" s="42"/>
      <c r="AM149" s="42"/>
    </row>
    <row r="150" spans="1:39" x14ac:dyDescent="0.25">
      <c r="A150" s="38" t="s">
        <v>501</v>
      </c>
      <c r="B150" s="42"/>
      <c r="C150" s="42"/>
      <c r="D150" s="42"/>
      <c r="E150" s="41"/>
      <c r="F150" s="41"/>
      <c r="G150" s="41"/>
      <c r="H150" s="41"/>
      <c r="I150" s="41"/>
      <c r="J150" s="42"/>
      <c r="K150" s="41"/>
      <c r="L150" s="41"/>
      <c r="M150" s="127"/>
      <c r="N150" s="41"/>
      <c r="O150" s="41"/>
      <c r="P150" s="41"/>
      <c r="Q150" s="42"/>
      <c r="R150" s="35"/>
      <c r="S150" s="35"/>
      <c r="T150" s="35"/>
      <c r="U150" s="35"/>
      <c r="V150" s="121"/>
      <c r="W150" s="42"/>
      <c r="X150" s="42"/>
      <c r="Y150" s="42"/>
      <c r="Z150" s="42"/>
      <c r="AA150" s="42"/>
      <c r="AB150" s="42"/>
      <c r="AC150" s="42"/>
      <c r="AD150" s="42"/>
      <c r="AE150" s="42"/>
      <c r="AF150" s="42"/>
      <c r="AG150" s="42"/>
      <c r="AH150" s="42"/>
      <c r="AI150" s="42"/>
      <c r="AJ150" s="42"/>
      <c r="AK150" s="42"/>
      <c r="AL150" s="42"/>
      <c r="AM150" s="42"/>
    </row>
    <row r="151" spans="1:39" x14ac:dyDescent="0.25">
      <c r="A151" s="38" t="s">
        <v>502</v>
      </c>
      <c r="B151" s="42"/>
      <c r="C151" s="42"/>
      <c r="D151" s="42"/>
      <c r="E151" s="41"/>
      <c r="F151" s="41"/>
      <c r="G151" s="41"/>
      <c r="H151" s="41"/>
      <c r="I151" s="41"/>
      <c r="J151" s="42"/>
      <c r="K151" s="41"/>
      <c r="L151" s="41"/>
      <c r="M151" s="127"/>
      <c r="N151" s="41"/>
      <c r="O151" s="41"/>
      <c r="P151" s="41"/>
      <c r="Q151" s="42"/>
      <c r="R151" s="35"/>
      <c r="S151" s="35"/>
      <c r="T151" s="35"/>
      <c r="U151" s="35"/>
      <c r="V151" s="121"/>
      <c r="W151" s="42"/>
      <c r="X151" s="42"/>
      <c r="Y151" s="42"/>
      <c r="Z151" s="42"/>
      <c r="AA151" s="42"/>
      <c r="AB151" s="42"/>
      <c r="AC151" s="42"/>
      <c r="AD151" s="42"/>
      <c r="AE151" s="42"/>
      <c r="AF151" s="42"/>
      <c r="AG151" s="42"/>
      <c r="AH151" s="42"/>
      <c r="AI151" s="42"/>
      <c r="AJ151" s="42"/>
      <c r="AK151" s="42"/>
      <c r="AL151" s="42"/>
      <c r="AM151" s="42"/>
    </row>
    <row r="152" spans="1:39" x14ac:dyDescent="0.25">
      <c r="A152" s="38" t="s">
        <v>503</v>
      </c>
      <c r="B152" s="42"/>
      <c r="C152" s="42"/>
      <c r="D152" s="42"/>
      <c r="E152" s="41"/>
      <c r="F152" s="41"/>
      <c r="G152" s="41"/>
      <c r="H152" s="41"/>
      <c r="I152" s="41"/>
      <c r="J152" s="42"/>
      <c r="K152" s="41"/>
      <c r="L152" s="41"/>
      <c r="M152" s="127"/>
      <c r="N152" s="41"/>
      <c r="O152" s="41"/>
      <c r="P152" s="41"/>
      <c r="Q152" s="42"/>
      <c r="R152" s="35"/>
      <c r="S152" s="35"/>
      <c r="T152" s="35"/>
      <c r="U152" s="35"/>
      <c r="V152" s="121"/>
      <c r="W152" s="42"/>
      <c r="X152" s="42"/>
      <c r="Y152" s="42"/>
      <c r="Z152" s="42"/>
      <c r="AA152" s="42"/>
      <c r="AB152" s="42"/>
      <c r="AC152" s="42"/>
      <c r="AD152" s="42"/>
      <c r="AE152" s="42"/>
      <c r="AF152" s="42"/>
      <c r="AG152" s="42"/>
      <c r="AH152" s="42"/>
      <c r="AI152" s="42"/>
      <c r="AJ152" s="42"/>
      <c r="AK152" s="42"/>
      <c r="AL152" s="42"/>
      <c r="AM152" s="42"/>
    </row>
    <row r="153" spans="1:39" x14ac:dyDescent="0.25">
      <c r="A153" s="38" t="s">
        <v>504</v>
      </c>
      <c r="B153" s="42"/>
      <c r="C153" s="42"/>
      <c r="D153" s="42"/>
      <c r="E153" s="41"/>
      <c r="F153" s="41"/>
      <c r="G153" s="41"/>
      <c r="H153" s="41"/>
      <c r="I153" s="41"/>
      <c r="J153" s="42"/>
      <c r="K153" s="41"/>
      <c r="L153" s="41"/>
      <c r="M153" s="127"/>
      <c r="N153" s="41"/>
      <c r="O153" s="41"/>
      <c r="P153" s="41"/>
      <c r="Q153" s="42"/>
      <c r="R153" s="35"/>
      <c r="S153" s="35"/>
      <c r="T153" s="35"/>
      <c r="U153" s="35"/>
      <c r="V153" s="121"/>
      <c r="W153" s="42"/>
      <c r="X153" s="42"/>
      <c r="Y153" s="42"/>
      <c r="Z153" s="42"/>
      <c r="AA153" s="42"/>
      <c r="AB153" s="42"/>
      <c r="AC153" s="42"/>
      <c r="AD153" s="42"/>
      <c r="AE153" s="42"/>
      <c r="AF153" s="42"/>
      <c r="AG153" s="42"/>
      <c r="AH153" s="42"/>
      <c r="AI153" s="42"/>
      <c r="AJ153" s="42"/>
      <c r="AK153" s="42"/>
      <c r="AL153" s="42"/>
      <c r="AM153" s="42"/>
    </row>
    <row r="154" spans="1:39" x14ac:dyDescent="0.25">
      <c r="A154" s="38" t="s">
        <v>505</v>
      </c>
      <c r="B154" s="42"/>
      <c r="C154" s="42"/>
      <c r="D154" s="42"/>
      <c r="E154" s="41"/>
      <c r="F154" s="41"/>
      <c r="G154" s="41"/>
      <c r="H154" s="41"/>
      <c r="I154" s="41"/>
      <c r="J154" s="42"/>
      <c r="K154" s="41"/>
      <c r="L154" s="41"/>
      <c r="M154" s="127"/>
      <c r="N154" s="41"/>
      <c r="O154" s="41"/>
      <c r="P154" s="41"/>
      <c r="Q154" s="42"/>
      <c r="R154" s="35"/>
      <c r="S154" s="35"/>
      <c r="T154" s="35"/>
      <c r="U154" s="35"/>
      <c r="V154" s="121"/>
      <c r="W154" s="42"/>
      <c r="X154" s="42"/>
      <c r="Y154" s="42"/>
      <c r="Z154" s="42"/>
      <c r="AA154" s="42"/>
      <c r="AB154" s="42"/>
      <c r="AC154" s="42"/>
      <c r="AD154" s="42"/>
      <c r="AE154" s="42"/>
      <c r="AF154" s="42"/>
      <c r="AG154" s="42"/>
      <c r="AH154" s="42"/>
      <c r="AI154" s="42"/>
      <c r="AJ154" s="42"/>
      <c r="AK154" s="42"/>
      <c r="AL154" s="42"/>
      <c r="AM154" s="42"/>
    </row>
    <row r="155" spans="1:39" x14ac:dyDescent="0.25">
      <c r="A155" s="38" t="s">
        <v>506</v>
      </c>
      <c r="B155" s="42"/>
      <c r="C155" s="42"/>
      <c r="D155" s="42"/>
      <c r="E155" s="41"/>
      <c r="F155" s="41"/>
      <c r="G155" s="41"/>
      <c r="H155" s="41"/>
      <c r="I155" s="41"/>
      <c r="J155" s="42"/>
      <c r="K155" s="41"/>
      <c r="L155" s="41"/>
      <c r="M155" s="127"/>
      <c r="N155" s="41"/>
      <c r="O155" s="41"/>
      <c r="P155" s="41"/>
      <c r="Q155" s="42"/>
      <c r="R155" s="35"/>
      <c r="S155" s="35"/>
      <c r="T155" s="35"/>
      <c r="U155" s="35"/>
      <c r="V155" s="121"/>
      <c r="W155" s="42"/>
      <c r="X155" s="42"/>
      <c r="Y155" s="42"/>
      <c r="Z155" s="42"/>
      <c r="AA155" s="42"/>
      <c r="AB155" s="42"/>
      <c r="AC155" s="42"/>
      <c r="AD155" s="42"/>
      <c r="AE155" s="42"/>
      <c r="AF155" s="42"/>
      <c r="AG155" s="42"/>
      <c r="AH155" s="42"/>
      <c r="AI155" s="42"/>
      <c r="AJ155" s="42"/>
      <c r="AK155" s="42"/>
      <c r="AL155" s="42"/>
      <c r="AM155" s="42"/>
    </row>
    <row r="156" spans="1:39" x14ac:dyDescent="0.25">
      <c r="A156" s="38" t="s">
        <v>507</v>
      </c>
      <c r="B156" s="42"/>
      <c r="C156" s="42"/>
      <c r="D156" s="42"/>
      <c r="E156" s="41"/>
      <c r="F156" s="41"/>
      <c r="G156" s="41"/>
      <c r="H156" s="41"/>
      <c r="I156" s="41"/>
      <c r="J156" s="42"/>
      <c r="K156" s="41"/>
      <c r="L156" s="41"/>
      <c r="M156" s="127"/>
      <c r="N156" s="41"/>
      <c r="O156" s="41"/>
      <c r="P156" s="41"/>
      <c r="Q156" s="42"/>
      <c r="R156" s="35"/>
      <c r="S156" s="35"/>
      <c r="T156" s="35"/>
      <c r="U156" s="35"/>
      <c r="V156" s="121"/>
      <c r="W156" s="42"/>
      <c r="X156" s="42"/>
      <c r="Y156" s="42"/>
      <c r="Z156" s="42"/>
      <c r="AA156" s="42"/>
      <c r="AB156" s="42"/>
      <c r="AC156" s="42"/>
      <c r="AD156" s="42"/>
      <c r="AE156" s="42"/>
      <c r="AF156" s="42"/>
      <c r="AG156" s="42"/>
      <c r="AH156" s="42"/>
      <c r="AI156" s="42"/>
      <c r="AJ156" s="42"/>
      <c r="AK156" s="42"/>
      <c r="AL156" s="42"/>
      <c r="AM156" s="42"/>
    </row>
    <row r="157" spans="1:39" x14ac:dyDescent="0.25">
      <c r="A157" s="38" t="s">
        <v>508</v>
      </c>
      <c r="B157" s="42"/>
      <c r="C157" s="42"/>
      <c r="D157" s="42"/>
      <c r="E157" s="41"/>
      <c r="F157" s="41"/>
      <c r="G157" s="41"/>
      <c r="H157" s="41"/>
      <c r="I157" s="41"/>
      <c r="J157" s="42"/>
      <c r="K157" s="41"/>
      <c r="L157" s="41"/>
      <c r="M157" s="127"/>
      <c r="N157" s="41"/>
      <c r="O157" s="41"/>
      <c r="P157" s="41"/>
      <c r="Q157" s="42"/>
      <c r="R157" s="35"/>
      <c r="S157" s="35"/>
      <c r="T157" s="35"/>
      <c r="U157" s="35"/>
      <c r="V157" s="121"/>
      <c r="W157" s="42"/>
      <c r="X157" s="42"/>
      <c r="Y157" s="42"/>
      <c r="Z157" s="42"/>
      <c r="AA157" s="42"/>
      <c r="AB157" s="42"/>
      <c r="AC157" s="42"/>
      <c r="AD157" s="42"/>
      <c r="AE157" s="42"/>
      <c r="AF157" s="42"/>
      <c r="AG157" s="42"/>
      <c r="AH157" s="42"/>
      <c r="AI157" s="42"/>
      <c r="AJ157" s="42"/>
      <c r="AK157" s="42"/>
      <c r="AL157" s="42"/>
      <c r="AM157" s="42"/>
    </row>
    <row r="158" spans="1:39" x14ac:dyDescent="0.25">
      <c r="A158" s="38" t="s">
        <v>509</v>
      </c>
      <c r="B158" s="42"/>
      <c r="C158" s="42"/>
      <c r="D158" s="42"/>
      <c r="E158" s="41"/>
      <c r="F158" s="41"/>
      <c r="G158" s="41"/>
      <c r="H158" s="41"/>
      <c r="I158" s="41"/>
      <c r="J158" s="42"/>
      <c r="K158" s="41"/>
      <c r="L158" s="41"/>
      <c r="M158" s="127"/>
      <c r="N158" s="41"/>
      <c r="O158" s="41"/>
      <c r="P158" s="41"/>
      <c r="Q158" s="42"/>
      <c r="R158" s="35"/>
      <c r="S158" s="35"/>
      <c r="T158" s="35"/>
      <c r="U158" s="35"/>
      <c r="V158" s="121"/>
      <c r="W158" s="42"/>
      <c r="X158" s="42"/>
      <c r="Y158" s="42"/>
      <c r="Z158" s="42"/>
      <c r="AA158" s="42"/>
      <c r="AB158" s="42"/>
      <c r="AC158" s="42"/>
      <c r="AD158" s="42"/>
      <c r="AE158" s="42"/>
      <c r="AF158" s="42"/>
      <c r="AG158" s="42"/>
      <c r="AH158" s="42"/>
      <c r="AI158" s="42"/>
      <c r="AJ158" s="42"/>
      <c r="AK158" s="42"/>
      <c r="AL158" s="42"/>
      <c r="AM158" s="42"/>
    </row>
    <row r="159" spans="1:39" x14ac:dyDescent="0.25">
      <c r="A159" s="38" t="s">
        <v>510</v>
      </c>
      <c r="B159" s="42"/>
      <c r="C159" s="42"/>
      <c r="D159" s="42"/>
      <c r="E159" s="41"/>
      <c r="F159" s="41"/>
      <c r="G159" s="41"/>
      <c r="H159" s="41"/>
      <c r="I159" s="41"/>
      <c r="J159" s="42"/>
      <c r="K159" s="41"/>
      <c r="L159" s="41"/>
      <c r="M159" s="127"/>
      <c r="N159" s="41"/>
      <c r="O159" s="41"/>
      <c r="P159" s="41"/>
      <c r="Q159" s="42"/>
      <c r="R159" s="35"/>
      <c r="S159" s="35"/>
      <c r="T159" s="35"/>
      <c r="U159" s="35"/>
      <c r="V159" s="121"/>
      <c r="W159" s="42"/>
      <c r="X159" s="42"/>
      <c r="Y159" s="42"/>
      <c r="Z159" s="42"/>
      <c r="AA159" s="42"/>
      <c r="AB159" s="42"/>
      <c r="AC159" s="42"/>
      <c r="AD159" s="42"/>
      <c r="AE159" s="42"/>
      <c r="AF159" s="42"/>
      <c r="AG159" s="42"/>
      <c r="AH159" s="42"/>
      <c r="AI159" s="42"/>
      <c r="AJ159" s="42"/>
      <c r="AK159" s="42"/>
      <c r="AL159" s="42"/>
      <c r="AM159" s="42"/>
    </row>
    <row r="160" spans="1:39" x14ac:dyDescent="0.25">
      <c r="A160" s="38" t="s">
        <v>511</v>
      </c>
      <c r="B160" s="42"/>
      <c r="C160" s="42"/>
      <c r="D160" s="42"/>
      <c r="E160" s="41"/>
      <c r="F160" s="41"/>
      <c r="G160" s="41"/>
      <c r="H160" s="41"/>
      <c r="I160" s="41"/>
      <c r="J160" s="42"/>
      <c r="K160" s="41"/>
      <c r="L160" s="41"/>
      <c r="M160" s="127"/>
      <c r="N160" s="41"/>
      <c r="O160" s="41"/>
      <c r="P160" s="41"/>
      <c r="Q160" s="42"/>
      <c r="R160" s="35"/>
      <c r="S160" s="35"/>
      <c r="T160" s="35"/>
      <c r="U160" s="35"/>
      <c r="V160" s="121"/>
      <c r="W160" s="42"/>
      <c r="X160" s="42"/>
      <c r="Y160" s="42"/>
      <c r="Z160" s="42"/>
      <c r="AA160" s="42"/>
      <c r="AB160" s="42"/>
      <c r="AC160" s="42"/>
      <c r="AD160" s="42"/>
      <c r="AE160" s="42"/>
      <c r="AF160" s="42"/>
      <c r="AG160" s="42"/>
      <c r="AH160" s="42"/>
      <c r="AI160" s="42"/>
      <c r="AJ160" s="42"/>
      <c r="AK160" s="42"/>
      <c r="AL160" s="42"/>
      <c r="AM160" s="42"/>
    </row>
    <row r="161" spans="1:39" x14ac:dyDescent="0.25">
      <c r="A161" s="38" t="s">
        <v>512</v>
      </c>
      <c r="B161" s="42"/>
      <c r="C161" s="42"/>
      <c r="D161" s="42"/>
      <c r="E161" s="41"/>
      <c r="F161" s="41"/>
      <c r="G161" s="41"/>
      <c r="H161" s="41"/>
      <c r="I161" s="41"/>
      <c r="J161" s="42"/>
      <c r="K161" s="41"/>
      <c r="L161" s="41"/>
      <c r="M161" s="127"/>
      <c r="N161" s="41"/>
      <c r="O161" s="41"/>
      <c r="P161" s="41"/>
      <c r="Q161" s="42"/>
      <c r="R161" s="35"/>
      <c r="S161" s="35"/>
      <c r="T161" s="35"/>
      <c r="U161" s="35"/>
      <c r="V161" s="121"/>
      <c r="W161" s="42"/>
      <c r="X161" s="42"/>
      <c r="Y161" s="42"/>
      <c r="Z161" s="42"/>
      <c r="AA161" s="42"/>
      <c r="AB161" s="42"/>
      <c r="AC161" s="42"/>
      <c r="AD161" s="42"/>
      <c r="AE161" s="42"/>
      <c r="AF161" s="42"/>
      <c r="AG161" s="42"/>
      <c r="AH161" s="42"/>
      <c r="AI161" s="42"/>
      <c r="AJ161" s="42"/>
      <c r="AK161" s="42"/>
      <c r="AL161" s="42"/>
      <c r="AM161" s="42"/>
    </row>
    <row r="162" spans="1:39" x14ac:dyDescent="0.25">
      <c r="A162" s="38" t="s">
        <v>513</v>
      </c>
      <c r="B162" s="42"/>
      <c r="C162" s="42"/>
      <c r="D162" s="42"/>
      <c r="E162" s="41"/>
      <c r="F162" s="41"/>
      <c r="G162" s="41"/>
      <c r="H162" s="41"/>
      <c r="I162" s="41"/>
      <c r="J162" s="42"/>
      <c r="K162" s="41"/>
      <c r="L162" s="41"/>
      <c r="M162" s="127"/>
      <c r="N162" s="41"/>
      <c r="O162" s="41"/>
      <c r="P162" s="41"/>
      <c r="Q162" s="42"/>
      <c r="R162" s="35"/>
      <c r="S162" s="35"/>
      <c r="T162" s="35"/>
      <c r="U162" s="35"/>
      <c r="V162" s="121"/>
      <c r="W162" s="42"/>
      <c r="X162" s="42"/>
      <c r="Y162" s="42"/>
      <c r="Z162" s="42"/>
      <c r="AA162" s="42"/>
      <c r="AB162" s="42"/>
      <c r="AC162" s="42"/>
      <c r="AD162" s="42"/>
      <c r="AE162" s="42"/>
      <c r="AF162" s="42"/>
      <c r="AG162" s="42"/>
      <c r="AH162" s="42"/>
      <c r="AI162" s="42"/>
      <c r="AJ162" s="42"/>
      <c r="AK162" s="42"/>
      <c r="AL162" s="42"/>
      <c r="AM162" s="42"/>
    </row>
    <row r="163" spans="1:39" x14ac:dyDescent="0.25">
      <c r="A163" s="38" t="s">
        <v>514</v>
      </c>
      <c r="B163" s="42"/>
      <c r="C163" s="42"/>
      <c r="D163" s="42"/>
      <c r="E163" s="41"/>
      <c r="F163" s="41"/>
      <c r="G163" s="41"/>
      <c r="H163" s="41"/>
      <c r="I163" s="41"/>
      <c r="J163" s="42"/>
      <c r="K163" s="41"/>
      <c r="L163" s="41"/>
      <c r="M163" s="127"/>
      <c r="N163" s="41"/>
      <c r="O163" s="41"/>
      <c r="P163" s="41"/>
      <c r="Q163" s="42"/>
      <c r="R163" s="35"/>
      <c r="S163" s="35"/>
      <c r="T163" s="35"/>
      <c r="U163" s="35"/>
      <c r="V163" s="121"/>
      <c r="W163" s="42"/>
      <c r="X163" s="42"/>
      <c r="Y163" s="42"/>
      <c r="Z163" s="42"/>
      <c r="AA163" s="42"/>
      <c r="AB163" s="42"/>
      <c r="AC163" s="42"/>
      <c r="AD163" s="42"/>
      <c r="AE163" s="42"/>
      <c r="AF163" s="42"/>
      <c r="AG163" s="42"/>
      <c r="AH163" s="42"/>
      <c r="AI163" s="42"/>
      <c r="AJ163" s="42"/>
      <c r="AK163" s="42"/>
      <c r="AL163" s="42"/>
      <c r="AM163" s="42"/>
    </row>
    <row r="164" spans="1:39" x14ac:dyDescent="0.25">
      <c r="A164" s="38" t="s">
        <v>515</v>
      </c>
      <c r="B164" s="42"/>
      <c r="C164" s="42"/>
      <c r="D164" s="42"/>
      <c r="E164" s="41"/>
      <c r="F164" s="41"/>
      <c r="G164" s="41"/>
      <c r="H164" s="41"/>
      <c r="I164" s="41"/>
      <c r="J164" s="42"/>
      <c r="K164" s="41"/>
      <c r="L164" s="41"/>
      <c r="M164" s="127"/>
      <c r="N164" s="41"/>
      <c r="O164" s="41"/>
      <c r="P164" s="41"/>
      <c r="Q164" s="42"/>
      <c r="R164" s="35"/>
      <c r="S164" s="35"/>
      <c r="T164" s="35"/>
      <c r="U164" s="35"/>
      <c r="V164" s="121"/>
      <c r="W164" s="42"/>
      <c r="X164" s="42"/>
      <c r="Y164" s="42"/>
      <c r="Z164" s="42"/>
      <c r="AA164" s="42"/>
      <c r="AB164" s="42"/>
      <c r="AC164" s="42"/>
      <c r="AD164" s="42"/>
      <c r="AE164" s="42"/>
      <c r="AF164" s="42"/>
      <c r="AG164" s="42"/>
      <c r="AH164" s="42"/>
      <c r="AI164" s="42"/>
      <c r="AJ164" s="42"/>
      <c r="AK164" s="42"/>
      <c r="AL164" s="42"/>
      <c r="AM164" s="42"/>
    </row>
    <row r="165" spans="1:39" x14ac:dyDescent="0.25">
      <c r="A165" s="38" t="s">
        <v>516</v>
      </c>
      <c r="B165" s="42"/>
      <c r="C165" s="42"/>
      <c r="D165" s="42"/>
      <c r="E165" s="41"/>
      <c r="F165" s="41"/>
      <c r="G165" s="41"/>
      <c r="H165" s="41"/>
      <c r="I165" s="41"/>
      <c r="J165" s="42"/>
      <c r="K165" s="41"/>
      <c r="L165" s="41"/>
      <c r="M165" s="127"/>
      <c r="N165" s="41"/>
      <c r="O165" s="41"/>
      <c r="P165" s="41"/>
      <c r="Q165" s="42"/>
      <c r="R165" s="35"/>
      <c r="S165" s="35"/>
      <c r="T165" s="35"/>
      <c r="U165" s="35"/>
      <c r="V165" s="121"/>
      <c r="W165" s="42"/>
      <c r="X165" s="42"/>
      <c r="Y165" s="42"/>
      <c r="Z165" s="42"/>
      <c r="AA165" s="42"/>
      <c r="AB165" s="42"/>
      <c r="AC165" s="42"/>
      <c r="AD165" s="42"/>
      <c r="AE165" s="42"/>
      <c r="AF165" s="42"/>
      <c r="AG165" s="42"/>
      <c r="AH165" s="42"/>
      <c r="AI165" s="42"/>
      <c r="AJ165" s="42"/>
      <c r="AK165" s="42"/>
      <c r="AL165" s="42"/>
      <c r="AM165" s="42"/>
    </row>
    <row r="166" spans="1:39" x14ac:dyDescent="0.25">
      <c r="A166" s="38" t="s">
        <v>517</v>
      </c>
      <c r="B166" s="42"/>
      <c r="C166" s="42"/>
      <c r="D166" s="42"/>
      <c r="E166" s="41"/>
      <c r="F166" s="41"/>
      <c r="G166" s="41"/>
      <c r="H166" s="41"/>
      <c r="I166" s="41"/>
      <c r="J166" s="42"/>
      <c r="K166" s="41"/>
      <c r="L166" s="41"/>
      <c r="M166" s="127"/>
      <c r="N166" s="41"/>
      <c r="O166" s="41"/>
      <c r="P166" s="41"/>
      <c r="Q166" s="42"/>
      <c r="R166" s="35"/>
      <c r="S166" s="35"/>
      <c r="T166" s="35"/>
      <c r="U166" s="35"/>
      <c r="V166" s="121"/>
      <c r="W166" s="42"/>
      <c r="X166" s="42"/>
      <c r="Y166" s="42"/>
      <c r="Z166" s="42"/>
      <c r="AA166" s="42"/>
      <c r="AB166" s="42"/>
      <c r="AC166" s="42"/>
      <c r="AD166" s="42"/>
      <c r="AE166" s="42"/>
      <c r="AF166" s="42"/>
      <c r="AG166" s="42"/>
      <c r="AH166" s="42"/>
      <c r="AI166" s="42"/>
      <c r="AJ166" s="42"/>
      <c r="AK166" s="42"/>
      <c r="AL166" s="42"/>
      <c r="AM166" s="42"/>
    </row>
    <row r="167" spans="1:39" x14ac:dyDescent="0.25">
      <c r="A167" s="38" t="s">
        <v>518</v>
      </c>
      <c r="B167" s="42"/>
      <c r="C167" s="42"/>
      <c r="D167" s="42"/>
      <c r="E167" s="41"/>
      <c r="F167" s="41"/>
      <c r="G167" s="41"/>
      <c r="H167" s="41"/>
      <c r="I167" s="41"/>
      <c r="J167" s="42"/>
      <c r="K167" s="41"/>
      <c r="L167" s="41"/>
      <c r="M167" s="127"/>
      <c r="N167" s="41"/>
      <c r="O167" s="41"/>
      <c r="P167" s="41"/>
      <c r="Q167" s="42"/>
      <c r="R167" s="35"/>
      <c r="S167" s="35"/>
      <c r="T167" s="35"/>
      <c r="U167" s="35"/>
      <c r="V167" s="121"/>
      <c r="W167" s="42"/>
      <c r="X167" s="42"/>
      <c r="Y167" s="42"/>
      <c r="Z167" s="42"/>
      <c r="AA167" s="42"/>
      <c r="AB167" s="42"/>
      <c r="AC167" s="42"/>
      <c r="AD167" s="42"/>
      <c r="AE167" s="42"/>
      <c r="AF167" s="42"/>
      <c r="AG167" s="42"/>
      <c r="AH167" s="42"/>
      <c r="AI167" s="42"/>
      <c r="AJ167" s="42"/>
      <c r="AK167" s="42"/>
      <c r="AL167" s="42"/>
      <c r="AM167" s="42"/>
    </row>
    <row r="168" spans="1:39" x14ac:dyDescent="0.25">
      <c r="A168" s="38" t="s">
        <v>519</v>
      </c>
      <c r="B168" s="42"/>
      <c r="C168" s="42"/>
      <c r="D168" s="42"/>
      <c r="E168" s="41"/>
      <c r="F168" s="41"/>
      <c r="G168" s="41"/>
      <c r="H168" s="41"/>
      <c r="I168" s="41"/>
      <c r="J168" s="42"/>
      <c r="K168" s="41"/>
      <c r="L168" s="41"/>
      <c r="M168" s="127"/>
      <c r="N168" s="41"/>
      <c r="O168" s="41"/>
      <c r="P168" s="41"/>
      <c r="Q168" s="42"/>
      <c r="R168" s="35"/>
      <c r="S168" s="35"/>
      <c r="T168" s="35"/>
      <c r="U168" s="35"/>
      <c r="V168" s="121"/>
      <c r="W168" s="42"/>
      <c r="X168" s="42"/>
      <c r="Y168" s="42"/>
      <c r="Z168" s="42"/>
      <c r="AA168" s="42"/>
      <c r="AB168" s="42"/>
      <c r="AC168" s="42"/>
      <c r="AD168" s="42"/>
      <c r="AE168" s="42"/>
      <c r="AF168" s="42"/>
      <c r="AG168" s="42"/>
      <c r="AH168" s="42"/>
      <c r="AI168" s="42"/>
      <c r="AJ168" s="42"/>
      <c r="AK168" s="42"/>
      <c r="AL168" s="42"/>
      <c r="AM168" s="42"/>
    </row>
    <row r="169" spans="1:39" x14ac:dyDescent="0.25">
      <c r="A169" s="38" t="s">
        <v>520</v>
      </c>
      <c r="B169" s="42"/>
      <c r="C169" s="42"/>
      <c r="D169" s="42"/>
      <c r="E169" s="41"/>
      <c r="F169" s="41"/>
      <c r="G169" s="41"/>
      <c r="H169" s="41"/>
      <c r="I169" s="41"/>
      <c r="J169" s="42"/>
      <c r="K169" s="41"/>
      <c r="L169" s="41"/>
      <c r="M169" s="127"/>
      <c r="N169" s="41"/>
      <c r="O169" s="41"/>
      <c r="P169" s="41"/>
      <c r="Q169" s="42"/>
      <c r="R169" s="35"/>
      <c r="S169" s="35"/>
      <c r="T169" s="35"/>
      <c r="U169" s="35"/>
      <c r="V169" s="121"/>
      <c r="W169" s="42"/>
      <c r="X169" s="42"/>
      <c r="Y169" s="42"/>
      <c r="Z169" s="42"/>
      <c r="AA169" s="42"/>
      <c r="AB169" s="42"/>
      <c r="AC169" s="42"/>
      <c r="AD169" s="42"/>
      <c r="AE169" s="42"/>
      <c r="AF169" s="42"/>
      <c r="AG169" s="42"/>
      <c r="AH169" s="42"/>
      <c r="AI169" s="42"/>
      <c r="AJ169" s="42"/>
      <c r="AK169" s="42"/>
      <c r="AL169" s="42"/>
      <c r="AM169" s="42"/>
    </row>
    <row r="170" spans="1:39" x14ac:dyDescent="0.25">
      <c r="A170" s="38" t="s">
        <v>521</v>
      </c>
      <c r="B170" s="42"/>
      <c r="C170" s="42"/>
      <c r="D170" s="42"/>
      <c r="E170" s="41"/>
      <c r="F170" s="41"/>
      <c r="G170" s="41"/>
      <c r="H170" s="41"/>
      <c r="I170" s="41"/>
      <c r="J170" s="42"/>
      <c r="K170" s="41"/>
      <c r="L170" s="41"/>
      <c r="M170" s="127"/>
      <c r="N170" s="41"/>
      <c r="O170" s="41"/>
      <c r="P170" s="41"/>
      <c r="Q170" s="42"/>
      <c r="R170" s="35"/>
      <c r="S170" s="35"/>
      <c r="T170" s="35"/>
      <c r="U170" s="35"/>
      <c r="V170" s="121"/>
      <c r="W170" s="42"/>
      <c r="X170" s="42"/>
      <c r="Y170" s="42"/>
      <c r="Z170" s="42"/>
      <c r="AA170" s="42"/>
      <c r="AB170" s="42"/>
      <c r="AC170" s="42"/>
      <c r="AD170" s="42"/>
      <c r="AE170" s="42"/>
      <c r="AF170" s="42"/>
      <c r="AG170" s="42"/>
      <c r="AH170" s="42"/>
      <c r="AI170" s="42"/>
      <c r="AJ170" s="42"/>
      <c r="AK170" s="42"/>
      <c r="AL170" s="42"/>
      <c r="AM170" s="42"/>
    </row>
    <row r="171" spans="1:39" x14ac:dyDescent="0.25">
      <c r="A171" s="38" t="s">
        <v>522</v>
      </c>
      <c r="B171" s="42"/>
      <c r="C171" s="42"/>
      <c r="D171" s="42"/>
      <c r="E171" s="41"/>
      <c r="F171" s="41"/>
      <c r="G171" s="41"/>
      <c r="H171" s="41"/>
      <c r="I171" s="41"/>
      <c r="J171" s="42"/>
      <c r="K171" s="41"/>
      <c r="L171" s="41"/>
      <c r="M171" s="127"/>
      <c r="N171" s="41"/>
      <c r="O171" s="41"/>
      <c r="P171" s="41"/>
      <c r="Q171" s="42"/>
      <c r="R171" s="35"/>
      <c r="S171" s="35"/>
      <c r="T171" s="35"/>
      <c r="U171" s="35"/>
      <c r="V171" s="121"/>
      <c r="W171" s="42"/>
      <c r="X171" s="42"/>
      <c r="Y171" s="42"/>
      <c r="Z171" s="42"/>
      <c r="AA171" s="42"/>
      <c r="AB171" s="42"/>
      <c r="AC171" s="42"/>
      <c r="AD171" s="42"/>
      <c r="AE171" s="42"/>
      <c r="AF171" s="42"/>
      <c r="AG171" s="42"/>
      <c r="AH171" s="42"/>
      <c r="AI171" s="42"/>
      <c r="AJ171" s="42"/>
      <c r="AK171" s="42"/>
      <c r="AL171" s="42"/>
      <c r="AM171" s="42"/>
    </row>
    <row r="172" spans="1:39" x14ac:dyDescent="0.25">
      <c r="A172" s="38" t="s">
        <v>523</v>
      </c>
      <c r="B172" s="42"/>
      <c r="C172" s="42"/>
      <c r="D172" s="42"/>
      <c r="E172" s="41"/>
      <c r="F172" s="41"/>
      <c r="G172" s="41"/>
      <c r="H172" s="41"/>
      <c r="I172" s="41"/>
      <c r="J172" s="42"/>
      <c r="K172" s="41"/>
      <c r="L172" s="41"/>
      <c r="M172" s="127"/>
      <c r="N172" s="41"/>
      <c r="O172" s="41"/>
      <c r="P172" s="41"/>
      <c r="Q172" s="42"/>
      <c r="R172" s="35"/>
      <c r="S172" s="35"/>
      <c r="T172" s="35"/>
      <c r="U172" s="35"/>
      <c r="V172" s="121"/>
      <c r="W172" s="42"/>
      <c r="X172" s="42"/>
      <c r="Y172" s="42"/>
      <c r="Z172" s="42"/>
      <c r="AA172" s="42"/>
      <c r="AB172" s="42"/>
      <c r="AC172" s="42"/>
      <c r="AD172" s="42"/>
      <c r="AE172" s="42"/>
      <c r="AF172" s="42"/>
      <c r="AG172" s="42"/>
      <c r="AH172" s="42"/>
      <c r="AI172" s="42"/>
      <c r="AJ172" s="42"/>
      <c r="AK172" s="42"/>
      <c r="AL172" s="42"/>
      <c r="AM172" s="42"/>
    </row>
    <row r="173" spans="1:39" x14ac:dyDescent="0.25">
      <c r="A173" s="38" t="s">
        <v>524</v>
      </c>
      <c r="B173" s="42"/>
      <c r="C173" s="42"/>
      <c r="D173" s="42"/>
      <c r="E173" s="41"/>
      <c r="F173" s="41"/>
      <c r="G173" s="41"/>
      <c r="H173" s="41"/>
      <c r="I173" s="41"/>
      <c r="J173" s="42"/>
      <c r="K173" s="41"/>
      <c r="L173" s="41"/>
      <c r="M173" s="127"/>
      <c r="N173" s="41"/>
      <c r="O173" s="41"/>
      <c r="P173" s="41"/>
      <c r="Q173" s="42"/>
      <c r="R173" s="35"/>
      <c r="S173" s="35"/>
      <c r="T173" s="35"/>
      <c r="U173" s="35"/>
      <c r="V173" s="121"/>
      <c r="W173" s="42"/>
      <c r="X173" s="42"/>
      <c r="Y173" s="42"/>
      <c r="Z173" s="42"/>
      <c r="AA173" s="42"/>
      <c r="AB173" s="42"/>
      <c r="AC173" s="42"/>
      <c r="AD173" s="42"/>
      <c r="AE173" s="42"/>
      <c r="AF173" s="42"/>
      <c r="AG173" s="42"/>
      <c r="AH173" s="42"/>
      <c r="AI173" s="42"/>
      <c r="AJ173" s="42"/>
      <c r="AK173" s="42"/>
      <c r="AL173" s="42"/>
      <c r="AM173" s="42"/>
    </row>
    <row r="174" spans="1:39" x14ac:dyDescent="0.25">
      <c r="A174" s="38" t="s">
        <v>525</v>
      </c>
      <c r="B174" s="42"/>
      <c r="C174" s="42"/>
      <c r="D174" s="42"/>
      <c r="E174" s="41"/>
      <c r="F174" s="41"/>
      <c r="G174" s="41"/>
      <c r="H174" s="41"/>
      <c r="I174" s="41"/>
      <c r="J174" s="42"/>
      <c r="K174" s="41"/>
      <c r="L174" s="41"/>
      <c r="M174" s="127"/>
      <c r="N174" s="41"/>
      <c r="O174" s="41"/>
      <c r="P174" s="41"/>
      <c r="Q174" s="42"/>
      <c r="R174" s="35"/>
      <c r="S174" s="35"/>
      <c r="T174" s="35"/>
      <c r="U174" s="35"/>
      <c r="V174" s="121"/>
      <c r="W174" s="42"/>
      <c r="X174" s="42"/>
      <c r="Y174" s="42"/>
      <c r="Z174" s="42"/>
      <c r="AA174" s="42"/>
      <c r="AB174" s="42"/>
      <c r="AC174" s="42"/>
      <c r="AD174" s="42"/>
      <c r="AE174" s="42"/>
      <c r="AF174" s="42"/>
      <c r="AG174" s="42"/>
      <c r="AH174" s="42"/>
      <c r="AI174" s="42"/>
      <c r="AJ174" s="42"/>
      <c r="AK174" s="42"/>
      <c r="AL174" s="42"/>
      <c r="AM174" s="42"/>
    </row>
    <row r="175" spans="1:39" x14ac:dyDescent="0.25">
      <c r="A175" s="38" t="s">
        <v>526</v>
      </c>
      <c r="B175" s="42"/>
      <c r="C175" s="42"/>
      <c r="D175" s="42"/>
      <c r="E175" s="41"/>
      <c r="F175" s="41"/>
      <c r="G175" s="41"/>
      <c r="H175" s="41"/>
      <c r="I175" s="41"/>
      <c r="J175" s="42"/>
      <c r="K175" s="41"/>
      <c r="L175" s="41"/>
      <c r="M175" s="127"/>
      <c r="N175" s="41"/>
      <c r="O175" s="41"/>
      <c r="P175" s="41"/>
      <c r="Q175" s="42"/>
      <c r="R175" s="35"/>
      <c r="S175" s="35"/>
      <c r="T175" s="35"/>
      <c r="U175" s="35"/>
      <c r="V175" s="121"/>
      <c r="W175" s="42"/>
      <c r="X175" s="42"/>
      <c r="Y175" s="42"/>
      <c r="Z175" s="42"/>
      <c r="AA175" s="42"/>
      <c r="AB175" s="42"/>
      <c r="AC175" s="42"/>
      <c r="AD175" s="42"/>
      <c r="AE175" s="42"/>
      <c r="AF175" s="42"/>
      <c r="AG175" s="42"/>
      <c r="AH175" s="42"/>
      <c r="AI175" s="42"/>
      <c r="AJ175" s="42"/>
      <c r="AK175" s="42"/>
      <c r="AL175" s="42"/>
      <c r="AM175" s="42"/>
    </row>
    <row r="176" spans="1:39" x14ac:dyDescent="0.25">
      <c r="A176" s="38" t="s">
        <v>527</v>
      </c>
      <c r="B176" s="42"/>
      <c r="C176" s="42"/>
      <c r="D176" s="42"/>
      <c r="E176" s="41"/>
      <c r="F176" s="41"/>
      <c r="G176" s="41"/>
      <c r="H176" s="41"/>
      <c r="I176" s="41"/>
      <c r="J176" s="42"/>
      <c r="K176" s="41"/>
      <c r="L176" s="41"/>
      <c r="M176" s="127"/>
      <c r="N176" s="41"/>
      <c r="O176" s="41"/>
      <c r="P176" s="41"/>
      <c r="Q176" s="42"/>
      <c r="R176" s="35"/>
      <c r="S176" s="35"/>
      <c r="T176" s="35"/>
      <c r="U176" s="35"/>
      <c r="V176" s="121"/>
      <c r="W176" s="42"/>
      <c r="X176" s="42"/>
      <c r="Y176" s="42"/>
      <c r="Z176" s="42"/>
      <c r="AA176" s="42"/>
      <c r="AB176" s="42"/>
      <c r="AC176" s="42"/>
      <c r="AD176" s="42"/>
      <c r="AE176" s="42"/>
      <c r="AF176" s="42"/>
      <c r="AG176" s="42"/>
      <c r="AH176" s="42"/>
      <c r="AI176" s="42"/>
      <c r="AJ176" s="42"/>
      <c r="AK176" s="42"/>
      <c r="AL176" s="42"/>
      <c r="AM176" s="42"/>
    </row>
    <row r="177" spans="1:39" x14ac:dyDescent="0.25">
      <c r="A177" s="38" t="s">
        <v>528</v>
      </c>
      <c r="B177" s="42"/>
      <c r="C177" s="42"/>
      <c r="D177" s="42"/>
      <c r="E177" s="41"/>
      <c r="F177" s="41"/>
      <c r="G177" s="41"/>
      <c r="H177" s="41"/>
      <c r="I177" s="41"/>
      <c r="J177" s="42"/>
      <c r="K177" s="41"/>
      <c r="L177" s="41"/>
      <c r="M177" s="127"/>
      <c r="N177" s="41"/>
      <c r="O177" s="41"/>
      <c r="P177" s="41"/>
      <c r="Q177" s="42"/>
      <c r="R177" s="35"/>
      <c r="S177" s="35"/>
      <c r="T177" s="35"/>
      <c r="U177" s="35"/>
      <c r="V177" s="121"/>
      <c r="W177" s="42"/>
      <c r="X177" s="42"/>
      <c r="Y177" s="42"/>
      <c r="Z177" s="42"/>
      <c r="AA177" s="42"/>
      <c r="AB177" s="42"/>
      <c r="AC177" s="42"/>
      <c r="AD177" s="42"/>
      <c r="AE177" s="42"/>
      <c r="AF177" s="42"/>
      <c r="AG177" s="42"/>
      <c r="AH177" s="42"/>
      <c r="AI177" s="42"/>
      <c r="AJ177" s="42"/>
      <c r="AK177" s="42"/>
      <c r="AL177" s="42"/>
      <c r="AM177" s="42"/>
    </row>
    <row r="178" spans="1:39" x14ac:dyDescent="0.25">
      <c r="A178" s="38" t="s">
        <v>529</v>
      </c>
      <c r="B178" s="42"/>
      <c r="C178" s="42"/>
      <c r="D178" s="42"/>
      <c r="E178" s="41"/>
      <c r="F178" s="41"/>
      <c r="G178" s="41"/>
      <c r="H178" s="41"/>
      <c r="I178" s="41"/>
      <c r="J178" s="42"/>
      <c r="K178" s="41"/>
      <c r="L178" s="41"/>
      <c r="M178" s="127"/>
      <c r="N178" s="41"/>
      <c r="O178" s="41"/>
      <c r="P178" s="41"/>
      <c r="Q178" s="42"/>
      <c r="R178" s="35"/>
      <c r="S178" s="35"/>
      <c r="T178" s="35"/>
      <c r="U178" s="35"/>
      <c r="V178" s="121"/>
      <c r="W178" s="42"/>
      <c r="X178" s="42"/>
      <c r="Y178" s="42"/>
      <c r="Z178" s="42"/>
      <c r="AA178" s="42"/>
      <c r="AB178" s="42"/>
      <c r="AC178" s="42"/>
      <c r="AD178" s="42"/>
      <c r="AE178" s="42"/>
      <c r="AF178" s="42"/>
      <c r="AG178" s="42"/>
      <c r="AH178" s="42"/>
      <c r="AI178" s="42"/>
      <c r="AJ178" s="42"/>
      <c r="AK178" s="42"/>
      <c r="AL178" s="42"/>
      <c r="AM178" s="42"/>
    </row>
    <row r="179" spans="1:39" x14ac:dyDescent="0.25">
      <c r="A179" s="38" t="s">
        <v>530</v>
      </c>
      <c r="B179" s="42"/>
      <c r="C179" s="42"/>
      <c r="D179" s="42"/>
      <c r="E179" s="41"/>
      <c r="F179" s="41"/>
      <c r="G179" s="41"/>
      <c r="H179" s="41"/>
      <c r="I179" s="41"/>
      <c r="J179" s="42"/>
      <c r="K179" s="41"/>
      <c r="L179" s="41"/>
      <c r="M179" s="127"/>
      <c r="N179" s="41"/>
      <c r="O179" s="41"/>
      <c r="P179" s="41"/>
      <c r="Q179" s="42"/>
      <c r="R179" s="35"/>
      <c r="S179" s="35"/>
      <c r="T179" s="35"/>
      <c r="U179" s="35"/>
      <c r="V179" s="121"/>
      <c r="W179" s="42"/>
      <c r="X179" s="42"/>
      <c r="Y179" s="42"/>
      <c r="Z179" s="42"/>
      <c r="AA179" s="42"/>
      <c r="AB179" s="42"/>
      <c r="AC179" s="42"/>
      <c r="AD179" s="42"/>
      <c r="AE179" s="42"/>
      <c r="AF179" s="42"/>
      <c r="AG179" s="42"/>
      <c r="AH179" s="42"/>
      <c r="AI179" s="42"/>
      <c r="AJ179" s="42"/>
      <c r="AK179" s="42"/>
      <c r="AL179" s="42"/>
      <c r="AM179" s="42"/>
    </row>
    <row r="180" spans="1:39" x14ac:dyDescent="0.25">
      <c r="A180" s="38" t="s">
        <v>531</v>
      </c>
      <c r="B180" s="42"/>
      <c r="C180" s="42"/>
      <c r="D180" s="42"/>
      <c r="E180" s="41"/>
      <c r="F180" s="41"/>
      <c r="G180" s="41"/>
      <c r="H180" s="41"/>
      <c r="I180" s="41"/>
      <c r="J180" s="42"/>
      <c r="K180" s="41"/>
      <c r="L180" s="41"/>
      <c r="M180" s="127"/>
      <c r="N180" s="41"/>
      <c r="O180" s="41"/>
      <c r="P180" s="41"/>
      <c r="Q180" s="42"/>
      <c r="R180" s="35"/>
      <c r="S180" s="35"/>
      <c r="T180" s="35"/>
      <c r="U180" s="35"/>
      <c r="V180" s="121"/>
      <c r="W180" s="42"/>
      <c r="X180" s="42"/>
      <c r="Y180" s="42"/>
      <c r="Z180" s="42"/>
      <c r="AA180" s="42"/>
      <c r="AB180" s="42"/>
      <c r="AC180" s="42"/>
      <c r="AD180" s="42"/>
      <c r="AE180" s="42"/>
      <c r="AF180" s="42"/>
      <c r="AG180" s="42"/>
      <c r="AH180" s="42"/>
      <c r="AI180" s="42"/>
      <c r="AJ180" s="42"/>
      <c r="AK180" s="42"/>
      <c r="AL180" s="42"/>
      <c r="AM180" s="42"/>
    </row>
    <row r="181" spans="1:39" x14ac:dyDescent="0.25">
      <c r="A181" s="38" t="s">
        <v>532</v>
      </c>
      <c r="B181" s="42"/>
      <c r="C181" s="42"/>
      <c r="D181" s="42"/>
      <c r="E181" s="41"/>
      <c r="F181" s="41"/>
      <c r="G181" s="41"/>
      <c r="H181" s="41"/>
      <c r="I181" s="41"/>
      <c r="J181" s="42"/>
      <c r="K181" s="41"/>
      <c r="L181" s="41"/>
      <c r="M181" s="127"/>
      <c r="N181" s="41"/>
      <c r="O181" s="41"/>
      <c r="P181" s="41"/>
      <c r="Q181" s="42"/>
      <c r="R181" s="35"/>
      <c r="S181" s="35"/>
      <c r="T181" s="35"/>
      <c r="U181" s="35"/>
      <c r="V181" s="121"/>
      <c r="W181" s="42"/>
      <c r="X181" s="42"/>
      <c r="Y181" s="42"/>
      <c r="Z181" s="42"/>
      <c r="AA181" s="42"/>
      <c r="AB181" s="42"/>
      <c r="AC181" s="42"/>
      <c r="AD181" s="42"/>
      <c r="AE181" s="42"/>
      <c r="AF181" s="42"/>
      <c r="AG181" s="42"/>
      <c r="AH181" s="42"/>
      <c r="AI181" s="42"/>
      <c r="AJ181" s="42"/>
      <c r="AK181" s="42"/>
      <c r="AL181" s="42"/>
      <c r="AM181" s="42"/>
    </row>
    <row r="182" spans="1:39" x14ac:dyDescent="0.25">
      <c r="A182" s="38" t="s">
        <v>533</v>
      </c>
      <c r="B182" s="42"/>
      <c r="C182" s="42"/>
      <c r="D182" s="42"/>
      <c r="E182" s="41"/>
      <c r="F182" s="41"/>
      <c r="G182" s="41"/>
      <c r="H182" s="41"/>
      <c r="I182" s="41"/>
      <c r="J182" s="42"/>
      <c r="K182" s="41"/>
      <c r="L182" s="41"/>
      <c r="M182" s="127"/>
      <c r="N182" s="41"/>
      <c r="O182" s="41"/>
      <c r="P182" s="41"/>
      <c r="Q182" s="42"/>
      <c r="R182" s="35"/>
      <c r="S182" s="35"/>
      <c r="T182" s="35"/>
      <c r="U182" s="35"/>
      <c r="V182" s="121"/>
      <c r="W182" s="42"/>
      <c r="X182" s="42"/>
      <c r="Y182" s="42"/>
      <c r="Z182" s="42"/>
      <c r="AA182" s="42"/>
      <c r="AB182" s="42"/>
      <c r="AC182" s="42"/>
      <c r="AD182" s="42"/>
      <c r="AE182" s="42"/>
      <c r="AF182" s="42"/>
      <c r="AG182" s="42"/>
      <c r="AH182" s="42"/>
      <c r="AI182" s="42"/>
      <c r="AJ182" s="42"/>
      <c r="AK182" s="42"/>
      <c r="AL182" s="42"/>
      <c r="AM182" s="42"/>
    </row>
    <row r="183" spans="1:39" x14ac:dyDescent="0.25">
      <c r="A183" s="38" t="s">
        <v>534</v>
      </c>
      <c r="B183" s="42"/>
      <c r="C183" s="42"/>
      <c r="D183" s="42"/>
      <c r="E183" s="41"/>
      <c r="F183" s="41"/>
      <c r="G183" s="41"/>
      <c r="H183" s="41"/>
      <c r="I183" s="41"/>
      <c r="J183" s="42"/>
      <c r="K183" s="41"/>
      <c r="L183" s="41"/>
      <c r="M183" s="127"/>
      <c r="N183" s="41"/>
      <c r="O183" s="41"/>
      <c r="P183" s="41"/>
      <c r="Q183" s="42"/>
      <c r="R183" s="35"/>
      <c r="S183" s="35"/>
      <c r="T183" s="35"/>
      <c r="U183" s="35"/>
      <c r="V183" s="121"/>
      <c r="W183" s="42"/>
      <c r="X183" s="42"/>
      <c r="Y183" s="42"/>
      <c r="Z183" s="42"/>
      <c r="AA183" s="42"/>
      <c r="AB183" s="42"/>
      <c r="AC183" s="42"/>
      <c r="AD183" s="42"/>
      <c r="AE183" s="42"/>
      <c r="AF183" s="42"/>
      <c r="AG183" s="42"/>
      <c r="AH183" s="42"/>
      <c r="AI183" s="42"/>
      <c r="AJ183" s="42"/>
      <c r="AK183" s="42"/>
      <c r="AL183" s="42"/>
      <c r="AM183" s="42"/>
    </row>
    <row r="184" spans="1:39" x14ac:dyDescent="0.25">
      <c r="A184" s="38" t="s">
        <v>535</v>
      </c>
      <c r="B184" s="42"/>
      <c r="C184" s="42"/>
      <c r="D184" s="42"/>
      <c r="E184" s="41"/>
      <c r="F184" s="41"/>
      <c r="G184" s="41"/>
      <c r="H184" s="41"/>
      <c r="I184" s="41"/>
      <c r="J184" s="42"/>
      <c r="K184" s="41"/>
      <c r="L184" s="41"/>
      <c r="M184" s="127"/>
      <c r="N184" s="41"/>
      <c r="O184" s="41"/>
      <c r="P184" s="41"/>
      <c r="Q184" s="42"/>
      <c r="R184" s="35"/>
      <c r="S184" s="35"/>
      <c r="T184" s="35"/>
      <c r="U184" s="35"/>
      <c r="V184" s="121"/>
      <c r="W184" s="42"/>
      <c r="X184" s="42"/>
      <c r="Y184" s="42"/>
      <c r="Z184" s="42"/>
      <c r="AA184" s="42"/>
      <c r="AB184" s="42"/>
      <c r="AC184" s="42"/>
      <c r="AD184" s="42"/>
      <c r="AE184" s="42"/>
      <c r="AF184" s="42"/>
      <c r="AG184" s="42"/>
      <c r="AH184" s="42"/>
      <c r="AI184" s="42"/>
      <c r="AJ184" s="42"/>
      <c r="AK184" s="42"/>
      <c r="AL184" s="42"/>
      <c r="AM184" s="42"/>
    </row>
    <row r="185" spans="1:39" x14ac:dyDescent="0.25">
      <c r="A185" s="38" t="s">
        <v>536</v>
      </c>
      <c r="B185" s="42"/>
      <c r="C185" s="42"/>
      <c r="D185" s="42"/>
      <c r="E185" s="41"/>
      <c r="F185" s="41"/>
      <c r="G185" s="41"/>
      <c r="H185" s="41"/>
      <c r="I185" s="41"/>
      <c r="J185" s="42"/>
      <c r="K185" s="41"/>
      <c r="L185" s="41"/>
      <c r="M185" s="127"/>
      <c r="N185" s="41"/>
      <c r="O185" s="41"/>
      <c r="P185" s="41"/>
      <c r="Q185" s="42"/>
      <c r="R185" s="35"/>
      <c r="S185" s="35"/>
      <c r="T185" s="35"/>
      <c r="U185" s="35"/>
      <c r="V185" s="121"/>
      <c r="W185" s="42"/>
      <c r="X185" s="42"/>
      <c r="Y185" s="42"/>
      <c r="Z185" s="42"/>
      <c r="AA185" s="42"/>
      <c r="AB185" s="42"/>
      <c r="AC185" s="42"/>
      <c r="AD185" s="42"/>
      <c r="AE185" s="42"/>
      <c r="AF185" s="42"/>
      <c r="AG185" s="42"/>
      <c r="AH185" s="42"/>
      <c r="AI185" s="42"/>
      <c r="AJ185" s="42"/>
      <c r="AK185" s="42"/>
      <c r="AL185" s="42"/>
      <c r="AM185" s="42"/>
    </row>
    <row r="186" spans="1:39" x14ac:dyDescent="0.25">
      <c r="A186" s="38" t="s">
        <v>537</v>
      </c>
      <c r="B186" s="42"/>
      <c r="C186" s="42"/>
      <c r="D186" s="42"/>
      <c r="E186" s="41"/>
      <c r="F186" s="41"/>
      <c r="G186" s="41"/>
      <c r="H186" s="41"/>
      <c r="I186" s="41"/>
      <c r="J186" s="42"/>
      <c r="K186" s="41"/>
      <c r="L186" s="41"/>
      <c r="M186" s="127"/>
      <c r="N186" s="41"/>
      <c r="O186" s="41"/>
      <c r="P186" s="41"/>
      <c r="Q186" s="42"/>
      <c r="R186" s="35"/>
      <c r="S186" s="35"/>
      <c r="T186" s="35"/>
      <c r="U186" s="35"/>
      <c r="V186" s="121"/>
      <c r="W186" s="42"/>
      <c r="X186" s="42"/>
      <c r="Y186" s="42"/>
      <c r="Z186" s="42"/>
      <c r="AA186" s="42"/>
      <c r="AB186" s="42"/>
      <c r="AC186" s="42"/>
      <c r="AD186" s="42"/>
      <c r="AE186" s="42"/>
      <c r="AF186" s="42"/>
      <c r="AG186" s="42"/>
      <c r="AH186" s="42"/>
      <c r="AI186" s="42"/>
      <c r="AJ186" s="42"/>
      <c r="AK186" s="42"/>
      <c r="AL186" s="42"/>
      <c r="AM186" s="42"/>
    </row>
    <row r="187" spans="1:39" x14ac:dyDescent="0.25">
      <c r="A187" s="38" t="s">
        <v>538</v>
      </c>
      <c r="B187" s="42"/>
      <c r="C187" s="42"/>
      <c r="D187" s="42"/>
      <c r="E187" s="41"/>
      <c r="F187" s="41"/>
      <c r="G187" s="41"/>
      <c r="H187" s="41"/>
      <c r="I187" s="41"/>
      <c r="J187" s="42"/>
      <c r="K187" s="41"/>
      <c r="L187" s="41"/>
      <c r="M187" s="127"/>
      <c r="N187" s="41"/>
      <c r="O187" s="41"/>
      <c r="P187" s="41"/>
      <c r="Q187" s="42"/>
      <c r="R187" s="35"/>
      <c r="S187" s="35"/>
      <c r="T187" s="35"/>
      <c r="U187" s="35"/>
      <c r="V187" s="121"/>
      <c r="W187" s="42"/>
      <c r="X187" s="42"/>
      <c r="Y187" s="42"/>
      <c r="Z187" s="42"/>
      <c r="AA187" s="42"/>
      <c r="AB187" s="42"/>
      <c r="AC187" s="42"/>
      <c r="AD187" s="42"/>
      <c r="AE187" s="42"/>
      <c r="AF187" s="42"/>
      <c r="AG187" s="42"/>
      <c r="AH187" s="42"/>
      <c r="AI187" s="42"/>
      <c r="AJ187" s="42"/>
      <c r="AK187" s="42"/>
      <c r="AL187" s="42"/>
      <c r="AM187" s="42"/>
    </row>
    <row r="188" spans="1:39" x14ac:dyDescent="0.25">
      <c r="A188" s="38" t="s">
        <v>539</v>
      </c>
      <c r="B188" s="42"/>
      <c r="C188" s="42"/>
      <c r="D188" s="42"/>
      <c r="E188" s="41"/>
      <c r="F188" s="41"/>
      <c r="G188" s="41"/>
      <c r="H188" s="41"/>
      <c r="I188" s="41"/>
      <c r="J188" s="42"/>
      <c r="K188" s="41"/>
      <c r="L188" s="41"/>
      <c r="M188" s="127"/>
      <c r="N188" s="41"/>
      <c r="O188" s="41"/>
      <c r="P188" s="41"/>
      <c r="Q188" s="42"/>
      <c r="R188" s="35"/>
      <c r="S188" s="35"/>
      <c r="T188" s="35"/>
      <c r="U188" s="35"/>
      <c r="V188" s="121"/>
      <c r="W188" s="42"/>
      <c r="X188" s="42"/>
      <c r="Y188" s="42"/>
      <c r="Z188" s="42"/>
      <c r="AA188" s="42"/>
      <c r="AB188" s="42"/>
      <c r="AC188" s="42"/>
      <c r="AD188" s="42"/>
      <c r="AE188" s="42"/>
      <c r="AF188" s="42"/>
      <c r="AG188" s="42"/>
      <c r="AH188" s="42"/>
      <c r="AI188" s="42"/>
      <c r="AJ188" s="42"/>
      <c r="AK188" s="42"/>
      <c r="AL188" s="42"/>
      <c r="AM188" s="42"/>
    </row>
    <row r="189" spans="1:39" x14ac:dyDescent="0.25">
      <c r="A189" s="38" t="s">
        <v>540</v>
      </c>
      <c r="B189" s="42"/>
      <c r="C189" s="42"/>
      <c r="D189" s="42"/>
      <c r="E189" s="41"/>
      <c r="F189" s="41"/>
      <c r="G189" s="41"/>
      <c r="H189" s="41"/>
      <c r="I189" s="41"/>
      <c r="J189" s="42"/>
      <c r="K189" s="41"/>
      <c r="L189" s="41"/>
      <c r="M189" s="127"/>
      <c r="N189" s="41"/>
      <c r="O189" s="41"/>
      <c r="P189" s="41"/>
      <c r="Q189" s="42"/>
      <c r="R189" s="35"/>
      <c r="S189" s="35"/>
      <c r="T189" s="35"/>
      <c r="U189" s="35"/>
      <c r="V189" s="121"/>
      <c r="W189" s="42"/>
      <c r="X189" s="42"/>
      <c r="Y189" s="42"/>
      <c r="Z189" s="42"/>
      <c r="AA189" s="42"/>
      <c r="AB189" s="42"/>
      <c r="AC189" s="42"/>
      <c r="AD189" s="42"/>
      <c r="AE189" s="42"/>
      <c r="AF189" s="42"/>
      <c r="AG189" s="42"/>
      <c r="AH189" s="42"/>
      <c r="AI189" s="42"/>
      <c r="AJ189" s="42"/>
      <c r="AK189" s="42"/>
      <c r="AL189" s="42"/>
      <c r="AM189" s="42"/>
    </row>
    <row r="190" spans="1:39" x14ac:dyDescent="0.25">
      <c r="A190" s="38" t="s">
        <v>541</v>
      </c>
      <c r="B190" s="42"/>
      <c r="C190" s="42"/>
      <c r="D190" s="42"/>
      <c r="E190" s="41"/>
      <c r="F190" s="41"/>
      <c r="G190" s="41"/>
      <c r="H190" s="41"/>
      <c r="I190" s="41"/>
      <c r="J190" s="42"/>
      <c r="K190" s="41"/>
      <c r="L190" s="41"/>
      <c r="M190" s="127"/>
      <c r="N190" s="41"/>
      <c r="O190" s="41"/>
      <c r="P190" s="41"/>
      <c r="Q190" s="42"/>
      <c r="R190" s="35"/>
      <c r="S190" s="35"/>
      <c r="T190" s="35"/>
      <c r="U190" s="35"/>
      <c r="V190" s="121"/>
      <c r="W190" s="42"/>
      <c r="X190" s="42"/>
      <c r="Y190" s="42"/>
      <c r="Z190" s="42"/>
      <c r="AA190" s="42"/>
      <c r="AB190" s="42"/>
      <c r="AC190" s="42"/>
      <c r="AD190" s="42"/>
      <c r="AE190" s="42"/>
      <c r="AF190" s="42"/>
      <c r="AG190" s="42"/>
      <c r="AH190" s="42"/>
      <c r="AI190" s="42"/>
      <c r="AJ190" s="42"/>
      <c r="AK190" s="42"/>
      <c r="AL190" s="42"/>
      <c r="AM190" s="42"/>
    </row>
    <row r="191" spans="1:39" x14ac:dyDescent="0.25">
      <c r="A191" s="38" t="s">
        <v>542</v>
      </c>
      <c r="B191" s="42"/>
      <c r="C191" s="42"/>
      <c r="D191" s="42"/>
      <c r="E191" s="41"/>
      <c r="F191" s="41"/>
      <c r="G191" s="41"/>
      <c r="H191" s="41"/>
      <c r="I191" s="41"/>
      <c r="J191" s="42"/>
      <c r="K191" s="41"/>
      <c r="L191" s="41"/>
      <c r="M191" s="127"/>
      <c r="N191" s="41"/>
      <c r="O191" s="41"/>
      <c r="P191" s="41"/>
      <c r="Q191" s="42"/>
      <c r="R191" s="35"/>
      <c r="S191" s="35"/>
      <c r="T191" s="35"/>
      <c r="U191" s="35"/>
      <c r="V191" s="121"/>
      <c r="W191" s="42"/>
      <c r="X191" s="42"/>
      <c r="Y191" s="42"/>
      <c r="Z191" s="42"/>
      <c r="AA191" s="42"/>
      <c r="AB191" s="42"/>
      <c r="AC191" s="42"/>
      <c r="AD191" s="42"/>
      <c r="AE191" s="42"/>
      <c r="AF191" s="42"/>
      <c r="AG191" s="42"/>
      <c r="AH191" s="42"/>
      <c r="AI191" s="42"/>
      <c r="AJ191" s="42"/>
      <c r="AK191" s="42"/>
      <c r="AL191" s="42"/>
      <c r="AM191" s="42"/>
    </row>
    <row r="192" spans="1:39" x14ac:dyDescent="0.25">
      <c r="A192" s="38" t="s">
        <v>543</v>
      </c>
      <c r="B192" s="42"/>
      <c r="C192" s="42"/>
      <c r="D192" s="42"/>
      <c r="E192" s="41"/>
      <c r="F192" s="41"/>
      <c r="G192" s="41"/>
      <c r="H192" s="41"/>
      <c r="I192" s="41"/>
      <c r="J192" s="42"/>
      <c r="K192" s="41"/>
      <c r="L192" s="41"/>
      <c r="M192" s="127"/>
      <c r="N192" s="41"/>
      <c r="O192" s="41"/>
      <c r="P192" s="41"/>
      <c r="Q192" s="42"/>
      <c r="R192" s="35"/>
      <c r="S192" s="35"/>
      <c r="T192" s="35"/>
      <c r="U192" s="35"/>
      <c r="V192" s="121"/>
      <c r="W192" s="42"/>
      <c r="X192" s="42"/>
      <c r="Y192" s="42"/>
      <c r="Z192" s="42"/>
      <c r="AA192" s="42"/>
      <c r="AB192" s="42"/>
      <c r="AC192" s="42"/>
      <c r="AD192" s="42"/>
      <c r="AE192" s="42"/>
      <c r="AF192" s="42"/>
      <c r="AG192" s="42"/>
      <c r="AH192" s="42"/>
      <c r="AI192" s="42"/>
      <c r="AJ192" s="42"/>
      <c r="AK192" s="42"/>
      <c r="AL192" s="42"/>
      <c r="AM192" s="42"/>
    </row>
    <row r="193" spans="1:39" x14ac:dyDescent="0.25">
      <c r="A193" s="38" t="s">
        <v>544</v>
      </c>
      <c r="B193" s="42"/>
      <c r="C193" s="42"/>
      <c r="D193" s="42"/>
      <c r="E193" s="41"/>
      <c r="F193" s="41"/>
      <c r="G193" s="41"/>
      <c r="H193" s="41"/>
      <c r="I193" s="41"/>
      <c r="J193" s="42"/>
      <c r="K193" s="41"/>
      <c r="L193" s="41"/>
      <c r="M193" s="127"/>
      <c r="N193" s="41"/>
      <c r="O193" s="41"/>
      <c r="P193" s="41"/>
      <c r="Q193" s="42"/>
      <c r="R193" s="35"/>
      <c r="S193" s="35"/>
      <c r="T193" s="35"/>
      <c r="U193" s="35"/>
      <c r="V193" s="121"/>
      <c r="W193" s="42"/>
      <c r="X193" s="42"/>
      <c r="Y193" s="42"/>
      <c r="Z193" s="42"/>
      <c r="AA193" s="42"/>
      <c r="AB193" s="42"/>
      <c r="AC193" s="42"/>
      <c r="AD193" s="42"/>
      <c r="AE193" s="42"/>
      <c r="AF193" s="42"/>
      <c r="AG193" s="42"/>
      <c r="AH193" s="42"/>
      <c r="AI193" s="42"/>
      <c r="AJ193" s="42"/>
      <c r="AK193" s="42"/>
      <c r="AL193" s="42"/>
      <c r="AM193" s="42"/>
    </row>
    <row r="194" spans="1:39" x14ac:dyDescent="0.25">
      <c r="A194" s="38" t="s">
        <v>545</v>
      </c>
      <c r="B194" s="42"/>
      <c r="C194" s="42"/>
      <c r="D194" s="42"/>
      <c r="E194" s="41"/>
      <c r="F194" s="41"/>
      <c r="G194" s="41"/>
      <c r="H194" s="41"/>
      <c r="I194" s="41"/>
      <c r="J194" s="42"/>
      <c r="K194" s="41"/>
      <c r="L194" s="41"/>
      <c r="M194" s="127"/>
      <c r="N194" s="41"/>
      <c r="O194" s="41"/>
      <c r="P194" s="41"/>
      <c r="Q194" s="42"/>
      <c r="R194" s="35"/>
      <c r="S194" s="35"/>
      <c r="T194" s="35"/>
      <c r="U194" s="35"/>
      <c r="V194" s="121"/>
      <c r="W194" s="42"/>
      <c r="X194" s="42"/>
      <c r="Y194" s="42"/>
      <c r="Z194" s="42"/>
      <c r="AA194" s="42"/>
      <c r="AB194" s="42"/>
      <c r="AC194" s="42"/>
      <c r="AD194" s="42"/>
      <c r="AE194" s="42"/>
      <c r="AF194" s="42"/>
      <c r="AG194" s="42"/>
      <c r="AH194" s="42"/>
      <c r="AI194" s="42"/>
      <c r="AJ194" s="42"/>
      <c r="AK194" s="42"/>
      <c r="AL194" s="42"/>
      <c r="AM194" s="42"/>
    </row>
    <row r="195" spans="1:39" x14ac:dyDescent="0.25">
      <c r="A195" s="38" t="s">
        <v>546</v>
      </c>
      <c r="B195" s="42"/>
      <c r="C195" s="42"/>
      <c r="D195" s="42"/>
      <c r="E195" s="41"/>
      <c r="F195" s="41"/>
      <c r="G195" s="41"/>
      <c r="H195" s="41"/>
      <c r="I195" s="41"/>
      <c r="J195" s="42"/>
      <c r="K195" s="41"/>
      <c r="L195" s="41"/>
      <c r="M195" s="127"/>
      <c r="N195" s="41"/>
      <c r="O195" s="41"/>
      <c r="P195" s="41"/>
      <c r="Q195" s="42"/>
      <c r="R195" s="35"/>
      <c r="S195" s="35"/>
      <c r="T195" s="35"/>
      <c r="U195" s="35"/>
      <c r="V195" s="121"/>
      <c r="W195" s="42"/>
      <c r="X195" s="42"/>
      <c r="Y195" s="42"/>
      <c r="Z195" s="42"/>
      <c r="AA195" s="42"/>
      <c r="AB195" s="42"/>
      <c r="AC195" s="42"/>
      <c r="AD195" s="42"/>
      <c r="AE195" s="42"/>
      <c r="AF195" s="42"/>
      <c r="AG195" s="42"/>
      <c r="AH195" s="42"/>
      <c r="AI195" s="42"/>
      <c r="AJ195" s="42"/>
      <c r="AK195" s="42"/>
      <c r="AL195" s="42"/>
      <c r="AM195" s="42"/>
    </row>
    <row r="196" spans="1:39" x14ac:dyDescent="0.25">
      <c r="A196" s="38" t="s">
        <v>547</v>
      </c>
      <c r="B196" s="42"/>
      <c r="C196" s="42"/>
      <c r="D196" s="42"/>
      <c r="E196" s="41"/>
      <c r="F196" s="41"/>
      <c r="G196" s="41"/>
      <c r="H196" s="41"/>
      <c r="I196" s="41"/>
      <c r="J196" s="42"/>
      <c r="K196" s="41"/>
      <c r="L196" s="41"/>
      <c r="M196" s="127"/>
      <c r="N196" s="41"/>
      <c r="O196" s="41"/>
      <c r="P196" s="41"/>
      <c r="Q196" s="42"/>
      <c r="R196" s="35"/>
      <c r="S196" s="35"/>
      <c r="T196" s="35"/>
      <c r="U196" s="35"/>
      <c r="V196" s="121"/>
      <c r="W196" s="42"/>
      <c r="X196" s="42"/>
      <c r="Y196" s="42"/>
      <c r="Z196" s="42"/>
      <c r="AA196" s="42"/>
      <c r="AB196" s="42"/>
      <c r="AC196" s="42"/>
      <c r="AD196" s="42"/>
      <c r="AE196" s="42"/>
      <c r="AF196" s="42"/>
      <c r="AG196" s="42"/>
      <c r="AH196" s="42"/>
      <c r="AI196" s="42"/>
      <c r="AJ196" s="42"/>
      <c r="AK196" s="42"/>
      <c r="AL196" s="42"/>
      <c r="AM196" s="42"/>
    </row>
    <row r="197" spans="1:39" x14ac:dyDescent="0.25">
      <c r="A197" s="38" t="s">
        <v>548</v>
      </c>
      <c r="B197" s="42"/>
      <c r="C197" s="42"/>
      <c r="D197" s="42"/>
      <c r="E197" s="41"/>
      <c r="F197" s="41"/>
      <c r="G197" s="41"/>
      <c r="H197" s="41"/>
      <c r="I197" s="41"/>
      <c r="J197" s="42"/>
      <c r="K197" s="41"/>
      <c r="L197" s="41"/>
      <c r="M197" s="127"/>
      <c r="N197" s="41"/>
      <c r="O197" s="41"/>
      <c r="P197" s="41"/>
      <c r="Q197" s="42"/>
      <c r="R197" s="35"/>
      <c r="S197" s="35"/>
      <c r="T197" s="35"/>
      <c r="U197" s="35"/>
      <c r="V197" s="121"/>
      <c r="W197" s="42"/>
      <c r="X197" s="42"/>
      <c r="Y197" s="42"/>
      <c r="Z197" s="42"/>
      <c r="AA197" s="42"/>
      <c r="AB197" s="42"/>
      <c r="AC197" s="42"/>
      <c r="AD197" s="42"/>
      <c r="AE197" s="42"/>
      <c r="AF197" s="42"/>
      <c r="AG197" s="42"/>
      <c r="AH197" s="42"/>
      <c r="AI197" s="42"/>
      <c r="AJ197" s="42"/>
      <c r="AK197" s="42"/>
      <c r="AL197" s="42"/>
      <c r="AM197" s="42"/>
    </row>
    <row r="198" spans="1:39" x14ac:dyDescent="0.25">
      <c r="A198" s="38" t="s">
        <v>549</v>
      </c>
      <c r="B198" s="42"/>
      <c r="C198" s="42"/>
      <c r="D198" s="42"/>
      <c r="E198" s="41"/>
      <c r="F198" s="41"/>
      <c r="G198" s="41"/>
      <c r="H198" s="41"/>
      <c r="I198" s="41"/>
      <c r="J198" s="42"/>
      <c r="K198" s="41"/>
      <c r="L198" s="41"/>
      <c r="M198" s="127"/>
      <c r="N198" s="41"/>
      <c r="O198" s="41"/>
      <c r="P198" s="41"/>
      <c r="Q198" s="42"/>
      <c r="R198" s="35"/>
      <c r="S198" s="35"/>
      <c r="T198" s="35"/>
      <c r="U198" s="35"/>
      <c r="V198" s="121"/>
      <c r="W198" s="42"/>
      <c r="X198" s="42"/>
      <c r="Y198" s="42"/>
      <c r="Z198" s="42"/>
      <c r="AA198" s="42"/>
      <c r="AB198" s="42"/>
      <c r="AC198" s="42"/>
      <c r="AD198" s="42"/>
      <c r="AE198" s="42"/>
      <c r="AF198" s="42"/>
      <c r="AG198" s="42"/>
      <c r="AH198" s="42"/>
      <c r="AI198" s="42"/>
      <c r="AJ198" s="42"/>
      <c r="AK198" s="42"/>
      <c r="AL198" s="42"/>
      <c r="AM198" s="42"/>
    </row>
    <row r="199" spans="1:39" x14ac:dyDescent="0.25">
      <c r="A199" s="38" t="s">
        <v>550</v>
      </c>
      <c r="B199" s="42"/>
      <c r="C199" s="42"/>
      <c r="D199" s="42"/>
      <c r="E199" s="41"/>
      <c r="F199" s="41"/>
      <c r="G199" s="41"/>
      <c r="H199" s="41"/>
      <c r="I199" s="41"/>
      <c r="J199" s="42"/>
      <c r="K199" s="41"/>
      <c r="L199" s="41"/>
      <c r="M199" s="127"/>
      <c r="N199" s="41"/>
      <c r="O199" s="41"/>
      <c r="P199" s="41"/>
      <c r="Q199" s="42"/>
      <c r="R199" s="35"/>
      <c r="S199" s="35"/>
      <c r="T199" s="35"/>
      <c r="U199" s="35"/>
      <c r="V199" s="121"/>
      <c r="W199" s="42"/>
      <c r="X199" s="42"/>
      <c r="Y199" s="42"/>
      <c r="Z199" s="42"/>
      <c r="AA199" s="42"/>
      <c r="AB199" s="42"/>
      <c r="AC199" s="42"/>
      <c r="AD199" s="42"/>
      <c r="AE199" s="42"/>
      <c r="AF199" s="42"/>
      <c r="AG199" s="42"/>
      <c r="AH199" s="42"/>
      <c r="AI199" s="42"/>
      <c r="AJ199" s="42"/>
      <c r="AK199" s="42"/>
      <c r="AL199" s="42"/>
      <c r="AM199" s="42"/>
    </row>
    <row r="200" spans="1:39" x14ac:dyDescent="0.25">
      <c r="A200" s="38" t="s">
        <v>551</v>
      </c>
      <c r="B200" s="42"/>
      <c r="C200" s="42"/>
      <c r="D200" s="42"/>
      <c r="E200" s="41"/>
      <c r="F200" s="41"/>
      <c r="G200" s="41"/>
      <c r="H200" s="41"/>
      <c r="I200" s="41"/>
      <c r="J200" s="42"/>
      <c r="K200" s="41"/>
      <c r="L200" s="41"/>
      <c r="M200" s="127"/>
      <c r="N200" s="41"/>
      <c r="O200" s="41"/>
      <c r="P200" s="41"/>
      <c r="Q200" s="42"/>
      <c r="R200" s="35"/>
      <c r="S200" s="35"/>
      <c r="T200" s="35"/>
      <c r="U200" s="35"/>
      <c r="V200" s="121"/>
      <c r="W200" s="42"/>
      <c r="X200" s="42"/>
      <c r="Y200" s="42"/>
      <c r="Z200" s="42"/>
      <c r="AA200" s="42"/>
      <c r="AB200" s="42"/>
      <c r="AC200" s="42"/>
      <c r="AD200" s="42"/>
      <c r="AE200" s="42"/>
      <c r="AF200" s="42"/>
      <c r="AG200" s="42"/>
      <c r="AH200" s="42"/>
      <c r="AI200" s="42"/>
      <c r="AJ200" s="42"/>
      <c r="AK200" s="42"/>
      <c r="AL200" s="42"/>
      <c r="AM200" s="42"/>
    </row>
    <row r="201" spans="1:39" x14ac:dyDescent="0.25">
      <c r="A201" s="38" t="s">
        <v>552</v>
      </c>
      <c r="B201" s="42"/>
      <c r="C201" s="42"/>
      <c r="D201" s="42"/>
      <c r="E201" s="41"/>
      <c r="F201" s="41"/>
      <c r="G201" s="41"/>
      <c r="H201" s="41"/>
      <c r="I201" s="41"/>
      <c r="J201" s="42"/>
      <c r="K201" s="41"/>
      <c r="L201" s="41"/>
      <c r="M201" s="127"/>
      <c r="N201" s="41"/>
      <c r="O201" s="41"/>
      <c r="P201" s="41"/>
      <c r="Q201" s="42"/>
      <c r="R201" s="35"/>
      <c r="S201" s="35"/>
      <c r="T201" s="35"/>
      <c r="U201" s="35"/>
      <c r="V201" s="121"/>
      <c r="W201" s="42"/>
      <c r="X201" s="42"/>
      <c r="Y201" s="42"/>
      <c r="Z201" s="42"/>
      <c r="AA201" s="42"/>
      <c r="AB201" s="42"/>
      <c r="AC201" s="42"/>
      <c r="AD201" s="42"/>
      <c r="AE201" s="42"/>
      <c r="AF201" s="42"/>
      <c r="AG201" s="42"/>
      <c r="AH201" s="42"/>
      <c r="AI201" s="42"/>
      <c r="AJ201" s="42"/>
      <c r="AK201" s="42"/>
      <c r="AL201" s="42"/>
      <c r="AM201" s="42"/>
    </row>
    <row r="202" spans="1:39" x14ac:dyDescent="0.25">
      <c r="A202" s="38" t="s">
        <v>553</v>
      </c>
      <c r="B202" s="42"/>
      <c r="C202" s="42"/>
      <c r="D202" s="42"/>
      <c r="E202" s="41"/>
      <c r="F202" s="41"/>
      <c r="G202" s="41"/>
      <c r="H202" s="41"/>
      <c r="I202" s="41"/>
      <c r="J202" s="42"/>
      <c r="K202" s="41"/>
      <c r="L202" s="41"/>
      <c r="M202" s="127"/>
      <c r="N202" s="41"/>
      <c r="O202" s="41"/>
      <c r="P202" s="41"/>
      <c r="Q202" s="42"/>
      <c r="R202" s="35"/>
      <c r="S202" s="35"/>
      <c r="T202" s="35"/>
      <c r="U202" s="35"/>
      <c r="V202" s="121"/>
      <c r="W202" s="42"/>
      <c r="X202" s="42"/>
      <c r="Y202" s="42"/>
      <c r="Z202" s="42"/>
      <c r="AA202" s="42"/>
      <c r="AB202" s="42"/>
      <c r="AC202" s="42"/>
      <c r="AD202" s="42"/>
      <c r="AE202" s="42"/>
      <c r="AF202" s="42"/>
      <c r="AG202" s="42"/>
      <c r="AH202" s="42"/>
      <c r="AI202" s="42"/>
      <c r="AJ202" s="42"/>
      <c r="AK202" s="42"/>
      <c r="AL202" s="42"/>
      <c r="AM202" s="42"/>
    </row>
    <row r="203" spans="1:39" x14ac:dyDescent="0.25">
      <c r="A203" s="38" t="s">
        <v>554</v>
      </c>
      <c r="B203" s="42"/>
      <c r="C203" s="42"/>
      <c r="D203" s="42"/>
      <c r="E203" s="41"/>
      <c r="F203" s="41"/>
      <c r="G203" s="41"/>
      <c r="H203" s="41"/>
      <c r="I203" s="41"/>
      <c r="J203" s="42"/>
      <c r="K203" s="41"/>
      <c r="L203" s="41"/>
      <c r="M203" s="127"/>
      <c r="N203" s="41"/>
      <c r="O203" s="41"/>
      <c r="P203" s="41"/>
      <c r="Q203" s="42"/>
      <c r="R203" s="35"/>
      <c r="S203" s="35"/>
      <c r="T203" s="35"/>
      <c r="U203" s="35"/>
      <c r="V203" s="121"/>
      <c r="W203" s="42"/>
      <c r="X203" s="42"/>
      <c r="Y203" s="42"/>
      <c r="Z203" s="42"/>
      <c r="AA203" s="42"/>
      <c r="AB203" s="42"/>
      <c r="AC203" s="42"/>
      <c r="AD203" s="42"/>
      <c r="AE203" s="42"/>
      <c r="AF203" s="42"/>
      <c r="AG203" s="42"/>
      <c r="AH203" s="42"/>
      <c r="AI203" s="42"/>
      <c r="AJ203" s="42"/>
      <c r="AK203" s="42"/>
      <c r="AL203" s="42"/>
      <c r="AM203" s="42"/>
    </row>
    <row r="204" spans="1:39" x14ac:dyDescent="0.25">
      <c r="A204" s="38" t="s">
        <v>555</v>
      </c>
      <c r="B204" s="42"/>
      <c r="C204" s="42"/>
      <c r="D204" s="42"/>
      <c r="E204" s="41"/>
      <c r="F204" s="41"/>
      <c r="G204" s="41"/>
      <c r="H204" s="41"/>
      <c r="I204" s="41"/>
      <c r="J204" s="42"/>
      <c r="K204" s="41"/>
      <c r="L204" s="41"/>
      <c r="M204" s="127"/>
      <c r="N204" s="41"/>
      <c r="O204" s="41"/>
      <c r="P204" s="41"/>
      <c r="Q204" s="42"/>
      <c r="R204" s="35"/>
      <c r="S204" s="35"/>
      <c r="T204" s="35"/>
      <c r="U204" s="35"/>
      <c r="V204" s="121"/>
      <c r="W204" s="42"/>
      <c r="X204" s="42"/>
      <c r="Y204" s="42"/>
      <c r="Z204" s="42"/>
      <c r="AA204" s="42"/>
      <c r="AB204" s="42"/>
      <c r="AC204" s="42"/>
      <c r="AD204" s="42"/>
      <c r="AE204" s="42"/>
      <c r="AF204" s="42"/>
      <c r="AG204" s="42"/>
      <c r="AH204" s="42"/>
      <c r="AI204" s="42"/>
      <c r="AJ204" s="42"/>
      <c r="AK204" s="42"/>
      <c r="AL204" s="42"/>
      <c r="AM204" s="42"/>
    </row>
    <row r="205" spans="1:39" x14ac:dyDescent="0.25">
      <c r="A205" s="38" t="s">
        <v>556</v>
      </c>
      <c r="B205" s="42"/>
      <c r="C205" s="42"/>
      <c r="D205" s="42"/>
      <c r="E205" s="41"/>
      <c r="F205" s="41"/>
      <c r="G205" s="41"/>
      <c r="H205" s="41"/>
      <c r="I205" s="41"/>
      <c r="J205" s="42"/>
      <c r="K205" s="41"/>
      <c r="L205" s="41"/>
      <c r="M205" s="127"/>
      <c r="N205" s="41"/>
      <c r="O205" s="41"/>
      <c r="P205" s="41"/>
      <c r="Q205" s="42"/>
      <c r="R205" s="35"/>
      <c r="S205" s="35"/>
      <c r="T205" s="35"/>
      <c r="U205" s="35"/>
      <c r="V205" s="121"/>
      <c r="W205" s="42"/>
      <c r="X205" s="42"/>
      <c r="Y205" s="42"/>
      <c r="Z205" s="42"/>
      <c r="AA205" s="42"/>
      <c r="AB205" s="42"/>
      <c r="AC205" s="42"/>
      <c r="AD205" s="42"/>
      <c r="AE205" s="42"/>
      <c r="AF205" s="42"/>
      <c r="AG205" s="42"/>
      <c r="AH205" s="42"/>
      <c r="AI205" s="42"/>
      <c r="AJ205" s="42"/>
      <c r="AK205" s="42"/>
      <c r="AL205" s="42"/>
      <c r="AM205" s="42"/>
    </row>
    <row r="206" spans="1:39" x14ac:dyDescent="0.25">
      <c r="A206" s="38" t="s">
        <v>557</v>
      </c>
      <c r="B206" s="42"/>
      <c r="C206" s="42"/>
      <c r="D206" s="42"/>
      <c r="E206" s="41"/>
      <c r="F206" s="41"/>
      <c r="G206" s="41"/>
      <c r="H206" s="41"/>
      <c r="I206" s="41"/>
      <c r="J206" s="42"/>
      <c r="K206" s="41"/>
      <c r="L206" s="41"/>
      <c r="M206" s="127"/>
      <c r="N206" s="41"/>
      <c r="O206" s="41"/>
      <c r="P206" s="41"/>
      <c r="Q206" s="42"/>
      <c r="R206" s="35"/>
      <c r="S206" s="35"/>
      <c r="T206" s="35"/>
      <c r="U206" s="35"/>
      <c r="V206" s="121"/>
      <c r="W206" s="42"/>
      <c r="X206" s="42"/>
      <c r="Y206" s="42"/>
      <c r="Z206" s="42"/>
      <c r="AA206" s="42"/>
      <c r="AB206" s="42"/>
      <c r="AC206" s="42"/>
      <c r="AD206" s="42"/>
      <c r="AE206" s="42"/>
      <c r="AF206" s="42"/>
      <c r="AG206" s="42"/>
      <c r="AH206" s="42"/>
      <c r="AI206" s="42"/>
      <c r="AJ206" s="42"/>
      <c r="AK206" s="42"/>
      <c r="AL206" s="42"/>
      <c r="AM206" s="42"/>
    </row>
    <row r="207" spans="1:39" x14ac:dyDescent="0.25">
      <c r="A207" s="38" t="s">
        <v>558</v>
      </c>
      <c r="B207" s="42"/>
      <c r="C207" s="42"/>
      <c r="D207" s="42"/>
      <c r="E207" s="41"/>
      <c r="F207" s="41"/>
      <c r="G207" s="41"/>
      <c r="H207" s="41"/>
      <c r="I207" s="41"/>
      <c r="J207" s="42"/>
      <c r="K207" s="41"/>
      <c r="L207" s="41"/>
      <c r="M207" s="127"/>
      <c r="N207" s="41"/>
      <c r="O207" s="41"/>
      <c r="P207" s="41"/>
      <c r="Q207" s="42"/>
      <c r="R207" s="35"/>
      <c r="S207" s="35"/>
      <c r="T207" s="35"/>
      <c r="U207" s="35"/>
      <c r="V207" s="121"/>
      <c r="W207" s="42"/>
      <c r="X207" s="42"/>
      <c r="Y207" s="42"/>
      <c r="Z207" s="42"/>
      <c r="AA207" s="42"/>
      <c r="AB207" s="42"/>
      <c r="AC207" s="42"/>
      <c r="AD207" s="42"/>
      <c r="AE207" s="42"/>
      <c r="AF207" s="42"/>
      <c r="AG207" s="42"/>
      <c r="AH207" s="42"/>
      <c r="AI207" s="42"/>
      <c r="AJ207" s="42"/>
      <c r="AK207" s="42"/>
      <c r="AL207" s="42"/>
      <c r="AM207" s="42"/>
    </row>
    <row r="208" spans="1:39" x14ac:dyDescent="0.25">
      <c r="A208" s="38" t="s">
        <v>559</v>
      </c>
      <c r="B208" s="42"/>
      <c r="C208" s="42"/>
      <c r="D208" s="42"/>
      <c r="E208" s="41"/>
      <c r="F208" s="41"/>
      <c r="G208" s="41"/>
      <c r="H208" s="41"/>
      <c r="I208" s="41"/>
      <c r="J208" s="42"/>
      <c r="K208" s="41"/>
      <c r="L208" s="41"/>
      <c r="M208" s="127"/>
      <c r="N208" s="41"/>
      <c r="O208" s="41"/>
      <c r="P208" s="41"/>
      <c r="Q208" s="42"/>
      <c r="R208" s="35"/>
      <c r="S208" s="35"/>
      <c r="T208" s="35"/>
      <c r="U208" s="35"/>
      <c r="V208" s="121"/>
      <c r="W208" s="42"/>
      <c r="X208" s="42"/>
      <c r="Y208" s="42"/>
      <c r="Z208" s="42"/>
      <c r="AA208" s="42"/>
      <c r="AB208" s="42"/>
      <c r="AC208" s="42"/>
      <c r="AD208" s="42"/>
      <c r="AE208" s="42"/>
      <c r="AF208" s="42"/>
      <c r="AG208" s="42"/>
      <c r="AH208" s="42"/>
      <c r="AI208" s="42"/>
      <c r="AJ208" s="42"/>
      <c r="AK208" s="42"/>
      <c r="AL208" s="42"/>
      <c r="AM208" s="42"/>
    </row>
    <row r="209" spans="1:39" x14ac:dyDescent="0.25">
      <c r="A209" s="38" t="s">
        <v>560</v>
      </c>
      <c r="B209" s="42"/>
      <c r="C209" s="42"/>
      <c r="D209" s="42"/>
      <c r="E209" s="41"/>
      <c r="F209" s="41"/>
      <c r="G209" s="41"/>
      <c r="H209" s="41"/>
      <c r="I209" s="41"/>
      <c r="J209" s="42"/>
      <c r="K209" s="41"/>
      <c r="L209" s="41"/>
      <c r="M209" s="127"/>
      <c r="N209" s="41"/>
      <c r="O209" s="41"/>
      <c r="P209" s="41"/>
      <c r="Q209" s="42"/>
      <c r="R209" s="35"/>
      <c r="S209" s="35"/>
      <c r="T209" s="35"/>
      <c r="U209" s="35"/>
      <c r="V209" s="121"/>
      <c r="W209" s="42"/>
      <c r="X209" s="42"/>
      <c r="Y209" s="42"/>
      <c r="Z209" s="42"/>
      <c r="AA209" s="42"/>
      <c r="AB209" s="42"/>
      <c r="AC209" s="42"/>
      <c r="AD209" s="42"/>
      <c r="AE209" s="42"/>
      <c r="AF209" s="42"/>
      <c r="AG209" s="42"/>
      <c r="AH209" s="42"/>
      <c r="AI209" s="42"/>
      <c r="AJ209" s="42"/>
      <c r="AK209" s="42"/>
      <c r="AL209" s="42"/>
      <c r="AM209" s="42"/>
    </row>
    <row r="210" spans="1:39" x14ac:dyDescent="0.25">
      <c r="A210" s="38" t="s">
        <v>561</v>
      </c>
      <c r="B210" s="42"/>
      <c r="C210" s="42"/>
      <c r="D210" s="42"/>
      <c r="E210" s="41"/>
      <c r="F210" s="41"/>
      <c r="G210" s="41"/>
      <c r="H210" s="41"/>
      <c r="I210" s="41"/>
      <c r="J210" s="42"/>
      <c r="K210" s="41"/>
      <c r="L210" s="41"/>
      <c r="M210" s="127"/>
      <c r="N210" s="41"/>
      <c r="O210" s="41"/>
      <c r="P210" s="41"/>
      <c r="Q210" s="42"/>
      <c r="R210" s="35"/>
      <c r="S210" s="35"/>
      <c r="T210" s="35"/>
      <c r="U210" s="35"/>
      <c r="V210" s="121"/>
      <c r="W210" s="42"/>
      <c r="X210" s="42"/>
      <c r="Y210" s="42"/>
      <c r="Z210" s="42"/>
      <c r="AA210" s="42"/>
      <c r="AB210" s="42"/>
      <c r="AC210" s="42"/>
      <c r="AD210" s="42"/>
      <c r="AE210" s="42"/>
      <c r="AF210" s="42"/>
      <c r="AG210" s="42"/>
      <c r="AH210" s="42"/>
      <c r="AI210" s="42"/>
      <c r="AJ210" s="42"/>
      <c r="AK210" s="42"/>
      <c r="AL210" s="42"/>
      <c r="AM210" s="42"/>
    </row>
    <row r="211" spans="1:39" x14ac:dyDescent="0.25">
      <c r="A211" s="38" t="s">
        <v>562</v>
      </c>
      <c r="B211" s="42"/>
      <c r="C211" s="42"/>
      <c r="D211" s="42"/>
      <c r="E211" s="41"/>
      <c r="F211" s="41"/>
      <c r="G211" s="41"/>
      <c r="H211" s="41"/>
      <c r="I211" s="41"/>
      <c r="J211" s="42"/>
      <c r="K211" s="41"/>
      <c r="L211" s="41"/>
      <c r="M211" s="127"/>
      <c r="N211" s="41"/>
      <c r="O211" s="41"/>
      <c r="P211" s="41"/>
      <c r="Q211" s="42"/>
      <c r="R211" s="35"/>
      <c r="S211" s="35"/>
      <c r="T211" s="35"/>
      <c r="U211" s="35"/>
      <c r="V211" s="121"/>
      <c r="W211" s="42"/>
      <c r="X211" s="42"/>
      <c r="Y211" s="42"/>
      <c r="Z211" s="42"/>
      <c r="AA211" s="42"/>
      <c r="AB211" s="42"/>
      <c r="AC211" s="42"/>
      <c r="AD211" s="42"/>
      <c r="AE211" s="42"/>
      <c r="AF211" s="42"/>
      <c r="AG211" s="42"/>
      <c r="AH211" s="42"/>
      <c r="AI211" s="42"/>
      <c r="AJ211" s="42"/>
      <c r="AK211" s="42"/>
      <c r="AL211" s="42"/>
      <c r="AM211" s="42"/>
    </row>
    <row r="212" spans="1:39" x14ac:dyDescent="0.25">
      <c r="A212" s="38" t="s">
        <v>563</v>
      </c>
      <c r="B212" s="42"/>
      <c r="C212" s="42"/>
      <c r="D212" s="42"/>
      <c r="E212" s="41"/>
      <c r="F212" s="41"/>
      <c r="G212" s="41"/>
      <c r="H212" s="41"/>
      <c r="I212" s="41"/>
      <c r="J212" s="42"/>
      <c r="K212" s="41"/>
      <c r="L212" s="41"/>
      <c r="M212" s="127"/>
      <c r="N212" s="41"/>
      <c r="O212" s="41"/>
      <c r="P212" s="41"/>
      <c r="Q212" s="42"/>
      <c r="R212" s="35"/>
      <c r="S212" s="35"/>
      <c r="T212" s="35"/>
      <c r="U212" s="35"/>
      <c r="V212" s="121"/>
      <c r="W212" s="42"/>
      <c r="X212" s="42"/>
      <c r="Y212" s="42"/>
      <c r="Z212" s="42"/>
      <c r="AA212" s="42"/>
      <c r="AB212" s="42"/>
      <c r="AC212" s="42"/>
      <c r="AD212" s="42"/>
      <c r="AE212" s="42"/>
      <c r="AF212" s="42"/>
      <c r="AG212" s="42"/>
      <c r="AH212" s="42"/>
      <c r="AI212" s="42"/>
      <c r="AJ212" s="42"/>
      <c r="AK212" s="42"/>
      <c r="AL212" s="42"/>
      <c r="AM212" s="42"/>
    </row>
    <row r="213" spans="1:39" x14ac:dyDescent="0.25">
      <c r="A213" s="38" t="s">
        <v>564</v>
      </c>
      <c r="B213" s="42"/>
      <c r="C213" s="42"/>
      <c r="D213" s="42"/>
      <c r="E213" s="41"/>
      <c r="F213" s="41"/>
      <c r="G213" s="41"/>
      <c r="H213" s="41"/>
      <c r="I213" s="41"/>
      <c r="J213" s="42"/>
      <c r="K213" s="41"/>
      <c r="L213" s="41"/>
      <c r="M213" s="127"/>
      <c r="N213" s="41"/>
      <c r="O213" s="41"/>
      <c r="P213" s="41"/>
      <c r="Q213" s="42"/>
      <c r="R213" s="35"/>
      <c r="S213" s="35"/>
      <c r="T213" s="35"/>
      <c r="U213" s="35"/>
      <c r="V213" s="121"/>
      <c r="W213" s="42"/>
      <c r="X213" s="42"/>
      <c r="Y213" s="42"/>
      <c r="Z213" s="42"/>
      <c r="AA213" s="42"/>
      <c r="AB213" s="42"/>
      <c r="AC213" s="42"/>
      <c r="AD213" s="42"/>
      <c r="AE213" s="42"/>
      <c r="AF213" s="42"/>
      <c r="AG213" s="42"/>
      <c r="AH213" s="42"/>
      <c r="AI213" s="42"/>
      <c r="AJ213" s="42"/>
      <c r="AK213" s="42"/>
      <c r="AL213" s="42"/>
      <c r="AM213" s="42"/>
    </row>
    <row r="214" spans="1:39" x14ac:dyDescent="0.25">
      <c r="A214" s="38" t="s">
        <v>565</v>
      </c>
      <c r="B214" s="42"/>
      <c r="C214" s="42"/>
      <c r="D214" s="42"/>
      <c r="E214" s="41"/>
      <c r="F214" s="41"/>
      <c r="G214" s="41"/>
      <c r="H214" s="41"/>
      <c r="I214" s="41"/>
      <c r="J214" s="42"/>
      <c r="K214" s="41"/>
      <c r="L214" s="41"/>
      <c r="M214" s="127"/>
      <c r="N214" s="41"/>
      <c r="O214" s="41"/>
      <c r="P214" s="41"/>
      <c r="Q214" s="42"/>
      <c r="R214" s="35"/>
      <c r="S214" s="35"/>
      <c r="T214" s="35"/>
      <c r="U214" s="35"/>
      <c r="V214" s="121"/>
      <c r="W214" s="42"/>
      <c r="X214" s="42"/>
      <c r="Y214" s="42"/>
      <c r="Z214" s="42"/>
      <c r="AA214" s="42"/>
      <c r="AB214" s="42"/>
      <c r="AC214" s="42"/>
      <c r="AD214" s="42"/>
      <c r="AE214" s="42"/>
      <c r="AF214" s="42"/>
      <c r="AG214" s="42"/>
      <c r="AH214" s="42"/>
      <c r="AI214" s="42"/>
      <c r="AJ214" s="42"/>
      <c r="AK214" s="42"/>
      <c r="AL214" s="42"/>
      <c r="AM214" s="42"/>
    </row>
    <row r="215" spans="1:39" x14ac:dyDescent="0.25">
      <c r="A215" s="38" t="s">
        <v>566</v>
      </c>
      <c r="B215" s="42"/>
      <c r="C215" s="42"/>
      <c r="D215" s="42"/>
      <c r="E215" s="41"/>
      <c r="F215" s="41"/>
      <c r="G215" s="41"/>
      <c r="H215" s="41"/>
      <c r="I215" s="41"/>
      <c r="J215" s="42"/>
      <c r="K215" s="41"/>
      <c r="L215" s="41"/>
      <c r="M215" s="127"/>
      <c r="N215" s="41"/>
      <c r="O215" s="41"/>
      <c r="P215" s="41"/>
      <c r="Q215" s="42"/>
      <c r="R215" s="35"/>
      <c r="S215" s="35"/>
      <c r="T215" s="35"/>
      <c r="U215" s="35"/>
      <c r="V215" s="121"/>
      <c r="W215" s="42"/>
      <c r="X215" s="42"/>
      <c r="Y215" s="42"/>
      <c r="Z215" s="42"/>
      <c r="AA215" s="42"/>
      <c r="AB215" s="42"/>
      <c r="AC215" s="42"/>
      <c r="AD215" s="42"/>
      <c r="AE215" s="42"/>
      <c r="AF215" s="42"/>
      <c r="AG215" s="42"/>
      <c r="AH215" s="42"/>
      <c r="AI215" s="42"/>
      <c r="AJ215" s="42"/>
      <c r="AK215" s="42"/>
      <c r="AL215" s="42"/>
      <c r="AM215" s="42"/>
    </row>
    <row r="216" spans="1:39" x14ac:dyDescent="0.25">
      <c r="A216" s="38" t="s">
        <v>567</v>
      </c>
      <c r="B216" s="42"/>
      <c r="C216" s="42"/>
      <c r="D216" s="42"/>
      <c r="E216" s="41"/>
      <c r="F216" s="41"/>
      <c r="G216" s="41"/>
      <c r="H216" s="41"/>
      <c r="I216" s="41"/>
      <c r="J216" s="42"/>
      <c r="K216" s="41"/>
      <c r="L216" s="41"/>
      <c r="M216" s="127"/>
      <c r="N216" s="41"/>
      <c r="O216" s="41"/>
      <c r="P216" s="41"/>
      <c r="Q216" s="42"/>
      <c r="R216" s="35"/>
      <c r="S216" s="35"/>
      <c r="T216" s="35"/>
      <c r="U216" s="35"/>
      <c r="V216" s="121"/>
      <c r="W216" s="42"/>
      <c r="X216" s="42"/>
      <c r="Y216" s="42"/>
      <c r="Z216" s="42"/>
      <c r="AA216" s="42"/>
      <c r="AB216" s="42"/>
      <c r="AC216" s="42"/>
      <c r="AD216" s="42"/>
      <c r="AE216" s="42"/>
      <c r="AF216" s="42"/>
      <c r="AG216" s="42"/>
      <c r="AH216" s="42"/>
      <c r="AI216" s="42"/>
      <c r="AJ216" s="42"/>
      <c r="AK216" s="42"/>
      <c r="AL216" s="42"/>
      <c r="AM216" s="42"/>
    </row>
    <row r="217" spans="1:39" x14ac:dyDescent="0.25">
      <c r="A217" s="38" t="s">
        <v>568</v>
      </c>
      <c r="B217" s="42"/>
      <c r="C217" s="42"/>
      <c r="D217" s="42"/>
      <c r="E217" s="41"/>
      <c r="F217" s="41"/>
      <c r="G217" s="41"/>
      <c r="H217" s="41"/>
      <c r="I217" s="41"/>
      <c r="J217" s="42"/>
      <c r="K217" s="41"/>
      <c r="L217" s="41"/>
      <c r="M217" s="127"/>
      <c r="N217" s="41"/>
      <c r="O217" s="41"/>
      <c r="P217" s="41"/>
      <c r="Q217" s="42"/>
      <c r="R217" s="35"/>
      <c r="S217" s="35"/>
      <c r="T217" s="35"/>
      <c r="U217" s="35"/>
      <c r="V217" s="121"/>
      <c r="W217" s="42"/>
      <c r="X217" s="42"/>
      <c r="Y217" s="42"/>
      <c r="Z217" s="42"/>
      <c r="AA217" s="42"/>
      <c r="AB217" s="42"/>
      <c r="AC217" s="42"/>
      <c r="AD217" s="42"/>
      <c r="AE217" s="42"/>
      <c r="AF217" s="42"/>
      <c r="AG217" s="42"/>
      <c r="AH217" s="42"/>
      <c r="AI217" s="42"/>
      <c r="AJ217" s="42"/>
      <c r="AK217" s="42"/>
      <c r="AL217" s="42"/>
      <c r="AM217" s="42"/>
    </row>
    <row r="218" spans="1:39" x14ac:dyDescent="0.25">
      <c r="A218" s="38" t="s">
        <v>569</v>
      </c>
      <c r="B218" s="42"/>
      <c r="C218" s="42"/>
      <c r="D218" s="42"/>
      <c r="E218" s="41"/>
      <c r="F218" s="41"/>
      <c r="G218" s="41"/>
      <c r="H218" s="41"/>
      <c r="I218" s="41"/>
      <c r="J218" s="42"/>
      <c r="K218" s="41"/>
      <c r="L218" s="41"/>
      <c r="M218" s="127"/>
      <c r="N218" s="41"/>
      <c r="O218" s="41"/>
      <c r="P218" s="41"/>
      <c r="Q218" s="42"/>
      <c r="R218" s="35"/>
      <c r="S218" s="35"/>
      <c r="T218" s="35"/>
      <c r="U218" s="35"/>
      <c r="V218" s="121"/>
      <c r="W218" s="42"/>
      <c r="X218" s="42"/>
      <c r="Y218" s="42"/>
      <c r="Z218" s="42"/>
      <c r="AA218" s="42"/>
      <c r="AB218" s="42"/>
      <c r="AC218" s="42"/>
      <c r="AD218" s="42"/>
      <c r="AE218" s="42"/>
      <c r="AF218" s="42"/>
      <c r="AG218" s="42"/>
      <c r="AH218" s="42"/>
      <c r="AI218" s="42"/>
      <c r="AJ218" s="42"/>
      <c r="AK218" s="42"/>
      <c r="AL218" s="42"/>
      <c r="AM218" s="42"/>
    </row>
    <row r="219" spans="1:39" x14ac:dyDescent="0.25">
      <c r="A219" s="38" t="s">
        <v>570</v>
      </c>
      <c r="B219" s="42"/>
      <c r="C219" s="42"/>
      <c r="D219" s="42"/>
      <c r="E219" s="41"/>
      <c r="F219" s="41"/>
      <c r="G219" s="41"/>
      <c r="H219" s="41"/>
      <c r="I219" s="41"/>
      <c r="J219" s="42"/>
      <c r="K219" s="41"/>
      <c r="L219" s="41"/>
      <c r="M219" s="127"/>
      <c r="N219" s="41"/>
      <c r="O219" s="41"/>
      <c r="P219" s="41"/>
      <c r="Q219" s="42"/>
      <c r="R219" s="35"/>
      <c r="S219" s="35"/>
      <c r="T219" s="35"/>
      <c r="U219" s="35"/>
      <c r="V219" s="121"/>
      <c r="W219" s="42"/>
      <c r="X219" s="42"/>
      <c r="Y219" s="42"/>
      <c r="Z219" s="42"/>
      <c r="AA219" s="42"/>
      <c r="AB219" s="42"/>
      <c r="AC219" s="42"/>
      <c r="AD219" s="42"/>
      <c r="AE219" s="42"/>
      <c r="AF219" s="42"/>
      <c r="AG219" s="42"/>
      <c r="AH219" s="42"/>
      <c r="AI219" s="42"/>
      <c r="AJ219" s="42"/>
      <c r="AK219" s="42"/>
      <c r="AL219" s="42"/>
      <c r="AM219" s="42"/>
    </row>
    <row r="220" spans="1:39" x14ac:dyDescent="0.25">
      <c r="A220" s="38" t="s">
        <v>571</v>
      </c>
      <c r="B220" s="42"/>
      <c r="C220" s="42"/>
      <c r="D220" s="42"/>
      <c r="E220" s="41"/>
      <c r="F220" s="41"/>
      <c r="G220" s="41"/>
      <c r="H220" s="41"/>
      <c r="I220" s="41"/>
      <c r="J220" s="42"/>
      <c r="K220" s="41"/>
      <c r="L220" s="41"/>
      <c r="M220" s="127"/>
      <c r="N220" s="41"/>
      <c r="O220" s="41"/>
      <c r="P220" s="41"/>
      <c r="Q220" s="42"/>
      <c r="R220" s="35"/>
      <c r="S220" s="35"/>
      <c r="T220" s="35"/>
      <c r="U220" s="35"/>
      <c r="V220" s="121"/>
      <c r="W220" s="42"/>
      <c r="X220" s="42"/>
      <c r="Y220" s="42"/>
      <c r="Z220" s="42"/>
      <c r="AA220" s="42"/>
      <c r="AB220" s="42"/>
      <c r="AC220" s="42"/>
      <c r="AD220" s="42"/>
      <c r="AE220" s="42"/>
      <c r="AF220" s="42"/>
      <c r="AG220" s="42"/>
      <c r="AH220" s="42"/>
      <c r="AI220" s="42"/>
      <c r="AJ220" s="42"/>
      <c r="AK220" s="42"/>
      <c r="AL220" s="42"/>
      <c r="AM220" s="42"/>
    </row>
    <row r="221" spans="1:39" x14ac:dyDescent="0.25">
      <c r="A221" s="38" t="s">
        <v>572</v>
      </c>
      <c r="B221" s="42"/>
      <c r="C221" s="42"/>
      <c r="D221" s="42"/>
      <c r="E221" s="41"/>
      <c r="F221" s="41"/>
      <c r="G221" s="41"/>
      <c r="H221" s="41"/>
      <c r="I221" s="41"/>
      <c r="J221" s="42"/>
      <c r="K221" s="41"/>
      <c r="L221" s="41"/>
      <c r="M221" s="127"/>
      <c r="N221" s="41"/>
      <c r="O221" s="41"/>
      <c r="P221" s="41"/>
      <c r="Q221" s="42"/>
      <c r="R221" s="35"/>
      <c r="S221" s="35"/>
      <c r="T221" s="35"/>
      <c r="U221" s="35"/>
      <c r="V221" s="121"/>
      <c r="W221" s="42"/>
      <c r="X221" s="42"/>
      <c r="Y221" s="42"/>
      <c r="Z221" s="42"/>
      <c r="AA221" s="42"/>
      <c r="AB221" s="42"/>
      <c r="AC221" s="42"/>
      <c r="AD221" s="42"/>
      <c r="AE221" s="42"/>
      <c r="AF221" s="42"/>
      <c r="AG221" s="42"/>
      <c r="AH221" s="42"/>
      <c r="AI221" s="42"/>
      <c r="AJ221" s="42"/>
      <c r="AK221" s="42"/>
      <c r="AL221" s="42"/>
      <c r="AM221" s="42"/>
    </row>
    <row r="222" spans="1:39" x14ac:dyDescent="0.25">
      <c r="A222" s="38" t="s">
        <v>573</v>
      </c>
      <c r="B222" s="42"/>
      <c r="C222" s="42"/>
      <c r="D222" s="42"/>
      <c r="E222" s="41"/>
      <c r="F222" s="41"/>
      <c r="G222" s="41"/>
      <c r="H222" s="41"/>
      <c r="I222" s="41"/>
      <c r="J222" s="42"/>
      <c r="K222" s="41"/>
      <c r="L222" s="41"/>
      <c r="M222" s="127"/>
      <c r="N222" s="41"/>
      <c r="O222" s="41"/>
      <c r="P222" s="41"/>
      <c r="Q222" s="42"/>
      <c r="R222" s="35"/>
      <c r="S222" s="35"/>
      <c r="T222" s="35"/>
      <c r="U222" s="35"/>
      <c r="V222" s="121"/>
      <c r="W222" s="42"/>
      <c r="X222" s="42"/>
      <c r="Y222" s="42"/>
      <c r="Z222" s="42"/>
      <c r="AA222" s="42"/>
      <c r="AB222" s="42"/>
      <c r="AC222" s="42"/>
      <c r="AD222" s="42"/>
      <c r="AE222" s="42"/>
      <c r="AF222" s="42"/>
      <c r="AG222" s="42"/>
      <c r="AH222" s="42"/>
      <c r="AI222" s="42"/>
      <c r="AJ222" s="42"/>
      <c r="AK222" s="42"/>
      <c r="AL222" s="42"/>
      <c r="AM222" s="42"/>
    </row>
    <row r="223" spans="1:39" x14ac:dyDescent="0.25">
      <c r="A223" s="38" t="s">
        <v>574</v>
      </c>
      <c r="B223" s="42"/>
      <c r="C223" s="42"/>
      <c r="D223" s="42"/>
      <c r="E223" s="41"/>
      <c r="F223" s="41"/>
      <c r="G223" s="41"/>
      <c r="H223" s="41"/>
      <c r="I223" s="41"/>
      <c r="J223" s="42"/>
      <c r="K223" s="41"/>
      <c r="L223" s="41"/>
      <c r="M223" s="127"/>
      <c r="N223" s="41"/>
      <c r="O223" s="41"/>
      <c r="P223" s="41"/>
      <c r="Q223" s="42"/>
      <c r="R223" s="35"/>
      <c r="S223" s="35"/>
      <c r="T223" s="35"/>
      <c r="U223" s="35"/>
      <c r="V223" s="121"/>
      <c r="W223" s="42"/>
      <c r="X223" s="42"/>
      <c r="Y223" s="42"/>
      <c r="Z223" s="42"/>
      <c r="AA223" s="42"/>
      <c r="AB223" s="42"/>
      <c r="AC223" s="42"/>
      <c r="AD223" s="42"/>
      <c r="AE223" s="42"/>
      <c r="AF223" s="42"/>
      <c r="AG223" s="42"/>
      <c r="AH223" s="42"/>
      <c r="AI223" s="42"/>
      <c r="AJ223" s="42"/>
      <c r="AK223" s="42"/>
      <c r="AL223" s="42"/>
      <c r="AM223" s="42"/>
    </row>
    <row r="224" spans="1:39" x14ac:dyDescent="0.25">
      <c r="A224" s="38" t="s">
        <v>575</v>
      </c>
      <c r="B224" s="42"/>
      <c r="C224" s="42"/>
      <c r="D224" s="42"/>
      <c r="E224" s="41"/>
      <c r="F224" s="41"/>
      <c r="G224" s="41"/>
      <c r="H224" s="41"/>
      <c r="I224" s="41"/>
      <c r="J224" s="42"/>
      <c r="K224" s="41"/>
      <c r="L224" s="41"/>
      <c r="M224" s="127"/>
      <c r="N224" s="41"/>
      <c r="O224" s="41"/>
      <c r="P224" s="41"/>
      <c r="Q224" s="42"/>
      <c r="R224" s="35"/>
      <c r="S224" s="35"/>
      <c r="T224" s="35"/>
      <c r="U224" s="35"/>
      <c r="V224" s="121"/>
      <c r="W224" s="42"/>
      <c r="X224" s="42"/>
      <c r="Y224" s="42"/>
      <c r="Z224" s="42"/>
      <c r="AA224" s="42"/>
      <c r="AB224" s="42"/>
      <c r="AC224" s="42"/>
      <c r="AD224" s="42"/>
      <c r="AE224" s="42"/>
      <c r="AF224" s="42"/>
      <c r="AG224" s="42"/>
      <c r="AH224" s="42"/>
      <c r="AI224" s="42"/>
      <c r="AJ224" s="42"/>
      <c r="AK224" s="42"/>
      <c r="AL224" s="42"/>
      <c r="AM224" s="42"/>
    </row>
    <row r="225" spans="1:39" x14ac:dyDescent="0.25">
      <c r="A225" s="38" t="s">
        <v>576</v>
      </c>
      <c r="B225" s="42"/>
      <c r="C225" s="42"/>
      <c r="D225" s="42"/>
      <c r="E225" s="41"/>
      <c r="F225" s="41"/>
      <c r="G225" s="41"/>
      <c r="H225" s="41"/>
      <c r="I225" s="41"/>
      <c r="J225" s="42"/>
      <c r="K225" s="41"/>
      <c r="L225" s="41"/>
      <c r="M225" s="127"/>
      <c r="N225" s="41"/>
      <c r="O225" s="41"/>
      <c r="P225" s="41"/>
      <c r="Q225" s="42"/>
      <c r="R225" s="35"/>
      <c r="S225" s="35"/>
      <c r="T225" s="35"/>
      <c r="U225" s="35"/>
      <c r="V225" s="121"/>
      <c r="W225" s="42"/>
      <c r="X225" s="42"/>
      <c r="Y225" s="42"/>
      <c r="Z225" s="42"/>
      <c r="AA225" s="42"/>
      <c r="AB225" s="42"/>
      <c r="AC225" s="42"/>
      <c r="AD225" s="42"/>
      <c r="AE225" s="42"/>
      <c r="AF225" s="42"/>
      <c r="AG225" s="42"/>
      <c r="AH225" s="42"/>
      <c r="AI225" s="42"/>
      <c r="AJ225" s="42"/>
      <c r="AK225" s="42"/>
      <c r="AL225" s="42"/>
      <c r="AM225" s="42"/>
    </row>
    <row r="226" spans="1:39" x14ac:dyDescent="0.25">
      <c r="A226" s="38" t="s">
        <v>577</v>
      </c>
      <c r="B226" s="42"/>
      <c r="C226" s="42"/>
      <c r="D226" s="42"/>
      <c r="E226" s="41"/>
      <c r="F226" s="41"/>
      <c r="G226" s="41"/>
      <c r="H226" s="41"/>
      <c r="I226" s="41"/>
      <c r="J226" s="42"/>
      <c r="K226" s="41"/>
      <c r="L226" s="41"/>
      <c r="M226" s="127"/>
      <c r="N226" s="41"/>
      <c r="O226" s="41"/>
      <c r="P226" s="41"/>
      <c r="Q226" s="42"/>
      <c r="R226" s="35"/>
      <c r="S226" s="35"/>
      <c r="T226" s="35"/>
      <c r="U226" s="35"/>
      <c r="V226" s="121"/>
      <c r="W226" s="42"/>
      <c r="X226" s="42"/>
      <c r="Y226" s="42"/>
      <c r="Z226" s="42"/>
      <c r="AA226" s="42"/>
      <c r="AB226" s="42"/>
      <c r="AC226" s="42"/>
      <c r="AD226" s="42"/>
      <c r="AE226" s="42"/>
      <c r="AF226" s="42"/>
      <c r="AG226" s="42"/>
      <c r="AH226" s="42"/>
      <c r="AI226" s="42"/>
      <c r="AJ226" s="42"/>
      <c r="AK226" s="42"/>
      <c r="AL226" s="42"/>
      <c r="AM226" s="42"/>
    </row>
    <row r="227" spans="1:39" x14ac:dyDescent="0.25">
      <c r="A227" s="38" t="s">
        <v>578</v>
      </c>
      <c r="B227" s="42"/>
      <c r="C227" s="42"/>
      <c r="D227" s="42"/>
      <c r="E227" s="41"/>
      <c r="F227" s="41"/>
      <c r="G227" s="41"/>
      <c r="H227" s="41"/>
      <c r="I227" s="41"/>
      <c r="J227" s="42"/>
      <c r="K227" s="41"/>
      <c r="L227" s="41"/>
      <c r="M227" s="127"/>
      <c r="N227" s="41"/>
      <c r="O227" s="41"/>
      <c r="P227" s="41"/>
      <c r="Q227" s="42"/>
      <c r="R227" s="35"/>
      <c r="S227" s="35"/>
      <c r="T227" s="35"/>
      <c r="U227" s="35"/>
      <c r="V227" s="121"/>
      <c r="W227" s="42"/>
      <c r="X227" s="42"/>
      <c r="Y227" s="42"/>
      <c r="Z227" s="42"/>
      <c r="AA227" s="42"/>
      <c r="AB227" s="42"/>
      <c r="AC227" s="42"/>
      <c r="AD227" s="42"/>
      <c r="AE227" s="42"/>
      <c r="AF227" s="42"/>
      <c r="AG227" s="42"/>
      <c r="AH227" s="42"/>
      <c r="AI227" s="42"/>
      <c r="AJ227" s="42"/>
      <c r="AK227" s="42"/>
      <c r="AL227" s="42"/>
      <c r="AM227" s="42"/>
    </row>
    <row r="228" spans="1:39" x14ac:dyDescent="0.25">
      <c r="A228" s="38" t="s">
        <v>579</v>
      </c>
      <c r="B228" s="42"/>
      <c r="C228" s="42"/>
      <c r="D228" s="42"/>
      <c r="E228" s="41"/>
      <c r="F228" s="41"/>
      <c r="G228" s="41"/>
      <c r="H228" s="41"/>
      <c r="I228" s="41"/>
      <c r="J228" s="42"/>
      <c r="K228" s="41"/>
      <c r="L228" s="41"/>
      <c r="M228" s="127"/>
      <c r="N228" s="41"/>
      <c r="O228" s="41"/>
      <c r="P228" s="41"/>
      <c r="Q228" s="42"/>
      <c r="R228" s="35"/>
      <c r="S228" s="35"/>
      <c r="T228" s="35"/>
      <c r="U228" s="35"/>
      <c r="V228" s="121"/>
      <c r="W228" s="42"/>
      <c r="X228" s="42"/>
      <c r="Y228" s="42"/>
      <c r="Z228" s="42"/>
      <c r="AA228" s="42"/>
      <c r="AB228" s="42"/>
      <c r="AC228" s="42"/>
      <c r="AD228" s="42"/>
      <c r="AE228" s="42"/>
      <c r="AF228" s="42"/>
      <c r="AG228" s="42"/>
      <c r="AH228" s="42"/>
      <c r="AI228" s="42"/>
      <c r="AJ228" s="42"/>
      <c r="AK228" s="42"/>
      <c r="AL228" s="42"/>
      <c r="AM228" s="42"/>
    </row>
    <row r="229" spans="1:39" x14ac:dyDescent="0.25">
      <c r="A229" s="38" t="s">
        <v>580</v>
      </c>
      <c r="B229" s="42"/>
      <c r="C229" s="42"/>
      <c r="D229" s="42"/>
      <c r="E229" s="41"/>
      <c r="F229" s="41"/>
      <c r="G229" s="41"/>
      <c r="H229" s="41"/>
      <c r="I229" s="41"/>
      <c r="J229" s="42"/>
      <c r="K229" s="41"/>
      <c r="L229" s="41"/>
      <c r="M229" s="127"/>
      <c r="N229" s="41"/>
      <c r="O229" s="41"/>
      <c r="P229" s="41"/>
      <c r="Q229" s="42"/>
      <c r="R229" s="35"/>
      <c r="S229" s="35"/>
      <c r="T229" s="35"/>
      <c r="U229" s="35"/>
      <c r="V229" s="121"/>
      <c r="W229" s="42"/>
      <c r="X229" s="42"/>
      <c r="Y229" s="42"/>
      <c r="Z229" s="42"/>
      <c r="AA229" s="42"/>
      <c r="AB229" s="42"/>
      <c r="AC229" s="42"/>
      <c r="AD229" s="42"/>
      <c r="AE229" s="42"/>
      <c r="AF229" s="42"/>
      <c r="AG229" s="42"/>
      <c r="AH229" s="42"/>
      <c r="AI229" s="42"/>
      <c r="AJ229" s="42"/>
      <c r="AK229" s="42"/>
      <c r="AL229" s="42"/>
      <c r="AM229" s="42"/>
    </row>
    <row r="230" spans="1:39" x14ac:dyDescent="0.25">
      <c r="A230" s="38" t="s">
        <v>581</v>
      </c>
      <c r="B230" s="42"/>
      <c r="C230" s="42"/>
      <c r="D230" s="42"/>
      <c r="E230" s="41"/>
      <c r="F230" s="41"/>
      <c r="G230" s="41"/>
      <c r="H230" s="41"/>
      <c r="I230" s="41"/>
      <c r="J230" s="42"/>
      <c r="K230" s="41"/>
      <c r="L230" s="41"/>
      <c r="M230" s="127"/>
      <c r="N230" s="41"/>
      <c r="O230" s="41"/>
      <c r="P230" s="41"/>
      <c r="Q230" s="42"/>
      <c r="R230" s="35"/>
      <c r="S230" s="35"/>
      <c r="T230" s="35"/>
      <c r="U230" s="35"/>
      <c r="V230" s="121"/>
      <c r="W230" s="42"/>
      <c r="X230" s="42"/>
      <c r="Y230" s="42"/>
      <c r="Z230" s="42"/>
      <c r="AA230" s="42"/>
      <c r="AB230" s="42"/>
      <c r="AC230" s="42"/>
      <c r="AD230" s="42"/>
      <c r="AE230" s="42"/>
      <c r="AF230" s="42"/>
      <c r="AG230" s="42"/>
      <c r="AH230" s="42"/>
      <c r="AI230" s="42"/>
      <c r="AJ230" s="42"/>
      <c r="AK230" s="42"/>
      <c r="AL230" s="42"/>
      <c r="AM230" s="42"/>
    </row>
    <row r="231" spans="1:39" x14ac:dyDescent="0.25">
      <c r="A231" s="38" t="s">
        <v>582</v>
      </c>
      <c r="B231" s="42"/>
      <c r="C231" s="42"/>
      <c r="D231" s="42"/>
      <c r="E231" s="41"/>
      <c r="F231" s="41"/>
      <c r="G231" s="41"/>
      <c r="H231" s="41"/>
      <c r="I231" s="41"/>
      <c r="J231" s="42"/>
      <c r="K231" s="41"/>
      <c r="L231" s="41"/>
      <c r="M231" s="127"/>
      <c r="N231" s="41"/>
      <c r="O231" s="41"/>
      <c r="P231" s="41"/>
      <c r="Q231" s="42"/>
      <c r="R231" s="35"/>
      <c r="S231" s="35"/>
      <c r="T231" s="35"/>
      <c r="U231" s="35"/>
      <c r="V231" s="121"/>
      <c r="W231" s="42"/>
      <c r="X231" s="42"/>
      <c r="Y231" s="42"/>
      <c r="Z231" s="42"/>
      <c r="AA231" s="42"/>
      <c r="AB231" s="42"/>
      <c r="AC231" s="42"/>
      <c r="AD231" s="42"/>
      <c r="AE231" s="42"/>
      <c r="AF231" s="42"/>
      <c r="AG231" s="42"/>
      <c r="AH231" s="42"/>
      <c r="AI231" s="42"/>
      <c r="AJ231" s="42"/>
      <c r="AK231" s="42"/>
      <c r="AL231" s="42"/>
      <c r="AM231" s="42"/>
    </row>
    <row r="232" spans="1:39" x14ac:dyDescent="0.25">
      <c r="A232" s="38" t="s">
        <v>583</v>
      </c>
      <c r="B232" s="42"/>
      <c r="C232" s="42"/>
      <c r="D232" s="42"/>
      <c r="E232" s="41"/>
      <c r="F232" s="41"/>
      <c r="G232" s="41"/>
      <c r="H232" s="41"/>
      <c r="I232" s="41"/>
      <c r="J232" s="42"/>
      <c r="K232" s="41"/>
      <c r="L232" s="41"/>
      <c r="M232" s="127"/>
      <c r="N232" s="41"/>
      <c r="O232" s="41"/>
      <c r="P232" s="41"/>
      <c r="Q232" s="42"/>
      <c r="R232" s="35"/>
      <c r="S232" s="35"/>
      <c r="T232" s="35"/>
      <c r="U232" s="35"/>
      <c r="V232" s="121"/>
      <c r="W232" s="42"/>
      <c r="X232" s="42"/>
      <c r="Y232" s="42"/>
      <c r="Z232" s="42"/>
      <c r="AA232" s="42"/>
      <c r="AB232" s="42"/>
      <c r="AC232" s="42"/>
      <c r="AD232" s="42"/>
      <c r="AE232" s="42"/>
      <c r="AF232" s="42"/>
      <c r="AG232" s="42"/>
      <c r="AH232" s="42"/>
      <c r="AI232" s="42"/>
      <c r="AJ232" s="42"/>
      <c r="AK232" s="42"/>
      <c r="AL232" s="42"/>
      <c r="AM232" s="42"/>
    </row>
    <row r="233" spans="1:39" x14ac:dyDescent="0.25">
      <c r="A233" s="38" t="s">
        <v>584</v>
      </c>
      <c r="B233" s="42"/>
      <c r="C233" s="42"/>
      <c r="D233" s="42"/>
      <c r="E233" s="41"/>
      <c r="F233" s="41"/>
      <c r="G233" s="41"/>
      <c r="H233" s="41"/>
      <c r="I233" s="41"/>
      <c r="J233" s="42"/>
      <c r="K233" s="41"/>
      <c r="L233" s="41"/>
      <c r="M233" s="127"/>
      <c r="N233" s="41"/>
      <c r="O233" s="41"/>
      <c r="P233" s="41"/>
      <c r="Q233" s="42"/>
      <c r="R233" s="35"/>
      <c r="S233" s="35"/>
      <c r="T233" s="35"/>
      <c r="U233" s="35"/>
      <c r="V233" s="121"/>
      <c r="W233" s="42"/>
      <c r="X233" s="42"/>
      <c r="Y233" s="42"/>
      <c r="Z233" s="42"/>
      <c r="AA233" s="42"/>
      <c r="AB233" s="42"/>
      <c r="AC233" s="42"/>
      <c r="AD233" s="42"/>
      <c r="AE233" s="42"/>
      <c r="AF233" s="42"/>
      <c r="AG233" s="42"/>
      <c r="AH233" s="42"/>
      <c r="AI233" s="42"/>
      <c r="AJ233" s="42"/>
      <c r="AK233" s="42"/>
      <c r="AL233" s="42"/>
      <c r="AM233" s="42"/>
    </row>
    <row r="234" spans="1:39" x14ac:dyDescent="0.25">
      <c r="A234" s="38" t="s">
        <v>585</v>
      </c>
      <c r="B234" s="42"/>
      <c r="C234" s="42"/>
      <c r="D234" s="42"/>
      <c r="E234" s="41"/>
      <c r="F234" s="41"/>
      <c r="G234" s="41"/>
      <c r="H234" s="41"/>
      <c r="I234" s="41"/>
      <c r="J234" s="42"/>
      <c r="K234" s="41"/>
      <c r="L234" s="41"/>
      <c r="M234" s="127"/>
      <c r="N234" s="41"/>
      <c r="O234" s="41"/>
      <c r="P234" s="41"/>
      <c r="Q234" s="42"/>
      <c r="R234" s="35"/>
      <c r="S234" s="35"/>
      <c r="T234" s="35"/>
      <c r="U234" s="35"/>
      <c r="V234" s="121"/>
      <c r="W234" s="42"/>
      <c r="X234" s="42"/>
      <c r="Y234" s="42"/>
      <c r="Z234" s="42"/>
      <c r="AA234" s="42"/>
      <c r="AB234" s="42"/>
      <c r="AC234" s="42"/>
      <c r="AD234" s="42"/>
      <c r="AE234" s="42"/>
      <c r="AF234" s="42"/>
      <c r="AG234" s="42"/>
      <c r="AH234" s="42"/>
      <c r="AI234" s="42"/>
      <c r="AJ234" s="42"/>
      <c r="AK234" s="42"/>
      <c r="AL234" s="42"/>
      <c r="AM234" s="42"/>
    </row>
    <row r="235" spans="1:39" x14ac:dyDescent="0.25">
      <c r="A235" s="38" t="s">
        <v>586</v>
      </c>
      <c r="B235" s="42"/>
      <c r="C235" s="42"/>
      <c r="D235" s="42"/>
      <c r="E235" s="41"/>
      <c r="F235" s="41"/>
      <c r="G235" s="41"/>
      <c r="H235" s="41"/>
      <c r="I235" s="41"/>
      <c r="J235" s="42"/>
      <c r="K235" s="41"/>
      <c r="L235" s="41"/>
      <c r="M235" s="127"/>
      <c r="N235" s="41"/>
      <c r="O235" s="41"/>
      <c r="P235" s="41"/>
      <c r="Q235" s="42"/>
      <c r="R235" s="35"/>
      <c r="S235" s="35"/>
      <c r="T235" s="35"/>
      <c r="U235" s="35"/>
      <c r="V235" s="121"/>
      <c r="W235" s="42"/>
      <c r="X235" s="42"/>
      <c r="Y235" s="42"/>
      <c r="Z235" s="42"/>
      <c r="AA235" s="42"/>
      <c r="AB235" s="42"/>
      <c r="AC235" s="42"/>
      <c r="AD235" s="42"/>
      <c r="AE235" s="42"/>
      <c r="AF235" s="42"/>
      <c r="AG235" s="42"/>
      <c r="AH235" s="42"/>
      <c r="AI235" s="42"/>
      <c r="AJ235" s="42"/>
      <c r="AK235" s="42"/>
      <c r="AL235" s="42"/>
      <c r="AM235" s="42"/>
    </row>
    <row r="236" spans="1:39" x14ac:dyDescent="0.25">
      <c r="A236" s="38" t="s">
        <v>587</v>
      </c>
      <c r="B236" s="42"/>
      <c r="C236" s="42"/>
      <c r="D236" s="42"/>
      <c r="E236" s="41"/>
      <c r="F236" s="41"/>
      <c r="G236" s="41"/>
      <c r="H236" s="41"/>
      <c r="I236" s="41"/>
      <c r="J236" s="42"/>
      <c r="K236" s="41"/>
      <c r="L236" s="41"/>
      <c r="M236" s="127"/>
      <c r="N236" s="41"/>
      <c r="O236" s="41"/>
      <c r="P236" s="41"/>
      <c r="Q236" s="42"/>
      <c r="R236" s="35"/>
      <c r="S236" s="35"/>
      <c r="T236" s="35"/>
      <c r="U236" s="35"/>
      <c r="V236" s="121"/>
      <c r="W236" s="42"/>
      <c r="X236" s="42"/>
      <c r="Y236" s="42"/>
      <c r="Z236" s="42"/>
      <c r="AA236" s="42"/>
      <c r="AB236" s="42"/>
      <c r="AC236" s="42"/>
      <c r="AD236" s="42"/>
      <c r="AE236" s="42"/>
      <c r="AF236" s="42"/>
      <c r="AG236" s="42"/>
      <c r="AH236" s="42"/>
      <c r="AI236" s="42"/>
      <c r="AJ236" s="42"/>
      <c r="AK236" s="42"/>
      <c r="AL236" s="42"/>
      <c r="AM236" s="42"/>
    </row>
    <row r="237" spans="1:39" x14ac:dyDescent="0.25">
      <c r="A237" s="38" t="s">
        <v>588</v>
      </c>
      <c r="B237" s="42"/>
      <c r="C237" s="42"/>
      <c r="D237" s="42"/>
      <c r="E237" s="41"/>
      <c r="F237" s="41"/>
      <c r="G237" s="41"/>
      <c r="H237" s="41"/>
      <c r="I237" s="41"/>
      <c r="J237" s="42"/>
      <c r="K237" s="41"/>
      <c r="L237" s="41"/>
      <c r="M237" s="127"/>
      <c r="N237" s="41"/>
      <c r="O237" s="41"/>
      <c r="P237" s="41"/>
      <c r="Q237" s="42"/>
      <c r="R237" s="35"/>
      <c r="S237" s="35"/>
      <c r="T237" s="35"/>
      <c r="U237" s="35"/>
      <c r="V237" s="121"/>
      <c r="W237" s="42"/>
      <c r="X237" s="42"/>
      <c r="Y237" s="42"/>
      <c r="Z237" s="42"/>
      <c r="AA237" s="42"/>
      <c r="AB237" s="42"/>
      <c r="AC237" s="42"/>
      <c r="AD237" s="42"/>
      <c r="AE237" s="42"/>
      <c r="AF237" s="42"/>
      <c r="AG237" s="42"/>
      <c r="AH237" s="42"/>
      <c r="AI237" s="42"/>
      <c r="AJ237" s="42"/>
      <c r="AK237" s="42"/>
      <c r="AL237" s="42"/>
      <c r="AM237" s="42"/>
    </row>
    <row r="238" spans="1:39" x14ac:dyDescent="0.25">
      <c r="A238" s="38" t="s">
        <v>589</v>
      </c>
      <c r="B238" s="42"/>
      <c r="C238" s="42"/>
      <c r="D238" s="42"/>
      <c r="E238" s="41"/>
      <c r="F238" s="41"/>
      <c r="G238" s="41"/>
      <c r="H238" s="41"/>
      <c r="I238" s="41"/>
      <c r="J238" s="42"/>
      <c r="K238" s="41"/>
      <c r="L238" s="41"/>
      <c r="M238" s="127"/>
      <c r="N238" s="41"/>
      <c r="O238" s="41"/>
      <c r="P238" s="41"/>
      <c r="Q238" s="42"/>
      <c r="R238" s="35"/>
      <c r="S238" s="35"/>
      <c r="T238" s="35"/>
      <c r="U238" s="35"/>
      <c r="V238" s="121"/>
      <c r="W238" s="42"/>
      <c r="X238" s="42"/>
      <c r="Y238" s="42"/>
      <c r="Z238" s="42"/>
      <c r="AA238" s="42"/>
      <c r="AB238" s="42"/>
      <c r="AC238" s="42"/>
      <c r="AD238" s="42"/>
      <c r="AE238" s="42"/>
      <c r="AF238" s="42"/>
      <c r="AG238" s="42"/>
      <c r="AH238" s="42"/>
      <c r="AI238" s="42"/>
      <c r="AJ238" s="42"/>
      <c r="AK238" s="42"/>
      <c r="AL238" s="42"/>
      <c r="AM238" s="42"/>
    </row>
    <row r="239" spans="1:39" x14ac:dyDescent="0.25">
      <c r="A239" s="38" t="s">
        <v>590</v>
      </c>
      <c r="B239" s="42"/>
      <c r="C239" s="42"/>
      <c r="D239" s="42"/>
      <c r="E239" s="41"/>
      <c r="F239" s="41"/>
      <c r="G239" s="41"/>
      <c r="H239" s="41"/>
      <c r="I239" s="41"/>
      <c r="J239" s="42"/>
      <c r="K239" s="41"/>
      <c r="L239" s="41"/>
      <c r="M239" s="127"/>
      <c r="N239" s="41"/>
      <c r="O239" s="41"/>
      <c r="P239" s="41"/>
      <c r="Q239" s="42"/>
      <c r="R239" s="35"/>
      <c r="S239" s="35"/>
      <c r="T239" s="35"/>
      <c r="U239" s="35"/>
      <c r="V239" s="121"/>
      <c r="W239" s="42"/>
      <c r="X239" s="42"/>
      <c r="Y239" s="42"/>
      <c r="Z239" s="42"/>
      <c r="AA239" s="42"/>
      <c r="AB239" s="42"/>
      <c r="AC239" s="42"/>
      <c r="AD239" s="42"/>
      <c r="AE239" s="42"/>
      <c r="AF239" s="42"/>
      <c r="AG239" s="42"/>
      <c r="AH239" s="42"/>
      <c r="AI239" s="42"/>
      <c r="AJ239" s="42"/>
      <c r="AK239" s="42"/>
      <c r="AL239" s="42"/>
      <c r="AM239" s="42"/>
    </row>
    <row r="240" spans="1:39" x14ac:dyDescent="0.25">
      <c r="A240" s="38" t="s">
        <v>591</v>
      </c>
      <c r="B240" s="42"/>
      <c r="C240" s="42"/>
      <c r="D240" s="42"/>
      <c r="E240" s="41"/>
      <c r="F240" s="41"/>
      <c r="G240" s="41"/>
      <c r="H240" s="41"/>
      <c r="I240" s="41"/>
      <c r="J240" s="42"/>
      <c r="K240" s="41"/>
      <c r="L240" s="41"/>
      <c r="M240" s="127"/>
      <c r="N240" s="41"/>
      <c r="O240" s="41"/>
      <c r="P240" s="41"/>
      <c r="Q240" s="42"/>
      <c r="R240" s="35"/>
      <c r="S240" s="35"/>
      <c r="T240" s="35"/>
      <c r="U240" s="35"/>
      <c r="V240" s="121"/>
      <c r="W240" s="42"/>
      <c r="X240" s="42"/>
      <c r="Y240" s="42"/>
      <c r="Z240" s="42"/>
      <c r="AA240" s="42"/>
      <c r="AB240" s="42"/>
      <c r="AC240" s="42"/>
      <c r="AD240" s="42"/>
      <c r="AE240" s="42"/>
      <c r="AF240" s="42"/>
      <c r="AG240" s="42"/>
      <c r="AH240" s="42"/>
      <c r="AI240" s="42"/>
      <c r="AJ240" s="42"/>
      <c r="AK240" s="42"/>
      <c r="AL240" s="42"/>
      <c r="AM240" s="42"/>
    </row>
    <row r="241" spans="1:39" x14ac:dyDescent="0.25">
      <c r="A241" s="38" t="s">
        <v>592</v>
      </c>
      <c r="B241" s="42"/>
      <c r="C241" s="42"/>
      <c r="D241" s="42"/>
      <c r="E241" s="41"/>
      <c r="F241" s="41"/>
      <c r="G241" s="41"/>
      <c r="H241" s="41"/>
      <c r="I241" s="41"/>
      <c r="J241" s="42"/>
      <c r="K241" s="41"/>
      <c r="L241" s="41"/>
      <c r="M241" s="127"/>
      <c r="N241" s="41"/>
      <c r="O241" s="41"/>
      <c r="P241" s="41"/>
      <c r="Q241" s="42"/>
      <c r="R241" s="35"/>
      <c r="S241" s="35"/>
      <c r="T241" s="35"/>
      <c r="U241" s="35"/>
      <c r="V241" s="121"/>
      <c r="W241" s="42"/>
      <c r="X241" s="42"/>
      <c r="Y241" s="42"/>
      <c r="Z241" s="42"/>
      <c r="AA241" s="42"/>
      <c r="AB241" s="42"/>
      <c r="AC241" s="42"/>
      <c r="AD241" s="42"/>
      <c r="AE241" s="42"/>
      <c r="AF241" s="42"/>
      <c r="AG241" s="42"/>
      <c r="AH241" s="42"/>
      <c r="AI241" s="42"/>
      <c r="AJ241" s="42"/>
      <c r="AK241" s="42"/>
      <c r="AL241" s="42"/>
      <c r="AM241" s="42"/>
    </row>
    <row r="242" spans="1:39" x14ac:dyDescent="0.25">
      <c r="A242" s="38" t="s">
        <v>593</v>
      </c>
      <c r="B242" s="42"/>
      <c r="C242" s="42"/>
      <c r="D242" s="42"/>
      <c r="E242" s="41"/>
      <c r="F242" s="41"/>
      <c r="G242" s="41"/>
      <c r="H242" s="41"/>
      <c r="I242" s="41"/>
      <c r="J242" s="42"/>
      <c r="K242" s="41"/>
      <c r="L242" s="41"/>
      <c r="M242" s="127"/>
      <c r="N242" s="41"/>
      <c r="O242" s="41"/>
      <c r="P242" s="41"/>
      <c r="Q242" s="42"/>
      <c r="R242" s="35"/>
      <c r="S242" s="35"/>
      <c r="T242" s="35"/>
      <c r="U242" s="35"/>
      <c r="V242" s="121"/>
      <c r="W242" s="42"/>
      <c r="X242" s="42"/>
      <c r="Y242" s="42"/>
      <c r="Z242" s="42"/>
      <c r="AA242" s="42"/>
      <c r="AB242" s="42"/>
      <c r="AC242" s="42"/>
      <c r="AD242" s="42"/>
      <c r="AE242" s="42"/>
      <c r="AF242" s="42"/>
      <c r="AG242" s="42"/>
      <c r="AH242" s="42"/>
      <c r="AI242" s="42"/>
      <c r="AJ242" s="42"/>
      <c r="AK242" s="42"/>
      <c r="AL242" s="42"/>
      <c r="AM242" s="42"/>
    </row>
    <row r="243" spans="1:39" x14ac:dyDescent="0.25">
      <c r="A243" s="38" t="s">
        <v>594</v>
      </c>
      <c r="B243" s="42"/>
      <c r="C243" s="42"/>
      <c r="D243" s="42"/>
      <c r="E243" s="41"/>
      <c r="F243" s="41"/>
      <c r="G243" s="41"/>
      <c r="H243" s="41"/>
      <c r="I243" s="41"/>
      <c r="J243" s="42"/>
      <c r="K243" s="41"/>
      <c r="L243" s="41"/>
      <c r="M243" s="127"/>
      <c r="N243" s="41"/>
      <c r="O243" s="41"/>
      <c r="P243" s="41"/>
      <c r="Q243" s="42"/>
      <c r="R243" s="35"/>
      <c r="S243" s="35"/>
      <c r="T243" s="35"/>
      <c r="U243" s="35"/>
      <c r="V243" s="121"/>
      <c r="W243" s="42"/>
      <c r="X243" s="42"/>
      <c r="Y243" s="42"/>
      <c r="Z243" s="42"/>
      <c r="AA243" s="42"/>
      <c r="AB243" s="42"/>
      <c r="AC243" s="42"/>
      <c r="AD243" s="42"/>
      <c r="AE243" s="42"/>
      <c r="AF243" s="42"/>
      <c r="AG243" s="42"/>
      <c r="AH243" s="42"/>
      <c r="AI243" s="42"/>
      <c r="AJ243" s="42"/>
      <c r="AK243" s="42"/>
      <c r="AL243" s="42"/>
      <c r="AM243" s="42"/>
    </row>
    <row r="244" spans="1:39" x14ac:dyDescent="0.25">
      <c r="A244" s="38" t="s">
        <v>595</v>
      </c>
      <c r="B244" s="42"/>
      <c r="C244" s="42"/>
      <c r="D244" s="42"/>
      <c r="E244" s="41"/>
      <c r="F244" s="41"/>
      <c r="G244" s="41"/>
      <c r="H244" s="41"/>
      <c r="I244" s="41"/>
      <c r="J244" s="42"/>
      <c r="K244" s="41"/>
      <c r="L244" s="41"/>
      <c r="M244" s="127"/>
      <c r="N244" s="41"/>
      <c r="O244" s="41"/>
      <c r="P244" s="41"/>
      <c r="Q244" s="42"/>
      <c r="R244" s="35"/>
      <c r="S244" s="35"/>
      <c r="T244" s="35"/>
      <c r="U244" s="35"/>
      <c r="V244" s="121"/>
      <c r="W244" s="42"/>
      <c r="X244" s="42"/>
      <c r="Y244" s="42"/>
      <c r="Z244" s="42"/>
      <c r="AA244" s="42"/>
      <c r="AB244" s="42"/>
      <c r="AC244" s="42"/>
      <c r="AD244" s="42"/>
      <c r="AE244" s="42"/>
      <c r="AF244" s="42"/>
      <c r="AG244" s="42"/>
      <c r="AH244" s="42"/>
      <c r="AI244" s="42"/>
      <c r="AJ244" s="42"/>
      <c r="AK244" s="42"/>
      <c r="AL244" s="42"/>
      <c r="AM244" s="42"/>
    </row>
    <row r="245" spans="1:39" x14ac:dyDescent="0.25">
      <c r="A245" s="38" t="s">
        <v>596</v>
      </c>
      <c r="B245" s="42"/>
      <c r="C245" s="42"/>
      <c r="D245" s="42"/>
      <c r="E245" s="41"/>
      <c r="F245" s="41"/>
      <c r="G245" s="41"/>
      <c r="H245" s="41"/>
      <c r="I245" s="41"/>
      <c r="J245" s="42"/>
      <c r="K245" s="41"/>
      <c r="L245" s="41"/>
      <c r="M245" s="127"/>
      <c r="N245" s="41"/>
      <c r="O245" s="41"/>
      <c r="P245" s="41"/>
      <c r="Q245" s="42"/>
      <c r="R245" s="35"/>
      <c r="S245" s="35"/>
      <c r="T245" s="35"/>
      <c r="U245" s="35"/>
      <c r="V245" s="121"/>
      <c r="W245" s="42"/>
      <c r="X245" s="42"/>
      <c r="Y245" s="42"/>
      <c r="Z245" s="42"/>
      <c r="AA245" s="42"/>
      <c r="AB245" s="42"/>
      <c r="AC245" s="42"/>
      <c r="AD245" s="42"/>
      <c r="AE245" s="42"/>
      <c r="AF245" s="42"/>
      <c r="AG245" s="42"/>
      <c r="AH245" s="42"/>
      <c r="AI245" s="42"/>
      <c r="AJ245" s="42"/>
      <c r="AK245" s="42"/>
      <c r="AL245" s="42"/>
      <c r="AM245" s="42"/>
    </row>
    <row r="246" spans="1:39" x14ac:dyDescent="0.25">
      <c r="A246" s="38" t="s">
        <v>597</v>
      </c>
      <c r="B246" s="42"/>
      <c r="C246" s="42"/>
      <c r="D246" s="42"/>
      <c r="E246" s="41"/>
      <c r="F246" s="41"/>
      <c r="G246" s="41"/>
      <c r="H246" s="41"/>
      <c r="I246" s="41"/>
      <c r="J246" s="42"/>
      <c r="K246" s="41"/>
      <c r="L246" s="41"/>
      <c r="M246" s="127"/>
      <c r="N246" s="41"/>
      <c r="O246" s="41"/>
      <c r="P246" s="41"/>
      <c r="Q246" s="42"/>
      <c r="R246" s="35"/>
      <c r="S246" s="35"/>
      <c r="T246" s="35"/>
      <c r="U246" s="35"/>
      <c r="V246" s="121"/>
      <c r="W246" s="42"/>
      <c r="X246" s="42"/>
      <c r="Y246" s="42"/>
      <c r="Z246" s="42"/>
      <c r="AA246" s="42"/>
      <c r="AB246" s="42"/>
      <c r="AC246" s="42"/>
      <c r="AD246" s="42"/>
      <c r="AE246" s="42"/>
      <c r="AF246" s="42"/>
      <c r="AG246" s="42"/>
      <c r="AH246" s="42"/>
      <c r="AI246" s="42"/>
      <c r="AJ246" s="42"/>
      <c r="AK246" s="42"/>
      <c r="AL246" s="42"/>
      <c r="AM246" s="42"/>
    </row>
    <row r="247" spans="1:39" x14ac:dyDescent="0.25">
      <c r="A247" s="38" t="s">
        <v>598</v>
      </c>
      <c r="B247" s="42"/>
      <c r="C247" s="42"/>
      <c r="D247" s="42"/>
      <c r="E247" s="41"/>
      <c r="F247" s="41"/>
      <c r="G247" s="41"/>
      <c r="H247" s="41"/>
      <c r="I247" s="41"/>
      <c r="J247" s="42"/>
      <c r="K247" s="41"/>
      <c r="L247" s="41"/>
      <c r="M247" s="127"/>
      <c r="N247" s="41"/>
      <c r="O247" s="41"/>
      <c r="P247" s="41"/>
      <c r="Q247" s="42"/>
      <c r="R247" s="35"/>
      <c r="S247" s="35"/>
      <c r="T247" s="35"/>
      <c r="U247" s="35"/>
      <c r="V247" s="121"/>
      <c r="W247" s="42"/>
      <c r="X247" s="42"/>
      <c r="Y247" s="42"/>
      <c r="Z247" s="42"/>
      <c r="AA247" s="42"/>
      <c r="AB247" s="42"/>
      <c r="AC247" s="42"/>
      <c r="AD247" s="42"/>
      <c r="AE247" s="42"/>
      <c r="AF247" s="42"/>
      <c r="AG247" s="42"/>
      <c r="AH247" s="42"/>
      <c r="AI247" s="42"/>
      <c r="AJ247" s="42"/>
      <c r="AK247" s="42"/>
      <c r="AL247" s="42"/>
      <c r="AM247" s="42"/>
    </row>
    <row r="248" spans="1:39" x14ac:dyDescent="0.25">
      <c r="A248" s="38" t="s">
        <v>599</v>
      </c>
      <c r="B248" s="42"/>
      <c r="C248" s="42"/>
      <c r="D248" s="42"/>
      <c r="E248" s="41"/>
      <c r="F248" s="41"/>
      <c r="G248" s="41"/>
      <c r="H248" s="41"/>
      <c r="I248" s="41"/>
      <c r="J248" s="42"/>
      <c r="K248" s="41"/>
      <c r="L248" s="41"/>
      <c r="M248" s="127"/>
      <c r="N248" s="41"/>
      <c r="O248" s="41"/>
      <c r="P248" s="41"/>
      <c r="Q248" s="42"/>
      <c r="R248" s="35"/>
      <c r="S248" s="35"/>
      <c r="T248" s="35"/>
      <c r="U248" s="35"/>
      <c r="V248" s="121"/>
      <c r="W248" s="42"/>
      <c r="X248" s="42"/>
      <c r="Y248" s="42"/>
      <c r="Z248" s="42"/>
      <c r="AA248" s="42"/>
      <c r="AB248" s="42"/>
      <c r="AC248" s="42"/>
      <c r="AD248" s="42"/>
      <c r="AE248" s="42"/>
      <c r="AF248" s="42"/>
      <c r="AG248" s="42"/>
      <c r="AH248" s="42"/>
      <c r="AI248" s="42"/>
      <c r="AJ248" s="42"/>
      <c r="AK248" s="42"/>
      <c r="AL248" s="42"/>
      <c r="AM248" s="42"/>
    </row>
    <row r="249" spans="1:39" x14ac:dyDescent="0.25">
      <c r="A249" s="38" t="s">
        <v>600</v>
      </c>
      <c r="B249" s="42"/>
      <c r="C249" s="42"/>
      <c r="D249" s="42"/>
      <c r="E249" s="41"/>
      <c r="F249" s="41"/>
      <c r="G249" s="41"/>
      <c r="H249" s="41"/>
      <c r="I249" s="41"/>
      <c r="J249" s="42"/>
      <c r="K249" s="41"/>
      <c r="L249" s="41"/>
      <c r="M249" s="127"/>
      <c r="N249" s="41"/>
      <c r="O249" s="41"/>
      <c r="P249" s="41"/>
      <c r="Q249" s="42"/>
      <c r="R249" s="35"/>
      <c r="S249" s="35"/>
      <c r="T249" s="35"/>
      <c r="U249" s="35"/>
      <c r="V249" s="121"/>
      <c r="W249" s="42"/>
      <c r="X249" s="42"/>
      <c r="Y249" s="42"/>
      <c r="Z249" s="42"/>
      <c r="AA249" s="42"/>
      <c r="AB249" s="42"/>
      <c r="AC249" s="42"/>
      <c r="AD249" s="42"/>
      <c r="AE249" s="42"/>
      <c r="AF249" s="42"/>
      <c r="AG249" s="42"/>
      <c r="AH249" s="42"/>
      <c r="AI249" s="42"/>
      <c r="AJ249" s="42"/>
      <c r="AK249" s="42"/>
      <c r="AL249" s="42"/>
      <c r="AM249" s="42"/>
    </row>
    <row r="250" spans="1:39" x14ac:dyDescent="0.25">
      <c r="A250" s="38" t="s">
        <v>601</v>
      </c>
      <c r="B250" s="42"/>
      <c r="C250" s="42"/>
      <c r="D250" s="42"/>
      <c r="E250" s="41"/>
      <c r="F250" s="41"/>
      <c r="G250" s="41"/>
      <c r="H250" s="41"/>
      <c r="I250" s="41"/>
      <c r="J250" s="42"/>
      <c r="K250" s="41"/>
      <c r="L250" s="41"/>
      <c r="M250" s="127"/>
      <c r="N250" s="41"/>
      <c r="O250" s="41"/>
      <c r="P250" s="41"/>
      <c r="Q250" s="42"/>
      <c r="R250" s="35"/>
      <c r="S250" s="35"/>
      <c r="T250" s="35"/>
      <c r="U250" s="35"/>
      <c r="V250" s="121"/>
      <c r="W250" s="42"/>
      <c r="X250" s="42"/>
      <c r="Y250" s="42"/>
      <c r="Z250" s="42"/>
      <c r="AA250" s="42"/>
      <c r="AB250" s="42"/>
      <c r="AC250" s="42"/>
      <c r="AD250" s="42"/>
      <c r="AE250" s="42"/>
      <c r="AF250" s="42"/>
      <c r="AG250" s="42"/>
      <c r="AH250" s="42"/>
      <c r="AI250" s="42"/>
      <c r="AJ250" s="42"/>
      <c r="AK250" s="42"/>
      <c r="AL250" s="42"/>
      <c r="AM250" s="42"/>
    </row>
    <row r="251" spans="1:39" x14ac:dyDescent="0.25">
      <c r="A251" s="38" t="s">
        <v>602</v>
      </c>
      <c r="B251" s="42"/>
      <c r="C251" s="42"/>
      <c r="D251" s="42"/>
      <c r="E251" s="41"/>
      <c r="F251" s="41"/>
      <c r="G251" s="41"/>
      <c r="H251" s="41"/>
      <c r="I251" s="41"/>
      <c r="J251" s="42"/>
      <c r="K251" s="41"/>
      <c r="L251" s="41"/>
      <c r="M251" s="127"/>
      <c r="N251" s="41"/>
      <c r="O251" s="41"/>
      <c r="P251" s="41"/>
      <c r="Q251" s="42"/>
      <c r="R251" s="35"/>
      <c r="S251" s="35"/>
      <c r="T251" s="35"/>
      <c r="U251" s="35"/>
      <c r="V251" s="121"/>
      <c r="W251" s="42"/>
      <c r="X251" s="42"/>
      <c r="Y251" s="42"/>
      <c r="Z251" s="42"/>
      <c r="AA251" s="42"/>
      <c r="AB251" s="42"/>
      <c r="AC251" s="42"/>
      <c r="AD251" s="42"/>
      <c r="AE251" s="42"/>
      <c r="AF251" s="42"/>
      <c r="AG251" s="42"/>
      <c r="AH251" s="42"/>
      <c r="AI251" s="42"/>
      <c r="AJ251" s="42"/>
      <c r="AK251" s="42"/>
      <c r="AL251" s="42"/>
      <c r="AM251" s="42"/>
    </row>
    <row r="252" spans="1:39" x14ac:dyDescent="0.25">
      <c r="A252" s="38" t="s">
        <v>603</v>
      </c>
      <c r="B252" s="42"/>
      <c r="C252" s="42"/>
      <c r="D252" s="42"/>
      <c r="E252" s="41"/>
      <c r="F252" s="41"/>
      <c r="G252" s="41"/>
      <c r="H252" s="41"/>
      <c r="I252" s="41"/>
      <c r="J252" s="42"/>
      <c r="K252" s="41"/>
      <c r="L252" s="41"/>
      <c r="M252" s="127"/>
      <c r="N252" s="41"/>
      <c r="O252" s="41"/>
      <c r="P252" s="41"/>
      <c r="Q252" s="42"/>
      <c r="R252" s="35"/>
      <c r="S252" s="35"/>
      <c r="T252" s="35"/>
      <c r="U252" s="35"/>
      <c r="V252" s="121"/>
      <c r="W252" s="42"/>
      <c r="X252" s="42"/>
      <c r="Y252" s="42"/>
      <c r="Z252" s="42"/>
      <c r="AA252" s="42"/>
      <c r="AB252" s="42"/>
      <c r="AC252" s="42"/>
      <c r="AD252" s="42"/>
      <c r="AE252" s="42"/>
      <c r="AF252" s="42"/>
      <c r="AG252" s="42"/>
      <c r="AH252" s="42"/>
      <c r="AI252" s="42"/>
      <c r="AJ252" s="42"/>
      <c r="AK252" s="42"/>
      <c r="AL252" s="42"/>
      <c r="AM252" s="42"/>
    </row>
    <row r="253" spans="1:39" x14ac:dyDescent="0.25">
      <c r="A253" s="38" t="s">
        <v>604</v>
      </c>
      <c r="B253" s="42"/>
      <c r="C253" s="42"/>
      <c r="D253" s="42"/>
      <c r="E253" s="41"/>
      <c r="F253" s="41"/>
      <c r="G253" s="41"/>
      <c r="H253" s="41"/>
      <c r="I253" s="41"/>
      <c r="J253" s="42"/>
      <c r="K253" s="41"/>
      <c r="L253" s="41"/>
      <c r="M253" s="127"/>
      <c r="N253" s="41"/>
      <c r="O253" s="41"/>
      <c r="P253" s="41"/>
      <c r="Q253" s="42"/>
      <c r="R253" s="35"/>
      <c r="S253" s="35"/>
      <c r="T253" s="35"/>
      <c r="U253" s="35"/>
      <c r="V253" s="121"/>
      <c r="W253" s="42"/>
      <c r="X253" s="42"/>
      <c r="Y253" s="42"/>
      <c r="Z253" s="42"/>
      <c r="AA253" s="42"/>
      <c r="AB253" s="42"/>
      <c r="AC253" s="42"/>
      <c r="AD253" s="42"/>
      <c r="AE253" s="42"/>
      <c r="AF253" s="42"/>
      <c r="AG253" s="42"/>
      <c r="AH253" s="42"/>
      <c r="AI253" s="42"/>
      <c r="AJ253" s="42"/>
      <c r="AK253" s="42"/>
      <c r="AL253" s="42"/>
      <c r="AM253" s="42"/>
    </row>
    <row r="254" spans="1:39" x14ac:dyDescent="0.25">
      <c r="A254" s="38" t="s">
        <v>605</v>
      </c>
      <c r="B254" s="42"/>
      <c r="C254" s="42"/>
      <c r="D254" s="42"/>
      <c r="E254" s="41"/>
      <c r="F254" s="41"/>
      <c r="G254" s="41"/>
      <c r="H254" s="41"/>
      <c r="I254" s="41"/>
      <c r="J254" s="42"/>
      <c r="K254" s="41"/>
      <c r="L254" s="41"/>
      <c r="M254" s="127"/>
      <c r="N254" s="41"/>
      <c r="O254" s="41"/>
      <c r="P254" s="41"/>
      <c r="Q254" s="42"/>
      <c r="R254" s="35"/>
      <c r="S254" s="35"/>
      <c r="T254" s="35"/>
      <c r="U254" s="35"/>
      <c r="V254" s="121"/>
      <c r="W254" s="42"/>
      <c r="X254" s="42"/>
      <c r="Y254" s="42"/>
      <c r="Z254" s="42"/>
      <c r="AA254" s="42"/>
      <c r="AB254" s="42"/>
      <c r="AC254" s="42"/>
      <c r="AD254" s="42"/>
      <c r="AE254" s="42"/>
      <c r="AF254" s="42"/>
      <c r="AG254" s="42"/>
      <c r="AH254" s="42"/>
      <c r="AI254" s="42"/>
      <c r="AJ254" s="42"/>
      <c r="AK254" s="42"/>
      <c r="AL254" s="42"/>
      <c r="AM254" s="42"/>
    </row>
    <row r="255" spans="1:39" x14ac:dyDescent="0.25">
      <c r="A255" s="38" t="s">
        <v>606</v>
      </c>
      <c r="B255" s="42"/>
      <c r="C255" s="42"/>
      <c r="D255" s="42"/>
      <c r="E255" s="41"/>
      <c r="F255" s="41"/>
      <c r="G255" s="41"/>
      <c r="H255" s="41"/>
      <c r="I255" s="41"/>
      <c r="J255" s="42"/>
      <c r="K255" s="41"/>
      <c r="L255" s="41"/>
      <c r="M255" s="127"/>
      <c r="N255" s="41"/>
      <c r="O255" s="41"/>
      <c r="P255" s="41"/>
      <c r="Q255" s="42"/>
      <c r="R255" s="35"/>
      <c r="S255" s="35"/>
      <c r="T255" s="35"/>
      <c r="U255" s="35"/>
      <c r="V255" s="121"/>
      <c r="W255" s="42"/>
      <c r="X255" s="42"/>
      <c r="Y255" s="42"/>
      <c r="Z255" s="42"/>
      <c r="AA255" s="42"/>
      <c r="AB255" s="42"/>
      <c r="AC255" s="42"/>
      <c r="AD255" s="42"/>
      <c r="AE255" s="42"/>
      <c r="AF255" s="42"/>
      <c r="AG255" s="42"/>
      <c r="AH255" s="42"/>
      <c r="AI255" s="42"/>
      <c r="AJ255" s="42"/>
      <c r="AK255" s="42"/>
      <c r="AL255" s="42"/>
      <c r="AM255" s="42"/>
    </row>
    <row r="256" spans="1:39" x14ac:dyDescent="0.25">
      <c r="A256" s="38" t="s">
        <v>607</v>
      </c>
      <c r="B256" s="42"/>
      <c r="C256" s="42"/>
      <c r="D256" s="42"/>
      <c r="E256" s="41"/>
      <c r="F256" s="41"/>
      <c r="G256" s="41"/>
      <c r="H256" s="41"/>
      <c r="I256" s="41"/>
      <c r="J256" s="42"/>
      <c r="K256" s="41"/>
      <c r="L256" s="41"/>
      <c r="M256" s="127"/>
      <c r="N256" s="41"/>
      <c r="O256" s="41"/>
      <c r="P256" s="41"/>
      <c r="Q256" s="42"/>
      <c r="R256" s="35"/>
      <c r="S256" s="35"/>
      <c r="T256" s="35"/>
      <c r="U256" s="35"/>
      <c r="V256" s="121"/>
      <c r="W256" s="42"/>
      <c r="X256" s="42"/>
      <c r="Y256" s="42"/>
      <c r="Z256" s="42"/>
      <c r="AA256" s="42"/>
      <c r="AB256" s="42"/>
      <c r="AC256" s="42"/>
      <c r="AD256" s="42"/>
      <c r="AE256" s="42"/>
      <c r="AF256" s="42"/>
      <c r="AG256" s="42"/>
      <c r="AH256" s="42"/>
      <c r="AI256" s="42"/>
      <c r="AJ256" s="42"/>
      <c r="AK256" s="42"/>
      <c r="AL256" s="42"/>
      <c r="AM256" s="42"/>
    </row>
    <row r="257" spans="1:39" x14ac:dyDescent="0.25">
      <c r="A257" s="38" t="s">
        <v>608</v>
      </c>
      <c r="B257" s="42"/>
      <c r="C257" s="42"/>
      <c r="D257" s="42"/>
      <c r="E257" s="41"/>
      <c r="F257" s="41"/>
      <c r="G257" s="41"/>
      <c r="H257" s="41"/>
      <c r="I257" s="41"/>
      <c r="J257" s="42"/>
      <c r="K257" s="41"/>
      <c r="L257" s="41"/>
      <c r="M257" s="127"/>
      <c r="N257" s="41"/>
      <c r="O257" s="41"/>
      <c r="P257" s="41"/>
      <c r="Q257" s="42"/>
      <c r="R257" s="35"/>
      <c r="S257" s="35"/>
      <c r="T257" s="35"/>
      <c r="U257" s="35"/>
      <c r="V257" s="121"/>
      <c r="W257" s="42"/>
      <c r="X257" s="42"/>
      <c r="Y257" s="42"/>
      <c r="Z257" s="42"/>
      <c r="AA257" s="42"/>
      <c r="AB257" s="42"/>
      <c r="AC257" s="42"/>
      <c r="AD257" s="42"/>
      <c r="AE257" s="42"/>
      <c r="AF257" s="42"/>
      <c r="AG257" s="42"/>
      <c r="AH257" s="42"/>
      <c r="AI257" s="42"/>
      <c r="AJ257" s="42"/>
      <c r="AK257" s="42"/>
      <c r="AL257" s="42"/>
      <c r="AM257" s="42"/>
    </row>
    <row r="258" spans="1:39" x14ac:dyDescent="0.25">
      <c r="A258" s="38" t="s">
        <v>609</v>
      </c>
      <c r="B258" s="42"/>
      <c r="C258" s="42"/>
      <c r="D258" s="42"/>
      <c r="E258" s="41"/>
      <c r="F258" s="41"/>
      <c r="G258" s="41"/>
      <c r="H258" s="41"/>
      <c r="I258" s="41"/>
      <c r="J258" s="42"/>
      <c r="K258" s="41"/>
      <c r="L258" s="41"/>
      <c r="M258" s="127"/>
      <c r="N258" s="41"/>
      <c r="O258" s="41"/>
      <c r="P258" s="41"/>
      <c r="Q258" s="42"/>
      <c r="R258" s="35"/>
      <c r="S258" s="35"/>
      <c r="T258" s="35"/>
      <c r="U258" s="35"/>
      <c r="V258" s="121"/>
      <c r="W258" s="42"/>
      <c r="X258" s="42"/>
      <c r="Y258" s="42"/>
      <c r="Z258" s="42"/>
      <c r="AA258" s="42"/>
      <c r="AB258" s="42"/>
      <c r="AC258" s="42"/>
      <c r="AD258" s="42"/>
      <c r="AE258" s="42"/>
      <c r="AF258" s="42"/>
      <c r="AG258" s="42"/>
      <c r="AH258" s="42"/>
      <c r="AI258" s="42"/>
      <c r="AJ258" s="42"/>
      <c r="AK258" s="42"/>
      <c r="AL258" s="42"/>
      <c r="AM258" s="42"/>
    </row>
    <row r="259" spans="1:39" x14ac:dyDescent="0.25">
      <c r="A259" s="38" t="s">
        <v>610</v>
      </c>
      <c r="B259" s="42"/>
      <c r="C259" s="42"/>
      <c r="D259" s="42"/>
      <c r="E259" s="41"/>
      <c r="F259" s="41"/>
      <c r="G259" s="41"/>
      <c r="H259" s="41"/>
      <c r="I259" s="41"/>
      <c r="J259" s="42"/>
      <c r="K259" s="41"/>
      <c r="L259" s="41"/>
      <c r="M259" s="127"/>
      <c r="N259" s="41"/>
      <c r="O259" s="41"/>
      <c r="P259" s="41"/>
      <c r="Q259" s="42"/>
      <c r="R259" s="35"/>
      <c r="S259" s="35"/>
      <c r="T259" s="35"/>
      <c r="U259" s="35"/>
      <c r="V259" s="121"/>
      <c r="W259" s="42"/>
      <c r="X259" s="42"/>
      <c r="Y259" s="42"/>
      <c r="Z259" s="42"/>
      <c r="AA259" s="42"/>
      <c r="AB259" s="42"/>
      <c r="AC259" s="42"/>
      <c r="AD259" s="42"/>
      <c r="AE259" s="42"/>
      <c r="AF259" s="42"/>
      <c r="AG259" s="42"/>
      <c r="AH259" s="42"/>
      <c r="AI259" s="42"/>
      <c r="AJ259" s="42"/>
      <c r="AK259" s="42"/>
      <c r="AL259" s="42"/>
      <c r="AM259" s="42"/>
    </row>
    <row r="260" spans="1:39" x14ac:dyDescent="0.25">
      <c r="A260" s="38" t="s">
        <v>611</v>
      </c>
      <c r="B260" s="42"/>
      <c r="C260" s="42"/>
      <c r="D260" s="42"/>
      <c r="E260" s="41"/>
      <c r="F260" s="41"/>
      <c r="G260" s="41"/>
      <c r="H260" s="41"/>
      <c r="I260" s="41"/>
      <c r="J260" s="42"/>
      <c r="K260" s="41"/>
      <c r="L260" s="41"/>
      <c r="M260" s="127"/>
      <c r="N260" s="41"/>
      <c r="O260" s="41"/>
      <c r="P260" s="41"/>
      <c r="Q260" s="42"/>
      <c r="R260" s="35"/>
      <c r="S260" s="35"/>
      <c r="T260" s="35"/>
      <c r="U260" s="35"/>
      <c r="V260" s="121"/>
      <c r="W260" s="42"/>
      <c r="X260" s="42"/>
      <c r="Y260" s="42"/>
      <c r="Z260" s="42"/>
      <c r="AA260" s="42"/>
      <c r="AB260" s="42"/>
      <c r="AC260" s="42"/>
      <c r="AD260" s="42"/>
      <c r="AE260" s="42"/>
      <c r="AF260" s="42"/>
      <c r="AG260" s="42"/>
      <c r="AH260" s="42"/>
      <c r="AI260" s="42"/>
      <c r="AJ260" s="42"/>
      <c r="AK260" s="42"/>
      <c r="AL260" s="42"/>
      <c r="AM260" s="42"/>
    </row>
    <row r="261" spans="1:39" x14ac:dyDescent="0.25">
      <c r="A261" s="38" t="s">
        <v>612</v>
      </c>
      <c r="B261" s="42"/>
      <c r="C261" s="42"/>
      <c r="D261" s="42"/>
      <c r="E261" s="41"/>
      <c r="F261" s="41"/>
      <c r="G261" s="41"/>
      <c r="H261" s="41"/>
      <c r="I261" s="41"/>
      <c r="J261" s="42"/>
      <c r="K261" s="41"/>
      <c r="L261" s="41"/>
      <c r="M261" s="127"/>
      <c r="N261" s="41"/>
      <c r="O261" s="41"/>
      <c r="P261" s="41"/>
      <c r="Q261" s="42"/>
      <c r="R261" s="35"/>
      <c r="S261" s="35"/>
      <c r="T261" s="35"/>
      <c r="U261" s="35"/>
      <c r="V261" s="121"/>
      <c r="W261" s="42"/>
      <c r="X261" s="42"/>
      <c r="Y261" s="42"/>
      <c r="Z261" s="42"/>
      <c r="AA261" s="42"/>
      <c r="AB261" s="42"/>
      <c r="AC261" s="42"/>
      <c r="AD261" s="42"/>
      <c r="AE261" s="42"/>
      <c r="AF261" s="42"/>
      <c r="AG261" s="42"/>
      <c r="AH261" s="42"/>
      <c r="AI261" s="42"/>
      <c r="AJ261" s="42"/>
      <c r="AK261" s="42"/>
      <c r="AL261" s="42"/>
      <c r="AM261" s="42"/>
    </row>
    <row r="262" spans="1:39" x14ac:dyDescent="0.25">
      <c r="A262" s="38" t="s">
        <v>613</v>
      </c>
      <c r="B262" s="42"/>
      <c r="C262" s="42"/>
      <c r="D262" s="42"/>
      <c r="E262" s="41"/>
      <c r="F262" s="41"/>
      <c r="G262" s="41"/>
      <c r="H262" s="41"/>
      <c r="I262" s="41"/>
      <c r="J262" s="42"/>
      <c r="K262" s="41"/>
      <c r="L262" s="41"/>
      <c r="M262" s="127"/>
      <c r="N262" s="41"/>
      <c r="O262" s="41"/>
      <c r="P262" s="41"/>
      <c r="Q262" s="42"/>
      <c r="R262" s="35"/>
      <c r="S262" s="35"/>
      <c r="T262" s="35"/>
      <c r="U262" s="35"/>
      <c r="V262" s="121"/>
      <c r="W262" s="42"/>
      <c r="X262" s="42"/>
      <c r="Y262" s="42"/>
      <c r="Z262" s="42"/>
      <c r="AA262" s="42"/>
      <c r="AB262" s="42"/>
      <c r="AC262" s="42"/>
      <c r="AD262" s="42"/>
      <c r="AE262" s="42"/>
      <c r="AF262" s="42"/>
      <c r="AG262" s="42"/>
      <c r="AH262" s="42"/>
      <c r="AI262" s="42"/>
      <c r="AJ262" s="42"/>
      <c r="AK262" s="42"/>
      <c r="AL262" s="42"/>
      <c r="AM262" s="42"/>
    </row>
    <row r="263" spans="1:39" x14ac:dyDescent="0.25">
      <c r="A263" s="38" t="s">
        <v>614</v>
      </c>
      <c r="B263" s="42"/>
      <c r="C263" s="42"/>
      <c r="D263" s="42"/>
      <c r="E263" s="41"/>
      <c r="F263" s="41"/>
      <c r="G263" s="41"/>
      <c r="H263" s="41"/>
      <c r="I263" s="41"/>
      <c r="J263" s="42"/>
      <c r="K263" s="41"/>
      <c r="L263" s="41"/>
      <c r="M263" s="127"/>
      <c r="N263" s="41"/>
      <c r="O263" s="41"/>
      <c r="P263" s="41"/>
      <c r="Q263" s="42"/>
      <c r="R263" s="35"/>
      <c r="S263" s="35"/>
      <c r="T263" s="35"/>
      <c r="U263" s="35"/>
      <c r="V263" s="121"/>
      <c r="W263" s="42"/>
      <c r="X263" s="42"/>
      <c r="Y263" s="42"/>
      <c r="Z263" s="42"/>
      <c r="AA263" s="42"/>
      <c r="AB263" s="42"/>
      <c r="AC263" s="42"/>
      <c r="AD263" s="42"/>
      <c r="AE263" s="42"/>
      <c r="AF263" s="42"/>
      <c r="AG263" s="42"/>
      <c r="AH263" s="42"/>
      <c r="AI263" s="42"/>
      <c r="AJ263" s="42"/>
      <c r="AK263" s="42"/>
      <c r="AL263" s="42"/>
      <c r="AM263" s="42"/>
    </row>
    <row r="264" spans="1:39" x14ac:dyDescent="0.25">
      <c r="A264" s="38" t="s">
        <v>615</v>
      </c>
      <c r="B264" s="42"/>
      <c r="C264" s="42"/>
      <c r="D264" s="42"/>
      <c r="E264" s="41"/>
      <c r="F264" s="41"/>
      <c r="G264" s="41"/>
      <c r="H264" s="41"/>
      <c r="I264" s="41"/>
      <c r="J264" s="42"/>
      <c r="K264" s="41"/>
      <c r="L264" s="41"/>
      <c r="M264" s="127"/>
      <c r="N264" s="41"/>
      <c r="O264" s="41"/>
      <c r="P264" s="41"/>
      <c r="Q264" s="42"/>
      <c r="R264" s="35"/>
      <c r="S264" s="35"/>
      <c r="T264" s="35"/>
      <c r="U264" s="35"/>
      <c r="V264" s="121"/>
      <c r="W264" s="42"/>
      <c r="X264" s="42"/>
      <c r="Y264" s="42"/>
      <c r="Z264" s="42"/>
      <c r="AA264" s="42"/>
      <c r="AB264" s="42"/>
      <c r="AC264" s="42"/>
      <c r="AD264" s="42"/>
      <c r="AE264" s="42"/>
      <c r="AF264" s="42"/>
      <c r="AG264" s="42"/>
      <c r="AH264" s="42"/>
      <c r="AI264" s="42"/>
      <c r="AJ264" s="42"/>
      <c r="AK264" s="42"/>
      <c r="AL264" s="42"/>
      <c r="AM264" s="42"/>
    </row>
    <row r="265" spans="1:39" x14ac:dyDescent="0.25">
      <c r="A265" s="38" t="s">
        <v>616</v>
      </c>
      <c r="B265" s="42"/>
      <c r="C265" s="42"/>
      <c r="D265" s="42"/>
      <c r="E265" s="41"/>
      <c r="F265" s="41"/>
      <c r="G265" s="41"/>
      <c r="H265" s="41"/>
      <c r="I265" s="41"/>
      <c r="J265" s="42"/>
      <c r="K265" s="41"/>
      <c r="L265" s="41"/>
      <c r="M265" s="127"/>
      <c r="N265" s="41"/>
      <c r="O265" s="41"/>
      <c r="P265" s="41"/>
      <c r="Q265" s="42"/>
      <c r="R265" s="35"/>
      <c r="S265" s="35"/>
      <c r="T265" s="35"/>
      <c r="U265" s="35"/>
      <c r="V265" s="121"/>
      <c r="W265" s="42"/>
      <c r="X265" s="42"/>
      <c r="Y265" s="42"/>
      <c r="Z265" s="42"/>
      <c r="AA265" s="42"/>
      <c r="AB265" s="42"/>
      <c r="AC265" s="42"/>
      <c r="AD265" s="42"/>
      <c r="AE265" s="42"/>
      <c r="AF265" s="42"/>
      <c r="AG265" s="42"/>
      <c r="AH265" s="42"/>
      <c r="AI265" s="42"/>
      <c r="AJ265" s="42"/>
      <c r="AK265" s="42"/>
      <c r="AL265" s="42"/>
      <c r="AM265" s="42"/>
    </row>
    <row r="266" spans="1:39" x14ac:dyDescent="0.25">
      <c r="A266" s="38" t="s">
        <v>617</v>
      </c>
      <c r="B266" s="42"/>
      <c r="C266" s="42"/>
      <c r="D266" s="42"/>
      <c r="E266" s="41"/>
      <c r="F266" s="41"/>
      <c r="G266" s="41"/>
      <c r="H266" s="41"/>
      <c r="I266" s="41"/>
      <c r="J266" s="42"/>
      <c r="K266" s="41"/>
      <c r="L266" s="41"/>
      <c r="M266" s="127"/>
      <c r="N266" s="41"/>
      <c r="O266" s="41"/>
      <c r="P266" s="41"/>
      <c r="Q266" s="42"/>
      <c r="R266" s="35"/>
      <c r="S266" s="35"/>
      <c r="T266" s="35"/>
      <c r="U266" s="35"/>
      <c r="V266" s="121"/>
      <c r="W266" s="42"/>
      <c r="X266" s="42"/>
      <c r="Y266" s="42"/>
      <c r="Z266" s="42"/>
      <c r="AA266" s="42"/>
      <c r="AB266" s="42"/>
      <c r="AC266" s="42"/>
      <c r="AD266" s="42"/>
      <c r="AE266" s="42"/>
      <c r="AF266" s="42"/>
      <c r="AG266" s="42"/>
      <c r="AH266" s="42"/>
      <c r="AI266" s="42"/>
      <c r="AJ266" s="42"/>
      <c r="AK266" s="42"/>
      <c r="AL266" s="42"/>
      <c r="AM266" s="42"/>
    </row>
    <row r="267" spans="1:39" x14ac:dyDescent="0.25">
      <c r="A267" s="38" t="s">
        <v>618</v>
      </c>
      <c r="B267" s="42"/>
      <c r="C267" s="42"/>
      <c r="D267" s="42"/>
      <c r="E267" s="41"/>
      <c r="F267" s="41"/>
      <c r="G267" s="41"/>
      <c r="H267" s="41"/>
      <c r="I267" s="41"/>
      <c r="J267" s="42"/>
      <c r="K267" s="41"/>
      <c r="L267" s="41"/>
      <c r="M267" s="127"/>
      <c r="N267" s="41"/>
      <c r="O267" s="41"/>
      <c r="P267" s="41"/>
      <c r="Q267" s="42"/>
      <c r="R267" s="35"/>
      <c r="S267" s="35"/>
      <c r="T267" s="35"/>
      <c r="U267" s="35"/>
      <c r="V267" s="121"/>
      <c r="W267" s="42"/>
      <c r="X267" s="42"/>
      <c r="Y267" s="42"/>
      <c r="Z267" s="42"/>
      <c r="AA267" s="42"/>
      <c r="AB267" s="42"/>
      <c r="AC267" s="42"/>
      <c r="AD267" s="42"/>
      <c r="AE267" s="42"/>
      <c r="AF267" s="42"/>
      <c r="AG267" s="42"/>
      <c r="AH267" s="42"/>
      <c r="AI267" s="42"/>
      <c r="AJ267" s="42"/>
      <c r="AK267" s="42"/>
      <c r="AL267" s="42"/>
      <c r="AM267" s="42"/>
    </row>
    <row r="268" spans="1:39" x14ac:dyDescent="0.25">
      <c r="A268" s="38" t="s">
        <v>619</v>
      </c>
      <c r="B268" s="42"/>
      <c r="C268" s="42"/>
      <c r="D268" s="42"/>
      <c r="E268" s="41"/>
      <c r="F268" s="41"/>
      <c r="G268" s="41"/>
      <c r="H268" s="41"/>
      <c r="I268" s="41"/>
      <c r="J268" s="42"/>
      <c r="K268" s="41"/>
      <c r="L268" s="41"/>
      <c r="M268" s="127"/>
      <c r="N268" s="41"/>
      <c r="O268" s="41"/>
      <c r="P268" s="41"/>
      <c r="Q268" s="42"/>
      <c r="R268" s="35"/>
      <c r="S268" s="35"/>
      <c r="T268" s="35"/>
      <c r="U268" s="35"/>
      <c r="V268" s="121"/>
      <c r="W268" s="42"/>
      <c r="X268" s="42"/>
      <c r="Y268" s="42"/>
      <c r="Z268" s="42"/>
      <c r="AA268" s="42"/>
      <c r="AB268" s="42"/>
      <c r="AC268" s="42"/>
      <c r="AD268" s="42"/>
      <c r="AE268" s="42"/>
      <c r="AF268" s="42"/>
      <c r="AG268" s="42"/>
      <c r="AH268" s="42"/>
      <c r="AI268" s="42"/>
      <c r="AJ268" s="42"/>
      <c r="AK268" s="42"/>
      <c r="AL268" s="42"/>
      <c r="AM268" s="42"/>
    </row>
    <row r="269" spans="1:39" x14ac:dyDescent="0.25">
      <c r="A269" s="38" t="s">
        <v>620</v>
      </c>
      <c r="B269" s="42"/>
      <c r="C269" s="42"/>
      <c r="D269" s="42"/>
      <c r="E269" s="41"/>
      <c r="F269" s="41"/>
      <c r="G269" s="41"/>
      <c r="H269" s="41"/>
      <c r="I269" s="41"/>
      <c r="J269" s="42"/>
      <c r="K269" s="41"/>
      <c r="L269" s="41"/>
      <c r="M269" s="127"/>
      <c r="N269" s="41"/>
      <c r="O269" s="41"/>
      <c r="P269" s="41"/>
      <c r="Q269" s="42"/>
      <c r="R269" s="35"/>
      <c r="S269" s="35"/>
      <c r="T269" s="35"/>
      <c r="U269" s="35"/>
      <c r="V269" s="121"/>
      <c r="W269" s="42"/>
      <c r="X269" s="42"/>
      <c r="Y269" s="42"/>
      <c r="Z269" s="42"/>
      <c r="AA269" s="42"/>
      <c r="AB269" s="42"/>
      <c r="AC269" s="42"/>
      <c r="AD269" s="42"/>
      <c r="AE269" s="42"/>
      <c r="AF269" s="42"/>
      <c r="AG269" s="42"/>
      <c r="AH269" s="42"/>
      <c r="AI269" s="42"/>
      <c r="AJ269" s="42"/>
      <c r="AK269" s="42"/>
      <c r="AL269" s="42"/>
      <c r="AM269" s="42"/>
    </row>
    <row r="270" spans="1:39" x14ac:dyDescent="0.25">
      <c r="A270" s="38" t="s">
        <v>621</v>
      </c>
      <c r="B270" s="42"/>
      <c r="C270" s="42"/>
      <c r="D270" s="42"/>
      <c r="E270" s="41"/>
      <c r="F270" s="41"/>
      <c r="G270" s="41"/>
      <c r="H270" s="41"/>
      <c r="I270" s="41"/>
      <c r="J270" s="42"/>
      <c r="K270" s="41"/>
      <c r="L270" s="41"/>
      <c r="M270" s="127"/>
      <c r="N270" s="41"/>
      <c r="O270" s="41"/>
      <c r="P270" s="41"/>
      <c r="Q270" s="42"/>
      <c r="R270" s="35"/>
      <c r="S270" s="35"/>
      <c r="T270" s="35"/>
      <c r="U270" s="35"/>
      <c r="V270" s="121"/>
      <c r="W270" s="42"/>
      <c r="X270" s="42"/>
      <c r="Y270" s="42"/>
      <c r="Z270" s="42"/>
      <c r="AA270" s="42"/>
      <c r="AB270" s="42"/>
      <c r="AC270" s="42"/>
      <c r="AD270" s="42"/>
      <c r="AE270" s="42"/>
      <c r="AF270" s="42"/>
      <c r="AG270" s="42"/>
      <c r="AH270" s="42"/>
      <c r="AI270" s="42"/>
      <c r="AJ270" s="42"/>
      <c r="AK270" s="42"/>
      <c r="AL270" s="42"/>
      <c r="AM270" s="42"/>
    </row>
    <row r="271" spans="1:39" x14ac:dyDescent="0.25">
      <c r="A271" s="38" t="s">
        <v>622</v>
      </c>
      <c r="B271" s="42"/>
      <c r="C271" s="42"/>
      <c r="D271" s="42"/>
      <c r="E271" s="41"/>
      <c r="F271" s="41"/>
      <c r="G271" s="41"/>
      <c r="H271" s="41"/>
      <c r="I271" s="41"/>
      <c r="J271" s="42"/>
      <c r="K271" s="41"/>
      <c r="L271" s="41"/>
      <c r="M271" s="127"/>
      <c r="N271" s="41"/>
      <c r="O271" s="41"/>
      <c r="P271" s="41"/>
      <c r="Q271" s="42"/>
      <c r="R271" s="35"/>
      <c r="S271" s="35"/>
      <c r="T271" s="35"/>
      <c r="U271" s="35"/>
      <c r="V271" s="121"/>
      <c r="W271" s="42"/>
      <c r="X271" s="42"/>
      <c r="Y271" s="42"/>
      <c r="Z271" s="42"/>
      <c r="AA271" s="42"/>
      <c r="AB271" s="42"/>
      <c r="AC271" s="42"/>
      <c r="AD271" s="42"/>
      <c r="AE271" s="42"/>
      <c r="AF271" s="42"/>
      <c r="AG271" s="42"/>
      <c r="AH271" s="42"/>
      <c r="AI271" s="42"/>
      <c r="AJ271" s="42"/>
      <c r="AK271" s="42"/>
      <c r="AL271" s="42"/>
      <c r="AM271" s="42"/>
    </row>
    <row r="272" spans="1:39" x14ac:dyDescent="0.25">
      <c r="A272" s="38" t="s">
        <v>623</v>
      </c>
      <c r="B272" s="42"/>
      <c r="C272" s="42"/>
      <c r="D272" s="42"/>
      <c r="E272" s="41"/>
      <c r="F272" s="41"/>
      <c r="G272" s="41"/>
      <c r="H272" s="41"/>
      <c r="I272" s="41"/>
      <c r="J272" s="42"/>
      <c r="K272" s="41"/>
      <c r="L272" s="41"/>
      <c r="M272" s="127"/>
      <c r="N272" s="41"/>
      <c r="O272" s="41"/>
      <c r="P272" s="41"/>
      <c r="Q272" s="42"/>
      <c r="R272" s="35"/>
      <c r="S272" s="35"/>
      <c r="T272" s="35"/>
      <c r="U272" s="35"/>
      <c r="V272" s="121"/>
      <c r="W272" s="42"/>
      <c r="X272" s="42"/>
      <c r="Y272" s="42"/>
      <c r="Z272" s="42"/>
      <c r="AA272" s="42"/>
      <c r="AB272" s="42"/>
      <c r="AC272" s="42"/>
      <c r="AD272" s="42"/>
      <c r="AE272" s="42"/>
      <c r="AF272" s="42"/>
      <c r="AG272" s="42"/>
      <c r="AH272" s="42"/>
      <c r="AI272" s="42"/>
      <c r="AJ272" s="42"/>
      <c r="AK272" s="42"/>
      <c r="AL272" s="42"/>
      <c r="AM272" s="42"/>
    </row>
    <row r="273" spans="1:39" x14ac:dyDescent="0.25">
      <c r="A273" s="38" t="s">
        <v>624</v>
      </c>
      <c r="B273" s="42"/>
      <c r="C273" s="42"/>
      <c r="D273" s="42"/>
      <c r="E273" s="41"/>
      <c r="F273" s="41"/>
      <c r="G273" s="41"/>
      <c r="H273" s="41"/>
      <c r="I273" s="41"/>
      <c r="J273" s="42"/>
      <c r="K273" s="41"/>
      <c r="L273" s="41"/>
      <c r="M273" s="127"/>
      <c r="N273" s="41"/>
      <c r="O273" s="41"/>
      <c r="P273" s="41"/>
      <c r="Q273" s="42"/>
      <c r="R273" s="35"/>
      <c r="S273" s="35"/>
      <c r="T273" s="35"/>
      <c r="U273" s="35"/>
      <c r="V273" s="121"/>
      <c r="W273" s="42"/>
      <c r="X273" s="42"/>
      <c r="Y273" s="42"/>
      <c r="Z273" s="42"/>
      <c r="AA273" s="42"/>
      <c r="AB273" s="42"/>
      <c r="AC273" s="42"/>
      <c r="AD273" s="42"/>
      <c r="AE273" s="42"/>
      <c r="AF273" s="42"/>
      <c r="AG273" s="42"/>
      <c r="AH273" s="42"/>
      <c r="AI273" s="42"/>
      <c r="AJ273" s="42"/>
      <c r="AK273" s="42"/>
      <c r="AL273" s="42"/>
      <c r="AM273" s="42"/>
    </row>
    <row r="274" spans="1:39" x14ac:dyDescent="0.25">
      <c r="A274" s="38" t="s">
        <v>625</v>
      </c>
      <c r="B274" s="42"/>
      <c r="C274" s="42"/>
      <c r="D274" s="42"/>
      <c r="E274" s="41"/>
      <c r="F274" s="41"/>
      <c r="G274" s="41"/>
      <c r="H274" s="41"/>
      <c r="I274" s="41"/>
      <c r="J274" s="42"/>
      <c r="K274" s="41"/>
      <c r="L274" s="41"/>
      <c r="M274" s="127"/>
      <c r="N274" s="41"/>
      <c r="O274" s="41"/>
      <c r="P274" s="41"/>
      <c r="Q274" s="42"/>
      <c r="R274" s="35"/>
      <c r="S274" s="35"/>
      <c r="T274" s="35"/>
      <c r="U274" s="35"/>
      <c r="V274" s="121"/>
      <c r="W274" s="42"/>
      <c r="X274" s="42"/>
      <c r="Y274" s="42"/>
      <c r="Z274" s="42"/>
      <c r="AA274" s="42"/>
      <c r="AB274" s="42"/>
      <c r="AC274" s="42"/>
      <c r="AD274" s="42"/>
      <c r="AE274" s="42"/>
      <c r="AF274" s="42"/>
      <c r="AG274" s="42"/>
      <c r="AH274" s="42"/>
      <c r="AI274" s="42"/>
      <c r="AJ274" s="42"/>
      <c r="AK274" s="42"/>
      <c r="AL274" s="42"/>
      <c r="AM274" s="42"/>
    </row>
    <row r="275" spans="1:39" x14ac:dyDescent="0.25">
      <c r="A275" s="38" t="s">
        <v>626</v>
      </c>
      <c r="B275" s="42"/>
      <c r="C275" s="42"/>
      <c r="D275" s="42"/>
      <c r="E275" s="41"/>
      <c r="F275" s="41"/>
      <c r="G275" s="41"/>
      <c r="H275" s="41"/>
      <c r="I275" s="41"/>
      <c r="J275" s="42"/>
      <c r="K275" s="41"/>
      <c r="L275" s="41"/>
      <c r="M275" s="127"/>
      <c r="N275" s="41"/>
      <c r="O275" s="41"/>
      <c r="P275" s="41"/>
      <c r="Q275" s="42"/>
      <c r="R275" s="35"/>
      <c r="S275" s="35"/>
      <c r="T275" s="35"/>
      <c r="U275" s="35"/>
      <c r="V275" s="121"/>
      <c r="W275" s="42"/>
      <c r="X275" s="42"/>
      <c r="Y275" s="42"/>
      <c r="Z275" s="42"/>
      <c r="AA275" s="42"/>
      <c r="AB275" s="42"/>
      <c r="AC275" s="42"/>
      <c r="AD275" s="42"/>
      <c r="AE275" s="42"/>
      <c r="AF275" s="42"/>
      <c r="AG275" s="42"/>
      <c r="AH275" s="42"/>
      <c r="AI275" s="42"/>
      <c r="AJ275" s="42"/>
      <c r="AK275" s="42"/>
      <c r="AL275" s="42"/>
      <c r="AM275" s="42"/>
    </row>
    <row r="276" spans="1:39" x14ac:dyDescent="0.25">
      <c r="A276" s="38" t="s">
        <v>627</v>
      </c>
      <c r="B276" s="42"/>
      <c r="C276" s="42"/>
      <c r="D276" s="42"/>
      <c r="E276" s="41"/>
      <c r="F276" s="41"/>
      <c r="G276" s="41"/>
      <c r="H276" s="41"/>
      <c r="I276" s="41"/>
      <c r="J276" s="42"/>
      <c r="K276" s="41"/>
      <c r="L276" s="41"/>
      <c r="M276" s="127"/>
      <c r="N276" s="41"/>
      <c r="O276" s="41"/>
      <c r="P276" s="41"/>
      <c r="Q276" s="42"/>
      <c r="R276" s="35"/>
      <c r="S276" s="35"/>
      <c r="T276" s="35"/>
      <c r="U276" s="35"/>
      <c r="V276" s="121"/>
      <c r="W276" s="42"/>
      <c r="X276" s="42"/>
      <c r="Y276" s="42"/>
      <c r="Z276" s="42"/>
      <c r="AA276" s="42"/>
      <c r="AB276" s="42"/>
      <c r="AC276" s="42"/>
      <c r="AD276" s="42"/>
      <c r="AE276" s="42"/>
      <c r="AF276" s="42"/>
      <c r="AG276" s="42"/>
      <c r="AH276" s="42"/>
      <c r="AI276" s="42"/>
      <c r="AJ276" s="42"/>
      <c r="AK276" s="42"/>
      <c r="AL276" s="42"/>
      <c r="AM276" s="42"/>
    </row>
    <row r="277" spans="1:39" x14ac:dyDescent="0.25">
      <c r="A277" s="38" t="s">
        <v>628</v>
      </c>
      <c r="B277" s="42"/>
      <c r="C277" s="42"/>
      <c r="D277" s="42"/>
      <c r="E277" s="41"/>
      <c r="F277" s="41"/>
      <c r="G277" s="41"/>
      <c r="H277" s="41"/>
      <c r="I277" s="41"/>
      <c r="J277" s="42"/>
      <c r="K277" s="41"/>
      <c r="L277" s="41"/>
      <c r="M277" s="127"/>
      <c r="N277" s="41"/>
      <c r="O277" s="41"/>
      <c r="P277" s="41"/>
      <c r="Q277" s="42"/>
      <c r="R277" s="35"/>
      <c r="S277" s="35"/>
      <c r="T277" s="35"/>
      <c r="U277" s="35"/>
      <c r="V277" s="121"/>
      <c r="W277" s="42"/>
      <c r="X277" s="42"/>
      <c r="Y277" s="42"/>
      <c r="Z277" s="42"/>
      <c r="AA277" s="42"/>
      <c r="AB277" s="42"/>
      <c r="AC277" s="42"/>
      <c r="AD277" s="42"/>
      <c r="AE277" s="42"/>
      <c r="AF277" s="42"/>
      <c r="AG277" s="42"/>
      <c r="AH277" s="42"/>
      <c r="AI277" s="42"/>
      <c r="AJ277" s="42"/>
      <c r="AK277" s="42"/>
      <c r="AL277" s="42"/>
      <c r="AM277" s="42"/>
    </row>
    <row r="278" spans="1:39" x14ac:dyDescent="0.25">
      <c r="A278" s="38" t="s">
        <v>629</v>
      </c>
      <c r="B278" s="42"/>
      <c r="C278" s="42"/>
      <c r="D278" s="42"/>
      <c r="E278" s="41"/>
      <c r="F278" s="41"/>
      <c r="G278" s="41"/>
      <c r="H278" s="41"/>
      <c r="I278" s="41"/>
      <c r="J278" s="42"/>
      <c r="K278" s="41"/>
      <c r="L278" s="41"/>
      <c r="M278" s="127"/>
      <c r="N278" s="41"/>
      <c r="O278" s="41"/>
      <c r="P278" s="41"/>
      <c r="Q278" s="42"/>
      <c r="R278" s="35"/>
      <c r="S278" s="35"/>
      <c r="T278" s="35"/>
      <c r="U278" s="35"/>
      <c r="V278" s="121"/>
      <c r="W278" s="42"/>
      <c r="X278" s="42"/>
      <c r="Y278" s="42"/>
      <c r="Z278" s="42"/>
      <c r="AA278" s="42"/>
      <c r="AB278" s="42"/>
      <c r="AC278" s="42"/>
      <c r="AD278" s="42"/>
      <c r="AE278" s="42"/>
      <c r="AF278" s="42"/>
      <c r="AG278" s="42"/>
      <c r="AH278" s="42"/>
      <c r="AI278" s="42"/>
      <c r="AJ278" s="42"/>
      <c r="AK278" s="42"/>
      <c r="AL278" s="42"/>
      <c r="AM278" s="42"/>
    </row>
    <row r="279" spans="1:39" x14ac:dyDescent="0.25">
      <c r="A279" s="38" t="s">
        <v>630</v>
      </c>
      <c r="B279" s="42"/>
      <c r="C279" s="42"/>
      <c r="D279" s="42"/>
      <c r="E279" s="41"/>
      <c r="F279" s="41"/>
      <c r="G279" s="41"/>
      <c r="H279" s="41"/>
      <c r="I279" s="41"/>
      <c r="J279" s="42"/>
      <c r="K279" s="41"/>
      <c r="L279" s="41"/>
      <c r="M279" s="127"/>
      <c r="N279" s="41"/>
      <c r="O279" s="41"/>
      <c r="P279" s="41"/>
      <c r="Q279" s="42"/>
      <c r="R279" s="35"/>
      <c r="S279" s="35"/>
      <c r="T279" s="35"/>
      <c r="U279" s="35"/>
      <c r="V279" s="121"/>
      <c r="W279" s="42"/>
      <c r="X279" s="42"/>
      <c r="Y279" s="42"/>
      <c r="Z279" s="42"/>
      <c r="AA279" s="42"/>
      <c r="AB279" s="42"/>
      <c r="AC279" s="42"/>
      <c r="AD279" s="42"/>
      <c r="AE279" s="42"/>
      <c r="AF279" s="42"/>
      <c r="AG279" s="42"/>
      <c r="AH279" s="42"/>
      <c r="AI279" s="42"/>
      <c r="AJ279" s="42"/>
      <c r="AK279" s="42"/>
      <c r="AL279" s="42"/>
      <c r="AM279" s="42"/>
    </row>
    <row r="280" spans="1:39" x14ac:dyDescent="0.25">
      <c r="A280" s="38" t="s">
        <v>631</v>
      </c>
      <c r="B280" s="42"/>
      <c r="C280" s="42"/>
      <c r="D280" s="42"/>
      <c r="E280" s="41"/>
      <c r="F280" s="41"/>
      <c r="G280" s="41"/>
      <c r="H280" s="41"/>
      <c r="I280" s="41"/>
      <c r="J280" s="42"/>
      <c r="K280" s="41"/>
      <c r="L280" s="41"/>
      <c r="M280" s="127"/>
      <c r="N280" s="41"/>
      <c r="O280" s="41"/>
      <c r="P280" s="41"/>
      <c r="Q280" s="42"/>
      <c r="R280" s="35"/>
      <c r="S280" s="35"/>
      <c r="T280" s="35"/>
      <c r="U280" s="35"/>
      <c r="V280" s="121"/>
      <c r="W280" s="42"/>
      <c r="X280" s="42"/>
      <c r="Y280" s="42"/>
      <c r="Z280" s="42"/>
      <c r="AA280" s="42"/>
      <c r="AB280" s="42"/>
      <c r="AC280" s="42"/>
      <c r="AD280" s="42"/>
      <c r="AE280" s="42"/>
      <c r="AF280" s="42"/>
      <c r="AG280" s="42"/>
      <c r="AH280" s="42"/>
      <c r="AI280" s="42"/>
      <c r="AJ280" s="42"/>
      <c r="AK280" s="42"/>
      <c r="AL280" s="42"/>
      <c r="AM280" s="42"/>
    </row>
    <row r="281" spans="1:39" x14ac:dyDescent="0.25">
      <c r="A281" s="38" t="s">
        <v>632</v>
      </c>
      <c r="B281" s="42"/>
      <c r="C281" s="42"/>
      <c r="D281" s="42"/>
      <c r="E281" s="41"/>
      <c r="F281" s="41"/>
      <c r="G281" s="41"/>
      <c r="H281" s="41"/>
      <c r="I281" s="41"/>
      <c r="J281" s="42"/>
      <c r="K281" s="41"/>
      <c r="L281" s="41"/>
      <c r="M281" s="127"/>
      <c r="N281" s="41"/>
      <c r="O281" s="41"/>
      <c r="P281" s="41"/>
      <c r="Q281" s="42"/>
      <c r="R281" s="35"/>
      <c r="S281" s="35"/>
      <c r="T281" s="35"/>
      <c r="U281" s="35"/>
      <c r="V281" s="121"/>
      <c r="W281" s="42"/>
      <c r="X281" s="42"/>
      <c r="Y281" s="42"/>
      <c r="Z281" s="42"/>
      <c r="AA281" s="42"/>
      <c r="AB281" s="42"/>
      <c r="AC281" s="42"/>
      <c r="AD281" s="42"/>
      <c r="AE281" s="42"/>
      <c r="AF281" s="42"/>
      <c r="AG281" s="42"/>
      <c r="AH281" s="42"/>
      <c r="AI281" s="42"/>
      <c r="AJ281" s="42"/>
      <c r="AK281" s="42"/>
      <c r="AL281" s="42"/>
      <c r="AM281" s="42"/>
    </row>
    <row r="282" spans="1:39" x14ac:dyDescent="0.25">
      <c r="A282" s="38" t="s">
        <v>633</v>
      </c>
      <c r="B282" s="42"/>
      <c r="C282" s="42"/>
      <c r="D282" s="42"/>
      <c r="E282" s="41"/>
      <c r="F282" s="41"/>
      <c r="G282" s="41"/>
      <c r="H282" s="41"/>
      <c r="I282" s="41"/>
      <c r="J282" s="42"/>
      <c r="K282" s="41"/>
      <c r="L282" s="41"/>
      <c r="M282" s="127"/>
      <c r="N282" s="41"/>
      <c r="O282" s="41"/>
      <c r="P282" s="41"/>
      <c r="Q282" s="42"/>
      <c r="R282" s="35"/>
      <c r="S282" s="35"/>
      <c r="T282" s="35"/>
      <c r="U282" s="35"/>
      <c r="V282" s="121"/>
      <c r="W282" s="42"/>
      <c r="X282" s="42"/>
      <c r="Y282" s="42"/>
      <c r="Z282" s="42"/>
      <c r="AA282" s="42"/>
      <c r="AB282" s="42"/>
      <c r="AC282" s="42"/>
      <c r="AD282" s="42"/>
      <c r="AE282" s="42"/>
      <c r="AF282" s="42"/>
      <c r="AG282" s="42"/>
      <c r="AH282" s="42"/>
      <c r="AI282" s="42"/>
      <c r="AJ282" s="42"/>
      <c r="AK282" s="42"/>
      <c r="AL282" s="42"/>
      <c r="AM282" s="42"/>
    </row>
    <row r="283" spans="1:39" x14ac:dyDescent="0.25">
      <c r="A283" s="38" t="s">
        <v>634</v>
      </c>
      <c r="B283" s="42"/>
      <c r="C283" s="42"/>
      <c r="D283" s="42"/>
      <c r="E283" s="41"/>
      <c r="F283" s="41"/>
      <c r="G283" s="41"/>
      <c r="H283" s="41"/>
      <c r="I283" s="41"/>
      <c r="J283" s="42"/>
      <c r="K283" s="41"/>
      <c r="L283" s="41"/>
      <c r="M283" s="127"/>
      <c r="N283" s="41"/>
      <c r="O283" s="41"/>
      <c r="P283" s="41"/>
      <c r="Q283" s="42"/>
      <c r="R283" s="35"/>
      <c r="S283" s="35"/>
      <c r="T283" s="35"/>
      <c r="U283" s="35"/>
      <c r="V283" s="121"/>
      <c r="W283" s="42"/>
      <c r="X283" s="42"/>
      <c r="Y283" s="42"/>
      <c r="Z283" s="42"/>
      <c r="AA283" s="42"/>
      <c r="AB283" s="42"/>
      <c r="AC283" s="42"/>
      <c r="AD283" s="42"/>
      <c r="AE283" s="42"/>
      <c r="AF283" s="42"/>
      <c r="AG283" s="42"/>
      <c r="AH283" s="42"/>
      <c r="AI283" s="42"/>
      <c r="AJ283" s="42"/>
      <c r="AK283" s="42"/>
      <c r="AL283" s="42"/>
      <c r="AM283" s="42"/>
    </row>
    <row r="284" spans="1:39" x14ac:dyDescent="0.25">
      <c r="A284" s="38" t="s">
        <v>635</v>
      </c>
      <c r="B284" s="42"/>
      <c r="C284" s="42"/>
      <c r="D284" s="42"/>
      <c r="E284" s="41"/>
      <c r="F284" s="41"/>
      <c r="G284" s="41"/>
      <c r="H284" s="41"/>
      <c r="I284" s="41"/>
      <c r="J284" s="42"/>
      <c r="K284" s="41"/>
      <c r="L284" s="41"/>
      <c r="M284" s="127"/>
      <c r="N284" s="41"/>
      <c r="O284" s="41"/>
      <c r="P284" s="41"/>
      <c r="Q284" s="42"/>
      <c r="R284" s="35"/>
      <c r="S284" s="35"/>
      <c r="T284" s="35"/>
      <c r="U284" s="35"/>
      <c r="V284" s="121"/>
      <c r="W284" s="42"/>
      <c r="X284" s="42"/>
      <c r="Y284" s="42"/>
      <c r="Z284" s="42"/>
      <c r="AA284" s="42"/>
      <c r="AB284" s="42"/>
      <c r="AC284" s="42"/>
      <c r="AD284" s="42"/>
      <c r="AE284" s="42"/>
      <c r="AF284" s="42"/>
      <c r="AG284" s="42"/>
      <c r="AH284" s="42"/>
      <c r="AI284" s="42"/>
      <c r="AJ284" s="42"/>
      <c r="AK284" s="42"/>
      <c r="AL284" s="42"/>
      <c r="AM284" s="42"/>
    </row>
    <row r="285" spans="1:39" x14ac:dyDescent="0.25">
      <c r="A285" s="38" t="s">
        <v>636</v>
      </c>
      <c r="B285" s="42"/>
      <c r="C285" s="42"/>
      <c r="D285" s="42"/>
      <c r="E285" s="41"/>
      <c r="F285" s="41"/>
      <c r="G285" s="41"/>
      <c r="H285" s="41"/>
      <c r="I285" s="41"/>
      <c r="J285" s="42"/>
      <c r="K285" s="41"/>
      <c r="L285" s="41"/>
      <c r="M285" s="127"/>
      <c r="N285" s="41"/>
      <c r="O285" s="41"/>
      <c r="P285" s="41"/>
      <c r="Q285" s="42"/>
      <c r="R285" s="35"/>
      <c r="S285" s="35"/>
      <c r="T285" s="35"/>
      <c r="U285" s="35"/>
      <c r="V285" s="121"/>
      <c r="W285" s="42"/>
      <c r="X285" s="42"/>
      <c r="Y285" s="42"/>
      <c r="Z285" s="42"/>
      <c r="AA285" s="42"/>
      <c r="AB285" s="42"/>
      <c r="AC285" s="42"/>
      <c r="AD285" s="42"/>
      <c r="AE285" s="42"/>
      <c r="AF285" s="42"/>
      <c r="AG285" s="42"/>
      <c r="AH285" s="42"/>
      <c r="AI285" s="42"/>
      <c r="AJ285" s="42"/>
      <c r="AK285" s="42"/>
      <c r="AL285" s="42"/>
      <c r="AM285" s="42"/>
    </row>
    <row r="286" spans="1:39" x14ac:dyDescent="0.25">
      <c r="A286" s="38" t="s">
        <v>637</v>
      </c>
      <c r="B286" s="42"/>
      <c r="C286" s="42"/>
      <c r="D286" s="42"/>
      <c r="E286" s="41"/>
      <c r="F286" s="41"/>
      <c r="G286" s="41"/>
      <c r="H286" s="41"/>
      <c r="I286" s="41"/>
      <c r="J286" s="42"/>
      <c r="K286" s="41"/>
      <c r="L286" s="41"/>
      <c r="M286" s="127"/>
      <c r="N286" s="41"/>
      <c r="O286" s="41"/>
      <c r="P286" s="41"/>
      <c r="Q286" s="42"/>
      <c r="R286" s="35"/>
      <c r="S286" s="35"/>
      <c r="T286" s="35"/>
      <c r="U286" s="35"/>
      <c r="V286" s="121"/>
      <c r="W286" s="42"/>
      <c r="X286" s="42"/>
      <c r="Y286" s="42"/>
      <c r="Z286" s="42"/>
      <c r="AA286" s="42"/>
      <c r="AB286" s="42"/>
      <c r="AC286" s="42"/>
      <c r="AD286" s="42"/>
      <c r="AE286" s="42"/>
      <c r="AF286" s="42"/>
      <c r="AG286" s="42"/>
      <c r="AH286" s="42"/>
      <c r="AI286" s="42"/>
      <c r="AJ286" s="42"/>
      <c r="AK286" s="42"/>
      <c r="AL286" s="42"/>
      <c r="AM286" s="42"/>
    </row>
    <row r="287" spans="1:39" x14ac:dyDescent="0.25">
      <c r="A287" s="38" t="s">
        <v>638</v>
      </c>
      <c r="B287" s="42"/>
      <c r="C287" s="42"/>
      <c r="D287" s="42"/>
      <c r="E287" s="41"/>
      <c r="F287" s="41"/>
      <c r="G287" s="41"/>
      <c r="H287" s="41"/>
      <c r="I287" s="41"/>
      <c r="J287" s="42"/>
      <c r="K287" s="41"/>
      <c r="L287" s="41"/>
      <c r="M287" s="127"/>
      <c r="N287" s="41"/>
      <c r="O287" s="41"/>
      <c r="P287" s="41"/>
      <c r="Q287" s="42"/>
      <c r="R287" s="35"/>
      <c r="S287" s="35"/>
      <c r="T287" s="35"/>
      <c r="U287" s="35"/>
      <c r="V287" s="121"/>
      <c r="W287" s="42"/>
      <c r="X287" s="42"/>
      <c r="Y287" s="42"/>
      <c r="Z287" s="42"/>
      <c r="AA287" s="42"/>
      <c r="AB287" s="42"/>
      <c r="AC287" s="42"/>
      <c r="AD287" s="42"/>
      <c r="AE287" s="42"/>
      <c r="AF287" s="42"/>
      <c r="AG287" s="42"/>
      <c r="AH287" s="42"/>
      <c r="AI287" s="42"/>
      <c r="AJ287" s="42"/>
      <c r="AK287" s="42"/>
      <c r="AL287" s="42"/>
      <c r="AM287" s="42"/>
    </row>
    <row r="288" spans="1:39" x14ac:dyDescent="0.25">
      <c r="A288" s="38" t="s">
        <v>639</v>
      </c>
      <c r="B288" s="42"/>
      <c r="C288" s="42"/>
      <c r="D288" s="42"/>
      <c r="E288" s="41"/>
      <c r="F288" s="41"/>
      <c r="G288" s="41"/>
      <c r="H288" s="41"/>
      <c r="I288" s="41"/>
      <c r="J288" s="42"/>
      <c r="K288" s="41"/>
      <c r="L288" s="41"/>
      <c r="M288" s="127"/>
      <c r="N288" s="41"/>
      <c r="O288" s="41"/>
      <c r="P288" s="41"/>
      <c r="Q288" s="42"/>
      <c r="R288" s="35"/>
      <c r="S288" s="35"/>
      <c r="T288" s="35"/>
      <c r="U288" s="35"/>
      <c r="V288" s="121"/>
      <c r="W288" s="42"/>
      <c r="X288" s="42"/>
      <c r="Y288" s="42"/>
      <c r="Z288" s="42"/>
      <c r="AA288" s="42"/>
      <c r="AB288" s="42"/>
      <c r="AC288" s="42"/>
      <c r="AD288" s="42"/>
      <c r="AE288" s="42"/>
      <c r="AF288" s="42"/>
      <c r="AG288" s="42"/>
      <c r="AH288" s="42"/>
      <c r="AI288" s="42"/>
      <c r="AJ288" s="42"/>
      <c r="AK288" s="42"/>
      <c r="AL288" s="42"/>
      <c r="AM288" s="42"/>
    </row>
    <row r="289" spans="1:39" x14ac:dyDescent="0.25">
      <c r="A289" s="38" t="s">
        <v>640</v>
      </c>
      <c r="B289" s="42"/>
      <c r="C289" s="42"/>
      <c r="D289" s="42"/>
      <c r="E289" s="41"/>
      <c r="F289" s="41"/>
      <c r="G289" s="41"/>
      <c r="H289" s="41"/>
      <c r="I289" s="41"/>
      <c r="J289" s="42"/>
      <c r="K289" s="41"/>
      <c r="L289" s="41"/>
      <c r="M289" s="127"/>
      <c r="N289" s="41"/>
      <c r="O289" s="41"/>
      <c r="P289" s="41"/>
      <c r="Q289" s="42"/>
      <c r="R289" s="35"/>
      <c r="S289" s="35"/>
      <c r="T289" s="35"/>
      <c r="U289" s="35"/>
      <c r="V289" s="121"/>
      <c r="W289" s="42"/>
      <c r="X289" s="42"/>
      <c r="Y289" s="42"/>
      <c r="Z289" s="42"/>
      <c r="AA289" s="42"/>
      <c r="AB289" s="42"/>
      <c r="AC289" s="42"/>
      <c r="AD289" s="42"/>
      <c r="AE289" s="42"/>
      <c r="AF289" s="42"/>
      <c r="AG289" s="42"/>
      <c r="AH289" s="42"/>
      <c r="AI289" s="42"/>
      <c r="AJ289" s="42"/>
      <c r="AK289" s="42"/>
      <c r="AL289" s="42"/>
      <c r="AM289" s="42"/>
    </row>
    <row r="290" spans="1:39" x14ac:dyDescent="0.25">
      <c r="A290" s="38" t="s">
        <v>641</v>
      </c>
      <c r="B290" s="42"/>
      <c r="C290" s="42"/>
      <c r="D290" s="42"/>
      <c r="E290" s="41"/>
      <c r="F290" s="41"/>
      <c r="G290" s="41"/>
      <c r="H290" s="41"/>
      <c r="I290" s="41"/>
      <c r="J290" s="42"/>
      <c r="K290" s="41"/>
      <c r="L290" s="41"/>
      <c r="M290" s="127"/>
      <c r="N290" s="41"/>
      <c r="O290" s="41"/>
      <c r="P290" s="41"/>
      <c r="Q290" s="42"/>
      <c r="R290" s="35"/>
      <c r="S290" s="35"/>
      <c r="T290" s="35"/>
      <c r="U290" s="35"/>
      <c r="V290" s="121"/>
      <c r="W290" s="42"/>
      <c r="X290" s="42"/>
      <c r="Y290" s="42"/>
      <c r="Z290" s="42"/>
      <c r="AA290" s="42"/>
      <c r="AB290" s="42"/>
      <c r="AC290" s="42"/>
      <c r="AD290" s="42"/>
      <c r="AE290" s="42"/>
      <c r="AF290" s="42"/>
      <c r="AG290" s="42"/>
      <c r="AH290" s="42"/>
      <c r="AI290" s="42"/>
      <c r="AJ290" s="42"/>
      <c r="AK290" s="42"/>
      <c r="AL290" s="42"/>
      <c r="AM290" s="42"/>
    </row>
    <row r="291" spans="1:39" x14ac:dyDescent="0.25">
      <c r="A291" s="38" t="s">
        <v>642</v>
      </c>
      <c r="B291" s="42"/>
      <c r="C291" s="42"/>
      <c r="D291" s="42"/>
      <c r="E291" s="41"/>
      <c r="F291" s="41"/>
      <c r="G291" s="41"/>
      <c r="H291" s="41"/>
      <c r="I291" s="41"/>
      <c r="J291" s="42"/>
      <c r="K291" s="41"/>
      <c r="L291" s="41"/>
      <c r="M291" s="127"/>
      <c r="N291" s="41"/>
      <c r="O291" s="41"/>
      <c r="P291" s="41"/>
      <c r="Q291" s="42"/>
      <c r="R291" s="35"/>
      <c r="S291" s="35"/>
      <c r="T291" s="35"/>
      <c r="U291" s="35"/>
      <c r="V291" s="121"/>
      <c r="W291" s="42"/>
      <c r="X291" s="42"/>
      <c r="Y291" s="42"/>
      <c r="Z291" s="42"/>
      <c r="AA291" s="42"/>
      <c r="AB291" s="42"/>
      <c r="AC291" s="42"/>
      <c r="AD291" s="42"/>
      <c r="AE291" s="42"/>
      <c r="AF291" s="42"/>
      <c r="AG291" s="42"/>
      <c r="AH291" s="42"/>
      <c r="AI291" s="42"/>
      <c r="AJ291" s="42"/>
      <c r="AK291" s="42"/>
      <c r="AL291" s="42"/>
      <c r="AM291" s="42"/>
    </row>
    <row r="292" spans="1:39" x14ac:dyDescent="0.25">
      <c r="A292" s="38" t="s">
        <v>643</v>
      </c>
      <c r="B292" s="42"/>
      <c r="C292" s="42"/>
      <c r="D292" s="42"/>
      <c r="E292" s="41"/>
      <c r="F292" s="41"/>
      <c r="G292" s="41"/>
      <c r="H292" s="41"/>
      <c r="I292" s="41"/>
      <c r="J292" s="42"/>
      <c r="K292" s="41"/>
      <c r="L292" s="41"/>
      <c r="M292" s="127"/>
      <c r="N292" s="41"/>
      <c r="O292" s="41"/>
      <c r="P292" s="41"/>
      <c r="Q292" s="42"/>
      <c r="R292" s="35"/>
      <c r="S292" s="35"/>
      <c r="T292" s="35"/>
      <c r="U292" s="35"/>
      <c r="V292" s="121"/>
      <c r="W292" s="42"/>
      <c r="X292" s="42"/>
      <c r="Y292" s="42"/>
      <c r="Z292" s="42"/>
      <c r="AA292" s="42"/>
      <c r="AB292" s="42"/>
      <c r="AC292" s="42"/>
      <c r="AD292" s="42"/>
      <c r="AE292" s="42"/>
      <c r="AF292" s="42"/>
      <c r="AG292" s="42"/>
      <c r="AH292" s="42"/>
      <c r="AI292" s="42"/>
      <c r="AJ292" s="42"/>
      <c r="AK292" s="42"/>
      <c r="AL292" s="42"/>
      <c r="AM292" s="42"/>
    </row>
    <row r="293" spans="1:39" x14ac:dyDescent="0.25">
      <c r="A293" s="38" t="s">
        <v>644</v>
      </c>
      <c r="B293" s="42"/>
      <c r="C293" s="42"/>
      <c r="D293" s="42"/>
      <c r="E293" s="41"/>
      <c r="F293" s="41"/>
      <c r="G293" s="41"/>
      <c r="H293" s="41"/>
      <c r="I293" s="41"/>
      <c r="J293" s="42"/>
      <c r="K293" s="41"/>
      <c r="L293" s="41"/>
      <c r="M293" s="127"/>
      <c r="N293" s="41"/>
      <c r="O293" s="41"/>
      <c r="P293" s="41"/>
      <c r="Q293" s="42"/>
      <c r="R293" s="35"/>
      <c r="S293" s="35"/>
      <c r="T293" s="35"/>
      <c r="U293" s="35"/>
      <c r="V293" s="121"/>
      <c r="W293" s="42"/>
      <c r="X293" s="42"/>
      <c r="Y293" s="42"/>
      <c r="Z293" s="42"/>
      <c r="AA293" s="42"/>
      <c r="AB293" s="42"/>
      <c r="AC293" s="42"/>
      <c r="AD293" s="42"/>
      <c r="AE293" s="42"/>
      <c r="AF293" s="42"/>
      <c r="AG293" s="42"/>
      <c r="AH293" s="42"/>
      <c r="AI293" s="42"/>
      <c r="AJ293" s="42"/>
      <c r="AK293" s="42"/>
      <c r="AL293" s="42"/>
      <c r="AM293" s="42"/>
    </row>
    <row r="294" spans="1:39" x14ac:dyDescent="0.25">
      <c r="A294" s="38" t="s">
        <v>645</v>
      </c>
      <c r="B294" s="42"/>
      <c r="C294" s="42"/>
      <c r="D294" s="42"/>
      <c r="E294" s="41"/>
      <c r="F294" s="41"/>
      <c r="G294" s="41"/>
      <c r="H294" s="41"/>
      <c r="I294" s="41"/>
      <c r="J294" s="42"/>
      <c r="K294" s="41"/>
      <c r="L294" s="41"/>
      <c r="M294" s="127"/>
      <c r="N294" s="41"/>
      <c r="O294" s="41"/>
      <c r="P294" s="41"/>
      <c r="Q294" s="42"/>
      <c r="R294" s="35"/>
      <c r="S294" s="35"/>
      <c r="T294" s="35"/>
      <c r="U294" s="35"/>
      <c r="V294" s="121"/>
      <c r="W294" s="42"/>
      <c r="X294" s="42"/>
      <c r="Y294" s="42"/>
      <c r="Z294" s="42"/>
      <c r="AA294" s="42"/>
      <c r="AB294" s="42"/>
      <c r="AC294" s="42"/>
      <c r="AD294" s="42"/>
      <c r="AE294" s="42"/>
      <c r="AF294" s="42"/>
      <c r="AG294" s="42"/>
      <c r="AH294" s="42"/>
      <c r="AI294" s="42"/>
      <c r="AJ294" s="42"/>
      <c r="AK294" s="42"/>
      <c r="AL294" s="42"/>
      <c r="AM294" s="42"/>
    </row>
    <row r="295" spans="1:39" x14ac:dyDescent="0.25">
      <c r="A295" s="38" t="s">
        <v>646</v>
      </c>
      <c r="B295" s="42"/>
      <c r="C295" s="42"/>
      <c r="D295" s="42"/>
      <c r="E295" s="41"/>
      <c r="F295" s="41"/>
      <c r="G295" s="41"/>
      <c r="H295" s="41"/>
      <c r="I295" s="41"/>
      <c r="J295" s="42"/>
      <c r="K295" s="41"/>
      <c r="L295" s="41"/>
      <c r="M295" s="127"/>
      <c r="N295" s="41"/>
      <c r="O295" s="41"/>
      <c r="P295" s="41"/>
      <c r="Q295" s="42"/>
      <c r="R295" s="35"/>
      <c r="S295" s="35"/>
      <c r="T295" s="35"/>
      <c r="U295" s="35"/>
      <c r="V295" s="121"/>
      <c r="W295" s="42"/>
      <c r="X295" s="42"/>
      <c r="Y295" s="42"/>
      <c r="Z295" s="42"/>
      <c r="AA295" s="42"/>
      <c r="AB295" s="42"/>
      <c r="AC295" s="42"/>
      <c r="AD295" s="42"/>
      <c r="AE295" s="42"/>
      <c r="AF295" s="42"/>
      <c r="AG295" s="42"/>
      <c r="AH295" s="42"/>
      <c r="AI295" s="42"/>
      <c r="AJ295" s="42"/>
      <c r="AK295" s="42"/>
      <c r="AL295" s="42"/>
      <c r="AM295" s="42"/>
    </row>
    <row r="296" spans="1:39" x14ac:dyDescent="0.25">
      <c r="A296" s="38" t="s">
        <v>647</v>
      </c>
      <c r="B296" s="42"/>
      <c r="C296" s="42"/>
      <c r="D296" s="42"/>
      <c r="E296" s="41"/>
      <c r="F296" s="41"/>
      <c r="G296" s="41"/>
      <c r="H296" s="41"/>
      <c r="I296" s="41"/>
      <c r="J296" s="42"/>
      <c r="K296" s="41"/>
      <c r="L296" s="41"/>
      <c r="M296" s="127"/>
      <c r="N296" s="41"/>
      <c r="O296" s="41"/>
      <c r="P296" s="41"/>
      <c r="Q296" s="42"/>
      <c r="R296" s="35"/>
      <c r="S296" s="35"/>
      <c r="T296" s="35"/>
      <c r="U296" s="35"/>
      <c r="V296" s="121"/>
      <c r="W296" s="42"/>
      <c r="X296" s="42"/>
      <c r="Y296" s="42"/>
      <c r="Z296" s="42"/>
      <c r="AA296" s="42"/>
      <c r="AB296" s="42"/>
      <c r="AC296" s="42"/>
      <c r="AD296" s="42"/>
      <c r="AE296" s="42"/>
      <c r="AF296" s="42"/>
      <c r="AG296" s="42"/>
      <c r="AH296" s="42"/>
      <c r="AI296" s="42"/>
      <c r="AJ296" s="42"/>
      <c r="AK296" s="42"/>
      <c r="AL296" s="42"/>
      <c r="AM296" s="42"/>
    </row>
    <row r="297" spans="1:39" x14ac:dyDescent="0.25">
      <c r="A297" s="38" t="s">
        <v>648</v>
      </c>
      <c r="B297" s="42"/>
      <c r="C297" s="42"/>
      <c r="D297" s="42"/>
      <c r="E297" s="41"/>
      <c r="F297" s="41"/>
      <c r="G297" s="41"/>
      <c r="H297" s="41"/>
      <c r="I297" s="41"/>
      <c r="J297" s="42"/>
      <c r="K297" s="41"/>
      <c r="L297" s="41"/>
      <c r="M297" s="127"/>
      <c r="N297" s="41"/>
      <c r="O297" s="41"/>
      <c r="P297" s="41"/>
      <c r="Q297" s="42"/>
      <c r="R297" s="35"/>
      <c r="S297" s="35"/>
      <c r="T297" s="35"/>
      <c r="U297" s="35"/>
      <c r="V297" s="121"/>
      <c r="W297" s="42"/>
      <c r="X297" s="42"/>
      <c r="Y297" s="42"/>
      <c r="Z297" s="42"/>
      <c r="AA297" s="42"/>
      <c r="AB297" s="42"/>
      <c r="AC297" s="42"/>
      <c r="AD297" s="42"/>
      <c r="AE297" s="42"/>
      <c r="AF297" s="42"/>
      <c r="AG297" s="42"/>
      <c r="AH297" s="42"/>
      <c r="AI297" s="42"/>
      <c r="AJ297" s="42"/>
      <c r="AK297" s="42"/>
      <c r="AL297" s="42"/>
      <c r="AM297" s="42"/>
    </row>
    <row r="298" spans="1:39" x14ac:dyDescent="0.25">
      <c r="A298" s="38" t="s">
        <v>649</v>
      </c>
      <c r="B298" s="42"/>
      <c r="C298" s="42"/>
      <c r="D298" s="42"/>
      <c r="E298" s="41"/>
      <c r="F298" s="41"/>
      <c r="G298" s="41"/>
      <c r="H298" s="41"/>
      <c r="I298" s="41"/>
      <c r="J298" s="42"/>
      <c r="K298" s="41"/>
      <c r="L298" s="41"/>
      <c r="M298" s="127"/>
      <c r="N298" s="41"/>
      <c r="O298" s="41"/>
      <c r="P298" s="41"/>
      <c r="Q298" s="42"/>
      <c r="R298" s="35"/>
      <c r="S298" s="35"/>
      <c r="T298" s="35"/>
      <c r="U298" s="35"/>
      <c r="V298" s="121"/>
      <c r="W298" s="42"/>
      <c r="X298" s="42"/>
      <c r="Y298" s="42"/>
      <c r="Z298" s="42"/>
      <c r="AA298" s="42"/>
      <c r="AB298" s="42"/>
      <c r="AC298" s="42"/>
      <c r="AD298" s="42"/>
      <c r="AE298" s="42"/>
      <c r="AF298" s="42"/>
      <c r="AG298" s="42"/>
      <c r="AH298" s="42"/>
      <c r="AI298" s="42"/>
      <c r="AJ298" s="42"/>
      <c r="AK298" s="42"/>
      <c r="AL298" s="42"/>
      <c r="AM298" s="42"/>
    </row>
    <row r="299" spans="1:39" x14ac:dyDescent="0.25">
      <c r="A299" s="38" t="s">
        <v>650</v>
      </c>
      <c r="B299" s="42"/>
      <c r="C299" s="42"/>
      <c r="D299" s="42"/>
      <c r="E299" s="41"/>
      <c r="F299" s="41"/>
      <c r="G299" s="41"/>
      <c r="H299" s="41"/>
      <c r="I299" s="41"/>
      <c r="J299" s="42"/>
      <c r="K299" s="41"/>
      <c r="L299" s="41"/>
      <c r="M299" s="127"/>
      <c r="N299" s="41"/>
      <c r="O299" s="41"/>
      <c r="P299" s="41"/>
      <c r="Q299" s="42"/>
      <c r="R299" s="35"/>
      <c r="S299" s="35"/>
      <c r="T299" s="35"/>
      <c r="U299" s="35"/>
      <c r="V299" s="121"/>
      <c r="W299" s="42"/>
      <c r="X299" s="42"/>
      <c r="Y299" s="42"/>
      <c r="Z299" s="42"/>
      <c r="AA299" s="42"/>
      <c r="AB299" s="42"/>
      <c r="AC299" s="42"/>
      <c r="AD299" s="42"/>
      <c r="AE299" s="42"/>
      <c r="AF299" s="42"/>
      <c r="AG299" s="42"/>
      <c r="AH299" s="42"/>
      <c r="AI299" s="42"/>
      <c r="AJ299" s="42"/>
      <c r="AK299" s="42"/>
      <c r="AL299" s="42"/>
      <c r="AM299" s="42"/>
    </row>
    <row r="300" spans="1:39" x14ac:dyDescent="0.25">
      <c r="A300" s="38" t="s">
        <v>651</v>
      </c>
      <c r="B300" s="42"/>
      <c r="C300" s="42"/>
      <c r="D300" s="42"/>
      <c r="E300" s="41"/>
      <c r="F300" s="41"/>
      <c r="G300" s="41"/>
      <c r="H300" s="41"/>
      <c r="I300" s="41"/>
      <c r="J300" s="42"/>
      <c r="K300" s="41"/>
      <c r="L300" s="41"/>
      <c r="M300" s="127"/>
      <c r="N300" s="41"/>
      <c r="O300" s="41"/>
      <c r="P300" s="41"/>
      <c r="Q300" s="42"/>
      <c r="R300" s="35"/>
      <c r="S300" s="35"/>
      <c r="T300" s="35"/>
      <c r="U300" s="35"/>
      <c r="V300" s="121"/>
      <c r="W300" s="42"/>
      <c r="X300" s="42"/>
      <c r="Y300" s="42"/>
      <c r="Z300" s="42"/>
      <c r="AA300" s="42"/>
      <c r="AB300" s="42"/>
      <c r="AC300" s="42"/>
      <c r="AD300" s="42"/>
      <c r="AE300" s="42"/>
      <c r="AF300" s="42"/>
      <c r="AG300" s="42"/>
      <c r="AH300" s="42"/>
      <c r="AI300" s="42"/>
      <c r="AJ300" s="42"/>
      <c r="AK300" s="42"/>
      <c r="AL300" s="42"/>
      <c r="AM300" s="42"/>
    </row>
    <row r="301" spans="1:39" x14ac:dyDescent="0.25">
      <c r="A301" s="38" t="s">
        <v>652</v>
      </c>
      <c r="B301" s="42"/>
      <c r="C301" s="42"/>
      <c r="D301" s="42"/>
      <c r="E301" s="41"/>
      <c r="F301" s="41"/>
      <c r="G301" s="41"/>
      <c r="H301" s="41"/>
      <c r="I301" s="41"/>
      <c r="J301" s="42"/>
      <c r="K301" s="41"/>
      <c r="L301" s="41"/>
      <c r="M301" s="127"/>
      <c r="N301" s="41"/>
      <c r="O301" s="41"/>
      <c r="P301" s="41"/>
      <c r="Q301" s="42"/>
      <c r="R301" s="35"/>
      <c r="S301" s="35"/>
      <c r="T301" s="35"/>
      <c r="U301" s="35"/>
      <c r="V301" s="121"/>
      <c r="W301" s="42"/>
      <c r="X301" s="42"/>
      <c r="Y301" s="42"/>
      <c r="Z301" s="42"/>
      <c r="AA301" s="42"/>
      <c r="AB301" s="42"/>
      <c r="AC301" s="42"/>
      <c r="AD301" s="42"/>
      <c r="AE301" s="42"/>
      <c r="AF301" s="42"/>
      <c r="AG301" s="42"/>
      <c r="AH301" s="42"/>
      <c r="AI301" s="42"/>
      <c r="AJ301" s="42"/>
      <c r="AK301" s="42"/>
      <c r="AL301" s="42"/>
      <c r="AM301" s="42"/>
    </row>
    <row r="302" spans="1:39" x14ac:dyDescent="0.25">
      <c r="A302" s="38" t="s">
        <v>653</v>
      </c>
      <c r="B302" s="42"/>
      <c r="C302" s="42"/>
      <c r="D302" s="42"/>
      <c r="E302" s="41"/>
      <c r="F302" s="41"/>
      <c r="G302" s="41"/>
      <c r="H302" s="41"/>
      <c r="I302" s="41"/>
      <c r="J302" s="42"/>
      <c r="K302" s="41"/>
      <c r="L302" s="41"/>
      <c r="M302" s="127"/>
      <c r="N302" s="41"/>
      <c r="O302" s="41"/>
      <c r="P302" s="41"/>
      <c r="Q302" s="42"/>
      <c r="R302" s="35"/>
      <c r="S302" s="35"/>
      <c r="T302" s="35"/>
      <c r="U302" s="35"/>
      <c r="V302" s="121"/>
      <c r="W302" s="42"/>
      <c r="X302" s="42"/>
      <c r="Y302" s="42"/>
      <c r="Z302" s="42"/>
      <c r="AA302" s="42"/>
      <c r="AB302" s="42"/>
      <c r="AC302" s="42"/>
      <c r="AD302" s="42"/>
      <c r="AE302" s="42"/>
      <c r="AF302" s="42"/>
      <c r="AG302" s="42"/>
      <c r="AH302" s="42"/>
      <c r="AI302" s="42"/>
      <c r="AJ302" s="42"/>
      <c r="AK302" s="42"/>
      <c r="AL302" s="42"/>
      <c r="AM302" s="42"/>
    </row>
    <row r="303" spans="1:39" x14ac:dyDescent="0.25">
      <c r="A303" s="38" t="s">
        <v>654</v>
      </c>
      <c r="B303" s="42"/>
      <c r="C303" s="42"/>
      <c r="D303" s="42"/>
      <c r="E303" s="41"/>
      <c r="F303" s="41"/>
      <c r="G303" s="41"/>
      <c r="H303" s="41"/>
      <c r="I303" s="41"/>
      <c r="J303" s="42"/>
      <c r="K303" s="41"/>
      <c r="L303" s="41"/>
      <c r="M303" s="127"/>
      <c r="N303" s="41"/>
      <c r="O303" s="41"/>
      <c r="P303" s="41"/>
      <c r="Q303" s="42"/>
      <c r="R303" s="35"/>
      <c r="S303" s="35"/>
      <c r="T303" s="35"/>
      <c r="U303" s="35"/>
      <c r="V303" s="121"/>
      <c r="W303" s="42"/>
      <c r="X303" s="42"/>
      <c r="Y303" s="42"/>
      <c r="Z303" s="42"/>
      <c r="AA303" s="42"/>
      <c r="AB303" s="42"/>
      <c r="AC303" s="42"/>
      <c r="AD303" s="42"/>
      <c r="AE303" s="42"/>
      <c r="AF303" s="42"/>
      <c r="AG303" s="42"/>
      <c r="AH303" s="42"/>
      <c r="AI303" s="42"/>
      <c r="AJ303" s="42"/>
      <c r="AK303" s="42"/>
      <c r="AL303" s="42"/>
      <c r="AM303" s="42"/>
    </row>
    <row r="304" spans="1:39" x14ac:dyDescent="0.25">
      <c r="A304" s="38" t="s">
        <v>655</v>
      </c>
      <c r="B304" s="42"/>
      <c r="C304" s="42"/>
      <c r="D304" s="42"/>
      <c r="E304" s="41"/>
      <c r="F304" s="41"/>
      <c r="G304" s="41"/>
      <c r="H304" s="41"/>
      <c r="I304" s="41"/>
      <c r="J304" s="42"/>
      <c r="K304" s="41"/>
      <c r="L304" s="41"/>
      <c r="M304" s="127"/>
      <c r="N304" s="41"/>
      <c r="O304" s="41"/>
      <c r="P304" s="41"/>
      <c r="Q304" s="42"/>
      <c r="R304" s="35"/>
      <c r="S304" s="35"/>
      <c r="T304" s="35"/>
      <c r="U304" s="35"/>
      <c r="V304" s="121"/>
      <c r="W304" s="42"/>
      <c r="X304" s="42"/>
      <c r="Y304" s="42"/>
      <c r="Z304" s="42"/>
      <c r="AA304" s="42"/>
      <c r="AB304" s="42"/>
      <c r="AC304" s="42"/>
      <c r="AD304" s="42"/>
      <c r="AE304" s="42"/>
      <c r="AF304" s="42"/>
      <c r="AG304" s="42"/>
      <c r="AH304" s="42"/>
      <c r="AI304" s="42"/>
      <c r="AJ304" s="42"/>
      <c r="AK304" s="42"/>
      <c r="AL304" s="42"/>
      <c r="AM304" s="42"/>
    </row>
    <row r="305" spans="1:39" x14ac:dyDescent="0.25">
      <c r="A305" s="38" t="s">
        <v>656</v>
      </c>
      <c r="B305" s="42"/>
      <c r="C305" s="42"/>
      <c r="D305" s="42"/>
      <c r="E305" s="41"/>
      <c r="F305" s="41"/>
      <c r="G305" s="41"/>
      <c r="H305" s="41"/>
      <c r="I305" s="41"/>
      <c r="J305" s="42"/>
      <c r="K305" s="41"/>
      <c r="L305" s="41"/>
      <c r="M305" s="127"/>
      <c r="N305" s="41"/>
      <c r="O305" s="41"/>
      <c r="P305" s="41"/>
      <c r="Q305" s="42"/>
      <c r="R305" s="35"/>
      <c r="S305" s="35"/>
      <c r="T305" s="35"/>
      <c r="U305" s="35"/>
      <c r="V305" s="121"/>
      <c r="W305" s="42"/>
      <c r="X305" s="42"/>
      <c r="Y305" s="42"/>
      <c r="Z305" s="42"/>
      <c r="AA305" s="42"/>
      <c r="AB305" s="42"/>
      <c r="AC305" s="42"/>
      <c r="AD305" s="42"/>
      <c r="AE305" s="42"/>
      <c r="AF305" s="42"/>
      <c r="AG305" s="42"/>
      <c r="AH305" s="42"/>
      <c r="AI305" s="42"/>
      <c r="AJ305" s="42"/>
      <c r="AK305" s="42"/>
      <c r="AL305" s="42"/>
      <c r="AM305" s="42"/>
    </row>
    <row r="306" spans="1:39" x14ac:dyDescent="0.25">
      <c r="A306" s="38" t="s">
        <v>657</v>
      </c>
      <c r="B306" s="42"/>
      <c r="C306" s="42"/>
      <c r="D306" s="42"/>
      <c r="E306" s="41"/>
      <c r="F306" s="41"/>
      <c r="G306" s="41"/>
      <c r="H306" s="41"/>
      <c r="I306" s="41"/>
      <c r="J306" s="42"/>
      <c r="K306" s="41"/>
      <c r="L306" s="41"/>
      <c r="M306" s="127"/>
      <c r="N306" s="41"/>
      <c r="O306" s="41"/>
      <c r="P306" s="41"/>
      <c r="Q306" s="42"/>
      <c r="R306" s="35"/>
      <c r="S306" s="35"/>
      <c r="T306" s="35"/>
      <c r="U306" s="35"/>
      <c r="V306" s="121"/>
      <c r="W306" s="42"/>
      <c r="X306" s="42"/>
      <c r="Y306" s="42"/>
      <c r="Z306" s="42"/>
      <c r="AA306" s="42"/>
      <c r="AB306" s="42"/>
      <c r="AC306" s="42"/>
      <c r="AD306" s="42"/>
      <c r="AE306" s="42"/>
      <c r="AF306" s="42"/>
      <c r="AG306" s="42"/>
      <c r="AH306" s="42"/>
      <c r="AI306" s="42"/>
      <c r="AJ306" s="42"/>
      <c r="AK306" s="42"/>
      <c r="AL306" s="42"/>
      <c r="AM306" s="42"/>
    </row>
    <row r="307" spans="1:39" x14ac:dyDescent="0.25">
      <c r="A307" s="38" t="s">
        <v>658</v>
      </c>
      <c r="B307" s="42"/>
      <c r="C307" s="42"/>
      <c r="D307" s="42"/>
      <c r="E307" s="41"/>
      <c r="F307" s="41"/>
      <c r="G307" s="41"/>
      <c r="H307" s="41"/>
      <c r="I307" s="41"/>
      <c r="J307" s="42"/>
      <c r="K307" s="41"/>
      <c r="L307" s="41"/>
      <c r="M307" s="127"/>
      <c r="N307" s="41"/>
      <c r="O307" s="41"/>
      <c r="P307" s="41"/>
      <c r="Q307" s="42"/>
      <c r="R307" s="35"/>
      <c r="S307" s="35"/>
      <c r="T307" s="35"/>
      <c r="U307" s="35"/>
      <c r="V307" s="121"/>
      <c r="W307" s="42"/>
      <c r="X307" s="42"/>
      <c r="Y307" s="42"/>
      <c r="Z307" s="42"/>
      <c r="AA307" s="42"/>
      <c r="AB307" s="42"/>
      <c r="AC307" s="42"/>
      <c r="AD307" s="42"/>
      <c r="AE307" s="42"/>
      <c r="AF307" s="42"/>
      <c r="AG307" s="42"/>
      <c r="AH307" s="42"/>
      <c r="AI307" s="42"/>
      <c r="AJ307" s="42"/>
      <c r="AK307" s="42"/>
      <c r="AL307" s="42"/>
      <c r="AM307" s="42"/>
    </row>
    <row r="308" spans="1:39" x14ac:dyDescent="0.25">
      <c r="A308" s="38" t="s">
        <v>659</v>
      </c>
      <c r="B308" s="42"/>
      <c r="C308" s="42"/>
      <c r="D308" s="42"/>
      <c r="E308" s="41"/>
      <c r="F308" s="41"/>
      <c r="G308" s="41"/>
      <c r="H308" s="41"/>
      <c r="I308" s="41"/>
      <c r="J308" s="42"/>
      <c r="K308" s="41"/>
      <c r="L308" s="41"/>
      <c r="M308" s="127"/>
      <c r="N308" s="41"/>
      <c r="O308" s="41"/>
      <c r="P308" s="41"/>
      <c r="Q308" s="42"/>
      <c r="R308" s="35"/>
      <c r="S308" s="35"/>
      <c r="T308" s="35"/>
      <c r="U308" s="35"/>
      <c r="V308" s="121"/>
      <c r="W308" s="42"/>
      <c r="X308" s="42"/>
      <c r="Y308" s="42"/>
      <c r="Z308" s="42"/>
      <c r="AA308" s="42"/>
      <c r="AB308" s="42"/>
      <c r="AC308" s="42"/>
      <c r="AD308" s="42"/>
      <c r="AE308" s="42"/>
      <c r="AF308" s="42"/>
      <c r="AG308" s="42"/>
      <c r="AH308" s="42"/>
      <c r="AI308" s="42"/>
      <c r="AJ308" s="42"/>
      <c r="AK308" s="42"/>
      <c r="AL308" s="42"/>
      <c r="AM308" s="42"/>
    </row>
    <row r="309" spans="1:39" x14ac:dyDescent="0.25">
      <c r="A309" s="38" t="s">
        <v>660</v>
      </c>
      <c r="B309" s="42"/>
      <c r="C309" s="42"/>
      <c r="D309" s="42"/>
      <c r="E309" s="41"/>
      <c r="F309" s="41"/>
      <c r="G309" s="41"/>
      <c r="H309" s="41"/>
      <c r="I309" s="41"/>
      <c r="J309" s="42"/>
      <c r="K309" s="41"/>
      <c r="L309" s="41"/>
      <c r="M309" s="127"/>
      <c r="N309" s="41"/>
      <c r="O309" s="41"/>
      <c r="P309" s="41"/>
      <c r="Q309" s="42"/>
      <c r="R309" s="35"/>
      <c r="S309" s="35"/>
      <c r="T309" s="35"/>
      <c r="U309" s="35"/>
      <c r="V309" s="121"/>
      <c r="W309" s="42"/>
      <c r="X309" s="42"/>
      <c r="Y309" s="42"/>
      <c r="Z309" s="42"/>
      <c r="AA309" s="42"/>
      <c r="AB309" s="42"/>
      <c r="AC309" s="42"/>
      <c r="AD309" s="42"/>
      <c r="AE309" s="42"/>
      <c r="AF309" s="42"/>
      <c r="AG309" s="42"/>
      <c r="AH309" s="42"/>
      <c r="AI309" s="42"/>
      <c r="AJ309" s="42"/>
      <c r="AK309" s="42"/>
      <c r="AL309" s="42"/>
      <c r="AM309" s="42"/>
    </row>
    <row r="310" spans="1:39" x14ac:dyDescent="0.25">
      <c r="A310" s="38" t="s">
        <v>661</v>
      </c>
      <c r="B310" s="42"/>
      <c r="C310" s="42"/>
      <c r="D310" s="42"/>
      <c r="E310" s="41"/>
      <c r="F310" s="41"/>
      <c r="G310" s="41"/>
      <c r="H310" s="41"/>
      <c r="I310" s="41"/>
      <c r="J310" s="42"/>
      <c r="K310" s="41"/>
      <c r="L310" s="41"/>
      <c r="M310" s="127"/>
      <c r="N310" s="41"/>
      <c r="O310" s="41"/>
      <c r="P310" s="41"/>
      <c r="Q310" s="42"/>
      <c r="R310" s="35"/>
      <c r="S310" s="35"/>
      <c r="T310" s="35"/>
      <c r="U310" s="35"/>
      <c r="V310" s="121"/>
      <c r="W310" s="42"/>
      <c r="X310" s="42"/>
      <c r="Y310" s="42"/>
      <c r="Z310" s="42"/>
      <c r="AA310" s="42"/>
      <c r="AB310" s="42"/>
      <c r="AC310" s="42"/>
      <c r="AD310" s="42"/>
      <c r="AE310" s="42"/>
      <c r="AF310" s="42"/>
      <c r="AG310" s="42"/>
      <c r="AH310" s="42"/>
      <c r="AI310" s="42"/>
      <c r="AJ310" s="42"/>
      <c r="AK310" s="42"/>
      <c r="AL310" s="42"/>
      <c r="AM310" s="42"/>
    </row>
    <row r="311" spans="1:39" x14ac:dyDescent="0.25">
      <c r="A311" s="38" t="s">
        <v>662</v>
      </c>
      <c r="B311" s="42"/>
      <c r="C311" s="42"/>
      <c r="D311" s="42"/>
      <c r="E311" s="41"/>
      <c r="F311" s="41"/>
      <c r="G311" s="41"/>
      <c r="H311" s="41"/>
      <c r="I311" s="41"/>
      <c r="J311" s="42"/>
      <c r="K311" s="41"/>
      <c r="L311" s="41"/>
      <c r="M311" s="127"/>
      <c r="N311" s="41"/>
      <c r="O311" s="41"/>
      <c r="P311" s="41"/>
      <c r="Q311" s="42"/>
      <c r="R311" s="35"/>
      <c r="S311" s="35"/>
      <c r="T311" s="35"/>
      <c r="U311" s="35"/>
      <c r="V311" s="121"/>
      <c r="W311" s="42"/>
      <c r="X311" s="42"/>
      <c r="Y311" s="42"/>
      <c r="Z311" s="42"/>
      <c r="AA311" s="42"/>
      <c r="AB311" s="42"/>
      <c r="AC311" s="42"/>
      <c r="AD311" s="42"/>
      <c r="AE311" s="42"/>
      <c r="AF311" s="42"/>
      <c r="AG311" s="42"/>
      <c r="AH311" s="42"/>
      <c r="AI311" s="42"/>
      <c r="AJ311" s="42"/>
      <c r="AK311" s="42"/>
      <c r="AL311" s="42"/>
      <c r="AM311" s="42"/>
    </row>
    <row r="312" spans="1:39" x14ac:dyDescent="0.25">
      <c r="A312" s="38" t="s">
        <v>663</v>
      </c>
      <c r="B312" s="42"/>
      <c r="C312" s="42"/>
      <c r="D312" s="42"/>
      <c r="E312" s="41"/>
      <c r="F312" s="41"/>
      <c r="G312" s="41"/>
      <c r="H312" s="41"/>
      <c r="I312" s="41"/>
      <c r="J312" s="42"/>
      <c r="K312" s="41"/>
      <c r="L312" s="41"/>
      <c r="M312" s="127"/>
      <c r="N312" s="41"/>
      <c r="O312" s="41"/>
      <c r="P312" s="41"/>
      <c r="Q312" s="42"/>
      <c r="R312" s="35"/>
      <c r="S312" s="35"/>
      <c r="T312" s="35"/>
      <c r="U312" s="35"/>
      <c r="V312" s="121"/>
      <c r="W312" s="42"/>
      <c r="X312" s="42"/>
      <c r="Y312" s="42"/>
      <c r="Z312" s="42"/>
      <c r="AA312" s="42"/>
      <c r="AB312" s="42"/>
      <c r="AC312" s="42"/>
      <c r="AD312" s="42"/>
      <c r="AE312" s="42"/>
      <c r="AF312" s="42"/>
      <c r="AG312" s="42"/>
      <c r="AH312" s="42"/>
      <c r="AI312" s="42"/>
      <c r="AJ312" s="42"/>
      <c r="AK312" s="42"/>
      <c r="AL312" s="42"/>
      <c r="AM312" s="42"/>
    </row>
    <row r="313" spans="1:39" x14ac:dyDescent="0.25">
      <c r="A313" s="38" t="s">
        <v>664</v>
      </c>
      <c r="B313" s="42"/>
      <c r="C313" s="42"/>
      <c r="D313" s="42"/>
      <c r="E313" s="41"/>
      <c r="F313" s="41"/>
      <c r="G313" s="41"/>
      <c r="H313" s="41"/>
      <c r="I313" s="41"/>
      <c r="J313" s="42"/>
      <c r="K313" s="41"/>
      <c r="L313" s="41"/>
      <c r="M313" s="127"/>
      <c r="N313" s="41"/>
      <c r="O313" s="41"/>
      <c r="P313" s="41"/>
      <c r="Q313" s="42"/>
      <c r="R313" s="35"/>
      <c r="S313" s="35"/>
      <c r="T313" s="35"/>
      <c r="U313" s="35"/>
      <c r="V313" s="121"/>
      <c r="W313" s="42"/>
      <c r="X313" s="42"/>
      <c r="Y313" s="42"/>
      <c r="Z313" s="42"/>
      <c r="AA313" s="42"/>
      <c r="AB313" s="42"/>
      <c r="AC313" s="42"/>
      <c r="AD313" s="42"/>
      <c r="AE313" s="42"/>
      <c r="AF313" s="42"/>
      <c r="AG313" s="42"/>
      <c r="AH313" s="42"/>
      <c r="AI313" s="42"/>
      <c r="AJ313" s="42"/>
      <c r="AK313" s="42"/>
      <c r="AL313" s="42"/>
      <c r="AM313" s="42"/>
    </row>
    <row r="314" spans="1:39" x14ac:dyDescent="0.25">
      <c r="A314" s="38" t="s">
        <v>665</v>
      </c>
      <c r="B314" s="42"/>
      <c r="C314" s="42"/>
      <c r="D314" s="42"/>
      <c r="E314" s="41"/>
      <c r="F314" s="41"/>
      <c r="G314" s="41"/>
      <c r="H314" s="41"/>
      <c r="I314" s="41"/>
      <c r="J314" s="42"/>
      <c r="K314" s="41"/>
      <c r="L314" s="41"/>
      <c r="M314" s="127"/>
      <c r="N314" s="41"/>
      <c r="O314" s="41"/>
      <c r="P314" s="41"/>
      <c r="Q314" s="42"/>
      <c r="R314" s="35"/>
      <c r="S314" s="35"/>
      <c r="T314" s="35"/>
      <c r="U314" s="35"/>
      <c r="V314" s="121"/>
      <c r="W314" s="42"/>
      <c r="X314" s="42"/>
      <c r="Y314" s="42"/>
      <c r="Z314" s="42"/>
      <c r="AA314" s="42"/>
      <c r="AB314" s="42"/>
      <c r="AC314" s="42"/>
      <c r="AD314" s="42"/>
      <c r="AE314" s="42"/>
      <c r="AF314" s="42"/>
      <c r="AG314" s="42"/>
      <c r="AH314" s="42"/>
      <c r="AI314" s="42"/>
      <c r="AJ314" s="42"/>
      <c r="AK314" s="42"/>
      <c r="AL314" s="42"/>
      <c r="AM314" s="42"/>
    </row>
    <row r="315" spans="1:39" x14ac:dyDescent="0.25">
      <c r="A315" s="38" t="s">
        <v>666</v>
      </c>
      <c r="B315" s="42"/>
      <c r="C315" s="42"/>
      <c r="D315" s="42"/>
      <c r="E315" s="41"/>
      <c r="F315" s="41"/>
      <c r="G315" s="41"/>
      <c r="H315" s="41"/>
      <c r="I315" s="41"/>
      <c r="J315" s="42"/>
      <c r="K315" s="41"/>
      <c r="L315" s="41"/>
      <c r="M315" s="127"/>
      <c r="N315" s="41"/>
      <c r="O315" s="41"/>
      <c r="P315" s="41"/>
      <c r="Q315" s="42"/>
      <c r="R315" s="35"/>
      <c r="S315" s="35"/>
      <c r="T315" s="35"/>
      <c r="U315" s="35"/>
      <c r="V315" s="121"/>
      <c r="W315" s="42"/>
      <c r="X315" s="42"/>
      <c r="Y315" s="42"/>
      <c r="Z315" s="42"/>
      <c r="AA315" s="42"/>
      <c r="AB315" s="42"/>
      <c r="AC315" s="42"/>
      <c r="AD315" s="42"/>
      <c r="AE315" s="42"/>
      <c r="AF315" s="42"/>
      <c r="AG315" s="42"/>
      <c r="AH315" s="42"/>
      <c r="AI315" s="42"/>
      <c r="AJ315" s="42"/>
      <c r="AK315" s="42"/>
      <c r="AL315" s="42"/>
      <c r="AM315" s="42"/>
    </row>
    <row r="316" spans="1:39" x14ac:dyDescent="0.25">
      <c r="A316" s="38" t="s">
        <v>667</v>
      </c>
      <c r="B316" s="42"/>
      <c r="C316" s="42"/>
      <c r="D316" s="42"/>
      <c r="E316" s="41"/>
      <c r="F316" s="41"/>
      <c r="G316" s="41"/>
      <c r="H316" s="41"/>
      <c r="I316" s="41"/>
      <c r="J316" s="42"/>
      <c r="K316" s="41"/>
      <c r="L316" s="41"/>
      <c r="M316" s="127"/>
      <c r="N316" s="41"/>
      <c r="O316" s="41"/>
      <c r="P316" s="41"/>
      <c r="Q316" s="42"/>
      <c r="R316" s="35"/>
      <c r="S316" s="35"/>
      <c r="T316" s="35"/>
      <c r="U316" s="35"/>
      <c r="V316" s="121"/>
      <c r="W316" s="42"/>
      <c r="X316" s="42"/>
      <c r="Y316" s="42"/>
      <c r="Z316" s="42"/>
      <c r="AA316" s="42"/>
      <c r="AB316" s="42"/>
      <c r="AC316" s="42"/>
      <c r="AD316" s="42"/>
      <c r="AE316" s="42"/>
      <c r="AF316" s="42"/>
      <c r="AG316" s="42"/>
      <c r="AH316" s="42"/>
      <c r="AI316" s="42"/>
      <c r="AJ316" s="42"/>
      <c r="AK316" s="42"/>
      <c r="AL316" s="42"/>
      <c r="AM316" s="42"/>
    </row>
    <row r="317" spans="1:39" x14ac:dyDescent="0.25">
      <c r="A317" s="38" t="s">
        <v>668</v>
      </c>
      <c r="B317" s="42"/>
      <c r="C317" s="42"/>
      <c r="D317" s="42"/>
      <c r="E317" s="41"/>
      <c r="F317" s="41"/>
      <c r="G317" s="41"/>
      <c r="H317" s="41"/>
      <c r="I317" s="41"/>
      <c r="J317" s="42"/>
      <c r="K317" s="41"/>
      <c r="L317" s="41"/>
      <c r="M317" s="127"/>
      <c r="N317" s="41"/>
      <c r="O317" s="41"/>
      <c r="P317" s="41"/>
      <c r="Q317" s="42"/>
      <c r="R317" s="35"/>
      <c r="S317" s="35"/>
      <c r="T317" s="35"/>
      <c r="U317" s="35"/>
      <c r="V317" s="121"/>
      <c r="W317" s="42"/>
      <c r="X317" s="42"/>
      <c r="Y317" s="42"/>
      <c r="Z317" s="42"/>
      <c r="AA317" s="42"/>
      <c r="AB317" s="42"/>
      <c r="AC317" s="42"/>
      <c r="AD317" s="42"/>
      <c r="AE317" s="42"/>
      <c r="AF317" s="42"/>
      <c r="AG317" s="42"/>
      <c r="AH317" s="42"/>
      <c r="AI317" s="42"/>
      <c r="AJ317" s="42"/>
      <c r="AK317" s="42"/>
      <c r="AL317" s="42"/>
      <c r="AM317" s="42"/>
    </row>
    <row r="318" spans="1:39" x14ac:dyDescent="0.25">
      <c r="A318" s="38" t="s">
        <v>669</v>
      </c>
      <c r="B318" s="42"/>
      <c r="C318" s="42"/>
      <c r="D318" s="42"/>
      <c r="E318" s="41"/>
      <c r="F318" s="41"/>
      <c r="G318" s="41"/>
      <c r="H318" s="41"/>
      <c r="I318" s="41"/>
      <c r="J318" s="42"/>
      <c r="K318" s="41"/>
      <c r="L318" s="41"/>
      <c r="M318" s="127"/>
      <c r="N318" s="41"/>
      <c r="O318" s="41"/>
      <c r="P318" s="41"/>
      <c r="Q318" s="42"/>
      <c r="R318" s="35"/>
      <c r="S318" s="35"/>
      <c r="T318" s="35"/>
      <c r="U318" s="35"/>
      <c r="V318" s="121"/>
      <c r="W318" s="42"/>
      <c r="X318" s="42"/>
      <c r="Y318" s="42"/>
      <c r="Z318" s="42"/>
      <c r="AA318" s="42"/>
      <c r="AB318" s="42"/>
      <c r="AC318" s="42"/>
      <c r="AD318" s="42"/>
      <c r="AE318" s="42"/>
      <c r="AF318" s="42"/>
      <c r="AG318" s="42"/>
      <c r="AH318" s="42"/>
      <c r="AI318" s="42"/>
      <c r="AJ318" s="42"/>
      <c r="AK318" s="42"/>
      <c r="AL318" s="42"/>
      <c r="AM318" s="42"/>
    </row>
    <row r="319" spans="1:39" x14ac:dyDescent="0.25">
      <c r="A319" s="38" t="s">
        <v>670</v>
      </c>
      <c r="B319" s="42"/>
      <c r="C319" s="42"/>
      <c r="D319" s="42"/>
      <c r="E319" s="41"/>
      <c r="F319" s="41"/>
      <c r="G319" s="41"/>
      <c r="H319" s="41"/>
      <c r="I319" s="41"/>
      <c r="J319" s="42"/>
      <c r="K319" s="41"/>
      <c r="L319" s="41"/>
      <c r="M319" s="127"/>
      <c r="N319" s="41"/>
      <c r="O319" s="41"/>
      <c r="P319" s="41"/>
      <c r="Q319" s="42"/>
      <c r="R319" s="35"/>
      <c r="S319" s="35"/>
      <c r="T319" s="35"/>
      <c r="U319" s="35"/>
      <c r="V319" s="121"/>
      <c r="W319" s="42"/>
      <c r="X319" s="42"/>
      <c r="Y319" s="42"/>
      <c r="Z319" s="42"/>
      <c r="AA319" s="42"/>
      <c r="AB319" s="42"/>
      <c r="AC319" s="42"/>
      <c r="AD319" s="42"/>
      <c r="AE319" s="42"/>
      <c r="AF319" s="42"/>
      <c r="AG319" s="42"/>
      <c r="AH319" s="42"/>
      <c r="AI319" s="42"/>
      <c r="AJ319" s="42"/>
      <c r="AK319" s="42"/>
      <c r="AL319" s="42"/>
      <c r="AM319" s="42"/>
    </row>
    <row r="320" spans="1:39" x14ac:dyDescent="0.25">
      <c r="A320" s="38" t="s">
        <v>671</v>
      </c>
      <c r="B320" s="42"/>
      <c r="C320" s="42"/>
      <c r="D320" s="42"/>
      <c r="E320" s="41"/>
      <c r="F320" s="41"/>
      <c r="G320" s="41"/>
      <c r="H320" s="41"/>
      <c r="I320" s="41"/>
      <c r="J320" s="42"/>
      <c r="K320" s="41"/>
      <c r="L320" s="41"/>
      <c r="M320" s="127"/>
      <c r="N320" s="41"/>
      <c r="O320" s="41"/>
      <c r="P320" s="41"/>
      <c r="Q320" s="42"/>
      <c r="R320" s="35"/>
      <c r="S320" s="35"/>
      <c r="T320" s="35"/>
      <c r="U320" s="35"/>
      <c r="V320" s="121"/>
      <c r="W320" s="42"/>
      <c r="X320" s="42"/>
      <c r="Y320" s="42"/>
      <c r="Z320" s="42"/>
      <c r="AA320" s="42"/>
      <c r="AB320" s="42"/>
      <c r="AC320" s="42"/>
      <c r="AD320" s="42"/>
      <c r="AE320" s="42"/>
      <c r="AF320" s="42"/>
      <c r="AG320" s="42"/>
      <c r="AH320" s="42"/>
      <c r="AI320" s="42"/>
      <c r="AJ320" s="42"/>
      <c r="AK320" s="42"/>
      <c r="AL320" s="42"/>
      <c r="AM320" s="42"/>
    </row>
    <row r="321" spans="1:39" x14ac:dyDescent="0.25">
      <c r="A321" s="38" t="s">
        <v>672</v>
      </c>
      <c r="B321" s="42"/>
      <c r="C321" s="42"/>
      <c r="D321" s="42"/>
      <c r="E321" s="41"/>
      <c r="F321" s="41"/>
      <c r="G321" s="41"/>
      <c r="H321" s="41"/>
      <c r="I321" s="41"/>
      <c r="J321" s="42"/>
      <c r="K321" s="41"/>
      <c r="L321" s="41"/>
      <c r="M321" s="127"/>
      <c r="N321" s="41"/>
      <c r="O321" s="41"/>
      <c r="P321" s="41"/>
      <c r="Q321" s="42"/>
      <c r="R321" s="35"/>
      <c r="S321" s="35"/>
      <c r="T321" s="35"/>
      <c r="U321" s="35"/>
      <c r="V321" s="121"/>
      <c r="W321" s="42"/>
      <c r="X321" s="42"/>
      <c r="Y321" s="42"/>
      <c r="Z321" s="42"/>
      <c r="AA321" s="42"/>
      <c r="AB321" s="42"/>
      <c r="AC321" s="42"/>
      <c r="AD321" s="42"/>
      <c r="AE321" s="42"/>
      <c r="AF321" s="42"/>
      <c r="AG321" s="42"/>
      <c r="AH321" s="42"/>
      <c r="AI321" s="42"/>
      <c r="AJ321" s="42"/>
      <c r="AK321" s="42"/>
      <c r="AL321" s="42"/>
      <c r="AM321" s="42"/>
    </row>
    <row r="322" spans="1:39" x14ac:dyDescent="0.25">
      <c r="A322" s="38" t="s">
        <v>673</v>
      </c>
      <c r="B322" s="42"/>
      <c r="C322" s="42"/>
      <c r="D322" s="42"/>
      <c r="E322" s="41"/>
      <c r="F322" s="41"/>
      <c r="G322" s="41"/>
      <c r="H322" s="41"/>
      <c r="I322" s="41"/>
      <c r="J322" s="42"/>
      <c r="K322" s="41"/>
      <c r="L322" s="41"/>
      <c r="M322" s="127"/>
      <c r="N322" s="41"/>
      <c r="O322" s="41"/>
      <c r="P322" s="41"/>
      <c r="Q322" s="42"/>
      <c r="R322" s="35"/>
      <c r="S322" s="35"/>
      <c r="T322" s="35"/>
      <c r="U322" s="35"/>
      <c r="V322" s="121"/>
      <c r="W322" s="42"/>
      <c r="X322" s="42"/>
      <c r="Y322" s="42"/>
      <c r="Z322" s="42"/>
      <c r="AA322" s="42"/>
      <c r="AB322" s="42"/>
      <c r="AC322" s="42"/>
      <c r="AD322" s="42"/>
      <c r="AE322" s="42"/>
      <c r="AF322" s="42"/>
      <c r="AG322" s="42"/>
      <c r="AH322" s="42"/>
      <c r="AI322" s="42"/>
      <c r="AJ322" s="42"/>
      <c r="AK322" s="42"/>
      <c r="AL322" s="42"/>
      <c r="AM322" s="42"/>
    </row>
    <row r="323" spans="1:39" x14ac:dyDescent="0.25">
      <c r="A323" s="38" t="s">
        <v>674</v>
      </c>
      <c r="B323" s="42"/>
      <c r="C323" s="42"/>
      <c r="D323" s="42"/>
      <c r="E323" s="41"/>
      <c r="F323" s="41"/>
      <c r="G323" s="41"/>
      <c r="H323" s="41"/>
      <c r="I323" s="41"/>
      <c r="J323" s="42"/>
      <c r="K323" s="41"/>
      <c r="L323" s="41"/>
      <c r="M323" s="127"/>
      <c r="N323" s="41"/>
      <c r="O323" s="41"/>
      <c r="P323" s="41"/>
      <c r="Q323" s="42"/>
      <c r="R323" s="35"/>
      <c r="S323" s="35"/>
      <c r="T323" s="35"/>
      <c r="U323" s="35"/>
      <c r="V323" s="121"/>
      <c r="W323" s="42"/>
      <c r="X323" s="42"/>
      <c r="Y323" s="42"/>
      <c r="Z323" s="42"/>
      <c r="AA323" s="42"/>
      <c r="AB323" s="42"/>
      <c r="AC323" s="42"/>
      <c r="AD323" s="42"/>
      <c r="AE323" s="42"/>
      <c r="AF323" s="42"/>
      <c r="AG323" s="42"/>
      <c r="AH323" s="42"/>
      <c r="AI323" s="42"/>
      <c r="AJ323" s="42"/>
      <c r="AK323" s="42"/>
      <c r="AL323" s="42"/>
      <c r="AM323" s="42"/>
    </row>
    <row r="324" spans="1:39" x14ac:dyDescent="0.25">
      <c r="A324" s="38" t="s">
        <v>675</v>
      </c>
      <c r="B324" s="42"/>
      <c r="C324" s="42"/>
      <c r="D324" s="42"/>
      <c r="E324" s="41"/>
      <c r="F324" s="41"/>
      <c r="G324" s="41"/>
      <c r="H324" s="41"/>
      <c r="I324" s="41"/>
      <c r="J324" s="42"/>
      <c r="K324" s="41"/>
      <c r="L324" s="41"/>
      <c r="M324" s="127"/>
      <c r="N324" s="41"/>
      <c r="O324" s="41"/>
      <c r="P324" s="41"/>
      <c r="Q324" s="42"/>
      <c r="R324" s="35"/>
      <c r="S324" s="35"/>
      <c r="T324" s="35"/>
      <c r="U324" s="35"/>
      <c r="V324" s="121"/>
      <c r="W324" s="42"/>
      <c r="X324" s="42"/>
      <c r="Y324" s="42"/>
      <c r="Z324" s="42"/>
      <c r="AA324" s="42"/>
      <c r="AB324" s="42"/>
      <c r="AC324" s="42"/>
      <c r="AD324" s="42"/>
      <c r="AE324" s="42"/>
      <c r="AF324" s="42"/>
      <c r="AG324" s="42"/>
      <c r="AH324" s="42"/>
      <c r="AI324" s="42"/>
      <c r="AJ324" s="42"/>
      <c r="AK324" s="42"/>
      <c r="AL324" s="42"/>
      <c r="AM324" s="42"/>
    </row>
    <row r="325" spans="1:39" x14ac:dyDescent="0.25">
      <c r="A325" s="38" t="s">
        <v>676</v>
      </c>
      <c r="B325" s="42"/>
      <c r="C325" s="42"/>
      <c r="D325" s="42"/>
      <c r="E325" s="41"/>
      <c r="F325" s="41"/>
      <c r="G325" s="41"/>
      <c r="H325" s="41"/>
      <c r="I325" s="41"/>
      <c r="J325" s="42"/>
      <c r="K325" s="41"/>
      <c r="L325" s="41"/>
      <c r="M325" s="127"/>
      <c r="N325" s="41"/>
      <c r="O325" s="41"/>
      <c r="P325" s="41"/>
      <c r="Q325" s="42"/>
      <c r="R325" s="35"/>
      <c r="S325" s="35"/>
      <c r="T325" s="35"/>
      <c r="U325" s="35"/>
      <c r="V325" s="121"/>
      <c r="W325" s="42"/>
      <c r="X325" s="42"/>
      <c r="Y325" s="42"/>
      <c r="Z325" s="42"/>
      <c r="AA325" s="42"/>
      <c r="AB325" s="42"/>
      <c r="AC325" s="42"/>
      <c r="AD325" s="42"/>
      <c r="AE325" s="42"/>
      <c r="AF325" s="42"/>
      <c r="AG325" s="42"/>
      <c r="AH325" s="42"/>
      <c r="AI325" s="42"/>
      <c r="AJ325" s="42"/>
      <c r="AK325" s="42"/>
      <c r="AL325" s="42"/>
      <c r="AM325" s="42"/>
    </row>
    <row r="326" spans="1:39" x14ac:dyDescent="0.25">
      <c r="A326" s="38" t="s">
        <v>677</v>
      </c>
      <c r="B326" s="42"/>
      <c r="C326" s="42"/>
      <c r="D326" s="42"/>
      <c r="E326" s="41"/>
      <c r="F326" s="41"/>
      <c r="G326" s="41"/>
      <c r="H326" s="41"/>
      <c r="I326" s="41"/>
      <c r="J326" s="42"/>
      <c r="K326" s="41"/>
      <c r="L326" s="41"/>
      <c r="M326" s="127"/>
      <c r="N326" s="41"/>
      <c r="O326" s="41"/>
      <c r="P326" s="41"/>
      <c r="Q326" s="42"/>
      <c r="R326" s="35"/>
      <c r="S326" s="35"/>
      <c r="T326" s="35"/>
      <c r="U326" s="35"/>
      <c r="V326" s="121"/>
      <c r="W326" s="42"/>
      <c r="X326" s="42"/>
      <c r="Y326" s="42"/>
      <c r="Z326" s="42"/>
      <c r="AA326" s="42"/>
      <c r="AB326" s="42"/>
      <c r="AC326" s="42"/>
      <c r="AD326" s="42"/>
      <c r="AE326" s="42"/>
      <c r="AF326" s="42"/>
      <c r="AG326" s="42"/>
      <c r="AH326" s="42"/>
      <c r="AI326" s="42"/>
      <c r="AJ326" s="42"/>
      <c r="AK326" s="42"/>
      <c r="AL326" s="42"/>
      <c r="AM326" s="42"/>
    </row>
    <row r="327" spans="1:39" x14ac:dyDescent="0.25">
      <c r="A327" s="38" t="s">
        <v>678</v>
      </c>
      <c r="B327" s="42"/>
      <c r="C327" s="42"/>
      <c r="D327" s="42"/>
      <c r="E327" s="41"/>
      <c r="F327" s="41"/>
      <c r="G327" s="41"/>
      <c r="H327" s="41"/>
      <c r="I327" s="41"/>
      <c r="J327" s="42"/>
      <c r="K327" s="41"/>
      <c r="L327" s="41"/>
      <c r="M327" s="127"/>
      <c r="N327" s="41"/>
      <c r="O327" s="41"/>
      <c r="P327" s="41"/>
      <c r="Q327" s="42"/>
      <c r="R327" s="35"/>
      <c r="S327" s="35"/>
      <c r="T327" s="35"/>
      <c r="U327" s="35"/>
      <c r="V327" s="121"/>
      <c r="W327" s="42"/>
      <c r="X327" s="42"/>
      <c r="Y327" s="42"/>
      <c r="Z327" s="42"/>
      <c r="AA327" s="42"/>
      <c r="AB327" s="42"/>
      <c r="AC327" s="42"/>
      <c r="AD327" s="42"/>
      <c r="AE327" s="42"/>
      <c r="AF327" s="42"/>
      <c r="AG327" s="42"/>
      <c r="AH327" s="42"/>
      <c r="AI327" s="42"/>
      <c r="AJ327" s="42"/>
      <c r="AK327" s="42"/>
      <c r="AL327" s="42"/>
      <c r="AM327" s="42"/>
    </row>
    <row r="328" spans="1:39" x14ac:dyDescent="0.25">
      <c r="A328" s="38" t="s">
        <v>679</v>
      </c>
      <c r="B328" s="42"/>
      <c r="C328" s="42"/>
      <c r="D328" s="42"/>
      <c r="E328" s="41"/>
      <c r="F328" s="41"/>
      <c r="G328" s="41"/>
      <c r="H328" s="41"/>
      <c r="I328" s="41"/>
      <c r="J328" s="42"/>
      <c r="K328" s="41"/>
      <c r="L328" s="41"/>
      <c r="M328" s="127"/>
      <c r="N328" s="41"/>
      <c r="O328" s="41"/>
      <c r="P328" s="41"/>
      <c r="Q328" s="42"/>
      <c r="R328" s="35"/>
      <c r="S328" s="35"/>
      <c r="T328" s="35"/>
      <c r="U328" s="35"/>
      <c r="V328" s="121"/>
      <c r="W328" s="42"/>
      <c r="X328" s="42"/>
      <c r="Y328" s="42"/>
      <c r="Z328" s="42"/>
      <c r="AA328" s="42"/>
      <c r="AB328" s="42"/>
      <c r="AC328" s="42"/>
      <c r="AD328" s="42"/>
      <c r="AE328" s="42"/>
      <c r="AF328" s="42"/>
      <c r="AG328" s="42"/>
      <c r="AH328" s="42"/>
      <c r="AI328" s="42"/>
      <c r="AJ328" s="42"/>
      <c r="AK328" s="42"/>
      <c r="AL328" s="42"/>
      <c r="AM328" s="42"/>
    </row>
    <row r="329" spans="1:39" x14ac:dyDescent="0.25">
      <c r="A329" s="38" t="s">
        <v>680</v>
      </c>
      <c r="B329" s="42"/>
      <c r="C329" s="42"/>
      <c r="D329" s="42"/>
      <c r="E329" s="41"/>
      <c r="F329" s="41"/>
      <c r="G329" s="41"/>
      <c r="H329" s="41"/>
      <c r="I329" s="41"/>
      <c r="J329" s="42"/>
      <c r="K329" s="41"/>
      <c r="L329" s="41"/>
      <c r="M329" s="127"/>
      <c r="N329" s="41"/>
      <c r="O329" s="41"/>
      <c r="P329" s="41"/>
      <c r="Q329" s="42"/>
      <c r="R329" s="35"/>
      <c r="S329" s="35"/>
      <c r="T329" s="35"/>
      <c r="U329" s="35"/>
      <c r="V329" s="121"/>
      <c r="W329" s="42"/>
      <c r="X329" s="42"/>
      <c r="Y329" s="42"/>
      <c r="Z329" s="42"/>
      <c r="AA329" s="42"/>
      <c r="AB329" s="42"/>
      <c r="AC329" s="42"/>
      <c r="AD329" s="42"/>
      <c r="AE329" s="42"/>
      <c r="AF329" s="42"/>
      <c r="AG329" s="42"/>
      <c r="AH329" s="42"/>
      <c r="AI329" s="42"/>
      <c r="AJ329" s="42"/>
      <c r="AK329" s="42"/>
      <c r="AL329" s="42"/>
      <c r="AM329" s="42"/>
    </row>
    <row r="330" spans="1:39" x14ac:dyDescent="0.25">
      <c r="A330" s="38" t="s">
        <v>681</v>
      </c>
      <c r="B330" s="42"/>
      <c r="C330" s="42"/>
      <c r="D330" s="42"/>
      <c r="E330" s="41"/>
      <c r="F330" s="41"/>
      <c r="G330" s="41"/>
      <c r="H330" s="41"/>
      <c r="I330" s="41"/>
      <c r="J330" s="42"/>
      <c r="K330" s="41"/>
      <c r="L330" s="41"/>
      <c r="M330" s="127"/>
      <c r="N330" s="41"/>
      <c r="O330" s="41"/>
      <c r="P330" s="41"/>
      <c r="Q330" s="42"/>
      <c r="R330" s="35"/>
      <c r="S330" s="35"/>
      <c r="T330" s="35"/>
      <c r="U330" s="35"/>
      <c r="V330" s="121"/>
      <c r="W330" s="42"/>
      <c r="X330" s="42"/>
      <c r="Y330" s="42"/>
      <c r="Z330" s="42"/>
      <c r="AA330" s="42"/>
      <c r="AB330" s="42"/>
      <c r="AC330" s="42"/>
      <c r="AD330" s="42"/>
      <c r="AE330" s="42"/>
      <c r="AF330" s="42"/>
      <c r="AG330" s="42"/>
      <c r="AH330" s="42"/>
      <c r="AI330" s="42"/>
      <c r="AJ330" s="42"/>
      <c r="AK330" s="42"/>
      <c r="AL330" s="42"/>
      <c r="AM330" s="42"/>
    </row>
    <row r="331" spans="1:39" x14ac:dyDescent="0.25">
      <c r="A331" s="38" t="s">
        <v>682</v>
      </c>
      <c r="B331" s="42"/>
      <c r="C331" s="42"/>
      <c r="D331" s="42"/>
      <c r="E331" s="41"/>
      <c r="F331" s="41"/>
      <c r="G331" s="41"/>
      <c r="H331" s="41"/>
      <c r="I331" s="41"/>
      <c r="J331" s="42"/>
      <c r="K331" s="41"/>
      <c r="L331" s="41"/>
      <c r="M331" s="127"/>
      <c r="N331" s="41"/>
      <c r="O331" s="41"/>
      <c r="P331" s="41"/>
      <c r="Q331" s="42"/>
      <c r="R331" s="35"/>
      <c r="S331" s="35"/>
      <c r="T331" s="35"/>
      <c r="U331" s="35"/>
      <c r="V331" s="121"/>
      <c r="W331" s="42"/>
      <c r="X331" s="42"/>
      <c r="Y331" s="42"/>
      <c r="Z331" s="42"/>
      <c r="AA331" s="42"/>
      <c r="AB331" s="42"/>
      <c r="AC331" s="42"/>
      <c r="AD331" s="42"/>
      <c r="AE331" s="42"/>
      <c r="AF331" s="42"/>
      <c r="AG331" s="42"/>
      <c r="AH331" s="42"/>
      <c r="AI331" s="42"/>
      <c r="AJ331" s="42"/>
      <c r="AK331" s="42"/>
      <c r="AL331" s="42"/>
      <c r="AM331" s="42"/>
    </row>
    <row r="332" spans="1:39" x14ac:dyDescent="0.25">
      <c r="A332" s="38" t="s">
        <v>683</v>
      </c>
      <c r="B332" s="42"/>
      <c r="C332" s="42"/>
      <c r="D332" s="42"/>
      <c r="E332" s="41"/>
      <c r="F332" s="41"/>
      <c r="G332" s="41"/>
      <c r="H332" s="41"/>
      <c r="I332" s="41"/>
      <c r="J332" s="42"/>
      <c r="K332" s="41"/>
      <c r="L332" s="41"/>
      <c r="M332" s="127"/>
      <c r="N332" s="41"/>
      <c r="O332" s="41"/>
      <c r="P332" s="41"/>
      <c r="Q332" s="42"/>
      <c r="R332" s="35"/>
      <c r="S332" s="35"/>
      <c r="T332" s="35"/>
      <c r="U332" s="35"/>
      <c r="V332" s="121"/>
      <c r="W332" s="42"/>
      <c r="X332" s="42"/>
      <c r="Y332" s="42"/>
      <c r="Z332" s="42"/>
      <c r="AA332" s="42"/>
      <c r="AB332" s="42"/>
      <c r="AC332" s="42"/>
      <c r="AD332" s="42"/>
      <c r="AE332" s="42"/>
      <c r="AF332" s="42"/>
      <c r="AG332" s="42"/>
      <c r="AH332" s="42"/>
      <c r="AI332" s="42"/>
      <c r="AJ332" s="42"/>
      <c r="AK332" s="42"/>
      <c r="AL332" s="42"/>
      <c r="AM332" s="42"/>
    </row>
    <row r="333" spans="1:39" x14ac:dyDescent="0.25">
      <c r="A333" s="38" t="s">
        <v>684</v>
      </c>
      <c r="B333" s="42"/>
      <c r="C333" s="42"/>
      <c r="D333" s="42"/>
      <c r="E333" s="41"/>
      <c r="F333" s="41"/>
      <c r="G333" s="41"/>
      <c r="H333" s="41"/>
      <c r="I333" s="41"/>
      <c r="J333" s="42"/>
      <c r="K333" s="41"/>
      <c r="L333" s="41"/>
      <c r="M333" s="127"/>
      <c r="N333" s="41"/>
      <c r="O333" s="41"/>
      <c r="P333" s="41"/>
      <c r="Q333" s="42"/>
      <c r="R333" s="35"/>
      <c r="S333" s="35"/>
      <c r="T333" s="35"/>
      <c r="U333" s="35"/>
      <c r="V333" s="121"/>
      <c r="W333" s="42"/>
      <c r="X333" s="42"/>
      <c r="Y333" s="42"/>
      <c r="Z333" s="42"/>
      <c r="AA333" s="42"/>
      <c r="AB333" s="42"/>
      <c r="AC333" s="42"/>
      <c r="AD333" s="42"/>
      <c r="AE333" s="42"/>
      <c r="AF333" s="42"/>
      <c r="AG333" s="42"/>
      <c r="AH333" s="42"/>
      <c r="AI333" s="42"/>
      <c r="AJ333" s="42"/>
      <c r="AK333" s="42"/>
      <c r="AL333" s="42"/>
      <c r="AM333" s="42"/>
    </row>
    <row r="334" spans="1:39" x14ac:dyDescent="0.25">
      <c r="A334" s="38" t="s">
        <v>685</v>
      </c>
      <c r="B334" s="42"/>
      <c r="C334" s="42"/>
      <c r="D334" s="42"/>
      <c r="E334" s="41"/>
      <c r="F334" s="41"/>
      <c r="G334" s="41"/>
      <c r="H334" s="41"/>
      <c r="I334" s="41"/>
      <c r="J334" s="42"/>
      <c r="K334" s="41"/>
      <c r="L334" s="41"/>
      <c r="M334" s="127"/>
      <c r="N334" s="41"/>
      <c r="O334" s="41"/>
      <c r="P334" s="41"/>
      <c r="Q334" s="42"/>
      <c r="R334" s="35"/>
      <c r="S334" s="35"/>
      <c r="T334" s="35"/>
      <c r="U334" s="35"/>
      <c r="V334" s="121"/>
      <c r="W334" s="42"/>
      <c r="X334" s="42"/>
      <c r="Y334" s="42"/>
      <c r="Z334" s="42"/>
      <c r="AA334" s="42"/>
      <c r="AB334" s="42"/>
      <c r="AC334" s="42"/>
      <c r="AD334" s="42"/>
      <c r="AE334" s="42"/>
      <c r="AF334" s="42"/>
      <c r="AG334" s="42"/>
      <c r="AH334" s="42"/>
      <c r="AI334" s="42"/>
      <c r="AJ334" s="42"/>
      <c r="AK334" s="42"/>
      <c r="AL334" s="42"/>
      <c r="AM334" s="42"/>
    </row>
    <row r="335" spans="1:39" x14ac:dyDescent="0.25">
      <c r="A335" s="38" t="s">
        <v>686</v>
      </c>
      <c r="B335" s="42"/>
      <c r="C335" s="42"/>
      <c r="D335" s="42"/>
      <c r="E335" s="41"/>
      <c r="F335" s="41"/>
      <c r="G335" s="41"/>
      <c r="H335" s="41"/>
      <c r="I335" s="41"/>
      <c r="J335" s="42"/>
      <c r="K335" s="41"/>
      <c r="L335" s="41"/>
      <c r="M335" s="127"/>
      <c r="N335" s="41"/>
      <c r="O335" s="41"/>
      <c r="P335" s="41"/>
      <c r="Q335" s="42"/>
      <c r="R335" s="35"/>
      <c r="S335" s="35"/>
      <c r="T335" s="35"/>
      <c r="U335" s="35"/>
      <c r="V335" s="121"/>
      <c r="W335" s="42"/>
      <c r="X335" s="42"/>
      <c r="Y335" s="42"/>
      <c r="Z335" s="42"/>
      <c r="AA335" s="42"/>
      <c r="AB335" s="42"/>
      <c r="AC335" s="42"/>
      <c r="AD335" s="42"/>
      <c r="AE335" s="42"/>
      <c r="AF335" s="42"/>
      <c r="AG335" s="42"/>
      <c r="AH335" s="42"/>
      <c r="AI335" s="42"/>
      <c r="AJ335" s="42"/>
      <c r="AK335" s="42"/>
      <c r="AL335" s="42"/>
      <c r="AM335" s="42"/>
    </row>
    <row r="336" spans="1:39" x14ac:dyDescent="0.25">
      <c r="A336" s="38" t="s">
        <v>687</v>
      </c>
      <c r="B336" s="42"/>
      <c r="C336" s="42"/>
      <c r="D336" s="42"/>
      <c r="E336" s="41"/>
      <c r="F336" s="41"/>
      <c r="G336" s="41"/>
      <c r="H336" s="41"/>
      <c r="I336" s="41"/>
      <c r="J336" s="42"/>
      <c r="K336" s="41"/>
      <c r="L336" s="41"/>
      <c r="M336" s="127"/>
      <c r="N336" s="41"/>
      <c r="O336" s="41"/>
      <c r="P336" s="41"/>
      <c r="Q336" s="42"/>
      <c r="R336" s="35"/>
      <c r="S336" s="35"/>
      <c r="T336" s="35"/>
      <c r="U336" s="35"/>
      <c r="V336" s="121"/>
      <c r="W336" s="42"/>
      <c r="X336" s="42"/>
      <c r="Y336" s="42"/>
      <c r="Z336" s="42"/>
      <c r="AA336" s="42"/>
      <c r="AB336" s="42"/>
      <c r="AC336" s="42"/>
      <c r="AD336" s="42"/>
      <c r="AE336" s="42"/>
      <c r="AF336" s="42"/>
      <c r="AG336" s="42"/>
      <c r="AH336" s="42"/>
      <c r="AI336" s="42"/>
      <c r="AJ336" s="42"/>
      <c r="AK336" s="42"/>
      <c r="AL336" s="42"/>
      <c r="AM336" s="42"/>
    </row>
    <row r="337" spans="1:39" x14ac:dyDescent="0.25">
      <c r="A337" s="38" t="s">
        <v>688</v>
      </c>
      <c r="B337" s="42"/>
      <c r="C337" s="42"/>
      <c r="D337" s="42"/>
      <c r="E337" s="41"/>
      <c r="F337" s="41"/>
      <c r="G337" s="41"/>
      <c r="H337" s="41"/>
      <c r="I337" s="41"/>
      <c r="J337" s="42"/>
      <c r="K337" s="41"/>
      <c r="L337" s="41"/>
      <c r="M337" s="127"/>
      <c r="N337" s="41"/>
      <c r="O337" s="41"/>
      <c r="P337" s="41"/>
      <c r="Q337" s="42"/>
      <c r="R337" s="35"/>
      <c r="S337" s="35"/>
      <c r="T337" s="35"/>
      <c r="U337" s="35"/>
      <c r="V337" s="121"/>
      <c r="W337" s="42"/>
      <c r="X337" s="42"/>
      <c r="Y337" s="42"/>
      <c r="Z337" s="42"/>
      <c r="AA337" s="42"/>
      <c r="AB337" s="42"/>
      <c r="AC337" s="42"/>
      <c r="AD337" s="42"/>
      <c r="AE337" s="42"/>
      <c r="AF337" s="42"/>
      <c r="AG337" s="42"/>
      <c r="AH337" s="42"/>
      <c r="AI337" s="42"/>
      <c r="AJ337" s="42"/>
      <c r="AK337" s="42"/>
      <c r="AL337" s="42"/>
      <c r="AM337" s="42"/>
    </row>
    <row r="338" spans="1:39" x14ac:dyDescent="0.25">
      <c r="A338" s="38" t="s">
        <v>689</v>
      </c>
      <c r="B338" s="42"/>
      <c r="C338" s="42"/>
      <c r="D338" s="42"/>
      <c r="E338" s="41"/>
      <c r="F338" s="41"/>
      <c r="G338" s="41"/>
      <c r="H338" s="41"/>
      <c r="I338" s="41"/>
      <c r="J338" s="42"/>
      <c r="K338" s="41"/>
      <c r="L338" s="41"/>
      <c r="M338" s="127"/>
      <c r="N338" s="41"/>
      <c r="O338" s="41"/>
      <c r="P338" s="41"/>
      <c r="Q338" s="42"/>
      <c r="R338" s="35"/>
      <c r="S338" s="35"/>
      <c r="T338" s="35"/>
      <c r="U338" s="35"/>
      <c r="V338" s="121"/>
      <c r="W338" s="42"/>
      <c r="X338" s="42"/>
      <c r="Y338" s="42"/>
      <c r="Z338" s="42"/>
      <c r="AA338" s="42"/>
      <c r="AB338" s="42"/>
      <c r="AC338" s="42"/>
      <c r="AD338" s="42"/>
      <c r="AE338" s="42"/>
      <c r="AF338" s="42"/>
      <c r="AG338" s="42"/>
      <c r="AH338" s="42"/>
      <c r="AI338" s="42"/>
      <c r="AJ338" s="42"/>
      <c r="AK338" s="42"/>
      <c r="AL338" s="42"/>
      <c r="AM338" s="42"/>
    </row>
    <row r="339" spans="1:39" x14ac:dyDescent="0.25">
      <c r="A339" s="38" t="s">
        <v>690</v>
      </c>
      <c r="B339" s="42"/>
      <c r="C339" s="42"/>
      <c r="D339" s="42"/>
      <c r="E339" s="41"/>
      <c r="F339" s="41"/>
      <c r="G339" s="41"/>
      <c r="H339" s="41"/>
      <c r="I339" s="41"/>
      <c r="J339" s="42"/>
      <c r="K339" s="41"/>
      <c r="L339" s="41"/>
      <c r="M339" s="127"/>
      <c r="N339" s="41"/>
      <c r="O339" s="41"/>
      <c r="P339" s="41"/>
      <c r="Q339" s="42"/>
      <c r="R339" s="35"/>
      <c r="S339" s="35"/>
      <c r="T339" s="35"/>
      <c r="U339" s="35"/>
      <c r="V339" s="121"/>
      <c r="W339" s="42"/>
      <c r="X339" s="42"/>
      <c r="Y339" s="42"/>
      <c r="Z339" s="42"/>
      <c r="AA339" s="42"/>
      <c r="AB339" s="42"/>
      <c r="AC339" s="42"/>
      <c r="AD339" s="42"/>
      <c r="AE339" s="42"/>
      <c r="AF339" s="42"/>
      <c r="AG339" s="42"/>
      <c r="AH339" s="42"/>
      <c r="AI339" s="42"/>
      <c r="AJ339" s="42"/>
      <c r="AK339" s="42"/>
      <c r="AL339" s="42"/>
      <c r="AM339" s="42"/>
    </row>
    <row r="340" spans="1:39" x14ac:dyDescent="0.25">
      <c r="A340" s="38" t="s">
        <v>691</v>
      </c>
      <c r="B340" s="42"/>
      <c r="C340" s="42"/>
      <c r="D340" s="42"/>
      <c r="E340" s="41"/>
      <c r="F340" s="41"/>
      <c r="G340" s="41"/>
      <c r="H340" s="41"/>
      <c r="I340" s="41"/>
      <c r="J340" s="42"/>
      <c r="K340" s="41"/>
      <c r="L340" s="41"/>
      <c r="M340" s="127"/>
      <c r="N340" s="41"/>
      <c r="O340" s="41"/>
      <c r="P340" s="41"/>
      <c r="Q340" s="42"/>
      <c r="R340" s="35"/>
      <c r="S340" s="35"/>
      <c r="T340" s="35"/>
      <c r="U340" s="35"/>
      <c r="V340" s="121"/>
      <c r="W340" s="42"/>
      <c r="X340" s="42"/>
      <c r="Y340" s="42"/>
      <c r="Z340" s="42"/>
      <c r="AA340" s="42"/>
      <c r="AB340" s="42"/>
      <c r="AC340" s="42"/>
      <c r="AD340" s="42"/>
      <c r="AE340" s="42"/>
      <c r="AF340" s="42"/>
      <c r="AG340" s="42"/>
      <c r="AH340" s="42"/>
      <c r="AI340" s="42"/>
      <c r="AJ340" s="42"/>
      <c r="AK340" s="42"/>
      <c r="AL340" s="42"/>
      <c r="AM340" s="42"/>
    </row>
    <row r="341" spans="1:39" x14ac:dyDescent="0.25">
      <c r="A341" s="38" t="s">
        <v>692</v>
      </c>
      <c r="B341" s="42"/>
      <c r="C341" s="42"/>
      <c r="D341" s="42"/>
      <c r="E341" s="41"/>
      <c r="F341" s="41"/>
      <c r="G341" s="41"/>
      <c r="H341" s="41"/>
      <c r="I341" s="41"/>
      <c r="J341" s="42"/>
      <c r="K341" s="41"/>
      <c r="L341" s="41"/>
      <c r="M341" s="127"/>
      <c r="N341" s="41"/>
      <c r="O341" s="41"/>
      <c r="P341" s="41"/>
      <c r="Q341" s="42"/>
      <c r="R341" s="35"/>
      <c r="S341" s="35"/>
      <c r="T341" s="35"/>
      <c r="U341" s="35"/>
      <c r="V341" s="121"/>
      <c r="W341" s="42"/>
      <c r="X341" s="42"/>
      <c r="Y341" s="42"/>
      <c r="Z341" s="42"/>
      <c r="AA341" s="42"/>
      <c r="AB341" s="42"/>
      <c r="AC341" s="42"/>
      <c r="AD341" s="42"/>
      <c r="AE341" s="42"/>
      <c r="AF341" s="42"/>
      <c r="AG341" s="42"/>
      <c r="AH341" s="42"/>
      <c r="AI341" s="42"/>
      <c r="AJ341" s="42"/>
      <c r="AK341" s="42"/>
      <c r="AL341" s="42"/>
      <c r="AM341" s="42"/>
    </row>
    <row r="342" spans="1:39" x14ac:dyDescent="0.25">
      <c r="A342" s="38" t="s">
        <v>693</v>
      </c>
      <c r="B342" s="42"/>
      <c r="C342" s="42"/>
      <c r="D342" s="42"/>
      <c r="E342" s="41"/>
      <c r="F342" s="41"/>
      <c r="G342" s="41"/>
      <c r="H342" s="41"/>
      <c r="I342" s="41"/>
      <c r="J342" s="42"/>
      <c r="K342" s="41"/>
      <c r="L342" s="41"/>
      <c r="M342" s="127"/>
      <c r="N342" s="41"/>
      <c r="O342" s="41"/>
      <c r="P342" s="41"/>
      <c r="Q342" s="42"/>
      <c r="R342" s="35"/>
      <c r="S342" s="35"/>
      <c r="T342" s="35"/>
      <c r="U342" s="35"/>
      <c r="V342" s="121"/>
      <c r="W342" s="42"/>
      <c r="X342" s="42"/>
      <c r="Y342" s="42"/>
      <c r="Z342" s="42"/>
      <c r="AA342" s="42"/>
      <c r="AB342" s="42"/>
      <c r="AC342" s="42"/>
      <c r="AD342" s="42"/>
      <c r="AE342" s="42"/>
      <c r="AF342" s="42"/>
      <c r="AG342" s="42"/>
      <c r="AH342" s="42"/>
      <c r="AI342" s="42"/>
      <c r="AJ342" s="42"/>
      <c r="AK342" s="42"/>
      <c r="AL342" s="42"/>
      <c r="AM342" s="42"/>
    </row>
    <row r="343" spans="1:39" x14ac:dyDescent="0.25">
      <c r="A343" s="38" t="s">
        <v>694</v>
      </c>
      <c r="B343" s="42"/>
      <c r="C343" s="42"/>
      <c r="D343" s="42"/>
      <c r="E343" s="41"/>
      <c r="F343" s="41"/>
      <c r="G343" s="41"/>
      <c r="H343" s="41"/>
      <c r="I343" s="41"/>
      <c r="J343" s="42"/>
      <c r="K343" s="41"/>
      <c r="L343" s="41"/>
      <c r="M343" s="127"/>
      <c r="N343" s="41"/>
      <c r="O343" s="41"/>
      <c r="P343" s="41"/>
      <c r="Q343" s="42"/>
      <c r="R343" s="35"/>
      <c r="S343" s="35"/>
      <c r="T343" s="35"/>
      <c r="U343" s="35"/>
      <c r="V343" s="121"/>
      <c r="W343" s="42"/>
      <c r="X343" s="42"/>
      <c r="Y343" s="42"/>
      <c r="Z343" s="42"/>
      <c r="AA343" s="42"/>
      <c r="AB343" s="42"/>
      <c r="AC343" s="42"/>
      <c r="AD343" s="42"/>
      <c r="AE343" s="42"/>
      <c r="AF343" s="42"/>
      <c r="AG343" s="42"/>
      <c r="AH343" s="42"/>
      <c r="AI343" s="42"/>
      <c r="AJ343" s="42"/>
      <c r="AK343" s="42"/>
      <c r="AL343" s="42"/>
      <c r="AM343" s="42"/>
    </row>
    <row r="344" spans="1:39" x14ac:dyDescent="0.25">
      <c r="A344" s="38" t="s">
        <v>695</v>
      </c>
      <c r="B344" s="42"/>
      <c r="C344" s="42"/>
      <c r="D344" s="42"/>
      <c r="E344" s="41"/>
      <c r="F344" s="41"/>
      <c r="G344" s="41"/>
      <c r="H344" s="41"/>
      <c r="I344" s="41"/>
      <c r="J344" s="42"/>
      <c r="K344" s="41"/>
      <c r="L344" s="41"/>
      <c r="M344" s="127"/>
      <c r="N344" s="41"/>
      <c r="O344" s="41"/>
      <c r="P344" s="41"/>
      <c r="Q344" s="42"/>
      <c r="R344" s="35"/>
      <c r="S344" s="35"/>
      <c r="T344" s="35"/>
      <c r="U344" s="35"/>
      <c r="V344" s="121"/>
      <c r="W344" s="42"/>
      <c r="X344" s="42"/>
      <c r="Y344" s="42"/>
      <c r="Z344" s="42"/>
      <c r="AA344" s="42"/>
      <c r="AB344" s="42"/>
      <c r="AC344" s="42"/>
      <c r="AD344" s="42"/>
      <c r="AE344" s="42"/>
      <c r="AF344" s="42"/>
      <c r="AG344" s="42"/>
      <c r="AH344" s="42"/>
      <c r="AI344" s="42"/>
      <c r="AJ344" s="42"/>
      <c r="AK344" s="42"/>
      <c r="AL344" s="42"/>
      <c r="AM344" s="42"/>
    </row>
    <row r="345" spans="1:39" x14ac:dyDescent="0.25">
      <c r="A345" s="38" t="s">
        <v>696</v>
      </c>
      <c r="B345" s="42"/>
      <c r="C345" s="42"/>
      <c r="D345" s="42"/>
      <c r="E345" s="41"/>
      <c r="F345" s="41"/>
      <c r="G345" s="41"/>
      <c r="H345" s="41"/>
      <c r="I345" s="41"/>
      <c r="J345" s="42"/>
      <c r="K345" s="41"/>
      <c r="L345" s="41"/>
      <c r="M345" s="127"/>
      <c r="N345" s="41"/>
      <c r="O345" s="41"/>
      <c r="P345" s="41"/>
      <c r="Q345" s="42"/>
      <c r="R345" s="35"/>
      <c r="S345" s="35"/>
      <c r="T345" s="35"/>
      <c r="U345" s="35"/>
      <c r="V345" s="121"/>
      <c r="W345" s="42"/>
      <c r="X345" s="42"/>
      <c r="Y345" s="42"/>
      <c r="Z345" s="42"/>
      <c r="AA345" s="42"/>
      <c r="AB345" s="42"/>
      <c r="AC345" s="42"/>
      <c r="AD345" s="42"/>
      <c r="AE345" s="42"/>
      <c r="AF345" s="42"/>
      <c r="AG345" s="42"/>
      <c r="AH345" s="42"/>
      <c r="AI345" s="42"/>
      <c r="AJ345" s="42"/>
      <c r="AK345" s="42"/>
      <c r="AL345" s="42"/>
      <c r="AM345" s="42"/>
    </row>
    <row r="346" spans="1:39" x14ac:dyDescent="0.25">
      <c r="A346" s="38" t="s">
        <v>697</v>
      </c>
      <c r="B346" s="42"/>
      <c r="C346" s="42"/>
      <c r="D346" s="42"/>
      <c r="E346" s="41"/>
      <c r="F346" s="41"/>
      <c r="G346" s="41"/>
      <c r="H346" s="41"/>
      <c r="I346" s="41"/>
      <c r="J346" s="42"/>
      <c r="K346" s="41"/>
      <c r="L346" s="41"/>
      <c r="M346" s="127"/>
      <c r="N346" s="41"/>
      <c r="O346" s="41"/>
      <c r="P346" s="41"/>
      <c r="Q346" s="42"/>
      <c r="R346" s="35"/>
      <c r="S346" s="35"/>
      <c r="T346" s="35"/>
      <c r="U346" s="35"/>
      <c r="V346" s="121"/>
      <c r="W346" s="42"/>
      <c r="X346" s="42"/>
      <c r="Y346" s="42"/>
      <c r="Z346" s="42"/>
      <c r="AA346" s="42"/>
      <c r="AB346" s="42"/>
      <c r="AC346" s="42"/>
      <c r="AD346" s="42"/>
      <c r="AE346" s="42"/>
      <c r="AF346" s="42"/>
      <c r="AG346" s="42"/>
      <c r="AH346" s="42"/>
      <c r="AI346" s="42"/>
      <c r="AJ346" s="42"/>
      <c r="AK346" s="42"/>
      <c r="AL346" s="42"/>
      <c r="AM346" s="42"/>
    </row>
    <row r="347" spans="1:39" x14ac:dyDescent="0.25">
      <c r="A347" s="38" t="s">
        <v>698</v>
      </c>
      <c r="B347" s="42"/>
      <c r="C347" s="42"/>
      <c r="D347" s="42"/>
      <c r="E347" s="41"/>
      <c r="F347" s="41"/>
      <c r="G347" s="41"/>
      <c r="H347" s="41"/>
      <c r="I347" s="41"/>
      <c r="J347" s="42"/>
      <c r="K347" s="41"/>
      <c r="L347" s="41"/>
      <c r="M347" s="127"/>
      <c r="N347" s="41"/>
      <c r="O347" s="41"/>
      <c r="P347" s="41"/>
      <c r="Q347" s="42"/>
      <c r="R347" s="35"/>
      <c r="S347" s="35"/>
      <c r="T347" s="35"/>
      <c r="U347" s="35"/>
      <c r="V347" s="121"/>
      <c r="W347" s="42"/>
      <c r="X347" s="42"/>
      <c r="Y347" s="42"/>
      <c r="Z347" s="42"/>
      <c r="AA347" s="42"/>
      <c r="AB347" s="42"/>
      <c r="AC347" s="42"/>
      <c r="AD347" s="42"/>
      <c r="AE347" s="42"/>
      <c r="AF347" s="42"/>
      <c r="AG347" s="42"/>
      <c r="AH347" s="42"/>
      <c r="AI347" s="42"/>
      <c r="AJ347" s="42"/>
      <c r="AK347" s="42"/>
      <c r="AL347" s="42"/>
      <c r="AM347" s="42"/>
    </row>
    <row r="348" spans="1:39" x14ac:dyDescent="0.25">
      <c r="A348" s="38" t="s">
        <v>699</v>
      </c>
      <c r="B348" s="42"/>
      <c r="C348" s="42"/>
      <c r="D348" s="42"/>
      <c r="E348" s="41"/>
      <c r="F348" s="41"/>
      <c r="G348" s="41"/>
      <c r="H348" s="41"/>
      <c r="I348" s="41"/>
      <c r="J348" s="42"/>
      <c r="K348" s="41"/>
      <c r="L348" s="41"/>
      <c r="M348" s="127"/>
      <c r="N348" s="41"/>
      <c r="O348" s="41"/>
      <c r="P348" s="41"/>
      <c r="Q348" s="42"/>
      <c r="R348" s="35"/>
      <c r="S348" s="35"/>
      <c r="T348" s="35"/>
      <c r="U348" s="35"/>
      <c r="V348" s="121"/>
      <c r="W348" s="42"/>
      <c r="X348" s="42"/>
      <c r="Y348" s="42"/>
      <c r="Z348" s="42"/>
      <c r="AA348" s="42"/>
      <c r="AB348" s="42"/>
      <c r="AC348" s="42"/>
      <c r="AD348" s="42"/>
      <c r="AE348" s="42"/>
      <c r="AF348" s="42"/>
      <c r="AG348" s="42"/>
      <c r="AH348" s="42"/>
      <c r="AI348" s="42"/>
      <c r="AJ348" s="42"/>
      <c r="AK348" s="42"/>
      <c r="AL348" s="42"/>
      <c r="AM348" s="42"/>
    </row>
    <row r="349" spans="1:39" x14ac:dyDescent="0.25">
      <c r="A349" s="38" t="s">
        <v>700</v>
      </c>
      <c r="B349" s="42"/>
      <c r="C349" s="42"/>
      <c r="D349" s="42"/>
      <c r="E349" s="41"/>
      <c r="F349" s="41"/>
      <c r="G349" s="41"/>
      <c r="H349" s="41"/>
      <c r="I349" s="41"/>
      <c r="J349" s="42"/>
      <c r="K349" s="41"/>
      <c r="L349" s="41"/>
      <c r="M349" s="127"/>
      <c r="N349" s="41"/>
      <c r="O349" s="41"/>
      <c r="P349" s="41"/>
      <c r="Q349" s="42"/>
      <c r="R349" s="35"/>
      <c r="S349" s="35"/>
      <c r="T349" s="35"/>
      <c r="U349" s="35"/>
      <c r="V349" s="121"/>
      <c r="W349" s="42"/>
      <c r="X349" s="42"/>
      <c r="Y349" s="42"/>
      <c r="Z349" s="42"/>
      <c r="AA349" s="42"/>
      <c r="AB349" s="42"/>
      <c r="AC349" s="42"/>
      <c r="AD349" s="42"/>
      <c r="AE349" s="42"/>
      <c r="AF349" s="42"/>
      <c r="AG349" s="42"/>
      <c r="AH349" s="42"/>
      <c r="AI349" s="42"/>
      <c r="AJ349" s="42"/>
      <c r="AK349" s="42"/>
      <c r="AL349" s="42"/>
      <c r="AM349" s="42"/>
    </row>
    <row r="350" spans="1:39" x14ac:dyDescent="0.25">
      <c r="A350" s="38" t="s">
        <v>701</v>
      </c>
      <c r="B350" s="42"/>
      <c r="C350" s="42"/>
      <c r="D350" s="42"/>
      <c r="E350" s="41"/>
      <c r="F350" s="41"/>
      <c r="G350" s="41"/>
      <c r="H350" s="41"/>
      <c r="I350" s="41"/>
      <c r="J350" s="42"/>
      <c r="K350" s="41"/>
      <c r="L350" s="41"/>
      <c r="M350" s="127"/>
      <c r="N350" s="41"/>
      <c r="O350" s="41"/>
      <c r="P350" s="41"/>
      <c r="Q350" s="42"/>
      <c r="R350" s="35"/>
      <c r="S350" s="35"/>
      <c r="T350" s="35"/>
      <c r="U350" s="35"/>
      <c r="V350" s="121"/>
      <c r="W350" s="42"/>
      <c r="X350" s="42"/>
      <c r="Y350" s="42"/>
      <c r="Z350" s="42"/>
      <c r="AA350" s="42"/>
      <c r="AB350" s="42"/>
      <c r="AC350" s="42"/>
      <c r="AD350" s="42"/>
      <c r="AE350" s="42"/>
      <c r="AF350" s="42"/>
      <c r="AG350" s="42"/>
      <c r="AH350" s="42"/>
      <c r="AI350" s="42"/>
      <c r="AJ350" s="42"/>
      <c r="AK350" s="42"/>
      <c r="AL350" s="42"/>
      <c r="AM350" s="42"/>
    </row>
    <row r="351" spans="1:39" x14ac:dyDescent="0.25">
      <c r="A351" s="38" t="s">
        <v>702</v>
      </c>
      <c r="B351" s="42"/>
      <c r="C351" s="42"/>
      <c r="D351" s="42"/>
      <c r="E351" s="41"/>
      <c r="F351" s="41"/>
      <c r="G351" s="41"/>
      <c r="H351" s="41"/>
      <c r="I351" s="41"/>
      <c r="J351" s="42"/>
      <c r="K351" s="41"/>
      <c r="L351" s="41"/>
      <c r="M351" s="127"/>
      <c r="N351" s="41"/>
      <c r="O351" s="41"/>
      <c r="P351" s="41"/>
      <c r="Q351" s="42"/>
      <c r="R351" s="35"/>
      <c r="S351" s="35"/>
      <c r="T351" s="35"/>
      <c r="U351" s="35"/>
      <c r="V351" s="121"/>
      <c r="W351" s="42"/>
      <c r="X351" s="42"/>
      <c r="Y351" s="42"/>
      <c r="Z351" s="42"/>
      <c r="AA351" s="42"/>
      <c r="AB351" s="42"/>
      <c r="AC351" s="42"/>
      <c r="AD351" s="42"/>
      <c r="AE351" s="42"/>
      <c r="AF351" s="42"/>
      <c r="AG351" s="42"/>
      <c r="AH351" s="42"/>
      <c r="AI351" s="42"/>
      <c r="AJ351" s="42"/>
      <c r="AK351" s="42"/>
      <c r="AL351" s="42"/>
      <c r="AM351" s="42"/>
    </row>
    <row r="352" spans="1:39" x14ac:dyDescent="0.25">
      <c r="A352" s="38" t="s">
        <v>703</v>
      </c>
      <c r="B352" s="42"/>
      <c r="C352" s="42"/>
      <c r="D352" s="42"/>
      <c r="E352" s="41"/>
      <c r="F352" s="41"/>
      <c r="G352" s="41"/>
      <c r="H352" s="41"/>
      <c r="I352" s="41"/>
      <c r="J352" s="42"/>
      <c r="K352" s="41"/>
      <c r="L352" s="41"/>
      <c r="M352" s="127"/>
      <c r="N352" s="41"/>
      <c r="O352" s="41"/>
      <c r="P352" s="41"/>
      <c r="Q352" s="42"/>
      <c r="R352" s="35"/>
      <c r="S352" s="35"/>
      <c r="T352" s="35"/>
      <c r="U352" s="35"/>
      <c r="V352" s="121"/>
      <c r="W352" s="42"/>
      <c r="X352" s="42"/>
      <c r="Y352" s="42"/>
      <c r="Z352" s="42"/>
      <c r="AA352" s="42"/>
      <c r="AB352" s="42"/>
      <c r="AC352" s="42"/>
      <c r="AD352" s="42"/>
      <c r="AE352" s="42"/>
      <c r="AF352" s="42"/>
      <c r="AG352" s="42"/>
      <c r="AH352" s="42"/>
      <c r="AI352" s="42"/>
      <c r="AJ352" s="42"/>
      <c r="AK352" s="42"/>
      <c r="AL352" s="42"/>
      <c r="AM352" s="42"/>
    </row>
    <row r="353" spans="1:39" x14ac:dyDescent="0.25">
      <c r="A353" s="38" t="s">
        <v>704</v>
      </c>
      <c r="B353" s="42"/>
      <c r="C353" s="42"/>
      <c r="D353" s="42"/>
      <c r="E353" s="41"/>
      <c r="F353" s="41"/>
      <c r="G353" s="41"/>
      <c r="H353" s="41"/>
      <c r="I353" s="41"/>
      <c r="J353" s="42"/>
      <c r="K353" s="41"/>
      <c r="L353" s="41"/>
      <c r="M353" s="127"/>
      <c r="N353" s="41"/>
      <c r="O353" s="41"/>
      <c r="P353" s="41"/>
      <c r="Q353" s="42"/>
      <c r="R353" s="35"/>
      <c r="S353" s="35"/>
      <c r="T353" s="35"/>
      <c r="U353" s="35"/>
      <c r="V353" s="121"/>
      <c r="W353" s="42"/>
      <c r="X353" s="42"/>
      <c r="Y353" s="42"/>
      <c r="Z353" s="42"/>
      <c r="AA353" s="42"/>
      <c r="AB353" s="42"/>
      <c r="AC353" s="42"/>
      <c r="AD353" s="42"/>
      <c r="AE353" s="42"/>
      <c r="AF353" s="42"/>
      <c r="AG353" s="42"/>
      <c r="AH353" s="42"/>
      <c r="AI353" s="42"/>
      <c r="AJ353" s="42"/>
      <c r="AK353" s="42"/>
      <c r="AL353" s="42"/>
      <c r="AM353" s="42"/>
    </row>
    <row r="354" spans="1:39" x14ac:dyDescent="0.25">
      <c r="A354" s="38" t="s">
        <v>705</v>
      </c>
      <c r="B354" s="42"/>
      <c r="C354" s="42"/>
      <c r="D354" s="42"/>
      <c r="E354" s="41"/>
      <c r="F354" s="41"/>
      <c r="G354" s="41"/>
      <c r="H354" s="41"/>
      <c r="I354" s="41"/>
      <c r="J354" s="42"/>
      <c r="K354" s="41"/>
      <c r="L354" s="41"/>
      <c r="M354" s="127"/>
      <c r="N354" s="41"/>
      <c r="O354" s="41"/>
      <c r="P354" s="41"/>
      <c r="Q354" s="42"/>
      <c r="R354" s="35"/>
      <c r="S354" s="35"/>
      <c r="T354" s="35"/>
      <c r="U354" s="35"/>
      <c r="V354" s="121"/>
      <c r="W354" s="42"/>
      <c r="X354" s="42"/>
      <c r="Y354" s="42"/>
      <c r="Z354" s="42"/>
      <c r="AA354" s="42"/>
      <c r="AB354" s="42"/>
      <c r="AC354" s="42"/>
      <c r="AD354" s="42"/>
      <c r="AE354" s="42"/>
      <c r="AF354" s="42"/>
      <c r="AG354" s="42"/>
      <c r="AH354" s="42"/>
      <c r="AI354" s="42"/>
      <c r="AJ354" s="42"/>
      <c r="AK354" s="42"/>
      <c r="AL354" s="42"/>
      <c r="AM354" s="42"/>
    </row>
    <row r="355" spans="1:39" x14ac:dyDescent="0.25">
      <c r="A355" s="38" t="s">
        <v>706</v>
      </c>
      <c r="B355" s="42"/>
      <c r="C355" s="42"/>
      <c r="D355" s="42"/>
      <c r="E355" s="41"/>
      <c r="F355" s="41"/>
      <c r="G355" s="41"/>
      <c r="H355" s="41"/>
      <c r="I355" s="41"/>
      <c r="J355" s="42"/>
      <c r="K355" s="41"/>
      <c r="L355" s="41"/>
      <c r="M355" s="127"/>
      <c r="N355" s="41"/>
      <c r="O355" s="41"/>
      <c r="P355" s="41"/>
      <c r="Q355" s="42"/>
      <c r="R355" s="35"/>
      <c r="S355" s="35"/>
      <c r="T355" s="35"/>
      <c r="U355" s="35"/>
      <c r="V355" s="121"/>
      <c r="W355" s="42"/>
      <c r="X355" s="42"/>
      <c r="Y355" s="42"/>
      <c r="Z355" s="42"/>
      <c r="AA355" s="42"/>
      <c r="AB355" s="42"/>
      <c r="AC355" s="42"/>
      <c r="AD355" s="42"/>
      <c r="AE355" s="42"/>
      <c r="AF355" s="42"/>
      <c r="AG355" s="42"/>
      <c r="AH355" s="42"/>
      <c r="AI355" s="42"/>
      <c r="AJ355" s="42"/>
      <c r="AK355" s="42"/>
      <c r="AL355" s="42"/>
      <c r="AM355" s="42"/>
    </row>
    <row r="356" spans="1:39" x14ac:dyDescent="0.25">
      <c r="A356" s="38" t="s">
        <v>707</v>
      </c>
      <c r="B356" s="42"/>
      <c r="C356" s="42"/>
      <c r="D356" s="42"/>
      <c r="E356" s="41"/>
      <c r="F356" s="41"/>
      <c r="G356" s="41"/>
      <c r="H356" s="41"/>
      <c r="I356" s="41"/>
      <c r="J356" s="42"/>
      <c r="K356" s="41"/>
      <c r="L356" s="41"/>
      <c r="M356" s="127"/>
      <c r="N356" s="41"/>
      <c r="O356" s="41"/>
      <c r="P356" s="41"/>
      <c r="Q356" s="42"/>
      <c r="R356" s="35"/>
      <c r="S356" s="35"/>
      <c r="T356" s="35"/>
      <c r="U356" s="35"/>
      <c r="V356" s="121"/>
      <c r="W356" s="42"/>
      <c r="X356" s="42"/>
      <c r="Y356" s="42"/>
      <c r="Z356" s="42"/>
      <c r="AA356" s="42"/>
      <c r="AB356" s="42"/>
      <c r="AC356" s="42"/>
      <c r="AD356" s="42"/>
      <c r="AE356" s="42"/>
      <c r="AF356" s="42"/>
      <c r="AG356" s="42"/>
      <c r="AH356" s="42"/>
      <c r="AI356" s="42"/>
      <c r="AJ356" s="42"/>
      <c r="AK356" s="42"/>
      <c r="AL356" s="42"/>
      <c r="AM356" s="42"/>
    </row>
    <row r="357" spans="1:39" x14ac:dyDescent="0.25">
      <c r="A357" s="38" t="s">
        <v>708</v>
      </c>
      <c r="B357" s="42"/>
      <c r="C357" s="42"/>
      <c r="D357" s="42"/>
      <c r="E357" s="41"/>
      <c r="F357" s="41"/>
      <c r="G357" s="41"/>
      <c r="H357" s="41"/>
      <c r="I357" s="41"/>
      <c r="J357" s="42"/>
      <c r="K357" s="41"/>
      <c r="L357" s="41"/>
      <c r="M357" s="127"/>
      <c r="N357" s="41"/>
      <c r="O357" s="41"/>
      <c r="P357" s="41"/>
      <c r="Q357" s="42"/>
      <c r="R357" s="35"/>
      <c r="S357" s="35"/>
      <c r="T357" s="35"/>
      <c r="U357" s="35"/>
      <c r="V357" s="121"/>
      <c r="W357" s="42"/>
      <c r="X357" s="42"/>
      <c r="Y357" s="42"/>
      <c r="Z357" s="42"/>
      <c r="AA357" s="42"/>
      <c r="AB357" s="42"/>
      <c r="AC357" s="42"/>
      <c r="AD357" s="42"/>
      <c r="AE357" s="42"/>
      <c r="AF357" s="42"/>
      <c r="AG357" s="42"/>
      <c r="AH357" s="42"/>
      <c r="AI357" s="42"/>
      <c r="AJ357" s="42"/>
      <c r="AK357" s="42"/>
      <c r="AL357" s="42"/>
      <c r="AM357" s="42"/>
    </row>
    <row r="358" spans="1:39" x14ac:dyDescent="0.25">
      <c r="A358" s="38" t="s">
        <v>709</v>
      </c>
      <c r="B358" s="42"/>
      <c r="C358" s="42"/>
      <c r="D358" s="42"/>
      <c r="E358" s="41"/>
      <c r="F358" s="41"/>
      <c r="G358" s="41"/>
      <c r="H358" s="41"/>
      <c r="I358" s="41"/>
      <c r="J358" s="42"/>
      <c r="K358" s="41"/>
      <c r="L358" s="41"/>
      <c r="M358" s="127"/>
      <c r="N358" s="41"/>
      <c r="O358" s="41"/>
      <c r="P358" s="41"/>
      <c r="Q358" s="42"/>
      <c r="R358" s="35"/>
      <c r="S358" s="35"/>
      <c r="T358" s="35"/>
      <c r="U358" s="35"/>
      <c r="V358" s="121"/>
      <c r="W358" s="42"/>
      <c r="X358" s="42"/>
      <c r="Y358" s="42"/>
      <c r="Z358" s="42"/>
      <c r="AA358" s="42"/>
      <c r="AB358" s="42"/>
      <c r="AC358" s="42"/>
      <c r="AD358" s="42"/>
      <c r="AE358" s="42"/>
      <c r="AF358" s="42"/>
      <c r="AG358" s="42"/>
      <c r="AH358" s="42"/>
      <c r="AI358" s="42"/>
      <c r="AJ358" s="42"/>
      <c r="AK358" s="42"/>
      <c r="AL358" s="42"/>
      <c r="AM358" s="42"/>
    </row>
    <row r="359" spans="1:39" x14ac:dyDescent="0.25">
      <c r="A359" s="38" t="s">
        <v>710</v>
      </c>
      <c r="B359" s="42"/>
      <c r="C359" s="42"/>
      <c r="D359" s="42"/>
      <c r="E359" s="41"/>
      <c r="F359" s="41"/>
      <c r="G359" s="41"/>
      <c r="H359" s="41"/>
      <c r="I359" s="41"/>
      <c r="J359" s="42"/>
      <c r="K359" s="41"/>
      <c r="L359" s="41"/>
      <c r="M359" s="127"/>
      <c r="N359" s="41"/>
      <c r="O359" s="41"/>
      <c r="P359" s="41"/>
      <c r="Q359" s="42"/>
      <c r="R359" s="35"/>
      <c r="S359" s="35"/>
      <c r="T359" s="35"/>
      <c r="U359" s="35"/>
      <c r="V359" s="121"/>
      <c r="W359" s="42"/>
      <c r="X359" s="42"/>
      <c r="Y359" s="42"/>
      <c r="Z359" s="42"/>
      <c r="AA359" s="42"/>
      <c r="AB359" s="42"/>
      <c r="AC359" s="42"/>
      <c r="AD359" s="42"/>
      <c r="AE359" s="42"/>
      <c r="AF359" s="42"/>
      <c r="AG359" s="42"/>
      <c r="AH359" s="42"/>
      <c r="AI359" s="42"/>
      <c r="AJ359" s="42"/>
      <c r="AK359" s="42"/>
      <c r="AL359" s="42"/>
      <c r="AM359" s="42"/>
    </row>
    <row r="360" spans="1:39" x14ac:dyDescent="0.25">
      <c r="A360" s="38" t="s">
        <v>711</v>
      </c>
      <c r="B360" s="42"/>
      <c r="C360" s="42"/>
      <c r="D360" s="42"/>
      <c r="E360" s="41"/>
      <c r="F360" s="41"/>
      <c r="G360" s="41"/>
      <c r="H360" s="41"/>
      <c r="I360" s="41"/>
      <c r="J360" s="42"/>
      <c r="K360" s="41"/>
      <c r="L360" s="41"/>
      <c r="M360" s="127"/>
      <c r="N360" s="41"/>
      <c r="O360" s="41"/>
      <c r="P360" s="41"/>
      <c r="Q360" s="42"/>
      <c r="R360" s="35"/>
      <c r="S360" s="35"/>
      <c r="T360" s="35"/>
      <c r="U360" s="35"/>
      <c r="V360" s="121"/>
      <c r="W360" s="42"/>
      <c r="X360" s="42"/>
      <c r="Y360" s="42"/>
      <c r="Z360" s="42"/>
      <c r="AA360" s="42"/>
      <c r="AB360" s="42"/>
      <c r="AC360" s="42"/>
      <c r="AD360" s="42"/>
      <c r="AE360" s="42"/>
      <c r="AF360" s="42"/>
      <c r="AG360" s="42"/>
      <c r="AH360" s="42"/>
      <c r="AI360" s="42"/>
      <c r="AJ360" s="42"/>
      <c r="AK360" s="42"/>
      <c r="AL360" s="42"/>
      <c r="AM360" s="42"/>
    </row>
    <row r="361" spans="1:39" x14ac:dyDescent="0.25">
      <c r="A361" s="38" t="s">
        <v>712</v>
      </c>
      <c r="B361" s="42"/>
      <c r="C361" s="42"/>
      <c r="D361" s="42"/>
      <c r="E361" s="41"/>
      <c r="F361" s="41"/>
      <c r="G361" s="41"/>
      <c r="H361" s="41"/>
      <c r="I361" s="41"/>
      <c r="J361" s="42"/>
      <c r="K361" s="41"/>
      <c r="L361" s="41"/>
      <c r="M361" s="127"/>
      <c r="N361" s="41"/>
      <c r="O361" s="41"/>
      <c r="P361" s="41"/>
      <c r="Q361" s="42"/>
      <c r="R361" s="35"/>
      <c r="S361" s="35"/>
      <c r="T361" s="35"/>
      <c r="U361" s="35"/>
      <c r="V361" s="121"/>
      <c r="W361" s="42"/>
      <c r="X361" s="42"/>
      <c r="Y361" s="42"/>
      <c r="Z361" s="42"/>
      <c r="AA361" s="42"/>
      <c r="AB361" s="42"/>
      <c r="AC361" s="42"/>
      <c r="AD361" s="42"/>
      <c r="AE361" s="42"/>
      <c r="AF361" s="42"/>
      <c r="AG361" s="42"/>
      <c r="AH361" s="42"/>
      <c r="AI361" s="42"/>
      <c r="AJ361" s="42"/>
      <c r="AK361" s="42"/>
      <c r="AL361" s="42"/>
      <c r="AM361" s="42"/>
    </row>
    <row r="362" spans="1:39" x14ac:dyDescent="0.25">
      <c r="A362" s="38" t="s">
        <v>713</v>
      </c>
      <c r="B362" s="42"/>
      <c r="C362" s="42"/>
      <c r="D362" s="42"/>
      <c r="E362" s="41"/>
      <c r="F362" s="41"/>
      <c r="G362" s="41"/>
      <c r="H362" s="41"/>
      <c r="I362" s="41"/>
      <c r="J362" s="42"/>
      <c r="K362" s="41"/>
      <c r="L362" s="41"/>
      <c r="M362" s="127"/>
      <c r="N362" s="41"/>
      <c r="O362" s="41"/>
      <c r="P362" s="41"/>
      <c r="Q362" s="42"/>
      <c r="R362" s="35"/>
      <c r="S362" s="35"/>
      <c r="T362" s="35"/>
      <c r="U362" s="35"/>
      <c r="V362" s="121"/>
      <c r="W362" s="42"/>
      <c r="X362" s="42"/>
      <c r="Y362" s="42"/>
      <c r="Z362" s="42"/>
      <c r="AA362" s="42"/>
      <c r="AB362" s="42"/>
      <c r="AC362" s="42"/>
      <c r="AD362" s="42"/>
      <c r="AE362" s="42"/>
      <c r="AF362" s="42"/>
      <c r="AG362" s="42"/>
      <c r="AH362" s="42"/>
      <c r="AI362" s="42"/>
      <c r="AJ362" s="42"/>
      <c r="AK362" s="42"/>
      <c r="AL362" s="42"/>
      <c r="AM362" s="42"/>
    </row>
    <row r="363" spans="1:39" x14ac:dyDescent="0.25">
      <c r="A363" s="38" t="s">
        <v>714</v>
      </c>
      <c r="B363" s="42"/>
      <c r="C363" s="42"/>
      <c r="D363" s="42"/>
      <c r="E363" s="41"/>
      <c r="F363" s="41"/>
      <c r="G363" s="41"/>
      <c r="H363" s="41"/>
      <c r="I363" s="41"/>
      <c r="J363" s="42"/>
      <c r="K363" s="41"/>
      <c r="L363" s="41"/>
      <c r="M363" s="127"/>
      <c r="N363" s="41"/>
      <c r="O363" s="41"/>
      <c r="P363" s="41"/>
      <c r="Q363" s="42"/>
      <c r="R363" s="35"/>
      <c r="S363" s="35"/>
      <c r="T363" s="35"/>
      <c r="U363" s="35"/>
      <c r="V363" s="121"/>
      <c r="W363" s="42"/>
      <c r="X363" s="42"/>
      <c r="Y363" s="42"/>
      <c r="Z363" s="42"/>
      <c r="AA363" s="42"/>
      <c r="AB363" s="42"/>
      <c r="AC363" s="42"/>
      <c r="AD363" s="42"/>
      <c r="AE363" s="42"/>
      <c r="AF363" s="42"/>
      <c r="AG363" s="42"/>
      <c r="AH363" s="42"/>
      <c r="AI363" s="42"/>
      <c r="AJ363" s="42"/>
      <c r="AK363" s="42"/>
      <c r="AL363" s="42"/>
      <c r="AM363" s="42"/>
    </row>
    <row r="364" spans="1:39" x14ac:dyDescent="0.25">
      <c r="A364" s="38" t="s">
        <v>715</v>
      </c>
      <c r="B364" s="42"/>
      <c r="C364" s="42"/>
      <c r="D364" s="42"/>
      <c r="E364" s="41"/>
      <c r="F364" s="41"/>
      <c r="G364" s="41"/>
      <c r="H364" s="41"/>
      <c r="I364" s="41"/>
      <c r="J364" s="42"/>
      <c r="K364" s="41"/>
      <c r="L364" s="41"/>
      <c r="M364" s="127"/>
      <c r="N364" s="41"/>
      <c r="O364" s="41"/>
      <c r="P364" s="41"/>
      <c r="Q364" s="42"/>
      <c r="R364" s="35"/>
      <c r="S364" s="35"/>
      <c r="T364" s="35"/>
      <c r="U364" s="35"/>
      <c r="V364" s="121"/>
      <c r="W364" s="42"/>
      <c r="X364" s="42"/>
      <c r="Y364" s="42"/>
      <c r="Z364" s="42"/>
      <c r="AA364" s="42"/>
      <c r="AB364" s="42"/>
      <c r="AC364" s="42"/>
      <c r="AD364" s="42"/>
      <c r="AE364" s="42"/>
      <c r="AF364" s="42"/>
      <c r="AG364" s="42"/>
      <c r="AH364" s="42"/>
      <c r="AI364" s="42"/>
      <c r="AJ364" s="42"/>
      <c r="AK364" s="42"/>
      <c r="AL364" s="42"/>
      <c r="AM364" s="42"/>
    </row>
    <row r="365" spans="1:39" x14ac:dyDescent="0.25">
      <c r="A365" s="38" t="s">
        <v>716</v>
      </c>
      <c r="B365" s="42"/>
      <c r="C365" s="42"/>
      <c r="D365" s="42"/>
      <c r="E365" s="41"/>
      <c r="F365" s="41"/>
      <c r="G365" s="41"/>
      <c r="H365" s="41"/>
      <c r="I365" s="41"/>
      <c r="J365" s="42"/>
      <c r="K365" s="41"/>
      <c r="L365" s="41"/>
      <c r="M365" s="127"/>
      <c r="N365" s="41"/>
      <c r="O365" s="41"/>
      <c r="P365" s="41"/>
      <c r="Q365" s="42"/>
      <c r="R365" s="35"/>
      <c r="S365" s="35"/>
      <c r="T365" s="35"/>
      <c r="U365" s="35"/>
      <c r="V365" s="121"/>
      <c r="W365" s="42"/>
      <c r="X365" s="42"/>
      <c r="Y365" s="42"/>
      <c r="Z365" s="42"/>
      <c r="AA365" s="42"/>
      <c r="AB365" s="42"/>
      <c r="AC365" s="42"/>
      <c r="AD365" s="42"/>
      <c r="AE365" s="42"/>
      <c r="AF365" s="42"/>
      <c r="AG365" s="42"/>
      <c r="AH365" s="42"/>
      <c r="AI365" s="42"/>
      <c r="AJ365" s="42"/>
      <c r="AK365" s="42"/>
      <c r="AL365" s="42"/>
      <c r="AM365" s="42"/>
    </row>
    <row r="366" spans="1:39" x14ac:dyDescent="0.25">
      <c r="A366" s="38" t="s">
        <v>717</v>
      </c>
      <c r="B366" s="42"/>
      <c r="C366" s="42"/>
      <c r="D366" s="42"/>
      <c r="E366" s="41"/>
      <c r="F366" s="41"/>
      <c r="G366" s="41"/>
      <c r="H366" s="41"/>
      <c r="I366" s="41"/>
      <c r="J366" s="42"/>
      <c r="K366" s="41"/>
      <c r="L366" s="41"/>
      <c r="M366" s="127"/>
      <c r="N366" s="41"/>
      <c r="O366" s="41"/>
      <c r="P366" s="41"/>
      <c r="Q366" s="42"/>
      <c r="R366" s="35"/>
      <c r="S366" s="35"/>
      <c r="T366" s="35"/>
      <c r="U366" s="35"/>
      <c r="V366" s="121"/>
      <c r="W366" s="42"/>
      <c r="X366" s="42"/>
      <c r="Y366" s="42"/>
      <c r="Z366" s="42"/>
      <c r="AA366" s="42"/>
      <c r="AB366" s="42"/>
      <c r="AC366" s="42"/>
      <c r="AD366" s="42"/>
      <c r="AE366" s="42"/>
      <c r="AF366" s="42"/>
      <c r="AG366" s="42"/>
      <c r="AH366" s="42"/>
      <c r="AI366" s="42"/>
      <c r="AJ366" s="42"/>
      <c r="AK366" s="42"/>
      <c r="AL366" s="42"/>
      <c r="AM366" s="42"/>
    </row>
    <row r="367" spans="1:39" x14ac:dyDescent="0.25">
      <c r="A367" s="38" t="s">
        <v>718</v>
      </c>
      <c r="B367" s="42"/>
      <c r="C367" s="42"/>
      <c r="D367" s="42"/>
      <c r="E367" s="41"/>
      <c r="F367" s="41"/>
      <c r="G367" s="41"/>
      <c r="H367" s="41"/>
      <c r="I367" s="41"/>
      <c r="J367" s="42"/>
      <c r="K367" s="41"/>
      <c r="L367" s="41"/>
      <c r="M367" s="127"/>
      <c r="N367" s="41"/>
      <c r="O367" s="41"/>
      <c r="P367" s="41"/>
      <c r="Q367" s="42"/>
      <c r="R367" s="35"/>
      <c r="S367" s="35"/>
      <c r="T367" s="35"/>
      <c r="U367" s="35"/>
      <c r="V367" s="121"/>
      <c r="W367" s="42"/>
      <c r="X367" s="42"/>
      <c r="Y367" s="42"/>
      <c r="Z367" s="42"/>
      <c r="AA367" s="42"/>
      <c r="AB367" s="42"/>
      <c r="AC367" s="42"/>
      <c r="AD367" s="42"/>
      <c r="AE367" s="42"/>
      <c r="AF367" s="42"/>
      <c r="AG367" s="42"/>
      <c r="AH367" s="42"/>
      <c r="AI367" s="42"/>
      <c r="AJ367" s="42"/>
      <c r="AK367" s="42"/>
      <c r="AL367" s="42"/>
      <c r="AM367" s="42"/>
    </row>
    <row r="368" spans="1:39" x14ac:dyDescent="0.25">
      <c r="A368" s="38" t="s">
        <v>719</v>
      </c>
      <c r="B368" s="42"/>
      <c r="C368" s="42"/>
      <c r="D368" s="42"/>
      <c r="E368" s="41"/>
      <c r="F368" s="41"/>
      <c r="G368" s="41"/>
      <c r="H368" s="41"/>
      <c r="I368" s="41"/>
      <c r="J368" s="42"/>
      <c r="K368" s="41"/>
      <c r="L368" s="41"/>
      <c r="M368" s="127"/>
      <c r="N368" s="41"/>
      <c r="O368" s="41"/>
      <c r="P368" s="41"/>
      <c r="Q368" s="42"/>
      <c r="R368" s="35"/>
      <c r="S368" s="35"/>
      <c r="T368" s="35"/>
      <c r="U368" s="35"/>
      <c r="V368" s="121"/>
      <c r="W368" s="42"/>
      <c r="X368" s="42"/>
      <c r="Y368" s="42"/>
      <c r="Z368" s="42"/>
      <c r="AA368" s="42"/>
      <c r="AB368" s="42"/>
      <c r="AC368" s="42"/>
      <c r="AD368" s="42"/>
      <c r="AE368" s="42"/>
      <c r="AF368" s="42"/>
      <c r="AG368" s="42"/>
      <c r="AH368" s="42"/>
      <c r="AI368" s="42"/>
      <c r="AJ368" s="42"/>
      <c r="AK368" s="42"/>
      <c r="AL368" s="42"/>
      <c r="AM368" s="42"/>
    </row>
    <row r="369" spans="1:39" x14ac:dyDescent="0.25">
      <c r="A369" s="38" t="s">
        <v>720</v>
      </c>
      <c r="B369" s="42"/>
      <c r="C369" s="42"/>
      <c r="D369" s="42"/>
      <c r="E369" s="41"/>
      <c r="F369" s="41"/>
      <c r="G369" s="41"/>
      <c r="H369" s="41"/>
      <c r="I369" s="41"/>
      <c r="J369" s="42"/>
      <c r="K369" s="41"/>
      <c r="L369" s="41"/>
      <c r="M369" s="127"/>
      <c r="N369" s="41"/>
      <c r="O369" s="41"/>
      <c r="P369" s="41"/>
      <c r="Q369" s="42"/>
      <c r="R369" s="35"/>
      <c r="S369" s="35"/>
      <c r="T369" s="35"/>
      <c r="U369" s="35"/>
      <c r="V369" s="121"/>
      <c r="W369" s="42"/>
      <c r="X369" s="42"/>
      <c r="Y369" s="42"/>
      <c r="Z369" s="42"/>
      <c r="AA369" s="42"/>
      <c r="AB369" s="42"/>
      <c r="AC369" s="42"/>
      <c r="AD369" s="42"/>
      <c r="AE369" s="42"/>
      <c r="AF369" s="42"/>
      <c r="AG369" s="42"/>
      <c r="AH369" s="42"/>
      <c r="AI369" s="42"/>
      <c r="AJ369" s="42"/>
      <c r="AK369" s="42"/>
      <c r="AL369" s="42"/>
      <c r="AM369" s="42"/>
    </row>
    <row r="370" spans="1:39" x14ac:dyDescent="0.25">
      <c r="A370" s="38" t="s">
        <v>721</v>
      </c>
      <c r="B370" s="42"/>
      <c r="C370" s="42"/>
      <c r="D370" s="42"/>
      <c r="E370" s="41"/>
      <c r="F370" s="41"/>
      <c r="G370" s="41"/>
      <c r="H370" s="41"/>
      <c r="I370" s="41"/>
      <c r="J370" s="42"/>
      <c r="K370" s="41"/>
      <c r="L370" s="41"/>
      <c r="M370" s="127"/>
      <c r="N370" s="41"/>
      <c r="O370" s="41"/>
      <c r="P370" s="41"/>
      <c r="Q370" s="42"/>
      <c r="R370" s="35"/>
      <c r="S370" s="35"/>
      <c r="T370" s="35"/>
      <c r="U370" s="35"/>
      <c r="V370" s="121"/>
      <c r="W370" s="42"/>
      <c r="X370" s="42"/>
      <c r="Y370" s="42"/>
      <c r="Z370" s="42"/>
      <c r="AA370" s="42"/>
      <c r="AB370" s="42"/>
      <c r="AC370" s="42"/>
      <c r="AD370" s="42"/>
      <c r="AE370" s="42"/>
      <c r="AF370" s="42"/>
      <c r="AG370" s="42"/>
      <c r="AH370" s="42"/>
      <c r="AI370" s="42"/>
      <c r="AJ370" s="42"/>
      <c r="AK370" s="42"/>
      <c r="AL370" s="42"/>
      <c r="AM370" s="42"/>
    </row>
    <row r="371" spans="1:39" x14ac:dyDescent="0.25">
      <c r="A371" s="38" t="s">
        <v>722</v>
      </c>
      <c r="B371" s="42"/>
      <c r="C371" s="42"/>
      <c r="D371" s="42"/>
      <c r="E371" s="41"/>
      <c r="F371" s="41"/>
      <c r="G371" s="41"/>
      <c r="H371" s="41"/>
      <c r="I371" s="41"/>
      <c r="J371" s="42"/>
      <c r="K371" s="41"/>
      <c r="L371" s="41"/>
      <c r="M371" s="127"/>
      <c r="N371" s="41"/>
      <c r="O371" s="41"/>
      <c r="P371" s="41"/>
      <c r="Q371" s="42"/>
      <c r="R371" s="35"/>
      <c r="S371" s="35"/>
      <c r="T371" s="35"/>
      <c r="U371" s="35"/>
      <c r="V371" s="121"/>
      <c r="W371" s="42"/>
      <c r="X371" s="42"/>
      <c r="Y371" s="42"/>
      <c r="Z371" s="42"/>
      <c r="AA371" s="42"/>
      <c r="AB371" s="42"/>
      <c r="AC371" s="42"/>
      <c r="AD371" s="42"/>
      <c r="AE371" s="42"/>
      <c r="AF371" s="42"/>
      <c r="AG371" s="42"/>
      <c r="AH371" s="42"/>
      <c r="AI371" s="42"/>
      <c r="AJ371" s="42"/>
      <c r="AK371" s="42"/>
      <c r="AL371" s="42"/>
      <c r="AM371" s="42"/>
    </row>
    <row r="372" spans="1:39" x14ac:dyDescent="0.25">
      <c r="A372" s="38" t="s">
        <v>723</v>
      </c>
      <c r="B372" s="42"/>
      <c r="C372" s="42"/>
      <c r="D372" s="42"/>
      <c r="E372" s="41"/>
      <c r="F372" s="41"/>
      <c r="G372" s="41"/>
      <c r="H372" s="41"/>
      <c r="I372" s="41"/>
      <c r="J372" s="42"/>
      <c r="K372" s="41"/>
      <c r="L372" s="41"/>
      <c r="M372" s="127"/>
      <c r="N372" s="41"/>
      <c r="O372" s="41"/>
      <c r="P372" s="41"/>
      <c r="Q372" s="42"/>
      <c r="R372" s="35"/>
      <c r="S372" s="35"/>
      <c r="T372" s="35"/>
      <c r="U372" s="35"/>
      <c r="V372" s="121"/>
      <c r="W372" s="42"/>
      <c r="X372" s="42"/>
      <c r="Y372" s="42"/>
      <c r="Z372" s="42"/>
      <c r="AA372" s="42"/>
      <c r="AB372" s="42"/>
      <c r="AC372" s="42"/>
      <c r="AD372" s="42"/>
      <c r="AE372" s="42"/>
      <c r="AF372" s="42"/>
      <c r="AG372" s="42"/>
      <c r="AH372" s="42"/>
      <c r="AI372" s="42"/>
      <c r="AJ372" s="42"/>
      <c r="AK372" s="42"/>
      <c r="AL372" s="42"/>
      <c r="AM372" s="42"/>
    </row>
    <row r="373" spans="1:39" x14ac:dyDescent="0.25">
      <c r="A373" s="38" t="s">
        <v>724</v>
      </c>
      <c r="B373" s="42"/>
      <c r="C373" s="42"/>
      <c r="D373" s="42"/>
      <c r="E373" s="41"/>
      <c r="F373" s="41"/>
      <c r="G373" s="41"/>
      <c r="H373" s="41"/>
      <c r="I373" s="41"/>
      <c r="J373" s="42"/>
      <c r="K373" s="41"/>
      <c r="L373" s="41"/>
      <c r="M373" s="127"/>
      <c r="N373" s="41"/>
      <c r="O373" s="41"/>
      <c r="P373" s="41"/>
      <c r="Q373" s="42"/>
      <c r="R373" s="35"/>
      <c r="S373" s="35"/>
      <c r="T373" s="35"/>
      <c r="U373" s="35"/>
      <c r="V373" s="121"/>
      <c r="W373" s="42"/>
      <c r="X373" s="42"/>
      <c r="Y373" s="42"/>
      <c r="Z373" s="42"/>
      <c r="AA373" s="42"/>
      <c r="AB373" s="42"/>
      <c r="AC373" s="42"/>
      <c r="AD373" s="42"/>
      <c r="AE373" s="42"/>
      <c r="AF373" s="42"/>
      <c r="AG373" s="42"/>
      <c r="AH373" s="42"/>
      <c r="AI373" s="42"/>
      <c r="AJ373" s="42"/>
      <c r="AK373" s="42"/>
      <c r="AL373" s="42"/>
      <c r="AM373" s="42"/>
    </row>
    <row r="374" spans="1:39" x14ac:dyDescent="0.25">
      <c r="A374" s="38" t="s">
        <v>725</v>
      </c>
      <c r="B374" s="42"/>
      <c r="C374" s="42"/>
      <c r="D374" s="42"/>
      <c r="E374" s="41"/>
      <c r="F374" s="41"/>
      <c r="G374" s="41"/>
      <c r="H374" s="41"/>
      <c r="I374" s="41"/>
      <c r="J374" s="42"/>
      <c r="K374" s="41"/>
      <c r="L374" s="41"/>
      <c r="M374" s="127"/>
      <c r="N374" s="41"/>
      <c r="O374" s="41"/>
      <c r="P374" s="41"/>
      <c r="Q374" s="42"/>
      <c r="R374" s="35"/>
      <c r="S374" s="35"/>
      <c r="T374" s="35"/>
      <c r="U374" s="35"/>
      <c r="V374" s="121"/>
      <c r="W374" s="42"/>
      <c r="X374" s="42"/>
      <c r="Y374" s="42"/>
      <c r="Z374" s="42"/>
      <c r="AA374" s="42"/>
      <c r="AB374" s="42"/>
      <c r="AC374" s="42"/>
      <c r="AD374" s="42"/>
      <c r="AE374" s="42"/>
      <c r="AF374" s="42"/>
      <c r="AG374" s="42"/>
      <c r="AH374" s="42"/>
      <c r="AI374" s="42"/>
      <c r="AJ374" s="42"/>
      <c r="AK374" s="42"/>
      <c r="AL374" s="42"/>
      <c r="AM374" s="42"/>
    </row>
    <row r="375" spans="1:39" x14ac:dyDescent="0.25">
      <c r="A375" s="38" t="s">
        <v>726</v>
      </c>
      <c r="B375" s="42"/>
      <c r="C375" s="42"/>
      <c r="D375" s="42"/>
      <c r="E375" s="41"/>
      <c r="F375" s="41"/>
      <c r="G375" s="41"/>
      <c r="H375" s="41"/>
      <c r="I375" s="41"/>
      <c r="J375" s="42"/>
      <c r="K375" s="41"/>
      <c r="L375" s="41"/>
      <c r="M375" s="127"/>
      <c r="N375" s="41"/>
      <c r="O375" s="41"/>
      <c r="P375" s="41"/>
      <c r="Q375" s="42"/>
      <c r="R375" s="35"/>
      <c r="S375" s="35"/>
      <c r="T375" s="35"/>
      <c r="U375" s="35"/>
      <c r="V375" s="121"/>
      <c r="W375" s="42"/>
      <c r="X375" s="42"/>
      <c r="Y375" s="42"/>
      <c r="Z375" s="42"/>
      <c r="AA375" s="42"/>
      <c r="AB375" s="42"/>
      <c r="AC375" s="42"/>
      <c r="AD375" s="42"/>
      <c r="AE375" s="42"/>
      <c r="AF375" s="42"/>
      <c r="AG375" s="42"/>
      <c r="AH375" s="42"/>
      <c r="AI375" s="42"/>
      <c r="AJ375" s="42"/>
      <c r="AK375" s="42"/>
      <c r="AL375" s="42"/>
      <c r="AM375" s="42"/>
    </row>
    <row r="376" spans="1:39" x14ac:dyDescent="0.25">
      <c r="A376" s="38" t="s">
        <v>727</v>
      </c>
      <c r="B376" s="42"/>
      <c r="C376" s="42"/>
      <c r="D376" s="42"/>
      <c r="E376" s="41"/>
      <c r="F376" s="41"/>
      <c r="G376" s="41"/>
      <c r="H376" s="41"/>
      <c r="I376" s="41"/>
      <c r="J376" s="42"/>
      <c r="K376" s="41"/>
      <c r="L376" s="41"/>
      <c r="M376" s="127"/>
      <c r="N376" s="41"/>
      <c r="O376" s="41"/>
      <c r="P376" s="41"/>
      <c r="Q376" s="42"/>
      <c r="R376" s="35"/>
      <c r="S376" s="35"/>
      <c r="T376" s="35"/>
      <c r="U376" s="35"/>
      <c r="V376" s="121"/>
      <c r="W376" s="42"/>
      <c r="X376" s="42"/>
      <c r="Y376" s="42"/>
      <c r="Z376" s="42"/>
      <c r="AA376" s="42"/>
      <c r="AB376" s="42"/>
      <c r="AC376" s="42"/>
      <c r="AD376" s="42"/>
      <c r="AE376" s="42"/>
      <c r="AF376" s="42"/>
      <c r="AG376" s="42"/>
      <c r="AH376" s="42"/>
      <c r="AI376" s="42"/>
      <c r="AJ376" s="42"/>
      <c r="AK376" s="42"/>
      <c r="AL376" s="42"/>
      <c r="AM376" s="42"/>
    </row>
    <row r="377" spans="1:39" x14ac:dyDescent="0.25">
      <c r="A377" s="38" t="s">
        <v>728</v>
      </c>
      <c r="B377" s="42"/>
      <c r="C377" s="42"/>
      <c r="D377" s="42"/>
      <c r="E377" s="41"/>
      <c r="F377" s="41"/>
      <c r="G377" s="41"/>
      <c r="H377" s="41"/>
      <c r="I377" s="41"/>
      <c r="J377" s="42"/>
      <c r="K377" s="41"/>
      <c r="L377" s="41"/>
      <c r="M377" s="127"/>
      <c r="N377" s="41"/>
      <c r="O377" s="41"/>
      <c r="P377" s="41"/>
      <c r="Q377" s="42"/>
      <c r="R377" s="35"/>
      <c r="S377" s="35"/>
      <c r="T377" s="35"/>
      <c r="U377" s="35"/>
      <c r="V377" s="121"/>
      <c r="W377" s="42"/>
      <c r="X377" s="42"/>
      <c r="Y377" s="42"/>
      <c r="Z377" s="42"/>
      <c r="AA377" s="42"/>
      <c r="AB377" s="42"/>
      <c r="AC377" s="42"/>
      <c r="AD377" s="42"/>
      <c r="AE377" s="42"/>
      <c r="AF377" s="42"/>
      <c r="AG377" s="42"/>
      <c r="AH377" s="42"/>
      <c r="AI377" s="42"/>
      <c r="AJ377" s="42"/>
      <c r="AK377" s="42"/>
      <c r="AL377" s="42"/>
      <c r="AM377" s="42"/>
    </row>
    <row r="378" spans="1:39" x14ac:dyDescent="0.25">
      <c r="A378" s="38" t="s">
        <v>729</v>
      </c>
      <c r="B378" s="42"/>
      <c r="C378" s="42"/>
      <c r="D378" s="42"/>
      <c r="E378" s="41"/>
      <c r="F378" s="41"/>
      <c r="G378" s="41"/>
      <c r="H378" s="41"/>
      <c r="I378" s="41"/>
      <c r="J378" s="42"/>
      <c r="K378" s="41"/>
      <c r="L378" s="41"/>
      <c r="M378" s="127"/>
      <c r="N378" s="41"/>
      <c r="O378" s="41"/>
      <c r="P378" s="41"/>
      <c r="Q378" s="42"/>
      <c r="R378" s="35"/>
      <c r="S378" s="35"/>
      <c r="T378" s="35"/>
      <c r="U378" s="35"/>
      <c r="V378" s="121"/>
      <c r="W378" s="42"/>
      <c r="X378" s="42"/>
      <c r="Y378" s="42"/>
      <c r="Z378" s="42"/>
      <c r="AA378" s="42"/>
      <c r="AB378" s="42"/>
      <c r="AC378" s="42"/>
      <c r="AD378" s="42"/>
      <c r="AE378" s="42"/>
      <c r="AF378" s="42"/>
      <c r="AG378" s="42"/>
      <c r="AH378" s="42"/>
      <c r="AI378" s="42"/>
      <c r="AJ378" s="42"/>
      <c r="AK378" s="42"/>
      <c r="AL378" s="42"/>
      <c r="AM378" s="42"/>
    </row>
    <row r="379" spans="1:39" x14ac:dyDescent="0.25">
      <c r="A379" s="38" t="s">
        <v>730</v>
      </c>
      <c r="B379" s="42"/>
      <c r="C379" s="42"/>
      <c r="D379" s="42"/>
      <c r="E379" s="41"/>
      <c r="F379" s="41"/>
      <c r="G379" s="41"/>
      <c r="H379" s="41"/>
      <c r="I379" s="41"/>
      <c r="J379" s="42"/>
      <c r="K379" s="41"/>
      <c r="L379" s="41"/>
      <c r="M379" s="127"/>
      <c r="N379" s="41"/>
      <c r="O379" s="41"/>
      <c r="P379" s="41"/>
      <c r="Q379" s="42"/>
      <c r="R379" s="35"/>
      <c r="S379" s="35"/>
      <c r="T379" s="35"/>
      <c r="U379" s="35"/>
      <c r="V379" s="121"/>
      <c r="W379" s="42"/>
      <c r="X379" s="42"/>
      <c r="Y379" s="42"/>
      <c r="Z379" s="42"/>
      <c r="AA379" s="42"/>
      <c r="AB379" s="42"/>
      <c r="AC379" s="42"/>
      <c r="AD379" s="42"/>
      <c r="AE379" s="42"/>
      <c r="AF379" s="42"/>
      <c r="AG379" s="42"/>
      <c r="AH379" s="42"/>
      <c r="AI379" s="42"/>
      <c r="AJ379" s="42"/>
      <c r="AK379" s="42"/>
      <c r="AL379" s="42"/>
      <c r="AM379" s="42"/>
    </row>
    <row r="380" spans="1:39" x14ac:dyDescent="0.25">
      <c r="A380" s="38" t="s">
        <v>731</v>
      </c>
      <c r="B380" s="42"/>
      <c r="C380" s="42"/>
      <c r="D380" s="42"/>
      <c r="E380" s="41"/>
      <c r="F380" s="41"/>
      <c r="G380" s="41"/>
      <c r="H380" s="41"/>
      <c r="I380" s="41"/>
      <c r="J380" s="42"/>
      <c r="K380" s="41"/>
      <c r="L380" s="41"/>
      <c r="M380" s="127"/>
      <c r="N380" s="41"/>
      <c r="O380" s="41"/>
      <c r="P380" s="41"/>
      <c r="Q380" s="42"/>
      <c r="R380" s="35"/>
      <c r="S380" s="35"/>
      <c r="T380" s="35"/>
      <c r="U380" s="35"/>
      <c r="V380" s="121"/>
      <c r="W380" s="42"/>
      <c r="X380" s="42"/>
      <c r="Y380" s="42"/>
      <c r="Z380" s="42"/>
      <c r="AA380" s="42"/>
      <c r="AB380" s="42"/>
      <c r="AC380" s="42"/>
      <c r="AD380" s="42"/>
      <c r="AE380" s="42"/>
      <c r="AF380" s="42"/>
      <c r="AG380" s="42"/>
      <c r="AH380" s="42"/>
      <c r="AI380" s="42"/>
      <c r="AJ380" s="42"/>
      <c r="AK380" s="42"/>
      <c r="AL380" s="42"/>
      <c r="AM380" s="42"/>
    </row>
    <row r="381" spans="1:39" x14ac:dyDescent="0.25">
      <c r="A381" s="38" t="s">
        <v>732</v>
      </c>
      <c r="B381" s="42"/>
      <c r="C381" s="42"/>
      <c r="D381" s="42"/>
      <c r="E381" s="41"/>
      <c r="F381" s="41"/>
      <c r="G381" s="41"/>
      <c r="H381" s="41"/>
      <c r="I381" s="41"/>
      <c r="J381" s="42"/>
      <c r="K381" s="41"/>
      <c r="L381" s="41"/>
      <c r="M381" s="127"/>
      <c r="N381" s="41"/>
      <c r="O381" s="41"/>
      <c r="P381" s="41"/>
      <c r="Q381" s="42"/>
      <c r="R381" s="35"/>
      <c r="S381" s="35"/>
      <c r="T381" s="35"/>
      <c r="U381" s="35"/>
      <c r="V381" s="121"/>
      <c r="W381" s="42"/>
      <c r="X381" s="42"/>
      <c r="Y381" s="42"/>
      <c r="Z381" s="42"/>
      <c r="AA381" s="42"/>
      <c r="AB381" s="42"/>
      <c r="AC381" s="42"/>
      <c r="AD381" s="42"/>
      <c r="AE381" s="42"/>
      <c r="AF381" s="42"/>
      <c r="AG381" s="42"/>
      <c r="AH381" s="42"/>
      <c r="AI381" s="42"/>
      <c r="AJ381" s="42"/>
      <c r="AK381" s="42"/>
      <c r="AL381" s="42"/>
      <c r="AM381" s="42"/>
    </row>
    <row r="382" spans="1:39" x14ac:dyDescent="0.25">
      <c r="A382" s="38" t="s">
        <v>733</v>
      </c>
      <c r="B382" s="42"/>
      <c r="C382" s="42"/>
      <c r="D382" s="42"/>
      <c r="E382" s="41"/>
      <c r="F382" s="41"/>
      <c r="G382" s="41"/>
      <c r="H382" s="41"/>
      <c r="I382" s="41"/>
      <c r="J382" s="42"/>
      <c r="K382" s="41"/>
      <c r="L382" s="41"/>
      <c r="M382" s="127"/>
      <c r="N382" s="41"/>
      <c r="O382" s="41"/>
      <c r="P382" s="41"/>
      <c r="Q382" s="42"/>
      <c r="R382" s="35"/>
      <c r="S382" s="35"/>
      <c r="T382" s="35"/>
      <c r="U382" s="35"/>
      <c r="V382" s="121"/>
      <c r="W382" s="42"/>
      <c r="X382" s="42"/>
      <c r="Y382" s="42"/>
      <c r="Z382" s="42"/>
      <c r="AA382" s="42"/>
      <c r="AB382" s="42"/>
      <c r="AC382" s="42"/>
      <c r="AD382" s="42"/>
      <c r="AE382" s="42"/>
      <c r="AF382" s="42"/>
      <c r="AG382" s="42"/>
      <c r="AH382" s="42"/>
      <c r="AI382" s="42"/>
      <c r="AJ382" s="42"/>
      <c r="AK382" s="42"/>
      <c r="AL382" s="42"/>
      <c r="AM382" s="42"/>
    </row>
    <row r="383" spans="1:39" x14ac:dyDescent="0.25">
      <c r="A383" s="38" t="s">
        <v>734</v>
      </c>
      <c r="B383" s="42"/>
      <c r="C383" s="42"/>
      <c r="D383" s="42"/>
      <c r="E383" s="41"/>
      <c r="F383" s="41"/>
      <c r="G383" s="41"/>
      <c r="H383" s="41"/>
      <c r="I383" s="41"/>
      <c r="J383" s="42"/>
      <c r="K383" s="41"/>
      <c r="L383" s="41"/>
      <c r="M383" s="127"/>
      <c r="N383" s="41"/>
      <c r="O383" s="41"/>
      <c r="P383" s="41"/>
      <c r="Q383" s="42"/>
      <c r="R383" s="35"/>
      <c r="S383" s="35"/>
      <c r="T383" s="35"/>
      <c r="U383" s="35"/>
      <c r="V383" s="121"/>
      <c r="W383" s="42"/>
      <c r="X383" s="42"/>
      <c r="Y383" s="42"/>
      <c r="Z383" s="42"/>
      <c r="AA383" s="42"/>
      <c r="AB383" s="42"/>
      <c r="AC383" s="42"/>
      <c r="AD383" s="42"/>
      <c r="AE383" s="42"/>
      <c r="AF383" s="42"/>
      <c r="AG383" s="42"/>
      <c r="AH383" s="42"/>
      <c r="AI383" s="42"/>
      <c r="AJ383" s="42"/>
      <c r="AK383" s="42"/>
      <c r="AL383" s="42"/>
      <c r="AM383" s="42"/>
    </row>
    <row r="384" spans="1:39" x14ac:dyDescent="0.25">
      <c r="A384" s="38" t="s">
        <v>735</v>
      </c>
      <c r="B384" s="42"/>
      <c r="C384" s="42"/>
      <c r="D384" s="42"/>
      <c r="E384" s="41"/>
      <c r="F384" s="41"/>
      <c r="G384" s="41"/>
      <c r="H384" s="41"/>
      <c r="I384" s="41"/>
      <c r="J384" s="42"/>
      <c r="K384" s="41"/>
      <c r="L384" s="41"/>
      <c r="M384" s="127"/>
      <c r="N384" s="41"/>
      <c r="O384" s="41"/>
      <c r="P384" s="41"/>
      <c r="Q384" s="42"/>
      <c r="R384" s="35"/>
      <c r="S384" s="35"/>
      <c r="T384" s="35"/>
      <c r="U384" s="35"/>
      <c r="V384" s="121"/>
      <c r="W384" s="42"/>
      <c r="X384" s="42"/>
      <c r="Y384" s="42"/>
      <c r="Z384" s="42"/>
      <c r="AA384" s="42"/>
      <c r="AB384" s="42"/>
      <c r="AC384" s="42"/>
      <c r="AD384" s="42"/>
      <c r="AE384" s="42"/>
      <c r="AF384" s="42"/>
      <c r="AG384" s="42"/>
      <c r="AH384" s="42"/>
      <c r="AI384" s="42"/>
      <c r="AJ384" s="42"/>
      <c r="AK384" s="42"/>
      <c r="AL384" s="42"/>
      <c r="AM384" s="42"/>
    </row>
    <row r="385" spans="1:39" x14ac:dyDescent="0.25">
      <c r="A385" s="38" t="s">
        <v>736</v>
      </c>
      <c r="B385" s="42"/>
      <c r="C385" s="42"/>
      <c r="D385" s="42"/>
      <c r="E385" s="41"/>
      <c r="F385" s="41"/>
      <c r="G385" s="41"/>
      <c r="H385" s="41"/>
      <c r="I385" s="41"/>
      <c r="J385" s="42"/>
      <c r="K385" s="41"/>
      <c r="L385" s="41"/>
      <c r="M385" s="127"/>
      <c r="N385" s="41"/>
      <c r="O385" s="41"/>
      <c r="P385" s="41"/>
      <c r="Q385" s="42"/>
      <c r="R385" s="35"/>
      <c r="S385" s="35"/>
      <c r="T385" s="35"/>
      <c r="U385" s="35"/>
      <c r="V385" s="121"/>
      <c r="W385" s="42"/>
      <c r="X385" s="42"/>
      <c r="Y385" s="42"/>
      <c r="Z385" s="42"/>
      <c r="AA385" s="42"/>
      <c r="AB385" s="42"/>
      <c r="AC385" s="42"/>
      <c r="AD385" s="42"/>
      <c r="AE385" s="42"/>
      <c r="AF385" s="42"/>
      <c r="AG385" s="42"/>
      <c r="AH385" s="42"/>
      <c r="AI385" s="42"/>
      <c r="AJ385" s="42"/>
      <c r="AK385" s="42"/>
      <c r="AL385" s="42"/>
      <c r="AM385" s="42"/>
    </row>
    <row r="386" spans="1:39" x14ac:dyDescent="0.25">
      <c r="A386" s="38" t="s">
        <v>737</v>
      </c>
      <c r="B386" s="42"/>
      <c r="C386" s="42"/>
      <c r="D386" s="42"/>
      <c r="E386" s="41"/>
      <c r="F386" s="41"/>
      <c r="G386" s="41"/>
      <c r="H386" s="41"/>
      <c r="I386" s="41"/>
      <c r="J386" s="42"/>
      <c r="K386" s="41"/>
      <c r="L386" s="41"/>
      <c r="M386" s="127"/>
      <c r="N386" s="41"/>
      <c r="O386" s="41"/>
      <c r="P386" s="41"/>
      <c r="Q386" s="42"/>
      <c r="R386" s="35"/>
      <c r="S386" s="35"/>
      <c r="T386" s="35"/>
      <c r="U386" s="35"/>
      <c r="V386" s="121"/>
      <c r="W386" s="42"/>
      <c r="X386" s="42"/>
      <c r="Y386" s="42"/>
      <c r="Z386" s="42"/>
      <c r="AA386" s="42"/>
      <c r="AB386" s="42"/>
      <c r="AC386" s="42"/>
      <c r="AD386" s="42"/>
      <c r="AE386" s="42"/>
      <c r="AF386" s="42"/>
      <c r="AG386" s="42"/>
      <c r="AH386" s="42"/>
      <c r="AI386" s="42"/>
      <c r="AJ386" s="42"/>
      <c r="AK386" s="42"/>
      <c r="AL386" s="42"/>
      <c r="AM386" s="42"/>
    </row>
    <row r="387" spans="1:39" x14ac:dyDescent="0.25">
      <c r="A387" s="38" t="s">
        <v>738</v>
      </c>
      <c r="B387" s="42"/>
      <c r="C387" s="42"/>
      <c r="D387" s="42"/>
      <c r="E387" s="41"/>
      <c r="F387" s="41"/>
      <c r="G387" s="41"/>
      <c r="H387" s="41"/>
      <c r="I387" s="41"/>
      <c r="J387" s="42"/>
      <c r="K387" s="41"/>
      <c r="L387" s="41"/>
      <c r="M387" s="127"/>
      <c r="N387" s="41"/>
      <c r="O387" s="41"/>
      <c r="P387" s="41"/>
      <c r="Q387" s="42"/>
      <c r="R387" s="35"/>
      <c r="S387" s="35"/>
      <c r="T387" s="35"/>
      <c r="U387" s="35"/>
      <c r="V387" s="121"/>
      <c r="W387" s="42"/>
      <c r="X387" s="42"/>
      <c r="Y387" s="42"/>
      <c r="Z387" s="42"/>
      <c r="AA387" s="42"/>
      <c r="AB387" s="42"/>
      <c r="AC387" s="42"/>
      <c r="AD387" s="42"/>
      <c r="AE387" s="42"/>
      <c r="AF387" s="42"/>
      <c r="AG387" s="42"/>
      <c r="AH387" s="42"/>
      <c r="AI387" s="42"/>
      <c r="AJ387" s="42"/>
      <c r="AK387" s="42"/>
      <c r="AL387" s="42"/>
      <c r="AM387" s="42"/>
    </row>
    <row r="388" spans="1:39" x14ac:dyDescent="0.25">
      <c r="A388" s="38" t="s">
        <v>739</v>
      </c>
      <c r="B388" s="42"/>
      <c r="C388" s="42"/>
      <c r="D388" s="42"/>
      <c r="E388" s="41"/>
      <c r="F388" s="41"/>
      <c r="G388" s="41"/>
      <c r="H388" s="41"/>
      <c r="I388" s="41"/>
      <c r="J388" s="42"/>
      <c r="K388" s="41"/>
      <c r="L388" s="41"/>
      <c r="M388" s="127"/>
      <c r="N388" s="41"/>
      <c r="O388" s="41"/>
      <c r="P388" s="41"/>
      <c r="Q388" s="42"/>
      <c r="R388" s="35"/>
      <c r="S388" s="35"/>
      <c r="T388" s="35"/>
      <c r="U388" s="35"/>
      <c r="V388" s="121"/>
      <c r="W388" s="42"/>
      <c r="X388" s="42"/>
      <c r="Y388" s="42"/>
      <c r="Z388" s="42"/>
      <c r="AA388" s="42"/>
      <c r="AB388" s="42"/>
      <c r="AC388" s="42"/>
      <c r="AD388" s="42"/>
      <c r="AE388" s="42"/>
      <c r="AF388" s="42"/>
      <c r="AG388" s="42"/>
      <c r="AH388" s="42"/>
      <c r="AI388" s="42"/>
      <c r="AJ388" s="42"/>
      <c r="AK388" s="42"/>
      <c r="AL388" s="42"/>
      <c r="AM388" s="42"/>
    </row>
    <row r="389" spans="1:39" x14ac:dyDescent="0.25">
      <c r="A389" s="38" t="s">
        <v>740</v>
      </c>
      <c r="B389" s="42"/>
      <c r="C389" s="42"/>
      <c r="D389" s="42"/>
      <c r="E389" s="41"/>
      <c r="F389" s="41"/>
      <c r="G389" s="41"/>
      <c r="H389" s="41"/>
      <c r="I389" s="41"/>
      <c r="J389" s="42"/>
      <c r="K389" s="41"/>
      <c r="L389" s="41"/>
      <c r="M389" s="127"/>
      <c r="N389" s="41"/>
      <c r="O389" s="41"/>
      <c r="P389" s="41"/>
      <c r="Q389" s="42"/>
      <c r="R389" s="35"/>
      <c r="S389" s="35"/>
      <c r="T389" s="35"/>
      <c r="U389" s="35"/>
      <c r="V389" s="121"/>
      <c r="W389" s="42"/>
      <c r="X389" s="42"/>
      <c r="Y389" s="42"/>
      <c r="Z389" s="42"/>
      <c r="AA389" s="42"/>
      <c r="AB389" s="42"/>
      <c r="AC389" s="42"/>
      <c r="AD389" s="42"/>
      <c r="AE389" s="42"/>
      <c r="AF389" s="42"/>
      <c r="AG389" s="42"/>
      <c r="AH389" s="42"/>
      <c r="AI389" s="42"/>
      <c r="AJ389" s="42"/>
      <c r="AK389" s="42"/>
      <c r="AL389" s="42"/>
      <c r="AM389" s="42"/>
    </row>
    <row r="390" spans="1:39" x14ac:dyDescent="0.25">
      <c r="A390" s="38" t="s">
        <v>741</v>
      </c>
      <c r="B390" s="42"/>
      <c r="C390" s="42"/>
      <c r="D390" s="42"/>
      <c r="E390" s="41"/>
      <c r="F390" s="41"/>
      <c r="G390" s="41"/>
      <c r="H390" s="41"/>
      <c r="I390" s="41"/>
      <c r="J390" s="42"/>
      <c r="K390" s="41"/>
      <c r="L390" s="41"/>
      <c r="M390" s="127"/>
      <c r="N390" s="41"/>
      <c r="O390" s="41"/>
      <c r="P390" s="41"/>
      <c r="Q390" s="42"/>
      <c r="R390" s="35"/>
      <c r="S390" s="35"/>
      <c r="T390" s="35"/>
      <c r="U390" s="35"/>
      <c r="V390" s="121"/>
      <c r="W390" s="42"/>
      <c r="X390" s="42"/>
      <c r="Y390" s="42"/>
      <c r="Z390" s="42"/>
      <c r="AA390" s="42"/>
      <c r="AB390" s="42"/>
      <c r="AC390" s="42"/>
      <c r="AD390" s="42"/>
      <c r="AE390" s="42"/>
      <c r="AF390" s="42"/>
      <c r="AG390" s="42"/>
      <c r="AH390" s="42"/>
      <c r="AI390" s="42"/>
      <c r="AJ390" s="42"/>
      <c r="AK390" s="42"/>
      <c r="AL390" s="42"/>
      <c r="AM390" s="42"/>
    </row>
    <row r="391" spans="1:39" x14ac:dyDescent="0.25">
      <c r="A391" s="38" t="s">
        <v>742</v>
      </c>
      <c r="B391" s="42"/>
      <c r="C391" s="42"/>
      <c r="D391" s="42"/>
      <c r="E391" s="41"/>
      <c r="F391" s="41"/>
      <c r="G391" s="41"/>
      <c r="H391" s="41"/>
      <c r="I391" s="41"/>
      <c r="J391" s="42"/>
      <c r="K391" s="41"/>
      <c r="L391" s="41"/>
      <c r="M391" s="127"/>
      <c r="N391" s="41"/>
      <c r="O391" s="41"/>
      <c r="P391" s="41"/>
      <c r="Q391" s="42"/>
      <c r="R391" s="35"/>
      <c r="S391" s="35"/>
      <c r="T391" s="35"/>
      <c r="U391" s="35"/>
      <c r="V391" s="121"/>
      <c r="W391" s="42"/>
      <c r="X391" s="42"/>
      <c r="Y391" s="42"/>
      <c r="Z391" s="42"/>
      <c r="AA391" s="42"/>
      <c r="AB391" s="42"/>
      <c r="AC391" s="42"/>
      <c r="AD391" s="42"/>
      <c r="AE391" s="42"/>
      <c r="AF391" s="42"/>
      <c r="AG391" s="42"/>
      <c r="AH391" s="42"/>
      <c r="AI391" s="42"/>
      <c r="AJ391" s="42"/>
      <c r="AK391" s="42"/>
      <c r="AL391" s="42"/>
      <c r="AM391" s="42"/>
    </row>
    <row r="392" spans="1:39" x14ac:dyDescent="0.25">
      <c r="A392" s="38" t="s">
        <v>743</v>
      </c>
      <c r="B392" s="42"/>
      <c r="C392" s="42"/>
      <c r="D392" s="42"/>
      <c r="E392" s="41"/>
      <c r="F392" s="41"/>
      <c r="G392" s="41"/>
      <c r="H392" s="41"/>
      <c r="I392" s="41"/>
      <c r="J392" s="42"/>
      <c r="K392" s="41"/>
      <c r="L392" s="41"/>
      <c r="M392" s="127"/>
      <c r="N392" s="41"/>
      <c r="O392" s="41"/>
      <c r="P392" s="41"/>
      <c r="Q392" s="42"/>
      <c r="R392" s="35"/>
      <c r="S392" s="35"/>
      <c r="T392" s="35"/>
      <c r="U392" s="35"/>
      <c r="V392" s="121"/>
      <c r="W392" s="42"/>
      <c r="X392" s="42"/>
      <c r="Y392" s="42"/>
      <c r="Z392" s="42"/>
      <c r="AA392" s="42"/>
      <c r="AB392" s="42"/>
      <c r="AC392" s="42"/>
      <c r="AD392" s="42"/>
      <c r="AE392" s="42"/>
      <c r="AF392" s="42"/>
      <c r="AG392" s="42"/>
      <c r="AH392" s="42"/>
      <c r="AI392" s="42"/>
      <c r="AJ392" s="42"/>
      <c r="AK392" s="42"/>
      <c r="AL392" s="42"/>
      <c r="AM392" s="42"/>
    </row>
    <row r="393" spans="1:39" x14ac:dyDescent="0.25">
      <c r="A393" s="38" t="s">
        <v>744</v>
      </c>
      <c r="B393" s="42"/>
      <c r="C393" s="42"/>
      <c r="D393" s="42"/>
      <c r="E393" s="41"/>
      <c r="F393" s="41"/>
      <c r="G393" s="41"/>
      <c r="H393" s="41"/>
      <c r="I393" s="41"/>
      <c r="J393" s="42"/>
      <c r="K393" s="41"/>
      <c r="L393" s="41"/>
      <c r="M393" s="127"/>
      <c r="N393" s="41"/>
      <c r="O393" s="41"/>
      <c r="P393" s="41"/>
      <c r="Q393" s="42"/>
      <c r="R393" s="35"/>
      <c r="S393" s="35"/>
      <c r="T393" s="35"/>
      <c r="U393" s="35"/>
      <c r="V393" s="121"/>
      <c r="W393" s="42"/>
      <c r="X393" s="42"/>
      <c r="Y393" s="42"/>
      <c r="Z393" s="42"/>
      <c r="AA393" s="42"/>
      <c r="AB393" s="42"/>
      <c r="AC393" s="42"/>
      <c r="AD393" s="42"/>
      <c r="AE393" s="42"/>
      <c r="AF393" s="42"/>
      <c r="AG393" s="42"/>
      <c r="AH393" s="42"/>
      <c r="AI393" s="42"/>
      <c r="AJ393" s="42"/>
      <c r="AK393" s="42"/>
      <c r="AL393" s="42"/>
      <c r="AM393" s="42"/>
    </row>
    <row r="394" spans="1:39" x14ac:dyDescent="0.25">
      <c r="A394" s="38" t="s">
        <v>745</v>
      </c>
      <c r="B394" s="42"/>
      <c r="C394" s="42"/>
      <c r="D394" s="42"/>
      <c r="E394" s="41"/>
      <c r="F394" s="41"/>
      <c r="G394" s="41"/>
      <c r="H394" s="41"/>
      <c r="I394" s="41"/>
      <c r="J394" s="42"/>
      <c r="K394" s="41"/>
      <c r="L394" s="41"/>
      <c r="M394" s="127"/>
      <c r="N394" s="41"/>
      <c r="O394" s="41"/>
      <c r="P394" s="41"/>
      <c r="Q394" s="42"/>
      <c r="R394" s="35"/>
      <c r="S394" s="35"/>
      <c r="T394" s="35"/>
      <c r="U394" s="35"/>
      <c r="V394" s="121"/>
      <c r="W394" s="42"/>
      <c r="X394" s="42"/>
      <c r="Y394" s="42"/>
      <c r="Z394" s="42"/>
      <c r="AA394" s="42"/>
      <c r="AB394" s="42"/>
      <c r="AC394" s="42"/>
      <c r="AD394" s="42"/>
      <c r="AE394" s="42"/>
      <c r="AF394" s="42"/>
      <c r="AG394" s="42"/>
      <c r="AH394" s="42"/>
      <c r="AI394" s="42"/>
      <c r="AJ394" s="42"/>
      <c r="AK394" s="42"/>
      <c r="AL394" s="42"/>
      <c r="AM394" s="42"/>
    </row>
    <row r="395" spans="1:39" x14ac:dyDescent="0.25">
      <c r="A395" s="38" t="s">
        <v>746</v>
      </c>
      <c r="B395" s="42"/>
      <c r="C395" s="42"/>
      <c r="D395" s="42"/>
      <c r="E395" s="41"/>
      <c r="F395" s="41"/>
      <c r="G395" s="41"/>
      <c r="H395" s="41"/>
      <c r="I395" s="41"/>
      <c r="J395" s="42"/>
      <c r="K395" s="41"/>
      <c r="L395" s="41"/>
      <c r="M395" s="127"/>
      <c r="N395" s="41"/>
      <c r="O395" s="41"/>
      <c r="P395" s="41"/>
      <c r="Q395" s="42"/>
      <c r="R395" s="35"/>
      <c r="S395" s="35"/>
      <c r="T395" s="35"/>
      <c r="U395" s="35"/>
      <c r="V395" s="121"/>
      <c r="W395" s="42"/>
      <c r="X395" s="42"/>
      <c r="Y395" s="42"/>
      <c r="Z395" s="42"/>
      <c r="AA395" s="42"/>
      <c r="AB395" s="42"/>
      <c r="AC395" s="42"/>
      <c r="AD395" s="42"/>
      <c r="AE395" s="42"/>
      <c r="AF395" s="42"/>
      <c r="AG395" s="42"/>
      <c r="AH395" s="42"/>
      <c r="AI395" s="42"/>
      <c r="AJ395" s="42"/>
      <c r="AK395" s="42"/>
      <c r="AL395" s="42"/>
      <c r="AM395" s="42"/>
    </row>
    <row r="396" spans="1:39" x14ac:dyDescent="0.25">
      <c r="A396" s="38" t="s">
        <v>747</v>
      </c>
      <c r="B396" s="42"/>
      <c r="C396" s="42"/>
      <c r="D396" s="42"/>
      <c r="E396" s="41"/>
      <c r="F396" s="41"/>
      <c r="G396" s="41"/>
      <c r="H396" s="41"/>
      <c r="I396" s="41"/>
      <c r="J396" s="42"/>
      <c r="K396" s="41"/>
      <c r="L396" s="41"/>
      <c r="M396" s="127"/>
      <c r="N396" s="41"/>
      <c r="O396" s="41"/>
      <c r="P396" s="41"/>
      <c r="Q396" s="42"/>
      <c r="R396" s="35"/>
      <c r="S396" s="35"/>
      <c r="T396" s="35"/>
      <c r="U396" s="35"/>
      <c r="V396" s="121"/>
      <c r="W396" s="42"/>
      <c r="X396" s="42"/>
      <c r="Y396" s="42"/>
      <c r="Z396" s="42"/>
      <c r="AA396" s="42"/>
      <c r="AB396" s="42"/>
      <c r="AC396" s="42"/>
      <c r="AD396" s="42"/>
      <c r="AE396" s="42"/>
      <c r="AF396" s="42"/>
      <c r="AG396" s="42"/>
      <c r="AH396" s="42"/>
      <c r="AI396" s="42"/>
      <c r="AJ396" s="42"/>
      <c r="AK396" s="42"/>
      <c r="AL396" s="42"/>
      <c r="AM396" s="42"/>
    </row>
    <row r="397" spans="1:39" x14ac:dyDescent="0.25">
      <c r="A397" s="38" t="s">
        <v>748</v>
      </c>
      <c r="B397" s="42"/>
      <c r="C397" s="42"/>
      <c r="D397" s="42"/>
      <c r="E397" s="41"/>
      <c r="F397" s="41"/>
      <c r="G397" s="41"/>
      <c r="H397" s="41"/>
      <c r="I397" s="41"/>
      <c r="J397" s="42"/>
      <c r="K397" s="41"/>
      <c r="L397" s="41"/>
      <c r="M397" s="127"/>
      <c r="N397" s="41"/>
      <c r="O397" s="41"/>
      <c r="P397" s="41"/>
      <c r="Q397" s="42"/>
      <c r="R397" s="35"/>
      <c r="S397" s="35"/>
      <c r="T397" s="35"/>
      <c r="U397" s="35"/>
      <c r="V397" s="121"/>
      <c r="W397" s="42"/>
      <c r="X397" s="42"/>
      <c r="Y397" s="42"/>
      <c r="Z397" s="42"/>
      <c r="AA397" s="42"/>
      <c r="AB397" s="42"/>
      <c r="AC397" s="42"/>
      <c r="AD397" s="42"/>
      <c r="AE397" s="42"/>
      <c r="AF397" s="42"/>
      <c r="AG397" s="42"/>
      <c r="AH397" s="42"/>
      <c r="AI397" s="42"/>
      <c r="AJ397" s="42"/>
      <c r="AK397" s="42"/>
      <c r="AL397" s="42"/>
      <c r="AM397" s="42"/>
    </row>
    <row r="398" spans="1:39" x14ac:dyDescent="0.25">
      <c r="A398" s="38" t="s">
        <v>749</v>
      </c>
      <c r="B398" s="42"/>
      <c r="C398" s="42"/>
      <c r="D398" s="42"/>
      <c r="E398" s="41"/>
      <c r="F398" s="41"/>
      <c r="G398" s="41"/>
      <c r="H398" s="41"/>
      <c r="I398" s="41"/>
      <c r="J398" s="42"/>
      <c r="K398" s="41"/>
      <c r="L398" s="41"/>
      <c r="M398" s="127"/>
      <c r="N398" s="41"/>
      <c r="O398" s="41"/>
      <c r="P398" s="41"/>
      <c r="Q398" s="42"/>
      <c r="R398" s="35"/>
      <c r="S398" s="35"/>
      <c r="T398" s="35"/>
      <c r="U398" s="35"/>
      <c r="V398" s="121"/>
      <c r="W398" s="42"/>
      <c r="X398" s="42"/>
      <c r="Y398" s="42"/>
      <c r="Z398" s="42"/>
      <c r="AA398" s="42"/>
      <c r="AB398" s="42"/>
      <c r="AC398" s="42"/>
      <c r="AD398" s="42"/>
      <c r="AE398" s="42"/>
      <c r="AF398" s="42"/>
      <c r="AG398" s="42"/>
      <c r="AH398" s="42"/>
      <c r="AI398" s="42"/>
      <c r="AJ398" s="42"/>
      <c r="AK398" s="42"/>
      <c r="AL398" s="42"/>
      <c r="AM398" s="42"/>
    </row>
    <row r="399" spans="1:39" x14ac:dyDescent="0.25">
      <c r="A399" s="38" t="s">
        <v>750</v>
      </c>
      <c r="B399" s="42"/>
      <c r="C399" s="42"/>
      <c r="D399" s="42"/>
      <c r="E399" s="41"/>
      <c r="F399" s="41"/>
      <c r="G399" s="41"/>
      <c r="H399" s="41"/>
      <c r="I399" s="41"/>
      <c r="J399" s="42"/>
      <c r="K399" s="41"/>
      <c r="L399" s="41"/>
      <c r="M399" s="127"/>
      <c r="N399" s="41"/>
      <c r="O399" s="41"/>
      <c r="P399" s="41"/>
      <c r="Q399" s="42"/>
      <c r="R399" s="35"/>
      <c r="S399" s="35"/>
      <c r="T399" s="35"/>
      <c r="U399" s="35"/>
      <c r="V399" s="121"/>
      <c r="W399" s="42"/>
      <c r="X399" s="42"/>
      <c r="Y399" s="42"/>
      <c r="Z399" s="42"/>
      <c r="AA399" s="42"/>
      <c r="AB399" s="42"/>
      <c r="AC399" s="42"/>
      <c r="AD399" s="42"/>
      <c r="AE399" s="42"/>
      <c r="AF399" s="42"/>
      <c r="AG399" s="42"/>
      <c r="AH399" s="42"/>
      <c r="AI399" s="42"/>
      <c r="AJ399" s="42"/>
      <c r="AK399" s="42"/>
      <c r="AL399" s="42"/>
      <c r="AM399" s="42"/>
    </row>
    <row r="400" spans="1:39" x14ac:dyDescent="0.25">
      <c r="A400" s="38" t="s">
        <v>751</v>
      </c>
      <c r="B400" s="42"/>
      <c r="C400" s="42"/>
      <c r="D400" s="42"/>
      <c r="E400" s="41"/>
      <c r="F400" s="41"/>
      <c r="G400" s="41"/>
      <c r="H400" s="41"/>
      <c r="I400" s="41"/>
      <c r="J400" s="42"/>
      <c r="K400" s="41"/>
      <c r="L400" s="41"/>
      <c r="M400" s="127"/>
      <c r="N400" s="41"/>
      <c r="O400" s="41"/>
      <c r="P400" s="41"/>
      <c r="Q400" s="42"/>
      <c r="R400" s="35"/>
      <c r="S400" s="35"/>
      <c r="T400" s="35"/>
      <c r="U400" s="35"/>
      <c r="V400" s="121"/>
      <c r="W400" s="42"/>
      <c r="X400" s="42"/>
      <c r="Y400" s="42"/>
      <c r="Z400" s="42"/>
      <c r="AA400" s="42"/>
      <c r="AB400" s="42"/>
      <c r="AC400" s="42"/>
      <c r="AD400" s="42"/>
      <c r="AE400" s="42"/>
      <c r="AF400" s="42"/>
      <c r="AG400" s="42"/>
      <c r="AH400" s="42"/>
      <c r="AI400" s="42"/>
      <c r="AJ400" s="42"/>
      <c r="AK400" s="42"/>
      <c r="AL400" s="42"/>
      <c r="AM400" s="42"/>
    </row>
    <row r="401" spans="1:39" x14ac:dyDescent="0.25">
      <c r="A401" s="38" t="s">
        <v>752</v>
      </c>
      <c r="B401" s="42"/>
      <c r="C401" s="42"/>
      <c r="D401" s="42"/>
      <c r="E401" s="41"/>
      <c r="F401" s="41"/>
      <c r="G401" s="41"/>
      <c r="H401" s="41"/>
      <c r="I401" s="41"/>
      <c r="J401" s="42"/>
      <c r="K401" s="41"/>
      <c r="L401" s="41"/>
      <c r="M401" s="127"/>
      <c r="N401" s="41"/>
      <c r="O401" s="41"/>
      <c r="P401" s="41"/>
      <c r="Q401" s="42"/>
      <c r="R401" s="35"/>
      <c r="S401" s="35"/>
      <c r="T401" s="35"/>
      <c r="U401" s="35"/>
      <c r="V401" s="121"/>
      <c r="W401" s="42"/>
      <c r="X401" s="42"/>
      <c r="Y401" s="42"/>
      <c r="Z401" s="42"/>
      <c r="AA401" s="42"/>
      <c r="AB401" s="42"/>
      <c r="AC401" s="42"/>
      <c r="AD401" s="42"/>
      <c r="AE401" s="42"/>
      <c r="AF401" s="42"/>
      <c r="AG401" s="42"/>
      <c r="AH401" s="42"/>
      <c r="AI401" s="42"/>
      <c r="AJ401" s="42"/>
      <c r="AK401" s="42"/>
      <c r="AL401" s="42"/>
      <c r="AM401" s="42"/>
    </row>
    <row r="402" spans="1:39" x14ac:dyDescent="0.25">
      <c r="A402" s="38" t="s">
        <v>753</v>
      </c>
      <c r="B402" s="42"/>
      <c r="C402" s="42"/>
      <c r="D402" s="42"/>
      <c r="E402" s="41"/>
      <c r="F402" s="41"/>
      <c r="G402" s="41"/>
      <c r="H402" s="41"/>
      <c r="I402" s="41"/>
      <c r="J402" s="42"/>
      <c r="K402" s="41"/>
      <c r="L402" s="41"/>
      <c r="M402" s="127"/>
      <c r="N402" s="41"/>
      <c r="O402" s="41"/>
      <c r="P402" s="41"/>
      <c r="Q402" s="42"/>
      <c r="R402" s="35"/>
      <c r="S402" s="35"/>
      <c r="T402" s="35"/>
      <c r="U402" s="35"/>
      <c r="V402" s="121"/>
      <c r="W402" s="42"/>
      <c r="X402" s="42"/>
      <c r="Y402" s="42"/>
      <c r="Z402" s="42"/>
      <c r="AA402" s="42"/>
      <c r="AB402" s="42"/>
      <c r="AC402" s="42"/>
      <c r="AD402" s="42"/>
      <c r="AE402" s="42"/>
      <c r="AF402" s="42"/>
      <c r="AG402" s="42"/>
      <c r="AH402" s="42"/>
      <c r="AI402" s="42"/>
      <c r="AJ402" s="42"/>
      <c r="AK402" s="42"/>
      <c r="AL402" s="42"/>
      <c r="AM402" s="42"/>
    </row>
    <row r="403" spans="1:39" x14ac:dyDescent="0.25">
      <c r="A403" s="38" t="s">
        <v>754</v>
      </c>
      <c r="B403" s="42"/>
      <c r="C403" s="42"/>
      <c r="D403" s="42"/>
      <c r="E403" s="41"/>
      <c r="F403" s="41"/>
      <c r="G403" s="41"/>
      <c r="H403" s="41"/>
      <c r="I403" s="41"/>
      <c r="J403" s="42"/>
      <c r="K403" s="41"/>
      <c r="L403" s="41"/>
      <c r="M403" s="127"/>
      <c r="N403" s="41"/>
      <c r="O403" s="41"/>
      <c r="P403" s="41"/>
      <c r="Q403" s="42"/>
      <c r="R403" s="35"/>
      <c r="S403" s="35"/>
      <c r="T403" s="35"/>
      <c r="U403" s="35"/>
      <c r="V403" s="121"/>
      <c r="W403" s="42"/>
      <c r="X403" s="42"/>
      <c r="Y403" s="42"/>
      <c r="Z403" s="42"/>
      <c r="AA403" s="42"/>
      <c r="AB403" s="42"/>
      <c r="AC403" s="42"/>
      <c r="AD403" s="42"/>
      <c r="AE403" s="42"/>
      <c r="AF403" s="42"/>
      <c r="AG403" s="42"/>
      <c r="AH403" s="42"/>
      <c r="AI403" s="42"/>
      <c r="AJ403" s="42"/>
      <c r="AK403" s="42"/>
      <c r="AL403" s="42"/>
      <c r="AM403" s="42"/>
    </row>
    <row r="404" spans="1:39" x14ac:dyDescent="0.25">
      <c r="A404" s="38" t="s">
        <v>755</v>
      </c>
      <c r="B404" s="42"/>
      <c r="C404" s="42"/>
      <c r="D404" s="42"/>
      <c r="E404" s="41"/>
      <c r="F404" s="41"/>
      <c r="G404" s="41"/>
      <c r="H404" s="41"/>
      <c r="I404" s="41"/>
      <c r="J404" s="42"/>
      <c r="K404" s="41"/>
      <c r="L404" s="41"/>
      <c r="M404" s="127"/>
      <c r="N404" s="41"/>
      <c r="O404" s="41"/>
      <c r="P404" s="41"/>
      <c r="Q404" s="42"/>
      <c r="R404" s="35"/>
      <c r="S404" s="35"/>
      <c r="T404" s="35"/>
      <c r="U404" s="35"/>
      <c r="V404" s="121"/>
      <c r="W404" s="42"/>
      <c r="X404" s="42"/>
      <c r="Y404" s="42"/>
      <c r="Z404" s="42"/>
      <c r="AA404" s="42"/>
      <c r="AB404" s="42"/>
      <c r="AC404" s="42"/>
      <c r="AD404" s="42"/>
      <c r="AE404" s="42"/>
      <c r="AF404" s="42"/>
      <c r="AG404" s="42"/>
      <c r="AH404" s="42"/>
      <c r="AI404" s="42"/>
      <c r="AJ404" s="42"/>
      <c r="AK404" s="42"/>
      <c r="AL404" s="42"/>
      <c r="AM404" s="42"/>
    </row>
    <row r="405" spans="1:39" x14ac:dyDescent="0.25">
      <c r="A405" s="38" t="s">
        <v>756</v>
      </c>
      <c r="B405" s="42"/>
      <c r="C405" s="42"/>
      <c r="D405" s="42"/>
      <c r="E405" s="41"/>
      <c r="F405" s="41"/>
      <c r="G405" s="41"/>
      <c r="H405" s="41"/>
      <c r="I405" s="41"/>
      <c r="J405" s="42"/>
      <c r="K405" s="41"/>
      <c r="L405" s="41"/>
      <c r="M405" s="127"/>
      <c r="N405" s="41"/>
      <c r="O405" s="41"/>
      <c r="P405" s="41"/>
      <c r="Q405" s="42"/>
      <c r="R405" s="35"/>
      <c r="S405" s="35"/>
      <c r="T405" s="35"/>
      <c r="U405" s="35"/>
      <c r="V405" s="121"/>
      <c r="W405" s="42"/>
      <c r="X405" s="42"/>
      <c r="Y405" s="42"/>
      <c r="Z405" s="42"/>
      <c r="AA405" s="42"/>
      <c r="AB405" s="42"/>
      <c r="AC405" s="42"/>
      <c r="AD405" s="42"/>
      <c r="AE405" s="42"/>
      <c r="AF405" s="42"/>
      <c r="AG405" s="42"/>
      <c r="AH405" s="42"/>
      <c r="AI405" s="42"/>
      <c r="AJ405" s="42"/>
      <c r="AK405" s="42"/>
      <c r="AL405" s="42"/>
      <c r="AM405" s="42"/>
    </row>
    <row r="406" spans="1:39" x14ac:dyDescent="0.25">
      <c r="A406" s="38" t="s">
        <v>757</v>
      </c>
      <c r="B406" s="42"/>
      <c r="C406" s="42"/>
      <c r="D406" s="42"/>
      <c r="E406" s="41"/>
      <c r="F406" s="41"/>
      <c r="G406" s="41"/>
      <c r="H406" s="41"/>
      <c r="I406" s="41"/>
      <c r="J406" s="42"/>
      <c r="K406" s="41"/>
      <c r="L406" s="41"/>
      <c r="M406" s="127"/>
      <c r="N406" s="41"/>
      <c r="O406" s="41"/>
      <c r="P406" s="41"/>
      <c r="Q406" s="42"/>
      <c r="R406" s="35"/>
      <c r="S406" s="35"/>
      <c r="T406" s="35"/>
      <c r="U406" s="35"/>
      <c r="V406" s="121"/>
      <c r="W406" s="42"/>
      <c r="X406" s="42"/>
      <c r="Y406" s="42"/>
      <c r="Z406" s="42"/>
      <c r="AA406" s="42"/>
      <c r="AB406" s="42"/>
      <c r="AC406" s="42"/>
      <c r="AD406" s="42"/>
      <c r="AE406" s="42"/>
      <c r="AF406" s="42"/>
      <c r="AG406" s="42"/>
      <c r="AH406" s="42"/>
      <c r="AI406" s="42"/>
      <c r="AJ406" s="42"/>
      <c r="AK406" s="42"/>
      <c r="AL406" s="42"/>
      <c r="AM406" s="42"/>
    </row>
    <row r="407" spans="1:39" x14ac:dyDescent="0.25">
      <c r="A407" s="38" t="s">
        <v>758</v>
      </c>
      <c r="B407" s="42"/>
      <c r="C407" s="42"/>
      <c r="D407" s="42"/>
      <c r="E407" s="41"/>
      <c r="F407" s="41"/>
      <c r="G407" s="41"/>
      <c r="H407" s="41"/>
      <c r="I407" s="41"/>
      <c r="J407" s="42"/>
      <c r="K407" s="41"/>
      <c r="L407" s="41"/>
      <c r="M407" s="127"/>
      <c r="N407" s="41"/>
      <c r="O407" s="41"/>
      <c r="P407" s="41"/>
      <c r="Q407" s="42"/>
      <c r="R407" s="35"/>
      <c r="S407" s="35"/>
      <c r="T407" s="35"/>
      <c r="U407" s="35"/>
      <c r="V407" s="121"/>
      <c r="W407" s="42"/>
      <c r="X407" s="42"/>
      <c r="Y407" s="42"/>
      <c r="Z407" s="42"/>
      <c r="AA407" s="42"/>
      <c r="AB407" s="42"/>
      <c r="AC407" s="42"/>
      <c r="AD407" s="42"/>
      <c r="AE407" s="42"/>
      <c r="AF407" s="42"/>
      <c r="AG407" s="42"/>
      <c r="AH407" s="42"/>
      <c r="AI407" s="42"/>
      <c r="AJ407" s="42"/>
      <c r="AK407" s="42"/>
      <c r="AL407" s="42"/>
      <c r="AM407" s="42"/>
    </row>
    <row r="408" spans="1:39" x14ac:dyDescent="0.25">
      <c r="A408" s="38" t="s">
        <v>759</v>
      </c>
      <c r="B408" s="42"/>
      <c r="C408" s="42"/>
      <c r="D408" s="42"/>
      <c r="E408" s="41"/>
      <c r="F408" s="41"/>
      <c r="G408" s="41"/>
      <c r="H408" s="41"/>
      <c r="I408" s="41"/>
      <c r="J408" s="42"/>
      <c r="K408" s="41"/>
      <c r="L408" s="41"/>
      <c r="M408" s="127"/>
      <c r="N408" s="41"/>
      <c r="O408" s="41"/>
      <c r="P408" s="41"/>
      <c r="Q408" s="42"/>
      <c r="R408" s="35"/>
      <c r="S408" s="35"/>
      <c r="T408" s="35"/>
      <c r="U408" s="35"/>
      <c r="V408" s="121"/>
      <c r="W408" s="42"/>
      <c r="X408" s="42"/>
      <c r="Y408" s="42"/>
      <c r="Z408" s="42"/>
      <c r="AA408" s="42"/>
      <c r="AB408" s="42"/>
      <c r="AC408" s="42"/>
      <c r="AD408" s="42"/>
      <c r="AE408" s="42"/>
      <c r="AF408" s="42"/>
      <c r="AG408" s="42"/>
      <c r="AH408" s="42"/>
      <c r="AI408" s="42"/>
      <c r="AJ408" s="42"/>
      <c r="AK408" s="42"/>
      <c r="AL408" s="42"/>
      <c r="AM408" s="42"/>
    </row>
    <row r="409" spans="1:39" x14ac:dyDescent="0.25">
      <c r="A409" s="38" t="s">
        <v>760</v>
      </c>
      <c r="B409" s="42"/>
      <c r="C409" s="42"/>
      <c r="D409" s="42"/>
      <c r="E409" s="41"/>
      <c r="F409" s="41"/>
      <c r="G409" s="41"/>
      <c r="H409" s="41"/>
      <c r="I409" s="41"/>
      <c r="J409" s="42"/>
      <c r="K409" s="41"/>
      <c r="L409" s="41"/>
      <c r="M409" s="127"/>
      <c r="N409" s="41"/>
      <c r="O409" s="41"/>
      <c r="P409" s="41"/>
      <c r="Q409" s="42"/>
      <c r="R409" s="35"/>
      <c r="S409" s="35"/>
      <c r="T409" s="35"/>
      <c r="U409" s="35"/>
      <c r="V409" s="121"/>
      <c r="W409" s="42"/>
      <c r="X409" s="42"/>
      <c r="Y409" s="42"/>
      <c r="Z409" s="42"/>
      <c r="AA409" s="42"/>
      <c r="AB409" s="42"/>
      <c r="AC409" s="42"/>
      <c r="AD409" s="42"/>
      <c r="AE409" s="42"/>
      <c r="AF409" s="42"/>
      <c r="AG409" s="42"/>
      <c r="AH409" s="42"/>
      <c r="AI409" s="42"/>
      <c r="AJ409" s="42"/>
      <c r="AK409" s="42"/>
      <c r="AL409" s="42"/>
      <c r="AM409" s="42"/>
    </row>
    <row r="410" spans="1:39" x14ac:dyDescent="0.25">
      <c r="A410" s="38" t="s">
        <v>761</v>
      </c>
      <c r="B410" s="42"/>
      <c r="C410" s="42"/>
      <c r="D410" s="42"/>
      <c r="E410" s="41"/>
      <c r="F410" s="41"/>
      <c r="G410" s="41"/>
      <c r="H410" s="41"/>
      <c r="I410" s="41"/>
      <c r="J410" s="42"/>
      <c r="K410" s="41"/>
      <c r="L410" s="41"/>
      <c r="M410" s="127"/>
      <c r="N410" s="41"/>
      <c r="O410" s="41"/>
      <c r="P410" s="41"/>
      <c r="Q410" s="42"/>
      <c r="R410" s="35"/>
      <c r="S410" s="35"/>
      <c r="T410" s="35"/>
      <c r="U410" s="35"/>
      <c r="V410" s="121"/>
      <c r="W410" s="42"/>
      <c r="X410" s="42"/>
      <c r="Y410" s="42"/>
      <c r="Z410" s="42"/>
      <c r="AA410" s="42"/>
      <c r="AB410" s="42"/>
      <c r="AC410" s="42"/>
      <c r="AD410" s="42"/>
      <c r="AE410" s="42"/>
      <c r="AF410" s="42"/>
      <c r="AG410" s="42"/>
      <c r="AH410" s="42"/>
      <c r="AI410" s="42"/>
      <c r="AJ410" s="42"/>
      <c r="AK410" s="42"/>
      <c r="AL410" s="42"/>
      <c r="AM410" s="42"/>
    </row>
    <row r="411" spans="1:39" x14ac:dyDescent="0.25">
      <c r="A411" s="38" t="s">
        <v>762</v>
      </c>
      <c r="B411" s="42"/>
      <c r="C411" s="42"/>
      <c r="D411" s="42"/>
      <c r="E411" s="41"/>
      <c r="F411" s="41"/>
      <c r="G411" s="41"/>
      <c r="H411" s="41"/>
      <c r="I411" s="41"/>
      <c r="J411" s="42"/>
      <c r="K411" s="41"/>
      <c r="L411" s="41"/>
      <c r="M411" s="127"/>
      <c r="N411" s="41"/>
      <c r="O411" s="41"/>
      <c r="P411" s="41"/>
      <c r="Q411" s="42"/>
      <c r="R411" s="35"/>
      <c r="S411" s="35"/>
      <c r="T411" s="35"/>
      <c r="U411" s="35"/>
      <c r="V411" s="121"/>
      <c r="W411" s="42"/>
      <c r="X411" s="42"/>
      <c r="Y411" s="42"/>
      <c r="Z411" s="42"/>
      <c r="AA411" s="42"/>
      <c r="AB411" s="42"/>
      <c r="AC411" s="42"/>
      <c r="AD411" s="42"/>
      <c r="AE411" s="42"/>
      <c r="AF411" s="42"/>
      <c r="AG411" s="42"/>
      <c r="AH411" s="42"/>
      <c r="AI411" s="42"/>
      <c r="AJ411" s="42"/>
      <c r="AK411" s="42"/>
      <c r="AL411" s="42"/>
      <c r="AM411" s="42"/>
    </row>
    <row r="412" spans="1:39" x14ac:dyDescent="0.25">
      <c r="A412" s="38" t="s">
        <v>763</v>
      </c>
      <c r="B412" s="42"/>
      <c r="C412" s="42"/>
      <c r="D412" s="42"/>
      <c r="E412" s="41"/>
      <c r="F412" s="41"/>
      <c r="G412" s="41"/>
      <c r="H412" s="41"/>
      <c r="I412" s="41"/>
      <c r="J412" s="42"/>
      <c r="K412" s="41"/>
      <c r="L412" s="41"/>
      <c r="M412" s="127"/>
      <c r="N412" s="41"/>
      <c r="O412" s="41"/>
      <c r="P412" s="41"/>
      <c r="Q412" s="42"/>
      <c r="R412" s="35"/>
      <c r="S412" s="35"/>
      <c r="T412" s="35"/>
      <c r="U412" s="35"/>
      <c r="V412" s="121"/>
      <c r="W412" s="42"/>
      <c r="X412" s="42"/>
      <c r="Y412" s="42"/>
      <c r="Z412" s="42"/>
      <c r="AA412" s="42"/>
      <c r="AB412" s="42"/>
      <c r="AC412" s="42"/>
      <c r="AD412" s="42"/>
      <c r="AE412" s="42"/>
      <c r="AF412" s="42"/>
      <c r="AG412" s="42"/>
      <c r="AH412" s="42"/>
      <c r="AI412" s="42"/>
      <c r="AJ412" s="42"/>
      <c r="AK412" s="42"/>
      <c r="AL412" s="42"/>
      <c r="AM412" s="42"/>
    </row>
    <row r="413" spans="1:39" x14ac:dyDescent="0.25">
      <c r="A413" s="38" t="s">
        <v>764</v>
      </c>
      <c r="B413" s="42"/>
      <c r="C413" s="42"/>
      <c r="D413" s="42"/>
      <c r="E413" s="41"/>
      <c r="F413" s="41"/>
      <c r="G413" s="41"/>
      <c r="H413" s="41"/>
      <c r="I413" s="41"/>
      <c r="J413" s="42"/>
      <c r="K413" s="41"/>
      <c r="L413" s="41"/>
      <c r="M413" s="127"/>
      <c r="N413" s="41"/>
      <c r="O413" s="41"/>
      <c r="P413" s="41"/>
      <c r="Q413" s="42"/>
      <c r="R413" s="35"/>
      <c r="S413" s="35"/>
      <c r="T413" s="35"/>
      <c r="U413" s="35"/>
      <c r="V413" s="121"/>
      <c r="W413" s="42"/>
      <c r="X413" s="42"/>
      <c r="Y413" s="42"/>
      <c r="Z413" s="42"/>
      <c r="AA413" s="42"/>
      <c r="AB413" s="42"/>
      <c r="AC413" s="42"/>
      <c r="AD413" s="42"/>
      <c r="AE413" s="42"/>
      <c r="AF413" s="42"/>
      <c r="AG413" s="42"/>
      <c r="AH413" s="42"/>
      <c r="AI413" s="42"/>
      <c r="AJ413" s="42"/>
      <c r="AK413" s="42"/>
      <c r="AL413" s="42"/>
      <c r="AM413" s="42"/>
    </row>
    <row r="414" spans="1:39" x14ac:dyDescent="0.25">
      <c r="A414" s="38" t="s">
        <v>765</v>
      </c>
      <c r="B414" s="42"/>
      <c r="C414" s="42"/>
      <c r="D414" s="42"/>
      <c r="E414" s="41"/>
      <c r="F414" s="41"/>
      <c r="G414" s="41"/>
      <c r="H414" s="41"/>
      <c r="I414" s="41"/>
      <c r="J414" s="42"/>
      <c r="K414" s="41"/>
      <c r="L414" s="41"/>
      <c r="M414" s="127"/>
      <c r="N414" s="41"/>
      <c r="O414" s="41"/>
      <c r="P414" s="41"/>
      <c r="Q414" s="42"/>
      <c r="R414" s="35"/>
      <c r="S414" s="35"/>
      <c r="T414" s="35"/>
      <c r="U414" s="35"/>
      <c r="V414" s="121"/>
      <c r="W414" s="42"/>
      <c r="X414" s="42"/>
      <c r="Y414" s="42"/>
      <c r="Z414" s="42"/>
      <c r="AA414" s="42"/>
      <c r="AB414" s="42"/>
      <c r="AC414" s="42"/>
      <c r="AD414" s="42"/>
      <c r="AE414" s="42"/>
      <c r="AF414" s="42"/>
      <c r="AG414" s="42"/>
      <c r="AH414" s="42"/>
      <c r="AI414" s="42"/>
      <c r="AJ414" s="42"/>
      <c r="AK414" s="42"/>
      <c r="AL414" s="42"/>
      <c r="AM414" s="42"/>
    </row>
    <row r="415" spans="1:39" x14ac:dyDescent="0.25">
      <c r="A415" s="38" t="s">
        <v>766</v>
      </c>
      <c r="B415" s="42"/>
      <c r="C415" s="42"/>
      <c r="D415" s="42"/>
      <c r="E415" s="41"/>
      <c r="F415" s="41"/>
      <c r="G415" s="41"/>
      <c r="H415" s="41"/>
      <c r="I415" s="41"/>
      <c r="J415" s="42"/>
      <c r="K415" s="41"/>
      <c r="L415" s="41"/>
      <c r="M415" s="127"/>
      <c r="N415" s="41"/>
      <c r="O415" s="41"/>
      <c r="P415" s="41"/>
      <c r="Q415" s="42"/>
      <c r="R415" s="35"/>
      <c r="S415" s="35"/>
      <c r="T415" s="35"/>
      <c r="U415" s="35"/>
      <c r="V415" s="121"/>
      <c r="W415" s="42"/>
      <c r="X415" s="42"/>
      <c r="Y415" s="42"/>
      <c r="Z415" s="42"/>
      <c r="AA415" s="42"/>
      <c r="AB415" s="42"/>
      <c r="AC415" s="42"/>
      <c r="AD415" s="42"/>
      <c r="AE415" s="42"/>
      <c r="AF415" s="42"/>
      <c r="AG415" s="42"/>
      <c r="AH415" s="42"/>
      <c r="AI415" s="42"/>
      <c r="AJ415" s="42"/>
      <c r="AK415" s="42"/>
      <c r="AL415" s="42"/>
      <c r="AM415" s="42"/>
    </row>
    <row r="416" spans="1:39" x14ac:dyDescent="0.25">
      <c r="A416" s="38" t="s">
        <v>767</v>
      </c>
      <c r="B416" s="42"/>
      <c r="C416" s="42"/>
      <c r="D416" s="42"/>
      <c r="E416" s="41"/>
      <c r="F416" s="41"/>
      <c r="G416" s="41"/>
      <c r="H416" s="41"/>
      <c r="I416" s="41"/>
      <c r="J416" s="42"/>
      <c r="K416" s="41"/>
      <c r="L416" s="41"/>
      <c r="M416" s="127"/>
      <c r="N416" s="41"/>
      <c r="O416" s="41"/>
      <c r="P416" s="41"/>
      <c r="Q416" s="42"/>
      <c r="R416" s="35"/>
      <c r="S416" s="35"/>
      <c r="T416" s="35"/>
      <c r="U416" s="35"/>
      <c r="V416" s="121"/>
      <c r="W416" s="42"/>
      <c r="X416" s="42"/>
      <c r="Y416" s="42"/>
      <c r="Z416" s="42"/>
      <c r="AA416" s="42"/>
      <c r="AB416" s="42"/>
      <c r="AC416" s="42"/>
      <c r="AD416" s="42"/>
      <c r="AE416" s="42"/>
      <c r="AF416" s="42"/>
      <c r="AG416" s="42"/>
      <c r="AH416" s="42"/>
      <c r="AI416" s="42"/>
      <c r="AJ416" s="42"/>
      <c r="AK416" s="42"/>
      <c r="AL416" s="42"/>
      <c r="AM416" s="42"/>
    </row>
    <row r="417" spans="1:39" x14ac:dyDescent="0.25">
      <c r="A417" s="38" t="s">
        <v>768</v>
      </c>
      <c r="B417" s="42"/>
      <c r="C417" s="42"/>
      <c r="D417" s="42"/>
      <c r="E417" s="41"/>
      <c r="F417" s="41"/>
      <c r="G417" s="41"/>
      <c r="H417" s="41"/>
      <c r="I417" s="41"/>
      <c r="J417" s="42"/>
      <c r="K417" s="41"/>
      <c r="L417" s="41"/>
      <c r="M417" s="127"/>
      <c r="N417" s="41"/>
      <c r="O417" s="41"/>
      <c r="P417" s="41"/>
      <c r="Q417" s="42"/>
      <c r="R417" s="35"/>
      <c r="S417" s="35"/>
      <c r="T417" s="35"/>
      <c r="U417" s="35"/>
      <c r="V417" s="121"/>
      <c r="W417" s="42"/>
      <c r="X417" s="42"/>
      <c r="Y417" s="42"/>
      <c r="Z417" s="42"/>
      <c r="AA417" s="42"/>
      <c r="AB417" s="42"/>
      <c r="AC417" s="42"/>
      <c r="AD417" s="42"/>
      <c r="AE417" s="42"/>
      <c r="AF417" s="42"/>
      <c r="AG417" s="42"/>
      <c r="AH417" s="42"/>
      <c r="AI417" s="42"/>
      <c r="AJ417" s="42"/>
      <c r="AK417" s="42"/>
      <c r="AL417" s="42"/>
      <c r="AM417" s="42"/>
    </row>
    <row r="418" spans="1:39" x14ac:dyDescent="0.25">
      <c r="A418" s="38" t="s">
        <v>769</v>
      </c>
      <c r="B418" s="42"/>
      <c r="C418" s="42"/>
      <c r="D418" s="42"/>
      <c r="E418" s="41"/>
      <c r="F418" s="41"/>
      <c r="G418" s="41"/>
      <c r="H418" s="41"/>
      <c r="I418" s="41"/>
      <c r="J418" s="42"/>
      <c r="K418" s="41"/>
      <c r="L418" s="41"/>
      <c r="M418" s="127"/>
      <c r="N418" s="41"/>
      <c r="O418" s="41"/>
      <c r="P418" s="41"/>
      <c r="Q418" s="42"/>
      <c r="R418" s="35"/>
      <c r="S418" s="35"/>
      <c r="T418" s="35"/>
      <c r="U418" s="35"/>
      <c r="V418" s="121"/>
      <c r="W418" s="42"/>
      <c r="X418" s="42"/>
      <c r="Y418" s="42"/>
      <c r="Z418" s="42"/>
      <c r="AA418" s="42"/>
      <c r="AB418" s="42"/>
      <c r="AC418" s="42"/>
      <c r="AD418" s="42"/>
      <c r="AE418" s="42"/>
      <c r="AF418" s="42"/>
      <c r="AG418" s="42"/>
      <c r="AH418" s="42"/>
      <c r="AI418" s="42"/>
      <c r="AJ418" s="42"/>
      <c r="AK418" s="42"/>
      <c r="AL418" s="42"/>
      <c r="AM418" s="42"/>
    </row>
    <row r="419" spans="1:39" x14ac:dyDescent="0.25">
      <c r="A419" s="38" t="s">
        <v>770</v>
      </c>
      <c r="B419" s="42"/>
      <c r="C419" s="42"/>
      <c r="D419" s="42"/>
      <c r="E419" s="41"/>
      <c r="F419" s="41"/>
      <c r="G419" s="41"/>
      <c r="H419" s="41"/>
      <c r="I419" s="41"/>
      <c r="J419" s="42"/>
      <c r="K419" s="41"/>
      <c r="L419" s="41"/>
      <c r="M419" s="127"/>
      <c r="N419" s="41"/>
      <c r="O419" s="41"/>
      <c r="P419" s="41"/>
      <c r="Q419" s="42"/>
      <c r="R419" s="35"/>
      <c r="S419" s="35"/>
      <c r="T419" s="35"/>
      <c r="U419" s="35"/>
      <c r="V419" s="121"/>
      <c r="W419" s="42"/>
      <c r="X419" s="42"/>
      <c r="Y419" s="42"/>
      <c r="Z419" s="42"/>
      <c r="AA419" s="42"/>
      <c r="AB419" s="42"/>
      <c r="AC419" s="42"/>
      <c r="AD419" s="42"/>
      <c r="AE419" s="42"/>
      <c r="AF419" s="42"/>
      <c r="AG419" s="42"/>
      <c r="AH419" s="42"/>
      <c r="AI419" s="42"/>
      <c r="AJ419" s="42"/>
      <c r="AK419" s="42"/>
      <c r="AL419" s="42"/>
      <c r="AM419" s="42"/>
    </row>
    <row r="420" spans="1:39" x14ac:dyDescent="0.25">
      <c r="A420" s="38" t="s">
        <v>771</v>
      </c>
      <c r="B420" s="42"/>
      <c r="C420" s="42"/>
      <c r="D420" s="42"/>
      <c r="E420" s="41"/>
      <c r="F420" s="41"/>
      <c r="G420" s="41"/>
      <c r="H420" s="41"/>
      <c r="I420" s="41"/>
      <c r="J420" s="42"/>
      <c r="K420" s="41"/>
      <c r="L420" s="41"/>
      <c r="M420" s="127"/>
      <c r="N420" s="41"/>
      <c r="O420" s="41"/>
      <c r="P420" s="41"/>
      <c r="Q420" s="42"/>
      <c r="R420" s="35"/>
      <c r="S420" s="35"/>
      <c r="T420" s="35"/>
      <c r="U420" s="35"/>
      <c r="V420" s="121"/>
      <c r="W420" s="42"/>
      <c r="X420" s="42"/>
      <c r="Y420" s="42"/>
      <c r="Z420" s="42"/>
      <c r="AA420" s="42"/>
      <c r="AB420" s="42"/>
      <c r="AC420" s="42"/>
      <c r="AD420" s="42"/>
      <c r="AE420" s="42"/>
      <c r="AF420" s="42"/>
      <c r="AG420" s="42"/>
      <c r="AH420" s="42"/>
      <c r="AI420" s="42"/>
      <c r="AJ420" s="42"/>
      <c r="AK420" s="42"/>
      <c r="AL420" s="42"/>
      <c r="AM420" s="42"/>
    </row>
    <row r="421" spans="1:39" x14ac:dyDescent="0.25">
      <c r="A421" s="38" t="s">
        <v>772</v>
      </c>
      <c r="B421" s="42"/>
      <c r="C421" s="42"/>
      <c r="D421" s="42"/>
      <c r="E421" s="41"/>
      <c r="F421" s="41"/>
      <c r="G421" s="41"/>
      <c r="H421" s="41"/>
      <c r="I421" s="41"/>
      <c r="J421" s="42"/>
      <c r="K421" s="41"/>
      <c r="L421" s="41"/>
      <c r="M421" s="127"/>
      <c r="N421" s="41"/>
      <c r="O421" s="41"/>
      <c r="P421" s="41"/>
      <c r="Q421" s="42"/>
      <c r="R421" s="35"/>
      <c r="S421" s="35"/>
      <c r="T421" s="35"/>
      <c r="U421" s="35"/>
      <c r="V421" s="121"/>
      <c r="W421" s="42"/>
      <c r="X421" s="42"/>
      <c r="Y421" s="42"/>
      <c r="Z421" s="42"/>
      <c r="AA421" s="42"/>
      <c r="AB421" s="42"/>
      <c r="AC421" s="42"/>
      <c r="AD421" s="42"/>
      <c r="AE421" s="42"/>
      <c r="AF421" s="42"/>
      <c r="AG421" s="42"/>
      <c r="AH421" s="42"/>
      <c r="AI421" s="42"/>
      <c r="AJ421" s="42"/>
      <c r="AK421" s="42"/>
      <c r="AL421" s="42"/>
      <c r="AM421" s="42"/>
    </row>
    <row r="422" spans="1:39" x14ac:dyDescent="0.25">
      <c r="A422" s="38" t="s">
        <v>773</v>
      </c>
      <c r="B422" s="42"/>
      <c r="C422" s="42"/>
      <c r="D422" s="42"/>
      <c r="E422" s="41"/>
      <c r="F422" s="41"/>
      <c r="G422" s="41"/>
      <c r="H422" s="41"/>
      <c r="I422" s="41"/>
      <c r="J422" s="42"/>
      <c r="K422" s="41"/>
      <c r="L422" s="41"/>
      <c r="M422" s="127"/>
      <c r="N422" s="41"/>
      <c r="O422" s="41"/>
      <c r="P422" s="41"/>
      <c r="Q422" s="42"/>
      <c r="R422" s="35"/>
      <c r="S422" s="35"/>
      <c r="T422" s="35"/>
      <c r="U422" s="35"/>
      <c r="V422" s="121"/>
      <c r="W422" s="42"/>
      <c r="X422" s="42"/>
      <c r="Y422" s="42"/>
      <c r="Z422" s="42"/>
      <c r="AA422" s="42"/>
      <c r="AB422" s="42"/>
      <c r="AC422" s="42"/>
      <c r="AD422" s="42"/>
      <c r="AE422" s="42"/>
      <c r="AF422" s="42"/>
      <c r="AG422" s="42"/>
      <c r="AH422" s="42"/>
      <c r="AI422" s="42"/>
      <c r="AJ422" s="42"/>
      <c r="AK422" s="42"/>
      <c r="AL422" s="42"/>
      <c r="AM422" s="42"/>
    </row>
    <row r="423" spans="1:39" x14ac:dyDescent="0.25">
      <c r="A423" s="38" t="s">
        <v>774</v>
      </c>
      <c r="B423" s="42"/>
      <c r="C423" s="42"/>
      <c r="D423" s="42"/>
      <c r="E423" s="41"/>
      <c r="F423" s="41"/>
      <c r="G423" s="41"/>
      <c r="H423" s="41"/>
      <c r="I423" s="41"/>
      <c r="J423" s="42"/>
      <c r="K423" s="41"/>
      <c r="L423" s="41"/>
      <c r="M423" s="127"/>
      <c r="N423" s="41"/>
      <c r="O423" s="41"/>
      <c r="P423" s="41"/>
      <c r="Q423" s="42"/>
      <c r="R423" s="35"/>
      <c r="S423" s="35"/>
      <c r="T423" s="35"/>
      <c r="U423" s="35"/>
      <c r="V423" s="121"/>
      <c r="W423" s="42"/>
      <c r="X423" s="42"/>
      <c r="Y423" s="42"/>
      <c r="Z423" s="42"/>
      <c r="AA423" s="42"/>
      <c r="AB423" s="42"/>
      <c r="AC423" s="42"/>
      <c r="AD423" s="42"/>
      <c r="AE423" s="42"/>
      <c r="AF423" s="42"/>
      <c r="AG423" s="42"/>
      <c r="AH423" s="42"/>
      <c r="AI423" s="42"/>
      <c r="AJ423" s="42"/>
      <c r="AK423" s="42"/>
      <c r="AL423" s="42"/>
      <c r="AM423" s="42"/>
    </row>
    <row r="424" spans="1:39" x14ac:dyDescent="0.25">
      <c r="A424" s="38" t="s">
        <v>775</v>
      </c>
      <c r="B424" s="42"/>
      <c r="C424" s="42"/>
      <c r="D424" s="42"/>
      <c r="E424" s="41"/>
      <c r="F424" s="41"/>
      <c r="G424" s="41"/>
      <c r="H424" s="41"/>
      <c r="I424" s="41"/>
      <c r="J424" s="42"/>
      <c r="K424" s="41"/>
      <c r="L424" s="41"/>
      <c r="M424" s="127"/>
      <c r="N424" s="41"/>
      <c r="O424" s="41"/>
      <c r="P424" s="41"/>
      <c r="Q424" s="42"/>
      <c r="R424" s="35"/>
      <c r="S424" s="35"/>
      <c r="T424" s="35"/>
      <c r="U424" s="35"/>
      <c r="V424" s="121"/>
      <c r="W424" s="42"/>
      <c r="X424" s="42"/>
      <c r="Y424" s="42"/>
      <c r="Z424" s="42"/>
      <c r="AA424" s="42"/>
      <c r="AB424" s="42"/>
      <c r="AC424" s="42"/>
      <c r="AD424" s="42"/>
      <c r="AE424" s="42"/>
      <c r="AF424" s="42"/>
      <c r="AG424" s="42"/>
      <c r="AH424" s="42"/>
      <c r="AI424" s="42"/>
      <c r="AJ424" s="42"/>
      <c r="AK424" s="42"/>
      <c r="AL424" s="42"/>
      <c r="AM424" s="42"/>
    </row>
    <row r="425" spans="1:39" x14ac:dyDescent="0.25">
      <c r="A425" s="38" t="s">
        <v>776</v>
      </c>
      <c r="B425" s="42"/>
      <c r="C425" s="42"/>
      <c r="D425" s="42"/>
      <c r="E425" s="41"/>
      <c r="F425" s="41"/>
      <c r="G425" s="41"/>
      <c r="H425" s="41"/>
      <c r="I425" s="41"/>
      <c r="J425" s="42"/>
      <c r="K425" s="41"/>
      <c r="L425" s="41"/>
      <c r="M425" s="127"/>
      <c r="N425" s="41"/>
      <c r="O425" s="41"/>
      <c r="P425" s="41"/>
      <c r="Q425" s="42"/>
      <c r="R425" s="35"/>
      <c r="S425" s="35"/>
      <c r="T425" s="35"/>
      <c r="U425" s="35"/>
      <c r="V425" s="121"/>
      <c r="W425" s="42"/>
      <c r="X425" s="42"/>
      <c r="Y425" s="42"/>
      <c r="Z425" s="42"/>
      <c r="AA425" s="42"/>
      <c r="AB425" s="42"/>
      <c r="AC425" s="42"/>
      <c r="AD425" s="42"/>
      <c r="AE425" s="42"/>
      <c r="AF425" s="42"/>
      <c r="AG425" s="42"/>
      <c r="AH425" s="42"/>
      <c r="AI425" s="42"/>
      <c r="AJ425" s="42"/>
      <c r="AK425" s="42"/>
      <c r="AL425" s="42"/>
      <c r="AM425" s="42"/>
    </row>
    <row r="426" spans="1:39" x14ac:dyDescent="0.25">
      <c r="A426" s="38" t="s">
        <v>777</v>
      </c>
      <c r="B426" s="42"/>
      <c r="C426" s="42"/>
      <c r="D426" s="42"/>
      <c r="E426" s="41"/>
      <c r="F426" s="41"/>
      <c r="G426" s="41"/>
      <c r="H426" s="41"/>
      <c r="I426" s="41"/>
      <c r="J426" s="42"/>
      <c r="K426" s="41"/>
      <c r="L426" s="41"/>
      <c r="M426" s="127"/>
      <c r="N426" s="41"/>
      <c r="O426" s="41"/>
      <c r="P426" s="41"/>
      <c r="Q426" s="42"/>
      <c r="R426" s="35"/>
      <c r="S426" s="35"/>
      <c r="T426" s="35"/>
      <c r="U426" s="35"/>
      <c r="V426" s="121"/>
      <c r="W426" s="42"/>
      <c r="X426" s="42"/>
      <c r="Y426" s="42"/>
      <c r="Z426" s="42"/>
      <c r="AA426" s="42"/>
      <c r="AB426" s="42"/>
      <c r="AC426" s="42"/>
      <c r="AD426" s="42"/>
      <c r="AE426" s="42"/>
      <c r="AF426" s="42"/>
      <c r="AG426" s="42"/>
      <c r="AH426" s="42"/>
      <c r="AI426" s="42"/>
      <c r="AJ426" s="42"/>
      <c r="AK426" s="42"/>
      <c r="AL426" s="42"/>
      <c r="AM426" s="42"/>
    </row>
    <row r="427" spans="1:39" x14ac:dyDescent="0.25">
      <c r="A427" s="38" t="s">
        <v>778</v>
      </c>
      <c r="B427" s="42"/>
      <c r="C427" s="42"/>
      <c r="D427" s="42"/>
      <c r="E427" s="41"/>
      <c r="F427" s="41"/>
      <c r="G427" s="41"/>
      <c r="H427" s="41"/>
      <c r="I427" s="41"/>
      <c r="J427" s="42"/>
      <c r="K427" s="41"/>
      <c r="L427" s="41"/>
      <c r="M427" s="127"/>
      <c r="N427" s="41"/>
      <c r="O427" s="41"/>
      <c r="P427" s="41"/>
      <c r="Q427" s="42"/>
      <c r="R427" s="35"/>
      <c r="S427" s="35"/>
      <c r="T427" s="35"/>
      <c r="U427" s="35"/>
      <c r="V427" s="121"/>
      <c r="W427" s="42"/>
      <c r="X427" s="42"/>
      <c r="Y427" s="42"/>
      <c r="Z427" s="42"/>
      <c r="AA427" s="42"/>
      <c r="AB427" s="42"/>
      <c r="AC427" s="42"/>
      <c r="AD427" s="42"/>
      <c r="AE427" s="42"/>
      <c r="AF427" s="42"/>
      <c r="AG427" s="42"/>
      <c r="AH427" s="42"/>
      <c r="AI427" s="42"/>
      <c r="AJ427" s="42"/>
      <c r="AK427" s="42"/>
      <c r="AL427" s="42"/>
      <c r="AM427" s="42"/>
    </row>
    <row r="428" spans="1:39" x14ac:dyDescent="0.25">
      <c r="A428" s="38" t="s">
        <v>779</v>
      </c>
      <c r="B428" s="42"/>
      <c r="C428" s="42"/>
      <c r="D428" s="42"/>
      <c r="E428" s="41"/>
      <c r="F428" s="41"/>
      <c r="G428" s="41"/>
      <c r="H428" s="41"/>
      <c r="I428" s="41"/>
      <c r="J428" s="42"/>
      <c r="K428" s="41"/>
      <c r="L428" s="41"/>
      <c r="M428" s="127"/>
      <c r="N428" s="41"/>
      <c r="O428" s="41"/>
      <c r="P428" s="41"/>
      <c r="Q428" s="42"/>
      <c r="R428" s="35"/>
      <c r="S428" s="35"/>
      <c r="T428" s="35"/>
      <c r="U428" s="35"/>
      <c r="V428" s="121"/>
      <c r="W428" s="42"/>
      <c r="X428" s="42"/>
      <c r="Y428" s="42"/>
      <c r="Z428" s="42"/>
      <c r="AA428" s="42"/>
      <c r="AB428" s="42"/>
      <c r="AC428" s="42"/>
      <c r="AD428" s="42"/>
      <c r="AE428" s="42"/>
      <c r="AF428" s="42"/>
      <c r="AG428" s="42"/>
      <c r="AH428" s="42"/>
      <c r="AI428" s="42"/>
      <c r="AJ428" s="42"/>
      <c r="AK428" s="42"/>
      <c r="AL428" s="42"/>
      <c r="AM428" s="42"/>
    </row>
    <row r="429" spans="1:39" x14ac:dyDescent="0.25">
      <c r="A429" s="38" t="s">
        <v>780</v>
      </c>
      <c r="B429" s="42"/>
      <c r="C429" s="42"/>
      <c r="D429" s="42"/>
      <c r="E429" s="41"/>
      <c r="F429" s="41"/>
      <c r="G429" s="41"/>
      <c r="H429" s="41"/>
      <c r="I429" s="41"/>
      <c r="J429" s="42"/>
      <c r="K429" s="41"/>
      <c r="L429" s="41"/>
      <c r="M429" s="127"/>
      <c r="N429" s="41"/>
      <c r="O429" s="41"/>
      <c r="P429" s="41"/>
      <c r="Q429" s="42"/>
      <c r="R429" s="35"/>
      <c r="S429" s="35"/>
      <c r="T429" s="35"/>
      <c r="U429" s="35"/>
      <c r="V429" s="121"/>
      <c r="W429" s="42"/>
      <c r="X429" s="42"/>
      <c r="Y429" s="42"/>
      <c r="Z429" s="42"/>
      <c r="AA429" s="42"/>
      <c r="AB429" s="42"/>
      <c r="AC429" s="42"/>
      <c r="AD429" s="42"/>
      <c r="AE429" s="42"/>
      <c r="AF429" s="42"/>
      <c r="AG429" s="42"/>
      <c r="AH429" s="42"/>
      <c r="AI429" s="42"/>
      <c r="AJ429" s="42"/>
      <c r="AK429" s="42"/>
      <c r="AL429" s="42"/>
      <c r="AM429" s="42"/>
    </row>
    <row r="430" spans="1:39" x14ac:dyDescent="0.25">
      <c r="A430" s="38" t="s">
        <v>781</v>
      </c>
      <c r="B430" s="42"/>
      <c r="C430" s="42"/>
      <c r="D430" s="42"/>
      <c r="E430" s="41"/>
      <c r="F430" s="41"/>
      <c r="G430" s="41"/>
      <c r="H430" s="41"/>
      <c r="I430" s="41"/>
      <c r="J430" s="42"/>
      <c r="K430" s="41"/>
      <c r="L430" s="41"/>
      <c r="M430" s="127"/>
      <c r="N430" s="41"/>
      <c r="O430" s="41"/>
      <c r="P430" s="41"/>
      <c r="Q430" s="42"/>
      <c r="R430" s="35"/>
      <c r="S430" s="35"/>
      <c r="T430" s="35"/>
      <c r="U430" s="35"/>
      <c r="V430" s="121"/>
      <c r="W430" s="42"/>
      <c r="X430" s="42"/>
      <c r="Y430" s="42"/>
      <c r="Z430" s="42"/>
      <c r="AA430" s="42"/>
      <c r="AB430" s="42"/>
      <c r="AC430" s="42"/>
      <c r="AD430" s="42"/>
      <c r="AE430" s="42"/>
      <c r="AF430" s="42"/>
      <c r="AG430" s="42"/>
      <c r="AH430" s="42"/>
      <c r="AI430" s="42"/>
      <c r="AJ430" s="42"/>
      <c r="AK430" s="42"/>
      <c r="AL430" s="42"/>
      <c r="AM430" s="42"/>
    </row>
    <row r="431" spans="1:39" x14ac:dyDescent="0.25">
      <c r="A431" s="38" t="s">
        <v>782</v>
      </c>
      <c r="B431" s="42"/>
      <c r="C431" s="42"/>
      <c r="D431" s="42"/>
      <c r="E431" s="41"/>
      <c r="F431" s="41"/>
      <c r="G431" s="41"/>
      <c r="H431" s="41"/>
      <c r="I431" s="41"/>
      <c r="J431" s="42"/>
      <c r="K431" s="41"/>
      <c r="L431" s="41"/>
      <c r="M431" s="127"/>
      <c r="N431" s="41"/>
      <c r="O431" s="41"/>
      <c r="P431" s="41"/>
      <c r="Q431" s="42"/>
      <c r="R431" s="35"/>
      <c r="S431" s="35"/>
      <c r="T431" s="35"/>
      <c r="U431" s="35"/>
      <c r="V431" s="121"/>
      <c r="W431" s="42"/>
      <c r="X431" s="42"/>
      <c r="Y431" s="42"/>
      <c r="Z431" s="42"/>
      <c r="AA431" s="42"/>
      <c r="AB431" s="42"/>
      <c r="AC431" s="42"/>
      <c r="AD431" s="42"/>
      <c r="AE431" s="42"/>
      <c r="AF431" s="42"/>
      <c r="AG431" s="42"/>
      <c r="AH431" s="42"/>
      <c r="AI431" s="42"/>
      <c r="AJ431" s="42"/>
      <c r="AK431" s="42"/>
      <c r="AL431" s="42"/>
      <c r="AM431" s="42"/>
    </row>
    <row r="432" spans="1:39" x14ac:dyDescent="0.25">
      <c r="A432" s="38" t="s">
        <v>783</v>
      </c>
      <c r="B432" s="42"/>
      <c r="C432" s="42"/>
      <c r="D432" s="42"/>
      <c r="E432" s="41"/>
      <c r="F432" s="41"/>
      <c r="G432" s="41"/>
      <c r="H432" s="41"/>
      <c r="I432" s="41"/>
      <c r="J432" s="42"/>
      <c r="K432" s="41"/>
      <c r="L432" s="41"/>
      <c r="M432" s="127"/>
      <c r="N432" s="41"/>
      <c r="O432" s="41"/>
      <c r="P432" s="41"/>
      <c r="Q432" s="42"/>
      <c r="R432" s="35"/>
      <c r="S432" s="35"/>
      <c r="T432" s="35"/>
      <c r="U432" s="35"/>
      <c r="V432" s="121"/>
      <c r="W432" s="42"/>
      <c r="X432" s="42"/>
      <c r="Y432" s="42"/>
      <c r="Z432" s="42"/>
      <c r="AA432" s="42"/>
      <c r="AB432" s="42"/>
      <c r="AC432" s="42"/>
      <c r="AD432" s="42"/>
      <c r="AE432" s="42"/>
      <c r="AF432" s="42"/>
      <c r="AG432" s="42"/>
      <c r="AH432" s="42"/>
      <c r="AI432" s="42"/>
      <c r="AJ432" s="42"/>
      <c r="AK432" s="42"/>
      <c r="AL432" s="42"/>
      <c r="AM432" s="42"/>
    </row>
    <row r="433" spans="1:39" x14ac:dyDescent="0.25">
      <c r="A433" s="38" t="s">
        <v>784</v>
      </c>
      <c r="B433" s="42"/>
      <c r="C433" s="42"/>
      <c r="D433" s="42"/>
      <c r="E433" s="41"/>
      <c r="F433" s="41"/>
      <c r="G433" s="41"/>
      <c r="H433" s="41"/>
      <c r="I433" s="41"/>
      <c r="J433" s="42"/>
      <c r="K433" s="41"/>
      <c r="L433" s="41"/>
      <c r="M433" s="127"/>
      <c r="N433" s="41"/>
      <c r="O433" s="41"/>
      <c r="P433" s="41"/>
      <c r="Q433" s="42"/>
      <c r="R433" s="35"/>
      <c r="S433" s="35"/>
      <c r="T433" s="35"/>
      <c r="U433" s="35"/>
      <c r="V433" s="121"/>
      <c r="W433" s="42"/>
      <c r="X433" s="42"/>
      <c r="Y433" s="42"/>
      <c r="Z433" s="42"/>
      <c r="AA433" s="42"/>
      <c r="AB433" s="42"/>
      <c r="AC433" s="42"/>
      <c r="AD433" s="42"/>
      <c r="AE433" s="42"/>
      <c r="AF433" s="42"/>
      <c r="AG433" s="42"/>
      <c r="AH433" s="42"/>
      <c r="AI433" s="42"/>
      <c r="AJ433" s="42"/>
      <c r="AK433" s="42"/>
      <c r="AL433" s="42"/>
      <c r="AM433" s="42"/>
    </row>
    <row r="434" spans="1:39" x14ac:dyDescent="0.25">
      <c r="A434" s="38" t="s">
        <v>785</v>
      </c>
      <c r="B434" s="42"/>
      <c r="C434" s="42"/>
      <c r="D434" s="42"/>
      <c r="E434" s="41"/>
      <c r="F434" s="41"/>
      <c r="G434" s="41"/>
      <c r="H434" s="41"/>
      <c r="I434" s="41"/>
      <c r="J434" s="42"/>
      <c r="K434" s="41"/>
      <c r="L434" s="41"/>
      <c r="M434" s="127"/>
      <c r="N434" s="41"/>
      <c r="O434" s="41"/>
      <c r="P434" s="41"/>
      <c r="Q434" s="42"/>
      <c r="R434" s="35"/>
      <c r="S434" s="35"/>
      <c r="T434" s="35"/>
      <c r="U434" s="35"/>
      <c r="V434" s="121"/>
      <c r="W434" s="42"/>
      <c r="X434" s="42"/>
      <c r="Y434" s="42"/>
      <c r="Z434" s="42"/>
      <c r="AA434" s="42"/>
      <c r="AB434" s="42"/>
      <c r="AC434" s="42"/>
      <c r="AD434" s="42"/>
      <c r="AE434" s="42"/>
      <c r="AF434" s="42"/>
      <c r="AG434" s="42"/>
      <c r="AH434" s="42"/>
      <c r="AI434" s="42"/>
      <c r="AJ434" s="42"/>
      <c r="AK434" s="42"/>
      <c r="AL434" s="42"/>
      <c r="AM434" s="42"/>
    </row>
    <row r="435" spans="1:39" x14ac:dyDescent="0.25">
      <c r="A435" s="38" t="s">
        <v>786</v>
      </c>
      <c r="B435" s="42"/>
      <c r="C435" s="42"/>
      <c r="D435" s="42"/>
      <c r="E435" s="41"/>
      <c r="F435" s="41"/>
      <c r="G435" s="41"/>
      <c r="H435" s="41"/>
      <c r="I435" s="41"/>
      <c r="J435" s="42"/>
      <c r="K435" s="41"/>
      <c r="L435" s="41"/>
      <c r="M435" s="127"/>
      <c r="N435" s="41"/>
      <c r="O435" s="41"/>
      <c r="P435" s="41"/>
      <c r="Q435" s="42"/>
      <c r="R435" s="35"/>
      <c r="S435" s="35"/>
      <c r="T435" s="35"/>
      <c r="U435" s="35"/>
      <c r="V435" s="121"/>
      <c r="W435" s="42"/>
      <c r="X435" s="42"/>
      <c r="Y435" s="42"/>
      <c r="Z435" s="42"/>
      <c r="AA435" s="42"/>
      <c r="AB435" s="42"/>
      <c r="AC435" s="42"/>
      <c r="AD435" s="42"/>
      <c r="AE435" s="42"/>
      <c r="AF435" s="42"/>
      <c r="AG435" s="42"/>
      <c r="AH435" s="42"/>
      <c r="AI435" s="42"/>
      <c r="AJ435" s="42"/>
      <c r="AK435" s="42"/>
      <c r="AL435" s="42"/>
      <c r="AM435" s="42"/>
    </row>
    <row r="436" spans="1:39" x14ac:dyDescent="0.25">
      <c r="A436" s="38" t="s">
        <v>787</v>
      </c>
      <c r="B436" s="42"/>
      <c r="C436" s="42"/>
      <c r="D436" s="42"/>
      <c r="E436" s="41"/>
      <c r="F436" s="41"/>
      <c r="G436" s="41"/>
      <c r="H436" s="41"/>
      <c r="I436" s="41"/>
      <c r="J436" s="42"/>
      <c r="K436" s="41"/>
      <c r="L436" s="41"/>
      <c r="M436" s="127"/>
      <c r="N436" s="41"/>
      <c r="O436" s="41"/>
      <c r="P436" s="41"/>
      <c r="Q436" s="42"/>
      <c r="R436" s="35"/>
      <c r="S436" s="35"/>
      <c r="T436" s="35"/>
      <c r="U436" s="35"/>
      <c r="V436" s="121"/>
      <c r="W436" s="42"/>
      <c r="X436" s="42"/>
      <c r="Y436" s="42"/>
      <c r="Z436" s="42"/>
      <c r="AA436" s="42"/>
      <c r="AB436" s="42"/>
      <c r="AC436" s="42"/>
      <c r="AD436" s="42"/>
      <c r="AE436" s="42"/>
      <c r="AF436" s="42"/>
      <c r="AG436" s="42"/>
      <c r="AH436" s="42"/>
      <c r="AI436" s="42"/>
      <c r="AJ436" s="42"/>
      <c r="AK436" s="42"/>
      <c r="AL436" s="42"/>
      <c r="AM436" s="42"/>
    </row>
    <row r="437" spans="1:39" x14ac:dyDescent="0.25">
      <c r="A437" s="38" t="s">
        <v>788</v>
      </c>
      <c r="B437" s="42"/>
      <c r="C437" s="42"/>
      <c r="D437" s="42"/>
      <c r="E437" s="41"/>
      <c r="F437" s="41"/>
      <c r="G437" s="41"/>
      <c r="H437" s="41"/>
      <c r="I437" s="41"/>
      <c r="J437" s="42"/>
      <c r="K437" s="41"/>
      <c r="L437" s="41"/>
      <c r="M437" s="127"/>
      <c r="N437" s="41"/>
      <c r="O437" s="41"/>
      <c r="P437" s="41"/>
      <c r="Q437" s="42"/>
      <c r="R437" s="35"/>
      <c r="S437" s="35"/>
      <c r="T437" s="35"/>
      <c r="U437" s="35"/>
      <c r="V437" s="121"/>
      <c r="W437" s="42"/>
      <c r="X437" s="42"/>
      <c r="Y437" s="42"/>
      <c r="Z437" s="42"/>
      <c r="AA437" s="42"/>
      <c r="AB437" s="42"/>
      <c r="AC437" s="42"/>
      <c r="AD437" s="42"/>
      <c r="AE437" s="42"/>
      <c r="AF437" s="42"/>
      <c r="AG437" s="42"/>
      <c r="AH437" s="42"/>
      <c r="AI437" s="42"/>
      <c r="AJ437" s="42"/>
      <c r="AK437" s="42"/>
      <c r="AL437" s="42"/>
      <c r="AM437" s="42"/>
    </row>
    <row r="438" spans="1:39" x14ac:dyDescent="0.25">
      <c r="A438" s="38" t="s">
        <v>789</v>
      </c>
      <c r="B438" s="42"/>
      <c r="C438" s="42"/>
      <c r="D438" s="42"/>
      <c r="E438" s="41"/>
      <c r="F438" s="41"/>
      <c r="G438" s="41"/>
      <c r="H438" s="41"/>
      <c r="I438" s="41"/>
      <c r="J438" s="42"/>
      <c r="K438" s="41"/>
      <c r="L438" s="41"/>
      <c r="M438" s="127"/>
      <c r="N438" s="41"/>
      <c r="O438" s="41"/>
      <c r="P438" s="41"/>
      <c r="Q438" s="42"/>
      <c r="R438" s="35"/>
      <c r="S438" s="35"/>
      <c r="T438" s="35"/>
      <c r="U438" s="35"/>
      <c r="V438" s="121"/>
      <c r="W438" s="42"/>
      <c r="X438" s="42"/>
      <c r="Y438" s="42"/>
      <c r="Z438" s="42"/>
      <c r="AA438" s="42"/>
      <c r="AB438" s="42"/>
      <c r="AC438" s="42"/>
      <c r="AD438" s="42"/>
      <c r="AE438" s="42"/>
      <c r="AF438" s="42"/>
      <c r="AG438" s="42"/>
      <c r="AH438" s="42"/>
      <c r="AI438" s="42"/>
      <c r="AJ438" s="42"/>
      <c r="AK438" s="42"/>
      <c r="AL438" s="42"/>
      <c r="AM438" s="42"/>
    </row>
    <row r="439" spans="1:39" x14ac:dyDescent="0.25">
      <c r="A439" s="38" t="s">
        <v>790</v>
      </c>
      <c r="B439" s="42"/>
      <c r="C439" s="42"/>
      <c r="D439" s="42"/>
      <c r="E439" s="41"/>
      <c r="F439" s="41"/>
      <c r="G439" s="41"/>
      <c r="H439" s="41"/>
      <c r="I439" s="41"/>
      <c r="J439" s="42"/>
      <c r="K439" s="41"/>
      <c r="L439" s="41"/>
      <c r="M439" s="127"/>
      <c r="N439" s="41"/>
      <c r="O439" s="41"/>
      <c r="P439" s="41"/>
      <c r="Q439" s="42"/>
      <c r="R439" s="35"/>
      <c r="S439" s="35"/>
      <c r="T439" s="35"/>
      <c r="U439" s="35"/>
      <c r="V439" s="121"/>
      <c r="W439" s="42"/>
      <c r="X439" s="42"/>
      <c r="Y439" s="42"/>
      <c r="Z439" s="42"/>
      <c r="AA439" s="42"/>
      <c r="AB439" s="42"/>
      <c r="AC439" s="42"/>
      <c r="AD439" s="42"/>
      <c r="AE439" s="42"/>
      <c r="AF439" s="42"/>
      <c r="AG439" s="42"/>
      <c r="AH439" s="42"/>
      <c r="AI439" s="42"/>
      <c r="AJ439" s="42"/>
      <c r="AK439" s="42"/>
      <c r="AL439" s="42"/>
      <c r="AM439" s="42"/>
    </row>
    <row r="440" spans="1:39" x14ac:dyDescent="0.25">
      <c r="A440" s="38" t="s">
        <v>791</v>
      </c>
      <c r="B440" s="42"/>
      <c r="C440" s="42"/>
      <c r="D440" s="42"/>
      <c r="E440" s="41"/>
      <c r="F440" s="41"/>
      <c r="G440" s="41"/>
      <c r="H440" s="41"/>
      <c r="I440" s="41"/>
      <c r="J440" s="42"/>
      <c r="K440" s="41"/>
      <c r="L440" s="41"/>
      <c r="M440" s="127"/>
      <c r="N440" s="41"/>
      <c r="O440" s="41"/>
      <c r="P440" s="41"/>
      <c r="Q440" s="42"/>
      <c r="R440" s="35"/>
      <c r="S440" s="35"/>
      <c r="T440" s="35"/>
      <c r="U440" s="35"/>
      <c r="V440" s="121"/>
      <c r="W440" s="42"/>
      <c r="X440" s="42"/>
      <c r="Y440" s="42"/>
      <c r="Z440" s="42"/>
      <c r="AA440" s="42"/>
      <c r="AB440" s="42"/>
      <c r="AC440" s="42"/>
      <c r="AD440" s="42"/>
      <c r="AE440" s="42"/>
      <c r="AF440" s="42"/>
      <c r="AG440" s="42"/>
      <c r="AH440" s="42"/>
      <c r="AI440" s="42"/>
      <c r="AJ440" s="42"/>
      <c r="AK440" s="42"/>
      <c r="AL440" s="42"/>
      <c r="AM440" s="42"/>
    </row>
    <row r="441" spans="1:39" x14ac:dyDescent="0.25">
      <c r="A441" s="38" t="s">
        <v>792</v>
      </c>
      <c r="B441" s="42"/>
      <c r="C441" s="42"/>
      <c r="D441" s="42"/>
      <c r="E441" s="41"/>
      <c r="F441" s="41"/>
      <c r="G441" s="41"/>
      <c r="H441" s="41"/>
      <c r="I441" s="41"/>
      <c r="J441" s="42"/>
      <c r="K441" s="41"/>
      <c r="L441" s="41"/>
      <c r="M441" s="127"/>
      <c r="N441" s="41"/>
      <c r="O441" s="41"/>
      <c r="P441" s="41"/>
      <c r="Q441" s="42"/>
      <c r="R441" s="35"/>
      <c r="S441" s="35"/>
      <c r="T441" s="35"/>
      <c r="U441" s="35"/>
      <c r="V441" s="121"/>
      <c r="W441" s="42"/>
      <c r="X441" s="42"/>
      <c r="Y441" s="42"/>
      <c r="Z441" s="42"/>
      <c r="AA441" s="42"/>
      <c r="AB441" s="42"/>
      <c r="AC441" s="42"/>
      <c r="AD441" s="42"/>
      <c r="AE441" s="42"/>
      <c r="AF441" s="42"/>
      <c r="AG441" s="42"/>
      <c r="AH441" s="42"/>
      <c r="AI441" s="42"/>
      <c r="AJ441" s="42"/>
      <c r="AK441" s="42"/>
      <c r="AL441" s="42"/>
      <c r="AM441" s="42"/>
    </row>
    <row r="442" spans="1:39" x14ac:dyDescent="0.25">
      <c r="A442" s="38" t="s">
        <v>793</v>
      </c>
      <c r="B442" s="42"/>
      <c r="C442" s="42"/>
      <c r="D442" s="42"/>
      <c r="E442" s="41"/>
      <c r="F442" s="41"/>
      <c r="G442" s="41"/>
      <c r="H442" s="41"/>
      <c r="I442" s="41"/>
      <c r="J442" s="42"/>
      <c r="K442" s="41"/>
      <c r="L442" s="41"/>
      <c r="M442" s="127"/>
      <c r="N442" s="41"/>
      <c r="O442" s="41"/>
      <c r="P442" s="41"/>
      <c r="Q442" s="42"/>
      <c r="R442" s="35"/>
      <c r="S442" s="35"/>
      <c r="T442" s="35"/>
      <c r="U442" s="35"/>
      <c r="V442" s="121"/>
      <c r="W442" s="42"/>
      <c r="X442" s="42"/>
      <c r="Y442" s="42"/>
      <c r="Z442" s="42"/>
      <c r="AA442" s="42"/>
      <c r="AB442" s="42"/>
      <c r="AC442" s="42"/>
      <c r="AD442" s="42"/>
      <c r="AE442" s="42"/>
      <c r="AF442" s="42"/>
      <c r="AG442" s="42"/>
      <c r="AH442" s="42"/>
      <c r="AI442" s="42"/>
      <c r="AJ442" s="42"/>
      <c r="AK442" s="42"/>
      <c r="AL442" s="42"/>
      <c r="AM442" s="42"/>
    </row>
    <row r="443" spans="1:39" x14ac:dyDescent="0.25">
      <c r="A443" s="38" t="s">
        <v>794</v>
      </c>
      <c r="B443" s="42"/>
      <c r="C443" s="42"/>
      <c r="D443" s="42"/>
      <c r="E443" s="41"/>
      <c r="F443" s="41"/>
      <c r="G443" s="41"/>
      <c r="H443" s="41"/>
      <c r="I443" s="41"/>
      <c r="J443" s="42"/>
      <c r="K443" s="41"/>
      <c r="L443" s="41"/>
      <c r="M443" s="127"/>
      <c r="N443" s="41"/>
      <c r="O443" s="41"/>
      <c r="P443" s="41"/>
      <c r="Q443" s="42"/>
      <c r="R443" s="35"/>
      <c r="S443" s="35"/>
      <c r="T443" s="35"/>
      <c r="U443" s="35"/>
      <c r="V443" s="121"/>
      <c r="W443" s="42"/>
      <c r="X443" s="42"/>
      <c r="Y443" s="42"/>
      <c r="Z443" s="42"/>
      <c r="AA443" s="42"/>
      <c r="AB443" s="42"/>
      <c r="AC443" s="42"/>
      <c r="AD443" s="42"/>
      <c r="AE443" s="42"/>
      <c r="AF443" s="42"/>
      <c r="AG443" s="42"/>
      <c r="AH443" s="42"/>
      <c r="AI443" s="42"/>
      <c r="AJ443" s="42"/>
      <c r="AK443" s="42"/>
      <c r="AL443" s="42"/>
      <c r="AM443" s="42"/>
    </row>
    <row r="444" spans="1:39" x14ac:dyDescent="0.25">
      <c r="A444" s="38" t="s">
        <v>795</v>
      </c>
      <c r="B444" s="42"/>
      <c r="C444" s="42"/>
      <c r="D444" s="42"/>
      <c r="E444" s="41"/>
      <c r="F444" s="41"/>
      <c r="G444" s="41"/>
      <c r="H444" s="41"/>
      <c r="I444" s="41"/>
      <c r="J444" s="42"/>
      <c r="K444" s="41"/>
      <c r="L444" s="41"/>
      <c r="M444" s="127"/>
      <c r="N444" s="41"/>
      <c r="O444" s="41"/>
      <c r="P444" s="41"/>
      <c r="Q444" s="42"/>
      <c r="R444" s="35"/>
      <c r="S444" s="35"/>
      <c r="T444" s="35"/>
      <c r="U444" s="35"/>
      <c r="V444" s="121"/>
      <c r="W444" s="42"/>
      <c r="X444" s="42"/>
      <c r="Y444" s="42"/>
      <c r="Z444" s="42"/>
      <c r="AA444" s="42"/>
      <c r="AB444" s="42"/>
      <c r="AC444" s="42"/>
      <c r="AD444" s="42"/>
      <c r="AE444" s="42"/>
      <c r="AF444" s="42"/>
      <c r="AG444" s="42"/>
      <c r="AH444" s="42"/>
      <c r="AI444" s="42"/>
      <c r="AJ444" s="42"/>
      <c r="AK444" s="42"/>
      <c r="AL444" s="42"/>
      <c r="AM444" s="42"/>
    </row>
    <row r="445" spans="1:39" x14ac:dyDescent="0.25">
      <c r="A445" s="38" t="s">
        <v>796</v>
      </c>
      <c r="B445" s="42"/>
      <c r="C445" s="42"/>
      <c r="D445" s="42"/>
      <c r="E445" s="41"/>
      <c r="F445" s="41"/>
      <c r="G445" s="41"/>
      <c r="H445" s="41"/>
      <c r="I445" s="41"/>
      <c r="J445" s="42"/>
      <c r="K445" s="41"/>
      <c r="L445" s="41"/>
      <c r="M445" s="127"/>
      <c r="N445" s="41"/>
      <c r="O445" s="41"/>
      <c r="P445" s="41"/>
      <c r="Q445" s="42"/>
      <c r="R445" s="35"/>
      <c r="S445" s="35"/>
      <c r="T445" s="35"/>
      <c r="U445" s="35"/>
      <c r="V445" s="121"/>
      <c r="W445" s="42"/>
      <c r="X445" s="42"/>
      <c r="Y445" s="42"/>
      <c r="Z445" s="42"/>
      <c r="AA445" s="42"/>
      <c r="AB445" s="42"/>
      <c r="AC445" s="42"/>
      <c r="AD445" s="42"/>
      <c r="AE445" s="42"/>
      <c r="AF445" s="42"/>
      <c r="AG445" s="42"/>
      <c r="AH445" s="42"/>
      <c r="AI445" s="42"/>
      <c r="AJ445" s="42"/>
      <c r="AK445" s="42"/>
      <c r="AL445" s="42"/>
      <c r="AM445" s="42"/>
    </row>
    <row r="446" spans="1:39" x14ac:dyDescent="0.25">
      <c r="A446" s="38" t="s">
        <v>797</v>
      </c>
      <c r="B446" s="42"/>
      <c r="C446" s="42"/>
      <c r="D446" s="42"/>
      <c r="E446" s="41"/>
      <c r="F446" s="41"/>
      <c r="G446" s="41"/>
      <c r="H446" s="41"/>
      <c r="I446" s="41"/>
      <c r="J446" s="42"/>
      <c r="K446" s="41"/>
      <c r="L446" s="41"/>
      <c r="M446" s="127"/>
      <c r="N446" s="41"/>
      <c r="O446" s="41"/>
      <c r="P446" s="41"/>
      <c r="Q446" s="42"/>
      <c r="R446" s="35"/>
      <c r="S446" s="35"/>
      <c r="T446" s="35"/>
      <c r="U446" s="35"/>
      <c r="V446" s="121"/>
      <c r="W446" s="42"/>
      <c r="X446" s="42"/>
      <c r="Y446" s="42"/>
      <c r="Z446" s="42"/>
      <c r="AA446" s="42"/>
      <c r="AB446" s="42"/>
      <c r="AC446" s="42"/>
      <c r="AD446" s="42"/>
      <c r="AE446" s="42"/>
      <c r="AF446" s="42"/>
      <c r="AG446" s="42"/>
      <c r="AH446" s="42"/>
      <c r="AI446" s="42"/>
      <c r="AJ446" s="42"/>
      <c r="AK446" s="42"/>
      <c r="AL446" s="42"/>
      <c r="AM446" s="42"/>
    </row>
    <row r="447" spans="1:39" x14ac:dyDescent="0.25">
      <c r="A447" s="38" t="s">
        <v>798</v>
      </c>
      <c r="B447" s="42"/>
      <c r="C447" s="42"/>
      <c r="D447" s="42"/>
      <c r="E447" s="41"/>
      <c r="F447" s="41"/>
      <c r="G447" s="41"/>
      <c r="H447" s="41"/>
      <c r="I447" s="41"/>
      <c r="J447" s="42"/>
      <c r="K447" s="41"/>
      <c r="L447" s="41"/>
      <c r="M447" s="127"/>
      <c r="N447" s="41"/>
      <c r="O447" s="41"/>
      <c r="P447" s="41"/>
      <c r="Q447" s="42"/>
      <c r="R447" s="35"/>
      <c r="S447" s="35"/>
      <c r="T447" s="35"/>
      <c r="U447" s="35"/>
      <c r="V447" s="121"/>
      <c r="W447" s="42"/>
      <c r="X447" s="42"/>
      <c r="Y447" s="42"/>
      <c r="Z447" s="42"/>
      <c r="AA447" s="42"/>
      <c r="AB447" s="42"/>
      <c r="AC447" s="42"/>
      <c r="AD447" s="42"/>
      <c r="AE447" s="42"/>
      <c r="AF447" s="42"/>
      <c r="AG447" s="42"/>
      <c r="AH447" s="42"/>
      <c r="AI447" s="42"/>
      <c r="AJ447" s="42"/>
      <c r="AK447" s="42"/>
      <c r="AL447" s="42"/>
      <c r="AM447" s="42"/>
    </row>
    <row r="448" spans="1:39" x14ac:dyDescent="0.25">
      <c r="A448" s="38" t="s">
        <v>799</v>
      </c>
      <c r="B448" s="42"/>
      <c r="C448" s="42"/>
      <c r="D448" s="42"/>
      <c r="E448" s="41"/>
      <c r="F448" s="41"/>
      <c r="G448" s="41"/>
      <c r="H448" s="41"/>
      <c r="I448" s="41"/>
      <c r="J448" s="42"/>
      <c r="K448" s="41"/>
      <c r="L448" s="41"/>
      <c r="M448" s="127"/>
      <c r="N448" s="41"/>
      <c r="O448" s="41"/>
      <c r="P448" s="41"/>
      <c r="Q448" s="42"/>
      <c r="R448" s="35"/>
      <c r="S448" s="35"/>
      <c r="T448" s="35"/>
      <c r="U448" s="35"/>
      <c r="V448" s="121"/>
      <c r="W448" s="42"/>
      <c r="X448" s="42"/>
      <c r="Y448" s="42"/>
      <c r="Z448" s="42"/>
      <c r="AA448" s="42"/>
      <c r="AB448" s="42"/>
      <c r="AC448" s="42"/>
      <c r="AD448" s="42"/>
      <c r="AE448" s="42"/>
      <c r="AF448" s="42"/>
      <c r="AG448" s="42"/>
      <c r="AH448" s="42"/>
      <c r="AI448" s="42"/>
      <c r="AJ448" s="42"/>
      <c r="AK448" s="42"/>
      <c r="AL448" s="42"/>
      <c r="AM448" s="42"/>
    </row>
    <row r="449" spans="1:39" x14ac:dyDescent="0.25">
      <c r="A449" s="38" t="s">
        <v>800</v>
      </c>
      <c r="B449" s="42"/>
      <c r="C449" s="42"/>
      <c r="D449" s="42"/>
      <c r="E449" s="41"/>
      <c r="F449" s="41"/>
      <c r="G449" s="41"/>
      <c r="H449" s="41"/>
      <c r="I449" s="41"/>
      <c r="J449" s="42"/>
      <c r="K449" s="41"/>
      <c r="L449" s="41"/>
      <c r="M449" s="127"/>
      <c r="N449" s="41"/>
      <c r="O449" s="41"/>
      <c r="P449" s="41"/>
      <c r="Q449" s="42"/>
      <c r="R449" s="35"/>
      <c r="S449" s="35"/>
      <c r="T449" s="35"/>
      <c r="U449" s="35"/>
      <c r="V449" s="121"/>
      <c r="W449" s="42"/>
      <c r="X449" s="42"/>
      <c r="Y449" s="42"/>
      <c r="Z449" s="42"/>
      <c r="AA449" s="42"/>
      <c r="AB449" s="42"/>
      <c r="AC449" s="42"/>
      <c r="AD449" s="42"/>
      <c r="AE449" s="42"/>
      <c r="AF449" s="42"/>
      <c r="AG449" s="42"/>
      <c r="AH449" s="42"/>
      <c r="AI449" s="42"/>
      <c r="AJ449" s="42"/>
      <c r="AK449" s="42"/>
      <c r="AL449" s="42"/>
      <c r="AM449" s="42"/>
    </row>
    <row r="450" spans="1:39" x14ac:dyDescent="0.25">
      <c r="A450" s="38" t="s">
        <v>801</v>
      </c>
      <c r="B450" s="42"/>
      <c r="C450" s="42"/>
      <c r="D450" s="42"/>
      <c r="E450" s="41"/>
      <c r="F450" s="41"/>
      <c r="G450" s="41"/>
      <c r="H450" s="41"/>
      <c r="I450" s="41"/>
      <c r="J450" s="42"/>
      <c r="K450" s="41"/>
      <c r="L450" s="41"/>
      <c r="M450" s="127"/>
      <c r="N450" s="41"/>
      <c r="O450" s="41"/>
      <c r="P450" s="41"/>
      <c r="Q450" s="42"/>
      <c r="R450" s="35"/>
      <c r="S450" s="35"/>
      <c r="T450" s="35"/>
      <c r="U450" s="35"/>
      <c r="V450" s="121"/>
      <c r="W450" s="42"/>
      <c r="X450" s="42"/>
      <c r="Y450" s="42"/>
      <c r="Z450" s="42"/>
      <c r="AA450" s="42"/>
      <c r="AB450" s="42"/>
      <c r="AC450" s="42"/>
      <c r="AD450" s="42"/>
      <c r="AE450" s="42"/>
      <c r="AF450" s="42"/>
      <c r="AG450" s="42"/>
      <c r="AH450" s="42"/>
      <c r="AI450" s="42"/>
      <c r="AJ450" s="42"/>
      <c r="AK450" s="42"/>
      <c r="AL450" s="42"/>
      <c r="AM450" s="42"/>
    </row>
    <row r="451" spans="1:39" x14ac:dyDescent="0.25">
      <c r="A451" s="38" t="s">
        <v>802</v>
      </c>
      <c r="B451" s="42"/>
      <c r="C451" s="42"/>
      <c r="D451" s="42"/>
      <c r="E451" s="41"/>
      <c r="F451" s="41"/>
      <c r="G451" s="41"/>
      <c r="H451" s="41"/>
      <c r="I451" s="41"/>
      <c r="J451" s="42"/>
      <c r="K451" s="41"/>
      <c r="L451" s="41"/>
      <c r="M451" s="127"/>
      <c r="N451" s="41"/>
      <c r="O451" s="41"/>
      <c r="P451" s="41"/>
      <c r="Q451" s="42"/>
      <c r="R451" s="35"/>
      <c r="S451" s="35"/>
      <c r="T451" s="35"/>
      <c r="U451" s="35"/>
      <c r="V451" s="121"/>
      <c r="W451" s="42"/>
      <c r="X451" s="42"/>
      <c r="Y451" s="42"/>
      <c r="Z451" s="42"/>
      <c r="AA451" s="42"/>
      <c r="AB451" s="42"/>
      <c r="AC451" s="42"/>
      <c r="AD451" s="42"/>
      <c r="AE451" s="42"/>
      <c r="AF451" s="42"/>
      <c r="AG451" s="42"/>
      <c r="AH451" s="42"/>
      <c r="AI451" s="42"/>
      <c r="AJ451" s="42"/>
      <c r="AK451" s="42"/>
      <c r="AL451" s="42"/>
      <c r="AM451" s="42"/>
    </row>
    <row r="452" spans="1:39" x14ac:dyDescent="0.25">
      <c r="A452" s="38" t="s">
        <v>803</v>
      </c>
      <c r="B452" s="42"/>
      <c r="C452" s="42"/>
      <c r="D452" s="42"/>
      <c r="E452" s="41"/>
      <c r="F452" s="41"/>
      <c r="G452" s="41"/>
      <c r="H452" s="41"/>
      <c r="I452" s="41"/>
      <c r="J452" s="42"/>
      <c r="K452" s="41"/>
      <c r="L452" s="41"/>
      <c r="M452" s="127"/>
      <c r="N452" s="41"/>
      <c r="O452" s="41"/>
      <c r="P452" s="41"/>
      <c r="Q452" s="42"/>
      <c r="R452" s="35"/>
      <c r="S452" s="35"/>
      <c r="T452" s="35"/>
      <c r="U452" s="35"/>
      <c r="V452" s="121"/>
      <c r="W452" s="42"/>
      <c r="X452" s="42"/>
      <c r="Y452" s="42"/>
      <c r="Z452" s="42"/>
      <c r="AA452" s="42"/>
      <c r="AB452" s="42"/>
      <c r="AC452" s="42"/>
      <c r="AD452" s="42"/>
      <c r="AE452" s="42"/>
      <c r="AF452" s="42"/>
      <c r="AG452" s="42"/>
      <c r="AH452" s="42"/>
      <c r="AI452" s="42"/>
      <c r="AJ452" s="42"/>
      <c r="AK452" s="42"/>
      <c r="AL452" s="42"/>
      <c r="AM452" s="42"/>
    </row>
    <row r="453" spans="1:39" x14ac:dyDescent="0.25">
      <c r="A453" s="38" t="s">
        <v>804</v>
      </c>
      <c r="B453" s="42"/>
      <c r="C453" s="42"/>
      <c r="D453" s="42"/>
      <c r="E453" s="41"/>
      <c r="F453" s="41"/>
      <c r="G453" s="41"/>
      <c r="H453" s="41"/>
      <c r="I453" s="41"/>
      <c r="J453" s="42"/>
      <c r="K453" s="41"/>
      <c r="L453" s="41"/>
      <c r="M453" s="127"/>
      <c r="N453" s="41"/>
      <c r="O453" s="41"/>
      <c r="P453" s="41"/>
      <c r="Q453" s="42"/>
      <c r="R453" s="35"/>
      <c r="S453" s="35"/>
      <c r="T453" s="35"/>
      <c r="U453" s="35"/>
      <c r="V453" s="121"/>
      <c r="W453" s="42"/>
      <c r="X453" s="42"/>
      <c r="Y453" s="42"/>
      <c r="Z453" s="42"/>
      <c r="AA453" s="42"/>
      <c r="AB453" s="42"/>
      <c r="AC453" s="42"/>
      <c r="AD453" s="42"/>
      <c r="AE453" s="42"/>
      <c r="AF453" s="42"/>
      <c r="AG453" s="42"/>
      <c r="AH453" s="42"/>
      <c r="AI453" s="42"/>
      <c r="AJ453" s="42"/>
      <c r="AK453" s="42"/>
      <c r="AL453" s="42"/>
      <c r="AM453" s="42"/>
    </row>
    <row r="454" spans="1:39" x14ac:dyDescent="0.25">
      <c r="A454" s="38" t="s">
        <v>805</v>
      </c>
      <c r="B454" s="42"/>
      <c r="C454" s="42"/>
      <c r="D454" s="42"/>
      <c r="E454" s="41"/>
      <c r="F454" s="41"/>
      <c r="G454" s="41"/>
      <c r="H454" s="41"/>
      <c r="I454" s="41"/>
      <c r="J454" s="42"/>
      <c r="K454" s="41"/>
      <c r="L454" s="41"/>
      <c r="M454" s="127"/>
      <c r="N454" s="41"/>
      <c r="O454" s="41"/>
      <c r="P454" s="41"/>
      <c r="Q454" s="42"/>
      <c r="R454" s="35"/>
      <c r="S454" s="35"/>
      <c r="T454" s="35"/>
      <c r="U454" s="35"/>
      <c r="V454" s="121"/>
      <c r="W454" s="42"/>
      <c r="X454" s="42"/>
      <c r="Y454" s="42"/>
      <c r="Z454" s="42"/>
      <c r="AA454" s="42"/>
      <c r="AB454" s="42"/>
      <c r="AC454" s="42"/>
      <c r="AD454" s="42"/>
      <c r="AE454" s="42"/>
      <c r="AF454" s="42"/>
      <c r="AG454" s="42"/>
      <c r="AH454" s="42"/>
      <c r="AI454" s="42"/>
      <c r="AJ454" s="42"/>
      <c r="AK454" s="42"/>
      <c r="AL454" s="42"/>
      <c r="AM454" s="42"/>
    </row>
    <row r="455" spans="1:39" x14ac:dyDescent="0.25">
      <c r="A455" s="38" t="s">
        <v>806</v>
      </c>
      <c r="B455" s="42"/>
      <c r="C455" s="42"/>
      <c r="D455" s="42"/>
      <c r="E455" s="41"/>
      <c r="F455" s="41"/>
      <c r="G455" s="41"/>
      <c r="H455" s="41"/>
      <c r="I455" s="41"/>
      <c r="J455" s="42"/>
      <c r="K455" s="41"/>
      <c r="L455" s="41"/>
      <c r="M455" s="127"/>
      <c r="N455" s="41"/>
      <c r="O455" s="41"/>
      <c r="P455" s="41"/>
      <c r="Q455" s="42"/>
      <c r="R455" s="35"/>
      <c r="S455" s="35"/>
      <c r="T455" s="35"/>
      <c r="U455" s="35"/>
      <c r="V455" s="121"/>
      <c r="W455" s="42"/>
      <c r="X455" s="42"/>
      <c r="Y455" s="42"/>
      <c r="Z455" s="42"/>
      <c r="AA455" s="42"/>
      <c r="AB455" s="42"/>
      <c r="AC455" s="42"/>
      <c r="AD455" s="42"/>
      <c r="AE455" s="42"/>
      <c r="AF455" s="42"/>
      <c r="AG455" s="42"/>
      <c r="AH455" s="42"/>
      <c r="AI455" s="42"/>
      <c r="AJ455" s="42"/>
      <c r="AK455" s="42"/>
      <c r="AL455" s="42"/>
      <c r="AM455" s="42"/>
    </row>
    <row r="456" spans="1:39" x14ac:dyDescent="0.25">
      <c r="A456" s="38" t="s">
        <v>807</v>
      </c>
      <c r="B456" s="42"/>
      <c r="C456" s="42"/>
      <c r="D456" s="42"/>
      <c r="E456" s="41"/>
      <c r="F456" s="41"/>
      <c r="G456" s="41"/>
      <c r="H456" s="41"/>
      <c r="I456" s="41"/>
      <c r="J456" s="42"/>
      <c r="K456" s="41"/>
      <c r="L456" s="41"/>
      <c r="M456" s="127"/>
      <c r="N456" s="41"/>
      <c r="O456" s="41"/>
      <c r="P456" s="41"/>
      <c r="Q456" s="42"/>
      <c r="R456" s="35"/>
      <c r="S456" s="35"/>
      <c r="T456" s="35"/>
      <c r="U456" s="35"/>
      <c r="V456" s="121"/>
      <c r="W456" s="42"/>
      <c r="X456" s="42"/>
      <c r="Y456" s="42"/>
      <c r="Z456" s="42"/>
      <c r="AA456" s="42"/>
      <c r="AB456" s="42"/>
      <c r="AC456" s="42"/>
      <c r="AD456" s="42"/>
      <c r="AE456" s="42"/>
      <c r="AF456" s="42"/>
      <c r="AG456" s="42"/>
      <c r="AH456" s="42"/>
      <c r="AI456" s="42"/>
      <c r="AJ456" s="42"/>
      <c r="AK456" s="42"/>
      <c r="AL456" s="42"/>
      <c r="AM456" s="42"/>
    </row>
    <row r="457" spans="1:39" x14ac:dyDescent="0.25">
      <c r="A457" s="38" t="s">
        <v>808</v>
      </c>
      <c r="B457" s="42"/>
      <c r="C457" s="42"/>
      <c r="D457" s="42"/>
      <c r="E457" s="41"/>
      <c r="F457" s="41"/>
      <c r="G457" s="41"/>
      <c r="H457" s="41"/>
      <c r="I457" s="41"/>
      <c r="J457" s="42"/>
      <c r="K457" s="41"/>
      <c r="L457" s="41"/>
      <c r="M457" s="127"/>
      <c r="N457" s="41"/>
      <c r="O457" s="41"/>
      <c r="P457" s="41"/>
      <c r="Q457" s="42"/>
      <c r="R457" s="35"/>
      <c r="S457" s="35"/>
      <c r="T457" s="35"/>
      <c r="U457" s="35"/>
      <c r="V457" s="121"/>
      <c r="W457" s="42"/>
      <c r="X457" s="42"/>
      <c r="Y457" s="42"/>
      <c r="Z457" s="42"/>
      <c r="AA457" s="42"/>
      <c r="AB457" s="42"/>
      <c r="AC457" s="42"/>
      <c r="AD457" s="42"/>
      <c r="AE457" s="42"/>
      <c r="AF457" s="42"/>
      <c r="AG457" s="42"/>
      <c r="AH457" s="42"/>
      <c r="AI457" s="42"/>
      <c r="AJ457" s="42"/>
      <c r="AK457" s="42"/>
      <c r="AL457" s="42"/>
      <c r="AM457" s="42"/>
    </row>
    <row r="458" spans="1:39" x14ac:dyDescent="0.25">
      <c r="A458" s="38" t="s">
        <v>809</v>
      </c>
      <c r="B458" s="42"/>
      <c r="C458" s="42"/>
      <c r="D458" s="42"/>
      <c r="E458" s="41"/>
      <c r="F458" s="41"/>
      <c r="G458" s="41"/>
      <c r="H458" s="41"/>
      <c r="I458" s="41"/>
      <c r="J458" s="42"/>
      <c r="K458" s="41"/>
      <c r="L458" s="41"/>
      <c r="M458" s="127"/>
      <c r="N458" s="41"/>
      <c r="O458" s="41"/>
      <c r="P458" s="41"/>
      <c r="Q458" s="42"/>
      <c r="R458" s="35"/>
      <c r="S458" s="35"/>
      <c r="T458" s="35"/>
      <c r="U458" s="35"/>
      <c r="V458" s="121"/>
      <c r="W458" s="42"/>
      <c r="X458" s="42"/>
      <c r="Y458" s="42"/>
      <c r="Z458" s="42"/>
      <c r="AA458" s="42"/>
      <c r="AB458" s="42"/>
      <c r="AC458" s="42"/>
      <c r="AD458" s="42"/>
      <c r="AE458" s="42"/>
      <c r="AF458" s="42"/>
      <c r="AG458" s="42"/>
      <c r="AH458" s="42"/>
      <c r="AI458" s="42"/>
      <c r="AJ458" s="42"/>
      <c r="AK458" s="42"/>
      <c r="AL458" s="42"/>
      <c r="AM458" s="42"/>
    </row>
    <row r="459" spans="1:39" x14ac:dyDescent="0.25">
      <c r="A459" s="38" t="s">
        <v>810</v>
      </c>
      <c r="B459" s="42"/>
      <c r="C459" s="42"/>
      <c r="D459" s="42"/>
      <c r="E459" s="41"/>
      <c r="F459" s="41"/>
      <c r="G459" s="41"/>
      <c r="H459" s="41"/>
      <c r="I459" s="41"/>
      <c r="J459" s="42"/>
      <c r="K459" s="41"/>
      <c r="L459" s="41"/>
      <c r="M459" s="127"/>
      <c r="N459" s="41"/>
      <c r="O459" s="41"/>
      <c r="P459" s="41"/>
      <c r="Q459" s="42"/>
      <c r="R459" s="35"/>
      <c r="S459" s="35"/>
      <c r="T459" s="35"/>
      <c r="U459" s="35"/>
      <c r="V459" s="121"/>
      <c r="W459" s="42"/>
      <c r="X459" s="42"/>
      <c r="Y459" s="42"/>
      <c r="Z459" s="42"/>
      <c r="AA459" s="42"/>
      <c r="AB459" s="42"/>
      <c r="AC459" s="42"/>
      <c r="AD459" s="42"/>
      <c r="AE459" s="42"/>
      <c r="AF459" s="42"/>
      <c r="AG459" s="42"/>
      <c r="AH459" s="42"/>
      <c r="AI459" s="42"/>
      <c r="AJ459" s="42"/>
      <c r="AK459" s="42"/>
      <c r="AL459" s="42"/>
      <c r="AM459" s="42"/>
    </row>
    <row r="460" spans="1:39" x14ac:dyDescent="0.25">
      <c r="A460" s="38" t="s">
        <v>811</v>
      </c>
      <c r="B460" s="42"/>
      <c r="C460" s="42"/>
      <c r="D460" s="42"/>
      <c r="E460" s="41"/>
      <c r="F460" s="41"/>
      <c r="G460" s="41"/>
      <c r="H460" s="41"/>
      <c r="I460" s="41"/>
      <c r="J460" s="42"/>
      <c r="K460" s="41"/>
      <c r="L460" s="41"/>
      <c r="M460" s="127"/>
      <c r="N460" s="41"/>
      <c r="O460" s="41"/>
      <c r="P460" s="41"/>
      <c r="Q460" s="42"/>
      <c r="R460" s="35"/>
      <c r="S460" s="35"/>
      <c r="T460" s="35"/>
      <c r="U460" s="35"/>
      <c r="V460" s="121"/>
      <c r="W460" s="42"/>
      <c r="X460" s="42"/>
      <c r="Y460" s="42"/>
      <c r="Z460" s="42"/>
      <c r="AA460" s="42"/>
      <c r="AB460" s="42"/>
      <c r="AC460" s="42"/>
      <c r="AD460" s="42"/>
      <c r="AE460" s="42"/>
      <c r="AF460" s="42"/>
      <c r="AG460" s="42"/>
      <c r="AH460" s="42"/>
      <c r="AI460" s="42"/>
      <c r="AJ460" s="42"/>
      <c r="AK460" s="42"/>
      <c r="AL460" s="42"/>
      <c r="AM460" s="42"/>
    </row>
    <row r="461" spans="1:39" x14ac:dyDescent="0.25">
      <c r="A461" s="38" t="s">
        <v>812</v>
      </c>
      <c r="B461" s="42"/>
      <c r="C461" s="42"/>
      <c r="D461" s="42"/>
      <c r="E461" s="41"/>
      <c r="F461" s="41"/>
      <c r="G461" s="41"/>
      <c r="H461" s="41"/>
      <c r="I461" s="41"/>
      <c r="J461" s="42"/>
      <c r="K461" s="41"/>
      <c r="L461" s="41"/>
      <c r="M461" s="127"/>
      <c r="N461" s="41"/>
      <c r="O461" s="41"/>
      <c r="P461" s="41"/>
      <c r="Q461" s="42"/>
      <c r="R461" s="35"/>
      <c r="S461" s="35"/>
      <c r="T461" s="35"/>
      <c r="U461" s="35"/>
      <c r="V461" s="121"/>
      <c r="W461" s="42"/>
      <c r="X461" s="42"/>
      <c r="Y461" s="42"/>
      <c r="Z461" s="42"/>
      <c r="AA461" s="42"/>
      <c r="AB461" s="42"/>
      <c r="AC461" s="42"/>
      <c r="AD461" s="42"/>
      <c r="AE461" s="42"/>
      <c r="AF461" s="42"/>
      <c r="AG461" s="42"/>
      <c r="AH461" s="42"/>
      <c r="AI461" s="42"/>
      <c r="AJ461" s="42"/>
      <c r="AK461" s="42"/>
      <c r="AL461" s="42"/>
      <c r="AM461" s="42"/>
    </row>
    <row r="462" spans="1:39" x14ac:dyDescent="0.25">
      <c r="A462" s="38" t="s">
        <v>813</v>
      </c>
      <c r="B462" s="42"/>
      <c r="C462" s="42"/>
      <c r="D462" s="42"/>
      <c r="E462" s="41"/>
      <c r="F462" s="41"/>
      <c r="G462" s="41"/>
      <c r="H462" s="41"/>
      <c r="I462" s="41"/>
      <c r="J462" s="42"/>
      <c r="K462" s="41"/>
      <c r="L462" s="41"/>
      <c r="M462" s="127"/>
      <c r="N462" s="41"/>
      <c r="O462" s="41"/>
      <c r="P462" s="41"/>
      <c r="Q462" s="42"/>
      <c r="R462" s="35"/>
      <c r="S462" s="35"/>
      <c r="T462" s="35"/>
      <c r="U462" s="35"/>
      <c r="V462" s="121"/>
      <c r="W462" s="42"/>
      <c r="X462" s="42"/>
      <c r="Y462" s="42"/>
      <c r="Z462" s="42"/>
      <c r="AA462" s="42"/>
      <c r="AB462" s="42"/>
      <c r="AC462" s="42"/>
      <c r="AD462" s="42"/>
      <c r="AE462" s="42"/>
      <c r="AF462" s="42"/>
      <c r="AG462" s="42"/>
      <c r="AH462" s="42"/>
      <c r="AI462" s="42"/>
      <c r="AJ462" s="42"/>
      <c r="AK462" s="42"/>
      <c r="AL462" s="42"/>
      <c r="AM462" s="42"/>
    </row>
    <row r="463" spans="1:39" x14ac:dyDescent="0.25">
      <c r="A463" s="38" t="s">
        <v>814</v>
      </c>
      <c r="B463" s="42"/>
      <c r="C463" s="42"/>
      <c r="D463" s="42"/>
      <c r="E463" s="41"/>
      <c r="F463" s="41"/>
      <c r="G463" s="41"/>
      <c r="H463" s="41"/>
      <c r="I463" s="41"/>
      <c r="J463" s="42"/>
      <c r="K463" s="41"/>
      <c r="L463" s="41"/>
      <c r="M463" s="127"/>
      <c r="N463" s="41"/>
      <c r="O463" s="41"/>
      <c r="P463" s="41"/>
      <c r="Q463" s="42"/>
      <c r="R463" s="35"/>
      <c r="S463" s="35"/>
      <c r="T463" s="35"/>
      <c r="U463" s="35"/>
      <c r="V463" s="121"/>
      <c r="W463" s="42"/>
      <c r="X463" s="42"/>
      <c r="Y463" s="42"/>
      <c r="Z463" s="42"/>
      <c r="AA463" s="42"/>
      <c r="AB463" s="42"/>
      <c r="AC463" s="42"/>
      <c r="AD463" s="42"/>
      <c r="AE463" s="42"/>
      <c r="AF463" s="42"/>
      <c r="AG463" s="42"/>
      <c r="AH463" s="42"/>
      <c r="AI463" s="42"/>
      <c r="AJ463" s="42"/>
      <c r="AK463" s="42"/>
      <c r="AL463" s="42"/>
      <c r="AM463" s="42"/>
    </row>
    <row r="464" spans="1:39" x14ac:dyDescent="0.25">
      <c r="A464" s="38" t="s">
        <v>815</v>
      </c>
      <c r="B464" s="42"/>
      <c r="C464" s="42"/>
      <c r="D464" s="42"/>
      <c r="E464" s="41"/>
      <c r="F464" s="41"/>
      <c r="G464" s="41"/>
      <c r="H464" s="41"/>
      <c r="I464" s="41"/>
      <c r="J464" s="42"/>
      <c r="K464" s="41"/>
      <c r="L464" s="41"/>
      <c r="M464" s="127"/>
      <c r="N464" s="41"/>
      <c r="O464" s="41"/>
      <c r="P464" s="41"/>
      <c r="Q464" s="42"/>
      <c r="R464" s="35"/>
      <c r="S464" s="35"/>
      <c r="T464" s="35"/>
      <c r="U464" s="35"/>
      <c r="V464" s="121"/>
      <c r="W464" s="42"/>
      <c r="X464" s="42"/>
      <c r="Y464" s="42"/>
      <c r="Z464" s="42"/>
      <c r="AA464" s="42"/>
      <c r="AB464" s="42"/>
      <c r="AC464" s="42"/>
      <c r="AD464" s="42"/>
      <c r="AE464" s="42"/>
      <c r="AF464" s="42"/>
      <c r="AG464" s="42"/>
      <c r="AH464" s="42"/>
      <c r="AI464" s="42"/>
      <c r="AJ464" s="42"/>
      <c r="AK464" s="42"/>
      <c r="AL464" s="42"/>
      <c r="AM464" s="42"/>
    </row>
    <row r="465" spans="1:39" x14ac:dyDescent="0.25">
      <c r="A465" s="38" t="s">
        <v>816</v>
      </c>
      <c r="B465" s="42"/>
      <c r="C465" s="42"/>
      <c r="D465" s="42"/>
      <c r="E465" s="41"/>
      <c r="F465" s="41"/>
      <c r="G465" s="41"/>
      <c r="H465" s="41"/>
      <c r="I465" s="41"/>
      <c r="J465" s="42"/>
      <c r="K465" s="41"/>
      <c r="L465" s="41"/>
      <c r="M465" s="127"/>
      <c r="N465" s="41"/>
      <c r="O465" s="41"/>
      <c r="P465" s="41"/>
      <c r="Q465" s="42"/>
      <c r="R465" s="35"/>
      <c r="S465" s="35"/>
      <c r="T465" s="35"/>
      <c r="U465" s="35"/>
      <c r="V465" s="121"/>
      <c r="W465" s="42"/>
      <c r="X465" s="42"/>
      <c r="Y465" s="42"/>
      <c r="Z465" s="42"/>
      <c r="AA465" s="42"/>
      <c r="AB465" s="42"/>
      <c r="AC465" s="42"/>
      <c r="AD465" s="42"/>
      <c r="AE465" s="42"/>
      <c r="AF465" s="42"/>
      <c r="AG465" s="42"/>
      <c r="AH465" s="42"/>
      <c r="AI465" s="42"/>
      <c r="AJ465" s="42"/>
      <c r="AK465" s="42"/>
      <c r="AL465" s="42"/>
      <c r="AM465" s="42"/>
    </row>
    <row r="466" spans="1:39" x14ac:dyDescent="0.25">
      <c r="A466" s="38" t="s">
        <v>817</v>
      </c>
      <c r="B466" s="42"/>
      <c r="C466" s="42"/>
      <c r="D466" s="42"/>
      <c r="E466" s="41"/>
      <c r="F466" s="41"/>
      <c r="G466" s="41"/>
      <c r="H466" s="41"/>
      <c r="I466" s="41"/>
      <c r="J466" s="42"/>
      <c r="K466" s="41"/>
      <c r="L466" s="41"/>
      <c r="M466" s="127"/>
      <c r="N466" s="41"/>
      <c r="O466" s="41"/>
      <c r="P466" s="41"/>
      <c r="Q466" s="42"/>
      <c r="R466" s="35"/>
      <c r="S466" s="35"/>
      <c r="T466" s="35"/>
      <c r="U466" s="35"/>
      <c r="V466" s="121"/>
      <c r="W466" s="42"/>
      <c r="X466" s="42"/>
      <c r="Y466" s="42"/>
      <c r="Z466" s="42"/>
      <c r="AA466" s="42"/>
      <c r="AB466" s="42"/>
      <c r="AC466" s="42"/>
      <c r="AD466" s="42"/>
      <c r="AE466" s="42"/>
      <c r="AF466" s="42"/>
      <c r="AG466" s="42"/>
      <c r="AH466" s="42"/>
      <c r="AI466" s="42"/>
      <c r="AJ466" s="42"/>
      <c r="AK466" s="42"/>
      <c r="AL466" s="42"/>
      <c r="AM466" s="42"/>
    </row>
    <row r="467" spans="1:39" x14ac:dyDescent="0.25">
      <c r="A467" s="38" t="s">
        <v>818</v>
      </c>
      <c r="B467" s="42"/>
      <c r="C467" s="42"/>
      <c r="D467" s="42"/>
      <c r="E467" s="41"/>
      <c r="F467" s="41"/>
      <c r="G467" s="41"/>
      <c r="H467" s="41"/>
      <c r="I467" s="41"/>
      <c r="J467" s="42"/>
      <c r="K467" s="41"/>
      <c r="L467" s="41"/>
      <c r="M467" s="127"/>
      <c r="N467" s="41"/>
      <c r="O467" s="41"/>
      <c r="P467" s="41"/>
      <c r="Q467" s="42"/>
      <c r="R467" s="35"/>
      <c r="S467" s="35"/>
      <c r="T467" s="35"/>
      <c r="U467" s="35"/>
      <c r="V467" s="121"/>
      <c r="W467" s="42"/>
      <c r="X467" s="42"/>
      <c r="Y467" s="42"/>
      <c r="Z467" s="42"/>
      <c r="AA467" s="42"/>
      <c r="AB467" s="42"/>
      <c r="AC467" s="42"/>
      <c r="AD467" s="42"/>
      <c r="AE467" s="42"/>
      <c r="AF467" s="42"/>
      <c r="AG467" s="42"/>
      <c r="AH467" s="42"/>
      <c r="AI467" s="42"/>
      <c r="AJ467" s="42"/>
      <c r="AK467" s="42"/>
      <c r="AL467" s="42"/>
      <c r="AM467" s="42"/>
    </row>
    <row r="468" spans="1:39" x14ac:dyDescent="0.25">
      <c r="A468" s="38" t="s">
        <v>819</v>
      </c>
      <c r="B468" s="42"/>
      <c r="C468" s="42"/>
      <c r="D468" s="42"/>
      <c r="E468" s="41"/>
      <c r="F468" s="41"/>
      <c r="G468" s="41"/>
      <c r="H468" s="41"/>
      <c r="I468" s="41"/>
      <c r="J468" s="42"/>
      <c r="K468" s="41"/>
      <c r="L468" s="41"/>
      <c r="M468" s="127"/>
      <c r="N468" s="41"/>
      <c r="O468" s="41"/>
      <c r="P468" s="41"/>
      <c r="Q468" s="42"/>
      <c r="R468" s="35"/>
      <c r="S468" s="35"/>
      <c r="T468" s="35"/>
      <c r="U468" s="35"/>
      <c r="V468" s="121"/>
      <c r="W468" s="42"/>
      <c r="X468" s="42"/>
      <c r="Y468" s="42"/>
      <c r="Z468" s="42"/>
      <c r="AA468" s="42"/>
      <c r="AB468" s="42"/>
      <c r="AC468" s="42"/>
      <c r="AD468" s="42"/>
      <c r="AE468" s="42"/>
      <c r="AF468" s="42"/>
      <c r="AG468" s="42"/>
      <c r="AH468" s="42"/>
      <c r="AI468" s="42"/>
      <c r="AJ468" s="42"/>
      <c r="AK468" s="42"/>
      <c r="AL468" s="42"/>
      <c r="AM468" s="42"/>
    </row>
    <row r="469" spans="1:39" x14ac:dyDescent="0.25">
      <c r="A469" s="38" t="s">
        <v>820</v>
      </c>
      <c r="B469" s="42"/>
      <c r="C469" s="42"/>
      <c r="D469" s="42"/>
      <c r="E469" s="41"/>
      <c r="F469" s="41"/>
      <c r="G469" s="41"/>
      <c r="H469" s="41"/>
      <c r="I469" s="41"/>
      <c r="J469" s="42"/>
      <c r="K469" s="41"/>
      <c r="L469" s="41"/>
      <c r="M469" s="127"/>
      <c r="N469" s="41"/>
      <c r="O469" s="41"/>
      <c r="P469" s="41"/>
      <c r="Q469" s="42"/>
      <c r="R469" s="35"/>
      <c r="S469" s="35"/>
      <c r="T469" s="35"/>
      <c r="U469" s="35"/>
      <c r="V469" s="121"/>
      <c r="W469" s="42"/>
      <c r="X469" s="42"/>
      <c r="Y469" s="42"/>
      <c r="Z469" s="42"/>
      <c r="AA469" s="42"/>
      <c r="AB469" s="42"/>
      <c r="AC469" s="42"/>
      <c r="AD469" s="42"/>
      <c r="AE469" s="42"/>
      <c r="AF469" s="42"/>
      <c r="AG469" s="42"/>
      <c r="AH469" s="42"/>
      <c r="AI469" s="42"/>
      <c r="AJ469" s="42"/>
      <c r="AK469" s="42"/>
      <c r="AL469" s="42"/>
      <c r="AM469" s="42"/>
    </row>
    <row r="470" spans="1:39" x14ac:dyDescent="0.25">
      <c r="A470" s="38" t="s">
        <v>821</v>
      </c>
      <c r="B470" s="42"/>
      <c r="C470" s="42"/>
      <c r="D470" s="42"/>
      <c r="E470" s="41"/>
      <c r="F470" s="41"/>
      <c r="G470" s="41"/>
      <c r="H470" s="41"/>
      <c r="I470" s="41"/>
      <c r="J470" s="42"/>
      <c r="K470" s="41"/>
      <c r="L470" s="41"/>
      <c r="M470" s="127"/>
      <c r="N470" s="41"/>
      <c r="O470" s="41"/>
      <c r="P470" s="41"/>
      <c r="Q470" s="42"/>
      <c r="R470" s="35"/>
      <c r="S470" s="35"/>
      <c r="T470" s="35"/>
      <c r="U470" s="35"/>
      <c r="V470" s="121"/>
      <c r="W470" s="42"/>
      <c r="X470" s="42"/>
      <c r="Y470" s="42"/>
      <c r="Z470" s="42"/>
      <c r="AA470" s="42"/>
      <c r="AB470" s="42"/>
      <c r="AC470" s="42"/>
      <c r="AD470" s="42"/>
      <c r="AE470" s="42"/>
      <c r="AF470" s="42"/>
      <c r="AG470" s="42"/>
      <c r="AH470" s="42"/>
      <c r="AI470" s="42"/>
      <c r="AJ470" s="42"/>
      <c r="AK470" s="42"/>
      <c r="AL470" s="42"/>
      <c r="AM470" s="42"/>
    </row>
    <row r="471" spans="1:39" x14ac:dyDescent="0.25">
      <c r="A471" s="38" t="s">
        <v>822</v>
      </c>
      <c r="B471" s="42"/>
      <c r="C471" s="42"/>
      <c r="D471" s="42"/>
      <c r="E471" s="41"/>
      <c r="F471" s="41"/>
      <c r="G471" s="41"/>
      <c r="H471" s="41"/>
      <c r="I471" s="41"/>
      <c r="J471" s="42"/>
      <c r="K471" s="41"/>
      <c r="L471" s="41"/>
      <c r="M471" s="127"/>
      <c r="N471" s="41"/>
      <c r="O471" s="41"/>
      <c r="P471" s="41"/>
      <c r="Q471" s="42"/>
      <c r="R471" s="35"/>
      <c r="S471" s="35"/>
      <c r="T471" s="35"/>
      <c r="U471" s="35"/>
      <c r="V471" s="121"/>
      <c r="W471" s="42"/>
      <c r="X471" s="42"/>
      <c r="Y471" s="42"/>
      <c r="Z471" s="42"/>
      <c r="AA471" s="42"/>
      <c r="AB471" s="42"/>
      <c r="AC471" s="42"/>
      <c r="AD471" s="42"/>
      <c r="AE471" s="42"/>
      <c r="AF471" s="42"/>
      <c r="AG471" s="42"/>
      <c r="AH471" s="42"/>
      <c r="AI471" s="42"/>
      <c r="AJ471" s="42"/>
      <c r="AK471" s="42"/>
      <c r="AL471" s="42"/>
      <c r="AM471" s="42"/>
    </row>
    <row r="472" spans="1:39" x14ac:dyDescent="0.25">
      <c r="A472" s="38" t="s">
        <v>823</v>
      </c>
      <c r="B472" s="42"/>
      <c r="C472" s="42"/>
      <c r="D472" s="42"/>
      <c r="E472" s="41"/>
      <c r="F472" s="41"/>
      <c r="G472" s="41"/>
      <c r="H472" s="41"/>
      <c r="I472" s="41"/>
      <c r="J472" s="42"/>
      <c r="K472" s="41"/>
      <c r="L472" s="41"/>
      <c r="M472" s="127"/>
      <c r="N472" s="41"/>
      <c r="O472" s="41"/>
      <c r="P472" s="41"/>
      <c r="Q472" s="42"/>
      <c r="R472" s="35"/>
      <c r="S472" s="35"/>
      <c r="T472" s="35"/>
      <c r="U472" s="35"/>
      <c r="V472" s="121"/>
      <c r="W472" s="42"/>
      <c r="X472" s="42"/>
      <c r="Y472" s="42"/>
      <c r="Z472" s="42"/>
      <c r="AA472" s="42"/>
      <c r="AB472" s="42"/>
      <c r="AC472" s="42"/>
      <c r="AD472" s="42"/>
      <c r="AE472" s="42"/>
      <c r="AF472" s="42"/>
      <c r="AG472" s="42"/>
      <c r="AH472" s="42"/>
      <c r="AI472" s="42"/>
      <c r="AJ472" s="42"/>
      <c r="AK472" s="42"/>
      <c r="AL472" s="42"/>
      <c r="AM472" s="42"/>
    </row>
    <row r="473" spans="1:39" x14ac:dyDescent="0.25">
      <c r="A473" s="38" t="s">
        <v>824</v>
      </c>
      <c r="B473" s="42"/>
      <c r="C473" s="42"/>
      <c r="D473" s="42"/>
      <c r="E473" s="41"/>
      <c r="F473" s="41"/>
      <c r="G473" s="41"/>
      <c r="H473" s="41"/>
      <c r="I473" s="41"/>
      <c r="J473" s="42"/>
      <c r="K473" s="41"/>
      <c r="L473" s="41"/>
      <c r="M473" s="127"/>
      <c r="N473" s="41"/>
      <c r="O473" s="41"/>
      <c r="P473" s="41"/>
      <c r="Q473" s="42"/>
      <c r="R473" s="35"/>
      <c r="S473" s="35"/>
      <c r="T473" s="35"/>
      <c r="U473" s="35"/>
      <c r="V473" s="121"/>
      <c r="W473" s="42"/>
      <c r="X473" s="42"/>
      <c r="Y473" s="42"/>
      <c r="Z473" s="42"/>
      <c r="AA473" s="42"/>
      <c r="AB473" s="42"/>
      <c r="AC473" s="42"/>
      <c r="AD473" s="42"/>
      <c r="AE473" s="42"/>
      <c r="AF473" s="42"/>
      <c r="AG473" s="42"/>
      <c r="AH473" s="42"/>
      <c r="AI473" s="42"/>
      <c r="AJ473" s="42"/>
      <c r="AK473" s="42"/>
      <c r="AL473" s="42"/>
      <c r="AM473" s="42"/>
    </row>
    <row r="474" spans="1:39" x14ac:dyDescent="0.25">
      <c r="A474" s="38" t="s">
        <v>825</v>
      </c>
      <c r="B474" s="42"/>
      <c r="C474" s="42"/>
      <c r="D474" s="42"/>
      <c r="E474" s="41"/>
      <c r="F474" s="41"/>
      <c r="G474" s="41"/>
      <c r="H474" s="41"/>
      <c r="I474" s="41"/>
      <c r="J474" s="42"/>
      <c r="K474" s="41"/>
      <c r="L474" s="41"/>
      <c r="M474" s="127"/>
      <c r="N474" s="41"/>
      <c r="O474" s="41"/>
      <c r="P474" s="41"/>
      <c r="Q474" s="42"/>
      <c r="R474" s="35"/>
      <c r="S474" s="35"/>
      <c r="T474" s="35"/>
      <c r="U474" s="35"/>
      <c r="V474" s="121"/>
      <c r="W474" s="42"/>
      <c r="X474" s="42"/>
      <c r="Y474" s="42"/>
      <c r="Z474" s="42"/>
      <c r="AA474" s="42"/>
      <c r="AB474" s="42"/>
      <c r="AC474" s="42"/>
      <c r="AD474" s="42"/>
      <c r="AE474" s="42"/>
      <c r="AF474" s="42"/>
      <c r="AG474" s="42"/>
      <c r="AH474" s="42"/>
      <c r="AI474" s="42"/>
      <c r="AJ474" s="42"/>
      <c r="AK474" s="42"/>
      <c r="AL474" s="42"/>
      <c r="AM474" s="42"/>
    </row>
    <row r="475" spans="1:39" x14ac:dyDescent="0.25">
      <c r="A475" s="38" t="s">
        <v>826</v>
      </c>
      <c r="B475" s="42"/>
      <c r="C475" s="42"/>
      <c r="D475" s="42"/>
      <c r="E475" s="41"/>
      <c r="F475" s="41"/>
      <c r="G475" s="41"/>
      <c r="H475" s="41"/>
      <c r="I475" s="41"/>
      <c r="J475" s="42"/>
      <c r="K475" s="41"/>
      <c r="L475" s="41"/>
      <c r="M475" s="127"/>
      <c r="N475" s="41"/>
      <c r="O475" s="41"/>
      <c r="P475" s="41"/>
      <c r="Q475" s="42"/>
      <c r="R475" s="35"/>
      <c r="S475" s="35"/>
      <c r="T475" s="35"/>
      <c r="U475" s="35"/>
      <c r="V475" s="121"/>
      <c r="W475" s="42"/>
      <c r="X475" s="42"/>
      <c r="Y475" s="42"/>
      <c r="Z475" s="42"/>
      <c r="AA475" s="42"/>
      <c r="AB475" s="42"/>
      <c r="AC475" s="42"/>
      <c r="AD475" s="42"/>
      <c r="AE475" s="42"/>
      <c r="AF475" s="42"/>
      <c r="AG475" s="42"/>
      <c r="AH475" s="42"/>
      <c r="AI475" s="42"/>
      <c r="AJ475" s="42"/>
      <c r="AK475" s="42"/>
      <c r="AL475" s="42"/>
      <c r="AM475" s="42"/>
    </row>
    <row r="476" spans="1:39" x14ac:dyDescent="0.25">
      <c r="A476" s="38" t="s">
        <v>827</v>
      </c>
      <c r="B476" s="42"/>
      <c r="C476" s="42"/>
      <c r="D476" s="42"/>
      <c r="E476" s="41"/>
      <c r="F476" s="41"/>
      <c r="G476" s="41"/>
      <c r="H476" s="41"/>
      <c r="I476" s="41"/>
      <c r="J476" s="42"/>
      <c r="K476" s="41"/>
      <c r="L476" s="41"/>
      <c r="M476" s="127"/>
      <c r="N476" s="41"/>
      <c r="O476" s="41"/>
      <c r="P476" s="41"/>
      <c r="Q476" s="42"/>
      <c r="R476" s="35"/>
      <c r="S476" s="35"/>
      <c r="T476" s="35"/>
      <c r="U476" s="35"/>
      <c r="V476" s="121"/>
      <c r="W476" s="42"/>
      <c r="X476" s="42"/>
      <c r="Y476" s="42"/>
      <c r="Z476" s="42"/>
      <c r="AA476" s="42"/>
      <c r="AB476" s="42"/>
      <c r="AC476" s="42"/>
      <c r="AD476" s="42"/>
      <c r="AE476" s="42"/>
      <c r="AF476" s="42"/>
      <c r="AG476" s="42"/>
      <c r="AH476" s="42"/>
      <c r="AI476" s="42"/>
      <c r="AJ476" s="42"/>
      <c r="AK476" s="42"/>
      <c r="AL476" s="42"/>
      <c r="AM476" s="42"/>
    </row>
    <row r="477" spans="1:39" x14ac:dyDescent="0.25">
      <c r="A477" s="38" t="s">
        <v>828</v>
      </c>
      <c r="B477" s="42"/>
      <c r="C477" s="42"/>
      <c r="D477" s="42"/>
      <c r="E477" s="41"/>
      <c r="F477" s="41"/>
      <c r="G477" s="41"/>
      <c r="H477" s="41"/>
      <c r="I477" s="41"/>
      <c r="J477" s="42"/>
      <c r="K477" s="41"/>
      <c r="L477" s="41"/>
      <c r="M477" s="127"/>
      <c r="N477" s="41"/>
      <c r="O477" s="41"/>
      <c r="P477" s="41"/>
      <c r="Q477" s="42"/>
      <c r="R477" s="35"/>
      <c r="S477" s="35"/>
      <c r="T477" s="35"/>
      <c r="U477" s="35"/>
      <c r="V477" s="121"/>
      <c r="W477" s="42"/>
      <c r="X477" s="42"/>
      <c r="Y477" s="42"/>
      <c r="Z477" s="42"/>
      <c r="AA477" s="42"/>
      <c r="AB477" s="42"/>
      <c r="AC477" s="42"/>
      <c r="AD477" s="42"/>
      <c r="AE477" s="42"/>
      <c r="AF477" s="42"/>
      <c r="AG477" s="42"/>
      <c r="AH477" s="42"/>
      <c r="AI477" s="42"/>
      <c r="AJ477" s="42"/>
      <c r="AK477" s="42"/>
      <c r="AL477" s="42"/>
      <c r="AM477" s="42"/>
    </row>
    <row r="478" spans="1:39" x14ac:dyDescent="0.25">
      <c r="A478" s="38" t="s">
        <v>829</v>
      </c>
      <c r="B478" s="42"/>
      <c r="C478" s="42"/>
      <c r="D478" s="42"/>
      <c r="E478" s="41"/>
      <c r="F478" s="41"/>
      <c r="G478" s="41"/>
      <c r="H478" s="41"/>
      <c r="I478" s="41"/>
      <c r="J478" s="42"/>
      <c r="K478" s="41"/>
      <c r="L478" s="41"/>
      <c r="M478" s="127"/>
      <c r="N478" s="41"/>
      <c r="O478" s="41"/>
      <c r="P478" s="41"/>
      <c r="Q478" s="42"/>
      <c r="R478" s="35"/>
      <c r="S478" s="35"/>
      <c r="T478" s="35"/>
      <c r="U478" s="35"/>
      <c r="V478" s="121"/>
      <c r="W478" s="42"/>
      <c r="X478" s="42"/>
      <c r="Y478" s="42"/>
      <c r="Z478" s="42"/>
      <c r="AA478" s="42"/>
      <c r="AB478" s="42"/>
      <c r="AC478" s="42"/>
      <c r="AD478" s="42"/>
      <c r="AE478" s="42"/>
      <c r="AF478" s="42"/>
      <c r="AG478" s="42"/>
      <c r="AH478" s="42"/>
      <c r="AI478" s="42"/>
      <c r="AJ478" s="42"/>
      <c r="AK478" s="42"/>
      <c r="AL478" s="42"/>
      <c r="AM478" s="42"/>
    </row>
    <row r="479" spans="1:39" x14ac:dyDescent="0.25">
      <c r="A479" s="38" t="s">
        <v>830</v>
      </c>
      <c r="B479" s="42"/>
      <c r="C479" s="42"/>
      <c r="D479" s="42"/>
      <c r="E479" s="41"/>
      <c r="F479" s="41"/>
      <c r="G479" s="41"/>
      <c r="H479" s="41"/>
      <c r="I479" s="41"/>
      <c r="J479" s="42"/>
      <c r="K479" s="41"/>
      <c r="L479" s="41"/>
      <c r="M479" s="127"/>
      <c r="N479" s="41"/>
      <c r="O479" s="41"/>
      <c r="P479" s="41"/>
      <c r="Q479" s="42"/>
      <c r="R479" s="35"/>
      <c r="S479" s="35"/>
      <c r="T479" s="35"/>
      <c r="U479" s="35"/>
      <c r="V479" s="121"/>
      <c r="W479" s="42"/>
      <c r="X479" s="42"/>
      <c r="Y479" s="42"/>
      <c r="Z479" s="42"/>
      <c r="AA479" s="42"/>
      <c r="AB479" s="42"/>
      <c r="AC479" s="42"/>
      <c r="AD479" s="42"/>
      <c r="AE479" s="42"/>
      <c r="AF479" s="42"/>
      <c r="AG479" s="42"/>
      <c r="AH479" s="42"/>
      <c r="AI479" s="42"/>
      <c r="AJ479" s="42"/>
      <c r="AK479" s="42"/>
      <c r="AL479" s="42"/>
      <c r="AM479" s="42"/>
    </row>
    <row r="480" spans="1:39" x14ac:dyDescent="0.25">
      <c r="A480" s="38" t="s">
        <v>831</v>
      </c>
      <c r="B480" s="42"/>
      <c r="C480" s="42"/>
      <c r="D480" s="42"/>
      <c r="E480" s="41"/>
      <c r="F480" s="41"/>
      <c r="G480" s="41"/>
      <c r="H480" s="41"/>
      <c r="I480" s="41"/>
      <c r="J480" s="42"/>
      <c r="K480" s="41"/>
      <c r="L480" s="41"/>
      <c r="M480" s="127"/>
      <c r="N480" s="41"/>
      <c r="O480" s="41"/>
      <c r="P480" s="41"/>
      <c r="Q480" s="42"/>
      <c r="R480" s="35"/>
      <c r="S480" s="35"/>
      <c r="T480" s="35"/>
      <c r="U480" s="35"/>
      <c r="V480" s="121"/>
      <c r="W480" s="42"/>
      <c r="X480" s="42"/>
      <c r="Y480" s="42"/>
      <c r="Z480" s="42"/>
      <c r="AA480" s="42"/>
      <c r="AB480" s="42"/>
      <c r="AC480" s="42"/>
      <c r="AD480" s="42"/>
      <c r="AE480" s="42"/>
      <c r="AF480" s="42"/>
      <c r="AG480" s="42"/>
      <c r="AH480" s="42"/>
      <c r="AI480" s="42"/>
      <c r="AJ480" s="42"/>
      <c r="AK480" s="42"/>
      <c r="AL480" s="42"/>
      <c r="AM480" s="42"/>
    </row>
    <row r="481" spans="1:39" x14ac:dyDescent="0.25">
      <c r="A481" s="38" t="s">
        <v>832</v>
      </c>
      <c r="B481" s="42"/>
      <c r="C481" s="42"/>
      <c r="D481" s="42"/>
      <c r="E481" s="41"/>
      <c r="F481" s="41"/>
      <c r="G481" s="41"/>
      <c r="H481" s="41"/>
      <c r="I481" s="41"/>
      <c r="J481" s="42"/>
      <c r="K481" s="41"/>
      <c r="L481" s="41"/>
      <c r="M481" s="127"/>
      <c r="N481" s="41"/>
      <c r="O481" s="41"/>
      <c r="P481" s="41"/>
      <c r="Q481" s="42"/>
      <c r="R481" s="35"/>
      <c r="S481" s="35"/>
      <c r="T481" s="35"/>
      <c r="U481" s="35"/>
      <c r="V481" s="121"/>
      <c r="W481" s="42"/>
      <c r="X481" s="42"/>
      <c r="Y481" s="42"/>
      <c r="Z481" s="42"/>
      <c r="AA481" s="42"/>
      <c r="AB481" s="42"/>
      <c r="AC481" s="42"/>
      <c r="AD481" s="42"/>
      <c r="AE481" s="42"/>
      <c r="AF481" s="42"/>
      <c r="AG481" s="42"/>
      <c r="AH481" s="42"/>
      <c r="AI481" s="42"/>
      <c r="AJ481" s="42"/>
      <c r="AK481" s="42"/>
      <c r="AL481" s="42"/>
      <c r="AM481" s="42"/>
    </row>
    <row r="482" spans="1:39" x14ac:dyDescent="0.25">
      <c r="A482" s="38" t="s">
        <v>833</v>
      </c>
      <c r="B482" s="42"/>
      <c r="C482" s="42"/>
      <c r="D482" s="42"/>
      <c r="E482" s="41"/>
      <c r="F482" s="41"/>
      <c r="G482" s="41"/>
      <c r="H482" s="41"/>
      <c r="I482" s="41"/>
      <c r="J482" s="42"/>
      <c r="K482" s="41"/>
      <c r="L482" s="41"/>
      <c r="M482" s="127"/>
      <c r="N482" s="41"/>
      <c r="O482" s="41"/>
      <c r="P482" s="41"/>
      <c r="Q482" s="42"/>
      <c r="R482" s="35"/>
      <c r="S482" s="35"/>
      <c r="T482" s="35"/>
      <c r="U482" s="35"/>
      <c r="V482" s="121"/>
      <c r="W482" s="42"/>
      <c r="X482" s="42"/>
      <c r="Y482" s="42"/>
      <c r="Z482" s="42"/>
      <c r="AA482" s="42"/>
      <c r="AB482" s="42"/>
      <c r="AC482" s="42"/>
      <c r="AD482" s="42"/>
      <c r="AE482" s="42"/>
      <c r="AF482" s="42"/>
      <c r="AG482" s="42"/>
      <c r="AH482" s="42"/>
      <c r="AI482" s="42"/>
      <c r="AJ482" s="42"/>
      <c r="AK482" s="42"/>
      <c r="AL482" s="42"/>
      <c r="AM482" s="42"/>
    </row>
    <row r="483" spans="1:39" x14ac:dyDescent="0.25">
      <c r="A483" s="38" t="s">
        <v>834</v>
      </c>
      <c r="B483" s="42"/>
      <c r="C483" s="42"/>
      <c r="D483" s="42"/>
      <c r="E483" s="41"/>
      <c r="F483" s="41"/>
      <c r="G483" s="41"/>
      <c r="H483" s="41"/>
      <c r="I483" s="41"/>
      <c r="J483" s="42"/>
      <c r="K483" s="41"/>
      <c r="L483" s="41"/>
      <c r="M483" s="127"/>
      <c r="N483" s="41"/>
      <c r="O483" s="41"/>
      <c r="P483" s="41"/>
      <c r="Q483" s="42"/>
      <c r="R483" s="35"/>
      <c r="S483" s="35"/>
      <c r="T483" s="35"/>
      <c r="U483" s="35"/>
      <c r="V483" s="121"/>
      <c r="W483" s="42"/>
      <c r="X483" s="42"/>
      <c r="Y483" s="42"/>
      <c r="Z483" s="42"/>
      <c r="AA483" s="42"/>
      <c r="AB483" s="42"/>
      <c r="AC483" s="42"/>
      <c r="AD483" s="42"/>
      <c r="AE483" s="42"/>
      <c r="AF483" s="42"/>
      <c r="AG483" s="42"/>
      <c r="AH483" s="42"/>
      <c r="AI483" s="42"/>
      <c r="AJ483" s="42"/>
      <c r="AK483" s="42"/>
      <c r="AL483" s="42"/>
      <c r="AM483" s="42"/>
    </row>
    <row r="484" spans="1:39" x14ac:dyDescent="0.25">
      <c r="A484" s="38" t="s">
        <v>835</v>
      </c>
      <c r="B484" s="42"/>
      <c r="C484" s="42"/>
      <c r="D484" s="42"/>
      <c r="E484" s="41"/>
      <c r="F484" s="41"/>
      <c r="G484" s="41"/>
      <c r="H484" s="41"/>
      <c r="I484" s="41"/>
      <c r="J484" s="42"/>
      <c r="K484" s="41"/>
      <c r="L484" s="41"/>
      <c r="M484" s="127"/>
      <c r="N484" s="41"/>
      <c r="O484" s="41"/>
      <c r="P484" s="41"/>
      <c r="Q484" s="42"/>
      <c r="R484" s="35"/>
      <c r="S484" s="35"/>
      <c r="T484" s="35"/>
      <c r="U484" s="35"/>
      <c r="V484" s="121"/>
      <c r="W484" s="42"/>
      <c r="X484" s="42"/>
      <c r="Y484" s="42"/>
      <c r="Z484" s="42"/>
      <c r="AA484" s="42"/>
      <c r="AB484" s="42"/>
      <c r="AC484" s="42"/>
      <c r="AD484" s="42"/>
      <c r="AE484" s="42"/>
      <c r="AF484" s="42"/>
      <c r="AG484" s="42"/>
      <c r="AH484" s="42"/>
      <c r="AI484" s="42"/>
      <c r="AJ484" s="42"/>
      <c r="AK484" s="42"/>
      <c r="AL484" s="42"/>
      <c r="AM484" s="42"/>
    </row>
    <row r="485" spans="1:39" x14ac:dyDescent="0.25">
      <c r="A485" s="38" t="s">
        <v>836</v>
      </c>
      <c r="B485" s="42"/>
      <c r="C485" s="42"/>
      <c r="D485" s="42"/>
      <c r="E485" s="41"/>
      <c r="F485" s="41"/>
      <c r="G485" s="41"/>
      <c r="H485" s="41"/>
      <c r="I485" s="41"/>
      <c r="J485" s="42"/>
      <c r="K485" s="41"/>
      <c r="L485" s="41"/>
      <c r="M485" s="127"/>
      <c r="N485" s="41"/>
      <c r="O485" s="41"/>
      <c r="P485" s="41"/>
      <c r="Q485" s="42"/>
      <c r="R485" s="35"/>
      <c r="S485" s="35"/>
      <c r="T485" s="35"/>
      <c r="U485" s="35"/>
      <c r="V485" s="121"/>
      <c r="W485" s="42"/>
      <c r="X485" s="42"/>
      <c r="Y485" s="42"/>
      <c r="Z485" s="42"/>
      <c r="AA485" s="42"/>
      <c r="AB485" s="42"/>
      <c r="AC485" s="42"/>
      <c r="AD485" s="42"/>
      <c r="AE485" s="42"/>
      <c r="AF485" s="42"/>
      <c r="AG485" s="42"/>
      <c r="AH485" s="42"/>
      <c r="AI485" s="42"/>
      <c r="AJ485" s="42"/>
      <c r="AK485" s="42"/>
      <c r="AL485" s="42"/>
      <c r="AM485" s="42"/>
    </row>
    <row r="486" spans="1:39" x14ac:dyDescent="0.25">
      <c r="A486" s="38" t="s">
        <v>837</v>
      </c>
      <c r="B486" s="42"/>
      <c r="C486" s="42"/>
      <c r="D486" s="42"/>
      <c r="E486" s="41"/>
      <c r="F486" s="41"/>
      <c r="G486" s="41"/>
      <c r="H486" s="41"/>
      <c r="I486" s="41"/>
      <c r="J486" s="42"/>
      <c r="K486" s="41"/>
      <c r="L486" s="41"/>
      <c r="M486" s="127"/>
      <c r="N486" s="41"/>
      <c r="O486" s="41"/>
      <c r="P486" s="41"/>
      <c r="Q486" s="42"/>
      <c r="R486" s="35"/>
      <c r="S486" s="35"/>
      <c r="T486" s="35"/>
      <c r="U486" s="35"/>
      <c r="V486" s="121"/>
      <c r="W486" s="42"/>
      <c r="X486" s="42"/>
      <c r="Y486" s="42"/>
      <c r="Z486" s="42"/>
      <c r="AA486" s="42"/>
      <c r="AB486" s="42"/>
      <c r="AC486" s="42"/>
      <c r="AD486" s="42"/>
      <c r="AE486" s="42"/>
      <c r="AF486" s="42"/>
      <c r="AG486" s="42"/>
      <c r="AH486" s="42"/>
      <c r="AI486" s="42"/>
      <c r="AJ486" s="42"/>
      <c r="AK486" s="42"/>
      <c r="AL486" s="42"/>
      <c r="AM486" s="42"/>
    </row>
    <row r="487" spans="1:39" x14ac:dyDescent="0.25">
      <c r="A487" s="38" t="s">
        <v>838</v>
      </c>
      <c r="B487" s="42"/>
      <c r="C487" s="42"/>
      <c r="D487" s="42"/>
      <c r="E487" s="41"/>
      <c r="F487" s="41"/>
      <c r="G487" s="41"/>
      <c r="H487" s="41"/>
      <c r="I487" s="41"/>
      <c r="J487" s="42"/>
      <c r="K487" s="41"/>
      <c r="L487" s="41"/>
      <c r="M487" s="127"/>
      <c r="N487" s="41"/>
      <c r="O487" s="41"/>
      <c r="P487" s="41"/>
      <c r="Q487" s="42"/>
      <c r="R487" s="35"/>
      <c r="S487" s="35"/>
      <c r="T487" s="35"/>
      <c r="U487" s="35"/>
      <c r="V487" s="121"/>
      <c r="W487" s="42"/>
      <c r="X487" s="42"/>
      <c r="Y487" s="42"/>
      <c r="Z487" s="42"/>
      <c r="AA487" s="42"/>
      <c r="AB487" s="42"/>
      <c r="AC487" s="42"/>
      <c r="AD487" s="42"/>
      <c r="AE487" s="42"/>
      <c r="AF487" s="42"/>
      <c r="AG487" s="42"/>
      <c r="AH487" s="42"/>
      <c r="AI487" s="42"/>
      <c r="AJ487" s="42"/>
      <c r="AK487" s="42"/>
      <c r="AL487" s="42"/>
      <c r="AM487" s="42"/>
    </row>
    <row r="488" spans="1:39" x14ac:dyDescent="0.25">
      <c r="A488" s="38" t="s">
        <v>839</v>
      </c>
      <c r="B488" s="42"/>
      <c r="C488" s="42"/>
      <c r="D488" s="42"/>
      <c r="E488" s="41"/>
      <c r="F488" s="41"/>
      <c r="G488" s="41"/>
      <c r="H488" s="41"/>
      <c r="I488" s="41"/>
      <c r="J488" s="42"/>
      <c r="K488" s="41"/>
      <c r="L488" s="41"/>
      <c r="M488" s="127"/>
      <c r="N488" s="41"/>
      <c r="O488" s="41"/>
      <c r="P488" s="41"/>
      <c r="Q488" s="42"/>
      <c r="R488" s="35"/>
      <c r="S488" s="35"/>
      <c r="T488" s="35"/>
      <c r="U488" s="35"/>
      <c r="V488" s="121"/>
      <c r="W488" s="42"/>
      <c r="X488" s="42"/>
      <c r="Y488" s="42"/>
      <c r="Z488" s="42"/>
      <c r="AA488" s="42"/>
      <c r="AB488" s="42"/>
      <c r="AC488" s="42"/>
      <c r="AD488" s="42"/>
      <c r="AE488" s="42"/>
      <c r="AF488" s="42"/>
      <c r="AG488" s="42"/>
      <c r="AH488" s="42"/>
      <c r="AI488" s="42"/>
      <c r="AJ488" s="42"/>
      <c r="AK488" s="42"/>
      <c r="AL488" s="42"/>
      <c r="AM488" s="42"/>
    </row>
    <row r="489" spans="1:39" x14ac:dyDescent="0.25">
      <c r="A489" s="38" t="s">
        <v>840</v>
      </c>
      <c r="B489" s="42"/>
      <c r="C489" s="42"/>
      <c r="D489" s="42"/>
      <c r="E489" s="41"/>
      <c r="F489" s="41"/>
      <c r="G489" s="41"/>
      <c r="H489" s="41"/>
      <c r="I489" s="41"/>
      <c r="J489" s="42"/>
      <c r="K489" s="41"/>
      <c r="L489" s="41"/>
      <c r="M489" s="127"/>
      <c r="N489" s="41"/>
      <c r="O489" s="41"/>
      <c r="P489" s="41"/>
      <c r="Q489" s="42"/>
      <c r="R489" s="35"/>
      <c r="S489" s="35"/>
      <c r="T489" s="35"/>
      <c r="U489" s="35"/>
      <c r="V489" s="121"/>
      <c r="W489" s="42"/>
      <c r="X489" s="42"/>
      <c r="Y489" s="42"/>
      <c r="Z489" s="42"/>
      <c r="AA489" s="42"/>
      <c r="AB489" s="42"/>
      <c r="AC489" s="42"/>
      <c r="AD489" s="42"/>
      <c r="AE489" s="42"/>
      <c r="AF489" s="42"/>
      <c r="AG489" s="42"/>
      <c r="AH489" s="42"/>
      <c r="AI489" s="42"/>
      <c r="AJ489" s="42"/>
      <c r="AK489" s="42"/>
      <c r="AL489" s="42"/>
      <c r="AM489" s="42"/>
    </row>
    <row r="490" spans="1:39" x14ac:dyDescent="0.25">
      <c r="A490" s="38" t="s">
        <v>841</v>
      </c>
      <c r="B490" s="42"/>
      <c r="C490" s="42"/>
      <c r="D490" s="42"/>
      <c r="E490" s="41"/>
      <c r="F490" s="41"/>
      <c r="G490" s="41"/>
      <c r="H490" s="41"/>
      <c r="I490" s="41"/>
      <c r="J490" s="42"/>
      <c r="K490" s="41"/>
      <c r="L490" s="41"/>
      <c r="M490" s="127"/>
      <c r="N490" s="41"/>
      <c r="O490" s="41"/>
      <c r="P490" s="41"/>
      <c r="Q490" s="42"/>
      <c r="R490" s="35"/>
      <c r="S490" s="35"/>
      <c r="T490" s="35"/>
      <c r="U490" s="35"/>
      <c r="V490" s="121"/>
      <c r="W490" s="42"/>
      <c r="X490" s="42"/>
      <c r="Y490" s="42"/>
      <c r="Z490" s="42"/>
      <c r="AA490" s="42"/>
      <c r="AB490" s="42"/>
      <c r="AC490" s="42"/>
      <c r="AD490" s="42"/>
      <c r="AE490" s="42"/>
      <c r="AF490" s="42"/>
      <c r="AG490" s="42"/>
      <c r="AH490" s="42"/>
      <c r="AI490" s="42"/>
      <c r="AJ490" s="42"/>
      <c r="AK490" s="42"/>
      <c r="AL490" s="42"/>
      <c r="AM490" s="42"/>
    </row>
    <row r="491" spans="1:39" x14ac:dyDescent="0.25">
      <c r="A491" s="38" t="s">
        <v>842</v>
      </c>
      <c r="B491" s="42"/>
      <c r="C491" s="42"/>
      <c r="D491" s="42"/>
      <c r="E491" s="41"/>
      <c r="F491" s="41"/>
      <c r="G491" s="41"/>
      <c r="H491" s="41"/>
      <c r="I491" s="41"/>
      <c r="J491" s="42"/>
      <c r="K491" s="41"/>
      <c r="L491" s="41"/>
      <c r="M491" s="127"/>
      <c r="N491" s="41"/>
      <c r="O491" s="41"/>
      <c r="P491" s="41"/>
      <c r="Q491" s="42"/>
      <c r="R491" s="35"/>
      <c r="S491" s="35"/>
      <c r="T491" s="35"/>
      <c r="U491" s="35"/>
      <c r="V491" s="121"/>
      <c r="W491" s="42"/>
      <c r="X491" s="42"/>
      <c r="Y491" s="42"/>
      <c r="Z491" s="42"/>
      <c r="AA491" s="42"/>
      <c r="AB491" s="42"/>
      <c r="AC491" s="42"/>
      <c r="AD491" s="42"/>
      <c r="AE491" s="42"/>
      <c r="AF491" s="42"/>
      <c r="AG491" s="42"/>
      <c r="AH491" s="42"/>
      <c r="AI491" s="42"/>
      <c r="AJ491" s="42"/>
      <c r="AK491" s="42"/>
      <c r="AL491" s="42"/>
      <c r="AM491" s="42"/>
    </row>
    <row r="492" spans="1:39" x14ac:dyDescent="0.25">
      <c r="A492" s="38" t="s">
        <v>843</v>
      </c>
      <c r="B492" s="42"/>
      <c r="C492" s="42"/>
      <c r="D492" s="42"/>
      <c r="E492" s="41"/>
      <c r="F492" s="41"/>
      <c r="G492" s="41"/>
      <c r="H492" s="41"/>
      <c r="I492" s="41"/>
      <c r="J492" s="42"/>
      <c r="K492" s="41"/>
      <c r="L492" s="41"/>
      <c r="M492" s="127"/>
      <c r="N492" s="41"/>
      <c r="O492" s="41"/>
      <c r="P492" s="41"/>
      <c r="Q492" s="42"/>
      <c r="R492" s="35"/>
      <c r="S492" s="35"/>
      <c r="T492" s="35"/>
      <c r="U492" s="35"/>
      <c r="V492" s="121"/>
      <c r="W492" s="42"/>
      <c r="X492" s="42"/>
      <c r="Y492" s="42"/>
      <c r="Z492" s="42"/>
      <c r="AA492" s="42"/>
      <c r="AB492" s="42"/>
      <c r="AC492" s="42"/>
      <c r="AD492" s="42"/>
      <c r="AE492" s="42"/>
      <c r="AF492" s="42"/>
      <c r="AG492" s="42"/>
      <c r="AH492" s="42"/>
      <c r="AI492" s="42"/>
      <c r="AJ492" s="42"/>
      <c r="AK492" s="42"/>
      <c r="AL492" s="42"/>
      <c r="AM492" s="42"/>
    </row>
    <row r="493" spans="1:39" x14ac:dyDescent="0.25">
      <c r="A493" s="38" t="s">
        <v>844</v>
      </c>
      <c r="B493" s="42"/>
      <c r="C493" s="42"/>
      <c r="D493" s="42"/>
      <c r="E493" s="41"/>
      <c r="F493" s="41"/>
      <c r="G493" s="41"/>
      <c r="H493" s="41"/>
      <c r="I493" s="41"/>
      <c r="J493" s="42"/>
      <c r="K493" s="41"/>
      <c r="L493" s="41"/>
      <c r="M493" s="127"/>
      <c r="N493" s="41"/>
      <c r="O493" s="41"/>
      <c r="P493" s="41"/>
      <c r="Q493" s="42"/>
      <c r="R493" s="35"/>
      <c r="S493" s="35"/>
      <c r="T493" s="35"/>
      <c r="U493" s="35"/>
      <c r="V493" s="121"/>
      <c r="W493" s="42"/>
      <c r="X493" s="42"/>
      <c r="Y493" s="42"/>
      <c r="Z493" s="42"/>
      <c r="AA493" s="42"/>
      <c r="AB493" s="42"/>
      <c r="AC493" s="42"/>
      <c r="AD493" s="42"/>
      <c r="AE493" s="42"/>
      <c r="AF493" s="42"/>
      <c r="AG493" s="42"/>
      <c r="AH493" s="42"/>
      <c r="AI493" s="42"/>
      <c r="AJ493" s="42"/>
      <c r="AK493" s="42"/>
      <c r="AL493" s="42"/>
      <c r="AM493" s="42"/>
    </row>
    <row r="494" spans="1:39" x14ac:dyDescent="0.25">
      <c r="A494" s="38" t="s">
        <v>845</v>
      </c>
      <c r="B494" s="42"/>
      <c r="C494" s="42"/>
      <c r="D494" s="42"/>
      <c r="E494" s="41"/>
      <c r="F494" s="41"/>
      <c r="G494" s="41"/>
      <c r="H494" s="41"/>
      <c r="I494" s="41"/>
      <c r="J494" s="42"/>
      <c r="K494" s="41"/>
      <c r="L494" s="41"/>
      <c r="M494" s="127"/>
      <c r="N494" s="41"/>
      <c r="O494" s="41"/>
      <c r="P494" s="41"/>
      <c r="Q494" s="42"/>
      <c r="R494" s="35"/>
      <c r="S494" s="35"/>
      <c r="T494" s="35"/>
      <c r="U494" s="35"/>
      <c r="V494" s="121"/>
      <c r="W494" s="42"/>
      <c r="X494" s="42"/>
      <c r="Y494" s="42"/>
      <c r="Z494" s="42"/>
      <c r="AA494" s="42"/>
      <c r="AB494" s="42"/>
      <c r="AC494" s="42"/>
      <c r="AD494" s="42"/>
      <c r="AE494" s="42"/>
      <c r="AF494" s="42"/>
      <c r="AG494" s="42"/>
      <c r="AH494" s="42"/>
      <c r="AI494" s="42"/>
      <c r="AJ494" s="42"/>
      <c r="AK494" s="42"/>
      <c r="AL494" s="42"/>
      <c r="AM494" s="42"/>
    </row>
    <row r="495" spans="1:39" x14ac:dyDescent="0.25">
      <c r="A495" s="38" t="s">
        <v>846</v>
      </c>
      <c r="B495" s="42"/>
      <c r="C495" s="42"/>
      <c r="D495" s="42"/>
      <c r="E495" s="41"/>
      <c r="F495" s="41"/>
      <c r="G495" s="41"/>
      <c r="H495" s="41"/>
      <c r="I495" s="41"/>
      <c r="J495" s="42"/>
      <c r="K495" s="41"/>
      <c r="L495" s="41"/>
      <c r="M495" s="127"/>
      <c r="N495" s="41"/>
      <c r="O495" s="41"/>
      <c r="P495" s="41"/>
      <c r="Q495" s="42"/>
      <c r="R495" s="35"/>
      <c r="S495" s="35"/>
      <c r="T495" s="35"/>
      <c r="U495" s="35"/>
      <c r="V495" s="121"/>
      <c r="W495" s="42"/>
      <c r="X495" s="42"/>
      <c r="Y495" s="42"/>
      <c r="Z495" s="42"/>
      <c r="AA495" s="42"/>
      <c r="AB495" s="42"/>
      <c r="AC495" s="42"/>
      <c r="AD495" s="42"/>
      <c r="AE495" s="42"/>
      <c r="AF495" s="42"/>
      <c r="AG495" s="42"/>
      <c r="AH495" s="42"/>
      <c r="AI495" s="42"/>
      <c r="AJ495" s="42"/>
      <c r="AK495" s="42"/>
      <c r="AL495" s="42"/>
      <c r="AM495" s="42"/>
    </row>
    <row r="496" spans="1:39" x14ac:dyDescent="0.25">
      <c r="A496" s="38" t="s">
        <v>847</v>
      </c>
      <c r="B496" s="42"/>
      <c r="C496" s="42"/>
      <c r="D496" s="42"/>
      <c r="E496" s="41"/>
      <c r="F496" s="41"/>
      <c r="G496" s="41"/>
      <c r="H496" s="41"/>
      <c r="I496" s="41"/>
      <c r="J496" s="42"/>
      <c r="K496" s="41"/>
      <c r="L496" s="41"/>
      <c r="M496" s="127"/>
      <c r="N496" s="41"/>
      <c r="O496" s="41"/>
      <c r="P496" s="41"/>
      <c r="Q496" s="42"/>
      <c r="R496" s="35"/>
      <c r="S496" s="35"/>
      <c r="T496" s="35"/>
      <c r="U496" s="35"/>
      <c r="V496" s="121"/>
      <c r="W496" s="42"/>
      <c r="X496" s="42"/>
      <c r="Y496" s="42"/>
      <c r="Z496" s="42"/>
      <c r="AA496" s="42"/>
      <c r="AB496" s="42"/>
      <c r="AC496" s="42"/>
      <c r="AD496" s="42"/>
      <c r="AE496" s="42"/>
      <c r="AF496" s="42"/>
      <c r="AG496" s="42"/>
      <c r="AH496" s="42"/>
      <c r="AI496" s="42"/>
      <c r="AJ496" s="42"/>
      <c r="AK496" s="42"/>
      <c r="AL496" s="42"/>
      <c r="AM496" s="42"/>
    </row>
    <row r="497" spans="1:39" x14ac:dyDescent="0.25">
      <c r="A497" s="38" t="s">
        <v>848</v>
      </c>
      <c r="B497" s="42"/>
      <c r="C497" s="42"/>
      <c r="D497" s="42"/>
      <c r="E497" s="41"/>
      <c r="F497" s="41"/>
      <c r="G497" s="41"/>
      <c r="H497" s="41"/>
      <c r="I497" s="41"/>
      <c r="J497" s="42"/>
      <c r="K497" s="41"/>
      <c r="L497" s="41"/>
      <c r="M497" s="127"/>
      <c r="N497" s="41"/>
      <c r="O497" s="41"/>
      <c r="P497" s="41"/>
      <c r="Q497" s="42"/>
      <c r="R497" s="35"/>
      <c r="S497" s="35"/>
      <c r="T497" s="35"/>
      <c r="U497" s="35"/>
      <c r="V497" s="121"/>
      <c r="W497" s="42"/>
      <c r="X497" s="42"/>
      <c r="Y497" s="42"/>
      <c r="Z497" s="42"/>
      <c r="AA497" s="42"/>
      <c r="AB497" s="42"/>
      <c r="AC497" s="42"/>
      <c r="AD497" s="42"/>
      <c r="AE497" s="42"/>
      <c r="AF497" s="42"/>
      <c r="AG497" s="42"/>
      <c r="AH497" s="42"/>
      <c r="AI497" s="42"/>
      <c r="AJ497" s="42"/>
      <c r="AK497" s="42"/>
      <c r="AL497" s="42"/>
      <c r="AM497" s="42"/>
    </row>
    <row r="498" spans="1:39" x14ac:dyDescent="0.25">
      <c r="A498" s="38" t="s">
        <v>849</v>
      </c>
      <c r="B498" s="42"/>
      <c r="C498" s="42"/>
      <c r="D498" s="42"/>
      <c r="E498" s="41"/>
      <c r="F498" s="41"/>
      <c r="G498" s="41"/>
      <c r="H498" s="41"/>
      <c r="I498" s="41"/>
      <c r="J498" s="42"/>
      <c r="K498" s="41"/>
      <c r="L498" s="41"/>
      <c r="M498" s="127"/>
      <c r="N498" s="41"/>
      <c r="O498" s="41"/>
      <c r="P498" s="41"/>
      <c r="Q498" s="42"/>
      <c r="R498" s="35"/>
      <c r="S498" s="35"/>
      <c r="T498" s="35"/>
      <c r="U498" s="35"/>
      <c r="V498" s="121"/>
      <c r="W498" s="42"/>
      <c r="X498" s="42"/>
      <c r="Y498" s="42"/>
      <c r="Z498" s="42"/>
      <c r="AA498" s="42"/>
      <c r="AB498" s="42"/>
      <c r="AC498" s="42"/>
      <c r="AD498" s="42"/>
      <c r="AE498" s="42"/>
      <c r="AF498" s="42"/>
      <c r="AG498" s="42"/>
      <c r="AH498" s="42"/>
      <c r="AI498" s="42"/>
      <c r="AJ498" s="42"/>
      <c r="AK498" s="42"/>
      <c r="AL498" s="42"/>
      <c r="AM498" s="42"/>
    </row>
    <row r="499" spans="1:39" x14ac:dyDescent="0.25">
      <c r="A499" s="38" t="s">
        <v>850</v>
      </c>
      <c r="B499" s="42"/>
      <c r="C499" s="42"/>
      <c r="D499" s="42"/>
      <c r="E499" s="41"/>
      <c r="F499" s="41"/>
      <c r="G499" s="41"/>
      <c r="H499" s="41"/>
      <c r="I499" s="41"/>
      <c r="J499" s="42"/>
      <c r="K499" s="41"/>
      <c r="L499" s="41"/>
      <c r="M499" s="127"/>
      <c r="N499" s="41"/>
      <c r="O499" s="41"/>
      <c r="P499" s="41"/>
      <c r="Q499" s="42"/>
      <c r="R499" s="35"/>
      <c r="S499" s="35"/>
      <c r="T499" s="35"/>
      <c r="U499" s="35"/>
      <c r="V499" s="121"/>
      <c r="W499" s="42"/>
      <c r="X499" s="42"/>
      <c r="Y499" s="42"/>
      <c r="Z499" s="42"/>
      <c r="AA499" s="42"/>
      <c r="AB499" s="42"/>
      <c r="AC499" s="42"/>
      <c r="AD499" s="42"/>
      <c r="AE499" s="42"/>
      <c r="AF499" s="42"/>
      <c r="AG499" s="42"/>
      <c r="AH499" s="42"/>
      <c r="AI499" s="42"/>
      <c r="AJ499" s="42"/>
      <c r="AK499" s="42"/>
      <c r="AL499" s="42"/>
      <c r="AM499" s="42"/>
    </row>
    <row r="500" spans="1:39" x14ac:dyDescent="0.25">
      <c r="A500" s="38" t="s">
        <v>851</v>
      </c>
      <c r="B500" s="42"/>
      <c r="C500" s="42"/>
      <c r="D500" s="42"/>
      <c r="E500" s="41"/>
      <c r="F500" s="41"/>
      <c r="G500" s="41"/>
      <c r="H500" s="41"/>
      <c r="I500" s="41"/>
      <c r="J500" s="42"/>
      <c r="K500" s="41"/>
      <c r="L500" s="41"/>
      <c r="M500" s="127"/>
      <c r="N500" s="41"/>
      <c r="O500" s="41"/>
      <c r="P500" s="41"/>
      <c r="Q500" s="42"/>
      <c r="R500" s="35"/>
      <c r="S500" s="35"/>
      <c r="T500" s="35"/>
      <c r="U500" s="35"/>
      <c r="V500" s="121"/>
      <c r="W500" s="42"/>
      <c r="X500" s="42"/>
      <c r="Y500" s="42"/>
      <c r="Z500" s="42"/>
      <c r="AA500" s="42"/>
      <c r="AB500" s="42"/>
      <c r="AC500" s="42"/>
      <c r="AD500" s="42"/>
      <c r="AE500" s="42"/>
      <c r="AF500" s="42"/>
      <c r="AG500" s="42"/>
      <c r="AH500" s="42"/>
      <c r="AI500" s="42"/>
      <c r="AJ500" s="42"/>
      <c r="AK500" s="42"/>
      <c r="AL500" s="42"/>
      <c r="AM500" s="42"/>
    </row>
    <row r="501" spans="1:39" x14ac:dyDescent="0.25">
      <c r="A501" s="38" t="s">
        <v>852</v>
      </c>
      <c r="B501" s="42"/>
      <c r="C501" s="42"/>
      <c r="D501" s="42"/>
      <c r="E501" s="41"/>
      <c r="F501" s="41"/>
      <c r="G501" s="41"/>
      <c r="H501" s="41"/>
      <c r="I501" s="41"/>
      <c r="J501" s="42"/>
      <c r="K501" s="41"/>
      <c r="L501" s="41"/>
      <c r="M501" s="127"/>
      <c r="N501" s="41"/>
      <c r="O501" s="41"/>
      <c r="P501" s="41"/>
      <c r="Q501" s="42"/>
      <c r="R501" s="35"/>
      <c r="S501" s="35"/>
      <c r="T501" s="35"/>
      <c r="U501" s="35"/>
      <c r="V501" s="121"/>
      <c r="W501" s="42"/>
      <c r="X501" s="42"/>
      <c r="Y501" s="42"/>
      <c r="Z501" s="42"/>
      <c r="AA501" s="42"/>
      <c r="AB501" s="42"/>
      <c r="AC501" s="42"/>
      <c r="AD501" s="42"/>
      <c r="AE501" s="42"/>
      <c r="AF501" s="42"/>
      <c r="AG501" s="42"/>
      <c r="AH501" s="42"/>
      <c r="AI501" s="42"/>
      <c r="AJ501" s="42"/>
      <c r="AK501" s="42"/>
      <c r="AL501" s="42"/>
      <c r="AM501" s="42"/>
    </row>
    <row r="502" spans="1:39" x14ac:dyDescent="0.25">
      <c r="A502" s="38" t="s">
        <v>853</v>
      </c>
      <c r="B502" s="42"/>
      <c r="C502" s="42"/>
      <c r="D502" s="42"/>
      <c r="E502" s="41"/>
      <c r="F502" s="41"/>
      <c r="G502" s="41"/>
      <c r="H502" s="41"/>
      <c r="I502" s="41"/>
      <c r="J502" s="42"/>
      <c r="K502" s="41"/>
      <c r="L502" s="41"/>
      <c r="M502" s="127"/>
      <c r="N502" s="41"/>
      <c r="O502" s="41"/>
      <c r="P502" s="41"/>
      <c r="Q502" s="42"/>
      <c r="R502" s="35"/>
      <c r="S502" s="35"/>
      <c r="T502" s="35"/>
      <c r="U502" s="35"/>
      <c r="V502" s="121"/>
      <c r="W502" s="42"/>
      <c r="X502" s="42"/>
      <c r="Y502" s="42"/>
      <c r="Z502" s="42"/>
      <c r="AA502" s="42"/>
      <c r="AB502" s="42"/>
      <c r="AC502" s="42"/>
      <c r="AD502" s="42"/>
      <c r="AE502" s="42"/>
      <c r="AF502" s="42"/>
      <c r="AG502" s="42"/>
      <c r="AH502" s="42"/>
      <c r="AI502" s="42"/>
      <c r="AJ502" s="42"/>
      <c r="AK502" s="42"/>
      <c r="AL502" s="42"/>
      <c r="AM502" s="42"/>
    </row>
    <row r="503" spans="1:39" x14ac:dyDescent="0.25">
      <c r="A503" s="38" t="s">
        <v>854</v>
      </c>
      <c r="B503" s="42"/>
      <c r="C503" s="42"/>
      <c r="D503" s="42"/>
      <c r="E503" s="41"/>
      <c r="F503" s="41"/>
      <c r="G503" s="41"/>
      <c r="H503" s="41"/>
      <c r="I503" s="41"/>
      <c r="J503" s="42"/>
      <c r="K503" s="41"/>
      <c r="L503" s="41"/>
      <c r="M503" s="127"/>
      <c r="N503" s="41"/>
      <c r="O503" s="41"/>
      <c r="P503" s="41"/>
      <c r="Q503" s="42"/>
      <c r="R503" s="35"/>
      <c r="S503" s="35"/>
      <c r="T503" s="35"/>
      <c r="U503" s="35"/>
      <c r="V503" s="121"/>
      <c r="W503" s="42"/>
      <c r="X503" s="42"/>
      <c r="Y503" s="42"/>
      <c r="Z503" s="42"/>
      <c r="AA503" s="42"/>
      <c r="AB503" s="42"/>
      <c r="AC503" s="42"/>
      <c r="AD503" s="42"/>
      <c r="AE503" s="42"/>
      <c r="AF503" s="42"/>
      <c r="AG503" s="42"/>
      <c r="AH503" s="42"/>
      <c r="AI503" s="42"/>
      <c r="AJ503" s="42"/>
      <c r="AK503" s="42"/>
      <c r="AL503" s="42"/>
      <c r="AM503" s="42"/>
    </row>
    <row r="504" spans="1:39" x14ac:dyDescent="0.25">
      <c r="A504" s="38" t="s">
        <v>855</v>
      </c>
      <c r="B504" s="42"/>
      <c r="C504" s="42"/>
      <c r="D504" s="42"/>
      <c r="E504" s="41"/>
      <c r="F504" s="41"/>
      <c r="G504" s="41"/>
      <c r="H504" s="41"/>
      <c r="I504" s="41"/>
      <c r="J504" s="42"/>
      <c r="K504" s="41"/>
      <c r="L504" s="41"/>
      <c r="M504" s="127"/>
      <c r="N504" s="41"/>
      <c r="O504" s="41"/>
      <c r="P504" s="41"/>
      <c r="Q504" s="42"/>
      <c r="R504" s="35"/>
      <c r="S504" s="35"/>
      <c r="T504" s="35"/>
      <c r="U504" s="35"/>
      <c r="V504" s="121"/>
      <c r="W504" s="42"/>
      <c r="X504" s="42"/>
      <c r="Y504" s="42"/>
      <c r="Z504" s="42"/>
      <c r="AA504" s="42"/>
      <c r="AB504" s="42"/>
      <c r="AC504" s="42"/>
      <c r="AD504" s="42"/>
      <c r="AE504" s="42"/>
      <c r="AF504" s="42"/>
      <c r="AG504" s="42"/>
      <c r="AH504" s="42"/>
      <c r="AI504" s="42"/>
      <c r="AJ504" s="42"/>
      <c r="AK504" s="42"/>
      <c r="AL504" s="42"/>
      <c r="AM504" s="42"/>
    </row>
    <row r="505" spans="1:39" x14ac:dyDescent="0.25">
      <c r="A505" s="38" t="s">
        <v>856</v>
      </c>
      <c r="B505" s="42"/>
      <c r="C505" s="42"/>
      <c r="D505" s="42"/>
      <c r="E505" s="41"/>
      <c r="F505" s="41"/>
      <c r="G505" s="41"/>
      <c r="H505" s="41"/>
      <c r="I505" s="41"/>
      <c r="J505" s="42"/>
      <c r="K505" s="41"/>
      <c r="L505" s="41"/>
      <c r="M505" s="127"/>
      <c r="N505" s="41"/>
      <c r="O505" s="41"/>
      <c r="P505" s="41"/>
      <c r="Q505" s="42"/>
      <c r="R505" s="35"/>
      <c r="S505" s="35"/>
      <c r="T505" s="35"/>
      <c r="U505" s="35"/>
      <c r="V505" s="121"/>
      <c r="W505" s="42"/>
      <c r="X505" s="42"/>
      <c r="Y505" s="42"/>
      <c r="Z505" s="42"/>
      <c r="AA505" s="42"/>
      <c r="AB505" s="42"/>
      <c r="AC505" s="42"/>
      <c r="AD505" s="42"/>
      <c r="AE505" s="42"/>
      <c r="AF505" s="42"/>
      <c r="AG505" s="42"/>
      <c r="AH505" s="42"/>
      <c r="AI505" s="42"/>
      <c r="AJ505" s="42"/>
      <c r="AK505" s="42"/>
      <c r="AL505" s="42"/>
      <c r="AM505" s="42"/>
    </row>
    <row r="506" spans="1:39" x14ac:dyDescent="0.25">
      <c r="A506" s="38" t="s">
        <v>857</v>
      </c>
      <c r="B506" s="42"/>
      <c r="C506" s="42"/>
      <c r="D506" s="42"/>
      <c r="E506" s="41"/>
      <c r="F506" s="41"/>
      <c r="G506" s="41"/>
      <c r="H506" s="41"/>
      <c r="I506" s="41"/>
      <c r="J506" s="42"/>
      <c r="K506" s="41"/>
      <c r="L506" s="41"/>
      <c r="M506" s="127"/>
      <c r="N506" s="41"/>
      <c r="O506" s="41"/>
      <c r="P506" s="41"/>
      <c r="Q506" s="42"/>
      <c r="R506" s="35"/>
      <c r="S506" s="35"/>
      <c r="T506" s="35"/>
      <c r="U506" s="35"/>
      <c r="V506" s="121"/>
      <c r="W506" s="42"/>
      <c r="X506" s="42"/>
      <c r="Y506" s="42"/>
      <c r="Z506" s="42"/>
      <c r="AA506" s="42"/>
      <c r="AB506" s="42"/>
      <c r="AC506" s="42"/>
      <c r="AD506" s="42"/>
      <c r="AE506" s="42"/>
      <c r="AF506" s="42"/>
      <c r="AG506" s="42"/>
      <c r="AH506" s="42"/>
      <c r="AI506" s="42"/>
      <c r="AJ506" s="42"/>
      <c r="AK506" s="42"/>
      <c r="AL506" s="42"/>
      <c r="AM506" s="42"/>
    </row>
    <row r="507" spans="1:39" x14ac:dyDescent="0.25">
      <c r="A507" s="38" t="s">
        <v>858</v>
      </c>
      <c r="B507" s="42"/>
      <c r="C507" s="42"/>
      <c r="D507" s="42"/>
      <c r="E507" s="41"/>
      <c r="F507" s="41"/>
      <c r="G507" s="41"/>
      <c r="H507" s="41"/>
      <c r="I507" s="41"/>
      <c r="J507" s="42"/>
      <c r="K507" s="41"/>
      <c r="L507" s="41"/>
      <c r="M507" s="127"/>
      <c r="N507" s="41"/>
      <c r="O507" s="41"/>
      <c r="P507" s="41"/>
      <c r="Q507" s="42"/>
      <c r="R507" s="35"/>
      <c r="S507" s="35"/>
      <c r="T507" s="35"/>
      <c r="U507" s="35"/>
      <c r="V507" s="121"/>
      <c r="W507" s="42"/>
      <c r="X507" s="42"/>
      <c r="Y507" s="42"/>
      <c r="Z507" s="42"/>
      <c r="AA507" s="42"/>
      <c r="AB507" s="42"/>
      <c r="AC507" s="42"/>
      <c r="AD507" s="42"/>
      <c r="AE507" s="42"/>
      <c r="AF507" s="42"/>
      <c r="AG507" s="42"/>
      <c r="AH507" s="42"/>
      <c r="AI507" s="42"/>
      <c r="AJ507" s="42"/>
      <c r="AK507" s="42"/>
      <c r="AL507" s="42"/>
      <c r="AM507" s="42"/>
    </row>
    <row r="508" spans="1:39" x14ac:dyDescent="0.25">
      <c r="A508" s="38" t="s">
        <v>859</v>
      </c>
      <c r="B508" s="42"/>
      <c r="C508" s="42"/>
      <c r="D508" s="42"/>
      <c r="E508" s="41"/>
      <c r="F508" s="41"/>
      <c r="G508" s="41"/>
      <c r="H508" s="41"/>
      <c r="I508" s="41"/>
      <c r="J508" s="42"/>
      <c r="K508" s="41"/>
      <c r="L508" s="41"/>
      <c r="M508" s="127"/>
      <c r="N508" s="41"/>
      <c r="O508" s="41"/>
      <c r="P508" s="41"/>
      <c r="Q508" s="42"/>
      <c r="R508" s="35"/>
      <c r="S508" s="35"/>
      <c r="T508" s="35"/>
      <c r="U508" s="35"/>
      <c r="V508" s="121"/>
      <c r="W508" s="42"/>
      <c r="X508" s="42"/>
      <c r="Y508" s="42"/>
      <c r="Z508" s="42"/>
      <c r="AA508" s="42"/>
      <c r="AB508" s="42"/>
      <c r="AC508" s="42"/>
      <c r="AD508" s="42"/>
      <c r="AE508" s="42"/>
      <c r="AF508" s="42"/>
      <c r="AG508" s="42"/>
      <c r="AH508" s="42"/>
      <c r="AI508" s="42"/>
      <c r="AJ508" s="42"/>
      <c r="AK508" s="42"/>
      <c r="AL508" s="42"/>
      <c r="AM508" s="42"/>
    </row>
    <row r="509" spans="1:39" x14ac:dyDescent="0.25">
      <c r="A509" s="38" t="s">
        <v>860</v>
      </c>
      <c r="B509" s="42"/>
      <c r="C509" s="42"/>
      <c r="D509" s="42"/>
      <c r="E509" s="41"/>
      <c r="F509" s="41"/>
      <c r="G509" s="41"/>
      <c r="H509" s="41"/>
      <c r="I509" s="41"/>
      <c r="J509" s="42"/>
      <c r="K509" s="41"/>
      <c r="L509" s="41"/>
      <c r="M509" s="127"/>
      <c r="N509" s="41"/>
      <c r="O509" s="41"/>
      <c r="P509" s="41"/>
      <c r="Q509" s="42"/>
      <c r="R509" s="35"/>
      <c r="S509" s="35"/>
      <c r="T509" s="35"/>
      <c r="U509" s="35"/>
      <c r="V509" s="121"/>
      <c r="W509" s="42"/>
      <c r="X509" s="42"/>
      <c r="Y509" s="42"/>
      <c r="Z509" s="42"/>
      <c r="AA509" s="42"/>
      <c r="AB509" s="42"/>
      <c r="AC509" s="42"/>
      <c r="AD509" s="42"/>
      <c r="AE509" s="42"/>
      <c r="AF509" s="42"/>
      <c r="AG509" s="42"/>
      <c r="AH509" s="42"/>
      <c r="AI509" s="42"/>
      <c r="AJ509" s="42"/>
      <c r="AK509" s="42"/>
      <c r="AL509" s="42"/>
      <c r="AM509" s="42"/>
    </row>
    <row r="510" spans="1:39" x14ac:dyDescent="0.25">
      <c r="A510" s="38" t="s">
        <v>861</v>
      </c>
      <c r="B510" s="42"/>
      <c r="C510" s="42"/>
      <c r="D510" s="42"/>
      <c r="E510" s="41"/>
      <c r="F510" s="41"/>
      <c r="G510" s="41"/>
      <c r="H510" s="41"/>
      <c r="I510" s="41"/>
      <c r="J510" s="42"/>
      <c r="K510" s="41"/>
      <c r="L510" s="41"/>
      <c r="M510" s="127"/>
      <c r="N510" s="41"/>
      <c r="O510" s="41"/>
      <c r="P510" s="41"/>
      <c r="Q510" s="42"/>
      <c r="R510" s="35"/>
      <c r="S510" s="35"/>
      <c r="T510" s="35"/>
      <c r="U510" s="35"/>
      <c r="V510" s="121"/>
      <c r="W510" s="42"/>
      <c r="X510" s="42"/>
      <c r="Y510" s="42"/>
      <c r="Z510" s="42"/>
      <c r="AA510" s="42"/>
      <c r="AB510" s="42"/>
      <c r="AC510" s="42"/>
      <c r="AD510" s="42"/>
      <c r="AE510" s="42"/>
      <c r="AF510" s="42"/>
      <c r="AG510" s="42"/>
      <c r="AH510" s="42"/>
      <c r="AI510" s="42"/>
      <c r="AJ510" s="42"/>
      <c r="AK510" s="42"/>
      <c r="AL510" s="42"/>
      <c r="AM510" s="42"/>
    </row>
    <row r="511" spans="1:39" x14ac:dyDescent="0.25">
      <c r="A511" s="38" t="s">
        <v>862</v>
      </c>
      <c r="B511" s="42"/>
      <c r="C511" s="42"/>
      <c r="D511" s="42"/>
      <c r="E511" s="41"/>
      <c r="F511" s="41"/>
      <c r="G511" s="41"/>
      <c r="H511" s="41"/>
      <c r="I511" s="41"/>
      <c r="J511" s="42"/>
      <c r="K511" s="41"/>
      <c r="L511" s="41"/>
      <c r="M511" s="127"/>
      <c r="N511" s="41"/>
      <c r="O511" s="41"/>
      <c r="P511" s="41"/>
      <c r="Q511" s="42"/>
      <c r="R511" s="35"/>
      <c r="S511" s="35"/>
      <c r="T511" s="35"/>
      <c r="U511" s="35"/>
      <c r="V511" s="121"/>
      <c r="W511" s="42"/>
      <c r="X511" s="42"/>
      <c r="Y511" s="42"/>
      <c r="Z511" s="42"/>
      <c r="AA511" s="42"/>
      <c r="AB511" s="42"/>
      <c r="AC511" s="42"/>
      <c r="AD511" s="42"/>
      <c r="AE511" s="42"/>
      <c r="AF511" s="42"/>
      <c r="AG511" s="42"/>
      <c r="AH511" s="42"/>
      <c r="AI511" s="42"/>
      <c r="AJ511" s="42"/>
      <c r="AK511" s="42"/>
      <c r="AL511" s="42"/>
      <c r="AM511" s="42"/>
    </row>
    <row r="512" spans="1:39" x14ac:dyDescent="0.25">
      <c r="A512" s="38" t="s">
        <v>863</v>
      </c>
      <c r="B512" s="42"/>
      <c r="C512" s="42"/>
      <c r="D512" s="42"/>
      <c r="E512" s="41"/>
      <c r="F512" s="41"/>
      <c r="G512" s="41"/>
      <c r="H512" s="41"/>
      <c r="I512" s="41"/>
      <c r="J512" s="42"/>
      <c r="K512" s="41"/>
      <c r="L512" s="41"/>
      <c r="M512" s="127"/>
      <c r="N512" s="41"/>
      <c r="O512" s="41"/>
      <c r="P512" s="41"/>
      <c r="Q512" s="42"/>
      <c r="R512" s="35"/>
      <c r="S512" s="35"/>
      <c r="T512" s="35"/>
      <c r="U512" s="35"/>
      <c r="V512" s="121"/>
      <c r="W512" s="42"/>
      <c r="X512" s="42"/>
      <c r="Y512" s="42"/>
      <c r="Z512" s="42"/>
      <c r="AA512" s="42"/>
      <c r="AB512" s="42"/>
      <c r="AC512" s="42"/>
      <c r="AD512" s="42"/>
      <c r="AE512" s="42"/>
      <c r="AF512" s="42"/>
      <c r="AG512" s="42"/>
      <c r="AH512" s="42"/>
      <c r="AI512" s="42"/>
      <c r="AJ512" s="42"/>
      <c r="AK512" s="42"/>
      <c r="AL512" s="42"/>
      <c r="AM512" s="42"/>
    </row>
    <row r="513" spans="1:39" x14ac:dyDescent="0.25">
      <c r="A513" s="38" t="s">
        <v>864</v>
      </c>
      <c r="B513" s="42"/>
      <c r="C513" s="42"/>
      <c r="D513" s="42"/>
      <c r="E513" s="41"/>
      <c r="F513" s="41"/>
      <c r="G513" s="41"/>
      <c r="H513" s="41"/>
      <c r="I513" s="41"/>
      <c r="J513" s="42"/>
      <c r="K513" s="41"/>
      <c r="L513" s="41"/>
      <c r="M513" s="127"/>
      <c r="N513" s="41"/>
      <c r="O513" s="41"/>
      <c r="P513" s="41"/>
      <c r="Q513" s="42"/>
      <c r="R513" s="35"/>
      <c r="S513" s="35"/>
      <c r="T513" s="35"/>
      <c r="U513" s="35"/>
      <c r="V513" s="121"/>
      <c r="W513" s="42"/>
      <c r="X513" s="42"/>
      <c r="Y513" s="42"/>
      <c r="Z513" s="42"/>
      <c r="AA513" s="42"/>
      <c r="AB513" s="42"/>
      <c r="AC513" s="42"/>
      <c r="AD513" s="42"/>
      <c r="AE513" s="42"/>
      <c r="AF513" s="42"/>
      <c r="AG513" s="42"/>
      <c r="AH513" s="42"/>
      <c r="AI513" s="42"/>
      <c r="AJ513" s="42"/>
      <c r="AK513" s="42"/>
      <c r="AL513" s="42"/>
      <c r="AM513" s="42"/>
    </row>
    <row r="514" spans="1:39" x14ac:dyDescent="0.25">
      <c r="A514" s="38" t="s">
        <v>865</v>
      </c>
      <c r="B514" s="42"/>
      <c r="C514" s="42"/>
      <c r="D514" s="42"/>
      <c r="E514" s="41"/>
      <c r="F514" s="41"/>
      <c r="G514" s="41"/>
      <c r="H514" s="41"/>
      <c r="I514" s="41"/>
      <c r="J514" s="42"/>
      <c r="K514" s="41"/>
      <c r="L514" s="41"/>
      <c r="M514" s="127"/>
      <c r="N514" s="41"/>
      <c r="O514" s="41"/>
      <c r="P514" s="41"/>
      <c r="Q514" s="42"/>
      <c r="R514" s="35"/>
      <c r="S514" s="35"/>
      <c r="T514" s="35"/>
      <c r="U514" s="35"/>
      <c r="V514" s="121"/>
      <c r="W514" s="42"/>
      <c r="X514" s="42"/>
      <c r="Y514" s="42"/>
      <c r="Z514" s="42"/>
      <c r="AA514" s="42"/>
      <c r="AB514" s="42"/>
      <c r="AC514" s="42"/>
      <c r="AD514" s="42"/>
      <c r="AE514" s="42"/>
      <c r="AF514" s="42"/>
      <c r="AG514" s="42"/>
      <c r="AH514" s="42"/>
      <c r="AI514" s="42"/>
      <c r="AJ514" s="42"/>
      <c r="AK514" s="42"/>
      <c r="AL514" s="42"/>
      <c r="AM514" s="42"/>
    </row>
    <row r="515" spans="1:39" x14ac:dyDescent="0.25">
      <c r="A515" s="38" t="s">
        <v>866</v>
      </c>
      <c r="B515" s="42"/>
      <c r="C515" s="42"/>
      <c r="D515" s="42"/>
      <c r="E515" s="41"/>
      <c r="F515" s="41"/>
      <c r="G515" s="41"/>
      <c r="H515" s="41"/>
      <c r="I515" s="41"/>
      <c r="J515" s="42"/>
      <c r="K515" s="41"/>
      <c r="L515" s="41"/>
      <c r="M515" s="127"/>
      <c r="N515" s="41"/>
      <c r="O515" s="41"/>
      <c r="P515" s="41"/>
      <c r="Q515" s="42"/>
      <c r="R515" s="35"/>
      <c r="S515" s="35"/>
      <c r="T515" s="35"/>
      <c r="U515" s="35"/>
      <c r="V515" s="121"/>
      <c r="W515" s="42"/>
      <c r="X515" s="42"/>
      <c r="Y515" s="42"/>
      <c r="Z515" s="42"/>
      <c r="AA515" s="42"/>
      <c r="AB515" s="42"/>
      <c r="AC515" s="42"/>
      <c r="AD515" s="42"/>
      <c r="AE515" s="42"/>
      <c r="AF515" s="42"/>
      <c r="AG515" s="42"/>
      <c r="AH515" s="42"/>
      <c r="AI515" s="42"/>
      <c r="AJ515" s="42"/>
      <c r="AK515" s="42"/>
      <c r="AL515" s="42"/>
      <c r="AM515" s="42"/>
    </row>
    <row r="516" spans="1:39" x14ac:dyDescent="0.25">
      <c r="A516" s="38" t="s">
        <v>867</v>
      </c>
      <c r="B516" s="42"/>
      <c r="C516" s="42"/>
      <c r="D516" s="42"/>
      <c r="E516" s="41"/>
      <c r="F516" s="41"/>
      <c r="G516" s="41"/>
      <c r="H516" s="41"/>
      <c r="I516" s="41"/>
      <c r="J516" s="42"/>
      <c r="K516" s="41"/>
      <c r="L516" s="41"/>
      <c r="M516" s="127"/>
      <c r="N516" s="41"/>
      <c r="O516" s="41"/>
      <c r="P516" s="41"/>
      <c r="Q516" s="42"/>
      <c r="R516" s="35"/>
      <c r="S516" s="35"/>
      <c r="T516" s="35"/>
      <c r="U516" s="35"/>
      <c r="V516" s="121"/>
      <c r="W516" s="42"/>
      <c r="X516" s="42"/>
      <c r="Y516" s="42"/>
      <c r="Z516" s="42"/>
      <c r="AA516" s="42"/>
      <c r="AB516" s="42"/>
      <c r="AC516" s="42"/>
      <c r="AD516" s="42"/>
      <c r="AE516" s="42"/>
      <c r="AF516" s="42"/>
      <c r="AG516" s="42"/>
      <c r="AH516" s="42"/>
      <c r="AI516" s="42"/>
      <c r="AJ516" s="42"/>
      <c r="AK516" s="42"/>
      <c r="AL516" s="42"/>
      <c r="AM516" s="42"/>
    </row>
    <row r="517" spans="1:39" x14ac:dyDescent="0.25">
      <c r="A517" s="38" t="s">
        <v>868</v>
      </c>
      <c r="B517" s="42"/>
      <c r="C517" s="42"/>
      <c r="D517" s="42"/>
      <c r="E517" s="41"/>
      <c r="F517" s="41"/>
      <c r="G517" s="41"/>
      <c r="H517" s="41"/>
      <c r="I517" s="41"/>
      <c r="J517" s="42"/>
      <c r="K517" s="41"/>
      <c r="L517" s="41"/>
      <c r="M517" s="127"/>
      <c r="N517" s="41"/>
      <c r="O517" s="41"/>
      <c r="P517" s="41"/>
      <c r="Q517" s="42"/>
      <c r="R517" s="35"/>
      <c r="S517" s="35"/>
      <c r="T517" s="35"/>
      <c r="U517" s="35"/>
      <c r="V517" s="121"/>
      <c r="W517" s="42"/>
      <c r="X517" s="42"/>
      <c r="Y517" s="42"/>
      <c r="Z517" s="42"/>
      <c r="AA517" s="42"/>
      <c r="AB517" s="42"/>
      <c r="AC517" s="42"/>
      <c r="AD517" s="42"/>
      <c r="AE517" s="42"/>
      <c r="AF517" s="42"/>
      <c r="AG517" s="42"/>
      <c r="AH517" s="42"/>
      <c r="AI517" s="42"/>
      <c r="AJ517" s="42"/>
      <c r="AK517" s="42"/>
      <c r="AL517" s="42"/>
      <c r="AM517" s="42"/>
    </row>
    <row r="518" spans="1:39" x14ac:dyDescent="0.25">
      <c r="A518" s="38" t="s">
        <v>869</v>
      </c>
      <c r="B518" s="42"/>
      <c r="C518" s="42"/>
      <c r="D518" s="42"/>
      <c r="E518" s="41"/>
      <c r="F518" s="41"/>
      <c r="G518" s="41"/>
      <c r="H518" s="41"/>
      <c r="I518" s="41"/>
      <c r="J518" s="42"/>
      <c r="K518" s="41"/>
      <c r="L518" s="41"/>
      <c r="M518" s="127"/>
      <c r="N518" s="41"/>
      <c r="O518" s="41"/>
      <c r="P518" s="41"/>
      <c r="Q518" s="42"/>
      <c r="R518" s="35"/>
      <c r="S518" s="35"/>
      <c r="T518" s="35"/>
      <c r="U518" s="35"/>
      <c r="V518" s="121"/>
      <c r="W518" s="42"/>
      <c r="X518" s="42"/>
      <c r="Y518" s="42"/>
      <c r="Z518" s="42"/>
      <c r="AA518" s="42"/>
      <c r="AB518" s="42"/>
      <c r="AC518" s="42"/>
      <c r="AD518" s="42"/>
      <c r="AE518" s="42"/>
      <c r="AF518" s="42"/>
      <c r="AG518" s="42"/>
      <c r="AH518" s="42"/>
      <c r="AI518" s="42"/>
      <c r="AJ518" s="42"/>
      <c r="AK518" s="42"/>
      <c r="AL518" s="42"/>
      <c r="AM518" s="42"/>
    </row>
    <row r="519" spans="1:39" x14ac:dyDescent="0.25">
      <c r="A519" s="38" t="s">
        <v>870</v>
      </c>
      <c r="B519" s="42"/>
      <c r="C519" s="42"/>
      <c r="D519" s="42"/>
      <c r="E519" s="41"/>
      <c r="F519" s="41"/>
      <c r="G519" s="41"/>
      <c r="H519" s="41"/>
      <c r="I519" s="41"/>
      <c r="J519" s="42"/>
      <c r="K519" s="41"/>
      <c r="L519" s="41"/>
      <c r="M519" s="127"/>
      <c r="N519" s="41"/>
      <c r="O519" s="41"/>
      <c r="P519" s="41"/>
      <c r="Q519" s="42"/>
      <c r="R519" s="35"/>
      <c r="S519" s="35"/>
      <c r="T519" s="35"/>
      <c r="U519" s="35"/>
      <c r="V519" s="121"/>
      <c r="W519" s="42"/>
      <c r="X519" s="42"/>
      <c r="Y519" s="42"/>
      <c r="Z519" s="42"/>
      <c r="AA519" s="42"/>
      <c r="AB519" s="42"/>
      <c r="AC519" s="42"/>
      <c r="AD519" s="42"/>
      <c r="AE519" s="42"/>
      <c r="AF519" s="42"/>
      <c r="AG519" s="42"/>
      <c r="AH519" s="42"/>
      <c r="AI519" s="42"/>
      <c r="AJ519" s="42"/>
      <c r="AK519" s="42"/>
      <c r="AL519" s="42"/>
      <c r="AM519" s="42"/>
    </row>
    <row r="520" spans="1:39" x14ac:dyDescent="0.25">
      <c r="A520" s="38" t="s">
        <v>871</v>
      </c>
      <c r="B520" s="42"/>
      <c r="C520" s="42"/>
      <c r="D520" s="42"/>
      <c r="E520" s="41"/>
      <c r="F520" s="41"/>
      <c r="G520" s="41"/>
      <c r="H520" s="41"/>
      <c r="I520" s="41"/>
      <c r="J520" s="42"/>
      <c r="K520" s="41"/>
      <c r="L520" s="41"/>
      <c r="M520" s="127"/>
      <c r="N520" s="41"/>
      <c r="O520" s="41"/>
      <c r="P520" s="41"/>
      <c r="Q520" s="42"/>
      <c r="R520" s="35"/>
      <c r="S520" s="35"/>
      <c r="T520" s="35"/>
      <c r="U520" s="35"/>
      <c r="V520" s="121"/>
      <c r="W520" s="42"/>
      <c r="X520" s="42"/>
      <c r="Y520" s="42"/>
      <c r="Z520" s="42"/>
      <c r="AA520" s="42"/>
      <c r="AB520" s="42"/>
      <c r="AC520" s="42"/>
      <c r="AD520" s="42"/>
      <c r="AE520" s="42"/>
      <c r="AF520" s="42"/>
      <c r="AG520" s="42"/>
      <c r="AH520" s="42"/>
      <c r="AI520" s="42"/>
      <c r="AJ520" s="42"/>
      <c r="AK520" s="42"/>
      <c r="AL520" s="42"/>
      <c r="AM520" s="42"/>
    </row>
    <row r="521" spans="1:39" x14ac:dyDescent="0.25">
      <c r="A521" s="38" t="s">
        <v>872</v>
      </c>
      <c r="B521" s="42"/>
      <c r="C521" s="42"/>
      <c r="D521" s="42"/>
      <c r="E521" s="41"/>
      <c r="F521" s="41"/>
      <c r="G521" s="41"/>
      <c r="H521" s="41"/>
      <c r="I521" s="41"/>
      <c r="J521" s="42"/>
      <c r="K521" s="41"/>
      <c r="L521" s="41"/>
      <c r="M521" s="127"/>
      <c r="N521" s="41"/>
      <c r="O521" s="41"/>
      <c r="P521" s="41"/>
      <c r="Q521" s="42"/>
      <c r="R521" s="35"/>
      <c r="S521" s="35"/>
      <c r="T521" s="35"/>
      <c r="U521" s="35"/>
      <c r="V521" s="121"/>
      <c r="W521" s="42"/>
      <c r="X521" s="42"/>
      <c r="Y521" s="42"/>
      <c r="Z521" s="42"/>
      <c r="AA521" s="42"/>
      <c r="AB521" s="42"/>
      <c r="AC521" s="42"/>
      <c r="AD521" s="42"/>
      <c r="AE521" s="42"/>
      <c r="AF521" s="42"/>
      <c r="AG521" s="42"/>
      <c r="AH521" s="42"/>
      <c r="AI521" s="42"/>
      <c r="AJ521" s="42"/>
      <c r="AK521" s="42"/>
      <c r="AL521" s="42"/>
      <c r="AM521" s="42"/>
    </row>
    <row r="522" spans="1:39" x14ac:dyDescent="0.25">
      <c r="A522" s="38" t="s">
        <v>873</v>
      </c>
      <c r="B522" s="42"/>
      <c r="C522" s="42"/>
      <c r="D522" s="42"/>
      <c r="E522" s="41"/>
      <c r="F522" s="41"/>
      <c r="G522" s="41"/>
      <c r="H522" s="41"/>
      <c r="I522" s="41"/>
      <c r="J522" s="42"/>
      <c r="K522" s="41"/>
      <c r="L522" s="41"/>
      <c r="M522" s="127"/>
      <c r="N522" s="41"/>
      <c r="O522" s="41"/>
      <c r="P522" s="41"/>
      <c r="Q522" s="42"/>
      <c r="R522" s="35"/>
      <c r="S522" s="35"/>
      <c r="T522" s="35"/>
      <c r="U522" s="35"/>
      <c r="V522" s="121"/>
      <c r="W522" s="42"/>
      <c r="X522" s="42"/>
      <c r="Y522" s="42"/>
      <c r="Z522" s="42"/>
      <c r="AA522" s="42"/>
      <c r="AB522" s="42"/>
      <c r="AC522" s="42"/>
      <c r="AD522" s="42"/>
      <c r="AE522" s="42"/>
      <c r="AF522" s="42"/>
      <c r="AG522" s="42"/>
      <c r="AH522" s="42"/>
      <c r="AI522" s="42"/>
      <c r="AJ522" s="42"/>
      <c r="AK522" s="42"/>
      <c r="AL522" s="42"/>
      <c r="AM522" s="42"/>
    </row>
    <row r="523" spans="1:39" x14ac:dyDescent="0.25">
      <c r="A523" s="38" t="s">
        <v>874</v>
      </c>
      <c r="B523" s="42"/>
      <c r="C523" s="42"/>
      <c r="D523" s="42"/>
      <c r="E523" s="41"/>
      <c r="F523" s="41"/>
      <c r="G523" s="41"/>
      <c r="H523" s="41"/>
      <c r="I523" s="41"/>
      <c r="J523" s="42"/>
      <c r="K523" s="41"/>
      <c r="L523" s="41"/>
      <c r="M523" s="127"/>
      <c r="N523" s="41"/>
      <c r="O523" s="41"/>
      <c r="P523" s="41"/>
      <c r="Q523" s="42"/>
      <c r="R523" s="35"/>
      <c r="S523" s="35"/>
      <c r="T523" s="35"/>
      <c r="U523" s="35"/>
      <c r="V523" s="121"/>
      <c r="W523" s="42"/>
      <c r="X523" s="42"/>
      <c r="Y523" s="42"/>
      <c r="Z523" s="42"/>
      <c r="AA523" s="42"/>
      <c r="AB523" s="42"/>
      <c r="AC523" s="42"/>
      <c r="AD523" s="42"/>
      <c r="AE523" s="42"/>
      <c r="AF523" s="42"/>
      <c r="AG523" s="42"/>
      <c r="AH523" s="42"/>
      <c r="AI523" s="42"/>
      <c r="AJ523" s="42"/>
      <c r="AK523" s="42"/>
      <c r="AL523" s="42"/>
      <c r="AM523" s="42"/>
    </row>
    <row r="524" spans="1:39" x14ac:dyDescent="0.25">
      <c r="A524" s="38" t="s">
        <v>875</v>
      </c>
      <c r="B524" s="42"/>
      <c r="C524" s="42"/>
      <c r="D524" s="42"/>
      <c r="E524" s="41"/>
      <c r="F524" s="41"/>
      <c r="G524" s="41"/>
      <c r="H524" s="41"/>
      <c r="I524" s="41"/>
      <c r="J524" s="42"/>
      <c r="K524" s="41"/>
      <c r="L524" s="41"/>
      <c r="M524" s="127"/>
      <c r="N524" s="41"/>
      <c r="O524" s="41"/>
      <c r="P524" s="41"/>
      <c r="Q524" s="42"/>
      <c r="R524" s="35"/>
      <c r="S524" s="35"/>
      <c r="T524" s="35"/>
      <c r="U524" s="35"/>
      <c r="V524" s="121"/>
      <c r="W524" s="42"/>
      <c r="X524" s="42"/>
      <c r="Y524" s="42"/>
      <c r="Z524" s="42"/>
      <c r="AA524" s="42"/>
      <c r="AB524" s="42"/>
      <c r="AC524" s="42"/>
      <c r="AD524" s="42"/>
      <c r="AE524" s="42"/>
      <c r="AF524" s="42"/>
      <c r="AG524" s="42"/>
      <c r="AH524" s="42"/>
      <c r="AI524" s="42"/>
      <c r="AJ524" s="42"/>
      <c r="AK524" s="42"/>
      <c r="AL524" s="42"/>
      <c r="AM524" s="42"/>
    </row>
    <row r="525" spans="1:39" x14ac:dyDescent="0.25">
      <c r="A525" s="38" t="s">
        <v>876</v>
      </c>
      <c r="B525" s="42"/>
      <c r="C525" s="42"/>
      <c r="D525" s="42"/>
      <c r="E525" s="41"/>
      <c r="F525" s="41"/>
      <c r="G525" s="41"/>
      <c r="H525" s="41"/>
      <c r="I525" s="41"/>
      <c r="J525" s="42"/>
      <c r="K525" s="41"/>
      <c r="L525" s="41"/>
      <c r="M525" s="127"/>
      <c r="N525" s="41"/>
      <c r="O525" s="41"/>
      <c r="P525" s="41"/>
      <c r="Q525" s="42"/>
      <c r="R525" s="35"/>
      <c r="S525" s="35"/>
      <c r="T525" s="35"/>
      <c r="U525" s="35"/>
      <c r="V525" s="121"/>
      <c r="W525" s="42"/>
      <c r="X525" s="42"/>
      <c r="Y525" s="42"/>
      <c r="Z525" s="42"/>
      <c r="AA525" s="42"/>
      <c r="AB525" s="42"/>
      <c r="AC525" s="42"/>
      <c r="AD525" s="42"/>
      <c r="AE525" s="42"/>
      <c r="AF525" s="42"/>
      <c r="AG525" s="42"/>
      <c r="AH525" s="42"/>
      <c r="AI525" s="42"/>
      <c r="AJ525" s="42"/>
      <c r="AK525" s="42"/>
      <c r="AL525" s="42"/>
      <c r="AM525" s="42"/>
    </row>
    <row r="526" spans="1:39" x14ac:dyDescent="0.25">
      <c r="A526" s="38" t="s">
        <v>877</v>
      </c>
      <c r="B526" s="42"/>
      <c r="C526" s="42"/>
      <c r="D526" s="42"/>
      <c r="E526" s="41"/>
      <c r="F526" s="41"/>
      <c r="G526" s="41"/>
      <c r="H526" s="41"/>
      <c r="I526" s="41"/>
      <c r="J526" s="42"/>
      <c r="K526" s="41"/>
      <c r="L526" s="41"/>
      <c r="M526" s="127"/>
      <c r="N526" s="41"/>
      <c r="O526" s="41"/>
      <c r="P526" s="41"/>
      <c r="Q526" s="42"/>
      <c r="R526" s="35"/>
      <c r="S526" s="35"/>
      <c r="T526" s="35"/>
      <c r="U526" s="35"/>
      <c r="V526" s="121"/>
      <c r="W526" s="42"/>
      <c r="X526" s="42"/>
      <c r="Y526" s="42"/>
      <c r="Z526" s="42"/>
      <c r="AA526" s="42"/>
      <c r="AB526" s="42"/>
      <c r="AC526" s="42"/>
      <c r="AD526" s="42"/>
      <c r="AE526" s="42"/>
      <c r="AF526" s="42"/>
      <c r="AG526" s="42"/>
      <c r="AH526" s="42"/>
      <c r="AI526" s="42"/>
      <c r="AJ526" s="42"/>
      <c r="AK526" s="42"/>
      <c r="AL526" s="42"/>
      <c r="AM526" s="42"/>
    </row>
    <row r="527" spans="1:39" x14ac:dyDescent="0.25">
      <c r="A527" s="38" t="s">
        <v>878</v>
      </c>
      <c r="B527" s="42"/>
      <c r="C527" s="42"/>
      <c r="D527" s="42"/>
      <c r="E527" s="41"/>
      <c r="F527" s="41"/>
      <c r="G527" s="41"/>
      <c r="H527" s="41"/>
      <c r="I527" s="41"/>
      <c r="J527" s="42"/>
      <c r="K527" s="41"/>
      <c r="L527" s="41"/>
      <c r="M527" s="127"/>
      <c r="N527" s="41"/>
      <c r="O527" s="41"/>
      <c r="P527" s="41"/>
      <c r="Q527" s="42"/>
      <c r="R527" s="35"/>
      <c r="S527" s="35"/>
      <c r="T527" s="35"/>
      <c r="U527" s="35"/>
      <c r="V527" s="121"/>
      <c r="W527" s="42"/>
      <c r="X527" s="42"/>
      <c r="Y527" s="42"/>
      <c r="Z527" s="42"/>
      <c r="AA527" s="42"/>
      <c r="AB527" s="42"/>
      <c r="AC527" s="42"/>
      <c r="AD527" s="42"/>
      <c r="AE527" s="42"/>
      <c r="AF527" s="42"/>
      <c r="AG527" s="42"/>
      <c r="AH527" s="42"/>
      <c r="AI527" s="42"/>
      <c r="AJ527" s="42"/>
      <c r="AK527" s="42"/>
      <c r="AL527" s="42"/>
      <c r="AM527" s="42"/>
    </row>
    <row r="528" spans="1:39" x14ac:dyDescent="0.25">
      <c r="A528" s="38" t="s">
        <v>879</v>
      </c>
      <c r="B528" s="42"/>
      <c r="C528" s="42"/>
      <c r="D528" s="42"/>
      <c r="E528" s="41"/>
      <c r="F528" s="41"/>
      <c r="G528" s="41"/>
      <c r="H528" s="41"/>
      <c r="I528" s="41"/>
      <c r="J528" s="42"/>
      <c r="K528" s="41"/>
      <c r="L528" s="41"/>
      <c r="M528" s="127"/>
      <c r="N528" s="41"/>
      <c r="O528" s="41"/>
      <c r="P528" s="41"/>
      <c r="Q528" s="42"/>
      <c r="R528" s="35"/>
      <c r="S528" s="35"/>
      <c r="T528" s="35"/>
      <c r="U528" s="35"/>
      <c r="V528" s="121"/>
      <c r="W528" s="42"/>
      <c r="X528" s="42"/>
      <c r="Y528" s="42"/>
      <c r="Z528" s="42"/>
      <c r="AA528" s="42"/>
      <c r="AB528" s="42"/>
      <c r="AC528" s="42"/>
      <c r="AD528" s="42"/>
      <c r="AE528" s="42"/>
      <c r="AF528" s="42"/>
      <c r="AG528" s="42"/>
      <c r="AH528" s="42"/>
      <c r="AI528" s="42"/>
      <c r="AJ528" s="42"/>
      <c r="AK528" s="42"/>
      <c r="AL528" s="42"/>
      <c r="AM528" s="42"/>
    </row>
    <row r="529" spans="1:39" x14ac:dyDescent="0.25">
      <c r="A529" s="38" t="s">
        <v>880</v>
      </c>
      <c r="B529" s="42"/>
      <c r="C529" s="42"/>
      <c r="D529" s="42"/>
      <c r="E529" s="41"/>
      <c r="F529" s="41"/>
      <c r="G529" s="41"/>
      <c r="H529" s="41"/>
      <c r="I529" s="41"/>
      <c r="J529" s="42"/>
      <c r="K529" s="41"/>
      <c r="L529" s="41"/>
      <c r="M529" s="127"/>
      <c r="N529" s="41"/>
      <c r="O529" s="41"/>
      <c r="P529" s="41"/>
      <c r="Q529" s="42"/>
      <c r="R529" s="35"/>
      <c r="S529" s="35"/>
      <c r="T529" s="35"/>
      <c r="U529" s="35"/>
      <c r="V529" s="121"/>
      <c r="W529" s="42"/>
      <c r="X529" s="42"/>
      <c r="Y529" s="42"/>
      <c r="Z529" s="42"/>
      <c r="AA529" s="42"/>
      <c r="AB529" s="42"/>
      <c r="AC529" s="42"/>
      <c r="AD529" s="42"/>
      <c r="AE529" s="42"/>
      <c r="AF529" s="42"/>
      <c r="AG529" s="42"/>
      <c r="AH529" s="42"/>
      <c r="AI529" s="42"/>
      <c r="AJ529" s="42"/>
      <c r="AK529" s="42"/>
      <c r="AL529" s="42"/>
      <c r="AM529" s="42"/>
    </row>
    <row r="530" spans="1:39" x14ac:dyDescent="0.25">
      <c r="A530" s="38" t="s">
        <v>881</v>
      </c>
      <c r="B530" s="42"/>
      <c r="C530" s="42"/>
      <c r="D530" s="42"/>
      <c r="E530" s="41"/>
      <c r="F530" s="41"/>
      <c r="G530" s="41"/>
      <c r="H530" s="41"/>
      <c r="I530" s="41"/>
      <c r="J530" s="42"/>
      <c r="K530" s="41"/>
      <c r="L530" s="41"/>
      <c r="M530" s="127"/>
      <c r="N530" s="41"/>
      <c r="O530" s="41"/>
      <c r="P530" s="41"/>
      <c r="Q530" s="42"/>
      <c r="R530" s="35"/>
      <c r="S530" s="35"/>
      <c r="T530" s="35"/>
      <c r="U530" s="35"/>
      <c r="V530" s="121"/>
      <c r="W530" s="42"/>
      <c r="X530" s="42"/>
      <c r="Y530" s="42"/>
      <c r="Z530" s="42"/>
      <c r="AA530" s="42"/>
      <c r="AB530" s="42"/>
      <c r="AC530" s="42"/>
      <c r="AD530" s="42"/>
      <c r="AE530" s="42"/>
      <c r="AF530" s="42"/>
      <c r="AG530" s="42"/>
      <c r="AH530" s="42"/>
      <c r="AI530" s="42"/>
      <c r="AJ530" s="42"/>
      <c r="AK530" s="42"/>
      <c r="AL530" s="42"/>
      <c r="AM530" s="42"/>
    </row>
    <row r="531" spans="1:39" x14ac:dyDescent="0.25">
      <c r="A531" s="38" t="s">
        <v>882</v>
      </c>
      <c r="B531" s="42"/>
      <c r="C531" s="42"/>
      <c r="D531" s="42"/>
      <c r="E531" s="41"/>
      <c r="F531" s="41"/>
      <c r="G531" s="41"/>
      <c r="H531" s="41"/>
      <c r="I531" s="41"/>
      <c r="J531" s="42"/>
      <c r="K531" s="41"/>
      <c r="L531" s="41"/>
      <c r="M531" s="127"/>
      <c r="N531" s="41"/>
      <c r="O531" s="41"/>
      <c r="P531" s="41"/>
      <c r="Q531" s="42"/>
      <c r="R531" s="35"/>
      <c r="S531" s="35"/>
      <c r="T531" s="35"/>
      <c r="U531" s="35"/>
      <c r="V531" s="121"/>
      <c r="W531" s="42"/>
      <c r="X531" s="42"/>
      <c r="Y531" s="42"/>
      <c r="Z531" s="42"/>
      <c r="AA531" s="42"/>
      <c r="AB531" s="42"/>
      <c r="AC531" s="42"/>
      <c r="AD531" s="42"/>
      <c r="AE531" s="42"/>
      <c r="AF531" s="42"/>
      <c r="AG531" s="42"/>
      <c r="AH531" s="42"/>
      <c r="AI531" s="42"/>
      <c r="AJ531" s="42"/>
      <c r="AK531" s="42"/>
      <c r="AL531" s="42"/>
      <c r="AM531" s="42"/>
    </row>
    <row r="532" spans="1:39" x14ac:dyDescent="0.25">
      <c r="A532" s="38" t="s">
        <v>883</v>
      </c>
      <c r="B532" s="42"/>
      <c r="C532" s="42"/>
      <c r="D532" s="42"/>
      <c r="E532" s="41"/>
      <c r="F532" s="41"/>
      <c r="G532" s="41"/>
      <c r="H532" s="41"/>
      <c r="I532" s="41"/>
      <c r="J532" s="42"/>
      <c r="K532" s="41"/>
      <c r="L532" s="41"/>
      <c r="M532" s="127"/>
      <c r="N532" s="41"/>
      <c r="O532" s="41"/>
      <c r="P532" s="41"/>
      <c r="Q532" s="42"/>
      <c r="R532" s="35"/>
      <c r="S532" s="35"/>
      <c r="T532" s="35"/>
      <c r="U532" s="35"/>
      <c r="V532" s="121"/>
      <c r="W532" s="42"/>
      <c r="X532" s="42"/>
      <c r="Y532" s="42"/>
      <c r="Z532" s="42"/>
      <c r="AA532" s="42"/>
      <c r="AB532" s="42"/>
      <c r="AC532" s="42"/>
      <c r="AD532" s="42"/>
      <c r="AE532" s="42"/>
      <c r="AF532" s="42"/>
      <c r="AG532" s="42"/>
      <c r="AH532" s="42"/>
      <c r="AI532" s="42"/>
      <c r="AJ532" s="42"/>
      <c r="AK532" s="42"/>
      <c r="AL532" s="42"/>
      <c r="AM532" s="42"/>
    </row>
    <row r="533" spans="1:39" x14ac:dyDescent="0.25">
      <c r="A533" s="38" t="s">
        <v>884</v>
      </c>
      <c r="B533" s="42"/>
      <c r="C533" s="42"/>
      <c r="D533" s="42"/>
      <c r="E533" s="41"/>
      <c r="F533" s="41"/>
      <c r="G533" s="41"/>
      <c r="H533" s="41"/>
      <c r="I533" s="41"/>
      <c r="J533" s="42"/>
      <c r="K533" s="41"/>
      <c r="L533" s="41"/>
      <c r="M533" s="127"/>
      <c r="N533" s="41"/>
      <c r="O533" s="41"/>
      <c r="P533" s="41"/>
      <c r="Q533" s="42"/>
      <c r="R533" s="35"/>
      <c r="S533" s="35"/>
      <c r="T533" s="35"/>
      <c r="U533" s="35"/>
      <c r="V533" s="121"/>
      <c r="W533" s="42"/>
      <c r="X533" s="42"/>
      <c r="Y533" s="42"/>
      <c r="Z533" s="42"/>
      <c r="AA533" s="42"/>
      <c r="AB533" s="42"/>
      <c r="AC533" s="42"/>
      <c r="AD533" s="42"/>
      <c r="AE533" s="42"/>
      <c r="AF533" s="42"/>
      <c r="AG533" s="42"/>
      <c r="AH533" s="42"/>
      <c r="AI533" s="42"/>
      <c r="AJ533" s="42"/>
      <c r="AK533" s="42"/>
      <c r="AL533" s="42"/>
      <c r="AM533" s="42"/>
    </row>
    <row r="534" spans="1:39" x14ac:dyDescent="0.25">
      <c r="A534" s="38" t="s">
        <v>885</v>
      </c>
      <c r="B534" s="42"/>
      <c r="C534" s="42"/>
      <c r="D534" s="42"/>
      <c r="E534" s="41"/>
      <c r="F534" s="41"/>
      <c r="G534" s="41"/>
      <c r="H534" s="41"/>
      <c r="I534" s="41"/>
      <c r="J534" s="42"/>
      <c r="K534" s="41"/>
      <c r="L534" s="41"/>
      <c r="M534" s="127"/>
      <c r="N534" s="41"/>
      <c r="O534" s="41"/>
      <c r="P534" s="41"/>
      <c r="Q534" s="42"/>
      <c r="R534" s="35"/>
      <c r="S534" s="35"/>
      <c r="T534" s="35"/>
      <c r="U534" s="35"/>
      <c r="V534" s="121"/>
      <c r="W534" s="42"/>
      <c r="X534" s="42"/>
      <c r="Y534" s="42"/>
      <c r="Z534" s="42"/>
      <c r="AA534" s="42"/>
      <c r="AB534" s="42"/>
      <c r="AC534" s="42"/>
      <c r="AD534" s="42"/>
      <c r="AE534" s="42"/>
      <c r="AF534" s="42"/>
      <c r="AG534" s="42"/>
      <c r="AH534" s="42"/>
      <c r="AI534" s="42"/>
      <c r="AJ534" s="42"/>
      <c r="AK534" s="42"/>
      <c r="AL534" s="42"/>
      <c r="AM534" s="42"/>
    </row>
    <row r="535" spans="1:39" x14ac:dyDescent="0.25">
      <c r="A535" s="38" t="s">
        <v>886</v>
      </c>
      <c r="B535" s="42"/>
      <c r="C535" s="42"/>
      <c r="D535" s="42"/>
      <c r="E535" s="41"/>
      <c r="F535" s="41"/>
      <c r="G535" s="41"/>
      <c r="H535" s="41"/>
      <c r="I535" s="41"/>
      <c r="J535" s="42"/>
      <c r="K535" s="41"/>
      <c r="L535" s="41"/>
      <c r="M535" s="127"/>
      <c r="N535" s="41"/>
      <c r="O535" s="41"/>
      <c r="P535" s="41"/>
      <c r="Q535" s="42"/>
      <c r="R535" s="35"/>
      <c r="S535" s="35"/>
      <c r="T535" s="35"/>
      <c r="U535" s="35"/>
      <c r="V535" s="121"/>
      <c r="W535" s="42"/>
      <c r="X535" s="42"/>
      <c r="Y535" s="42"/>
      <c r="Z535" s="42"/>
      <c r="AA535" s="42"/>
      <c r="AB535" s="42"/>
      <c r="AC535" s="42"/>
      <c r="AD535" s="42"/>
      <c r="AE535" s="42"/>
      <c r="AF535" s="42"/>
      <c r="AG535" s="42"/>
      <c r="AH535" s="42"/>
      <c r="AI535" s="42"/>
      <c r="AJ535" s="42"/>
      <c r="AK535" s="42"/>
      <c r="AL535" s="42"/>
      <c r="AM535" s="42"/>
    </row>
    <row r="536" spans="1:39" x14ac:dyDescent="0.25">
      <c r="A536" s="38" t="s">
        <v>887</v>
      </c>
      <c r="B536" s="42"/>
      <c r="C536" s="42"/>
      <c r="D536" s="42"/>
      <c r="E536" s="41"/>
      <c r="F536" s="41"/>
      <c r="G536" s="41"/>
      <c r="H536" s="41"/>
      <c r="I536" s="41"/>
      <c r="J536" s="42"/>
      <c r="K536" s="41"/>
      <c r="L536" s="41"/>
      <c r="M536" s="127"/>
      <c r="N536" s="41"/>
      <c r="O536" s="41"/>
      <c r="P536" s="41"/>
      <c r="Q536" s="42"/>
      <c r="R536" s="35"/>
      <c r="S536" s="35"/>
      <c r="T536" s="35"/>
      <c r="U536" s="35"/>
      <c r="V536" s="121"/>
      <c r="W536" s="42"/>
      <c r="X536" s="42"/>
      <c r="Y536" s="42"/>
      <c r="Z536" s="42"/>
      <c r="AA536" s="42"/>
      <c r="AB536" s="42"/>
      <c r="AC536" s="42"/>
      <c r="AD536" s="42"/>
      <c r="AE536" s="42"/>
      <c r="AF536" s="42"/>
      <c r="AG536" s="42"/>
      <c r="AH536" s="42"/>
      <c r="AI536" s="42"/>
      <c r="AJ536" s="42"/>
      <c r="AK536" s="42"/>
      <c r="AL536" s="42"/>
      <c r="AM536" s="42"/>
    </row>
    <row r="537" spans="1:39" x14ac:dyDescent="0.25">
      <c r="A537" s="38" t="s">
        <v>888</v>
      </c>
      <c r="B537" s="42"/>
      <c r="C537" s="42"/>
      <c r="D537" s="42"/>
      <c r="E537" s="41"/>
      <c r="F537" s="41"/>
      <c r="G537" s="41"/>
      <c r="H537" s="41"/>
      <c r="I537" s="41"/>
      <c r="J537" s="42"/>
      <c r="K537" s="41"/>
      <c r="L537" s="41"/>
      <c r="M537" s="127"/>
      <c r="N537" s="41"/>
      <c r="O537" s="41"/>
      <c r="P537" s="41"/>
      <c r="Q537" s="42"/>
      <c r="R537" s="35"/>
      <c r="S537" s="35"/>
      <c r="T537" s="35"/>
      <c r="U537" s="35"/>
      <c r="V537" s="121"/>
      <c r="W537" s="42"/>
      <c r="X537" s="42"/>
      <c r="Y537" s="42"/>
      <c r="Z537" s="42"/>
      <c r="AA537" s="42"/>
      <c r="AB537" s="42"/>
      <c r="AC537" s="42"/>
      <c r="AD537" s="42"/>
      <c r="AE537" s="42"/>
      <c r="AF537" s="42"/>
      <c r="AG537" s="42"/>
      <c r="AH537" s="42"/>
      <c r="AI537" s="42"/>
      <c r="AJ537" s="42"/>
      <c r="AK537" s="42"/>
      <c r="AL537" s="42"/>
      <c r="AM537" s="42"/>
    </row>
    <row r="538" spans="1:39" x14ac:dyDescent="0.25">
      <c r="A538" s="38" t="s">
        <v>889</v>
      </c>
      <c r="B538" s="42"/>
      <c r="C538" s="42"/>
      <c r="D538" s="42"/>
      <c r="E538" s="41"/>
      <c r="F538" s="41"/>
      <c r="G538" s="41"/>
      <c r="H538" s="41"/>
      <c r="I538" s="41"/>
      <c r="J538" s="42"/>
      <c r="K538" s="41"/>
      <c r="L538" s="41"/>
      <c r="M538" s="127"/>
      <c r="N538" s="41"/>
      <c r="O538" s="41"/>
      <c r="P538" s="41"/>
      <c r="Q538" s="42"/>
      <c r="R538" s="35"/>
      <c r="S538" s="35"/>
      <c r="T538" s="35"/>
      <c r="U538" s="35"/>
      <c r="V538" s="121"/>
      <c r="W538" s="42"/>
      <c r="X538" s="42"/>
      <c r="Y538" s="42"/>
      <c r="Z538" s="42"/>
      <c r="AA538" s="42"/>
      <c r="AB538" s="42"/>
      <c r="AC538" s="42"/>
      <c r="AD538" s="42"/>
      <c r="AE538" s="42"/>
      <c r="AF538" s="42"/>
      <c r="AG538" s="42"/>
      <c r="AH538" s="42"/>
      <c r="AI538" s="42"/>
      <c r="AJ538" s="42"/>
      <c r="AK538" s="42"/>
      <c r="AL538" s="42"/>
      <c r="AM538" s="42"/>
    </row>
    <row r="539" spans="1:39" x14ac:dyDescent="0.25">
      <c r="A539" s="38" t="s">
        <v>890</v>
      </c>
      <c r="B539" s="42"/>
      <c r="C539" s="42"/>
      <c r="D539" s="42"/>
      <c r="E539" s="41"/>
      <c r="F539" s="41"/>
      <c r="G539" s="41"/>
      <c r="H539" s="41"/>
      <c r="I539" s="41"/>
      <c r="J539" s="42"/>
      <c r="K539" s="41"/>
      <c r="L539" s="41"/>
      <c r="M539" s="127"/>
      <c r="N539" s="41"/>
      <c r="O539" s="41"/>
      <c r="P539" s="41"/>
      <c r="Q539" s="42"/>
      <c r="R539" s="35"/>
      <c r="S539" s="35"/>
      <c r="T539" s="35"/>
      <c r="U539" s="35"/>
      <c r="V539" s="121"/>
      <c r="W539" s="42"/>
      <c r="X539" s="42"/>
      <c r="Y539" s="42"/>
      <c r="Z539" s="42"/>
      <c r="AA539" s="42"/>
      <c r="AB539" s="42"/>
      <c r="AC539" s="42"/>
      <c r="AD539" s="42"/>
      <c r="AE539" s="42"/>
      <c r="AF539" s="42"/>
      <c r="AG539" s="42"/>
      <c r="AH539" s="42"/>
      <c r="AI539" s="42"/>
      <c r="AJ539" s="42"/>
      <c r="AK539" s="42"/>
      <c r="AL539" s="42"/>
      <c r="AM539" s="42"/>
    </row>
    <row r="540" spans="1:39" x14ac:dyDescent="0.25">
      <c r="A540" s="38" t="s">
        <v>891</v>
      </c>
      <c r="B540" s="42"/>
      <c r="C540" s="42"/>
      <c r="D540" s="42"/>
      <c r="E540" s="41"/>
      <c r="F540" s="41"/>
      <c r="G540" s="41"/>
      <c r="H540" s="41"/>
      <c r="I540" s="41"/>
      <c r="J540" s="42"/>
      <c r="K540" s="41"/>
      <c r="L540" s="41"/>
      <c r="M540" s="127"/>
      <c r="N540" s="41"/>
      <c r="O540" s="41"/>
      <c r="P540" s="41"/>
      <c r="Q540" s="42"/>
      <c r="R540" s="35"/>
      <c r="S540" s="35"/>
      <c r="T540" s="35"/>
      <c r="U540" s="35"/>
      <c r="V540" s="121"/>
      <c r="W540" s="42"/>
      <c r="X540" s="42"/>
      <c r="Y540" s="42"/>
      <c r="Z540" s="42"/>
      <c r="AA540" s="42"/>
      <c r="AB540" s="42"/>
      <c r="AC540" s="42"/>
      <c r="AD540" s="42"/>
      <c r="AE540" s="42"/>
      <c r="AF540" s="42"/>
      <c r="AG540" s="42"/>
      <c r="AH540" s="42"/>
      <c r="AI540" s="42"/>
      <c r="AJ540" s="42"/>
      <c r="AK540" s="42"/>
      <c r="AL540" s="42"/>
      <c r="AM540" s="42"/>
    </row>
    <row r="541" spans="1:39" x14ac:dyDescent="0.25">
      <c r="A541" s="38" t="s">
        <v>892</v>
      </c>
      <c r="B541" s="42"/>
      <c r="C541" s="42"/>
      <c r="D541" s="42"/>
      <c r="E541" s="41"/>
      <c r="F541" s="41"/>
      <c r="G541" s="41"/>
      <c r="H541" s="41"/>
      <c r="I541" s="41"/>
      <c r="J541" s="42"/>
      <c r="K541" s="41"/>
      <c r="L541" s="41"/>
      <c r="M541" s="127"/>
      <c r="N541" s="41"/>
      <c r="O541" s="41"/>
      <c r="P541" s="41"/>
      <c r="Q541" s="42"/>
      <c r="R541" s="35"/>
      <c r="S541" s="35"/>
      <c r="T541" s="35"/>
      <c r="U541" s="35"/>
      <c r="V541" s="121"/>
      <c r="W541" s="42"/>
      <c r="X541" s="42"/>
      <c r="Y541" s="42"/>
      <c r="Z541" s="42"/>
      <c r="AA541" s="42"/>
      <c r="AB541" s="42"/>
      <c r="AC541" s="42"/>
      <c r="AD541" s="42"/>
      <c r="AE541" s="42"/>
      <c r="AF541" s="42"/>
      <c r="AG541" s="42"/>
      <c r="AH541" s="42"/>
      <c r="AI541" s="42"/>
      <c r="AJ541" s="42"/>
      <c r="AK541" s="42"/>
      <c r="AL541" s="42"/>
      <c r="AM541" s="42"/>
    </row>
    <row r="542" spans="1:39" x14ac:dyDescent="0.25">
      <c r="A542" s="38" t="s">
        <v>893</v>
      </c>
      <c r="B542" s="42"/>
      <c r="C542" s="42"/>
      <c r="D542" s="42"/>
      <c r="E542" s="41"/>
      <c r="F542" s="41"/>
      <c r="G542" s="41"/>
      <c r="H542" s="41"/>
      <c r="I542" s="41"/>
      <c r="J542" s="42"/>
      <c r="K542" s="41"/>
      <c r="L542" s="41"/>
      <c r="M542" s="127"/>
      <c r="N542" s="41"/>
      <c r="O542" s="41"/>
      <c r="P542" s="41"/>
      <c r="Q542" s="42"/>
      <c r="R542" s="35"/>
      <c r="S542" s="35"/>
      <c r="T542" s="35"/>
      <c r="U542" s="35"/>
      <c r="V542" s="121"/>
      <c r="W542" s="42"/>
      <c r="X542" s="42"/>
      <c r="Y542" s="42"/>
      <c r="Z542" s="42"/>
      <c r="AA542" s="42"/>
      <c r="AB542" s="42"/>
      <c r="AC542" s="42"/>
      <c r="AD542" s="42"/>
      <c r="AE542" s="42"/>
      <c r="AF542" s="42"/>
      <c r="AG542" s="42"/>
      <c r="AH542" s="42"/>
      <c r="AI542" s="42"/>
      <c r="AJ542" s="42"/>
      <c r="AK542" s="42"/>
      <c r="AL542" s="42"/>
      <c r="AM542" s="42"/>
    </row>
    <row r="543" spans="1:39" x14ac:dyDescent="0.25">
      <c r="A543" s="38" t="s">
        <v>894</v>
      </c>
      <c r="B543" s="42"/>
      <c r="C543" s="42"/>
      <c r="D543" s="42"/>
      <c r="E543" s="41"/>
      <c r="F543" s="41"/>
      <c r="G543" s="41"/>
      <c r="H543" s="41"/>
      <c r="I543" s="41"/>
      <c r="J543" s="42"/>
      <c r="K543" s="41"/>
      <c r="L543" s="41"/>
      <c r="M543" s="127"/>
      <c r="N543" s="41"/>
      <c r="O543" s="41"/>
      <c r="P543" s="41"/>
      <c r="Q543" s="42"/>
      <c r="R543" s="35"/>
      <c r="S543" s="35"/>
      <c r="T543" s="35"/>
      <c r="U543" s="35"/>
      <c r="V543" s="121"/>
      <c r="W543" s="42"/>
      <c r="X543" s="42"/>
      <c r="Y543" s="42"/>
      <c r="Z543" s="42"/>
      <c r="AA543" s="42"/>
      <c r="AB543" s="42"/>
      <c r="AC543" s="42"/>
      <c r="AD543" s="42"/>
      <c r="AE543" s="42"/>
      <c r="AF543" s="42"/>
      <c r="AG543" s="42"/>
      <c r="AH543" s="42"/>
      <c r="AI543" s="42"/>
      <c r="AJ543" s="42"/>
      <c r="AK543" s="42"/>
      <c r="AL543" s="42"/>
      <c r="AM543" s="42"/>
    </row>
    <row r="544" spans="1:39" x14ac:dyDescent="0.25">
      <c r="A544" s="38" t="s">
        <v>895</v>
      </c>
      <c r="B544" s="42"/>
      <c r="C544" s="42"/>
      <c r="D544" s="42"/>
      <c r="E544" s="41"/>
      <c r="F544" s="41"/>
      <c r="G544" s="41"/>
      <c r="H544" s="41"/>
      <c r="I544" s="41"/>
      <c r="J544" s="42"/>
      <c r="K544" s="41"/>
      <c r="L544" s="41"/>
      <c r="M544" s="127"/>
      <c r="N544" s="41"/>
      <c r="O544" s="41"/>
      <c r="P544" s="41"/>
      <c r="Q544" s="42"/>
      <c r="R544" s="35"/>
      <c r="S544" s="35"/>
      <c r="T544" s="35"/>
      <c r="U544" s="35"/>
      <c r="V544" s="121"/>
      <c r="W544" s="42"/>
      <c r="X544" s="42"/>
      <c r="Y544" s="42"/>
      <c r="Z544" s="42"/>
      <c r="AA544" s="42"/>
      <c r="AB544" s="42"/>
      <c r="AC544" s="42"/>
      <c r="AD544" s="42"/>
      <c r="AE544" s="42"/>
      <c r="AF544" s="42"/>
      <c r="AG544" s="42"/>
      <c r="AH544" s="42"/>
      <c r="AI544" s="42"/>
      <c r="AJ544" s="42"/>
      <c r="AK544" s="42"/>
      <c r="AL544" s="42"/>
      <c r="AM544" s="42"/>
    </row>
    <row r="545" spans="1:39" x14ac:dyDescent="0.25">
      <c r="A545" s="38" t="s">
        <v>896</v>
      </c>
      <c r="B545" s="42"/>
      <c r="C545" s="42"/>
      <c r="D545" s="42"/>
      <c r="E545" s="41"/>
      <c r="F545" s="41"/>
      <c r="G545" s="41"/>
      <c r="H545" s="41"/>
      <c r="I545" s="41"/>
      <c r="J545" s="42"/>
      <c r="K545" s="41"/>
      <c r="L545" s="41"/>
      <c r="M545" s="127"/>
      <c r="N545" s="41"/>
      <c r="O545" s="41"/>
      <c r="P545" s="41"/>
      <c r="Q545" s="42"/>
      <c r="R545" s="35"/>
      <c r="S545" s="35"/>
      <c r="T545" s="35"/>
      <c r="U545" s="35"/>
      <c r="V545" s="121"/>
      <c r="W545" s="42"/>
      <c r="X545" s="42"/>
      <c r="Y545" s="42"/>
      <c r="Z545" s="42"/>
      <c r="AA545" s="42"/>
      <c r="AB545" s="42"/>
      <c r="AC545" s="42"/>
      <c r="AD545" s="42"/>
      <c r="AE545" s="42"/>
      <c r="AF545" s="42"/>
      <c r="AG545" s="42"/>
      <c r="AH545" s="42"/>
      <c r="AI545" s="42"/>
      <c r="AJ545" s="42"/>
      <c r="AK545" s="42"/>
      <c r="AL545" s="42"/>
      <c r="AM545" s="42"/>
    </row>
    <row r="546" spans="1:39" x14ac:dyDescent="0.25">
      <c r="A546" s="38" t="s">
        <v>897</v>
      </c>
      <c r="B546" s="42"/>
      <c r="C546" s="42"/>
      <c r="D546" s="42"/>
      <c r="E546" s="41"/>
      <c r="F546" s="41"/>
      <c r="G546" s="41"/>
      <c r="H546" s="41"/>
      <c r="I546" s="41"/>
      <c r="J546" s="42"/>
      <c r="K546" s="41"/>
      <c r="L546" s="41"/>
      <c r="M546" s="127"/>
      <c r="N546" s="41"/>
      <c r="O546" s="41"/>
      <c r="P546" s="41"/>
      <c r="Q546" s="42"/>
      <c r="R546" s="35"/>
      <c r="S546" s="35"/>
      <c r="T546" s="35"/>
      <c r="U546" s="35"/>
      <c r="V546" s="121"/>
      <c r="W546" s="42"/>
      <c r="X546" s="42"/>
      <c r="Y546" s="42"/>
      <c r="Z546" s="42"/>
      <c r="AA546" s="42"/>
      <c r="AB546" s="42"/>
      <c r="AC546" s="42"/>
      <c r="AD546" s="42"/>
      <c r="AE546" s="42"/>
      <c r="AF546" s="42"/>
      <c r="AG546" s="42"/>
      <c r="AH546" s="42"/>
      <c r="AI546" s="42"/>
      <c r="AJ546" s="42"/>
      <c r="AK546" s="42"/>
      <c r="AL546" s="42"/>
      <c r="AM546" s="42"/>
    </row>
    <row r="547" spans="1:39" x14ac:dyDescent="0.25">
      <c r="A547" s="38" t="s">
        <v>898</v>
      </c>
      <c r="B547" s="42"/>
      <c r="C547" s="42"/>
      <c r="D547" s="42"/>
      <c r="E547" s="41"/>
      <c r="F547" s="41"/>
      <c r="G547" s="41"/>
      <c r="H547" s="41"/>
      <c r="I547" s="41"/>
      <c r="J547" s="42"/>
      <c r="K547" s="41"/>
      <c r="L547" s="41"/>
      <c r="M547" s="127"/>
      <c r="N547" s="41"/>
      <c r="O547" s="41"/>
      <c r="P547" s="41"/>
      <c r="Q547" s="42"/>
      <c r="R547" s="35"/>
      <c r="S547" s="35"/>
      <c r="T547" s="35"/>
      <c r="U547" s="35"/>
      <c r="V547" s="121"/>
      <c r="W547" s="42"/>
      <c r="X547" s="42"/>
      <c r="Y547" s="42"/>
      <c r="Z547" s="42"/>
      <c r="AA547" s="42"/>
      <c r="AB547" s="42"/>
      <c r="AC547" s="42"/>
      <c r="AD547" s="42"/>
      <c r="AE547" s="42"/>
      <c r="AF547" s="42"/>
      <c r="AG547" s="42"/>
      <c r="AH547" s="42"/>
      <c r="AI547" s="42"/>
      <c r="AJ547" s="42"/>
      <c r="AK547" s="42"/>
      <c r="AL547" s="42"/>
      <c r="AM547" s="42"/>
    </row>
    <row r="548" spans="1:39" x14ac:dyDescent="0.25">
      <c r="A548" s="38" t="s">
        <v>899</v>
      </c>
      <c r="B548" s="42"/>
      <c r="C548" s="42"/>
      <c r="D548" s="42"/>
      <c r="E548" s="41"/>
      <c r="F548" s="41"/>
      <c r="G548" s="41"/>
      <c r="H548" s="41"/>
      <c r="I548" s="41"/>
      <c r="J548" s="42"/>
      <c r="K548" s="41"/>
      <c r="L548" s="41"/>
      <c r="M548" s="127"/>
      <c r="N548" s="41"/>
      <c r="O548" s="41"/>
      <c r="P548" s="41"/>
      <c r="Q548" s="42"/>
      <c r="R548" s="35"/>
      <c r="S548" s="35"/>
      <c r="T548" s="35"/>
      <c r="U548" s="35"/>
      <c r="V548" s="121"/>
      <c r="W548" s="42"/>
      <c r="X548" s="42"/>
      <c r="Y548" s="42"/>
      <c r="Z548" s="42"/>
      <c r="AA548" s="42"/>
      <c r="AB548" s="42"/>
      <c r="AC548" s="42"/>
      <c r="AD548" s="42"/>
      <c r="AE548" s="42"/>
      <c r="AF548" s="42"/>
      <c r="AG548" s="42"/>
      <c r="AH548" s="42"/>
      <c r="AI548" s="42"/>
      <c r="AJ548" s="42"/>
      <c r="AK548" s="42"/>
      <c r="AL548" s="42"/>
      <c r="AM548" s="42"/>
    </row>
    <row r="549" spans="1:39" x14ac:dyDescent="0.25">
      <c r="A549" s="38" t="s">
        <v>900</v>
      </c>
      <c r="B549" s="42"/>
      <c r="C549" s="42"/>
      <c r="D549" s="42"/>
      <c r="E549" s="41"/>
      <c r="F549" s="41"/>
      <c r="G549" s="41"/>
      <c r="H549" s="41"/>
      <c r="I549" s="41"/>
      <c r="J549" s="42"/>
      <c r="K549" s="41"/>
      <c r="L549" s="41"/>
      <c r="M549" s="127"/>
      <c r="N549" s="41"/>
      <c r="O549" s="41"/>
      <c r="P549" s="41"/>
      <c r="Q549" s="42"/>
      <c r="R549" s="35"/>
      <c r="S549" s="35"/>
      <c r="T549" s="35"/>
      <c r="U549" s="35"/>
      <c r="V549" s="121"/>
      <c r="W549" s="42"/>
      <c r="X549" s="42"/>
      <c r="Y549" s="42"/>
      <c r="Z549" s="42"/>
      <c r="AA549" s="42"/>
      <c r="AB549" s="42"/>
      <c r="AC549" s="42"/>
      <c r="AD549" s="42"/>
      <c r="AE549" s="42"/>
      <c r="AF549" s="42"/>
      <c r="AG549" s="42"/>
      <c r="AH549" s="42"/>
      <c r="AI549" s="42"/>
      <c r="AJ549" s="42"/>
      <c r="AK549" s="42"/>
      <c r="AL549" s="42"/>
      <c r="AM549" s="42"/>
    </row>
    <row r="550" spans="1:39" x14ac:dyDescent="0.25">
      <c r="A550" s="38" t="s">
        <v>901</v>
      </c>
      <c r="B550" s="42"/>
      <c r="C550" s="42"/>
      <c r="D550" s="42"/>
      <c r="E550" s="41"/>
      <c r="F550" s="41"/>
      <c r="G550" s="41"/>
      <c r="H550" s="41"/>
      <c r="I550" s="41"/>
      <c r="J550" s="42"/>
      <c r="K550" s="41"/>
      <c r="L550" s="41"/>
      <c r="M550" s="127"/>
      <c r="N550" s="41"/>
      <c r="O550" s="41"/>
      <c r="P550" s="41"/>
      <c r="Q550" s="42"/>
      <c r="R550" s="35"/>
      <c r="S550" s="35"/>
      <c r="T550" s="35"/>
      <c r="U550" s="35"/>
      <c r="V550" s="121"/>
      <c r="W550" s="42"/>
      <c r="X550" s="42"/>
      <c r="Y550" s="42"/>
      <c r="Z550" s="42"/>
      <c r="AA550" s="42"/>
      <c r="AB550" s="42"/>
      <c r="AC550" s="42"/>
      <c r="AD550" s="42"/>
      <c r="AE550" s="42"/>
      <c r="AF550" s="42"/>
      <c r="AG550" s="42"/>
      <c r="AH550" s="42"/>
      <c r="AI550" s="42"/>
      <c r="AJ550" s="42"/>
      <c r="AK550" s="42"/>
      <c r="AL550" s="42"/>
      <c r="AM550" s="42"/>
    </row>
    <row r="551" spans="1:39" x14ac:dyDescent="0.25">
      <c r="A551" s="38" t="s">
        <v>902</v>
      </c>
      <c r="B551" s="42"/>
      <c r="C551" s="42"/>
      <c r="D551" s="42"/>
      <c r="E551" s="41"/>
      <c r="F551" s="41"/>
      <c r="G551" s="41"/>
      <c r="H551" s="41"/>
      <c r="I551" s="41"/>
      <c r="J551" s="42"/>
      <c r="K551" s="41"/>
      <c r="L551" s="41"/>
      <c r="M551" s="127"/>
      <c r="N551" s="41"/>
      <c r="O551" s="41"/>
      <c r="P551" s="41"/>
      <c r="Q551" s="42"/>
      <c r="R551" s="35"/>
      <c r="S551" s="35"/>
      <c r="T551" s="35"/>
      <c r="U551" s="35"/>
      <c r="V551" s="121"/>
      <c r="W551" s="42"/>
      <c r="X551" s="42"/>
      <c r="Y551" s="42"/>
      <c r="Z551" s="42"/>
      <c r="AA551" s="42"/>
      <c r="AB551" s="42"/>
      <c r="AC551" s="42"/>
      <c r="AD551" s="42"/>
      <c r="AE551" s="42"/>
      <c r="AF551" s="42"/>
      <c r="AG551" s="42"/>
      <c r="AH551" s="42"/>
      <c r="AI551" s="42"/>
      <c r="AJ551" s="42"/>
      <c r="AK551" s="42"/>
      <c r="AL551" s="42"/>
      <c r="AM551" s="42"/>
    </row>
    <row r="552" spans="1:39" x14ac:dyDescent="0.25">
      <c r="A552" s="38" t="s">
        <v>903</v>
      </c>
      <c r="B552" s="42"/>
      <c r="C552" s="42"/>
      <c r="D552" s="42"/>
      <c r="E552" s="41"/>
      <c r="F552" s="41"/>
      <c r="G552" s="41"/>
      <c r="H552" s="41"/>
      <c r="I552" s="41"/>
      <c r="J552" s="42"/>
      <c r="K552" s="41"/>
      <c r="L552" s="41"/>
      <c r="M552" s="127"/>
      <c r="N552" s="41"/>
      <c r="O552" s="41"/>
      <c r="P552" s="41"/>
      <c r="Q552" s="42"/>
      <c r="R552" s="35"/>
      <c r="S552" s="35"/>
      <c r="T552" s="35"/>
      <c r="U552" s="35"/>
      <c r="V552" s="121"/>
      <c r="W552" s="42"/>
      <c r="X552" s="42"/>
      <c r="Y552" s="42"/>
      <c r="Z552" s="42"/>
      <c r="AA552" s="42"/>
      <c r="AB552" s="42"/>
      <c r="AC552" s="42"/>
      <c r="AD552" s="42"/>
      <c r="AE552" s="42"/>
      <c r="AF552" s="42"/>
      <c r="AG552" s="42"/>
      <c r="AH552" s="42"/>
      <c r="AI552" s="42"/>
      <c r="AJ552" s="42"/>
      <c r="AK552" s="42"/>
      <c r="AL552" s="42"/>
      <c r="AM552" s="42"/>
    </row>
    <row r="553" spans="1:39" x14ac:dyDescent="0.25">
      <c r="A553" s="38" t="s">
        <v>904</v>
      </c>
      <c r="B553" s="42"/>
      <c r="C553" s="42"/>
      <c r="D553" s="42"/>
      <c r="E553" s="41"/>
      <c r="F553" s="41"/>
      <c r="G553" s="41"/>
      <c r="H553" s="41"/>
      <c r="I553" s="41"/>
      <c r="J553" s="42"/>
      <c r="K553" s="41"/>
      <c r="L553" s="41"/>
      <c r="M553" s="127"/>
      <c r="N553" s="41"/>
      <c r="O553" s="41"/>
      <c r="P553" s="41"/>
      <c r="Q553" s="42"/>
      <c r="R553" s="35"/>
      <c r="S553" s="35"/>
      <c r="T553" s="35"/>
      <c r="U553" s="35"/>
      <c r="V553" s="121"/>
      <c r="W553" s="42"/>
      <c r="X553" s="42"/>
      <c r="Y553" s="42"/>
      <c r="Z553" s="42"/>
      <c r="AA553" s="42"/>
      <c r="AB553" s="42"/>
      <c r="AC553" s="42"/>
      <c r="AD553" s="42"/>
      <c r="AE553" s="42"/>
      <c r="AF553" s="42"/>
      <c r="AG553" s="42"/>
      <c r="AH553" s="42"/>
      <c r="AI553" s="42"/>
      <c r="AJ553" s="42"/>
      <c r="AK553" s="42"/>
      <c r="AL553" s="42"/>
      <c r="AM553" s="42"/>
    </row>
    <row r="554" spans="1:39" x14ac:dyDescent="0.25">
      <c r="A554" s="38" t="s">
        <v>905</v>
      </c>
      <c r="B554" s="42"/>
      <c r="C554" s="42"/>
      <c r="D554" s="42"/>
      <c r="E554" s="41"/>
      <c r="F554" s="41"/>
      <c r="G554" s="41"/>
      <c r="H554" s="41"/>
      <c r="I554" s="41"/>
      <c r="J554" s="42"/>
      <c r="K554" s="41"/>
      <c r="L554" s="41"/>
      <c r="M554" s="127"/>
      <c r="N554" s="41"/>
      <c r="O554" s="41"/>
      <c r="P554" s="41"/>
      <c r="Q554" s="42"/>
      <c r="R554" s="35"/>
      <c r="S554" s="35"/>
      <c r="T554" s="35"/>
      <c r="U554" s="35"/>
      <c r="V554" s="121"/>
      <c r="W554" s="42"/>
      <c r="X554" s="42"/>
      <c r="Y554" s="42"/>
      <c r="Z554" s="42"/>
      <c r="AA554" s="42"/>
      <c r="AB554" s="42"/>
      <c r="AC554" s="42"/>
      <c r="AD554" s="42"/>
      <c r="AE554" s="42"/>
      <c r="AF554" s="42"/>
      <c r="AG554" s="42"/>
      <c r="AH554" s="42"/>
      <c r="AI554" s="42"/>
      <c r="AJ554" s="42"/>
      <c r="AK554" s="42"/>
      <c r="AL554" s="42"/>
      <c r="AM554" s="42"/>
    </row>
    <row r="555" spans="1:39" x14ac:dyDescent="0.25">
      <c r="A555" s="38" t="s">
        <v>906</v>
      </c>
      <c r="B555" s="42"/>
      <c r="C555" s="42"/>
      <c r="D555" s="42"/>
      <c r="E555" s="41"/>
      <c r="F555" s="41"/>
      <c r="G555" s="41"/>
      <c r="H555" s="41"/>
      <c r="I555" s="41"/>
      <c r="J555" s="42"/>
      <c r="K555" s="41"/>
      <c r="L555" s="41"/>
      <c r="M555" s="127"/>
      <c r="N555" s="41"/>
      <c r="O555" s="41"/>
      <c r="P555" s="41"/>
      <c r="Q555" s="42"/>
      <c r="R555" s="35"/>
      <c r="S555" s="35"/>
      <c r="T555" s="35"/>
      <c r="U555" s="35"/>
      <c r="V555" s="121"/>
      <c r="W555" s="42"/>
      <c r="X555" s="42"/>
      <c r="Y555" s="42"/>
      <c r="Z555" s="42"/>
      <c r="AA555" s="42"/>
      <c r="AB555" s="42"/>
      <c r="AC555" s="42"/>
      <c r="AD555" s="42"/>
      <c r="AE555" s="42"/>
      <c r="AF555" s="42"/>
      <c r="AG555" s="42"/>
      <c r="AH555" s="42"/>
      <c r="AI555" s="42"/>
      <c r="AJ555" s="42"/>
      <c r="AK555" s="42"/>
      <c r="AL555" s="42"/>
      <c r="AM555" s="42"/>
    </row>
    <row r="556" spans="1:39" x14ac:dyDescent="0.25">
      <c r="A556" s="38" t="s">
        <v>907</v>
      </c>
      <c r="B556" s="42"/>
      <c r="C556" s="42"/>
      <c r="D556" s="42"/>
      <c r="E556" s="41"/>
      <c r="F556" s="41"/>
      <c r="G556" s="41"/>
      <c r="H556" s="41"/>
      <c r="I556" s="41"/>
      <c r="J556" s="42"/>
      <c r="K556" s="41"/>
      <c r="L556" s="41"/>
      <c r="M556" s="127"/>
      <c r="N556" s="41"/>
      <c r="O556" s="41"/>
      <c r="P556" s="41"/>
      <c r="Q556" s="42"/>
      <c r="R556" s="35"/>
      <c r="S556" s="35"/>
      <c r="T556" s="35"/>
      <c r="U556" s="35"/>
      <c r="V556" s="121"/>
      <c r="W556" s="42"/>
      <c r="X556" s="42"/>
      <c r="Y556" s="42"/>
      <c r="Z556" s="42"/>
      <c r="AA556" s="42"/>
      <c r="AB556" s="42"/>
      <c r="AC556" s="42"/>
      <c r="AD556" s="42"/>
      <c r="AE556" s="42"/>
      <c r="AF556" s="42"/>
      <c r="AG556" s="42"/>
      <c r="AH556" s="42"/>
      <c r="AI556" s="42"/>
      <c r="AJ556" s="42"/>
      <c r="AK556" s="42"/>
      <c r="AL556" s="42"/>
      <c r="AM556" s="42"/>
    </row>
    <row r="557" spans="1:39" x14ac:dyDescent="0.25">
      <c r="A557" s="38" t="s">
        <v>908</v>
      </c>
      <c r="B557" s="42"/>
      <c r="C557" s="42"/>
      <c r="D557" s="42"/>
      <c r="E557" s="41"/>
      <c r="F557" s="41"/>
      <c r="G557" s="41"/>
      <c r="H557" s="41"/>
      <c r="I557" s="41"/>
      <c r="J557" s="42"/>
      <c r="K557" s="41"/>
      <c r="L557" s="41"/>
      <c r="M557" s="127"/>
      <c r="N557" s="41"/>
      <c r="O557" s="41"/>
      <c r="P557" s="41"/>
      <c r="Q557" s="42"/>
      <c r="R557" s="35"/>
      <c r="S557" s="35"/>
      <c r="T557" s="35"/>
      <c r="U557" s="35"/>
      <c r="V557" s="121"/>
      <c r="W557" s="42"/>
      <c r="X557" s="42"/>
      <c r="Y557" s="42"/>
      <c r="Z557" s="42"/>
      <c r="AA557" s="42"/>
      <c r="AB557" s="42"/>
      <c r="AC557" s="42"/>
      <c r="AD557" s="42"/>
      <c r="AE557" s="42"/>
      <c r="AF557" s="42"/>
      <c r="AG557" s="42"/>
      <c r="AH557" s="42"/>
      <c r="AI557" s="42"/>
      <c r="AJ557" s="42"/>
      <c r="AK557" s="42"/>
      <c r="AL557" s="42"/>
      <c r="AM557" s="42"/>
    </row>
    <row r="558" spans="1:39" x14ac:dyDescent="0.25">
      <c r="A558" s="38" t="s">
        <v>909</v>
      </c>
      <c r="B558" s="42"/>
      <c r="C558" s="42"/>
      <c r="D558" s="42"/>
      <c r="E558" s="41"/>
      <c r="F558" s="41"/>
      <c r="G558" s="41"/>
      <c r="H558" s="41"/>
      <c r="I558" s="41"/>
      <c r="J558" s="42"/>
      <c r="K558" s="41"/>
      <c r="L558" s="41"/>
      <c r="M558" s="127"/>
      <c r="N558" s="41"/>
      <c r="O558" s="41"/>
      <c r="P558" s="41"/>
      <c r="Q558" s="42"/>
      <c r="R558" s="35"/>
      <c r="S558" s="35"/>
      <c r="T558" s="35"/>
      <c r="U558" s="35"/>
      <c r="V558" s="121"/>
      <c r="W558" s="42"/>
      <c r="X558" s="42"/>
      <c r="Y558" s="42"/>
      <c r="Z558" s="42"/>
      <c r="AA558" s="42"/>
      <c r="AB558" s="42"/>
      <c r="AC558" s="42"/>
      <c r="AD558" s="42"/>
      <c r="AE558" s="42"/>
      <c r="AF558" s="42"/>
      <c r="AG558" s="42"/>
      <c r="AH558" s="42"/>
      <c r="AI558" s="42"/>
      <c r="AJ558" s="42"/>
      <c r="AK558" s="42"/>
      <c r="AL558" s="42"/>
      <c r="AM558" s="42"/>
    </row>
    <row r="559" spans="1:39" x14ac:dyDescent="0.25">
      <c r="A559" s="38" t="s">
        <v>910</v>
      </c>
      <c r="B559" s="42"/>
      <c r="C559" s="42"/>
      <c r="D559" s="42"/>
      <c r="E559" s="41"/>
      <c r="F559" s="41"/>
      <c r="G559" s="41"/>
      <c r="H559" s="41"/>
      <c r="I559" s="41"/>
      <c r="J559" s="42"/>
      <c r="K559" s="41"/>
      <c r="L559" s="41"/>
      <c r="M559" s="127"/>
      <c r="N559" s="41"/>
      <c r="O559" s="41"/>
      <c r="P559" s="41"/>
      <c r="Q559" s="42"/>
      <c r="R559" s="35"/>
      <c r="S559" s="35"/>
      <c r="T559" s="35"/>
      <c r="U559" s="35"/>
      <c r="V559" s="121"/>
      <c r="W559" s="42"/>
      <c r="X559" s="42"/>
      <c r="Y559" s="42"/>
      <c r="Z559" s="42"/>
      <c r="AA559" s="42"/>
      <c r="AB559" s="42"/>
      <c r="AC559" s="42"/>
      <c r="AD559" s="42"/>
      <c r="AE559" s="42"/>
      <c r="AF559" s="42"/>
      <c r="AG559" s="42"/>
      <c r="AH559" s="42"/>
      <c r="AI559" s="42"/>
      <c r="AJ559" s="42"/>
      <c r="AK559" s="42"/>
      <c r="AL559" s="42"/>
      <c r="AM559" s="42"/>
    </row>
    <row r="560" spans="1:39" x14ac:dyDescent="0.25">
      <c r="A560" s="38" t="s">
        <v>911</v>
      </c>
      <c r="B560" s="42"/>
      <c r="C560" s="42"/>
      <c r="D560" s="42"/>
      <c r="E560" s="41"/>
      <c r="F560" s="41"/>
      <c r="G560" s="41"/>
      <c r="H560" s="41"/>
      <c r="I560" s="41"/>
      <c r="J560" s="42"/>
      <c r="K560" s="41"/>
      <c r="L560" s="41"/>
      <c r="M560" s="127"/>
      <c r="N560" s="41"/>
      <c r="O560" s="41"/>
      <c r="P560" s="41"/>
      <c r="Q560" s="42"/>
      <c r="R560" s="35"/>
      <c r="S560" s="35"/>
      <c r="T560" s="35"/>
      <c r="U560" s="35"/>
      <c r="V560" s="121"/>
      <c r="W560" s="42"/>
      <c r="X560" s="42"/>
      <c r="Y560" s="42"/>
      <c r="Z560" s="42"/>
      <c r="AA560" s="42"/>
      <c r="AB560" s="42"/>
      <c r="AC560" s="42"/>
      <c r="AD560" s="42"/>
      <c r="AE560" s="42"/>
      <c r="AF560" s="42"/>
      <c r="AG560" s="42"/>
      <c r="AH560" s="42"/>
      <c r="AI560" s="42"/>
      <c r="AJ560" s="42"/>
      <c r="AK560" s="42"/>
      <c r="AL560" s="42"/>
      <c r="AM560" s="42"/>
    </row>
    <row r="561" spans="1:39" x14ac:dyDescent="0.25">
      <c r="A561" s="38" t="s">
        <v>912</v>
      </c>
      <c r="B561" s="42"/>
      <c r="C561" s="42"/>
      <c r="D561" s="42"/>
      <c r="E561" s="41"/>
      <c r="F561" s="41"/>
      <c r="G561" s="41"/>
      <c r="H561" s="41"/>
      <c r="I561" s="41"/>
      <c r="J561" s="42"/>
      <c r="K561" s="41"/>
      <c r="L561" s="41"/>
      <c r="M561" s="127"/>
      <c r="N561" s="41"/>
      <c r="O561" s="41"/>
      <c r="P561" s="41"/>
      <c r="Q561" s="42"/>
      <c r="R561" s="35"/>
      <c r="S561" s="35"/>
      <c r="T561" s="35"/>
      <c r="U561" s="35"/>
      <c r="V561" s="121"/>
      <c r="W561" s="42"/>
      <c r="X561" s="42"/>
      <c r="Y561" s="42"/>
      <c r="Z561" s="42"/>
      <c r="AA561" s="42"/>
      <c r="AB561" s="42"/>
      <c r="AC561" s="42"/>
      <c r="AD561" s="42"/>
      <c r="AE561" s="42"/>
      <c r="AF561" s="42"/>
      <c r="AG561" s="42"/>
      <c r="AH561" s="42"/>
      <c r="AI561" s="42"/>
      <c r="AJ561" s="42"/>
      <c r="AK561" s="42"/>
      <c r="AL561" s="42"/>
      <c r="AM561" s="42"/>
    </row>
    <row r="562" spans="1:39" x14ac:dyDescent="0.25">
      <c r="A562" s="38" t="s">
        <v>913</v>
      </c>
      <c r="B562" s="42"/>
      <c r="C562" s="42"/>
      <c r="D562" s="42"/>
      <c r="E562" s="41"/>
      <c r="F562" s="41"/>
      <c r="G562" s="41"/>
      <c r="H562" s="41"/>
      <c r="I562" s="41"/>
      <c r="J562" s="42"/>
      <c r="K562" s="41"/>
      <c r="L562" s="41"/>
      <c r="M562" s="127"/>
      <c r="N562" s="41"/>
      <c r="O562" s="41"/>
      <c r="P562" s="41"/>
      <c r="Q562" s="42"/>
      <c r="R562" s="35"/>
      <c r="S562" s="35"/>
      <c r="T562" s="35"/>
      <c r="U562" s="35"/>
      <c r="V562" s="121"/>
      <c r="W562" s="42"/>
      <c r="X562" s="42"/>
      <c r="Y562" s="42"/>
      <c r="Z562" s="42"/>
      <c r="AA562" s="42"/>
      <c r="AB562" s="42"/>
      <c r="AC562" s="42"/>
      <c r="AD562" s="42"/>
      <c r="AE562" s="42"/>
      <c r="AF562" s="42"/>
      <c r="AG562" s="42"/>
      <c r="AH562" s="42"/>
      <c r="AI562" s="42"/>
      <c r="AJ562" s="42"/>
      <c r="AK562" s="42"/>
      <c r="AL562" s="42"/>
      <c r="AM562" s="42"/>
    </row>
    <row r="563" spans="1:39" x14ac:dyDescent="0.25">
      <c r="A563" s="38" t="s">
        <v>914</v>
      </c>
      <c r="B563" s="42"/>
      <c r="C563" s="42"/>
      <c r="D563" s="42"/>
      <c r="E563" s="41"/>
      <c r="F563" s="41"/>
      <c r="G563" s="41"/>
      <c r="H563" s="41"/>
      <c r="I563" s="41"/>
      <c r="J563" s="42"/>
      <c r="K563" s="41"/>
      <c r="L563" s="41"/>
      <c r="M563" s="127"/>
      <c r="N563" s="41"/>
      <c r="O563" s="41"/>
      <c r="P563" s="41"/>
      <c r="Q563" s="42"/>
      <c r="R563" s="35"/>
      <c r="S563" s="35"/>
      <c r="T563" s="35"/>
      <c r="U563" s="35"/>
      <c r="V563" s="121"/>
      <c r="W563" s="42"/>
      <c r="X563" s="42"/>
      <c r="Y563" s="42"/>
      <c r="Z563" s="42"/>
      <c r="AA563" s="42"/>
      <c r="AB563" s="42"/>
      <c r="AC563" s="42"/>
      <c r="AD563" s="42"/>
      <c r="AE563" s="42"/>
      <c r="AF563" s="42"/>
      <c r="AG563" s="42"/>
      <c r="AH563" s="42"/>
      <c r="AI563" s="42"/>
      <c r="AJ563" s="42"/>
      <c r="AK563" s="42"/>
      <c r="AL563" s="42"/>
      <c r="AM563" s="42"/>
    </row>
    <row r="564" spans="1:39" x14ac:dyDescent="0.25">
      <c r="A564" s="38" t="s">
        <v>915</v>
      </c>
      <c r="B564" s="42"/>
      <c r="C564" s="42"/>
      <c r="D564" s="42"/>
      <c r="E564" s="41"/>
      <c r="F564" s="41"/>
      <c r="G564" s="41"/>
      <c r="H564" s="41"/>
      <c r="I564" s="41"/>
      <c r="J564" s="42"/>
      <c r="K564" s="41"/>
      <c r="L564" s="41"/>
      <c r="M564" s="127"/>
      <c r="N564" s="41"/>
      <c r="O564" s="41"/>
      <c r="P564" s="41"/>
      <c r="Q564" s="42"/>
      <c r="R564" s="35"/>
      <c r="S564" s="35"/>
      <c r="T564" s="35"/>
      <c r="U564" s="35"/>
      <c r="V564" s="121"/>
      <c r="W564" s="42"/>
      <c r="X564" s="42"/>
      <c r="Y564" s="42"/>
      <c r="Z564" s="42"/>
      <c r="AA564" s="42"/>
      <c r="AB564" s="42"/>
      <c r="AC564" s="42"/>
      <c r="AD564" s="42"/>
      <c r="AE564" s="42"/>
      <c r="AF564" s="42"/>
      <c r="AG564" s="42"/>
      <c r="AH564" s="42"/>
      <c r="AI564" s="42"/>
      <c r="AJ564" s="42"/>
      <c r="AK564" s="42"/>
      <c r="AL564" s="42"/>
      <c r="AM564" s="42"/>
    </row>
    <row r="565" spans="1:39" x14ac:dyDescent="0.25">
      <c r="A565" s="38" t="s">
        <v>916</v>
      </c>
      <c r="B565" s="42"/>
      <c r="C565" s="42"/>
      <c r="D565" s="42"/>
      <c r="E565" s="41"/>
      <c r="F565" s="41"/>
      <c r="G565" s="41"/>
      <c r="H565" s="41"/>
      <c r="I565" s="41"/>
      <c r="J565" s="42"/>
      <c r="K565" s="41"/>
      <c r="L565" s="41"/>
      <c r="M565" s="127"/>
      <c r="N565" s="41"/>
      <c r="O565" s="41"/>
      <c r="P565" s="41"/>
      <c r="Q565" s="42"/>
      <c r="R565" s="35"/>
      <c r="S565" s="35"/>
      <c r="T565" s="35"/>
      <c r="U565" s="35"/>
      <c r="V565" s="121"/>
      <c r="W565" s="42"/>
      <c r="X565" s="42"/>
      <c r="Y565" s="42"/>
      <c r="Z565" s="42"/>
      <c r="AA565" s="42"/>
      <c r="AB565" s="42"/>
      <c r="AC565" s="42"/>
      <c r="AD565" s="42"/>
      <c r="AE565" s="42"/>
      <c r="AF565" s="42"/>
      <c r="AG565" s="42"/>
      <c r="AH565" s="42"/>
      <c r="AI565" s="42"/>
      <c r="AJ565" s="42"/>
      <c r="AK565" s="42"/>
      <c r="AL565" s="42"/>
      <c r="AM565" s="42"/>
    </row>
    <row r="566" spans="1:39" x14ac:dyDescent="0.25">
      <c r="A566" s="38" t="s">
        <v>917</v>
      </c>
      <c r="B566" s="42"/>
      <c r="C566" s="42"/>
      <c r="D566" s="42"/>
      <c r="E566" s="41"/>
      <c r="F566" s="41"/>
      <c r="G566" s="41"/>
      <c r="H566" s="41"/>
      <c r="I566" s="41"/>
      <c r="J566" s="42"/>
      <c r="K566" s="41"/>
      <c r="L566" s="41"/>
      <c r="M566" s="127"/>
      <c r="N566" s="41"/>
      <c r="O566" s="41"/>
      <c r="P566" s="41"/>
      <c r="Q566" s="42"/>
      <c r="R566" s="35"/>
      <c r="S566" s="35"/>
      <c r="T566" s="35"/>
      <c r="U566" s="35"/>
      <c r="V566" s="121"/>
      <c r="W566" s="42"/>
      <c r="X566" s="42"/>
      <c r="Y566" s="42"/>
      <c r="Z566" s="42"/>
      <c r="AA566" s="42"/>
      <c r="AB566" s="42"/>
      <c r="AC566" s="42"/>
      <c r="AD566" s="42"/>
      <c r="AE566" s="42"/>
      <c r="AF566" s="42"/>
      <c r="AG566" s="42"/>
      <c r="AH566" s="42"/>
      <c r="AI566" s="42"/>
      <c r="AJ566" s="42"/>
      <c r="AK566" s="42"/>
      <c r="AL566" s="42"/>
      <c r="AM566" s="42"/>
    </row>
    <row r="567" spans="1:39" x14ac:dyDescent="0.25">
      <c r="A567" s="38" t="s">
        <v>918</v>
      </c>
      <c r="B567" s="42"/>
      <c r="C567" s="42"/>
      <c r="D567" s="42"/>
      <c r="E567" s="41"/>
      <c r="F567" s="41"/>
      <c r="G567" s="41"/>
      <c r="H567" s="41"/>
      <c r="I567" s="41"/>
      <c r="J567" s="42"/>
      <c r="K567" s="41"/>
      <c r="L567" s="41"/>
      <c r="M567" s="127"/>
      <c r="N567" s="41"/>
      <c r="O567" s="41"/>
      <c r="P567" s="41"/>
      <c r="Q567" s="42"/>
      <c r="R567" s="35"/>
      <c r="S567" s="35"/>
      <c r="T567" s="35"/>
      <c r="U567" s="35"/>
      <c r="V567" s="121"/>
      <c r="W567" s="42"/>
      <c r="X567" s="42"/>
      <c r="Y567" s="42"/>
      <c r="Z567" s="42"/>
      <c r="AA567" s="42"/>
      <c r="AB567" s="42"/>
      <c r="AC567" s="42"/>
      <c r="AD567" s="42"/>
      <c r="AE567" s="42"/>
      <c r="AF567" s="42"/>
      <c r="AG567" s="42"/>
      <c r="AH567" s="42"/>
      <c r="AI567" s="42"/>
      <c r="AJ567" s="42"/>
      <c r="AK567" s="42"/>
      <c r="AL567" s="42"/>
      <c r="AM567" s="42"/>
    </row>
    <row r="568" spans="1:39" x14ac:dyDescent="0.25">
      <c r="A568" s="38" t="s">
        <v>919</v>
      </c>
      <c r="B568" s="42"/>
      <c r="C568" s="42"/>
      <c r="D568" s="42"/>
      <c r="E568" s="41"/>
      <c r="F568" s="41"/>
      <c r="G568" s="41"/>
      <c r="H568" s="41"/>
      <c r="I568" s="41"/>
      <c r="J568" s="42"/>
      <c r="K568" s="41"/>
      <c r="L568" s="41"/>
      <c r="M568" s="127"/>
      <c r="N568" s="41"/>
      <c r="O568" s="41"/>
      <c r="P568" s="41"/>
      <c r="Q568" s="42"/>
      <c r="R568" s="35"/>
      <c r="S568" s="35"/>
      <c r="T568" s="35"/>
      <c r="U568" s="35"/>
      <c r="V568" s="121"/>
      <c r="W568" s="42"/>
      <c r="X568" s="42"/>
      <c r="Y568" s="42"/>
      <c r="Z568" s="42"/>
      <c r="AA568" s="42"/>
      <c r="AB568" s="42"/>
      <c r="AC568" s="42"/>
      <c r="AD568" s="42"/>
      <c r="AE568" s="42"/>
      <c r="AF568" s="42"/>
      <c r="AG568" s="42"/>
      <c r="AH568" s="42"/>
      <c r="AI568" s="42"/>
      <c r="AJ568" s="42"/>
      <c r="AK568" s="42"/>
      <c r="AL568" s="42"/>
      <c r="AM568" s="42"/>
    </row>
    <row r="569" spans="1:39" x14ac:dyDescent="0.25">
      <c r="A569" s="38" t="s">
        <v>920</v>
      </c>
      <c r="B569" s="42"/>
      <c r="C569" s="42"/>
      <c r="D569" s="42"/>
      <c r="E569" s="41"/>
      <c r="F569" s="41"/>
      <c r="G569" s="41"/>
      <c r="H569" s="41"/>
      <c r="I569" s="41"/>
      <c r="J569" s="42"/>
      <c r="K569" s="41"/>
      <c r="L569" s="41"/>
      <c r="M569" s="127"/>
      <c r="N569" s="41"/>
      <c r="O569" s="41"/>
      <c r="P569" s="41"/>
      <c r="Q569" s="42"/>
      <c r="R569" s="35"/>
      <c r="S569" s="35"/>
      <c r="T569" s="35"/>
      <c r="U569" s="35"/>
      <c r="V569" s="121"/>
      <c r="W569" s="42"/>
      <c r="X569" s="42"/>
      <c r="Y569" s="42"/>
      <c r="Z569" s="42"/>
      <c r="AA569" s="42"/>
      <c r="AB569" s="42"/>
      <c r="AC569" s="42"/>
      <c r="AD569" s="42"/>
      <c r="AE569" s="42"/>
      <c r="AF569" s="42"/>
      <c r="AG569" s="42"/>
      <c r="AH569" s="42"/>
      <c r="AI569" s="42"/>
      <c r="AJ569" s="42"/>
      <c r="AK569" s="42"/>
      <c r="AL569" s="42"/>
      <c r="AM569" s="42"/>
    </row>
    <row r="570" spans="1:39" x14ac:dyDescent="0.25">
      <c r="A570" s="38" t="s">
        <v>921</v>
      </c>
      <c r="B570" s="42"/>
      <c r="C570" s="42"/>
      <c r="D570" s="42"/>
      <c r="E570" s="41"/>
      <c r="F570" s="41"/>
      <c r="G570" s="41"/>
      <c r="H570" s="41"/>
      <c r="I570" s="41"/>
      <c r="J570" s="42"/>
      <c r="K570" s="41"/>
      <c r="L570" s="41"/>
      <c r="M570" s="127"/>
      <c r="N570" s="41"/>
      <c r="O570" s="41"/>
      <c r="P570" s="41"/>
      <c r="Q570" s="42"/>
      <c r="R570" s="35"/>
      <c r="S570" s="35"/>
      <c r="T570" s="35"/>
      <c r="U570" s="35"/>
      <c r="V570" s="121"/>
      <c r="W570" s="42"/>
      <c r="X570" s="42"/>
      <c r="Y570" s="42"/>
      <c r="Z570" s="42"/>
      <c r="AA570" s="42"/>
      <c r="AB570" s="42"/>
      <c r="AC570" s="42"/>
      <c r="AD570" s="42"/>
      <c r="AE570" s="42"/>
      <c r="AF570" s="42"/>
      <c r="AG570" s="42"/>
      <c r="AH570" s="42"/>
      <c r="AI570" s="42"/>
      <c r="AJ570" s="42"/>
      <c r="AK570" s="42"/>
      <c r="AL570" s="42"/>
      <c r="AM570" s="42"/>
    </row>
    <row r="571" spans="1:39" x14ac:dyDescent="0.25">
      <c r="A571" s="38" t="s">
        <v>922</v>
      </c>
      <c r="B571" s="42"/>
      <c r="C571" s="42"/>
      <c r="D571" s="42"/>
      <c r="E571" s="41"/>
      <c r="F571" s="41"/>
      <c r="G571" s="41"/>
      <c r="H571" s="41"/>
      <c r="I571" s="41"/>
      <c r="J571" s="42"/>
      <c r="K571" s="41"/>
      <c r="L571" s="41"/>
      <c r="M571" s="127"/>
      <c r="N571" s="41"/>
      <c r="O571" s="41"/>
      <c r="P571" s="41"/>
      <c r="Q571" s="42"/>
      <c r="R571" s="35"/>
      <c r="S571" s="35"/>
      <c r="T571" s="35"/>
      <c r="U571" s="35"/>
      <c r="V571" s="121"/>
      <c r="W571" s="42"/>
      <c r="X571" s="42"/>
      <c r="Y571" s="42"/>
      <c r="Z571" s="42"/>
      <c r="AA571" s="42"/>
      <c r="AB571" s="42"/>
      <c r="AC571" s="42"/>
      <c r="AD571" s="42"/>
      <c r="AE571" s="42"/>
      <c r="AF571" s="42"/>
      <c r="AG571" s="42"/>
      <c r="AH571" s="42"/>
      <c r="AI571" s="42"/>
      <c r="AJ571" s="42"/>
      <c r="AK571" s="42"/>
      <c r="AL571" s="42"/>
      <c r="AM571" s="42"/>
    </row>
    <row r="572" spans="1:39" x14ac:dyDescent="0.25">
      <c r="A572" s="38" t="s">
        <v>923</v>
      </c>
      <c r="B572" s="42"/>
      <c r="C572" s="42"/>
      <c r="D572" s="42"/>
      <c r="E572" s="41"/>
      <c r="F572" s="41"/>
      <c r="G572" s="41"/>
      <c r="H572" s="41"/>
      <c r="I572" s="41"/>
      <c r="J572" s="42"/>
      <c r="K572" s="41"/>
      <c r="L572" s="41"/>
      <c r="M572" s="127"/>
      <c r="N572" s="41"/>
      <c r="O572" s="41"/>
      <c r="P572" s="41"/>
      <c r="Q572" s="42"/>
      <c r="R572" s="35"/>
      <c r="S572" s="35"/>
      <c r="T572" s="35"/>
      <c r="U572" s="35"/>
      <c r="V572" s="121"/>
      <c r="W572" s="42"/>
      <c r="X572" s="42"/>
      <c r="Y572" s="42"/>
      <c r="Z572" s="42"/>
      <c r="AA572" s="42"/>
      <c r="AB572" s="42"/>
      <c r="AC572" s="42"/>
      <c r="AD572" s="42"/>
      <c r="AE572" s="42"/>
      <c r="AF572" s="42"/>
      <c r="AG572" s="42"/>
      <c r="AH572" s="42"/>
      <c r="AI572" s="42"/>
      <c r="AJ572" s="42"/>
      <c r="AK572" s="42"/>
      <c r="AL572" s="42"/>
      <c r="AM572" s="42"/>
    </row>
    <row r="573" spans="1:39" x14ac:dyDescent="0.25">
      <c r="A573" s="38" t="s">
        <v>924</v>
      </c>
      <c r="B573" s="42"/>
      <c r="C573" s="42"/>
      <c r="D573" s="42"/>
      <c r="E573" s="41"/>
      <c r="F573" s="41"/>
      <c r="G573" s="41"/>
      <c r="H573" s="41"/>
      <c r="I573" s="41"/>
      <c r="J573" s="42"/>
      <c r="K573" s="41"/>
      <c r="L573" s="41"/>
      <c r="M573" s="127"/>
      <c r="N573" s="41"/>
      <c r="O573" s="41"/>
      <c r="P573" s="41"/>
      <c r="Q573" s="42"/>
      <c r="R573" s="35"/>
      <c r="S573" s="35"/>
      <c r="T573" s="35"/>
      <c r="U573" s="35"/>
      <c r="V573" s="121"/>
      <c r="W573" s="42"/>
      <c r="X573" s="42"/>
      <c r="Y573" s="42"/>
      <c r="Z573" s="42"/>
      <c r="AA573" s="42"/>
      <c r="AB573" s="42"/>
      <c r="AC573" s="42"/>
      <c r="AD573" s="42"/>
      <c r="AE573" s="42"/>
      <c r="AF573" s="42"/>
      <c r="AG573" s="42"/>
      <c r="AH573" s="42"/>
      <c r="AI573" s="42"/>
      <c r="AJ573" s="42"/>
      <c r="AK573" s="42"/>
      <c r="AL573" s="42"/>
      <c r="AM573" s="42"/>
    </row>
    <row r="574" spans="1:39" x14ac:dyDescent="0.25">
      <c r="A574" s="38" t="s">
        <v>925</v>
      </c>
      <c r="B574" s="42"/>
      <c r="C574" s="42"/>
      <c r="D574" s="42"/>
      <c r="E574" s="41"/>
      <c r="F574" s="41"/>
      <c r="G574" s="41"/>
      <c r="H574" s="41"/>
      <c r="I574" s="41"/>
      <c r="J574" s="42"/>
      <c r="K574" s="41"/>
      <c r="L574" s="41"/>
      <c r="M574" s="127"/>
      <c r="N574" s="41"/>
      <c r="O574" s="41"/>
      <c r="P574" s="41"/>
      <c r="Q574" s="42"/>
      <c r="R574" s="35"/>
      <c r="S574" s="35"/>
      <c r="T574" s="35"/>
      <c r="U574" s="35"/>
      <c r="V574" s="121"/>
      <c r="W574" s="42"/>
      <c r="X574" s="42"/>
      <c r="Y574" s="42"/>
      <c r="Z574" s="42"/>
      <c r="AA574" s="42"/>
      <c r="AB574" s="42"/>
      <c r="AC574" s="42"/>
      <c r="AD574" s="42"/>
      <c r="AE574" s="42"/>
      <c r="AF574" s="42"/>
      <c r="AG574" s="42"/>
      <c r="AH574" s="42"/>
      <c r="AI574" s="42"/>
      <c r="AJ574" s="42"/>
      <c r="AK574" s="42"/>
      <c r="AL574" s="42"/>
      <c r="AM574" s="42"/>
    </row>
    <row r="575" spans="1:39" x14ac:dyDescent="0.25">
      <c r="A575" s="38" t="s">
        <v>926</v>
      </c>
      <c r="B575" s="42"/>
      <c r="C575" s="42"/>
      <c r="D575" s="42"/>
      <c r="E575" s="41"/>
      <c r="F575" s="41"/>
      <c r="G575" s="41"/>
      <c r="H575" s="41"/>
      <c r="I575" s="41"/>
      <c r="J575" s="42"/>
      <c r="K575" s="41"/>
      <c r="L575" s="41"/>
      <c r="M575" s="127"/>
      <c r="N575" s="41"/>
      <c r="O575" s="41"/>
      <c r="P575" s="41"/>
      <c r="Q575" s="42"/>
      <c r="R575" s="35"/>
      <c r="S575" s="35"/>
      <c r="T575" s="35"/>
      <c r="U575" s="35"/>
      <c r="V575" s="121"/>
      <c r="W575" s="42"/>
      <c r="X575" s="42"/>
      <c r="Y575" s="42"/>
      <c r="Z575" s="42"/>
      <c r="AA575" s="42"/>
      <c r="AB575" s="42"/>
      <c r="AC575" s="42"/>
      <c r="AD575" s="42"/>
      <c r="AE575" s="42"/>
      <c r="AF575" s="42"/>
      <c r="AG575" s="42"/>
      <c r="AH575" s="42"/>
      <c r="AI575" s="42"/>
      <c r="AJ575" s="42"/>
      <c r="AK575" s="42"/>
      <c r="AL575" s="42"/>
      <c r="AM575" s="42"/>
    </row>
    <row r="576" spans="1:39" x14ac:dyDescent="0.25">
      <c r="A576" s="38" t="s">
        <v>927</v>
      </c>
      <c r="B576" s="42"/>
      <c r="C576" s="42"/>
      <c r="D576" s="42"/>
      <c r="E576" s="41"/>
      <c r="F576" s="41"/>
      <c r="G576" s="41"/>
      <c r="H576" s="41"/>
      <c r="I576" s="41"/>
      <c r="J576" s="42"/>
      <c r="K576" s="41"/>
      <c r="L576" s="41"/>
      <c r="M576" s="127"/>
      <c r="N576" s="41"/>
      <c r="O576" s="41"/>
      <c r="P576" s="41"/>
      <c r="Q576" s="42"/>
      <c r="R576" s="35"/>
      <c r="S576" s="35"/>
      <c r="T576" s="35"/>
      <c r="U576" s="35"/>
      <c r="V576" s="121"/>
      <c r="W576" s="42"/>
      <c r="X576" s="42"/>
      <c r="Y576" s="42"/>
      <c r="Z576" s="42"/>
      <c r="AA576" s="42"/>
      <c r="AB576" s="42"/>
      <c r="AC576" s="42"/>
      <c r="AD576" s="42"/>
      <c r="AE576" s="42"/>
      <c r="AF576" s="42"/>
      <c r="AG576" s="42"/>
      <c r="AH576" s="42"/>
      <c r="AI576" s="42"/>
      <c r="AJ576" s="42"/>
      <c r="AK576" s="42"/>
      <c r="AL576" s="42"/>
      <c r="AM576" s="42"/>
    </row>
    <row r="577" spans="1:39" x14ac:dyDescent="0.25">
      <c r="A577" s="38" t="s">
        <v>928</v>
      </c>
      <c r="B577" s="42"/>
      <c r="C577" s="42"/>
      <c r="D577" s="42"/>
      <c r="E577" s="41"/>
      <c r="F577" s="41"/>
      <c r="G577" s="41"/>
      <c r="H577" s="41"/>
      <c r="I577" s="41"/>
      <c r="J577" s="42"/>
      <c r="K577" s="41"/>
      <c r="L577" s="41"/>
      <c r="M577" s="127"/>
      <c r="N577" s="41"/>
      <c r="O577" s="41"/>
      <c r="P577" s="41"/>
      <c r="Q577" s="42"/>
      <c r="R577" s="35"/>
      <c r="S577" s="35"/>
      <c r="T577" s="35"/>
      <c r="U577" s="35"/>
      <c r="V577" s="121"/>
      <c r="W577" s="42"/>
      <c r="X577" s="42"/>
      <c r="Y577" s="42"/>
      <c r="Z577" s="42"/>
      <c r="AA577" s="42"/>
      <c r="AB577" s="42"/>
      <c r="AC577" s="42"/>
      <c r="AD577" s="42"/>
      <c r="AE577" s="42"/>
      <c r="AF577" s="42"/>
      <c r="AG577" s="42"/>
      <c r="AH577" s="42"/>
      <c r="AI577" s="42"/>
      <c r="AJ577" s="42"/>
      <c r="AK577" s="42"/>
      <c r="AL577" s="42"/>
      <c r="AM577" s="42"/>
    </row>
    <row r="578" spans="1:39" x14ac:dyDescent="0.25">
      <c r="A578" s="38" t="s">
        <v>929</v>
      </c>
      <c r="B578" s="42"/>
      <c r="C578" s="42"/>
      <c r="D578" s="42"/>
      <c r="E578" s="41"/>
      <c r="F578" s="41"/>
      <c r="G578" s="41"/>
      <c r="H578" s="41"/>
      <c r="I578" s="41"/>
      <c r="J578" s="42"/>
      <c r="K578" s="41"/>
      <c r="L578" s="41"/>
      <c r="M578" s="127"/>
      <c r="N578" s="41"/>
      <c r="O578" s="41"/>
      <c r="P578" s="41"/>
      <c r="Q578" s="42"/>
      <c r="R578" s="35"/>
      <c r="S578" s="35"/>
      <c r="T578" s="35"/>
      <c r="U578" s="35"/>
      <c r="V578" s="121"/>
      <c r="W578" s="42"/>
      <c r="X578" s="42"/>
      <c r="Y578" s="42"/>
      <c r="Z578" s="42"/>
      <c r="AA578" s="42"/>
      <c r="AB578" s="42"/>
      <c r="AC578" s="42"/>
      <c r="AD578" s="42"/>
      <c r="AE578" s="42"/>
      <c r="AF578" s="42"/>
      <c r="AG578" s="42"/>
      <c r="AH578" s="42"/>
      <c r="AI578" s="42"/>
      <c r="AJ578" s="42"/>
      <c r="AK578" s="42"/>
      <c r="AL578" s="42"/>
      <c r="AM578" s="42"/>
    </row>
    <row r="579" spans="1:39" x14ac:dyDescent="0.25">
      <c r="A579" s="38" t="s">
        <v>930</v>
      </c>
      <c r="B579" s="42"/>
      <c r="C579" s="42"/>
      <c r="D579" s="42"/>
      <c r="E579" s="41"/>
      <c r="F579" s="41"/>
      <c r="G579" s="41"/>
      <c r="H579" s="41"/>
      <c r="I579" s="41"/>
      <c r="J579" s="42"/>
      <c r="K579" s="41"/>
      <c r="L579" s="41"/>
      <c r="M579" s="127"/>
      <c r="N579" s="41"/>
      <c r="O579" s="41"/>
      <c r="P579" s="41"/>
      <c r="Q579" s="42"/>
      <c r="R579" s="35"/>
      <c r="S579" s="35"/>
      <c r="T579" s="35"/>
      <c r="U579" s="35"/>
      <c r="V579" s="121"/>
      <c r="W579" s="42"/>
      <c r="X579" s="42"/>
      <c r="Y579" s="42"/>
      <c r="Z579" s="42"/>
      <c r="AA579" s="42"/>
      <c r="AB579" s="42"/>
      <c r="AC579" s="42"/>
      <c r="AD579" s="42"/>
      <c r="AE579" s="42"/>
      <c r="AF579" s="42"/>
      <c r="AG579" s="42"/>
      <c r="AH579" s="42"/>
      <c r="AI579" s="42"/>
      <c r="AJ579" s="42"/>
      <c r="AK579" s="42"/>
      <c r="AL579" s="42"/>
      <c r="AM579" s="42"/>
    </row>
    <row r="580" spans="1:39" x14ac:dyDescent="0.25">
      <c r="A580" s="38" t="s">
        <v>931</v>
      </c>
      <c r="B580" s="42"/>
      <c r="C580" s="42"/>
      <c r="D580" s="42"/>
      <c r="E580" s="41"/>
      <c r="F580" s="41"/>
      <c r="G580" s="41"/>
      <c r="H580" s="41"/>
      <c r="I580" s="41"/>
      <c r="J580" s="42"/>
      <c r="K580" s="41"/>
      <c r="L580" s="41"/>
      <c r="M580" s="127"/>
      <c r="N580" s="41"/>
      <c r="O580" s="41"/>
      <c r="P580" s="41"/>
      <c r="Q580" s="42"/>
      <c r="R580" s="35"/>
      <c r="S580" s="35"/>
      <c r="T580" s="35"/>
      <c r="U580" s="35"/>
      <c r="V580" s="121"/>
      <c r="W580" s="42"/>
      <c r="X580" s="42"/>
      <c r="Y580" s="42"/>
      <c r="Z580" s="42"/>
      <c r="AA580" s="42"/>
      <c r="AB580" s="42"/>
      <c r="AC580" s="42"/>
      <c r="AD580" s="42"/>
      <c r="AE580" s="42"/>
      <c r="AF580" s="42"/>
      <c r="AG580" s="42"/>
      <c r="AH580" s="42"/>
      <c r="AI580" s="42"/>
      <c r="AJ580" s="42"/>
      <c r="AK580" s="42"/>
      <c r="AL580" s="42"/>
      <c r="AM580" s="42"/>
    </row>
    <row r="581" spans="1:39" x14ac:dyDescent="0.25">
      <c r="A581" s="38" t="s">
        <v>932</v>
      </c>
      <c r="B581" s="42"/>
      <c r="C581" s="42"/>
      <c r="D581" s="42"/>
      <c r="E581" s="41"/>
      <c r="F581" s="41"/>
      <c r="G581" s="41"/>
      <c r="H581" s="41"/>
      <c r="I581" s="41"/>
      <c r="J581" s="42"/>
      <c r="K581" s="41"/>
      <c r="L581" s="41"/>
      <c r="M581" s="127"/>
      <c r="N581" s="41"/>
      <c r="O581" s="41"/>
      <c r="P581" s="41"/>
      <c r="Q581" s="42"/>
      <c r="R581" s="35"/>
      <c r="S581" s="35"/>
      <c r="T581" s="35"/>
      <c r="U581" s="35"/>
      <c r="V581" s="121"/>
      <c r="W581" s="42"/>
      <c r="X581" s="42"/>
      <c r="Y581" s="42"/>
      <c r="Z581" s="42"/>
      <c r="AA581" s="42"/>
      <c r="AB581" s="42"/>
      <c r="AC581" s="42"/>
      <c r="AD581" s="42"/>
      <c r="AE581" s="42"/>
      <c r="AF581" s="42"/>
      <c r="AG581" s="42"/>
      <c r="AH581" s="42"/>
      <c r="AI581" s="42"/>
      <c r="AJ581" s="42"/>
      <c r="AK581" s="42"/>
      <c r="AL581" s="42"/>
      <c r="AM581" s="42"/>
    </row>
    <row r="582" spans="1:39" x14ac:dyDescent="0.25">
      <c r="A582" s="38" t="s">
        <v>933</v>
      </c>
      <c r="B582" s="42"/>
      <c r="C582" s="42"/>
      <c r="D582" s="42"/>
      <c r="E582" s="41"/>
      <c r="F582" s="41"/>
      <c r="G582" s="41"/>
      <c r="H582" s="41"/>
      <c r="I582" s="41"/>
      <c r="J582" s="42"/>
      <c r="K582" s="41"/>
      <c r="L582" s="41"/>
      <c r="M582" s="127"/>
      <c r="N582" s="41"/>
      <c r="O582" s="41"/>
      <c r="P582" s="41"/>
      <c r="Q582" s="42"/>
      <c r="R582" s="35"/>
      <c r="S582" s="35"/>
      <c r="T582" s="35"/>
      <c r="U582" s="35"/>
      <c r="V582" s="121"/>
      <c r="W582" s="42"/>
      <c r="X582" s="42"/>
      <c r="Y582" s="42"/>
      <c r="Z582" s="42"/>
      <c r="AA582" s="42"/>
      <c r="AB582" s="42"/>
      <c r="AC582" s="42"/>
      <c r="AD582" s="42"/>
      <c r="AE582" s="42"/>
      <c r="AF582" s="42"/>
      <c r="AG582" s="42"/>
      <c r="AH582" s="42"/>
      <c r="AI582" s="42"/>
      <c r="AJ582" s="42"/>
      <c r="AK582" s="42"/>
      <c r="AL582" s="42"/>
      <c r="AM582" s="42"/>
    </row>
    <row r="583" spans="1:39" x14ac:dyDescent="0.25">
      <c r="A583" s="38" t="s">
        <v>934</v>
      </c>
      <c r="B583" s="42"/>
      <c r="C583" s="42"/>
      <c r="D583" s="42"/>
      <c r="E583" s="41"/>
      <c r="F583" s="41"/>
      <c r="G583" s="41"/>
      <c r="H583" s="41"/>
      <c r="I583" s="41"/>
      <c r="J583" s="42"/>
      <c r="K583" s="41"/>
      <c r="L583" s="41"/>
      <c r="M583" s="127"/>
      <c r="N583" s="41"/>
      <c r="O583" s="41"/>
      <c r="P583" s="41"/>
      <c r="Q583" s="42"/>
      <c r="R583" s="35"/>
      <c r="S583" s="35"/>
      <c r="T583" s="35"/>
      <c r="U583" s="35"/>
      <c r="V583" s="121"/>
      <c r="W583" s="42"/>
      <c r="X583" s="42"/>
      <c r="Y583" s="42"/>
      <c r="Z583" s="42"/>
      <c r="AA583" s="42"/>
      <c r="AB583" s="42"/>
      <c r="AC583" s="42"/>
      <c r="AD583" s="42"/>
      <c r="AE583" s="42"/>
      <c r="AF583" s="42"/>
      <c r="AG583" s="42"/>
      <c r="AH583" s="42"/>
      <c r="AI583" s="42"/>
      <c r="AJ583" s="42"/>
      <c r="AK583" s="42"/>
      <c r="AL583" s="42"/>
      <c r="AM583" s="42"/>
    </row>
    <row r="584" spans="1:39" x14ac:dyDescent="0.25">
      <c r="A584" s="38" t="s">
        <v>935</v>
      </c>
      <c r="B584" s="42"/>
      <c r="C584" s="42"/>
      <c r="D584" s="42"/>
      <c r="E584" s="41"/>
      <c r="F584" s="41"/>
      <c r="G584" s="41"/>
      <c r="H584" s="41"/>
      <c r="I584" s="41"/>
      <c r="J584" s="42"/>
      <c r="K584" s="41"/>
      <c r="L584" s="41"/>
      <c r="M584" s="127"/>
      <c r="N584" s="41"/>
      <c r="O584" s="41"/>
      <c r="P584" s="41"/>
      <c r="Q584" s="42"/>
      <c r="R584" s="35"/>
      <c r="S584" s="35"/>
      <c r="T584" s="35"/>
      <c r="U584" s="35"/>
      <c r="V584" s="121"/>
      <c r="W584" s="42"/>
      <c r="X584" s="42"/>
      <c r="Y584" s="42"/>
      <c r="Z584" s="42"/>
      <c r="AA584" s="42"/>
      <c r="AB584" s="42"/>
      <c r="AC584" s="42"/>
      <c r="AD584" s="42"/>
      <c r="AE584" s="42"/>
      <c r="AF584" s="42"/>
      <c r="AG584" s="42"/>
      <c r="AH584" s="42"/>
      <c r="AI584" s="42"/>
      <c r="AJ584" s="42"/>
      <c r="AK584" s="42"/>
      <c r="AL584" s="42"/>
      <c r="AM584" s="42"/>
    </row>
    <row r="585" spans="1:39" x14ac:dyDescent="0.25">
      <c r="A585" s="38" t="s">
        <v>936</v>
      </c>
      <c r="B585" s="42"/>
      <c r="C585" s="42"/>
      <c r="D585" s="42"/>
      <c r="E585" s="41"/>
      <c r="F585" s="41"/>
      <c r="G585" s="41"/>
      <c r="H585" s="41"/>
      <c r="I585" s="41"/>
      <c r="J585" s="42"/>
      <c r="K585" s="41"/>
      <c r="L585" s="41"/>
      <c r="M585" s="127"/>
      <c r="N585" s="41"/>
      <c r="O585" s="41"/>
      <c r="P585" s="41"/>
      <c r="Q585" s="42"/>
      <c r="R585" s="35"/>
      <c r="S585" s="35"/>
      <c r="T585" s="35"/>
      <c r="U585" s="35"/>
      <c r="V585" s="121"/>
      <c r="W585" s="42"/>
      <c r="X585" s="42"/>
      <c r="Y585" s="42"/>
      <c r="Z585" s="42"/>
      <c r="AA585" s="42"/>
      <c r="AB585" s="42"/>
      <c r="AC585" s="42"/>
      <c r="AD585" s="42"/>
      <c r="AE585" s="42"/>
      <c r="AF585" s="42"/>
      <c r="AG585" s="42"/>
      <c r="AH585" s="42"/>
      <c r="AI585" s="42"/>
      <c r="AJ585" s="42"/>
      <c r="AK585" s="42"/>
      <c r="AL585" s="42"/>
      <c r="AM585" s="42"/>
    </row>
    <row r="586" spans="1:39" x14ac:dyDescent="0.25">
      <c r="A586" s="38" t="s">
        <v>937</v>
      </c>
      <c r="B586" s="42"/>
      <c r="C586" s="42"/>
      <c r="D586" s="42"/>
      <c r="E586" s="41"/>
      <c r="F586" s="41"/>
      <c r="G586" s="41"/>
      <c r="H586" s="41"/>
      <c r="I586" s="41"/>
      <c r="J586" s="42"/>
      <c r="K586" s="41"/>
      <c r="L586" s="41"/>
      <c r="M586" s="127"/>
      <c r="N586" s="41"/>
      <c r="O586" s="41"/>
      <c r="P586" s="41"/>
      <c r="Q586" s="42"/>
      <c r="R586" s="35"/>
      <c r="S586" s="35"/>
      <c r="T586" s="35"/>
      <c r="U586" s="35"/>
      <c r="V586" s="121"/>
      <c r="W586" s="42"/>
      <c r="X586" s="42"/>
      <c r="Y586" s="42"/>
      <c r="Z586" s="42"/>
      <c r="AA586" s="42"/>
      <c r="AB586" s="42"/>
      <c r="AC586" s="42"/>
      <c r="AD586" s="42"/>
      <c r="AE586" s="42"/>
      <c r="AF586" s="42"/>
      <c r="AG586" s="42"/>
      <c r="AH586" s="42"/>
      <c r="AI586" s="42"/>
      <c r="AJ586" s="42"/>
      <c r="AK586" s="42"/>
      <c r="AL586" s="42"/>
      <c r="AM586" s="42"/>
    </row>
    <row r="587" spans="1:39" x14ac:dyDescent="0.25">
      <c r="A587" s="38" t="s">
        <v>938</v>
      </c>
      <c r="B587" s="42"/>
      <c r="C587" s="42"/>
      <c r="D587" s="42"/>
      <c r="E587" s="41"/>
      <c r="F587" s="41"/>
      <c r="G587" s="41"/>
      <c r="H587" s="41"/>
      <c r="I587" s="41"/>
      <c r="J587" s="42"/>
      <c r="K587" s="41"/>
      <c r="L587" s="41"/>
      <c r="M587" s="127"/>
      <c r="N587" s="41"/>
      <c r="O587" s="41"/>
      <c r="P587" s="41"/>
      <c r="Q587" s="42"/>
      <c r="R587" s="35"/>
      <c r="S587" s="35"/>
      <c r="T587" s="35"/>
      <c r="U587" s="35"/>
      <c r="V587" s="121"/>
      <c r="W587" s="42"/>
      <c r="X587" s="42"/>
      <c r="Y587" s="42"/>
      <c r="Z587" s="42"/>
      <c r="AA587" s="42"/>
      <c r="AB587" s="42"/>
      <c r="AC587" s="42"/>
      <c r="AD587" s="42"/>
      <c r="AE587" s="42"/>
      <c r="AF587" s="42"/>
      <c r="AG587" s="42"/>
      <c r="AH587" s="42"/>
      <c r="AI587" s="42"/>
      <c r="AJ587" s="42"/>
      <c r="AK587" s="42"/>
      <c r="AL587" s="42"/>
      <c r="AM587" s="42"/>
    </row>
    <row r="588" spans="1:39" x14ac:dyDescent="0.25">
      <c r="A588" s="38" t="s">
        <v>939</v>
      </c>
      <c r="B588" s="42"/>
      <c r="C588" s="42"/>
      <c r="D588" s="42"/>
      <c r="E588" s="41"/>
      <c r="F588" s="41"/>
      <c r="G588" s="41"/>
      <c r="H588" s="41"/>
      <c r="I588" s="41"/>
      <c r="J588" s="42"/>
      <c r="K588" s="41"/>
      <c r="L588" s="41"/>
      <c r="M588" s="127"/>
      <c r="N588" s="41"/>
      <c r="O588" s="41"/>
      <c r="P588" s="41"/>
      <c r="Q588" s="42"/>
      <c r="R588" s="35"/>
      <c r="S588" s="35"/>
      <c r="T588" s="35"/>
      <c r="U588" s="35"/>
      <c r="V588" s="121"/>
      <c r="W588" s="42"/>
      <c r="X588" s="42"/>
      <c r="Y588" s="42"/>
      <c r="Z588" s="42"/>
      <c r="AA588" s="42"/>
      <c r="AB588" s="42"/>
      <c r="AC588" s="42"/>
      <c r="AD588" s="42"/>
      <c r="AE588" s="42"/>
      <c r="AF588" s="42"/>
      <c r="AG588" s="42"/>
      <c r="AH588" s="42"/>
      <c r="AI588" s="42"/>
      <c r="AJ588" s="42"/>
      <c r="AK588" s="42"/>
      <c r="AL588" s="42"/>
      <c r="AM588" s="42"/>
    </row>
    <row r="589" spans="1:39" x14ac:dyDescent="0.25">
      <c r="A589" s="38" t="s">
        <v>940</v>
      </c>
      <c r="B589" s="42"/>
      <c r="C589" s="42"/>
      <c r="D589" s="42"/>
      <c r="E589" s="41"/>
      <c r="F589" s="41"/>
      <c r="G589" s="41"/>
      <c r="H589" s="41"/>
      <c r="I589" s="41"/>
      <c r="J589" s="42"/>
      <c r="K589" s="41"/>
      <c r="L589" s="41"/>
      <c r="M589" s="127"/>
      <c r="N589" s="41"/>
      <c r="O589" s="41"/>
      <c r="P589" s="41"/>
      <c r="Q589" s="42"/>
      <c r="R589" s="35"/>
      <c r="S589" s="35"/>
      <c r="T589" s="35"/>
      <c r="U589" s="35"/>
      <c r="V589" s="121"/>
      <c r="W589" s="42"/>
      <c r="X589" s="42"/>
      <c r="Y589" s="42"/>
      <c r="Z589" s="42"/>
      <c r="AA589" s="42"/>
      <c r="AB589" s="42"/>
      <c r="AC589" s="42"/>
      <c r="AD589" s="42"/>
      <c r="AE589" s="42"/>
      <c r="AF589" s="42"/>
      <c r="AG589" s="42"/>
      <c r="AH589" s="42"/>
      <c r="AI589" s="42"/>
      <c r="AJ589" s="42"/>
      <c r="AK589" s="42"/>
      <c r="AL589" s="42"/>
      <c r="AM589" s="42"/>
    </row>
    <row r="590" spans="1:39" x14ac:dyDescent="0.25">
      <c r="A590" s="38" t="s">
        <v>941</v>
      </c>
      <c r="B590" s="42"/>
      <c r="C590" s="42"/>
      <c r="D590" s="42"/>
      <c r="E590" s="41"/>
      <c r="F590" s="41"/>
      <c r="G590" s="41"/>
      <c r="H590" s="41"/>
      <c r="I590" s="41"/>
      <c r="J590" s="42"/>
      <c r="K590" s="41"/>
      <c r="L590" s="41"/>
      <c r="M590" s="127"/>
      <c r="N590" s="41"/>
      <c r="O590" s="41"/>
      <c r="P590" s="41"/>
      <c r="Q590" s="42"/>
      <c r="R590" s="35"/>
      <c r="S590" s="35"/>
      <c r="T590" s="35"/>
      <c r="U590" s="35"/>
      <c r="V590" s="121"/>
      <c r="W590" s="42"/>
      <c r="X590" s="42"/>
      <c r="Y590" s="42"/>
      <c r="Z590" s="42"/>
      <c r="AA590" s="42"/>
      <c r="AB590" s="42"/>
      <c r="AC590" s="42"/>
      <c r="AD590" s="42"/>
      <c r="AE590" s="42"/>
      <c r="AF590" s="42"/>
      <c r="AG590" s="42"/>
      <c r="AH590" s="42"/>
      <c r="AI590" s="42"/>
      <c r="AJ590" s="42"/>
      <c r="AK590" s="42"/>
      <c r="AL590" s="42"/>
      <c r="AM590" s="42"/>
    </row>
    <row r="591" spans="1:39" x14ac:dyDescent="0.25">
      <c r="A591" s="38" t="s">
        <v>942</v>
      </c>
      <c r="B591" s="42"/>
      <c r="C591" s="42"/>
      <c r="D591" s="42"/>
      <c r="E591" s="41"/>
      <c r="F591" s="41"/>
      <c r="G591" s="41"/>
      <c r="H591" s="41"/>
      <c r="I591" s="41"/>
      <c r="J591" s="42"/>
      <c r="K591" s="41"/>
      <c r="L591" s="41"/>
      <c r="M591" s="127"/>
      <c r="N591" s="41"/>
      <c r="O591" s="41"/>
      <c r="P591" s="41"/>
      <c r="Q591" s="42"/>
      <c r="R591" s="35"/>
      <c r="S591" s="35"/>
      <c r="T591" s="35"/>
      <c r="U591" s="35"/>
      <c r="V591" s="121"/>
      <c r="W591" s="42"/>
      <c r="X591" s="42"/>
      <c r="Y591" s="42"/>
      <c r="Z591" s="42"/>
      <c r="AA591" s="42"/>
      <c r="AB591" s="42"/>
      <c r="AC591" s="42"/>
      <c r="AD591" s="42"/>
      <c r="AE591" s="42"/>
      <c r="AF591" s="42"/>
      <c r="AG591" s="42"/>
      <c r="AH591" s="42"/>
      <c r="AI591" s="42"/>
      <c r="AJ591" s="42"/>
      <c r="AK591" s="42"/>
      <c r="AL591" s="42"/>
      <c r="AM591" s="42"/>
    </row>
    <row r="592" spans="1:39" x14ac:dyDescent="0.25">
      <c r="A592" s="38" t="s">
        <v>943</v>
      </c>
      <c r="B592" s="42"/>
      <c r="C592" s="42"/>
      <c r="D592" s="42"/>
      <c r="E592" s="41"/>
      <c r="F592" s="41"/>
      <c r="G592" s="41"/>
      <c r="H592" s="41"/>
      <c r="I592" s="41"/>
      <c r="J592" s="42"/>
      <c r="K592" s="41"/>
      <c r="L592" s="41"/>
      <c r="M592" s="127"/>
      <c r="N592" s="41"/>
      <c r="O592" s="41"/>
      <c r="P592" s="41"/>
      <c r="Q592" s="42"/>
      <c r="R592" s="35"/>
      <c r="S592" s="35"/>
      <c r="T592" s="35"/>
      <c r="U592" s="35"/>
      <c r="V592" s="121"/>
      <c r="W592" s="42"/>
      <c r="X592" s="42"/>
      <c r="Y592" s="42"/>
      <c r="Z592" s="42"/>
      <c r="AA592" s="42"/>
      <c r="AB592" s="42"/>
      <c r="AC592" s="42"/>
      <c r="AD592" s="42"/>
      <c r="AE592" s="42"/>
      <c r="AF592" s="42"/>
      <c r="AG592" s="42"/>
      <c r="AH592" s="42"/>
      <c r="AI592" s="42"/>
      <c r="AJ592" s="42"/>
      <c r="AK592" s="42"/>
      <c r="AL592" s="42"/>
      <c r="AM592" s="42"/>
    </row>
    <row r="593" spans="1:39" x14ac:dyDescent="0.25">
      <c r="A593" s="38" t="s">
        <v>944</v>
      </c>
      <c r="B593" s="42"/>
      <c r="C593" s="42"/>
      <c r="D593" s="42"/>
      <c r="E593" s="41"/>
      <c r="F593" s="41"/>
      <c r="G593" s="41"/>
      <c r="H593" s="41"/>
      <c r="I593" s="41"/>
      <c r="J593" s="42"/>
      <c r="K593" s="41"/>
      <c r="L593" s="41"/>
      <c r="M593" s="127"/>
      <c r="N593" s="41"/>
      <c r="O593" s="41"/>
      <c r="P593" s="41"/>
      <c r="Q593" s="42"/>
      <c r="R593" s="35"/>
      <c r="S593" s="35"/>
      <c r="T593" s="35"/>
      <c r="U593" s="35"/>
      <c r="V593" s="121"/>
      <c r="W593" s="42"/>
      <c r="X593" s="42"/>
      <c r="Y593" s="42"/>
      <c r="Z593" s="42"/>
      <c r="AA593" s="42"/>
      <c r="AB593" s="42"/>
      <c r="AC593" s="42"/>
      <c r="AD593" s="42"/>
      <c r="AE593" s="42"/>
      <c r="AF593" s="42"/>
      <c r="AG593" s="42"/>
      <c r="AH593" s="42"/>
      <c r="AI593" s="42"/>
      <c r="AJ593" s="42"/>
      <c r="AK593" s="42"/>
      <c r="AL593" s="42"/>
      <c r="AM593" s="42"/>
    </row>
    <row r="594" spans="1:39" x14ac:dyDescent="0.25">
      <c r="A594" s="38" t="s">
        <v>945</v>
      </c>
      <c r="B594" s="42"/>
      <c r="C594" s="42"/>
      <c r="D594" s="42"/>
      <c r="E594" s="41"/>
      <c r="F594" s="41"/>
      <c r="G594" s="41"/>
      <c r="H594" s="41"/>
      <c r="I594" s="41"/>
      <c r="J594" s="42"/>
      <c r="K594" s="41"/>
      <c r="L594" s="41"/>
      <c r="M594" s="127"/>
      <c r="N594" s="41"/>
      <c r="O594" s="41"/>
      <c r="P594" s="41"/>
      <c r="Q594" s="42"/>
      <c r="R594" s="35"/>
      <c r="S594" s="35"/>
      <c r="T594" s="35"/>
      <c r="U594" s="35"/>
      <c r="V594" s="121"/>
      <c r="W594" s="42"/>
      <c r="X594" s="42"/>
      <c r="Y594" s="42"/>
      <c r="Z594" s="42"/>
      <c r="AA594" s="42"/>
      <c r="AB594" s="42"/>
      <c r="AC594" s="42"/>
      <c r="AD594" s="42"/>
      <c r="AE594" s="42"/>
      <c r="AF594" s="42"/>
      <c r="AG594" s="42"/>
      <c r="AH594" s="42"/>
      <c r="AI594" s="42"/>
      <c r="AJ594" s="42"/>
      <c r="AK594" s="42"/>
      <c r="AL594" s="42"/>
      <c r="AM594" s="42"/>
    </row>
    <row r="595" spans="1:39" x14ac:dyDescent="0.25">
      <c r="A595" s="38" t="s">
        <v>946</v>
      </c>
      <c r="B595" s="42"/>
      <c r="C595" s="42"/>
      <c r="D595" s="42"/>
      <c r="E595" s="41"/>
      <c r="F595" s="41"/>
      <c r="G595" s="41"/>
      <c r="H595" s="41"/>
      <c r="I595" s="41"/>
      <c r="J595" s="42"/>
      <c r="K595" s="41"/>
      <c r="L595" s="41"/>
      <c r="M595" s="127"/>
      <c r="N595" s="41"/>
      <c r="O595" s="41"/>
      <c r="P595" s="41"/>
      <c r="Q595" s="42"/>
      <c r="R595" s="35"/>
      <c r="S595" s="35"/>
      <c r="T595" s="35"/>
      <c r="U595" s="35"/>
      <c r="V595" s="121"/>
      <c r="W595" s="42"/>
      <c r="X595" s="42"/>
      <c r="Y595" s="42"/>
      <c r="Z595" s="42"/>
      <c r="AA595" s="42"/>
      <c r="AB595" s="42"/>
      <c r="AC595" s="42"/>
      <c r="AD595" s="42"/>
      <c r="AE595" s="42"/>
      <c r="AF595" s="42"/>
      <c r="AG595" s="42"/>
      <c r="AH595" s="42"/>
      <c r="AI595" s="42"/>
      <c r="AJ595" s="42"/>
      <c r="AK595" s="42"/>
      <c r="AL595" s="42"/>
      <c r="AM595" s="42"/>
    </row>
    <row r="596" spans="1:39" x14ac:dyDescent="0.25">
      <c r="A596" s="38" t="s">
        <v>947</v>
      </c>
      <c r="B596" s="42"/>
      <c r="C596" s="42"/>
      <c r="D596" s="42"/>
      <c r="E596" s="41"/>
      <c r="F596" s="41"/>
      <c r="G596" s="41"/>
      <c r="H596" s="41"/>
      <c r="I596" s="41"/>
      <c r="J596" s="42"/>
      <c r="K596" s="41"/>
      <c r="L596" s="41"/>
      <c r="M596" s="127"/>
      <c r="N596" s="41"/>
      <c r="O596" s="41"/>
      <c r="P596" s="41"/>
      <c r="Q596" s="42"/>
      <c r="R596" s="35"/>
      <c r="S596" s="35"/>
      <c r="T596" s="35"/>
      <c r="U596" s="35"/>
      <c r="V596" s="121"/>
      <c r="W596" s="42"/>
      <c r="X596" s="42"/>
      <c r="Y596" s="42"/>
      <c r="Z596" s="42"/>
      <c r="AA596" s="42"/>
      <c r="AB596" s="42"/>
      <c r="AC596" s="42"/>
      <c r="AD596" s="42"/>
      <c r="AE596" s="42"/>
      <c r="AF596" s="42"/>
      <c r="AG596" s="42"/>
      <c r="AH596" s="42"/>
      <c r="AI596" s="42"/>
      <c r="AJ596" s="42"/>
      <c r="AK596" s="42"/>
      <c r="AL596" s="42"/>
      <c r="AM596" s="42"/>
    </row>
    <row r="597" spans="1:39" x14ac:dyDescent="0.25">
      <c r="A597" s="38" t="s">
        <v>948</v>
      </c>
      <c r="B597" s="42"/>
      <c r="C597" s="42"/>
      <c r="D597" s="42"/>
      <c r="E597" s="41"/>
      <c r="F597" s="41"/>
      <c r="G597" s="41"/>
      <c r="H597" s="41"/>
      <c r="I597" s="41"/>
      <c r="J597" s="42"/>
      <c r="K597" s="41"/>
      <c r="L597" s="41"/>
      <c r="M597" s="127"/>
      <c r="N597" s="41"/>
      <c r="O597" s="41"/>
      <c r="P597" s="41"/>
      <c r="Q597" s="42"/>
      <c r="R597" s="35"/>
      <c r="S597" s="35"/>
      <c r="T597" s="35"/>
      <c r="U597" s="35"/>
      <c r="V597" s="121"/>
      <c r="W597" s="42"/>
      <c r="X597" s="42"/>
      <c r="Y597" s="42"/>
      <c r="Z597" s="42"/>
      <c r="AA597" s="42"/>
      <c r="AB597" s="42"/>
      <c r="AC597" s="42"/>
      <c r="AD597" s="42"/>
      <c r="AE597" s="42"/>
      <c r="AF597" s="42"/>
      <c r="AG597" s="42"/>
      <c r="AH597" s="42"/>
      <c r="AI597" s="42"/>
      <c r="AJ597" s="42"/>
      <c r="AK597" s="42"/>
      <c r="AL597" s="42"/>
      <c r="AM597" s="42"/>
    </row>
    <row r="598" spans="1:39" x14ac:dyDescent="0.25">
      <c r="A598" s="38" t="s">
        <v>949</v>
      </c>
      <c r="B598" s="42"/>
      <c r="C598" s="42"/>
      <c r="D598" s="42"/>
      <c r="E598" s="41"/>
      <c r="F598" s="41"/>
      <c r="G598" s="41"/>
      <c r="H598" s="41"/>
      <c r="I598" s="41"/>
      <c r="J598" s="42"/>
      <c r="K598" s="41"/>
      <c r="L598" s="41"/>
      <c r="M598" s="127"/>
      <c r="N598" s="41"/>
      <c r="O598" s="41"/>
      <c r="P598" s="41"/>
      <c r="Q598" s="42"/>
      <c r="R598" s="35"/>
      <c r="S598" s="35"/>
      <c r="T598" s="35"/>
      <c r="U598" s="35"/>
      <c r="V598" s="121"/>
      <c r="W598" s="42"/>
      <c r="X598" s="42"/>
      <c r="Y598" s="42"/>
      <c r="Z598" s="42"/>
      <c r="AA598" s="42"/>
      <c r="AB598" s="42"/>
      <c r="AC598" s="42"/>
      <c r="AD598" s="42"/>
      <c r="AE598" s="42"/>
      <c r="AF598" s="42"/>
      <c r="AG598" s="42"/>
      <c r="AH598" s="42"/>
      <c r="AI598" s="42"/>
      <c r="AJ598" s="42"/>
      <c r="AK598" s="42"/>
      <c r="AL598" s="42"/>
      <c r="AM598" s="42"/>
    </row>
    <row r="599" spans="1:39" x14ac:dyDescent="0.25">
      <c r="A599" s="38" t="s">
        <v>950</v>
      </c>
      <c r="B599" s="42"/>
      <c r="C599" s="42"/>
      <c r="D599" s="42"/>
      <c r="E599" s="41"/>
      <c r="F599" s="41"/>
      <c r="G599" s="41"/>
      <c r="H599" s="41"/>
      <c r="I599" s="41"/>
      <c r="J599" s="42"/>
      <c r="K599" s="41"/>
      <c r="L599" s="41"/>
      <c r="M599" s="127"/>
      <c r="N599" s="41"/>
      <c r="O599" s="41"/>
      <c r="P599" s="41"/>
      <c r="Q599" s="42"/>
      <c r="R599" s="35"/>
      <c r="S599" s="35"/>
      <c r="T599" s="35"/>
      <c r="U599" s="35"/>
      <c r="V599" s="121"/>
      <c r="W599" s="42"/>
      <c r="X599" s="42"/>
      <c r="Y599" s="42"/>
      <c r="Z599" s="42"/>
      <c r="AA599" s="42"/>
      <c r="AB599" s="42"/>
      <c r="AC599" s="42"/>
      <c r="AD599" s="42"/>
      <c r="AE599" s="42"/>
      <c r="AF599" s="42"/>
      <c r="AG599" s="42"/>
      <c r="AH599" s="42"/>
      <c r="AI599" s="42"/>
      <c r="AJ599" s="42"/>
      <c r="AK599" s="42"/>
      <c r="AL599" s="42"/>
      <c r="AM599" s="42"/>
    </row>
    <row r="600" spans="1:39" x14ac:dyDescent="0.25">
      <c r="A600" s="38" t="s">
        <v>951</v>
      </c>
      <c r="B600" s="42"/>
      <c r="C600" s="42"/>
      <c r="D600" s="42"/>
      <c r="E600" s="41"/>
      <c r="F600" s="41"/>
      <c r="G600" s="41"/>
      <c r="H600" s="41"/>
      <c r="I600" s="41"/>
      <c r="J600" s="42"/>
      <c r="K600" s="41"/>
      <c r="L600" s="41"/>
      <c r="M600" s="127"/>
      <c r="N600" s="41"/>
      <c r="O600" s="41"/>
      <c r="P600" s="41"/>
      <c r="Q600" s="42"/>
      <c r="R600" s="35"/>
      <c r="S600" s="35"/>
      <c r="T600" s="35"/>
      <c r="U600" s="35"/>
      <c r="V600" s="121"/>
      <c r="W600" s="42"/>
      <c r="X600" s="42"/>
      <c r="Y600" s="42"/>
      <c r="Z600" s="42"/>
      <c r="AA600" s="42"/>
      <c r="AB600" s="42"/>
      <c r="AC600" s="42"/>
      <c r="AD600" s="42"/>
      <c r="AE600" s="42"/>
      <c r="AF600" s="42"/>
      <c r="AG600" s="42"/>
      <c r="AH600" s="42"/>
      <c r="AI600" s="42"/>
      <c r="AJ600" s="42"/>
      <c r="AK600" s="42"/>
      <c r="AL600" s="42"/>
      <c r="AM600" s="42"/>
    </row>
    <row r="601" spans="1:39" x14ac:dyDescent="0.25">
      <c r="A601" s="38" t="s">
        <v>952</v>
      </c>
      <c r="B601" s="42"/>
      <c r="C601" s="42"/>
      <c r="D601" s="42"/>
      <c r="E601" s="41"/>
      <c r="F601" s="41"/>
      <c r="G601" s="41"/>
      <c r="H601" s="41"/>
      <c r="I601" s="41"/>
      <c r="J601" s="42"/>
      <c r="K601" s="41"/>
      <c r="L601" s="41"/>
      <c r="M601" s="127"/>
      <c r="N601" s="41"/>
      <c r="O601" s="41"/>
      <c r="P601" s="41"/>
      <c r="Q601" s="42"/>
      <c r="R601" s="35"/>
      <c r="S601" s="35"/>
      <c r="T601" s="35"/>
      <c r="U601" s="35"/>
      <c r="V601" s="121"/>
      <c r="W601" s="42"/>
      <c r="X601" s="42"/>
      <c r="Y601" s="42"/>
      <c r="Z601" s="42"/>
      <c r="AA601" s="42"/>
      <c r="AB601" s="42"/>
      <c r="AC601" s="42"/>
      <c r="AD601" s="42"/>
      <c r="AE601" s="42"/>
      <c r="AF601" s="42"/>
      <c r="AG601" s="42"/>
      <c r="AH601" s="42"/>
      <c r="AI601" s="42"/>
      <c r="AJ601" s="42"/>
      <c r="AK601" s="42"/>
      <c r="AL601" s="42"/>
      <c r="AM601" s="42"/>
    </row>
    <row r="602" spans="1:39" x14ac:dyDescent="0.25">
      <c r="A602" s="38" t="s">
        <v>953</v>
      </c>
      <c r="B602" s="42"/>
      <c r="C602" s="42"/>
      <c r="D602" s="42"/>
      <c r="E602" s="41"/>
      <c r="F602" s="41"/>
      <c r="G602" s="41"/>
      <c r="H602" s="41"/>
      <c r="I602" s="41"/>
      <c r="J602" s="42"/>
      <c r="K602" s="41"/>
      <c r="L602" s="41"/>
      <c r="M602" s="127"/>
      <c r="N602" s="41"/>
      <c r="O602" s="41"/>
      <c r="P602" s="41"/>
      <c r="Q602" s="42"/>
      <c r="R602" s="35"/>
      <c r="S602" s="35"/>
      <c r="T602" s="35"/>
      <c r="U602" s="35"/>
      <c r="V602" s="121"/>
      <c r="W602" s="42"/>
      <c r="X602" s="42"/>
      <c r="Y602" s="42"/>
      <c r="Z602" s="42"/>
      <c r="AA602" s="42"/>
      <c r="AB602" s="42"/>
      <c r="AC602" s="42"/>
      <c r="AD602" s="42"/>
      <c r="AE602" s="42"/>
      <c r="AF602" s="42"/>
      <c r="AG602" s="42"/>
      <c r="AH602" s="42"/>
      <c r="AI602" s="42"/>
      <c r="AJ602" s="42"/>
      <c r="AK602" s="42"/>
      <c r="AL602" s="42"/>
      <c r="AM602" s="42"/>
    </row>
    <row r="603" spans="1:39" x14ac:dyDescent="0.25">
      <c r="A603" s="38" t="s">
        <v>954</v>
      </c>
      <c r="B603" s="42"/>
      <c r="C603" s="42"/>
      <c r="D603" s="42"/>
      <c r="E603" s="41"/>
      <c r="F603" s="41"/>
      <c r="G603" s="41"/>
      <c r="H603" s="41"/>
      <c r="I603" s="41"/>
      <c r="J603" s="42"/>
      <c r="K603" s="41"/>
      <c r="L603" s="41"/>
      <c r="M603" s="127"/>
      <c r="N603" s="41"/>
      <c r="O603" s="41"/>
      <c r="P603" s="41"/>
      <c r="Q603" s="42"/>
      <c r="R603" s="35"/>
      <c r="S603" s="35"/>
      <c r="T603" s="35"/>
      <c r="U603" s="35"/>
      <c r="V603" s="121"/>
      <c r="W603" s="42"/>
      <c r="X603" s="42"/>
      <c r="Y603" s="42"/>
      <c r="Z603" s="42"/>
      <c r="AA603" s="42"/>
      <c r="AB603" s="42"/>
      <c r="AC603" s="42"/>
      <c r="AD603" s="42"/>
      <c r="AE603" s="42"/>
      <c r="AF603" s="42"/>
      <c r="AG603" s="42"/>
      <c r="AH603" s="42"/>
      <c r="AI603" s="42"/>
      <c r="AJ603" s="42"/>
      <c r="AK603" s="42"/>
      <c r="AL603" s="42"/>
      <c r="AM603" s="42"/>
    </row>
    <row r="604" spans="1:39" x14ac:dyDescent="0.25">
      <c r="A604" s="38" t="s">
        <v>955</v>
      </c>
      <c r="B604" s="42"/>
      <c r="C604" s="42"/>
      <c r="D604" s="42"/>
      <c r="E604" s="41"/>
      <c r="F604" s="41"/>
      <c r="G604" s="41"/>
      <c r="H604" s="41"/>
      <c r="I604" s="41"/>
      <c r="J604" s="42"/>
      <c r="K604" s="41"/>
      <c r="L604" s="41"/>
      <c r="M604" s="127"/>
      <c r="N604" s="41"/>
      <c r="O604" s="41"/>
      <c r="P604" s="41"/>
      <c r="Q604" s="42"/>
      <c r="R604" s="35"/>
      <c r="S604" s="35"/>
      <c r="T604" s="35"/>
      <c r="U604" s="35"/>
      <c r="V604" s="121"/>
      <c r="W604" s="42"/>
      <c r="X604" s="42"/>
      <c r="Y604" s="42"/>
      <c r="Z604" s="42"/>
      <c r="AA604" s="42"/>
      <c r="AB604" s="42"/>
      <c r="AC604" s="42"/>
      <c r="AD604" s="42"/>
      <c r="AE604" s="42"/>
      <c r="AF604" s="42"/>
      <c r="AG604" s="42"/>
      <c r="AH604" s="42"/>
      <c r="AI604" s="42"/>
      <c r="AJ604" s="42"/>
      <c r="AK604" s="42"/>
      <c r="AL604" s="42"/>
      <c r="AM604" s="42"/>
    </row>
    <row r="605" spans="1:39" x14ac:dyDescent="0.25">
      <c r="A605" s="38" t="s">
        <v>956</v>
      </c>
      <c r="B605" s="42"/>
      <c r="C605" s="42"/>
      <c r="D605" s="42"/>
      <c r="E605" s="41"/>
      <c r="F605" s="41"/>
      <c r="G605" s="41"/>
      <c r="H605" s="41"/>
      <c r="I605" s="41"/>
      <c r="J605" s="42"/>
      <c r="K605" s="41"/>
      <c r="L605" s="41"/>
      <c r="M605" s="127"/>
      <c r="N605" s="41"/>
      <c r="O605" s="41"/>
      <c r="P605" s="41"/>
      <c r="Q605" s="42"/>
      <c r="R605" s="35"/>
      <c r="S605" s="35"/>
      <c r="T605" s="35"/>
      <c r="U605" s="35"/>
      <c r="V605" s="121"/>
      <c r="W605" s="42"/>
      <c r="X605" s="42"/>
      <c r="Y605" s="42"/>
      <c r="Z605" s="42"/>
      <c r="AA605" s="42"/>
      <c r="AB605" s="42"/>
      <c r="AC605" s="42"/>
      <c r="AD605" s="42"/>
      <c r="AE605" s="42"/>
      <c r="AF605" s="42"/>
      <c r="AG605" s="42"/>
      <c r="AH605" s="42"/>
      <c r="AI605" s="42"/>
      <c r="AJ605" s="42"/>
      <c r="AK605" s="42"/>
      <c r="AL605" s="42"/>
      <c r="AM605" s="42"/>
    </row>
    <row r="606" spans="1:39" x14ac:dyDescent="0.25">
      <c r="A606" s="38" t="s">
        <v>957</v>
      </c>
      <c r="B606" s="42"/>
      <c r="C606" s="42"/>
      <c r="D606" s="42"/>
      <c r="E606" s="41"/>
      <c r="F606" s="41"/>
      <c r="G606" s="41"/>
      <c r="H606" s="41"/>
      <c r="I606" s="41"/>
      <c r="J606" s="42"/>
      <c r="K606" s="41"/>
      <c r="L606" s="41"/>
      <c r="M606" s="127"/>
      <c r="N606" s="41"/>
      <c r="O606" s="41"/>
      <c r="P606" s="41"/>
      <c r="Q606" s="42"/>
      <c r="R606" s="35"/>
      <c r="S606" s="35"/>
      <c r="T606" s="35"/>
      <c r="U606" s="35"/>
      <c r="V606" s="121"/>
      <c r="W606" s="42"/>
      <c r="X606" s="42"/>
      <c r="Y606" s="42"/>
      <c r="Z606" s="42"/>
      <c r="AA606" s="42"/>
      <c r="AB606" s="42"/>
      <c r="AC606" s="42"/>
      <c r="AD606" s="42"/>
      <c r="AE606" s="42"/>
      <c r="AF606" s="42"/>
      <c r="AG606" s="42"/>
      <c r="AH606" s="42"/>
      <c r="AI606" s="42"/>
      <c r="AJ606" s="42"/>
      <c r="AK606" s="42"/>
      <c r="AL606" s="42"/>
      <c r="AM606" s="42"/>
    </row>
    <row r="607" spans="1:39" x14ac:dyDescent="0.25">
      <c r="A607" s="38" t="s">
        <v>958</v>
      </c>
      <c r="B607" s="42"/>
      <c r="C607" s="42"/>
      <c r="D607" s="42"/>
      <c r="E607" s="41"/>
      <c r="F607" s="41"/>
      <c r="G607" s="41"/>
      <c r="H607" s="41"/>
      <c r="I607" s="41"/>
      <c r="J607" s="42"/>
      <c r="K607" s="41"/>
      <c r="L607" s="41"/>
      <c r="M607" s="127"/>
      <c r="N607" s="41"/>
      <c r="O607" s="41"/>
      <c r="P607" s="41"/>
      <c r="Q607" s="42"/>
      <c r="R607" s="35"/>
      <c r="S607" s="35"/>
      <c r="T607" s="35"/>
      <c r="U607" s="35"/>
      <c r="V607" s="121"/>
      <c r="W607" s="42"/>
      <c r="X607" s="42"/>
      <c r="Y607" s="42"/>
      <c r="Z607" s="42"/>
      <c r="AA607" s="42"/>
      <c r="AB607" s="42"/>
      <c r="AC607" s="42"/>
      <c r="AD607" s="42"/>
      <c r="AE607" s="42"/>
      <c r="AF607" s="42"/>
      <c r="AG607" s="42"/>
      <c r="AH607" s="42"/>
      <c r="AI607" s="42"/>
      <c r="AJ607" s="42"/>
      <c r="AK607" s="42"/>
      <c r="AL607" s="42"/>
      <c r="AM607" s="42"/>
    </row>
    <row r="608" spans="1:39" x14ac:dyDescent="0.25">
      <c r="A608" s="38" t="s">
        <v>959</v>
      </c>
      <c r="B608" s="42"/>
      <c r="C608" s="42"/>
      <c r="D608" s="42"/>
      <c r="E608" s="41"/>
      <c r="F608" s="41"/>
      <c r="G608" s="41"/>
      <c r="H608" s="41"/>
      <c r="I608" s="41"/>
      <c r="J608" s="42"/>
      <c r="K608" s="41"/>
      <c r="L608" s="41"/>
      <c r="M608" s="127"/>
      <c r="N608" s="41"/>
      <c r="O608" s="41"/>
      <c r="P608" s="41"/>
      <c r="Q608" s="42"/>
      <c r="R608" s="35"/>
      <c r="S608" s="35"/>
      <c r="T608" s="35"/>
      <c r="U608" s="35"/>
      <c r="V608" s="121"/>
      <c r="W608" s="42"/>
      <c r="X608" s="42"/>
      <c r="Y608" s="42"/>
      <c r="Z608" s="42"/>
      <c r="AA608" s="42"/>
      <c r="AB608" s="42"/>
      <c r="AC608" s="42"/>
      <c r="AD608" s="42"/>
      <c r="AE608" s="42"/>
      <c r="AF608" s="42"/>
      <c r="AG608" s="42"/>
      <c r="AH608" s="42"/>
      <c r="AI608" s="42"/>
      <c r="AJ608" s="42"/>
      <c r="AK608" s="42"/>
      <c r="AL608" s="42"/>
      <c r="AM608" s="42"/>
    </row>
    <row r="609" spans="1:39" x14ac:dyDescent="0.25">
      <c r="A609" s="38" t="s">
        <v>960</v>
      </c>
      <c r="B609" s="42"/>
      <c r="C609" s="42"/>
      <c r="D609" s="42"/>
      <c r="E609" s="41"/>
      <c r="F609" s="41"/>
      <c r="G609" s="41"/>
      <c r="H609" s="41"/>
      <c r="I609" s="41"/>
      <c r="J609" s="42"/>
      <c r="K609" s="41"/>
      <c r="L609" s="41"/>
      <c r="M609" s="127"/>
      <c r="N609" s="41"/>
      <c r="O609" s="41"/>
      <c r="P609" s="41"/>
      <c r="Q609" s="42"/>
      <c r="R609" s="35"/>
      <c r="S609" s="35"/>
      <c r="T609" s="35"/>
      <c r="U609" s="35"/>
      <c r="V609" s="121"/>
      <c r="W609" s="42"/>
      <c r="X609" s="42"/>
      <c r="Y609" s="42"/>
      <c r="Z609" s="42"/>
      <c r="AA609" s="42"/>
      <c r="AB609" s="42"/>
      <c r="AC609" s="42"/>
      <c r="AD609" s="42"/>
      <c r="AE609" s="42"/>
      <c r="AF609" s="42"/>
      <c r="AG609" s="42"/>
      <c r="AH609" s="42"/>
      <c r="AI609" s="42"/>
      <c r="AJ609" s="42"/>
      <c r="AK609" s="42"/>
      <c r="AL609" s="42"/>
      <c r="AM609" s="42"/>
    </row>
    <row r="610" spans="1:39" x14ac:dyDescent="0.25">
      <c r="A610" s="38" t="s">
        <v>961</v>
      </c>
      <c r="B610" s="42"/>
      <c r="C610" s="42"/>
      <c r="D610" s="42"/>
      <c r="E610" s="41"/>
      <c r="F610" s="41"/>
      <c r="G610" s="41"/>
      <c r="H610" s="41"/>
      <c r="I610" s="41"/>
      <c r="J610" s="42"/>
      <c r="K610" s="41"/>
      <c r="L610" s="41"/>
      <c r="M610" s="127"/>
      <c r="N610" s="41"/>
      <c r="O610" s="41"/>
      <c r="P610" s="41"/>
      <c r="Q610" s="42"/>
      <c r="R610" s="35"/>
      <c r="S610" s="35"/>
      <c r="T610" s="35"/>
      <c r="U610" s="35"/>
      <c r="V610" s="121"/>
      <c r="W610" s="42"/>
      <c r="X610" s="42"/>
      <c r="Y610" s="42"/>
      <c r="Z610" s="42"/>
      <c r="AA610" s="42"/>
      <c r="AB610" s="42"/>
      <c r="AC610" s="42"/>
      <c r="AD610" s="42"/>
      <c r="AE610" s="42"/>
      <c r="AF610" s="42"/>
      <c r="AG610" s="42"/>
      <c r="AH610" s="42"/>
      <c r="AI610" s="42"/>
      <c r="AJ610" s="42"/>
      <c r="AK610" s="42"/>
      <c r="AL610" s="42"/>
      <c r="AM610" s="42"/>
    </row>
    <row r="611" spans="1:39" x14ac:dyDescent="0.25">
      <c r="A611" s="38" t="s">
        <v>962</v>
      </c>
      <c r="B611" s="42"/>
      <c r="C611" s="42"/>
      <c r="D611" s="42"/>
      <c r="E611" s="41"/>
      <c r="F611" s="41"/>
      <c r="G611" s="41"/>
      <c r="H611" s="41"/>
      <c r="I611" s="41"/>
      <c r="J611" s="42"/>
      <c r="K611" s="41"/>
      <c r="L611" s="41"/>
      <c r="M611" s="127"/>
      <c r="N611" s="41"/>
      <c r="O611" s="41"/>
      <c r="P611" s="41"/>
      <c r="Q611" s="42"/>
      <c r="R611" s="35"/>
      <c r="S611" s="35"/>
      <c r="T611" s="35"/>
      <c r="U611" s="35"/>
      <c r="V611" s="121"/>
      <c r="W611" s="42"/>
      <c r="X611" s="42"/>
      <c r="Y611" s="42"/>
      <c r="Z611" s="42"/>
      <c r="AA611" s="42"/>
      <c r="AB611" s="42"/>
      <c r="AC611" s="42"/>
      <c r="AD611" s="42"/>
      <c r="AE611" s="42"/>
      <c r="AF611" s="42"/>
      <c r="AG611" s="42"/>
      <c r="AH611" s="42"/>
      <c r="AI611" s="42"/>
      <c r="AJ611" s="42"/>
      <c r="AK611" s="42"/>
      <c r="AL611" s="42"/>
      <c r="AM611" s="42"/>
    </row>
    <row r="612" spans="1:39" x14ac:dyDescent="0.25">
      <c r="A612" s="38" t="s">
        <v>963</v>
      </c>
      <c r="B612" s="42"/>
      <c r="C612" s="42"/>
      <c r="D612" s="42"/>
      <c r="E612" s="41"/>
      <c r="F612" s="41"/>
      <c r="G612" s="41"/>
      <c r="H612" s="41"/>
      <c r="I612" s="41"/>
      <c r="J612" s="42"/>
      <c r="K612" s="41"/>
      <c r="L612" s="41"/>
      <c r="M612" s="127"/>
      <c r="N612" s="41"/>
      <c r="O612" s="41"/>
      <c r="P612" s="41"/>
      <c r="Q612" s="42"/>
      <c r="R612" s="35"/>
      <c r="S612" s="35"/>
      <c r="T612" s="35"/>
      <c r="U612" s="35"/>
      <c r="V612" s="121"/>
      <c r="W612" s="42"/>
      <c r="X612" s="42"/>
      <c r="Y612" s="42"/>
      <c r="Z612" s="42"/>
      <c r="AA612" s="42"/>
      <c r="AB612" s="42"/>
      <c r="AC612" s="42"/>
      <c r="AD612" s="42"/>
      <c r="AE612" s="42"/>
      <c r="AF612" s="42"/>
      <c r="AG612" s="42"/>
      <c r="AH612" s="42"/>
      <c r="AI612" s="42"/>
      <c r="AJ612" s="42"/>
      <c r="AK612" s="42"/>
      <c r="AL612" s="42"/>
      <c r="AM612" s="42"/>
    </row>
    <row r="613" spans="1:39" x14ac:dyDescent="0.25">
      <c r="A613" s="38" t="s">
        <v>964</v>
      </c>
      <c r="B613" s="42"/>
      <c r="C613" s="42"/>
      <c r="D613" s="42"/>
      <c r="E613" s="41"/>
      <c r="F613" s="41"/>
      <c r="G613" s="41"/>
      <c r="H613" s="41"/>
      <c r="I613" s="41"/>
      <c r="J613" s="42"/>
      <c r="K613" s="41"/>
      <c r="L613" s="41"/>
      <c r="M613" s="127"/>
      <c r="N613" s="41"/>
      <c r="O613" s="41"/>
      <c r="P613" s="41"/>
      <c r="Q613" s="42"/>
      <c r="R613" s="35"/>
      <c r="S613" s="35"/>
      <c r="T613" s="35"/>
      <c r="U613" s="35"/>
      <c r="V613" s="121"/>
      <c r="W613" s="42"/>
      <c r="X613" s="42"/>
      <c r="Y613" s="42"/>
      <c r="Z613" s="42"/>
      <c r="AA613" s="42"/>
      <c r="AB613" s="42"/>
      <c r="AC613" s="42"/>
      <c r="AD613" s="42"/>
      <c r="AE613" s="42"/>
      <c r="AF613" s="42"/>
      <c r="AG613" s="42"/>
      <c r="AH613" s="42"/>
      <c r="AI613" s="42"/>
      <c r="AJ613" s="42"/>
      <c r="AK613" s="42"/>
      <c r="AL613" s="42"/>
      <c r="AM613" s="42"/>
    </row>
    <row r="614" spans="1:39" x14ac:dyDescent="0.25">
      <c r="A614" s="38" t="s">
        <v>965</v>
      </c>
      <c r="B614" s="42"/>
      <c r="C614" s="42"/>
      <c r="D614" s="42"/>
      <c r="E614" s="41"/>
      <c r="F614" s="41"/>
      <c r="G614" s="41"/>
      <c r="H614" s="41"/>
      <c r="I614" s="41"/>
      <c r="J614" s="42"/>
      <c r="K614" s="41"/>
      <c r="L614" s="41"/>
      <c r="M614" s="127"/>
      <c r="N614" s="41"/>
      <c r="O614" s="41"/>
      <c r="P614" s="41"/>
      <c r="Q614" s="42"/>
      <c r="R614" s="35"/>
      <c r="S614" s="35"/>
      <c r="T614" s="35"/>
      <c r="U614" s="35"/>
      <c r="V614" s="121"/>
      <c r="W614" s="42"/>
      <c r="X614" s="42"/>
      <c r="Y614" s="42"/>
      <c r="Z614" s="42"/>
      <c r="AA614" s="42"/>
      <c r="AB614" s="42"/>
      <c r="AC614" s="42"/>
      <c r="AD614" s="42"/>
      <c r="AE614" s="42"/>
      <c r="AF614" s="42"/>
      <c r="AG614" s="42"/>
      <c r="AH614" s="42"/>
      <c r="AI614" s="42"/>
      <c r="AJ614" s="42"/>
      <c r="AK614" s="42"/>
      <c r="AL614" s="42"/>
      <c r="AM614" s="42"/>
    </row>
    <row r="615" spans="1:39" x14ac:dyDescent="0.25">
      <c r="A615" s="38" t="s">
        <v>966</v>
      </c>
      <c r="B615" s="42"/>
      <c r="C615" s="42"/>
      <c r="D615" s="42"/>
      <c r="E615" s="41"/>
      <c r="F615" s="41"/>
      <c r="G615" s="41"/>
      <c r="H615" s="41"/>
      <c r="I615" s="41"/>
      <c r="J615" s="42"/>
      <c r="K615" s="41"/>
      <c r="L615" s="41"/>
      <c r="M615" s="127"/>
      <c r="N615" s="41"/>
      <c r="O615" s="41"/>
      <c r="P615" s="41"/>
      <c r="Q615" s="42"/>
      <c r="R615" s="35"/>
      <c r="S615" s="35"/>
      <c r="T615" s="35"/>
      <c r="U615" s="35"/>
      <c r="V615" s="121"/>
      <c r="W615" s="42"/>
      <c r="X615" s="42"/>
      <c r="Y615" s="42"/>
      <c r="Z615" s="42"/>
      <c r="AA615" s="42"/>
      <c r="AB615" s="42"/>
      <c r="AC615" s="42"/>
      <c r="AD615" s="42"/>
      <c r="AE615" s="42"/>
      <c r="AF615" s="42"/>
      <c r="AG615" s="42"/>
      <c r="AH615" s="42"/>
      <c r="AI615" s="42"/>
      <c r="AJ615" s="42"/>
      <c r="AK615" s="42"/>
      <c r="AL615" s="42"/>
      <c r="AM615" s="42"/>
    </row>
    <row r="616" spans="1:39" x14ac:dyDescent="0.25">
      <c r="A616" s="38" t="s">
        <v>967</v>
      </c>
      <c r="B616" s="42"/>
      <c r="C616" s="42"/>
      <c r="D616" s="42"/>
      <c r="E616" s="41"/>
      <c r="F616" s="41"/>
      <c r="G616" s="41"/>
      <c r="H616" s="41"/>
      <c r="I616" s="41"/>
      <c r="J616" s="42"/>
      <c r="K616" s="41"/>
      <c r="L616" s="41"/>
      <c r="M616" s="127"/>
      <c r="N616" s="41"/>
      <c r="O616" s="41"/>
      <c r="P616" s="41"/>
      <c r="Q616" s="42"/>
      <c r="R616" s="35"/>
      <c r="S616" s="35"/>
      <c r="T616" s="35"/>
      <c r="U616" s="35"/>
      <c r="V616" s="121"/>
      <c r="W616" s="42"/>
      <c r="X616" s="42"/>
      <c r="Y616" s="42"/>
      <c r="Z616" s="42"/>
      <c r="AA616" s="42"/>
      <c r="AB616" s="42"/>
      <c r="AC616" s="42"/>
      <c r="AD616" s="42"/>
      <c r="AE616" s="42"/>
      <c r="AF616" s="42"/>
      <c r="AG616" s="42"/>
      <c r="AH616" s="42"/>
      <c r="AI616" s="42"/>
      <c r="AJ616" s="42"/>
      <c r="AK616" s="42"/>
      <c r="AL616" s="42"/>
      <c r="AM616" s="42"/>
    </row>
    <row r="617" spans="1:39" x14ac:dyDescent="0.25">
      <c r="A617" s="38" t="s">
        <v>968</v>
      </c>
      <c r="B617" s="42"/>
      <c r="C617" s="42"/>
      <c r="D617" s="42"/>
      <c r="E617" s="41"/>
      <c r="F617" s="41"/>
      <c r="G617" s="41"/>
      <c r="H617" s="41"/>
      <c r="I617" s="41"/>
      <c r="J617" s="42"/>
      <c r="K617" s="41"/>
      <c r="L617" s="41"/>
      <c r="M617" s="127"/>
      <c r="N617" s="41"/>
      <c r="O617" s="41"/>
      <c r="P617" s="41"/>
      <c r="Q617" s="42"/>
      <c r="R617" s="35"/>
      <c r="S617" s="35"/>
      <c r="T617" s="35"/>
      <c r="U617" s="35"/>
      <c r="V617" s="121"/>
      <c r="W617" s="42"/>
      <c r="X617" s="42"/>
      <c r="Y617" s="42"/>
      <c r="Z617" s="42"/>
      <c r="AA617" s="42"/>
      <c r="AB617" s="42"/>
      <c r="AC617" s="42"/>
      <c r="AD617" s="42"/>
      <c r="AE617" s="42"/>
      <c r="AF617" s="42"/>
      <c r="AG617" s="42"/>
      <c r="AH617" s="42"/>
      <c r="AI617" s="42"/>
      <c r="AJ617" s="42"/>
      <c r="AK617" s="42"/>
      <c r="AL617" s="42"/>
      <c r="AM617" s="42"/>
    </row>
    <row r="618" spans="1:39" x14ac:dyDescent="0.25">
      <c r="A618" s="38" t="s">
        <v>969</v>
      </c>
      <c r="B618" s="42"/>
      <c r="C618" s="42"/>
      <c r="D618" s="42"/>
      <c r="E618" s="41"/>
      <c r="F618" s="41"/>
      <c r="G618" s="41"/>
      <c r="H618" s="41"/>
      <c r="I618" s="41"/>
      <c r="J618" s="42"/>
      <c r="K618" s="41"/>
      <c r="L618" s="41"/>
      <c r="M618" s="127"/>
      <c r="N618" s="41"/>
      <c r="O618" s="41"/>
      <c r="P618" s="41"/>
      <c r="Q618" s="42"/>
      <c r="R618" s="35"/>
      <c r="S618" s="35"/>
      <c r="T618" s="35"/>
      <c r="U618" s="35"/>
      <c r="V618" s="121"/>
      <c r="W618" s="42"/>
      <c r="X618" s="42"/>
      <c r="Y618" s="42"/>
      <c r="Z618" s="42"/>
      <c r="AA618" s="42"/>
      <c r="AB618" s="42"/>
      <c r="AC618" s="42"/>
      <c r="AD618" s="42"/>
      <c r="AE618" s="42"/>
      <c r="AF618" s="42"/>
      <c r="AG618" s="42"/>
      <c r="AH618" s="42"/>
      <c r="AI618" s="42"/>
      <c r="AJ618" s="42"/>
      <c r="AK618" s="42"/>
      <c r="AL618" s="42"/>
      <c r="AM618" s="42"/>
    </row>
    <row r="619" spans="1:39" x14ac:dyDescent="0.25">
      <c r="A619" s="38" t="s">
        <v>970</v>
      </c>
      <c r="B619" s="42"/>
      <c r="C619" s="42"/>
      <c r="D619" s="42"/>
      <c r="E619" s="41"/>
      <c r="F619" s="41"/>
      <c r="G619" s="41"/>
      <c r="H619" s="41"/>
      <c r="I619" s="41"/>
      <c r="J619" s="42"/>
      <c r="K619" s="41"/>
      <c r="L619" s="41"/>
      <c r="M619" s="127"/>
      <c r="N619" s="41"/>
      <c r="O619" s="41"/>
      <c r="P619" s="41"/>
      <c r="Q619" s="42"/>
      <c r="R619" s="35"/>
      <c r="S619" s="35"/>
      <c r="T619" s="35"/>
      <c r="U619" s="35"/>
      <c r="V619" s="121"/>
      <c r="W619" s="42"/>
      <c r="X619" s="42"/>
      <c r="Y619" s="42"/>
      <c r="Z619" s="42"/>
      <c r="AA619" s="42"/>
      <c r="AB619" s="42"/>
      <c r="AC619" s="42"/>
      <c r="AD619" s="42"/>
      <c r="AE619" s="42"/>
      <c r="AF619" s="42"/>
      <c r="AG619" s="42"/>
      <c r="AH619" s="42"/>
      <c r="AI619" s="42"/>
      <c r="AJ619" s="42"/>
      <c r="AK619" s="42"/>
      <c r="AL619" s="42"/>
      <c r="AM619" s="42"/>
    </row>
    <row r="620" spans="1:39" x14ac:dyDescent="0.25">
      <c r="A620" s="38" t="s">
        <v>971</v>
      </c>
      <c r="B620" s="42"/>
      <c r="C620" s="42"/>
      <c r="D620" s="42"/>
      <c r="E620" s="41"/>
      <c r="F620" s="41"/>
      <c r="G620" s="41"/>
      <c r="H620" s="41"/>
      <c r="I620" s="41"/>
      <c r="J620" s="42"/>
      <c r="K620" s="41"/>
      <c r="L620" s="41"/>
      <c r="M620" s="127"/>
      <c r="N620" s="41"/>
      <c r="O620" s="41"/>
      <c r="P620" s="41"/>
      <c r="Q620" s="42"/>
      <c r="R620" s="35"/>
      <c r="S620" s="35"/>
      <c r="T620" s="35"/>
      <c r="U620" s="35"/>
      <c r="V620" s="121"/>
      <c r="W620" s="42"/>
      <c r="X620" s="42"/>
      <c r="Y620" s="42"/>
      <c r="Z620" s="42"/>
      <c r="AA620" s="42"/>
      <c r="AB620" s="42"/>
      <c r="AC620" s="42"/>
      <c r="AD620" s="42"/>
      <c r="AE620" s="42"/>
      <c r="AF620" s="42"/>
      <c r="AG620" s="42"/>
      <c r="AH620" s="42"/>
      <c r="AI620" s="42"/>
      <c r="AJ620" s="42"/>
      <c r="AK620" s="42"/>
      <c r="AL620" s="42"/>
      <c r="AM620" s="42"/>
    </row>
    <row r="621" spans="1:39" x14ac:dyDescent="0.25">
      <c r="A621" s="38" t="s">
        <v>972</v>
      </c>
      <c r="B621" s="42"/>
      <c r="C621" s="42"/>
      <c r="D621" s="42"/>
      <c r="E621" s="41"/>
      <c r="F621" s="41"/>
      <c r="G621" s="41"/>
      <c r="H621" s="41"/>
      <c r="I621" s="41"/>
      <c r="J621" s="42"/>
      <c r="K621" s="41"/>
      <c r="L621" s="41"/>
      <c r="M621" s="127"/>
      <c r="N621" s="41"/>
      <c r="O621" s="41"/>
      <c r="P621" s="41"/>
      <c r="Q621" s="42"/>
      <c r="R621" s="35"/>
      <c r="S621" s="35"/>
      <c r="T621" s="35"/>
      <c r="U621" s="35"/>
      <c r="V621" s="121"/>
      <c r="W621" s="42"/>
      <c r="X621" s="42"/>
      <c r="Y621" s="42"/>
      <c r="Z621" s="42"/>
      <c r="AA621" s="42"/>
      <c r="AB621" s="42"/>
      <c r="AC621" s="42"/>
      <c r="AD621" s="42"/>
      <c r="AE621" s="42"/>
      <c r="AF621" s="42"/>
      <c r="AG621" s="42"/>
      <c r="AH621" s="42"/>
      <c r="AI621" s="42"/>
      <c r="AJ621" s="42"/>
      <c r="AK621" s="42"/>
      <c r="AL621" s="42"/>
      <c r="AM621" s="42"/>
    </row>
    <row r="622" spans="1:39" x14ac:dyDescent="0.25">
      <c r="A622" s="38" t="s">
        <v>973</v>
      </c>
      <c r="B622" s="42"/>
      <c r="C622" s="42"/>
      <c r="D622" s="42"/>
      <c r="E622" s="41"/>
      <c r="F622" s="41"/>
      <c r="G622" s="41"/>
      <c r="H622" s="41"/>
      <c r="I622" s="41"/>
      <c r="J622" s="42"/>
      <c r="K622" s="41"/>
      <c r="L622" s="41"/>
      <c r="M622" s="127"/>
      <c r="N622" s="41"/>
      <c r="O622" s="41"/>
      <c r="P622" s="41"/>
      <c r="Q622" s="42"/>
      <c r="R622" s="35"/>
      <c r="S622" s="35"/>
      <c r="T622" s="35"/>
      <c r="U622" s="35"/>
      <c r="V622" s="121"/>
      <c r="W622" s="42"/>
      <c r="X622" s="42"/>
      <c r="Y622" s="42"/>
      <c r="Z622" s="42"/>
      <c r="AA622" s="42"/>
      <c r="AB622" s="42"/>
      <c r="AC622" s="42"/>
      <c r="AD622" s="42"/>
      <c r="AE622" s="42"/>
      <c r="AF622" s="42"/>
      <c r="AG622" s="42"/>
      <c r="AH622" s="42"/>
      <c r="AI622" s="42"/>
      <c r="AJ622" s="42"/>
      <c r="AK622" s="42"/>
      <c r="AL622" s="42"/>
      <c r="AM622" s="42"/>
    </row>
    <row r="623" spans="1:39" x14ac:dyDescent="0.25">
      <c r="A623" s="38" t="s">
        <v>974</v>
      </c>
      <c r="B623" s="42"/>
      <c r="C623" s="42"/>
      <c r="D623" s="42"/>
      <c r="E623" s="41"/>
      <c r="F623" s="41"/>
      <c r="G623" s="41"/>
      <c r="H623" s="41"/>
      <c r="I623" s="41"/>
      <c r="J623" s="42"/>
      <c r="K623" s="41"/>
      <c r="L623" s="41"/>
      <c r="M623" s="127"/>
      <c r="N623" s="41"/>
      <c r="O623" s="41"/>
      <c r="P623" s="41"/>
      <c r="Q623" s="42"/>
      <c r="R623" s="35"/>
      <c r="S623" s="35"/>
      <c r="T623" s="35"/>
      <c r="U623" s="35"/>
      <c r="V623" s="121"/>
      <c r="W623" s="42"/>
      <c r="X623" s="42"/>
      <c r="Y623" s="42"/>
      <c r="Z623" s="42"/>
      <c r="AA623" s="42"/>
      <c r="AB623" s="42"/>
      <c r="AC623" s="42"/>
      <c r="AD623" s="42"/>
      <c r="AE623" s="42"/>
      <c r="AF623" s="42"/>
      <c r="AG623" s="42"/>
      <c r="AH623" s="42"/>
      <c r="AI623" s="42"/>
      <c r="AJ623" s="42"/>
      <c r="AK623" s="42"/>
      <c r="AL623" s="42"/>
      <c r="AM623" s="42"/>
    </row>
    <row r="624" spans="1:39" x14ac:dyDescent="0.25">
      <c r="A624" s="38" t="s">
        <v>975</v>
      </c>
      <c r="B624" s="42"/>
      <c r="C624" s="42"/>
      <c r="D624" s="42"/>
      <c r="E624" s="41"/>
      <c r="F624" s="41"/>
      <c r="G624" s="41"/>
      <c r="H624" s="41"/>
      <c r="I624" s="41"/>
      <c r="J624" s="42"/>
      <c r="K624" s="41"/>
      <c r="L624" s="41"/>
      <c r="M624" s="127"/>
      <c r="N624" s="41"/>
      <c r="O624" s="41"/>
      <c r="P624" s="41"/>
      <c r="Q624" s="42"/>
      <c r="R624" s="35"/>
      <c r="S624" s="35"/>
      <c r="T624" s="35"/>
      <c r="U624" s="35"/>
      <c r="V624" s="121"/>
      <c r="W624" s="42"/>
      <c r="X624" s="42"/>
      <c r="Y624" s="42"/>
      <c r="Z624" s="42"/>
      <c r="AA624" s="42"/>
      <c r="AB624" s="42"/>
      <c r="AC624" s="42"/>
      <c r="AD624" s="42"/>
      <c r="AE624" s="42"/>
      <c r="AF624" s="42"/>
      <c r="AG624" s="42"/>
      <c r="AH624" s="42"/>
      <c r="AI624" s="42"/>
      <c r="AJ624" s="42"/>
      <c r="AK624" s="42"/>
      <c r="AL624" s="42"/>
      <c r="AM624" s="42"/>
    </row>
    <row r="625" spans="1:39" x14ac:dyDescent="0.25">
      <c r="A625" s="38" t="s">
        <v>976</v>
      </c>
      <c r="B625" s="42"/>
      <c r="C625" s="42"/>
      <c r="D625" s="42"/>
      <c r="E625" s="41"/>
      <c r="F625" s="41"/>
      <c r="G625" s="41"/>
      <c r="H625" s="41"/>
      <c r="I625" s="41"/>
      <c r="J625" s="42"/>
      <c r="K625" s="41"/>
      <c r="L625" s="41"/>
      <c r="M625" s="127"/>
      <c r="N625" s="41"/>
      <c r="O625" s="41"/>
      <c r="P625" s="41"/>
      <c r="Q625" s="42"/>
      <c r="R625" s="35"/>
      <c r="S625" s="35"/>
      <c r="T625" s="35"/>
      <c r="U625" s="35"/>
      <c r="V625" s="121"/>
      <c r="W625" s="42"/>
      <c r="X625" s="42"/>
      <c r="Y625" s="42"/>
      <c r="Z625" s="42"/>
      <c r="AA625" s="42"/>
      <c r="AB625" s="42"/>
      <c r="AC625" s="42"/>
      <c r="AD625" s="42"/>
      <c r="AE625" s="42"/>
      <c r="AF625" s="42"/>
      <c r="AG625" s="42"/>
      <c r="AH625" s="42"/>
      <c r="AI625" s="42"/>
      <c r="AJ625" s="42"/>
      <c r="AK625" s="42"/>
      <c r="AL625" s="42"/>
      <c r="AM625" s="42"/>
    </row>
    <row r="626" spans="1:39" x14ac:dyDescent="0.25">
      <c r="A626" s="38" t="s">
        <v>977</v>
      </c>
      <c r="B626" s="42"/>
      <c r="C626" s="42"/>
      <c r="D626" s="42"/>
      <c r="E626" s="41"/>
      <c r="F626" s="41"/>
      <c r="G626" s="41"/>
      <c r="H626" s="41"/>
      <c r="I626" s="41"/>
      <c r="J626" s="42"/>
      <c r="K626" s="41"/>
      <c r="L626" s="41"/>
      <c r="M626" s="127"/>
      <c r="N626" s="41"/>
      <c r="O626" s="41"/>
      <c r="P626" s="41"/>
      <c r="Q626" s="42"/>
      <c r="R626" s="35"/>
      <c r="S626" s="35"/>
      <c r="T626" s="35"/>
      <c r="U626" s="35"/>
      <c r="V626" s="121"/>
      <c r="W626" s="42"/>
      <c r="X626" s="42"/>
      <c r="Y626" s="42"/>
      <c r="Z626" s="42"/>
      <c r="AA626" s="42"/>
      <c r="AB626" s="42"/>
      <c r="AC626" s="42"/>
      <c r="AD626" s="42"/>
      <c r="AE626" s="42"/>
      <c r="AF626" s="42"/>
      <c r="AG626" s="42"/>
      <c r="AH626" s="42"/>
      <c r="AI626" s="42"/>
      <c r="AJ626" s="42"/>
      <c r="AK626" s="42"/>
      <c r="AL626" s="42"/>
      <c r="AM626" s="42"/>
    </row>
    <row r="627" spans="1:39" x14ac:dyDescent="0.25">
      <c r="A627" s="38" t="s">
        <v>978</v>
      </c>
      <c r="B627" s="42"/>
      <c r="C627" s="42"/>
      <c r="D627" s="42"/>
      <c r="E627" s="41"/>
      <c r="F627" s="41"/>
      <c r="G627" s="41"/>
      <c r="H627" s="41"/>
      <c r="I627" s="41"/>
      <c r="J627" s="42"/>
      <c r="K627" s="41"/>
      <c r="L627" s="41"/>
      <c r="M627" s="127"/>
      <c r="N627" s="41"/>
      <c r="O627" s="41"/>
      <c r="P627" s="41"/>
      <c r="Q627" s="42"/>
      <c r="R627" s="35"/>
      <c r="S627" s="35"/>
      <c r="T627" s="35"/>
      <c r="U627" s="35"/>
      <c r="V627" s="121"/>
      <c r="W627" s="42"/>
      <c r="X627" s="42"/>
      <c r="Y627" s="42"/>
      <c r="Z627" s="42"/>
      <c r="AA627" s="42"/>
      <c r="AB627" s="42"/>
      <c r="AC627" s="42"/>
      <c r="AD627" s="42"/>
      <c r="AE627" s="42"/>
      <c r="AF627" s="42"/>
      <c r="AG627" s="42"/>
      <c r="AH627" s="42"/>
      <c r="AI627" s="42"/>
      <c r="AJ627" s="42"/>
      <c r="AK627" s="42"/>
      <c r="AL627" s="42"/>
      <c r="AM627" s="42"/>
    </row>
    <row r="628" spans="1:39" x14ac:dyDescent="0.25">
      <c r="A628" s="38" t="s">
        <v>979</v>
      </c>
      <c r="B628" s="42"/>
      <c r="C628" s="42"/>
      <c r="D628" s="42"/>
      <c r="E628" s="41"/>
      <c r="F628" s="41"/>
      <c r="G628" s="41"/>
      <c r="H628" s="41"/>
      <c r="I628" s="41"/>
      <c r="J628" s="42"/>
      <c r="K628" s="41"/>
      <c r="L628" s="41"/>
      <c r="M628" s="127"/>
      <c r="N628" s="41"/>
      <c r="O628" s="41"/>
      <c r="P628" s="41"/>
      <c r="Q628" s="42"/>
      <c r="R628" s="35"/>
      <c r="S628" s="35"/>
      <c r="T628" s="35"/>
      <c r="U628" s="35"/>
      <c r="V628" s="121"/>
      <c r="W628" s="42"/>
      <c r="X628" s="42"/>
      <c r="Y628" s="42"/>
      <c r="Z628" s="42"/>
      <c r="AA628" s="42"/>
      <c r="AB628" s="42"/>
      <c r="AC628" s="42"/>
      <c r="AD628" s="42"/>
      <c r="AE628" s="42"/>
      <c r="AF628" s="42"/>
      <c r="AG628" s="42"/>
      <c r="AH628" s="42"/>
      <c r="AI628" s="42"/>
      <c r="AJ628" s="42"/>
      <c r="AK628" s="42"/>
      <c r="AL628" s="42"/>
      <c r="AM628" s="42"/>
    </row>
    <row r="629" spans="1:39" x14ac:dyDescent="0.25">
      <c r="A629" s="38" t="s">
        <v>980</v>
      </c>
      <c r="B629" s="42"/>
      <c r="C629" s="42"/>
      <c r="D629" s="42"/>
      <c r="E629" s="41"/>
      <c r="F629" s="41"/>
      <c r="G629" s="41"/>
      <c r="H629" s="41"/>
      <c r="I629" s="41"/>
      <c r="J629" s="42"/>
      <c r="K629" s="41"/>
      <c r="L629" s="41"/>
      <c r="M629" s="127"/>
      <c r="N629" s="41"/>
      <c r="O629" s="41"/>
      <c r="P629" s="41"/>
      <c r="Q629" s="42"/>
      <c r="R629" s="35"/>
      <c r="S629" s="35"/>
      <c r="T629" s="35"/>
      <c r="U629" s="35"/>
      <c r="V629" s="121"/>
      <c r="W629" s="42"/>
      <c r="X629" s="42"/>
      <c r="Y629" s="42"/>
      <c r="Z629" s="42"/>
      <c r="AA629" s="42"/>
      <c r="AB629" s="42"/>
      <c r="AC629" s="42"/>
      <c r="AD629" s="42"/>
      <c r="AE629" s="42"/>
      <c r="AF629" s="42"/>
      <c r="AG629" s="42"/>
      <c r="AH629" s="42"/>
      <c r="AI629" s="42"/>
      <c r="AJ629" s="42"/>
      <c r="AK629" s="42"/>
      <c r="AL629" s="42"/>
      <c r="AM629" s="42"/>
    </row>
    <row r="630" spans="1:39" x14ac:dyDescent="0.25">
      <c r="A630" s="38" t="s">
        <v>981</v>
      </c>
      <c r="B630" s="42"/>
      <c r="C630" s="42"/>
      <c r="D630" s="42"/>
      <c r="E630" s="41"/>
      <c r="F630" s="41"/>
      <c r="G630" s="41"/>
      <c r="H630" s="41"/>
      <c r="I630" s="41"/>
      <c r="J630" s="42"/>
      <c r="K630" s="41"/>
      <c r="L630" s="41"/>
      <c r="M630" s="127"/>
      <c r="N630" s="41"/>
      <c r="O630" s="41"/>
      <c r="P630" s="41"/>
      <c r="Q630" s="42"/>
      <c r="R630" s="35"/>
      <c r="S630" s="35"/>
      <c r="T630" s="35"/>
      <c r="U630" s="35"/>
      <c r="V630" s="121"/>
      <c r="W630" s="42"/>
      <c r="X630" s="42"/>
      <c r="Y630" s="42"/>
      <c r="Z630" s="42"/>
      <c r="AA630" s="42"/>
      <c r="AB630" s="42"/>
      <c r="AC630" s="42"/>
      <c r="AD630" s="42"/>
      <c r="AE630" s="42"/>
      <c r="AF630" s="42"/>
      <c r="AG630" s="42"/>
      <c r="AH630" s="42"/>
      <c r="AI630" s="42"/>
      <c r="AJ630" s="42"/>
      <c r="AK630" s="42"/>
      <c r="AL630" s="42"/>
      <c r="AM630" s="42"/>
    </row>
    <row r="631" spans="1:39" x14ac:dyDescent="0.25">
      <c r="A631" s="38" t="s">
        <v>982</v>
      </c>
      <c r="B631" s="42"/>
      <c r="C631" s="42"/>
      <c r="D631" s="42"/>
      <c r="E631" s="41"/>
      <c r="F631" s="41"/>
      <c r="G631" s="41"/>
      <c r="H631" s="41"/>
      <c r="I631" s="41"/>
      <c r="J631" s="42"/>
      <c r="K631" s="41"/>
      <c r="L631" s="41"/>
      <c r="M631" s="127"/>
      <c r="N631" s="41"/>
      <c r="O631" s="41"/>
      <c r="P631" s="41"/>
      <c r="Q631" s="42"/>
      <c r="R631" s="35"/>
      <c r="S631" s="35"/>
      <c r="T631" s="35"/>
      <c r="U631" s="35"/>
      <c r="V631" s="121"/>
      <c r="W631" s="42"/>
      <c r="X631" s="42"/>
      <c r="Y631" s="42"/>
      <c r="Z631" s="42"/>
      <c r="AA631" s="42"/>
      <c r="AB631" s="42"/>
      <c r="AC631" s="42"/>
      <c r="AD631" s="42"/>
      <c r="AE631" s="42"/>
      <c r="AF631" s="42"/>
      <c r="AG631" s="42"/>
      <c r="AH631" s="42"/>
      <c r="AI631" s="42"/>
      <c r="AJ631" s="42"/>
      <c r="AK631" s="42"/>
      <c r="AL631" s="42"/>
      <c r="AM631" s="42"/>
    </row>
    <row r="632" spans="1:39" x14ac:dyDescent="0.25">
      <c r="A632" s="38" t="s">
        <v>983</v>
      </c>
      <c r="B632" s="42"/>
      <c r="C632" s="42"/>
      <c r="D632" s="42"/>
      <c r="E632" s="41"/>
      <c r="F632" s="41"/>
      <c r="G632" s="41"/>
      <c r="H632" s="41"/>
      <c r="I632" s="41"/>
      <c r="J632" s="42"/>
      <c r="K632" s="41"/>
      <c r="L632" s="41"/>
      <c r="M632" s="127"/>
      <c r="N632" s="41"/>
      <c r="O632" s="41"/>
      <c r="P632" s="41"/>
      <c r="Q632" s="42"/>
      <c r="R632" s="35"/>
      <c r="S632" s="35"/>
      <c r="T632" s="35"/>
      <c r="U632" s="35"/>
      <c r="V632" s="121"/>
      <c r="W632" s="42"/>
      <c r="X632" s="42"/>
      <c r="Y632" s="42"/>
      <c r="Z632" s="42"/>
      <c r="AA632" s="42"/>
      <c r="AB632" s="42"/>
      <c r="AC632" s="42"/>
      <c r="AD632" s="42"/>
      <c r="AE632" s="42"/>
      <c r="AF632" s="42"/>
      <c r="AG632" s="42"/>
      <c r="AH632" s="42"/>
      <c r="AI632" s="42"/>
      <c r="AJ632" s="42"/>
      <c r="AK632" s="42"/>
      <c r="AL632" s="42"/>
      <c r="AM632" s="42"/>
    </row>
    <row r="633" spans="1:39" x14ac:dyDescent="0.25">
      <c r="A633" s="38" t="s">
        <v>984</v>
      </c>
      <c r="B633" s="42"/>
      <c r="C633" s="42"/>
      <c r="D633" s="42"/>
      <c r="E633" s="41"/>
      <c r="F633" s="41"/>
      <c r="G633" s="41"/>
      <c r="H633" s="41"/>
      <c r="I633" s="41"/>
      <c r="J633" s="42"/>
      <c r="K633" s="41"/>
      <c r="L633" s="41"/>
      <c r="M633" s="127"/>
      <c r="N633" s="41"/>
      <c r="O633" s="41"/>
      <c r="P633" s="41"/>
      <c r="Q633" s="42"/>
      <c r="R633" s="35"/>
      <c r="S633" s="35"/>
      <c r="T633" s="35"/>
      <c r="U633" s="35"/>
      <c r="V633" s="121"/>
      <c r="W633" s="42"/>
      <c r="X633" s="42"/>
      <c r="Y633" s="42"/>
      <c r="Z633" s="42"/>
      <c r="AA633" s="42"/>
      <c r="AB633" s="42"/>
      <c r="AC633" s="42"/>
      <c r="AD633" s="42"/>
      <c r="AE633" s="42"/>
      <c r="AF633" s="42"/>
      <c r="AG633" s="42"/>
      <c r="AH633" s="42"/>
      <c r="AI633" s="42"/>
      <c r="AJ633" s="42"/>
      <c r="AK633" s="42"/>
      <c r="AL633" s="42"/>
      <c r="AM633" s="42"/>
    </row>
    <row r="634" spans="1:39" x14ac:dyDescent="0.25">
      <c r="A634" s="38" t="s">
        <v>985</v>
      </c>
      <c r="B634" s="42"/>
      <c r="C634" s="42"/>
      <c r="D634" s="42"/>
      <c r="E634" s="41"/>
      <c r="F634" s="41"/>
      <c r="G634" s="41"/>
      <c r="H634" s="41"/>
      <c r="I634" s="41"/>
      <c r="J634" s="42"/>
      <c r="K634" s="41"/>
      <c r="L634" s="41"/>
      <c r="M634" s="127"/>
      <c r="N634" s="41"/>
      <c r="O634" s="41"/>
      <c r="P634" s="41"/>
      <c r="Q634" s="42"/>
      <c r="R634" s="35"/>
      <c r="S634" s="35"/>
      <c r="T634" s="35"/>
      <c r="U634" s="35"/>
      <c r="V634" s="121"/>
      <c r="W634" s="42"/>
      <c r="X634" s="42"/>
      <c r="Y634" s="42"/>
      <c r="Z634" s="42"/>
      <c r="AA634" s="42"/>
      <c r="AB634" s="42"/>
      <c r="AC634" s="42"/>
      <c r="AD634" s="42"/>
      <c r="AE634" s="42"/>
      <c r="AF634" s="42"/>
      <c r="AG634" s="42"/>
      <c r="AH634" s="42"/>
      <c r="AI634" s="42"/>
      <c r="AJ634" s="42"/>
      <c r="AK634" s="42"/>
      <c r="AL634" s="42"/>
      <c r="AM634" s="42"/>
    </row>
    <row r="635" spans="1:39" x14ac:dyDescent="0.25">
      <c r="A635" s="38" t="s">
        <v>986</v>
      </c>
      <c r="B635" s="42"/>
      <c r="C635" s="42"/>
      <c r="D635" s="42"/>
      <c r="E635" s="41"/>
      <c r="F635" s="41"/>
      <c r="G635" s="41"/>
      <c r="H635" s="41"/>
      <c r="I635" s="41"/>
      <c r="J635" s="42"/>
      <c r="K635" s="41"/>
      <c r="L635" s="41"/>
      <c r="M635" s="127"/>
      <c r="N635" s="41"/>
      <c r="O635" s="41"/>
      <c r="P635" s="41"/>
      <c r="Q635" s="42"/>
      <c r="R635" s="35"/>
      <c r="S635" s="35"/>
      <c r="T635" s="35"/>
      <c r="U635" s="35"/>
      <c r="V635" s="121"/>
      <c r="W635" s="42"/>
      <c r="X635" s="42"/>
      <c r="Y635" s="42"/>
      <c r="Z635" s="42"/>
      <c r="AA635" s="42"/>
      <c r="AB635" s="42"/>
      <c r="AC635" s="42"/>
      <c r="AD635" s="42"/>
      <c r="AE635" s="42"/>
      <c r="AF635" s="42"/>
      <c r="AG635" s="42"/>
      <c r="AH635" s="42"/>
      <c r="AI635" s="42"/>
      <c r="AJ635" s="42"/>
      <c r="AK635" s="42"/>
      <c r="AL635" s="42"/>
      <c r="AM635" s="42"/>
    </row>
    <row r="636" spans="1:39" x14ac:dyDescent="0.25">
      <c r="A636" s="38" t="s">
        <v>987</v>
      </c>
      <c r="B636" s="42"/>
      <c r="C636" s="42"/>
      <c r="D636" s="42"/>
      <c r="E636" s="41"/>
      <c r="F636" s="41"/>
      <c r="G636" s="41"/>
      <c r="H636" s="41"/>
      <c r="I636" s="41"/>
      <c r="J636" s="42"/>
      <c r="K636" s="41"/>
      <c r="L636" s="41"/>
      <c r="M636" s="127"/>
      <c r="N636" s="41"/>
      <c r="O636" s="41"/>
      <c r="P636" s="41"/>
      <c r="Q636" s="42"/>
      <c r="R636" s="35"/>
      <c r="S636" s="35"/>
      <c r="T636" s="35"/>
      <c r="U636" s="35"/>
      <c r="V636" s="121"/>
      <c r="W636" s="42"/>
      <c r="X636" s="42"/>
      <c r="Y636" s="42"/>
      <c r="Z636" s="42"/>
      <c r="AA636" s="42"/>
      <c r="AB636" s="42"/>
      <c r="AC636" s="42"/>
      <c r="AD636" s="42"/>
      <c r="AE636" s="42"/>
      <c r="AF636" s="42"/>
      <c r="AG636" s="42"/>
      <c r="AH636" s="42"/>
      <c r="AI636" s="42"/>
      <c r="AJ636" s="42"/>
      <c r="AK636" s="42"/>
      <c r="AL636" s="42"/>
      <c r="AM636" s="42"/>
    </row>
    <row r="637" spans="1:39" x14ac:dyDescent="0.25">
      <c r="A637" s="38" t="s">
        <v>988</v>
      </c>
      <c r="B637" s="42"/>
      <c r="C637" s="42"/>
      <c r="D637" s="42"/>
      <c r="E637" s="41"/>
      <c r="F637" s="41"/>
      <c r="G637" s="41"/>
      <c r="H637" s="41"/>
      <c r="I637" s="41"/>
      <c r="J637" s="42"/>
      <c r="K637" s="41"/>
      <c r="L637" s="41"/>
      <c r="M637" s="127"/>
      <c r="N637" s="41"/>
      <c r="O637" s="41"/>
      <c r="P637" s="41"/>
      <c r="Q637" s="42"/>
      <c r="R637" s="35"/>
      <c r="S637" s="35"/>
      <c r="T637" s="35"/>
      <c r="U637" s="35"/>
      <c r="V637" s="121"/>
      <c r="W637" s="42"/>
      <c r="X637" s="42"/>
      <c r="Y637" s="42"/>
      <c r="Z637" s="42"/>
      <c r="AA637" s="42"/>
      <c r="AB637" s="42"/>
      <c r="AC637" s="42"/>
      <c r="AD637" s="42"/>
      <c r="AE637" s="42"/>
      <c r="AF637" s="42"/>
      <c r="AG637" s="42"/>
      <c r="AH637" s="42"/>
      <c r="AI637" s="42"/>
      <c r="AJ637" s="42"/>
      <c r="AK637" s="42"/>
      <c r="AL637" s="42"/>
      <c r="AM637" s="42"/>
    </row>
    <row r="638" spans="1:39" x14ac:dyDescent="0.25">
      <c r="A638" s="38" t="s">
        <v>989</v>
      </c>
      <c r="B638" s="42"/>
      <c r="C638" s="42"/>
      <c r="D638" s="42"/>
      <c r="E638" s="41"/>
      <c r="F638" s="41"/>
      <c r="G638" s="41"/>
      <c r="H638" s="41"/>
      <c r="I638" s="41"/>
      <c r="J638" s="42"/>
      <c r="K638" s="41"/>
      <c r="L638" s="41"/>
      <c r="M638" s="127"/>
      <c r="N638" s="41"/>
      <c r="O638" s="41"/>
      <c r="P638" s="41"/>
      <c r="Q638" s="42"/>
      <c r="R638" s="35"/>
      <c r="S638" s="35"/>
      <c r="T638" s="35"/>
      <c r="U638" s="35"/>
      <c r="V638" s="121"/>
      <c r="W638" s="42"/>
      <c r="X638" s="42"/>
      <c r="Y638" s="42"/>
      <c r="Z638" s="42"/>
      <c r="AA638" s="42"/>
      <c r="AB638" s="42"/>
      <c r="AC638" s="42"/>
      <c r="AD638" s="42"/>
      <c r="AE638" s="42"/>
      <c r="AF638" s="42"/>
      <c r="AG638" s="42"/>
      <c r="AH638" s="42"/>
      <c r="AI638" s="42"/>
      <c r="AJ638" s="42"/>
      <c r="AK638" s="42"/>
      <c r="AL638" s="42"/>
      <c r="AM638" s="42"/>
    </row>
    <row r="639" spans="1:39" x14ac:dyDescent="0.25">
      <c r="A639" s="38" t="s">
        <v>990</v>
      </c>
      <c r="B639" s="42"/>
      <c r="C639" s="42"/>
      <c r="D639" s="42"/>
      <c r="E639" s="41"/>
      <c r="F639" s="41"/>
      <c r="G639" s="41"/>
      <c r="H639" s="41"/>
      <c r="I639" s="41"/>
      <c r="J639" s="42"/>
      <c r="K639" s="41"/>
      <c r="L639" s="41"/>
      <c r="M639" s="127"/>
      <c r="N639" s="41"/>
      <c r="O639" s="41"/>
      <c r="P639" s="41"/>
      <c r="Q639" s="42"/>
      <c r="R639" s="35"/>
      <c r="S639" s="35"/>
      <c r="T639" s="35"/>
      <c r="U639" s="35"/>
      <c r="V639" s="121"/>
      <c r="W639" s="42"/>
      <c r="X639" s="42"/>
      <c r="Y639" s="42"/>
      <c r="Z639" s="42"/>
      <c r="AA639" s="42"/>
      <c r="AB639" s="42"/>
      <c r="AC639" s="42"/>
      <c r="AD639" s="42"/>
      <c r="AE639" s="42"/>
      <c r="AF639" s="42"/>
      <c r="AG639" s="42"/>
      <c r="AH639" s="42"/>
      <c r="AI639" s="42"/>
      <c r="AJ639" s="42"/>
      <c r="AK639" s="42"/>
      <c r="AL639" s="42"/>
      <c r="AM639" s="42"/>
    </row>
    <row r="640" spans="1:39" x14ac:dyDescent="0.25">
      <c r="A640" s="38" t="s">
        <v>991</v>
      </c>
      <c r="B640" s="42"/>
      <c r="C640" s="42"/>
      <c r="D640" s="42"/>
      <c r="E640" s="41"/>
      <c r="F640" s="41"/>
      <c r="G640" s="41"/>
      <c r="H640" s="41"/>
      <c r="I640" s="41"/>
      <c r="J640" s="42"/>
      <c r="K640" s="41"/>
      <c r="L640" s="41"/>
      <c r="M640" s="127"/>
      <c r="N640" s="41"/>
      <c r="O640" s="41"/>
      <c r="P640" s="41"/>
      <c r="Q640" s="42"/>
      <c r="R640" s="35"/>
      <c r="S640" s="35"/>
      <c r="T640" s="35"/>
      <c r="U640" s="35"/>
      <c r="V640" s="121"/>
      <c r="W640" s="42"/>
      <c r="X640" s="42"/>
      <c r="Y640" s="42"/>
      <c r="Z640" s="42"/>
      <c r="AA640" s="42"/>
      <c r="AB640" s="42"/>
      <c r="AC640" s="42"/>
      <c r="AD640" s="42"/>
      <c r="AE640" s="42"/>
      <c r="AF640" s="42"/>
      <c r="AG640" s="42"/>
      <c r="AH640" s="42"/>
      <c r="AI640" s="42"/>
      <c r="AJ640" s="42"/>
      <c r="AK640" s="42"/>
      <c r="AL640" s="42"/>
      <c r="AM640" s="42"/>
    </row>
    <row r="641" spans="1:39" x14ac:dyDescent="0.25">
      <c r="A641" s="38" t="s">
        <v>992</v>
      </c>
      <c r="B641" s="42"/>
      <c r="C641" s="42"/>
      <c r="D641" s="42"/>
      <c r="E641" s="41"/>
      <c r="F641" s="41"/>
      <c r="G641" s="41"/>
      <c r="H641" s="41"/>
      <c r="I641" s="41"/>
      <c r="J641" s="42"/>
      <c r="K641" s="41"/>
      <c r="L641" s="41"/>
      <c r="M641" s="127"/>
      <c r="N641" s="41"/>
      <c r="O641" s="41"/>
      <c r="P641" s="41"/>
      <c r="Q641" s="42"/>
      <c r="R641" s="35"/>
      <c r="S641" s="35"/>
      <c r="T641" s="35"/>
      <c r="U641" s="35"/>
      <c r="V641" s="121"/>
      <c r="W641" s="42"/>
      <c r="X641" s="42"/>
      <c r="Y641" s="42"/>
      <c r="Z641" s="42"/>
      <c r="AA641" s="42"/>
      <c r="AB641" s="42"/>
      <c r="AC641" s="42"/>
      <c r="AD641" s="42"/>
      <c r="AE641" s="42"/>
      <c r="AF641" s="42"/>
      <c r="AG641" s="42"/>
      <c r="AH641" s="42"/>
      <c r="AI641" s="42"/>
      <c r="AJ641" s="42"/>
      <c r="AK641" s="42"/>
      <c r="AL641" s="42"/>
      <c r="AM641" s="42"/>
    </row>
    <row r="642" spans="1:39" x14ac:dyDescent="0.25">
      <c r="A642" s="38" t="s">
        <v>993</v>
      </c>
      <c r="B642" s="42"/>
      <c r="C642" s="42"/>
      <c r="D642" s="42"/>
      <c r="E642" s="41"/>
      <c r="F642" s="41"/>
      <c r="G642" s="41"/>
      <c r="H642" s="41"/>
      <c r="I642" s="41"/>
      <c r="J642" s="42"/>
      <c r="K642" s="41"/>
      <c r="L642" s="41"/>
      <c r="M642" s="127"/>
      <c r="N642" s="41"/>
      <c r="O642" s="41"/>
      <c r="P642" s="41"/>
      <c r="Q642" s="42"/>
      <c r="R642" s="35"/>
      <c r="S642" s="35"/>
      <c r="T642" s="35"/>
      <c r="U642" s="35"/>
      <c r="V642" s="121"/>
      <c r="W642" s="42"/>
      <c r="X642" s="42"/>
      <c r="Y642" s="42"/>
      <c r="Z642" s="42"/>
      <c r="AA642" s="42"/>
      <c r="AB642" s="42"/>
      <c r="AC642" s="42"/>
      <c r="AD642" s="42"/>
      <c r="AE642" s="42"/>
      <c r="AF642" s="42"/>
      <c r="AG642" s="42"/>
      <c r="AH642" s="42"/>
      <c r="AI642" s="42"/>
      <c r="AJ642" s="42"/>
      <c r="AK642" s="42"/>
      <c r="AL642" s="42"/>
      <c r="AM642" s="42"/>
    </row>
    <row r="643" spans="1:39" x14ac:dyDescent="0.25">
      <c r="A643" s="38" t="s">
        <v>994</v>
      </c>
      <c r="B643" s="42"/>
      <c r="C643" s="42"/>
      <c r="D643" s="42"/>
      <c r="E643" s="41"/>
      <c r="F643" s="41"/>
      <c r="G643" s="41"/>
      <c r="H643" s="41"/>
      <c r="I643" s="41"/>
      <c r="J643" s="42"/>
      <c r="K643" s="41"/>
      <c r="L643" s="41"/>
      <c r="M643" s="127"/>
      <c r="N643" s="41"/>
      <c r="O643" s="41"/>
      <c r="P643" s="41"/>
      <c r="Q643" s="42"/>
      <c r="R643" s="35"/>
      <c r="S643" s="35"/>
      <c r="T643" s="35"/>
      <c r="U643" s="35"/>
      <c r="V643" s="121"/>
      <c r="W643" s="42"/>
      <c r="X643" s="42"/>
      <c r="Y643" s="42"/>
      <c r="Z643" s="42"/>
      <c r="AA643" s="42"/>
      <c r="AB643" s="42"/>
      <c r="AC643" s="42"/>
      <c r="AD643" s="42"/>
      <c r="AE643" s="42"/>
      <c r="AF643" s="42"/>
      <c r="AG643" s="42"/>
      <c r="AH643" s="42"/>
      <c r="AI643" s="42"/>
      <c r="AJ643" s="42"/>
      <c r="AK643" s="42"/>
      <c r="AL643" s="42"/>
      <c r="AM643" s="42"/>
    </row>
    <row r="644" spans="1:39" x14ac:dyDescent="0.25">
      <c r="A644" s="38" t="s">
        <v>995</v>
      </c>
      <c r="B644" s="42"/>
      <c r="C644" s="42"/>
      <c r="D644" s="42"/>
      <c r="E644" s="41"/>
      <c r="F644" s="41"/>
      <c r="G644" s="41"/>
      <c r="H644" s="41"/>
      <c r="I644" s="41"/>
      <c r="J644" s="42"/>
      <c r="K644" s="41"/>
      <c r="L644" s="41"/>
      <c r="M644" s="127"/>
      <c r="N644" s="41"/>
      <c r="O644" s="41"/>
      <c r="P644" s="41"/>
      <c r="Q644" s="42"/>
      <c r="R644" s="35"/>
      <c r="S644" s="35"/>
      <c r="T644" s="35"/>
      <c r="U644" s="35"/>
      <c r="V644" s="121"/>
      <c r="W644" s="42"/>
      <c r="X644" s="42"/>
      <c r="Y644" s="42"/>
      <c r="Z644" s="42"/>
      <c r="AA644" s="42"/>
      <c r="AB644" s="42"/>
      <c r="AC644" s="42"/>
      <c r="AD644" s="42"/>
      <c r="AE644" s="42"/>
      <c r="AF644" s="42"/>
      <c r="AG644" s="42"/>
      <c r="AH644" s="42"/>
      <c r="AI644" s="42"/>
      <c r="AJ644" s="42"/>
      <c r="AK644" s="42"/>
      <c r="AL644" s="42"/>
      <c r="AM644" s="42"/>
    </row>
    <row r="645" spans="1:39" x14ac:dyDescent="0.25">
      <c r="A645" s="38" t="s">
        <v>996</v>
      </c>
      <c r="B645" s="42"/>
      <c r="C645" s="42"/>
      <c r="D645" s="42"/>
      <c r="E645" s="41"/>
      <c r="F645" s="41"/>
      <c r="G645" s="41"/>
      <c r="H645" s="41"/>
      <c r="I645" s="41"/>
      <c r="J645" s="42"/>
      <c r="K645" s="41"/>
      <c r="L645" s="41"/>
      <c r="M645" s="127"/>
      <c r="N645" s="41"/>
      <c r="O645" s="41"/>
      <c r="P645" s="41"/>
      <c r="Q645" s="42"/>
      <c r="R645" s="35"/>
      <c r="S645" s="35"/>
      <c r="T645" s="35"/>
      <c r="U645" s="35"/>
      <c r="V645" s="121"/>
      <c r="W645" s="42"/>
      <c r="X645" s="42"/>
      <c r="Y645" s="42"/>
      <c r="Z645" s="42"/>
      <c r="AA645" s="42"/>
      <c r="AB645" s="42"/>
      <c r="AC645" s="42"/>
      <c r="AD645" s="42"/>
      <c r="AE645" s="42"/>
      <c r="AF645" s="42"/>
      <c r="AG645" s="42"/>
      <c r="AH645" s="42"/>
      <c r="AI645" s="42"/>
      <c r="AJ645" s="42"/>
      <c r="AK645" s="42"/>
      <c r="AL645" s="42"/>
      <c r="AM645" s="42"/>
    </row>
    <row r="646" spans="1:39" x14ac:dyDescent="0.25">
      <c r="A646" s="38" t="s">
        <v>997</v>
      </c>
      <c r="B646" s="42"/>
      <c r="C646" s="42"/>
      <c r="D646" s="42"/>
      <c r="E646" s="41"/>
      <c r="F646" s="41"/>
      <c r="G646" s="41"/>
      <c r="H646" s="41"/>
      <c r="I646" s="41"/>
      <c r="J646" s="42"/>
      <c r="K646" s="41"/>
      <c r="L646" s="41"/>
      <c r="M646" s="127"/>
      <c r="N646" s="41"/>
      <c r="O646" s="41"/>
      <c r="P646" s="41"/>
      <c r="Q646" s="42"/>
      <c r="R646" s="35"/>
      <c r="S646" s="35"/>
      <c r="T646" s="35"/>
      <c r="U646" s="35"/>
      <c r="V646" s="121"/>
      <c r="W646" s="42"/>
      <c r="X646" s="42"/>
      <c r="Y646" s="42"/>
      <c r="Z646" s="42"/>
      <c r="AA646" s="42"/>
      <c r="AB646" s="42"/>
      <c r="AC646" s="42"/>
      <c r="AD646" s="42"/>
      <c r="AE646" s="42"/>
      <c r="AF646" s="42"/>
      <c r="AG646" s="42"/>
      <c r="AH646" s="42"/>
      <c r="AI646" s="42"/>
      <c r="AJ646" s="42"/>
      <c r="AK646" s="42"/>
      <c r="AL646" s="42"/>
      <c r="AM646" s="42"/>
    </row>
    <row r="647" spans="1:39" x14ac:dyDescent="0.25">
      <c r="A647" s="38" t="s">
        <v>998</v>
      </c>
      <c r="B647" s="42"/>
      <c r="C647" s="42"/>
      <c r="D647" s="42"/>
      <c r="E647" s="41"/>
      <c r="F647" s="41"/>
      <c r="G647" s="41"/>
      <c r="H647" s="41"/>
      <c r="I647" s="41"/>
      <c r="J647" s="42"/>
      <c r="K647" s="41"/>
      <c r="L647" s="41"/>
      <c r="M647" s="127"/>
      <c r="N647" s="41"/>
      <c r="O647" s="41"/>
      <c r="P647" s="41"/>
      <c r="Q647" s="42"/>
      <c r="R647" s="35"/>
      <c r="S647" s="35"/>
      <c r="T647" s="35"/>
      <c r="U647" s="35"/>
      <c r="V647" s="121"/>
      <c r="W647" s="42"/>
      <c r="X647" s="42"/>
      <c r="Y647" s="42"/>
      <c r="Z647" s="42"/>
      <c r="AA647" s="42"/>
      <c r="AB647" s="42"/>
      <c r="AC647" s="42"/>
      <c r="AD647" s="42"/>
      <c r="AE647" s="42"/>
      <c r="AF647" s="42"/>
      <c r="AG647" s="42"/>
      <c r="AH647" s="42"/>
      <c r="AI647" s="42"/>
      <c r="AJ647" s="42"/>
      <c r="AK647" s="42"/>
      <c r="AL647" s="42"/>
      <c r="AM647" s="42"/>
    </row>
    <row r="648" spans="1:39" x14ac:dyDescent="0.25">
      <c r="A648" s="38" t="s">
        <v>999</v>
      </c>
      <c r="B648" s="42"/>
      <c r="C648" s="42"/>
      <c r="D648" s="42"/>
      <c r="E648" s="41"/>
      <c r="F648" s="41"/>
      <c r="G648" s="41"/>
      <c r="H648" s="41"/>
      <c r="I648" s="41"/>
      <c r="J648" s="42"/>
      <c r="K648" s="41"/>
      <c r="L648" s="41"/>
      <c r="M648" s="127"/>
      <c r="N648" s="41"/>
      <c r="O648" s="41"/>
      <c r="P648" s="41"/>
      <c r="Q648" s="42"/>
      <c r="R648" s="35"/>
      <c r="S648" s="35"/>
      <c r="T648" s="35"/>
      <c r="U648" s="35"/>
      <c r="V648" s="121"/>
      <c r="W648" s="42"/>
      <c r="X648" s="42"/>
      <c r="Y648" s="42"/>
      <c r="Z648" s="42"/>
      <c r="AA648" s="42"/>
      <c r="AB648" s="42"/>
      <c r="AC648" s="42"/>
      <c r="AD648" s="42"/>
      <c r="AE648" s="42"/>
      <c r="AF648" s="42"/>
      <c r="AG648" s="42"/>
      <c r="AH648" s="42"/>
      <c r="AI648" s="42"/>
      <c r="AJ648" s="42"/>
      <c r="AK648" s="42"/>
      <c r="AL648" s="42"/>
      <c r="AM648" s="42"/>
    </row>
    <row r="649" spans="1:39" x14ac:dyDescent="0.25">
      <c r="A649" s="38" t="s">
        <v>1000</v>
      </c>
      <c r="B649" s="42"/>
      <c r="C649" s="42"/>
      <c r="D649" s="42"/>
      <c r="E649" s="41"/>
      <c r="F649" s="41"/>
      <c r="G649" s="41"/>
      <c r="H649" s="41"/>
      <c r="I649" s="41"/>
      <c r="J649" s="42"/>
      <c r="K649" s="41"/>
      <c r="L649" s="41"/>
      <c r="M649" s="127"/>
      <c r="N649" s="41"/>
      <c r="O649" s="41"/>
      <c r="P649" s="41"/>
      <c r="Q649" s="42"/>
      <c r="R649" s="35"/>
      <c r="S649" s="35"/>
      <c r="T649" s="35"/>
      <c r="U649" s="35"/>
      <c r="V649" s="121"/>
      <c r="W649" s="42"/>
      <c r="X649" s="42"/>
      <c r="Y649" s="42"/>
      <c r="Z649" s="42"/>
      <c r="AA649" s="42"/>
      <c r="AB649" s="42"/>
      <c r="AC649" s="42"/>
      <c r="AD649" s="42"/>
      <c r="AE649" s="42"/>
      <c r="AF649" s="42"/>
      <c r="AG649" s="42"/>
      <c r="AH649" s="42"/>
      <c r="AI649" s="42"/>
      <c r="AJ649" s="42"/>
      <c r="AK649" s="42"/>
      <c r="AL649" s="42"/>
      <c r="AM649" s="42"/>
    </row>
    <row r="650" spans="1:39" x14ac:dyDescent="0.25">
      <c r="A650" s="38" t="s">
        <v>1001</v>
      </c>
      <c r="B650" s="42"/>
      <c r="C650" s="42"/>
      <c r="D650" s="42"/>
      <c r="E650" s="41"/>
      <c r="F650" s="41"/>
      <c r="G650" s="41"/>
      <c r="H650" s="41"/>
      <c r="I650" s="41"/>
      <c r="J650" s="42"/>
      <c r="K650" s="41"/>
      <c r="L650" s="41"/>
      <c r="M650" s="127"/>
      <c r="N650" s="41"/>
      <c r="O650" s="41"/>
      <c r="P650" s="41"/>
      <c r="Q650" s="42"/>
      <c r="R650" s="35"/>
      <c r="S650" s="35"/>
      <c r="T650" s="35"/>
      <c r="U650" s="35"/>
      <c r="V650" s="121"/>
      <c r="W650" s="42"/>
      <c r="X650" s="42"/>
      <c r="Y650" s="42"/>
      <c r="Z650" s="42"/>
      <c r="AA650" s="42"/>
      <c r="AB650" s="42"/>
      <c r="AC650" s="42"/>
      <c r="AD650" s="42"/>
      <c r="AE650" s="42"/>
      <c r="AF650" s="42"/>
      <c r="AG650" s="42"/>
      <c r="AH650" s="42"/>
      <c r="AI650" s="42"/>
      <c r="AJ650" s="42"/>
      <c r="AK650" s="42"/>
      <c r="AL650" s="42"/>
      <c r="AM650" s="42"/>
    </row>
    <row r="651" spans="1:39" x14ac:dyDescent="0.25">
      <c r="A651" s="38" t="s">
        <v>1002</v>
      </c>
      <c r="B651" s="42"/>
      <c r="C651" s="42"/>
      <c r="D651" s="42"/>
      <c r="E651" s="41"/>
      <c r="F651" s="41"/>
      <c r="G651" s="41"/>
      <c r="H651" s="41"/>
      <c r="I651" s="41"/>
      <c r="J651" s="42"/>
      <c r="K651" s="41"/>
      <c r="L651" s="41"/>
      <c r="M651" s="127"/>
      <c r="N651" s="41"/>
      <c r="O651" s="41"/>
      <c r="P651" s="41"/>
      <c r="Q651" s="42"/>
      <c r="R651" s="35"/>
      <c r="S651" s="35"/>
      <c r="T651" s="35"/>
      <c r="U651" s="35"/>
      <c r="V651" s="121"/>
      <c r="W651" s="42"/>
      <c r="X651" s="42"/>
      <c r="Y651" s="42"/>
      <c r="Z651" s="42"/>
      <c r="AA651" s="42"/>
      <c r="AB651" s="42"/>
      <c r="AC651" s="42"/>
      <c r="AD651" s="42"/>
      <c r="AE651" s="42"/>
      <c r="AF651" s="42"/>
      <c r="AG651" s="42"/>
      <c r="AH651" s="42"/>
      <c r="AI651" s="42"/>
      <c r="AJ651" s="42"/>
      <c r="AK651" s="42"/>
      <c r="AL651" s="42"/>
      <c r="AM651" s="42"/>
    </row>
    <row r="652" spans="1:39" x14ac:dyDescent="0.25">
      <c r="A652" s="38" t="s">
        <v>1003</v>
      </c>
      <c r="B652" s="42"/>
      <c r="C652" s="42"/>
      <c r="D652" s="42"/>
      <c r="E652" s="41"/>
      <c r="F652" s="41"/>
      <c r="G652" s="41"/>
      <c r="H652" s="41"/>
      <c r="I652" s="41"/>
      <c r="J652" s="42"/>
      <c r="K652" s="41"/>
      <c r="L652" s="41"/>
      <c r="M652" s="127"/>
      <c r="N652" s="41"/>
      <c r="O652" s="41"/>
      <c r="P652" s="41"/>
      <c r="Q652" s="42"/>
      <c r="R652" s="35"/>
      <c r="S652" s="35"/>
      <c r="T652" s="35"/>
      <c r="U652" s="35"/>
      <c r="V652" s="121"/>
      <c r="W652" s="42"/>
      <c r="X652" s="42"/>
      <c r="Y652" s="42"/>
      <c r="Z652" s="42"/>
      <c r="AA652" s="42"/>
      <c r="AB652" s="42"/>
      <c r="AC652" s="42"/>
      <c r="AD652" s="42"/>
      <c r="AE652" s="42"/>
      <c r="AF652" s="42"/>
      <c r="AG652" s="42"/>
      <c r="AH652" s="42"/>
      <c r="AI652" s="42"/>
      <c r="AJ652" s="42"/>
      <c r="AK652" s="42"/>
      <c r="AL652" s="42"/>
      <c r="AM652" s="42"/>
    </row>
    <row r="653" spans="1:39" x14ac:dyDescent="0.25">
      <c r="A653" s="38" t="s">
        <v>1004</v>
      </c>
      <c r="B653" s="42"/>
      <c r="C653" s="42"/>
      <c r="D653" s="42"/>
      <c r="E653" s="41"/>
      <c r="F653" s="41"/>
      <c r="G653" s="41"/>
      <c r="H653" s="41"/>
      <c r="I653" s="41"/>
      <c r="J653" s="42"/>
      <c r="K653" s="41"/>
      <c r="L653" s="41"/>
      <c r="M653" s="127"/>
      <c r="N653" s="41"/>
      <c r="O653" s="41"/>
      <c r="P653" s="41"/>
      <c r="Q653" s="42"/>
      <c r="R653" s="35"/>
      <c r="S653" s="35"/>
      <c r="T653" s="35"/>
      <c r="U653" s="35"/>
      <c r="V653" s="121"/>
      <c r="W653" s="42"/>
      <c r="X653" s="42"/>
      <c r="Y653" s="42"/>
      <c r="Z653" s="42"/>
      <c r="AA653" s="42"/>
      <c r="AB653" s="42"/>
      <c r="AC653" s="42"/>
      <c r="AD653" s="42"/>
      <c r="AE653" s="42"/>
      <c r="AF653" s="42"/>
      <c r="AG653" s="42"/>
      <c r="AH653" s="42"/>
      <c r="AI653" s="42"/>
      <c r="AJ653" s="42"/>
      <c r="AK653" s="42"/>
      <c r="AL653" s="42"/>
      <c r="AM653" s="42"/>
    </row>
    <row r="654" spans="1:39" x14ac:dyDescent="0.25">
      <c r="A654" s="38" t="s">
        <v>1005</v>
      </c>
      <c r="B654" s="42"/>
      <c r="C654" s="42"/>
      <c r="D654" s="42"/>
      <c r="E654" s="41"/>
      <c r="F654" s="41"/>
      <c r="G654" s="41"/>
      <c r="H654" s="41"/>
      <c r="I654" s="41"/>
      <c r="J654" s="42"/>
      <c r="K654" s="41"/>
      <c r="L654" s="41"/>
      <c r="M654" s="127"/>
      <c r="N654" s="41"/>
      <c r="O654" s="41"/>
      <c r="P654" s="41"/>
      <c r="Q654" s="42"/>
      <c r="R654" s="35"/>
      <c r="S654" s="35"/>
      <c r="T654" s="35"/>
      <c r="U654" s="35"/>
      <c r="V654" s="121"/>
      <c r="W654" s="42"/>
      <c r="X654" s="42"/>
      <c r="Y654" s="42"/>
      <c r="Z654" s="42"/>
      <c r="AA654" s="42"/>
      <c r="AB654" s="42"/>
      <c r="AC654" s="42"/>
      <c r="AD654" s="42"/>
      <c r="AE654" s="42"/>
      <c r="AF654" s="42"/>
      <c r="AG654" s="42"/>
      <c r="AH654" s="42"/>
      <c r="AI654" s="42"/>
      <c r="AJ654" s="42"/>
      <c r="AK654" s="42"/>
      <c r="AL654" s="42"/>
      <c r="AM654" s="42"/>
    </row>
    <row r="655" spans="1:39" x14ac:dyDescent="0.25">
      <c r="A655" s="38" t="s">
        <v>1006</v>
      </c>
      <c r="B655" s="42"/>
      <c r="C655" s="42"/>
      <c r="D655" s="42"/>
      <c r="E655" s="41"/>
      <c r="F655" s="41"/>
      <c r="G655" s="41"/>
      <c r="H655" s="41"/>
      <c r="I655" s="41"/>
      <c r="J655" s="42"/>
      <c r="K655" s="41"/>
      <c r="L655" s="41"/>
      <c r="M655" s="127"/>
      <c r="N655" s="41"/>
      <c r="O655" s="41"/>
      <c r="P655" s="41"/>
      <c r="Q655" s="42"/>
      <c r="R655" s="35"/>
      <c r="S655" s="35"/>
      <c r="T655" s="35"/>
      <c r="U655" s="35"/>
      <c r="V655" s="121"/>
      <c r="W655" s="42"/>
      <c r="X655" s="42"/>
      <c r="Y655" s="42"/>
      <c r="Z655" s="42"/>
      <c r="AA655" s="42"/>
      <c r="AB655" s="42"/>
      <c r="AC655" s="42"/>
      <c r="AD655" s="42"/>
      <c r="AE655" s="42"/>
      <c r="AF655" s="42"/>
      <c r="AG655" s="42"/>
      <c r="AH655" s="42"/>
      <c r="AI655" s="42"/>
      <c r="AJ655" s="42"/>
      <c r="AK655" s="42"/>
      <c r="AL655" s="42"/>
      <c r="AM655" s="42"/>
    </row>
    <row r="656" spans="1:39" x14ac:dyDescent="0.25">
      <c r="A656" s="38" t="s">
        <v>1007</v>
      </c>
      <c r="B656" s="42"/>
      <c r="C656" s="42"/>
      <c r="D656" s="42"/>
      <c r="E656" s="41"/>
      <c r="F656" s="41"/>
      <c r="G656" s="41"/>
      <c r="H656" s="41"/>
      <c r="I656" s="41"/>
      <c r="J656" s="42"/>
      <c r="K656" s="41"/>
      <c r="L656" s="41"/>
      <c r="M656" s="127"/>
      <c r="N656" s="41"/>
      <c r="O656" s="41"/>
      <c r="P656" s="41"/>
      <c r="Q656" s="42"/>
      <c r="R656" s="35"/>
      <c r="S656" s="35"/>
      <c r="T656" s="35"/>
      <c r="U656" s="35"/>
      <c r="V656" s="121"/>
      <c r="W656" s="42"/>
      <c r="X656" s="42"/>
      <c r="Y656" s="42"/>
      <c r="Z656" s="42"/>
      <c r="AA656" s="42"/>
      <c r="AB656" s="42"/>
      <c r="AC656" s="42"/>
      <c r="AD656" s="42"/>
      <c r="AE656" s="42"/>
      <c r="AF656" s="42"/>
      <c r="AG656" s="42"/>
      <c r="AH656" s="42"/>
      <c r="AI656" s="42"/>
      <c r="AJ656" s="42"/>
      <c r="AK656" s="42"/>
      <c r="AL656" s="42"/>
      <c r="AM656" s="42"/>
    </row>
    <row r="657" spans="1:39" x14ac:dyDescent="0.25">
      <c r="A657" s="38" t="s">
        <v>1008</v>
      </c>
      <c r="B657" s="42"/>
      <c r="C657" s="42"/>
      <c r="D657" s="42"/>
      <c r="E657" s="41"/>
      <c r="F657" s="41"/>
      <c r="G657" s="41"/>
      <c r="H657" s="41"/>
      <c r="I657" s="41"/>
      <c r="J657" s="42"/>
      <c r="K657" s="41"/>
      <c r="L657" s="41"/>
      <c r="M657" s="127"/>
      <c r="N657" s="41"/>
      <c r="O657" s="41"/>
      <c r="P657" s="41"/>
      <c r="Q657" s="42"/>
      <c r="R657" s="35"/>
      <c r="S657" s="35"/>
      <c r="T657" s="35"/>
      <c r="U657" s="35"/>
      <c r="V657" s="121"/>
      <c r="W657" s="42"/>
      <c r="X657" s="42"/>
      <c r="Y657" s="42"/>
      <c r="Z657" s="42"/>
      <c r="AA657" s="42"/>
      <c r="AB657" s="42"/>
      <c r="AC657" s="42"/>
      <c r="AD657" s="42"/>
      <c r="AE657" s="42"/>
      <c r="AF657" s="42"/>
      <c r="AG657" s="42"/>
      <c r="AH657" s="42"/>
      <c r="AI657" s="42"/>
      <c r="AJ657" s="42"/>
      <c r="AK657" s="42"/>
      <c r="AL657" s="42"/>
      <c r="AM657" s="42"/>
    </row>
    <row r="658" spans="1:39" x14ac:dyDescent="0.25">
      <c r="A658" s="38" t="s">
        <v>1009</v>
      </c>
      <c r="B658" s="42"/>
      <c r="C658" s="42"/>
      <c r="D658" s="42"/>
      <c r="E658" s="41"/>
      <c r="F658" s="41"/>
      <c r="G658" s="41"/>
      <c r="H658" s="41"/>
      <c r="I658" s="41"/>
      <c r="J658" s="42"/>
      <c r="K658" s="41"/>
      <c r="L658" s="41"/>
      <c r="M658" s="127"/>
      <c r="N658" s="41"/>
      <c r="O658" s="41"/>
      <c r="P658" s="41"/>
      <c r="Q658" s="42"/>
      <c r="R658" s="35"/>
      <c r="S658" s="35"/>
      <c r="T658" s="35"/>
      <c r="U658" s="35"/>
      <c r="V658" s="121"/>
      <c r="W658" s="42"/>
      <c r="X658" s="42"/>
      <c r="Y658" s="42"/>
      <c r="Z658" s="42"/>
      <c r="AA658" s="42"/>
      <c r="AB658" s="42"/>
      <c r="AC658" s="42"/>
      <c r="AD658" s="42"/>
      <c r="AE658" s="42"/>
      <c r="AF658" s="42"/>
      <c r="AG658" s="42"/>
      <c r="AH658" s="42"/>
      <c r="AI658" s="42"/>
      <c r="AJ658" s="42"/>
      <c r="AK658" s="42"/>
      <c r="AL658" s="42"/>
      <c r="AM658" s="42"/>
    </row>
    <row r="659" spans="1:39" x14ac:dyDescent="0.25">
      <c r="A659" s="38" t="s">
        <v>1010</v>
      </c>
      <c r="B659" s="42"/>
      <c r="C659" s="42"/>
      <c r="D659" s="42"/>
      <c r="E659" s="41"/>
      <c r="F659" s="41"/>
      <c r="G659" s="41"/>
      <c r="H659" s="41"/>
      <c r="I659" s="41"/>
      <c r="J659" s="42"/>
      <c r="K659" s="41"/>
      <c r="L659" s="41"/>
      <c r="M659" s="127"/>
      <c r="N659" s="41"/>
      <c r="O659" s="41"/>
      <c r="P659" s="41"/>
      <c r="Q659" s="42"/>
      <c r="R659" s="35"/>
      <c r="S659" s="35"/>
      <c r="T659" s="35"/>
      <c r="U659" s="35"/>
      <c r="V659" s="121"/>
      <c r="W659" s="42"/>
      <c r="X659" s="42"/>
      <c r="Y659" s="42"/>
      <c r="Z659" s="42"/>
      <c r="AA659" s="42"/>
      <c r="AB659" s="42"/>
      <c r="AC659" s="42"/>
      <c r="AD659" s="42"/>
      <c r="AE659" s="42"/>
      <c r="AF659" s="42"/>
      <c r="AG659" s="42"/>
      <c r="AH659" s="42"/>
      <c r="AI659" s="42"/>
      <c r="AJ659" s="42"/>
      <c r="AK659" s="42"/>
      <c r="AL659" s="42"/>
      <c r="AM659" s="42"/>
    </row>
    <row r="660" spans="1:39" x14ac:dyDescent="0.25">
      <c r="A660" s="38" t="s">
        <v>1011</v>
      </c>
      <c r="B660" s="42"/>
      <c r="C660" s="42"/>
      <c r="D660" s="42"/>
      <c r="E660" s="41"/>
      <c r="F660" s="41"/>
      <c r="G660" s="41"/>
      <c r="H660" s="41"/>
      <c r="I660" s="41"/>
      <c r="J660" s="42"/>
      <c r="K660" s="41"/>
      <c r="L660" s="41"/>
      <c r="M660" s="127"/>
      <c r="N660" s="41"/>
      <c r="O660" s="41"/>
      <c r="P660" s="41"/>
      <c r="Q660" s="42"/>
      <c r="R660" s="35"/>
      <c r="S660" s="35"/>
      <c r="T660" s="35"/>
      <c r="U660" s="35"/>
      <c r="V660" s="121"/>
      <c r="W660" s="42"/>
      <c r="X660" s="42"/>
      <c r="Y660" s="42"/>
      <c r="Z660" s="42"/>
      <c r="AA660" s="42"/>
      <c r="AB660" s="42"/>
      <c r="AC660" s="42"/>
      <c r="AD660" s="42"/>
      <c r="AE660" s="42"/>
      <c r="AF660" s="42"/>
      <c r="AG660" s="42"/>
      <c r="AH660" s="42"/>
      <c r="AI660" s="42"/>
      <c r="AJ660" s="42"/>
      <c r="AK660" s="42"/>
      <c r="AL660" s="42"/>
      <c r="AM660" s="42"/>
    </row>
    <row r="661" spans="1:39" x14ac:dyDescent="0.25">
      <c r="A661" s="38" t="s">
        <v>1012</v>
      </c>
      <c r="B661" s="42"/>
      <c r="C661" s="42"/>
      <c r="D661" s="42"/>
      <c r="E661" s="41"/>
      <c r="F661" s="41"/>
      <c r="G661" s="41"/>
      <c r="H661" s="41"/>
      <c r="I661" s="41"/>
      <c r="J661" s="42"/>
      <c r="K661" s="41"/>
      <c r="L661" s="41"/>
      <c r="M661" s="127"/>
      <c r="N661" s="41"/>
      <c r="O661" s="41"/>
      <c r="P661" s="41"/>
      <c r="Q661" s="42"/>
      <c r="R661" s="35"/>
      <c r="S661" s="35"/>
      <c r="T661" s="35"/>
      <c r="U661" s="35"/>
      <c r="V661" s="121"/>
      <c r="W661" s="42"/>
      <c r="X661" s="42"/>
      <c r="Y661" s="42"/>
      <c r="Z661" s="42"/>
      <c r="AA661" s="42"/>
      <c r="AB661" s="42"/>
      <c r="AC661" s="42"/>
      <c r="AD661" s="42"/>
      <c r="AE661" s="42"/>
      <c r="AF661" s="42"/>
      <c r="AG661" s="42"/>
      <c r="AH661" s="42"/>
      <c r="AI661" s="42"/>
      <c r="AJ661" s="42"/>
      <c r="AK661" s="42"/>
      <c r="AL661" s="42"/>
      <c r="AM661" s="42"/>
    </row>
    <row r="662" spans="1:39" x14ac:dyDescent="0.25">
      <c r="A662" s="38" t="s">
        <v>1013</v>
      </c>
      <c r="B662" s="42"/>
      <c r="C662" s="42"/>
      <c r="D662" s="42"/>
      <c r="E662" s="41"/>
      <c r="F662" s="41"/>
      <c r="G662" s="41"/>
      <c r="H662" s="41"/>
      <c r="I662" s="41"/>
      <c r="J662" s="42"/>
      <c r="K662" s="41"/>
      <c r="L662" s="41"/>
      <c r="M662" s="127"/>
      <c r="N662" s="41"/>
      <c r="O662" s="41"/>
      <c r="P662" s="41"/>
      <c r="Q662" s="42"/>
      <c r="R662" s="35"/>
      <c r="S662" s="35"/>
      <c r="T662" s="35"/>
      <c r="U662" s="35"/>
      <c r="V662" s="121"/>
      <c r="W662" s="42"/>
      <c r="X662" s="42"/>
      <c r="Y662" s="42"/>
      <c r="Z662" s="42"/>
      <c r="AA662" s="42"/>
      <c r="AB662" s="42"/>
      <c r="AC662" s="42"/>
      <c r="AD662" s="42"/>
      <c r="AE662" s="42"/>
      <c r="AF662" s="42"/>
      <c r="AG662" s="42"/>
      <c r="AH662" s="42"/>
      <c r="AI662" s="42"/>
      <c r="AJ662" s="42"/>
      <c r="AK662" s="42"/>
      <c r="AL662" s="42"/>
      <c r="AM662" s="42"/>
    </row>
    <row r="663" spans="1:39" x14ac:dyDescent="0.25">
      <c r="A663" s="38" t="s">
        <v>1014</v>
      </c>
      <c r="B663" s="42"/>
      <c r="C663" s="42"/>
      <c r="D663" s="42"/>
      <c r="E663" s="41"/>
      <c r="F663" s="41"/>
      <c r="G663" s="41"/>
      <c r="H663" s="41"/>
      <c r="I663" s="41"/>
      <c r="J663" s="42"/>
      <c r="K663" s="41"/>
      <c r="L663" s="41"/>
      <c r="M663" s="127"/>
      <c r="N663" s="41"/>
      <c r="O663" s="41"/>
      <c r="P663" s="41"/>
      <c r="Q663" s="42"/>
      <c r="R663" s="35"/>
      <c r="S663" s="35"/>
      <c r="T663" s="35"/>
      <c r="U663" s="35"/>
      <c r="V663" s="121"/>
      <c r="W663" s="42"/>
      <c r="X663" s="42"/>
      <c r="Y663" s="42"/>
      <c r="Z663" s="42"/>
      <c r="AA663" s="42"/>
      <c r="AB663" s="42"/>
      <c r="AC663" s="42"/>
      <c r="AD663" s="42"/>
      <c r="AE663" s="42"/>
      <c r="AF663" s="42"/>
      <c r="AG663" s="42"/>
      <c r="AH663" s="42"/>
      <c r="AI663" s="42"/>
      <c r="AJ663" s="42"/>
      <c r="AK663" s="42"/>
      <c r="AL663" s="42"/>
      <c r="AM663" s="42"/>
    </row>
    <row r="664" spans="1:39" x14ac:dyDescent="0.25">
      <c r="A664" s="38" t="s">
        <v>1015</v>
      </c>
      <c r="B664" s="42"/>
      <c r="C664" s="42"/>
      <c r="D664" s="42"/>
      <c r="E664" s="41"/>
      <c r="F664" s="41"/>
      <c r="G664" s="41"/>
      <c r="H664" s="41"/>
      <c r="I664" s="41"/>
      <c r="J664" s="42"/>
      <c r="K664" s="41"/>
      <c r="L664" s="41"/>
      <c r="M664" s="127"/>
      <c r="N664" s="41"/>
      <c r="O664" s="41"/>
      <c r="P664" s="41"/>
      <c r="Q664" s="42"/>
      <c r="R664" s="35"/>
      <c r="S664" s="35"/>
      <c r="T664" s="35"/>
      <c r="U664" s="35"/>
      <c r="V664" s="121"/>
      <c r="W664" s="42"/>
      <c r="X664" s="42"/>
      <c r="Y664" s="42"/>
      <c r="Z664" s="42"/>
      <c r="AA664" s="42"/>
      <c r="AB664" s="42"/>
      <c r="AC664" s="42"/>
      <c r="AD664" s="42"/>
      <c r="AE664" s="42"/>
      <c r="AF664" s="42"/>
      <c r="AG664" s="42"/>
      <c r="AH664" s="42"/>
      <c r="AI664" s="42"/>
      <c r="AJ664" s="42"/>
      <c r="AK664" s="42"/>
      <c r="AL664" s="42"/>
      <c r="AM664" s="42"/>
    </row>
    <row r="665" spans="1:39" x14ac:dyDescent="0.25">
      <c r="A665" s="38" t="s">
        <v>1016</v>
      </c>
      <c r="B665" s="42"/>
      <c r="C665" s="42"/>
      <c r="D665" s="42"/>
      <c r="E665" s="41"/>
      <c r="F665" s="41"/>
      <c r="G665" s="41"/>
      <c r="H665" s="41"/>
      <c r="I665" s="41"/>
      <c r="J665" s="42"/>
      <c r="K665" s="41"/>
      <c r="L665" s="41"/>
      <c r="M665" s="127"/>
      <c r="N665" s="41"/>
      <c r="O665" s="41"/>
      <c r="P665" s="41"/>
      <c r="Q665" s="42"/>
      <c r="R665" s="35"/>
      <c r="S665" s="35"/>
      <c r="T665" s="35"/>
      <c r="U665" s="35"/>
      <c r="V665" s="121"/>
      <c r="W665" s="42"/>
      <c r="X665" s="42"/>
      <c r="Y665" s="42"/>
      <c r="Z665" s="42"/>
      <c r="AA665" s="42"/>
      <c r="AB665" s="42"/>
      <c r="AC665" s="42"/>
      <c r="AD665" s="42"/>
      <c r="AE665" s="42"/>
      <c r="AF665" s="42"/>
      <c r="AG665" s="42"/>
      <c r="AH665" s="42"/>
      <c r="AI665" s="42"/>
      <c r="AJ665" s="42"/>
      <c r="AK665" s="42"/>
      <c r="AL665" s="42"/>
      <c r="AM665" s="42"/>
    </row>
    <row r="666" spans="1:39" x14ac:dyDescent="0.25">
      <c r="A666" s="38" t="s">
        <v>1017</v>
      </c>
      <c r="B666" s="42"/>
      <c r="C666" s="42"/>
      <c r="D666" s="42"/>
      <c r="E666" s="41"/>
      <c r="F666" s="41"/>
      <c r="G666" s="41"/>
      <c r="H666" s="41"/>
      <c r="I666" s="41"/>
      <c r="J666" s="42"/>
      <c r="K666" s="41"/>
      <c r="L666" s="41"/>
      <c r="M666" s="127"/>
      <c r="N666" s="41"/>
      <c r="O666" s="41"/>
      <c r="P666" s="41"/>
      <c r="Q666" s="42"/>
      <c r="R666" s="35"/>
      <c r="S666" s="35"/>
      <c r="T666" s="35"/>
      <c r="U666" s="35"/>
      <c r="V666" s="121"/>
      <c r="W666" s="42"/>
      <c r="X666" s="42"/>
      <c r="Y666" s="42"/>
      <c r="Z666" s="42"/>
      <c r="AA666" s="42"/>
      <c r="AB666" s="42"/>
      <c r="AC666" s="42"/>
      <c r="AD666" s="42"/>
      <c r="AE666" s="42"/>
      <c r="AF666" s="42"/>
      <c r="AG666" s="42"/>
      <c r="AH666" s="42"/>
      <c r="AI666" s="42"/>
      <c r="AJ666" s="42"/>
      <c r="AK666" s="42"/>
      <c r="AL666" s="42"/>
      <c r="AM666" s="42"/>
    </row>
    <row r="667" spans="1:39" x14ac:dyDescent="0.25">
      <c r="A667" s="38" t="s">
        <v>1018</v>
      </c>
      <c r="B667" s="42"/>
      <c r="C667" s="42"/>
      <c r="D667" s="42"/>
      <c r="E667" s="41"/>
      <c r="F667" s="41"/>
      <c r="G667" s="41"/>
      <c r="H667" s="41"/>
      <c r="I667" s="41"/>
      <c r="J667" s="42"/>
      <c r="K667" s="41"/>
      <c r="L667" s="41"/>
      <c r="M667" s="127"/>
      <c r="N667" s="41"/>
      <c r="O667" s="41"/>
      <c r="P667" s="41"/>
      <c r="Q667" s="42"/>
      <c r="R667" s="35"/>
      <c r="S667" s="35"/>
      <c r="T667" s="35"/>
      <c r="U667" s="35"/>
      <c r="V667" s="121"/>
      <c r="W667" s="42"/>
      <c r="X667" s="42"/>
      <c r="Y667" s="42"/>
      <c r="Z667" s="42"/>
      <c r="AA667" s="42"/>
      <c r="AB667" s="42"/>
      <c r="AC667" s="42"/>
      <c r="AD667" s="42"/>
      <c r="AE667" s="42"/>
      <c r="AF667" s="42"/>
      <c r="AG667" s="42"/>
      <c r="AH667" s="42"/>
      <c r="AI667" s="42"/>
      <c r="AJ667" s="42"/>
      <c r="AK667" s="42"/>
      <c r="AL667" s="42"/>
      <c r="AM667" s="42"/>
    </row>
    <row r="668" spans="1:39" x14ac:dyDescent="0.25">
      <c r="A668" s="38" t="s">
        <v>1019</v>
      </c>
      <c r="B668" s="42"/>
      <c r="C668" s="42"/>
      <c r="D668" s="42"/>
      <c r="E668" s="41"/>
      <c r="F668" s="41"/>
      <c r="G668" s="41"/>
      <c r="H668" s="41"/>
      <c r="I668" s="41"/>
      <c r="J668" s="42"/>
      <c r="K668" s="41"/>
      <c r="L668" s="41"/>
      <c r="M668" s="127"/>
      <c r="N668" s="41"/>
      <c r="O668" s="41"/>
      <c r="P668" s="41"/>
      <c r="Q668" s="42"/>
      <c r="R668" s="35"/>
      <c r="S668" s="35"/>
      <c r="T668" s="35"/>
      <c r="U668" s="35"/>
      <c r="V668" s="121"/>
      <c r="W668" s="42"/>
      <c r="X668" s="42"/>
      <c r="Y668" s="42"/>
      <c r="Z668" s="42"/>
      <c r="AA668" s="42"/>
      <c r="AB668" s="42"/>
      <c r="AC668" s="42"/>
      <c r="AD668" s="42"/>
      <c r="AE668" s="42"/>
      <c r="AF668" s="42"/>
      <c r="AG668" s="42"/>
      <c r="AH668" s="42"/>
      <c r="AI668" s="42"/>
      <c r="AJ668" s="42"/>
      <c r="AK668" s="42"/>
      <c r="AL668" s="42"/>
      <c r="AM668" s="42"/>
    </row>
    <row r="669" spans="1:39" x14ac:dyDescent="0.25">
      <c r="A669" s="38" t="s">
        <v>1020</v>
      </c>
      <c r="B669" s="42"/>
      <c r="C669" s="42"/>
      <c r="D669" s="42"/>
      <c r="E669" s="41"/>
      <c r="F669" s="41"/>
      <c r="G669" s="41"/>
      <c r="H669" s="41"/>
      <c r="I669" s="41"/>
      <c r="J669" s="42"/>
      <c r="K669" s="41"/>
      <c r="L669" s="41"/>
      <c r="M669" s="127"/>
      <c r="N669" s="41"/>
      <c r="O669" s="41"/>
      <c r="P669" s="41"/>
      <c r="Q669" s="42"/>
      <c r="R669" s="35"/>
      <c r="S669" s="35"/>
      <c r="T669" s="35"/>
      <c r="U669" s="35"/>
      <c r="V669" s="121"/>
      <c r="W669" s="42"/>
      <c r="X669" s="42"/>
      <c r="Y669" s="42"/>
      <c r="Z669" s="42"/>
      <c r="AA669" s="42"/>
      <c r="AB669" s="42"/>
      <c r="AC669" s="42"/>
      <c r="AD669" s="42"/>
      <c r="AE669" s="42"/>
      <c r="AF669" s="42"/>
      <c r="AG669" s="42"/>
      <c r="AH669" s="42"/>
      <c r="AI669" s="42"/>
      <c r="AJ669" s="42"/>
      <c r="AK669" s="42"/>
      <c r="AL669" s="42"/>
      <c r="AM669" s="42"/>
    </row>
    <row r="670" spans="1:39" x14ac:dyDescent="0.25">
      <c r="A670" s="38" t="s">
        <v>1021</v>
      </c>
      <c r="B670" s="42"/>
      <c r="C670" s="42"/>
      <c r="D670" s="42"/>
      <c r="E670" s="41"/>
      <c r="F670" s="41"/>
      <c r="G670" s="41"/>
      <c r="H670" s="41"/>
      <c r="I670" s="41"/>
      <c r="J670" s="42"/>
      <c r="K670" s="41"/>
      <c r="L670" s="41"/>
      <c r="M670" s="127"/>
      <c r="N670" s="41"/>
      <c r="O670" s="41"/>
      <c r="P670" s="41"/>
      <c r="Q670" s="42"/>
      <c r="R670" s="35"/>
      <c r="S670" s="35"/>
      <c r="T670" s="35"/>
      <c r="U670" s="35"/>
      <c r="V670" s="121"/>
      <c r="W670" s="42"/>
      <c r="X670" s="42"/>
      <c r="Y670" s="42"/>
      <c r="Z670" s="42"/>
      <c r="AA670" s="42"/>
      <c r="AB670" s="42"/>
      <c r="AC670" s="42"/>
      <c r="AD670" s="42"/>
      <c r="AE670" s="42"/>
      <c r="AF670" s="42"/>
      <c r="AG670" s="42"/>
      <c r="AH670" s="42"/>
      <c r="AI670" s="42"/>
      <c r="AJ670" s="42"/>
      <c r="AK670" s="42"/>
      <c r="AL670" s="42"/>
      <c r="AM670" s="42"/>
    </row>
    <row r="671" spans="1:39" x14ac:dyDescent="0.25">
      <c r="A671" s="38" t="s">
        <v>1022</v>
      </c>
      <c r="B671" s="42"/>
      <c r="C671" s="42"/>
      <c r="D671" s="42"/>
      <c r="E671" s="41"/>
      <c r="F671" s="41"/>
      <c r="G671" s="41"/>
      <c r="H671" s="41"/>
      <c r="I671" s="41"/>
      <c r="J671" s="42"/>
      <c r="K671" s="41"/>
      <c r="L671" s="41"/>
      <c r="M671" s="127"/>
      <c r="N671" s="41"/>
      <c r="O671" s="41"/>
      <c r="P671" s="41"/>
      <c r="Q671" s="42"/>
      <c r="R671" s="35"/>
      <c r="S671" s="35"/>
      <c r="T671" s="35"/>
      <c r="U671" s="35"/>
      <c r="V671" s="121"/>
      <c r="W671" s="42"/>
      <c r="X671" s="42"/>
      <c r="Y671" s="42"/>
      <c r="Z671" s="42"/>
      <c r="AA671" s="42"/>
      <c r="AB671" s="42"/>
      <c r="AC671" s="42"/>
      <c r="AD671" s="42"/>
      <c r="AE671" s="42"/>
      <c r="AF671" s="42"/>
      <c r="AG671" s="42"/>
      <c r="AH671" s="42"/>
      <c r="AI671" s="42"/>
      <c r="AJ671" s="42"/>
      <c r="AK671" s="42"/>
      <c r="AL671" s="42"/>
      <c r="AM671" s="42"/>
    </row>
    <row r="672" spans="1:39" x14ac:dyDescent="0.25">
      <c r="A672" s="38" t="s">
        <v>1023</v>
      </c>
      <c r="B672" s="42"/>
      <c r="C672" s="42"/>
      <c r="D672" s="42"/>
      <c r="E672" s="41"/>
      <c r="F672" s="41"/>
      <c r="G672" s="41"/>
      <c r="H672" s="41"/>
      <c r="I672" s="41"/>
      <c r="J672" s="42"/>
      <c r="K672" s="41"/>
      <c r="L672" s="41"/>
      <c r="M672" s="127"/>
      <c r="N672" s="41"/>
      <c r="O672" s="41"/>
      <c r="P672" s="41"/>
      <c r="Q672" s="42"/>
      <c r="R672" s="35"/>
      <c r="S672" s="35"/>
      <c r="T672" s="35"/>
      <c r="U672" s="35"/>
      <c r="V672" s="121"/>
      <c r="W672" s="42"/>
      <c r="X672" s="42"/>
      <c r="Y672" s="42"/>
      <c r="Z672" s="42"/>
      <c r="AA672" s="42"/>
      <c r="AB672" s="42"/>
      <c r="AC672" s="42"/>
      <c r="AD672" s="42"/>
      <c r="AE672" s="42"/>
      <c r="AF672" s="42"/>
      <c r="AG672" s="42"/>
      <c r="AH672" s="42"/>
      <c r="AI672" s="42"/>
      <c r="AJ672" s="42"/>
      <c r="AK672" s="42"/>
      <c r="AL672" s="42"/>
      <c r="AM672" s="42"/>
    </row>
    <row r="673" spans="1:39" x14ac:dyDescent="0.25">
      <c r="A673" s="38" t="s">
        <v>1024</v>
      </c>
      <c r="B673" s="42"/>
      <c r="C673" s="42"/>
      <c r="D673" s="42"/>
      <c r="E673" s="41"/>
      <c r="F673" s="41"/>
      <c r="G673" s="41"/>
      <c r="H673" s="41"/>
      <c r="I673" s="41"/>
      <c r="J673" s="42"/>
      <c r="K673" s="41"/>
      <c r="L673" s="41"/>
      <c r="M673" s="127"/>
      <c r="N673" s="41"/>
      <c r="O673" s="41"/>
      <c r="P673" s="41"/>
      <c r="Q673" s="42"/>
      <c r="R673" s="35"/>
      <c r="S673" s="35"/>
      <c r="T673" s="35"/>
      <c r="U673" s="35"/>
      <c r="V673" s="121"/>
      <c r="W673" s="42"/>
      <c r="X673" s="42"/>
      <c r="Y673" s="42"/>
      <c r="Z673" s="42"/>
      <c r="AA673" s="42"/>
      <c r="AB673" s="42"/>
      <c r="AC673" s="42"/>
      <c r="AD673" s="42"/>
      <c r="AE673" s="42"/>
      <c r="AF673" s="42"/>
      <c r="AG673" s="42"/>
      <c r="AH673" s="42"/>
      <c r="AI673" s="42"/>
      <c r="AJ673" s="42"/>
      <c r="AK673" s="42"/>
      <c r="AL673" s="42"/>
      <c r="AM673" s="42"/>
    </row>
    <row r="674" spans="1:39" x14ac:dyDescent="0.25">
      <c r="A674" s="38" t="s">
        <v>1025</v>
      </c>
      <c r="B674" s="42"/>
      <c r="C674" s="42"/>
      <c r="D674" s="42"/>
      <c r="E674" s="41"/>
      <c r="F674" s="41"/>
      <c r="G674" s="41"/>
      <c r="H674" s="41"/>
      <c r="I674" s="41"/>
      <c r="J674" s="42"/>
      <c r="K674" s="41"/>
      <c r="L674" s="41"/>
      <c r="M674" s="127"/>
      <c r="N674" s="41"/>
      <c r="O674" s="41"/>
      <c r="P674" s="41"/>
      <c r="Q674" s="42"/>
      <c r="R674" s="35"/>
      <c r="S674" s="35"/>
      <c r="T674" s="35"/>
      <c r="U674" s="35"/>
      <c r="V674" s="121"/>
      <c r="W674" s="42"/>
      <c r="X674" s="42"/>
      <c r="Y674" s="42"/>
      <c r="Z674" s="42"/>
      <c r="AA674" s="42"/>
      <c r="AB674" s="42"/>
      <c r="AC674" s="42"/>
      <c r="AD674" s="42"/>
      <c r="AE674" s="42"/>
      <c r="AF674" s="42"/>
      <c r="AG674" s="42"/>
      <c r="AH674" s="42"/>
      <c r="AI674" s="42"/>
      <c r="AJ674" s="42"/>
      <c r="AK674" s="42"/>
      <c r="AL674" s="42"/>
      <c r="AM674" s="42"/>
    </row>
    <row r="675" spans="1:39" x14ac:dyDescent="0.25">
      <c r="A675" s="38" t="s">
        <v>1026</v>
      </c>
      <c r="B675" s="42"/>
      <c r="C675" s="42"/>
      <c r="D675" s="42"/>
      <c r="E675" s="41"/>
      <c r="F675" s="41"/>
      <c r="G675" s="41"/>
      <c r="H675" s="41"/>
      <c r="I675" s="41"/>
      <c r="J675" s="42"/>
      <c r="K675" s="41"/>
      <c r="L675" s="41"/>
      <c r="M675" s="127"/>
      <c r="N675" s="41"/>
      <c r="O675" s="41"/>
      <c r="P675" s="41"/>
      <c r="Q675" s="42"/>
      <c r="R675" s="35"/>
      <c r="S675" s="35"/>
      <c r="T675" s="35"/>
      <c r="U675" s="35"/>
      <c r="V675" s="121"/>
      <c r="W675" s="42"/>
      <c r="X675" s="42"/>
      <c r="Y675" s="42"/>
      <c r="Z675" s="42"/>
      <c r="AA675" s="42"/>
      <c r="AB675" s="42"/>
      <c r="AC675" s="42"/>
      <c r="AD675" s="42"/>
      <c r="AE675" s="42"/>
      <c r="AF675" s="42"/>
      <c r="AG675" s="42"/>
      <c r="AH675" s="42"/>
      <c r="AI675" s="42"/>
      <c r="AJ675" s="42"/>
      <c r="AK675" s="42"/>
      <c r="AL675" s="42"/>
      <c r="AM675" s="42"/>
    </row>
    <row r="676" spans="1:39" x14ac:dyDescent="0.25">
      <c r="A676" s="38" t="s">
        <v>1027</v>
      </c>
      <c r="B676" s="42"/>
      <c r="C676" s="42"/>
      <c r="D676" s="42"/>
      <c r="E676" s="41"/>
      <c r="F676" s="41"/>
      <c r="G676" s="41"/>
      <c r="H676" s="41"/>
      <c r="I676" s="41"/>
      <c r="J676" s="42"/>
      <c r="K676" s="41"/>
      <c r="L676" s="41"/>
      <c r="M676" s="127"/>
      <c r="N676" s="41"/>
      <c r="O676" s="41"/>
      <c r="P676" s="41"/>
      <c r="Q676" s="42"/>
      <c r="R676" s="35"/>
      <c r="S676" s="35"/>
      <c r="T676" s="35"/>
      <c r="U676" s="35"/>
      <c r="V676" s="121"/>
      <c r="W676" s="42"/>
      <c r="X676" s="42"/>
      <c r="Y676" s="42"/>
      <c r="Z676" s="42"/>
      <c r="AA676" s="42"/>
      <c r="AB676" s="42"/>
      <c r="AC676" s="42"/>
      <c r="AD676" s="42"/>
      <c r="AE676" s="42"/>
      <c r="AF676" s="42"/>
      <c r="AG676" s="42"/>
      <c r="AH676" s="42"/>
      <c r="AI676" s="42"/>
      <c r="AJ676" s="42"/>
      <c r="AK676" s="42"/>
      <c r="AL676" s="42"/>
      <c r="AM676" s="42"/>
    </row>
    <row r="677" spans="1:39" x14ac:dyDescent="0.25">
      <c r="A677" s="38" t="s">
        <v>1028</v>
      </c>
      <c r="B677" s="42"/>
      <c r="C677" s="42"/>
      <c r="D677" s="42"/>
      <c r="E677" s="41"/>
      <c r="F677" s="41"/>
      <c r="G677" s="41"/>
      <c r="H677" s="41"/>
      <c r="I677" s="41"/>
      <c r="J677" s="42"/>
      <c r="K677" s="41"/>
      <c r="L677" s="41"/>
      <c r="M677" s="127"/>
      <c r="N677" s="41"/>
      <c r="O677" s="41"/>
      <c r="P677" s="41"/>
      <c r="Q677" s="42"/>
      <c r="R677" s="35"/>
      <c r="S677" s="35"/>
      <c r="T677" s="35"/>
      <c r="U677" s="35"/>
      <c r="V677" s="121"/>
      <c r="W677" s="42"/>
      <c r="X677" s="42"/>
      <c r="Y677" s="42"/>
      <c r="Z677" s="42"/>
      <c r="AA677" s="42"/>
      <c r="AB677" s="42"/>
      <c r="AC677" s="42"/>
      <c r="AD677" s="42"/>
      <c r="AE677" s="42"/>
      <c r="AF677" s="42"/>
      <c r="AG677" s="42"/>
      <c r="AH677" s="42"/>
      <c r="AI677" s="42"/>
      <c r="AJ677" s="42"/>
      <c r="AK677" s="42"/>
      <c r="AL677" s="42"/>
      <c r="AM677" s="42"/>
    </row>
    <row r="678" spans="1:39" x14ac:dyDescent="0.25">
      <c r="A678" s="38" t="s">
        <v>1029</v>
      </c>
      <c r="B678" s="42"/>
      <c r="C678" s="42"/>
      <c r="D678" s="42"/>
      <c r="E678" s="41"/>
      <c r="F678" s="41"/>
      <c r="G678" s="41"/>
      <c r="H678" s="41"/>
      <c r="I678" s="41"/>
      <c r="J678" s="42"/>
      <c r="K678" s="41"/>
      <c r="L678" s="41"/>
      <c r="M678" s="127"/>
      <c r="N678" s="41"/>
      <c r="O678" s="41"/>
      <c r="P678" s="41"/>
      <c r="Q678" s="42"/>
      <c r="R678" s="35"/>
      <c r="S678" s="35"/>
      <c r="T678" s="35"/>
      <c r="U678" s="35"/>
      <c r="V678" s="121"/>
      <c r="W678" s="42"/>
      <c r="X678" s="42"/>
      <c r="Y678" s="42"/>
      <c r="Z678" s="42"/>
      <c r="AA678" s="42"/>
      <c r="AB678" s="42"/>
      <c r="AC678" s="42"/>
      <c r="AD678" s="42"/>
      <c r="AE678" s="42"/>
      <c r="AF678" s="42"/>
      <c r="AG678" s="42"/>
      <c r="AH678" s="42"/>
      <c r="AI678" s="42"/>
      <c r="AJ678" s="42"/>
      <c r="AK678" s="42"/>
      <c r="AL678" s="42"/>
      <c r="AM678" s="42"/>
    </row>
    <row r="679" spans="1:39" x14ac:dyDescent="0.25">
      <c r="A679" s="38" t="s">
        <v>1030</v>
      </c>
      <c r="B679" s="42"/>
      <c r="C679" s="42"/>
      <c r="D679" s="42"/>
      <c r="E679" s="41"/>
      <c r="F679" s="41"/>
      <c r="G679" s="41"/>
      <c r="H679" s="41"/>
      <c r="I679" s="41"/>
      <c r="J679" s="42"/>
      <c r="K679" s="41"/>
      <c r="L679" s="41"/>
      <c r="M679" s="127"/>
      <c r="N679" s="41"/>
      <c r="O679" s="41"/>
      <c r="P679" s="41"/>
      <c r="Q679" s="42"/>
      <c r="R679" s="35"/>
      <c r="S679" s="35"/>
      <c r="T679" s="35"/>
      <c r="U679" s="35"/>
      <c r="V679" s="121"/>
      <c r="W679" s="42"/>
      <c r="X679" s="42"/>
      <c r="Y679" s="42"/>
      <c r="Z679" s="42"/>
      <c r="AA679" s="42"/>
      <c r="AB679" s="42"/>
      <c r="AC679" s="42"/>
      <c r="AD679" s="42"/>
      <c r="AE679" s="42"/>
      <c r="AF679" s="42"/>
      <c r="AG679" s="42"/>
      <c r="AH679" s="42"/>
      <c r="AI679" s="42"/>
      <c r="AJ679" s="42"/>
      <c r="AK679" s="42"/>
      <c r="AL679" s="42"/>
      <c r="AM679" s="42"/>
    </row>
    <row r="680" spans="1:39" x14ac:dyDescent="0.25">
      <c r="A680" s="38" t="s">
        <v>1031</v>
      </c>
      <c r="B680" s="42"/>
      <c r="C680" s="42"/>
      <c r="D680" s="42"/>
      <c r="E680" s="41"/>
      <c r="F680" s="41"/>
      <c r="G680" s="41"/>
      <c r="H680" s="41"/>
      <c r="I680" s="41"/>
      <c r="J680" s="42"/>
      <c r="K680" s="41"/>
      <c r="L680" s="41"/>
      <c r="M680" s="127"/>
      <c r="N680" s="41"/>
      <c r="O680" s="41"/>
      <c r="P680" s="41"/>
      <c r="Q680" s="42"/>
      <c r="R680" s="35"/>
      <c r="S680" s="35"/>
      <c r="T680" s="35"/>
      <c r="U680" s="35"/>
      <c r="V680" s="121"/>
      <c r="W680" s="42"/>
      <c r="X680" s="42"/>
      <c r="Y680" s="42"/>
      <c r="Z680" s="42"/>
      <c r="AA680" s="42"/>
      <c r="AB680" s="42"/>
      <c r="AC680" s="42"/>
      <c r="AD680" s="42"/>
      <c r="AE680" s="42"/>
      <c r="AF680" s="42"/>
      <c r="AG680" s="42"/>
      <c r="AH680" s="42"/>
      <c r="AI680" s="42"/>
      <c r="AJ680" s="42"/>
      <c r="AK680" s="42"/>
      <c r="AL680" s="42"/>
      <c r="AM680" s="42"/>
    </row>
    <row r="681" spans="1:39" x14ac:dyDescent="0.25">
      <c r="A681" s="38" t="s">
        <v>1032</v>
      </c>
      <c r="B681" s="42"/>
      <c r="C681" s="42"/>
      <c r="D681" s="42"/>
      <c r="E681" s="41"/>
      <c r="F681" s="41"/>
      <c r="G681" s="41"/>
      <c r="H681" s="41"/>
      <c r="I681" s="41"/>
      <c r="J681" s="42"/>
      <c r="K681" s="41"/>
      <c r="L681" s="41"/>
      <c r="M681" s="127"/>
      <c r="N681" s="41"/>
      <c r="O681" s="41"/>
      <c r="P681" s="41"/>
      <c r="Q681" s="42"/>
      <c r="R681" s="35"/>
      <c r="S681" s="35"/>
      <c r="T681" s="35"/>
      <c r="U681" s="35"/>
      <c r="V681" s="121"/>
      <c r="W681" s="42"/>
      <c r="X681" s="42"/>
      <c r="Y681" s="42"/>
      <c r="Z681" s="42"/>
      <c r="AA681" s="42"/>
      <c r="AB681" s="42"/>
      <c r="AC681" s="42"/>
      <c r="AD681" s="42"/>
      <c r="AE681" s="42"/>
      <c r="AF681" s="42"/>
      <c r="AG681" s="42"/>
      <c r="AH681" s="42"/>
      <c r="AI681" s="42"/>
      <c r="AJ681" s="42"/>
      <c r="AK681" s="42"/>
      <c r="AL681" s="42"/>
      <c r="AM681" s="42"/>
    </row>
    <row r="682" spans="1:39" x14ac:dyDescent="0.25">
      <c r="A682" s="38" t="s">
        <v>1033</v>
      </c>
      <c r="B682" s="42"/>
      <c r="C682" s="42"/>
      <c r="D682" s="42"/>
      <c r="E682" s="41"/>
      <c r="F682" s="41"/>
      <c r="G682" s="41"/>
      <c r="H682" s="41"/>
      <c r="I682" s="41"/>
      <c r="J682" s="42"/>
      <c r="K682" s="41"/>
      <c r="L682" s="41"/>
      <c r="M682" s="127"/>
      <c r="N682" s="41"/>
      <c r="O682" s="41"/>
      <c r="P682" s="41"/>
      <c r="Q682" s="42"/>
      <c r="R682" s="35"/>
      <c r="S682" s="35"/>
      <c r="T682" s="35"/>
      <c r="U682" s="35"/>
      <c r="V682" s="121"/>
      <c r="W682" s="42"/>
      <c r="X682" s="42"/>
      <c r="Y682" s="42"/>
      <c r="Z682" s="42"/>
      <c r="AA682" s="42"/>
      <c r="AB682" s="42"/>
      <c r="AC682" s="42"/>
      <c r="AD682" s="42"/>
      <c r="AE682" s="42"/>
      <c r="AF682" s="42"/>
      <c r="AG682" s="42"/>
      <c r="AH682" s="42"/>
      <c r="AI682" s="42"/>
      <c r="AJ682" s="42"/>
      <c r="AK682" s="42"/>
      <c r="AL682" s="42"/>
      <c r="AM682" s="42"/>
    </row>
    <row r="683" spans="1:39" x14ac:dyDescent="0.25">
      <c r="A683" s="38" t="s">
        <v>1034</v>
      </c>
      <c r="B683" s="42"/>
      <c r="C683" s="42"/>
      <c r="D683" s="42"/>
      <c r="E683" s="41"/>
      <c r="F683" s="41"/>
      <c r="G683" s="41"/>
      <c r="H683" s="41"/>
      <c r="I683" s="41"/>
      <c r="J683" s="42"/>
      <c r="K683" s="41"/>
      <c r="L683" s="41"/>
      <c r="M683" s="127"/>
      <c r="N683" s="41"/>
      <c r="O683" s="41"/>
      <c r="P683" s="41"/>
      <c r="Q683" s="42"/>
      <c r="R683" s="35"/>
      <c r="S683" s="35"/>
      <c r="T683" s="35"/>
      <c r="U683" s="35"/>
      <c r="V683" s="121"/>
      <c r="W683" s="42"/>
      <c r="X683" s="42"/>
      <c r="Y683" s="42"/>
      <c r="Z683" s="42"/>
      <c r="AA683" s="42"/>
      <c r="AB683" s="42"/>
      <c r="AC683" s="42"/>
      <c r="AD683" s="42"/>
      <c r="AE683" s="42"/>
      <c r="AF683" s="42"/>
      <c r="AG683" s="42"/>
      <c r="AH683" s="42"/>
      <c r="AI683" s="42"/>
      <c r="AJ683" s="42"/>
      <c r="AK683" s="42"/>
      <c r="AL683" s="42"/>
      <c r="AM683" s="42"/>
    </row>
    <row r="684" spans="1:39" x14ac:dyDescent="0.25">
      <c r="A684" s="38" t="s">
        <v>1035</v>
      </c>
      <c r="B684" s="42"/>
      <c r="C684" s="42"/>
      <c r="D684" s="42"/>
      <c r="E684" s="41"/>
      <c r="F684" s="41"/>
      <c r="G684" s="41"/>
      <c r="H684" s="41"/>
      <c r="I684" s="41"/>
      <c r="J684" s="42"/>
      <c r="K684" s="41"/>
      <c r="L684" s="41"/>
      <c r="M684" s="127"/>
      <c r="N684" s="41"/>
      <c r="O684" s="41"/>
      <c r="P684" s="41"/>
      <c r="Q684" s="42"/>
      <c r="R684" s="35"/>
      <c r="S684" s="35"/>
      <c r="T684" s="35"/>
      <c r="U684" s="35"/>
      <c r="V684" s="121"/>
      <c r="W684" s="42"/>
      <c r="X684" s="42"/>
      <c r="Y684" s="42"/>
      <c r="Z684" s="42"/>
      <c r="AA684" s="42"/>
      <c r="AB684" s="42"/>
      <c r="AC684" s="42"/>
      <c r="AD684" s="42"/>
      <c r="AE684" s="42"/>
      <c r="AF684" s="42"/>
      <c r="AG684" s="42"/>
      <c r="AH684" s="42"/>
      <c r="AI684" s="42"/>
      <c r="AJ684" s="42"/>
      <c r="AK684" s="42"/>
      <c r="AL684" s="42"/>
      <c r="AM684" s="42"/>
    </row>
    <row r="685" spans="1:39" x14ac:dyDescent="0.25">
      <c r="A685" s="38" t="s">
        <v>1036</v>
      </c>
      <c r="B685" s="42"/>
      <c r="C685" s="42"/>
      <c r="D685" s="42"/>
      <c r="E685" s="41"/>
      <c r="F685" s="41"/>
      <c r="G685" s="41"/>
      <c r="H685" s="41"/>
      <c r="I685" s="41"/>
      <c r="J685" s="42"/>
      <c r="K685" s="41"/>
      <c r="L685" s="41"/>
      <c r="M685" s="127"/>
      <c r="N685" s="41"/>
      <c r="O685" s="41"/>
      <c r="P685" s="41"/>
      <c r="Q685" s="42"/>
      <c r="R685" s="35"/>
      <c r="S685" s="35"/>
      <c r="T685" s="35"/>
      <c r="U685" s="35"/>
      <c r="V685" s="121"/>
      <c r="W685" s="42"/>
      <c r="X685" s="42"/>
      <c r="Y685" s="42"/>
      <c r="Z685" s="42"/>
      <c r="AA685" s="42"/>
      <c r="AB685" s="42"/>
      <c r="AC685" s="42"/>
      <c r="AD685" s="42"/>
      <c r="AE685" s="42"/>
      <c r="AF685" s="42"/>
      <c r="AG685" s="42"/>
      <c r="AH685" s="42"/>
      <c r="AI685" s="42"/>
      <c r="AJ685" s="42"/>
      <c r="AK685" s="42"/>
      <c r="AL685" s="42"/>
      <c r="AM685" s="42"/>
    </row>
    <row r="686" spans="1:39" x14ac:dyDescent="0.25">
      <c r="A686" s="38" t="s">
        <v>1037</v>
      </c>
      <c r="B686" s="42"/>
      <c r="C686" s="42"/>
      <c r="D686" s="42"/>
      <c r="E686" s="41"/>
      <c r="F686" s="41"/>
      <c r="G686" s="41"/>
      <c r="H686" s="41"/>
      <c r="I686" s="41"/>
      <c r="J686" s="42"/>
      <c r="K686" s="41"/>
      <c r="L686" s="41"/>
      <c r="M686" s="127"/>
      <c r="N686" s="41"/>
      <c r="O686" s="41"/>
      <c r="P686" s="41"/>
      <c r="Q686" s="42"/>
      <c r="R686" s="35"/>
      <c r="S686" s="35"/>
      <c r="T686" s="35"/>
      <c r="U686" s="35"/>
      <c r="V686" s="121"/>
      <c r="W686" s="42"/>
      <c r="X686" s="42"/>
      <c r="Y686" s="42"/>
      <c r="Z686" s="42"/>
      <c r="AA686" s="42"/>
      <c r="AB686" s="42"/>
      <c r="AC686" s="42"/>
      <c r="AD686" s="42"/>
      <c r="AE686" s="42"/>
      <c r="AF686" s="42"/>
      <c r="AG686" s="42"/>
      <c r="AH686" s="42"/>
      <c r="AI686" s="42"/>
      <c r="AJ686" s="42"/>
      <c r="AK686" s="42"/>
      <c r="AL686" s="42"/>
      <c r="AM686" s="42"/>
    </row>
    <row r="687" spans="1:39" x14ac:dyDescent="0.25">
      <c r="A687" s="38" t="s">
        <v>1038</v>
      </c>
      <c r="B687" s="42"/>
      <c r="C687" s="42"/>
      <c r="D687" s="42"/>
      <c r="E687" s="41"/>
      <c r="F687" s="41"/>
      <c r="G687" s="41"/>
      <c r="H687" s="41"/>
      <c r="I687" s="41"/>
      <c r="J687" s="42"/>
      <c r="K687" s="41"/>
      <c r="L687" s="41"/>
      <c r="M687" s="127"/>
      <c r="N687" s="41"/>
      <c r="O687" s="41"/>
      <c r="P687" s="41"/>
      <c r="Q687" s="42"/>
      <c r="R687" s="35"/>
      <c r="S687" s="35"/>
      <c r="T687" s="35"/>
      <c r="U687" s="35"/>
      <c r="V687" s="121"/>
      <c r="W687" s="42"/>
      <c r="X687" s="42"/>
      <c r="Y687" s="42"/>
      <c r="Z687" s="42"/>
      <c r="AA687" s="42"/>
      <c r="AB687" s="42"/>
      <c r="AC687" s="42"/>
      <c r="AD687" s="42"/>
      <c r="AE687" s="42"/>
      <c r="AF687" s="42"/>
      <c r="AG687" s="42"/>
      <c r="AH687" s="42"/>
      <c r="AI687" s="42"/>
      <c r="AJ687" s="42"/>
      <c r="AK687" s="42"/>
      <c r="AL687" s="42"/>
      <c r="AM687" s="42"/>
    </row>
    <row r="688" spans="1:39" x14ac:dyDescent="0.25">
      <c r="A688" s="38" t="s">
        <v>1039</v>
      </c>
      <c r="B688" s="42"/>
      <c r="C688" s="42"/>
      <c r="D688" s="42"/>
      <c r="E688" s="41"/>
      <c r="F688" s="41"/>
      <c r="G688" s="41"/>
      <c r="H688" s="41"/>
      <c r="I688" s="41"/>
      <c r="J688" s="42"/>
      <c r="K688" s="41"/>
      <c r="L688" s="41"/>
      <c r="M688" s="127"/>
      <c r="N688" s="41"/>
      <c r="O688" s="41"/>
      <c r="P688" s="41"/>
      <c r="Q688" s="42"/>
      <c r="R688" s="35"/>
      <c r="S688" s="35"/>
      <c r="T688" s="35"/>
      <c r="U688" s="35"/>
      <c r="V688" s="121"/>
      <c r="W688" s="42"/>
      <c r="X688" s="42"/>
      <c r="Y688" s="42"/>
      <c r="Z688" s="42"/>
      <c r="AA688" s="42"/>
      <c r="AB688" s="42"/>
      <c r="AC688" s="42"/>
      <c r="AD688" s="42"/>
      <c r="AE688" s="42"/>
      <c r="AF688" s="42"/>
      <c r="AG688" s="42"/>
      <c r="AH688" s="42"/>
      <c r="AI688" s="42"/>
      <c r="AJ688" s="42"/>
      <c r="AK688" s="42"/>
      <c r="AL688" s="42"/>
      <c r="AM688" s="42"/>
    </row>
    <row r="689" spans="1:39" x14ac:dyDescent="0.25">
      <c r="A689" s="38" t="s">
        <v>1040</v>
      </c>
      <c r="B689" s="42"/>
      <c r="C689" s="42"/>
      <c r="D689" s="42"/>
      <c r="E689" s="41"/>
      <c r="F689" s="41"/>
      <c r="G689" s="41"/>
      <c r="H689" s="41"/>
      <c r="I689" s="41"/>
      <c r="J689" s="42"/>
      <c r="K689" s="41"/>
      <c r="L689" s="41"/>
      <c r="M689" s="127"/>
      <c r="N689" s="41"/>
      <c r="O689" s="41"/>
      <c r="P689" s="41"/>
      <c r="Q689" s="42"/>
      <c r="R689" s="35"/>
      <c r="S689" s="35"/>
      <c r="T689" s="35"/>
      <c r="U689" s="35"/>
      <c r="V689" s="121"/>
      <c r="W689" s="42"/>
      <c r="X689" s="42"/>
      <c r="Y689" s="42"/>
      <c r="Z689" s="42"/>
      <c r="AA689" s="42"/>
      <c r="AB689" s="42"/>
      <c r="AC689" s="42"/>
      <c r="AD689" s="42"/>
      <c r="AE689" s="42"/>
      <c r="AF689" s="42"/>
      <c r="AG689" s="42"/>
      <c r="AH689" s="42"/>
      <c r="AI689" s="42"/>
      <c r="AJ689" s="42"/>
      <c r="AK689" s="42"/>
      <c r="AL689" s="42"/>
      <c r="AM689" s="42"/>
    </row>
    <row r="690" spans="1:39" x14ac:dyDescent="0.25">
      <c r="A690" s="38" t="s">
        <v>1041</v>
      </c>
      <c r="B690" s="42"/>
      <c r="C690" s="42"/>
      <c r="D690" s="42"/>
      <c r="E690" s="41"/>
      <c r="F690" s="41"/>
      <c r="G690" s="41"/>
      <c r="H690" s="41"/>
      <c r="I690" s="41"/>
      <c r="J690" s="42"/>
      <c r="K690" s="41"/>
      <c r="L690" s="41"/>
      <c r="M690" s="127"/>
      <c r="N690" s="41"/>
      <c r="O690" s="41"/>
      <c r="P690" s="41"/>
      <c r="Q690" s="42"/>
      <c r="R690" s="35"/>
      <c r="S690" s="35"/>
      <c r="T690" s="35"/>
      <c r="U690" s="35"/>
      <c r="V690" s="121"/>
      <c r="W690" s="42"/>
      <c r="X690" s="42"/>
      <c r="Y690" s="42"/>
      <c r="Z690" s="42"/>
      <c r="AA690" s="42"/>
      <c r="AB690" s="42"/>
      <c r="AC690" s="42"/>
      <c r="AD690" s="42"/>
      <c r="AE690" s="42"/>
      <c r="AF690" s="42"/>
      <c r="AG690" s="42"/>
      <c r="AH690" s="42"/>
      <c r="AI690" s="42"/>
      <c r="AJ690" s="42"/>
      <c r="AK690" s="42"/>
      <c r="AL690" s="42"/>
      <c r="AM690" s="42"/>
    </row>
    <row r="691" spans="1:39" x14ac:dyDescent="0.25">
      <c r="A691" s="38" t="s">
        <v>1042</v>
      </c>
      <c r="B691" s="42"/>
      <c r="C691" s="42"/>
      <c r="D691" s="42"/>
      <c r="E691" s="41"/>
      <c r="F691" s="41"/>
      <c r="G691" s="41"/>
      <c r="H691" s="41"/>
      <c r="I691" s="41"/>
      <c r="J691" s="42"/>
      <c r="K691" s="41"/>
      <c r="L691" s="41"/>
      <c r="M691" s="127"/>
      <c r="N691" s="41"/>
      <c r="O691" s="41"/>
      <c r="P691" s="41"/>
      <c r="Q691" s="42"/>
      <c r="R691" s="35"/>
      <c r="S691" s="35"/>
      <c r="T691" s="35"/>
      <c r="U691" s="35"/>
      <c r="V691" s="121"/>
      <c r="W691" s="42"/>
      <c r="X691" s="42"/>
      <c r="Y691" s="42"/>
      <c r="Z691" s="42"/>
      <c r="AA691" s="42"/>
      <c r="AB691" s="42"/>
      <c r="AC691" s="42"/>
      <c r="AD691" s="42"/>
      <c r="AE691" s="42"/>
      <c r="AF691" s="42"/>
      <c r="AG691" s="42"/>
      <c r="AH691" s="42"/>
      <c r="AI691" s="42"/>
      <c r="AJ691" s="42"/>
      <c r="AK691" s="42"/>
      <c r="AL691" s="42"/>
      <c r="AM691" s="42"/>
    </row>
    <row r="692" spans="1:39" x14ac:dyDescent="0.25">
      <c r="A692" s="38" t="s">
        <v>1043</v>
      </c>
      <c r="B692" s="42"/>
      <c r="C692" s="42"/>
      <c r="D692" s="42"/>
      <c r="E692" s="41"/>
      <c r="F692" s="41"/>
      <c r="G692" s="41"/>
      <c r="H692" s="41"/>
      <c r="I692" s="41"/>
      <c r="J692" s="42"/>
      <c r="K692" s="41"/>
      <c r="L692" s="41"/>
      <c r="M692" s="127"/>
      <c r="N692" s="41"/>
      <c r="O692" s="41"/>
      <c r="P692" s="41"/>
      <c r="Q692" s="42"/>
      <c r="R692" s="35"/>
      <c r="S692" s="35"/>
      <c r="T692" s="35"/>
      <c r="U692" s="35"/>
      <c r="V692" s="121"/>
      <c r="W692" s="42"/>
      <c r="X692" s="42"/>
      <c r="Y692" s="42"/>
      <c r="Z692" s="42"/>
      <c r="AA692" s="42"/>
      <c r="AB692" s="42"/>
      <c r="AC692" s="42"/>
      <c r="AD692" s="42"/>
      <c r="AE692" s="42"/>
      <c r="AF692" s="42"/>
      <c r="AG692" s="42"/>
      <c r="AH692" s="42"/>
      <c r="AI692" s="42"/>
      <c r="AJ692" s="42"/>
      <c r="AK692" s="42"/>
      <c r="AL692" s="42"/>
      <c r="AM692" s="42"/>
    </row>
    <row r="693" spans="1:39" x14ac:dyDescent="0.25">
      <c r="A693" s="38" t="s">
        <v>1044</v>
      </c>
      <c r="B693" s="42"/>
      <c r="C693" s="42"/>
      <c r="D693" s="42"/>
      <c r="E693" s="41"/>
      <c r="F693" s="41"/>
      <c r="G693" s="41"/>
      <c r="H693" s="41"/>
      <c r="I693" s="41"/>
      <c r="J693" s="42"/>
      <c r="K693" s="41"/>
      <c r="L693" s="41"/>
      <c r="M693" s="127"/>
      <c r="N693" s="41"/>
      <c r="O693" s="41"/>
      <c r="P693" s="41"/>
      <c r="Q693" s="42"/>
      <c r="R693" s="35"/>
      <c r="S693" s="35"/>
      <c r="T693" s="35"/>
      <c r="U693" s="35"/>
      <c r="V693" s="121"/>
      <c r="W693" s="42"/>
      <c r="X693" s="42"/>
      <c r="Y693" s="42"/>
      <c r="Z693" s="42"/>
      <c r="AA693" s="42"/>
      <c r="AB693" s="42"/>
      <c r="AC693" s="42"/>
      <c r="AD693" s="42"/>
      <c r="AE693" s="42"/>
      <c r="AF693" s="42"/>
      <c r="AG693" s="42"/>
      <c r="AH693" s="42"/>
      <c r="AI693" s="42"/>
      <c r="AJ693" s="42"/>
      <c r="AK693" s="42"/>
      <c r="AL693" s="42"/>
      <c r="AM693" s="42"/>
    </row>
    <row r="694" spans="1:39" x14ac:dyDescent="0.25">
      <c r="A694" s="38" t="s">
        <v>1045</v>
      </c>
      <c r="B694" s="42"/>
      <c r="C694" s="42"/>
      <c r="D694" s="42"/>
      <c r="E694" s="41"/>
      <c r="F694" s="41"/>
      <c r="G694" s="41"/>
      <c r="H694" s="41"/>
      <c r="I694" s="41"/>
      <c r="J694" s="42"/>
      <c r="K694" s="41"/>
      <c r="L694" s="41"/>
      <c r="M694" s="127"/>
      <c r="N694" s="41"/>
      <c r="O694" s="41"/>
      <c r="P694" s="41"/>
      <c r="Q694" s="42"/>
      <c r="R694" s="35"/>
      <c r="S694" s="35"/>
      <c r="T694" s="35"/>
      <c r="U694" s="35"/>
      <c r="V694" s="121"/>
      <c r="W694" s="42"/>
      <c r="X694" s="42"/>
      <c r="Y694" s="42"/>
      <c r="Z694" s="42"/>
      <c r="AA694" s="42"/>
      <c r="AB694" s="42"/>
      <c r="AC694" s="42"/>
      <c r="AD694" s="42"/>
      <c r="AE694" s="42"/>
      <c r="AF694" s="42"/>
      <c r="AG694" s="42"/>
      <c r="AH694" s="42"/>
      <c r="AI694" s="42"/>
      <c r="AJ694" s="42"/>
      <c r="AK694" s="42"/>
      <c r="AL694" s="42"/>
      <c r="AM694" s="42"/>
    </row>
    <row r="695" spans="1:39" x14ac:dyDescent="0.25">
      <c r="A695" s="38" t="s">
        <v>1046</v>
      </c>
      <c r="B695" s="42"/>
      <c r="C695" s="42"/>
      <c r="D695" s="42"/>
      <c r="E695" s="41"/>
      <c r="F695" s="41"/>
      <c r="G695" s="41"/>
      <c r="H695" s="41"/>
      <c r="I695" s="41"/>
      <c r="J695" s="42"/>
      <c r="K695" s="41"/>
      <c r="L695" s="41"/>
      <c r="M695" s="127"/>
      <c r="N695" s="41"/>
      <c r="O695" s="41"/>
      <c r="P695" s="41"/>
      <c r="Q695" s="42"/>
      <c r="R695" s="35"/>
      <c r="S695" s="35"/>
      <c r="T695" s="35"/>
      <c r="U695" s="35"/>
      <c r="V695" s="121"/>
      <c r="W695" s="42"/>
      <c r="X695" s="42"/>
      <c r="Y695" s="42"/>
      <c r="Z695" s="42"/>
      <c r="AA695" s="42"/>
      <c r="AB695" s="42"/>
      <c r="AC695" s="42"/>
      <c r="AD695" s="42"/>
      <c r="AE695" s="42"/>
      <c r="AF695" s="42"/>
      <c r="AG695" s="42"/>
      <c r="AH695" s="42"/>
      <c r="AI695" s="42"/>
      <c r="AJ695" s="42"/>
      <c r="AK695" s="42"/>
      <c r="AL695" s="42"/>
      <c r="AM695" s="42"/>
    </row>
    <row r="696" spans="1:39" x14ac:dyDescent="0.25">
      <c r="A696" s="38" t="s">
        <v>1047</v>
      </c>
      <c r="B696" s="42"/>
      <c r="C696" s="42"/>
      <c r="D696" s="42"/>
      <c r="E696" s="41"/>
      <c r="F696" s="41"/>
      <c r="G696" s="41"/>
      <c r="H696" s="41"/>
      <c r="I696" s="41"/>
      <c r="J696" s="42"/>
      <c r="K696" s="41"/>
      <c r="L696" s="41"/>
      <c r="M696" s="127"/>
      <c r="N696" s="41"/>
      <c r="O696" s="41"/>
      <c r="P696" s="41"/>
      <c r="Q696" s="42"/>
      <c r="R696" s="35"/>
      <c r="S696" s="35"/>
      <c r="T696" s="35"/>
      <c r="U696" s="35"/>
      <c r="V696" s="121"/>
      <c r="W696" s="42"/>
      <c r="X696" s="42"/>
      <c r="Y696" s="42"/>
      <c r="Z696" s="42"/>
      <c r="AA696" s="42"/>
      <c r="AB696" s="42"/>
      <c r="AC696" s="42"/>
      <c r="AD696" s="42"/>
      <c r="AE696" s="42"/>
      <c r="AF696" s="42"/>
      <c r="AG696" s="42"/>
      <c r="AH696" s="42"/>
      <c r="AI696" s="42"/>
      <c r="AJ696" s="42"/>
      <c r="AK696" s="42"/>
      <c r="AL696" s="42"/>
      <c r="AM696" s="42"/>
    </row>
    <row r="697" spans="1:39" x14ac:dyDescent="0.25">
      <c r="A697" s="38" t="s">
        <v>1048</v>
      </c>
      <c r="B697" s="42"/>
      <c r="C697" s="42"/>
      <c r="D697" s="42"/>
      <c r="E697" s="41"/>
      <c r="F697" s="41"/>
      <c r="G697" s="41"/>
      <c r="H697" s="41"/>
      <c r="I697" s="41"/>
      <c r="J697" s="42"/>
      <c r="K697" s="41"/>
      <c r="L697" s="41"/>
      <c r="M697" s="127"/>
      <c r="N697" s="41"/>
      <c r="O697" s="41"/>
      <c r="P697" s="41"/>
      <c r="Q697" s="42"/>
      <c r="R697" s="35"/>
      <c r="S697" s="35"/>
      <c r="T697" s="35"/>
      <c r="U697" s="35"/>
      <c r="V697" s="121"/>
      <c r="W697" s="42"/>
      <c r="X697" s="42"/>
      <c r="Y697" s="42"/>
      <c r="Z697" s="42"/>
      <c r="AA697" s="42"/>
      <c r="AB697" s="42"/>
      <c r="AC697" s="42"/>
      <c r="AD697" s="42"/>
      <c r="AE697" s="42"/>
      <c r="AF697" s="42"/>
      <c r="AG697" s="42"/>
      <c r="AH697" s="42"/>
      <c r="AI697" s="42"/>
      <c r="AJ697" s="42"/>
      <c r="AK697" s="42"/>
      <c r="AL697" s="42"/>
      <c r="AM697" s="42"/>
    </row>
    <row r="698" spans="1:39" x14ac:dyDescent="0.25">
      <c r="A698" s="38" t="s">
        <v>1049</v>
      </c>
      <c r="B698" s="42"/>
      <c r="C698" s="42"/>
      <c r="D698" s="42"/>
      <c r="E698" s="41"/>
      <c r="F698" s="41"/>
      <c r="G698" s="41"/>
      <c r="H698" s="41"/>
      <c r="I698" s="41"/>
      <c r="J698" s="42"/>
      <c r="K698" s="41"/>
      <c r="L698" s="41"/>
      <c r="M698" s="127"/>
      <c r="N698" s="41"/>
      <c r="O698" s="41"/>
      <c r="P698" s="41"/>
      <c r="Q698" s="42"/>
      <c r="R698" s="35"/>
      <c r="S698" s="35"/>
      <c r="T698" s="35"/>
      <c r="U698" s="35"/>
      <c r="V698" s="121"/>
      <c r="W698" s="42"/>
      <c r="X698" s="42"/>
      <c r="Y698" s="42"/>
      <c r="Z698" s="42"/>
      <c r="AA698" s="42"/>
      <c r="AB698" s="42"/>
      <c r="AC698" s="42"/>
      <c r="AD698" s="42"/>
      <c r="AE698" s="42"/>
      <c r="AF698" s="42"/>
      <c r="AG698" s="42"/>
      <c r="AH698" s="42"/>
      <c r="AI698" s="42"/>
      <c r="AJ698" s="42"/>
      <c r="AK698" s="42"/>
      <c r="AL698" s="42"/>
      <c r="AM698" s="42"/>
    </row>
    <row r="699" spans="1:39" x14ac:dyDescent="0.25">
      <c r="A699" s="38" t="s">
        <v>1050</v>
      </c>
      <c r="B699" s="42"/>
      <c r="C699" s="42"/>
      <c r="D699" s="42"/>
      <c r="E699" s="41"/>
      <c r="F699" s="41"/>
      <c r="G699" s="41"/>
      <c r="H699" s="41"/>
      <c r="I699" s="41"/>
      <c r="J699" s="42"/>
      <c r="K699" s="41"/>
      <c r="L699" s="41"/>
      <c r="M699" s="127"/>
      <c r="N699" s="41"/>
      <c r="O699" s="41"/>
      <c r="P699" s="41"/>
      <c r="Q699" s="42"/>
      <c r="R699" s="35"/>
      <c r="S699" s="35"/>
      <c r="T699" s="35"/>
      <c r="U699" s="35"/>
      <c r="V699" s="121"/>
      <c r="W699" s="42"/>
      <c r="X699" s="42"/>
      <c r="Y699" s="42"/>
      <c r="Z699" s="42"/>
      <c r="AA699" s="42"/>
      <c r="AB699" s="42"/>
      <c r="AC699" s="42"/>
      <c r="AD699" s="42"/>
      <c r="AE699" s="42"/>
      <c r="AF699" s="42"/>
      <c r="AG699" s="42"/>
      <c r="AH699" s="42"/>
      <c r="AI699" s="42"/>
      <c r="AJ699" s="42"/>
      <c r="AK699" s="42"/>
      <c r="AL699" s="42"/>
      <c r="AM699" s="42"/>
    </row>
    <row r="700" spans="1:39" x14ac:dyDescent="0.25">
      <c r="A700" s="38" t="s">
        <v>1051</v>
      </c>
      <c r="B700" s="42"/>
      <c r="C700" s="42"/>
      <c r="D700" s="42"/>
      <c r="E700" s="41"/>
      <c r="F700" s="41"/>
      <c r="G700" s="41"/>
      <c r="H700" s="41"/>
      <c r="I700" s="41"/>
      <c r="J700" s="42"/>
      <c r="K700" s="41"/>
      <c r="L700" s="41"/>
      <c r="M700" s="127"/>
      <c r="N700" s="41"/>
      <c r="O700" s="41"/>
      <c r="P700" s="41"/>
      <c r="Q700" s="42"/>
      <c r="R700" s="35"/>
      <c r="S700" s="35"/>
      <c r="T700" s="35"/>
      <c r="U700" s="35"/>
      <c r="V700" s="121"/>
      <c r="W700" s="42"/>
      <c r="X700" s="42"/>
      <c r="Y700" s="42"/>
      <c r="Z700" s="42"/>
      <c r="AA700" s="42"/>
      <c r="AB700" s="42"/>
      <c r="AC700" s="42"/>
      <c r="AD700" s="42"/>
      <c r="AE700" s="42"/>
      <c r="AF700" s="42"/>
      <c r="AG700" s="42"/>
      <c r="AH700" s="42"/>
      <c r="AI700" s="42"/>
      <c r="AJ700" s="42"/>
      <c r="AK700" s="42"/>
      <c r="AL700" s="42"/>
      <c r="AM700" s="42"/>
    </row>
    <row r="701" spans="1:39" x14ac:dyDescent="0.25">
      <c r="A701" s="38" t="s">
        <v>1052</v>
      </c>
      <c r="B701" s="42"/>
      <c r="C701" s="42"/>
      <c r="D701" s="42"/>
      <c r="E701" s="41"/>
      <c r="F701" s="41"/>
      <c r="G701" s="41"/>
      <c r="H701" s="41"/>
      <c r="I701" s="41"/>
      <c r="J701" s="42"/>
      <c r="K701" s="41"/>
      <c r="L701" s="41"/>
      <c r="M701" s="127"/>
      <c r="N701" s="41"/>
      <c r="O701" s="41"/>
      <c r="P701" s="41"/>
      <c r="Q701" s="42"/>
      <c r="R701" s="35"/>
      <c r="S701" s="35"/>
      <c r="T701" s="35"/>
      <c r="U701" s="35"/>
      <c r="V701" s="121"/>
      <c r="W701" s="42"/>
      <c r="X701" s="42"/>
      <c r="Y701" s="42"/>
      <c r="Z701" s="42"/>
      <c r="AA701" s="42"/>
      <c r="AB701" s="42"/>
      <c r="AC701" s="42"/>
      <c r="AD701" s="42"/>
      <c r="AE701" s="42"/>
      <c r="AF701" s="42"/>
      <c r="AG701" s="42"/>
      <c r="AH701" s="42"/>
      <c r="AI701" s="42"/>
      <c r="AJ701" s="42"/>
      <c r="AK701" s="42"/>
      <c r="AL701" s="42"/>
      <c r="AM701" s="42"/>
    </row>
    <row r="702" spans="1:39" x14ac:dyDescent="0.25">
      <c r="A702" s="38" t="s">
        <v>1053</v>
      </c>
      <c r="B702" s="42"/>
      <c r="C702" s="42"/>
      <c r="D702" s="42"/>
      <c r="E702" s="41"/>
      <c r="F702" s="41"/>
      <c r="G702" s="41"/>
      <c r="H702" s="41"/>
      <c r="I702" s="41"/>
      <c r="J702" s="42"/>
      <c r="K702" s="41"/>
      <c r="L702" s="41"/>
      <c r="M702" s="127"/>
      <c r="N702" s="41"/>
      <c r="O702" s="41"/>
      <c r="P702" s="41"/>
      <c r="Q702" s="42"/>
      <c r="R702" s="35"/>
      <c r="S702" s="35"/>
      <c r="T702" s="35"/>
      <c r="U702" s="35"/>
      <c r="V702" s="121"/>
      <c r="W702" s="42"/>
      <c r="X702" s="42"/>
      <c r="Y702" s="42"/>
      <c r="Z702" s="42"/>
      <c r="AA702" s="42"/>
      <c r="AB702" s="42"/>
      <c r="AC702" s="42"/>
      <c r="AD702" s="42"/>
      <c r="AE702" s="42"/>
      <c r="AF702" s="42"/>
      <c r="AG702" s="42"/>
      <c r="AH702" s="42"/>
      <c r="AI702" s="42"/>
      <c r="AJ702" s="42"/>
      <c r="AK702" s="42"/>
      <c r="AL702" s="42"/>
      <c r="AM702" s="42"/>
    </row>
    <row r="703" spans="1:39" x14ac:dyDescent="0.25">
      <c r="A703" s="38" t="s">
        <v>1054</v>
      </c>
      <c r="B703" s="42"/>
      <c r="C703" s="42"/>
      <c r="D703" s="42"/>
      <c r="E703" s="41"/>
      <c r="F703" s="41"/>
      <c r="G703" s="41"/>
      <c r="H703" s="41"/>
      <c r="I703" s="41"/>
      <c r="J703" s="42"/>
      <c r="K703" s="41"/>
      <c r="L703" s="41"/>
      <c r="M703" s="127"/>
      <c r="N703" s="41"/>
      <c r="O703" s="41"/>
      <c r="P703" s="41"/>
      <c r="Q703" s="42"/>
      <c r="R703" s="35"/>
      <c r="S703" s="35"/>
      <c r="T703" s="35"/>
      <c r="U703" s="35"/>
      <c r="V703" s="121"/>
      <c r="W703" s="42"/>
      <c r="X703" s="42"/>
      <c r="Y703" s="42"/>
      <c r="Z703" s="42"/>
      <c r="AA703" s="42"/>
      <c r="AB703" s="42"/>
      <c r="AC703" s="42"/>
      <c r="AD703" s="42"/>
      <c r="AE703" s="42"/>
      <c r="AF703" s="42"/>
      <c r="AG703" s="42"/>
      <c r="AH703" s="42"/>
      <c r="AI703" s="42"/>
      <c r="AJ703" s="42"/>
      <c r="AK703" s="42"/>
      <c r="AL703" s="42"/>
      <c r="AM703" s="42"/>
    </row>
    <row r="704" spans="1:39" x14ac:dyDescent="0.25">
      <c r="A704" s="38" t="s">
        <v>1055</v>
      </c>
      <c r="B704" s="42"/>
      <c r="C704" s="42"/>
      <c r="D704" s="42"/>
      <c r="E704" s="41"/>
      <c r="F704" s="41"/>
      <c r="G704" s="41"/>
      <c r="H704" s="41"/>
      <c r="I704" s="41"/>
      <c r="J704" s="42"/>
      <c r="K704" s="41"/>
      <c r="L704" s="41"/>
      <c r="M704" s="127"/>
      <c r="N704" s="41"/>
      <c r="O704" s="41"/>
      <c r="P704" s="41"/>
      <c r="Q704" s="42"/>
      <c r="R704" s="35"/>
      <c r="S704" s="35"/>
      <c r="T704" s="35"/>
      <c r="U704" s="35"/>
      <c r="V704" s="121"/>
      <c r="W704" s="42"/>
      <c r="X704" s="42"/>
      <c r="Y704" s="42"/>
      <c r="Z704" s="42"/>
      <c r="AA704" s="42"/>
      <c r="AB704" s="42"/>
      <c r="AC704" s="42"/>
      <c r="AD704" s="42"/>
      <c r="AE704" s="42"/>
      <c r="AF704" s="42"/>
      <c r="AG704" s="42"/>
      <c r="AH704" s="42"/>
      <c r="AI704" s="42"/>
      <c r="AJ704" s="42"/>
      <c r="AK704" s="42"/>
      <c r="AL704" s="42"/>
      <c r="AM704" s="42"/>
    </row>
    <row r="705" spans="1:39" x14ac:dyDescent="0.25">
      <c r="A705" s="38" t="s">
        <v>1056</v>
      </c>
      <c r="B705" s="42"/>
      <c r="C705" s="42"/>
      <c r="D705" s="42"/>
      <c r="E705" s="41"/>
      <c r="F705" s="41"/>
      <c r="G705" s="41"/>
      <c r="H705" s="41"/>
      <c r="I705" s="41"/>
      <c r="J705" s="42"/>
      <c r="K705" s="41"/>
      <c r="L705" s="41"/>
      <c r="M705" s="127"/>
      <c r="N705" s="41"/>
      <c r="O705" s="41"/>
      <c r="P705" s="41"/>
      <c r="Q705" s="42"/>
      <c r="R705" s="35"/>
      <c r="S705" s="35"/>
      <c r="T705" s="35"/>
      <c r="U705" s="35"/>
      <c r="V705" s="121"/>
      <c r="W705" s="42"/>
      <c r="X705" s="42"/>
      <c r="Y705" s="42"/>
      <c r="Z705" s="42"/>
      <c r="AA705" s="42"/>
      <c r="AB705" s="42"/>
      <c r="AC705" s="42"/>
      <c r="AD705" s="42"/>
      <c r="AE705" s="42"/>
      <c r="AF705" s="42"/>
      <c r="AG705" s="42"/>
      <c r="AH705" s="42"/>
      <c r="AI705" s="42"/>
      <c r="AJ705" s="42"/>
      <c r="AK705" s="42"/>
      <c r="AL705" s="42"/>
      <c r="AM705" s="42"/>
    </row>
    <row r="706" spans="1:39" x14ac:dyDescent="0.25">
      <c r="A706" s="38" t="s">
        <v>1057</v>
      </c>
      <c r="B706" s="42"/>
      <c r="C706" s="42"/>
      <c r="D706" s="42"/>
      <c r="E706" s="41"/>
      <c r="F706" s="41"/>
      <c r="G706" s="41"/>
      <c r="H706" s="41"/>
      <c r="I706" s="41"/>
      <c r="J706" s="42"/>
      <c r="K706" s="41"/>
      <c r="L706" s="41"/>
      <c r="M706" s="127"/>
      <c r="N706" s="41"/>
      <c r="O706" s="41"/>
      <c r="P706" s="41"/>
      <c r="Q706" s="42"/>
      <c r="R706" s="35"/>
      <c r="S706" s="35"/>
      <c r="T706" s="35"/>
      <c r="U706" s="35"/>
      <c r="V706" s="121"/>
      <c r="W706" s="42"/>
      <c r="X706" s="42"/>
      <c r="Y706" s="42"/>
      <c r="Z706" s="42"/>
      <c r="AA706" s="42"/>
      <c r="AB706" s="42"/>
      <c r="AC706" s="42"/>
      <c r="AD706" s="42"/>
      <c r="AE706" s="42"/>
      <c r="AF706" s="42"/>
      <c r="AG706" s="42"/>
      <c r="AH706" s="42"/>
      <c r="AI706" s="42"/>
      <c r="AJ706" s="42"/>
      <c r="AK706" s="42"/>
      <c r="AL706" s="42"/>
      <c r="AM706" s="42"/>
    </row>
    <row r="707" spans="1:39" x14ac:dyDescent="0.25">
      <c r="A707" s="38" t="s">
        <v>1058</v>
      </c>
      <c r="B707" s="42"/>
      <c r="C707" s="42"/>
      <c r="D707" s="42"/>
      <c r="E707" s="41"/>
      <c r="F707" s="41"/>
      <c r="G707" s="41"/>
      <c r="H707" s="41"/>
      <c r="I707" s="41"/>
      <c r="J707" s="42"/>
      <c r="K707" s="41"/>
      <c r="L707" s="41"/>
      <c r="M707" s="127"/>
      <c r="N707" s="41"/>
      <c r="O707" s="41"/>
      <c r="P707" s="41"/>
      <c r="Q707" s="42"/>
      <c r="R707" s="35"/>
      <c r="S707" s="35"/>
      <c r="T707" s="35"/>
      <c r="U707" s="35"/>
      <c r="V707" s="121"/>
      <c r="W707" s="42"/>
      <c r="X707" s="42"/>
      <c r="Y707" s="42"/>
      <c r="Z707" s="42"/>
      <c r="AA707" s="42"/>
      <c r="AB707" s="42"/>
      <c r="AC707" s="42"/>
      <c r="AD707" s="42"/>
      <c r="AE707" s="42"/>
      <c r="AF707" s="42"/>
      <c r="AG707" s="42"/>
      <c r="AH707" s="42"/>
      <c r="AI707" s="42"/>
      <c r="AJ707" s="42"/>
      <c r="AK707" s="42"/>
      <c r="AL707" s="42"/>
      <c r="AM707" s="42"/>
    </row>
    <row r="708" spans="1:39" x14ac:dyDescent="0.25">
      <c r="A708" s="38" t="s">
        <v>1059</v>
      </c>
      <c r="B708" s="42"/>
      <c r="C708" s="42"/>
      <c r="D708" s="42"/>
      <c r="E708" s="41"/>
      <c r="F708" s="41"/>
      <c r="G708" s="41"/>
      <c r="H708" s="41"/>
      <c r="I708" s="41"/>
      <c r="J708" s="42"/>
      <c r="K708" s="41"/>
      <c r="L708" s="41"/>
      <c r="M708" s="127"/>
      <c r="N708" s="41"/>
      <c r="O708" s="41"/>
      <c r="P708" s="41"/>
      <c r="Q708" s="42"/>
      <c r="R708" s="35"/>
      <c r="S708" s="35"/>
      <c r="T708" s="35"/>
      <c r="U708" s="35"/>
      <c r="V708" s="121"/>
      <c r="W708" s="42"/>
      <c r="X708" s="42"/>
      <c r="Y708" s="42"/>
      <c r="Z708" s="42"/>
      <c r="AA708" s="42"/>
      <c r="AB708" s="42"/>
      <c r="AC708" s="42"/>
      <c r="AD708" s="42"/>
      <c r="AE708" s="42"/>
      <c r="AF708" s="42"/>
      <c r="AG708" s="42"/>
      <c r="AH708" s="42"/>
      <c r="AI708" s="42"/>
      <c r="AJ708" s="42"/>
      <c r="AK708" s="42"/>
      <c r="AL708" s="42"/>
      <c r="AM708" s="42"/>
    </row>
    <row r="709" spans="1:39" x14ac:dyDescent="0.25">
      <c r="A709" s="38" t="s">
        <v>1060</v>
      </c>
      <c r="B709" s="42"/>
      <c r="C709" s="42"/>
      <c r="D709" s="42"/>
      <c r="E709" s="41"/>
      <c r="F709" s="41"/>
      <c r="G709" s="41"/>
      <c r="H709" s="41"/>
      <c r="I709" s="41"/>
      <c r="J709" s="42"/>
      <c r="K709" s="41"/>
      <c r="L709" s="41"/>
      <c r="M709" s="127"/>
      <c r="N709" s="41"/>
      <c r="O709" s="41"/>
      <c r="P709" s="41"/>
      <c r="Q709" s="42"/>
      <c r="R709" s="35"/>
      <c r="S709" s="35"/>
      <c r="T709" s="35"/>
      <c r="U709" s="35"/>
      <c r="V709" s="121"/>
      <c r="W709" s="42"/>
      <c r="X709" s="42"/>
      <c r="Y709" s="42"/>
      <c r="Z709" s="42"/>
      <c r="AA709" s="42"/>
      <c r="AB709" s="42"/>
      <c r="AC709" s="42"/>
      <c r="AD709" s="42"/>
      <c r="AE709" s="42"/>
      <c r="AF709" s="42"/>
      <c r="AG709" s="42"/>
      <c r="AH709" s="42"/>
      <c r="AI709" s="42"/>
      <c r="AJ709" s="42"/>
      <c r="AK709" s="42"/>
      <c r="AL709" s="42"/>
      <c r="AM709" s="42"/>
    </row>
    <row r="710" spans="1:39" x14ac:dyDescent="0.25">
      <c r="A710" s="38" t="s">
        <v>1061</v>
      </c>
      <c r="B710" s="42"/>
      <c r="C710" s="42"/>
      <c r="D710" s="42"/>
      <c r="E710" s="41"/>
      <c r="F710" s="41"/>
      <c r="G710" s="41"/>
      <c r="H710" s="41"/>
      <c r="I710" s="41"/>
      <c r="J710" s="42"/>
      <c r="K710" s="41"/>
      <c r="L710" s="41"/>
      <c r="M710" s="127"/>
      <c r="N710" s="41"/>
      <c r="O710" s="41"/>
      <c r="P710" s="41"/>
      <c r="Q710" s="42"/>
      <c r="R710" s="35"/>
      <c r="S710" s="35"/>
      <c r="T710" s="35"/>
      <c r="U710" s="35"/>
      <c r="V710" s="121"/>
      <c r="W710" s="42"/>
      <c r="X710" s="42"/>
      <c r="Y710" s="42"/>
      <c r="Z710" s="42"/>
      <c r="AA710" s="42"/>
      <c r="AB710" s="42"/>
      <c r="AC710" s="42"/>
      <c r="AD710" s="42"/>
      <c r="AE710" s="42"/>
      <c r="AF710" s="42"/>
      <c r="AG710" s="42"/>
      <c r="AH710" s="42"/>
      <c r="AI710" s="42"/>
      <c r="AJ710" s="42"/>
      <c r="AK710" s="42"/>
      <c r="AL710" s="42"/>
      <c r="AM710" s="42"/>
    </row>
    <row r="711" spans="1:39" x14ac:dyDescent="0.25">
      <c r="A711" s="38" t="s">
        <v>1062</v>
      </c>
      <c r="B711" s="42"/>
      <c r="C711" s="42"/>
      <c r="D711" s="42"/>
      <c r="E711" s="41"/>
      <c r="F711" s="41"/>
      <c r="G711" s="41"/>
      <c r="H711" s="41"/>
      <c r="I711" s="41"/>
      <c r="J711" s="42"/>
      <c r="K711" s="41"/>
      <c r="L711" s="41"/>
      <c r="M711" s="127"/>
      <c r="N711" s="41"/>
      <c r="O711" s="41"/>
      <c r="P711" s="41"/>
      <c r="Q711" s="42"/>
      <c r="R711" s="35"/>
      <c r="S711" s="35"/>
      <c r="T711" s="35"/>
      <c r="U711" s="35"/>
      <c r="V711" s="121"/>
      <c r="W711" s="42"/>
      <c r="X711" s="42"/>
      <c r="Y711" s="42"/>
      <c r="Z711" s="42"/>
      <c r="AA711" s="42"/>
      <c r="AB711" s="42"/>
      <c r="AC711" s="42"/>
      <c r="AD711" s="42"/>
      <c r="AE711" s="42"/>
      <c r="AF711" s="42"/>
      <c r="AG711" s="42"/>
      <c r="AH711" s="42"/>
      <c r="AI711" s="42"/>
      <c r="AJ711" s="42"/>
      <c r="AK711" s="42"/>
      <c r="AL711" s="42"/>
      <c r="AM711" s="42"/>
    </row>
    <row r="712" spans="1:39" x14ac:dyDescent="0.25">
      <c r="A712" s="38" t="s">
        <v>1063</v>
      </c>
      <c r="B712" s="42"/>
      <c r="C712" s="42"/>
      <c r="D712" s="42"/>
      <c r="E712" s="41"/>
      <c r="F712" s="41"/>
      <c r="G712" s="41"/>
      <c r="H712" s="41"/>
      <c r="I712" s="41"/>
      <c r="J712" s="42"/>
      <c r="K712" s="41"/>
      <c r="L712" s="41"/>
      <c r="M712" s="127"/>
      <c r="N712" s="41"/>
      <c r="O712" s="41"/>
      <c r="P712" s="41"/>
      <c r="Q712" s="42"/>
      <c r="R712" s="35"/>
      <c r="S712" s="35"/>
      <c r="T712" s="35"/>
      <c r="U712" s="35"/>
      <c r="V712" s="121"/>
      <c r="W712" s="42"/>
      <c r="X712" s="42"/>
      <c r="Y712" s="42"/>
      <c r="Z712" s="42"/>
      <c r="AA712" s="42"/>
      <c r="AB712" s="42"/>
      <c r="AC712" s="42"/>
      <c r="AD712" s="42"/>
      <c r="AE712" s="42"/>
      <c r="AF712" s="42"/>
      <c r="AG712" s="42"/>
      <c r="AH712" s="42"/>
      <c r="AI712" s="42"/>
      <c r="AJ712" s="42"/>
      <c r="AK712" s="42"/>
      <c r="AL712" s="42"/>
      <c r="AM712" s="42"/>
    </row>
    <row r="713" spans="1:39" x14ac:dyDescent="0.25">
      <c r="A713" s="38" t="s">
        <v>1064</v>
      </c>
      <c r="B713" s="42"/>
      <c r="C713" s="42"/>
      <c r="D713" s="42"/>
      <c r="E713" s="41"/>
      <c r="F713" s="41"/>
      <c r="G713" s="41"/>
      <c r="H713" s="41"/>
      <c r="I713" s="41"/>
      <c r="J713" s="42"/>
      <c r="K713" s="41"/>
      <c r="L713" s="41"/>
      <c r="M713" s="127"/>
      <c r="N713" s="41"/>
      <c r="O713" s="41"/>
      <c r="P713" s="41"/>
      <c r="Q713" s="42"/>
      <c r="R713" s="35"/>
      <c r="S713" s="35"/>
      <c r="T713" s="35"/>
      <c r="U713" s="35"/>
      <c r="V713" s="121"/>
      <c r="W713" s="42"/>
      <c r="X713" s="42"/>
      <c r="Y713" s="42"/>
      <c r="Z713" s="42"/>
      <c r="AA713" s="42"/>
      <c r="AB713" s="42"/>
      <c r="AC713" s="42"/>
      <c r="AD713" s="42"/>
      <c r="AE713" s="42"/>
      <c r="AF713" s="42"/>
      <c r="AG713" s="42"/>
      <c r="AH713" s="42"/>
      <c r="AI713" s="42"/>
      <c r="AJ713" s="42"/>
      <c r="AK713" s="42"/>
      <c r="AL713" s="42"/>
      <c r="AM713" s="42"/>
    </row>
    <row r="714" spans="1:39" x14ac:dyDescent="0.25">
      <c r="A714" s="38" t="s">
        <v>1065</v>
      </c>
      <c r="B714" s="42"/>
      <c r="C714" s="42"/>
      <c r="D714" s="42"/>
      <c r="E714" s="41"/>
      <c r="F714" s="41"/>
      <c r="G714" s="41"/>
      <c r="H714" s="41"/>
      <c r="I714" s="41"/>
      <c r="J714" s="42"/>
      <c r="K714" s="41"/>
      <c r="L714" s="41"/>
      <c r="M714" s="127"/>
      <c r="N714" s="41"/>
      <c r="O714" s="41"/>
      <c r="P714" s="41"/>
      <c r="Q714" s="42"/>
      <c r="R714" s="35"/>
      <c r="S714" s="35"/>
      <c r="T714" s="35"/>
      <c r="U714" s="35"/>
      <c r="V714" s="121"/>
      <c r="W714" s="42"/>
      <c r="X714" s="42"/>
      <c r="Y714" s="42"/>
      <c r="Z714" s="42"/>
      <c r="AA714" s="42"/>
      <c r="AB714" s="42"/>
      <c r="AC714" s="42"/>
      <c r="AD714" s="42"/>
      <c r="AE714" s="42"/>
      <c r="AF714" s="42"/>
      <c r="AG714" s="42"/>
      <c r="AH714" s="42"/>
      <c r="AI714" s="42"/>
      <c r="AJ714" s="42"/>
      <c r="AK714" s="42"/>
      <c r="AL714" s="42"/>
      <c r="AM714" s="42"/>
    </row>
    <row r="715" spans="1:39" x14ac:dyDescent="0.25">
      <c r="A715" s="38" t="s">
        <v>1066</v>
      </c>
      <c r="B715" s="42"/>
      <c r="C715" s="42"/>
      <c r="D715" s="42"/>
      <c r="E715" s="41"/>
      <c r="F715" s="41"/>
      <c r="G715" s="41"/>
      <c r="H715" s="41"/>
      <c r="I715" s="41"/>
      <c r="J715" s="42"/>
      <c r="K715" s="41"/>
      <c r="L715" s="41"/>
      <c r="M715" s="127"/>
      <c r="N715" s="41"/>
      <c r="O715" s="41"/>
      <c r="P715" s="41"/>
      <c r="Q715" s="42"/>
      <c r="R715" s="35"/>
      <c r="S715" s="35"/>
      <c r="T715" s="35"/>
      <c r="U715" s="35"/>
      <c r="V715" s="121"/>
      <c r="W715" s="42"/>
      <c r="X715" s="42"/>
      <c r="Y715" s="42"/>
      <c r="Z715" s="42"/>
      <c r="AA715" s="42"/>
      <c r="AB715" s="42"/>
      <c r="AC715" s="42"/>
      <c r="AD715" s="42"/>
      <c r="AE715" s="42"/>
      <c r="AF715" s="42"/>
      <c r="AG715" s="42"/>
      <c r="AH715" s="42"/>
      <c r="AI715" s="42"/>
      <c r="AJ715" s="42"/>
      <c r="AK715" s="42"/>
      <c r="AL715" s="42"/>
      <c r="AM715" s="42"/>
    </row>
    <row r="716" spans="1:39" x14ac:dyDescent="0.25">
      <c r="A716" s="38" t="s">
        <v>1067</v>
      </c>
      <c r="B716" s="42"/>
      <c r="C716" s="42"/>
      <c r="D716" s="42"/>
      <c r="E716" s="41"/>
      <c r="F716" s="41"/>
      <c r="G716" s="41"/>
      <c r="H716" s="41"/>
      <c r="I716" s="41"/>
      <c r="J716" s="42"/>
      <c r="K716" s="41"/>
      <c r="L716" s="41"/>
      <c r="M716" s="127"/>
      <c r="N716" s="41"/>
      <c r="O716" s="41"/>
      <c r="P716" s="41"/>
      <c r="Q716" s="42"/>
      <c r="R716" s="35"/>
      <c r="S716" s="35"/>
      <c r="T716" s="35"/>
      <c r="U716" s="35"/>
      <c r="V716" s="121"/>
      <c r="W716" s="42"/>
      <c r="X716" s="42"/>
      <c r="Y716" s="42"/>
      <c r="Z716" s="42"/>
      <c r="AA716" s="42"/>
      <c r="AB716" s="42"/>
      <c r="AC716" s="42"/>
      <c r="AD716" s="42"/>
      <c r="AE716" s="42"/>
      <c r="AF716" s="42"/>
      <c r="AG716" s="42"/>
      <c r="AH716" s="42"/>
      <c r="AI716" s="42"/>
      <c r="AJ716" s="42"/>
      <c r="AK716" s="42"/>
      <c r="AL716" s="42"/>
      <c r="AM716" s="42"/>
    </row>
    <row r="717" spans="1:39" x14ac:dyDescent="0.25">
      <c r="A717" s="38" t="s">
        <v>1068</v>
      </c>
      <c r="B717" s="42"/>
      <c r="C717" s="42"/>
      <c r="D717" s="42"/>
      <c r="E717" s="41"/>
      <c r="F717" s="41"/>
      <c r="G717" s="41"/>
      <c r="H717" s="41"/>
      <c r="I717" s="41"/>
      <c r="J717" s="42"/>
      <c r="K717" s="41"/>
      <c r="L717" s="41"/>
      <c r="M717" s="127"/>
      <c r="N717" s="41"/>
      <c r="O717" s="41"/>
      <c r="P717" s="41"/>
      <c r="Q717" s="42"/>
      <c r="R717" s="35"/>
      <c r="S717" s="35"/>
      <c r="T717" s="35"/>
      <c r="U717" s="35"/>
      <c r="V717" s="121"/>
      <c r="W717" s="42"/>
      <c r="X717" s="42"/>
      <c r="Y717" s="42"/>
      <c r="Z717" s="42"/>
      <c r="AA717" s="42"/>
      <c r="AB717" s="42"/>
      <c r="AC717" s="42"/>
      <c r="AD717" s="42"/>
      <c r="AE717" s="42"/>
      <c r="AF717" s="42"/>
      <c r="AG717" s="42"/>
      <c r="AH717" s="42"/>
      <c r="AI717" s="42"/>
      <c r="AJ717" s="42"/>
      <c r="AK717" s="42"/>
      <c r="AL717" s="42"/>
      <c r="AM717" s="42"/>
    </row>
    <row r="718" spans="1:39" x14ac:dyDescent="0.25">
      <c r="A718" s="38" t="s">
        <v>1069</v>
      </c>
      <c r="B718" s="42"/>
      <c r="C718" s="42"/>
      <c r="D718" s="42"/>
      <c r="E718" s="41"/>
      <c r="F718" s="41"/>
      <c r="G718" s="41"/>
      <c r="H718" s="41"/>
      <c r="I718" s="41"/>
      <c r="J718" s="42"/>
      <c r="K718" s="41"/>
      <c r="L718" s="41"/>
      <c r="M718" s="127"/>
      <c r="N718" s="41"/>
      <c r="O718" s="41"/>
      <c r="P718" s="41"/>
      <c r="Q718" s="42"/>
      <c r="R718" s="35"/>
      <c r="S718" s="35"/>
      <c r="T718" s="35"/>
      <c r="U718" s="35"/>
      <c r="V718" s="121"/>
      <c r="W718" s="42"/>
      <c r="X718" s="42"/>
      <c r="Y718" s="42"/>
      <c r="Z718" s="42"/>
      <c r="AA718" s="42"/>
      <c r="AB718" s="42"/>
      <c r="AC718" s="42"/>
      <c r="AD718" s="42"/>
      <c r="AE718" s="42"/>
      <c r="AF718" s="42"/>
      <c r="AG718" s="42"/>
      <c r="AH718" s="42"/>
      <c r="AI718" s="42"/>
      <c r="AJ718" s="42"/>
      <c r="AK718" s="42"/>
      <c r="AL718" s="42"/>
      <c r="AM718" s="42"/>
    </row>
    <row r="719" spans="1:39" x14ac:dyDescent="0.25">
      <c r="A719" s="38" t="s">
        <v>1070</v>
      </c>
      <c r="B719" s="42"/>
      <c r="C719" s="42"/>
      <c r="D719" s="42"/>
      <c r="E719" s="41"/>
      <c r="F719" s="41"/>
      <c r="G719" s="41"/>
      <c r="H719" s="41"/>
      <c r="I719" s="41"/>
      <c r="J719" s="42"/>
      <c r="K719" s="41"/>
      <c r="L719" s="41"/>
      <c r="M719" s="127"/>
      <c r="N719" s="41"/>
      <c r="O719" s="41"/>
      <c r="P719" s="41"/>
      <c r="Q719" s="42"/>
      <c r="R719" s="35"/>
      <c r="S719" s="35"/>
      <c r="T719" s="35"/>
      <c r="U719" s="35"/>
      <c r="V719" s="121"/>
      <c r="W719" s="42"/>
      <c r="X719" s="42"/>
      <c r="Y719" s="42"/>
      <c r="Z719" s="42"/>
      <c r="AA719" s="42"/>
      <c r="AB719" s="42"/>
      <c r="AC719" s="42"/>
      <c r="AD719" s="42"/>
      <c r="AE719" s="42"/>
      <c r="AF719" s="42"/>
      <c r="AG719" s="42"/>
      <c r="AH719" s="42"/>
      <c r="AI719" s="42"/>
      <c r="AJ719" s="42"/>
      <c r="AK719" s="42"/>
      <c r="AL719" s="42"/>
      <c r="AM719" s="42"/>
    </row>
    <row r="720" spans="1:39" x14ac:dyDescent="0.25">
      <c r="A720" s="38" t="s">
        <v>1071</v>
      </c>
      <c r="B720" s="42"/>
      <c r="C720" s="42"/>
      <c r="D720" s="42"/>
      <c r="E720" s="41"/>
      <c r="F720" s="41"/>
      <c r="G720" s="41"/>
      <c r="H720" s="41"/>
      <c r="I720" s="41"/>
      <c r="J720" s="42"/>
      <c r="K720" s="41"/>
      <c r="L720" s="41"/>
      <c r="M720" s="127"/>
      <c r="N720" s="41"/>
      <c r="O720" s="41"/>
      <c r="P720" s="41"/>
      <c r="Q720" s="42"/>
      <c r="R720" s="35"/>
      <c r="S720" s="35"/>
      <c r="T720" s="35"/>
      <c r="U720" s="35"/>
      <c r="V720" s="121"/>
      <c r="W720" s="42"/>
      <c r="X720" s="42"/>
      <c r="Y720" s="42"/>
      <c r="Z720" s="42"/>
      <c r="AA720" s="42"/>
      <c r="AB720" s="42"/>
      <c r="AC720" s="42"/>
      <c r="AD720" s="42"/>
      <c r="AE720" s="42"/>
      <c r="AF720" s="42"/>
      <c r="AG720" s="42"/>
      <c r="AH720" s="42"/>
      <c r="AI720" s="42"/>
      <c r="AJ720" s="42"/>
      <c r="AK720" s="42"/>
      <c r="AL720" s="42"/>
      <c r="AM720" s="42"/>
    </row>
    <row r="721" spans="1:39" x14ac:dyDescent="0.25">
      <c r="A721" s="38" t="s">
        <v>1072</v>
      </c>
      <c r="B721" s="42"/>
      <c r="C721" s="42"/>
      <c r="D721" s="42"/>
      <c r="E721" s="41"/>
      <c r="F721" s="41"/>
      <c r="G721" s="41"/>
      <c r="H721" s="41"/>
      <c r="I721" s="41"/>
      <c r="J721" s="42"/>
      <c r="K721" s="41"/>
      <c r="L721" s="41"/>
      <c r="M721" s="127"/>
      <c r="N721" s="41"/>
      <c r="O721" s="41"/>
      <c r="P721" s="41"/>
      <c r="Q721" s="42"/>
      <c r="R721" s="35"/>
      <c r="S721" s="35"/>
      <c r="T721" s="35"/>
      <c r="U721" s="35"/>
      <c r="V721" s="121"/>
      <c r="W721" s="42"/>
      <c r="X721" s="42"/>
      <c r="Y721" s="42"/>
      <c r="Z721" s="42"/>
      <c r="AA721" s="42"/>
      <c r="AB721" s="42"/>
      <c r="AC721" s="42"/>
      <c r="AD721" s="42"/>
      <c r="AE721" s="42"/>
      <c r="AF721" s="42"/>
      <c r="AG721" s="42"/>
      <c r="AH721" s="42"/>
      <c r="AI721" s="42"/>
      <c r="AJ721" s="42"/>
      <c r="AK721" s="42"/>
      <c r="AL721" s="42"/>
      <c r="AM721" s="42"/>
    </row>
    <row r="722" spans="1:39" x14ac:dyDescent="0.25">
      <c r="A722" s="38" t="s">
        <v>1073</v>
      </c>
      <c r="B722" s="42"/>
      <c r="C722" s="42"/>
      <c r="D722" s="42"/>
      <c r="E722" s="41"/>
      <c r="F722" s="41"/>
      <c r="G722" s="41"/>
      <c r="H722" s="41"/>
      <c r="I722" s="41"/>
      <c r="J722" s="42"/>
      <c r="K722" s="41"/>
      <c r="L722" s="41"/>
      <c r="M722" s="127"/>
      <c r="N722" s="41"/>
      <c r="O722" s="41"/>
      <c r="P722" s="41"/>
      <c r="Q722" s="42"/>
      <c r="R722" s="35"/>
      <c r="S722" s="35"/>
      <c r="T722" s="35"/>
      <c r="U722" s="35"/>
      <c r="V722" s="121"/>
      <c r="W722" s="42"/>
      <c r="X722" s="42"/>
      <c r="Y722" s="42"/>
      <c r="Z722" s="42"/>
      <c r="AA722" s="42"/>
      <c r="AB722" s="42"/>
      <c r="AC722" s="42"/>
      <c r="AD722" s="42"/>
      <c r="AE722" s="42"/>
      <c r="AF722" s="42"/>
      <c r="AG722" s="42"/>
      <c r="AH722" s="42"/>
      <c r="AI722" s="42"/>
      <c r="AJ722" s="42"/>
      <c r="AK722" s="42"/>
      <c r="AL722" s="42"/>
      <c r="AM722" s="42"/>
    </row>
    <row r="723" spans="1:39" x14ac:dyDescent="0.25">
      <c r="A723" s="38" t="s">
        <v>1074</v>
      </c>
      <c r="B723" s="42"/>
      <c r="C723" s="42"/>
      <c r="D723" s="42"/>
      <c r="E723" s="41"/>
      <c r="F723" s="41"/>
      <c r="G723" s="41"/>
      <c r="H723" s="41"/>
      <c r="I723" s="41"/>
      <c r="J723" s="42"/>
      <c r="K723" s="41"/>
      <c r="L723" s="41"/>
      <c r="M723" s="127"/>
      <c r="N723" s="41"/>
      <c r="O723" s="41"/>
      <c r="P723" s="41"/>
      <c r="Q723" s="42"/>
      <c r="R723" s="35"/>
      <c r="S723" s="35"/>
      <c r="T723" s="35"/>
      <c r="U723" s="35"/>
      <c r="V723" s="121"/>
      <c r="W723" s="42"/>
      <c r="X723" s="42"/>
      <c r="Y723" s="42"/>
      <c r="Z723" s="42"/>
      <c r="AA723" s="42"/>
      <c r="AB723" s="42"/>
      <c r="AC723" s="42"/>
      <c r="AD723" s="42"/>
      <c r="AE723" s="42"/>
      <c r="AF723" s="42"/>
      <c r="AG723" s="42"/>
      <c r="AH723" s="42"/>
      <c r="AI723" s="42"/>
      <c r="AJ723" s="42"/>
      <c r="AK723" s="42"/>
      <c r="AL723" s="42"/>
      <c r="AM723" s="42"/>
    </row>
    <row r="724" spans="1:39" x14ac:dyDescent="0.25">
      <c r="A724" s="38" t="s">
        <v>1075</v>
      </c>
      <c r="B724" s="42"/>
      <c r="C724" s="42"/>
      <c r="D724" s="42"/>
      <c r="E724" s="41"/>
      <c r="F724" s="41"/>
      <c r="G724" s="41"/>
      <c r="H724" s="41"/>
      <c r="I724" s="41"/>
      <c r="J724" s="42"/>
      <c r="K724" s="41"/>
      <c r="L724" s="41"/>
      <c r="M724" s="127"/>
      <c r="N724" s="41"/>
      <c r="O724" s="41"/>
      <c r="P724" s="41"/>
      <c r="Q724" s="42"/>
      <c r="R724" s="35"/>
      <c r="S724" s="35"/>
      <c r="T724" s="35"/>
      <c r="U724" s="35"/>
      <c r="V724" s="121"/>
      <c r="W724" s="42"/>
      <c r="X724" s="42"/>
      <c r="Y724" s="42"/>
      <c r="Z724" s="42"/>
      <c r="AA724" s="42"/>
      <c r="AB724" s="42"/>
      <c r="AC724" s="42"/>
      <c r="AD724" s="42"/>
      <c r="AE724" s="42"/>
      <c r="AF724" s="42"/>
      <c r="AG724" s="42"/>
      <c r="AH724" s="42"/>
      <c r="AI724" s="42"/>
      <c r="AJ724" s="42"/>
      <c r="AK724" s="42"/>
      <c r="AL724" s="42"/>
      <c r="AM724" s="42"/>
    </row>
    <row r="725" spans="1:39" x14ac:dyDescent="0.25">
      <c r="A725" s="38" t="s">
        <v>1076</v>
      </c>
      <c r="B725" s="42"/>
      <c r="C725" s="42"/>
      <c r="D725" s="42"/>
      <c r="E725" s="41"/>
      <c r="F725" s="41"/>
      <c r="G725" s="41"/>
      <c r="H725" s="41"/>
      <c r="I725" s="41"/>
      <c r="J725" s="42"/>
      <c r="K725" s="41"/>
      <c r="L725" s="41"/>
      <c r="M725" s="127"/>
      <c r="N725" s="41"/>
      <c r="O725" s="41"/>
      <c r="P725" s="41"/>
      <c r="Q725" s="42"/>
      <c r="R725" s="35"/>
      <c r="S725" s="35"/>
      <c r="T725" s="35"/>
      <c r="U725" s="35"/>
      <c r="V725" s="121"/>
      <c r="W725" s="42"/>
      <c r="X725" s="42"/>
      <c r="Y725" s="42"/>
      <c r="Z725" s="42"/>
      <c r="AA725" s="42"/>
      <c r="AB725" s="42"/>
      <c r="AC725" s="42"/>
      <c r="AD725" s="42"/>
      <c r="AE725" s="42"/>
      <c r="AF725" s="42"/>
      <c r="AG725" s="42"/>
      <c r="AH725" s="42"/>
      <c r="AI725" s="42"/>
      <c r="AJ725" s="42"/>
      <c r="AK725" s="42"/>
      <c r="AL725" s="42"/>
      <c r="AM725" s="42"/>
    </row>
    <row r="726" spans="1:39" x14ac:dyDescent="0.25">
      <c r="A726" s="38" t="s">
        <v>1077</v>
      </c>
      <c r="B726" s="42"/>
      <c r="C726" s="42"/>
      <c r="D726" s="42"/>
      <c r="E726" s="41"/>
      <c r="F726" s="41"/>
      <c r="G726" s="41"/>
      <c r="H726" s="41"/>
      <c r="I726" s="41"/>
      <c r="J726" s="42"/>
      <c r="K726" s="41"/>
      <c r="L726" s="41"/>
      <c r="M726" s="127"/>
      <c r="N726" s="41"/>
      <c r="O726" s="41"/>
      <c r="P726" s="41"/>
      <c r="Q726" s="42"/>
      <c r="R726" s="35"/>
      <c r="S726" s="35"/>
      <c r="T726" s="35"/>
      <c r="U726" s="35"/>
      <c r="V726" s="121"/>
      <c r="W726" s="42"/>
      <c r="X726" s="42"/>
      <c r="Y726" s="42"/>
      <c r="Z726" s="42"/>
      <c r="AA726" s="42"/>
      <c r="AB726" s="42"/>
      <c r="AC726" s="42"/>
      <c r="AD726" s="42"/>
      <c r="AE726" s="42"/>
      <c r="AF726" s="42"/>
      <c r="AG726" s="42"/>
      <c r="AH726" s="42"/>
      <c r="AI726" s="42"/>
      <c r="AJ726" s="42"/>
      <c r="AK726" s="42"/>
      <c r="AL726" s="42"/>
      <c r="AM726" s="42"/>
    </row>
    <row r="727" spans="1:39" x14ac:dyDescent="0.25">
      <c r="A727" s="38" t="s">
        <v>1078</v>
      </c>
      <c r="B727" s="42"/>
      <c r="C727" s="42"/>
      <c r="D727" s="42"/>
      <c r="E727" s="41"/>
      <c r="F727" s="41"/>
      <c r="G727" s="41"/>
      <c r="H727" s="41"/>
      <c r="I727" s="41"/>
      <c r="J727" s="42"/>
      <c r="K727" s="41"/>
      <c r="L727" s="41"/>
      <c r="M727" s="127"/>
      <c r="N727" s="41"/>
      <c r="O727" s="41"/>
      <c r="P727" s="41"/>
      <c r="Q727" s="42"/>
      <c r="R727" s="35"/>
      <c r="S727" s="35"/>
      <c r="T727" s="35"/>
      <c r="U727" s="35"/>
      <c r="V727" s="121"/>
      <c r="W727" s="42"/>
      <c r="X727" s="42"/>
      <c r="Y727" s="42"/>
      <c r="Z727" s="42"/>
      <c r="AA727" s="42"/>
      <c r="AB727" s="42"/>
      <c r="AC727" s="42"/>
      <c r="AD727" s="42"/>
      <c r="AE727" s="42"/>
      <c r="AF727" s="42"/>
      <c r="AG727" s="42"/>
      <c r="AH727" s="42"/>
      <c r="AI727" s="42"/>
      <c r="AJ727" s="42"/>
      <c r="AK727" s="42"/>
      <c r="AL727" s="42"/>
      <c r="AM727" s="42"/>
    </row>
    <row r="728" spans="1:39" x14ac:dyDescent="0.25">
      <c r="A728" s="38" t="s">
        <v>1079</v>
      </c>
      <c r="B728" s="42"/>
      <c r="C728" s="42"/>
      <c r="D728" s="42"/>
      <c r="E728" s="41"/>
      <c r="F728" s="41"/>
      <c r="G728" s="41"/>
      <c r="H728" s="41"/>
      <c r="I728" s="41"/>
      <c r="J728" s="42"/>
      <c r="K728" s="41"/>
      <c r="L728" s="41"/>
      <c r="M728" s="127"/>
      <c r="N728" s="41"/>
      <c r="O728" s="41"/>
      <c r="P728" s="41"/>
      <c r="Q728" s="42"/>
      <c r="R728" s="35"/>
      <c r="S728" s="35"/>
      <c r="T728" s="35"/>
      <c r="U728" s="35"/>
      <c r="V728" s="121"/>
      <c r="W728" s="42"/>
      <c r="X728" s="42"/>
      <c r="Y728" s="42"/>
      <c r="Z728" s="42"/>
      <c r="AA728" s="42"/>
      <c r="AB728" s="42"/>
      <c r="AC728" s="42"/>
      <c r="AD728" s="42"/>
      <c r="AE728" s="42"/>
      <c r="AF728" s="42"/>
      <c r="AG728" s="42"/>
      <c r="AH728" s="42"/>
      <c r="AI728" s="42"/>
      <c r="AJ728" s="42"/>
      <c r="AK728" s="42"/>
      <c r="AL728" s="42"/>
      <c r="AM728" s="42"/>
    </row>
    <row r="729" spans="1:39" x14ac:dyDescent="0.25">
      <c r="A729" s="38" t="s">
        <v>1080</v>
      </c>
      <c r="B729" s="42"/>
      <c r="C729" s="42"/>
      <c r="D729" s="42"/>
      <c r="E729" s="41"/>
      <c r="F729" s="41"/>
      <c r="G729" s="41"/>
      <c r="H729" s="41"/>
      <c r="I729" s="41"/>
      <c r="J729" s="42"/>
      <c r="K729" s="41"/>
      <c r="L729" s="41"/>
      <c r="M729" s="127"/>
      <c r="N729" s="41"/>
      <c r="O729" s="41"/>
      <c r="P729" s="41"/>
      <c r="Q729" s="42"/>
      <c r="R729" s="35"/>
      <c r="S729" s="35"/>
      <c r="T729" s="35"/>
      <c r="U729" s="35"/>
      <c r="V729" s="121"/>
      <c r="W729" s="42"/>
      <c r="X729" s="42"/>
      <c r="Y729" s="42"/>
      <c r="Z729" s="42"/>
      <c r="AA729" s="42"/>
      <c r="AB729" s="42"/>
      <c r="AC729" s="42"/>
      <c r="AD729" s="42"/>
      <c r="AE729" s="42"/>
      <c r="AF729" s="42"/>
      <c r="AG729" s="42"/>
      <c r="AH729" s="42"/>
      <c r="AI729" s="42"/>
      <c r="AJ729" s="42"/>
      <c r="AK729" s="42"/>
      <c r="AL729" s="42"/>
      <c r="AM729" s="42"/>
    </row>
    <row r="730" spans="1:39" x14ac:dyDescent="0.25">
      <c r="A730" s="38" t="s">
        <v>1081</v>
      </c>
      <c r="B730" s="42"/>
      <c r="C730" s="42"/>
      <c r="D730" s="42"/>
      <c r="E730" s="41"/>
      <c r="F730" s="41"/>
      <c r="G730" s="41"/>
      <c r="H730" s="41"/>
      <c r="I730" s="41"/>
      <c r="J730" s="42"/>
      <c r="K730" s="41"/>
      <c r="L730" s="41"/>
      <c r="M730" s="127"/>
      <c r="N730" s="41"/>
      <c r="O730" s="41"/>
      <c r="P730" s="41"/>
      <c r="Q730" s="42"/>
      <c r="R730" s="35"/>
      <c r="S730" s="35"/>
      <c r="T730" s="35"/>
      <c r="U730" s="35"/>
      <c r="V730" s="121"/>
      <c r="W730" s="42"/>
      <c r="X730" s="42"/>
      <c r="Y730" s="42"/>
      <c r="Z730" s="42"/>
      <c r="AA730" s="42"/>
      <c r="AB730" s="42"/>
      <c r="AC730" s="42"/>
      <c r="AD730" s="42"/>
      <c r="AE730" s="42"/>
      <c r="AF730" s="42"/>
      <c r="AG730" s="42"/>
      <c r="AH730" s="42"/>
      <c r="AI730" s="42"/>
      <c r="AJ730" s="42"/>
      <c r="AK730" s="42"/>
      <c r="AL730" s="42"/>
      <c r="AM730" s="42"/>
    </row>
    <row r="731" spans="1:39" x14ac:dyDescent="0.25">
      <c r="A731" s="38" t="s">
        <v>1082</v>
      </c>
      <c r="B731" s="42"/>
      <c r="C731" s="42"/>
      <c r="D731" s="42"/>
      <c r="E731" s="41"/>
      <c r="F731" s="41"/>
      <c r="G731" s="41"/>
      <c r="H731" s="41"/>
      <c r="I731" s="41"/>
      <c r="J731" s="42"/>
      <c r="K731" s="41"/>
      <c r="L731" s="41"/>
      <c r="M731" s="127"/>
      <c r="N731" s="41"/>
      <c r="O731" s="41"/>
      <c r="P731" s="41"/>
      <c r="Q731" s="42"/>
      <c r="R731" s="35"/>
      <c r="S731" s="35"/>
      <c r="T731" s="35"/>
      <c r="U731" s="35"/>
      <c r="V731" s="121"/>
      <c r="W731" s="42"/>
      <c r="X731" s="42"/>
      <c r="Y731" s="42"/>
      <c r="Z731" s="42"/>
      <c r="AA731" s="42"/>
      <c r="AB731" s="42"/>
      <c r="AC731" s="42"/>
      <c r="AD731" s="42"/>
      <c r="AE731" s="42"/>
      <c r="AF731" s="42"/>
      <c r="AG731" s="42"/>
      <c r="AH731" s="42"/>
      <c r="AI731" s="42"/>
      <c r="AJ731" s="42"/>
      <c r="AK731" s="42"/>
      <c r="AL731" s="42"/>
      <c r="AM731" s="42"/>
    </row>
    <row r="732" spans="1:39" x14ac:dyDescent="0.25">
      <c r="A732" s="38" t="s">
        <v>1083</v>
      </c>
      <c r="B732" s="42"/>
      <c r="C732" s="42"/>
      <c r="D732" s="42"/>
      <c r="E732" s="41"/>
      <c r="F732" s="41"/>
      <c r="G732" s="41"/>
      <c r="H732" s="41"/>
      <c r="I732" s="41"/>
      <c r="J732" s="42"/>
      <c r="K732" s="41"/>
      <c r="L732" s="41"/>
      <c r="M732" s="127"/>
      <c r="N732" s="41"/>
      <c r="O732" s="41"/>
      <c r="P732" s="41"/>
      <c r="Q732" s="42"/>
      <c r="R732" s="35"/>
      <c r="S732" s="35"/>
      <c r="T732" s="35"/>
      <c r="U732" s="35"/>
      <c r="V732" s="121"/>
      <c r="W732" s="42"/>
      <c r="X732" s="42"/>
      <c r="Y732" s="42"/>
      <c r="Z732" s="42"/>
      <c r="AA732" s="42"/>
      <c r="AB732" s="42"/>
      <c r="AC732" s="42"/>
      <c r="AD732" s="42"/>
      <c r="AE732" s="42"/>
      <c r="AF732" s="42"/>
      <c r="AG732" s="42"/>
      <c r="AH732" s="42"/>
      <c r="AI732" s="42"/>
      <c r="AJ732" s="42"/>
      <c r="AK732" s="42"/>
      <c r="AL732" s="42"/>
      <c r="AM732" s="42"/>
    </row>
    <row r="733" spans="1:39" x14ac:dyDescent="0.25">
      <c r="A733" s="38" t="s">
        <v>1084</v>
      </c>
      <c r="B733" s="42"/>
      <c r="C733" s="42"/>
      <c r="D733" s="42"/>
      <c r="E733" s="41"/>
      <c r="F733" s="41"/>
      <c r="G733" s="41"/>
      <c r="H733" s="41"/>
      <c r="I733" s="41"/>
      <c r="J733" s="42"/>
      <c r="K733" s="41"/>
      <c r="L733" s="41"/>
      <c r="M733" s="127"/>
      <c r="N733" s="41"/>
      <c r="O733" s="41"/>
      <c r="P733" s="41"/>
      <c r="Q733" s="42"/>
      <c r="R733" s="35"/>
      <c r="S733" s="35"/>
      <c r="T733" s="35"/>
      <c r="U733" s="35"/>
      <c r="V733" s="121"/>
      <c r="W733" s="42"/>
      <c r="X733" s="42"/>
      <c r="Y733" s="42"/>
      <c r="Z733" s="42"/>
      <c r="AA733" s="42"/>
      <c r="AB733" s="42"/>
      <c r="AC733" s="42"/>
      <c r="AD733" s="42"/>
      <c r="AE733" s="42"/>
      <c r="AF733" s="42"/>
      <c r="AG733" s="42"/>
      <c r="AH733" s="42"/>
      <c r="AI733" s="42"/>
      <c r="AJ733" s="42"/>
      <c r="AK733" s="42"/>
      <c r="AL733" s="42"/>
      <c r="AM733" s="42"/>
    </row>
    <row r="734" spans="1:39" x14ac:dyDescent="0.25">
      <c r="A734" s="38" t="s">
        <v>1085</v>
      </c>
      <c r="B734" s="42"/>
      <c r="C734" s="42"/>
      <c r="D734" s="42"/>
      <c r="E734" s="41"/>
      <c r="F734" s="41"/>
      <c r="G734" s="41"/>
      <c r="H734" s="41"/>
      <c r="I734" s="41"/>
      <c r="J734" s="42"/>
      <c r="K734" s="41"/>
      <c r="L734" s="41"/>
      <c r="M734" s="127"/>
      <c r="N734" s="41"/>
      <c r="O734" s="41"/>
      <c r="P734" s="41"/>
      <c r="Q734" s="42"/>
      <c r="R734" s="35"/>
      <c r="S734" s="35"/>
      <c r="T734" s="35"/>
      <c r="U734" s="35"/>
      <c r="V734" s="121"/>
      <c r="W734" s="42"/>
      <c r="X734" s="42"/>
      <c r="Y734" s="42"/>
      <c r="Z734" s="42"/>
      <c r="AA734" s="42"/>
      <c r="AB734" s="42"/>
      <c r="AC734" s="42"/>
      <c r="AD734" s="42"/>
      <c r="AE734" s="42"/>
      <c r="AF734" s="42"/>
      <c r="AG734" s="42"/>
      <c r="AH734" s="42"/>
      <c r="AI734" s="42"/>
      <c r="AJ734" s="42"/>
      <c r="AK734" s="42"/>
      <c r="AL734" s="42"/>
      <c r="AM734" s="42"/>
    </row>
    <row r="735" spans="1:39" x14ac:dyDescent="0.25">
      <c r="A735" s="38" t="s">
        <v>1086</v>
      </c>
      <c r="B735" s="42"/>
      <c r="C735" s="42"/>
      <c r="D735" s="42"/>
      <c r="E735" s="41"/>
      <c r="F735" s="41"/>
      <c r="G735" s="41"/>
      <c r="H735" s="41"/>
      <c r="I735" s="41"/>
      <c r="J735" s="42"/>
      <c r="K735" s="41"/>
      <c r="L735" s="41"/>
      <c r="M735" s="127"/>
      <c r="N735" s="41"/>
      <c r="O735" s="41"/>
      <c r="P735" s="41"/>
      <c r="Q735" s="42"/>
      <c r="R735" s="35"/>
      <c r="S735" s="35"/>
      <c r="T735" s="35"/>
      <c r="U735" s="35"/>
      <c r="V735" s="121"/>
      <c r="W735" s="42"/>
      <c r="X735" s="42"/>
      <c r="Y735" s="42"/>
      <c r="Z735" s="42"/>
      <c r="AA735" s="42"/>
      <c r="AB735" s="42"/>
      <c r="AC735" s="42"/>
      <c r="AD735" s="42"/>
      <c r="AE735" s="42"/>
      <c r="AF735" s="42"/>
      <c r="AG735" s="42"/>
      <c r="AH735" s="42"/>
      <c r="AI735" s="42"/>
      <c r="AJ735" s="42"/>
      <c r="AK735" s="42"/>
      <c r="AL735" s="42"/>
      <c r="AM735" s="42"/>
    </row>
    <row r="736" spans="1:39" x14ac:dyDescent="0.25">
      <c r="A736" s="38" t="s">
        <v>1087</v>
      </c>
      <c r="B736" s="42"/>
      <c r="C736" s="42"/>
      <c r="D736" s="42"/>
      <c r="E736" s="41"/>
      <c r="F736" s="41"/>
      <c r="G736" s="41"/>
      <c r="H736" s="41"/>
      <c r="I736" s="41"/>
      <c r="J736" s="42"/>
      <c r="K736" s="41"/>
      <c r="L736" s="41"/>
      <c r="M736" s="127"/>
      <c r="N736" s="41"/>
      <c r="O736" s="41"/>
      <c r="P736" s="41"/>
      <c r="Q736" s="42"/>
      <c r="R736" s="35"/>
      <c r="S736" s="35"/>
      <c r="T736" s="35"/>
      <c r="U736" s="35"/>
      <c r="V736" s="121"/>
      <c r="W736" s="42"/>
      <c r="X736" s="42"/>
      <c r="Y736" s="42"/>
      <c r="Z736" s="42"/>
      <c r="AA736" s="42"/>
      <c r="AB736" s="42"/>
      <c r="AC736" s="42"/>
      <c r="AD736" s="42"/>
      <c r="AE736" s="42"/>
      <c r="AF736" s="42"/>
      <c r="AG736" s="42"/>
      <c r="AH736" s="42"/>
      <c r="AI736" s="42"/>
      <c r="AJ736" s="42"/>
      <c r="AK736" s="42"/>
      <c r="AL736" s="42"/>
      <c r="AM736" s="42"/>
    </row>
    <row r="737" spans="1:39" x14ac:dyDescent="0.25">
      <c r="A737" s="38" t="s">
        <v>1088</v>
      </c>
      <c r="B737" s="42"/>
      <c r="C737" s="42"/>
      <c r="D737" s="42"/>
      <c r="E737" s="41"/>
      <c r="F737" s="41"/>
      <c r="G737" s="41"/>
      <c r="H737" s="41"/>
      <c r="I737" s="41"/>
      <c r="J737" s="42"/>
      <c r="K737" s="41"/>
      <c r="L737" s="41"/>
      <c r="M737" s="127"/>
      <c r="N737" s="41"/>
      <c r="O737" s="41"/>
      <c r="P737" s="41"/>
      <c r="Q737" s="42"/>
      <c r="R737" s="35"/>
      <c r="S737" s="35"/>
      <c r="T737" s="35"/>
      <c r="U737" s="35"/>
      <c r="V737" s="121"/>
      <c r="W737" s="42"/>
      <c r="X737" s="42"/>
      <c r="Y737" s="42"/>
      <c r="Z737" s="42"/>
      <c r="AA737" s="42"/>
      <c r="AB737" s="42"/>
      <c r="AC737" s="42"/>
      <c r="AD737" s="42"/>
      <c r="AE737" s="42"/>
      <c r="AF737" s="42"/>
      <c r="AG737" s="42"/>
      <c r="AH737" s="42"/>
      <c r="AI737" s="42"/>
      <c r="AJ737" s="42"/>
      <c r="AK737" s="42"/>
      <c r="AL737" s="42"/>
      <c r="AM737" s="42"/>
    </row>
    <row r="738" spans="1:39" x14ac:dyDescent="0.25">
      <c r="A738" s="38" t="s">
        <v>1089</v>
      </c>
      <c r="B738" s="42"/>
      <c r="C738" s="42"/>
      <c r="D738" s="42"/>
      <c r="E738" s="41"/>
      <c r="F738" s="41"/>
      <c r="G738" s="41"/>
      <c r="H738" s="41"/>
      <c r="I738" s="41"/>
      <c r="J738" s="42"/>
      <c r="K738" s="41"/>
      <c r="L738" s="41"/>
      <c r="M738" s="127"/>
      <c r="N738" s="41"/>
      <c r="O738" s="41"/>
      <c r="P738" s="41"/>
      <c r="Q738" s="42"/>
      <c r="R738" s="35"/>
      <c r="S738" s="35"/>
      <c r="T738" s="35"/>
      <c r="U738" s="35"/>
      <c r="V738" s="121"/>
      <c r="W738" s="42"/>
      <c r="X738" s="42"/>
      <c r="Y738" s="42"/>
      <c r="Z738" s="42"/>
      <c r="AA738" s="42"/>
      <c r="AB738" s="42"/>
      <c r="AC738" s="42"/>
      <c r="AD738" s="42"/>
      <c r="AE738" s="42"/>
      <c r="AF738" s="42"/>
      <c r="AG738" s="42"/>
      <c r="AH738" s="42"/>
      <c r="AI738" s="42"/>
      <c r="AJ738" s="42"/>
      <c r="AK738" s="42"/>
      <c r="AL738" s="42"/>
      <c r="AM738" s="42"/>
    </row>
    <row r="739" spans="1:39" x14ac:dyDescent="0.25">
      <c r="A739" s="38" t="s">
        <v>1090</v>
      </c>
      <c r="B739" s="42"/>
      <c r="C739" s="42"/>
      <c r="D739" s="42"/>
      <c r="E739" s="41"/>
      <c r="F739" s="41"/>
      <c r="G739" s="41"/>
      <c r="H739" s="41"/>
      <c r="I739" s="41"/>
      <c r="J739" s="42"/>
      <c r="K739" s="41"/>
      <c r="L739" s="41"/>
      <c r="M739" s="127"/>
      <c r="N739" s="41"/>
      <c r="O739" s="41"/>
      <c r="P739" s="41"/>
      <c r="Q739" s="42"/>
      <c r="R739" s="35"/>
      <c r="S739" s="35"/>
      <c r="T739" s="35"/>
      <c r="U739" s="35"/>
      <c r="V739" s="121"/>
      <c r="W739" s="42"/>
      <c r="X739" s="42"/>
      <c r="Y739" s="42"/>
      <c r="Z739" s="42"/>
      <c r="AA739" s="42"/>
      <c r="AB739" s="42"/>
      <c r="AC739" s="42"/>
      <c r="AD739" s="42"/>
      <c r="AE739" s="42"/>
      <c r="AF739" s="42"/>
      <c r="AG739" s="42"/>
      <c r="AH739" s="42"/>
      <c r="AI739" s="42"/>
      <c r="AJ739" s="42"/>
      <c r="AK739" s="42"/>
      <c r="AL739" s="42"/>
      <c r="AM739" s="42"/>
    </row>
    <row r="740" spans="1:39" x14ac:dyDescent="0.25">
      <c r="A740" s="38" t="s">
        <v>1091</v>
      </c>
      <c r="B740" s="42"/>
      <c r="C740" s="42"/>
      <c r="D740" s="42"/>
      <c r="E740" s="41"/>
      <c r="F740" s="41"/>
      <c r="G740" s="41"/>
      <c r="H740" s="41"/>
      <c r="I740" s="41"/>
      <c r="J740" s="42"/>
      <c r="K740" s="41"/>
      <c r="L740" s="41"/>
      <c r="M740" s="127"/>
      <c r="N740" s="41"/>
      <c r="O740" s="41"/>
      <c r="P740" s="41"/>
      <c r="Q740" s="42"/>
      <c r="R740" s="35"/>
      <c r="S740" s="35"/>
      <c r="T740" s="35"/>
      <c r="U740" s="35"/>
      <c r="V740" s="121"/>
      <c r="W740" s="42"/>
      <c r="X740" s="42"/>
      <c r="Y740" s="42"/>
      <c r="Z740" s="42"/>
      <c r="AA740" s="42"/>
      <c r="AB740" s="42"/>
      <c r="AC740" s="42"/>
      <c r="AD740" s="42"/>
      <c r="AE740" s="42"/>
      <c r="AF740" s="42"/>
      <c r="AG740" s="42"/>
      <c r="AH740" s="42"/>
      <c r="AI740" s="42"/>
      <c r="AJ740" s="42"/>
      <c r="AK740" s="42"/>
      <c r="AL740" s="42"/>
      <c r="AM740" s="42"/>
    </row>
    <row r="741" spans="1:39" x14ac:dyDescent="0.25">
      <c r="A741" s="38" t="s">
        <v>1092</v>
      </c>
      <c r="B741" s="42"/>
      <c r="C741" s="42"/>
      <c r="D741" s="42"/>
      <c r="E741" s="41"/>
      <c r="F741" s="41"/>
      <c r="G741" s="41"/>
      <c r="H741" s="41"/>
      <c r="I741" s="41"/>
      <c r="J741" s="42"/>
      <c r="K741" s="41"/>
      <c r="L741" s="41"/>
      <c r="M741" s="127"/>
      <c r="N741" s="41"/>
      <c r="O741" s="41"/>
      <c r="P741" s="41"/>
      <c r="Q741" s="42"/>
      <c r="R741" s="35"/>
      <c r="S741" s="35"/>
      <c r="T741" s="35"/>
      <c r="U741" s="35"/>
      <c r="V741" s="121"/>
      <c r="W741" s="42"/>
      <c r="X741" s="42"/>
      <c r="Y741" s="42"/>
      <c r="Z741" s="42"/>
      <c r="AA741" s="42"/>
      <c r="AB741" s="42"/>
      <c r="AC741" s="42"/>
      <c r="AD741" s="42"/>
      <c r="AE741" s="42"/>
      <c r="AF741" s="42"/>
      <c r="AG741" s="42"/>
      <c r="AH741" s="42"/>
      <c r="AI741" s="42"/>
      <c r="AJ741" s="42"/>
      <c r="AK741" s="42"/>
      <c r="AL741" s="42"/>
      <c r="AM741" s="42"/>
    </row>
    <row r="742" spans="1:39" x14ac:dyDescent="0.25">
      <c r="A742" s="38" t="s">
        <v>1093</v>
      </c>
      <c r="B742" s="42"/>
      <c r="C742" s="42"/>
      <c r="D742" s="42"/>
      <c r="E742" s="41"/>
      <c r="F742" s="41"/>
      <c r="G742" s="41"/>
      <c r="H742" s="41"/>
      <c r="I742" s="41"/>
      <c r="J742" s="42"/>
      <c r="K742" s="41"/>
      <c r="L742" s="41"/>
      <c r="M742" s="127"/>
      <c r="N742" s="41"/>
      <c r="O742" s="41"/>
      <c r="P742" s="41"/>
      <c r="Q742" s="42"/>
      <c r="R742" s="35"/>
      <c r="S742" s="35"/>
      <c r="T742" s="35"/>
      <c r="U742" s="35"/>
      <c r="V742" s="121"/>
      <c r="W742" s="42"/>
      <c r="X742" s="42"/>
      <c r="Y742" s="42"/>
      <c r="Z742" s="42"/>
      <c r="AA742" s="42"/>
      <c r="AB742" s="42"/>
      <c r="AC742" s="42"/>
      <c r="AD742" s="42"/>
      <c r="AE742" s="42"/>
      <c r="AF742" s="42"/>
      <c r="AG742" s="42"/>
      <c r="AH742" s="42"/>
      <c r="AI742" s="42"/>
      <c r="AJ742" s="42"/>
      <c r="AK742" s="42"/>
      <c r="AL742" s="42"/>
      <c r="AM742" s="42"/>
    </row>
    <row r="743" spans="1:39" x14ac:dyDescent="0.25">
      <c r="A743" s="38" t="s">
        <v>1094</v>
      </c>
      <c r="B743" s="42"/>
      <c r="C743" s="42"/>
      <c r="D743" s="42"/>
      <c r="E743" s="41"/>
      <c r="F743" s="41"/>
      <c r="G743" s="41"/>
      <c r="H743" s="41"/>
      <c r="I743" s="41"/>
      <c r="J743" s="42"/>
      <c r="K743" s="41"/>
      <c r="L743" s="41"/>
      <c r="M743" s="127"/>
      <c r="N743" s="41"/>
      <c r="O743" s="41"/>
      <c r="P743" s="41"/>
      <c r="Q743" s="42"/>
      <c r="R743" s="35"/>
      <c r="S743" s="35"/>
      <c r="T743" s="35"/>
      <c r="U743" s="35"/>
      <c r="V743" s="121"/>
      <c r="W743" s="42"/>
      <c r="X743" s="42"/>
      <c r="Y743" s="42"/>
      <c r="Z743" s="42"/>
      <c r="AA743" s="42"/>
      <c r="AB743" s="42"/>
      <c r="AC743" s="42"/>
      <c r="AD743" s="42"/>
      <c r="AE743" s="42"/>
      <c r="AF743" s="42"/>
      <c r="AG743" s="42"/>
      <c r="AH743" s="42"/>
      <c r="AI743" s="42"/>
      <c r="AJ743" s="42"/>
      <c r="AK743" s="42"/>
      <c r="AL743" s="42"/>
      <c r="AM743" s="42"/>
    </row>
    <row r="744" spans="1:39" x14ac:dyDescent="0.25">
      <c r="A744" s="38" t="s">
        <v>1095</v>
      </c>
      <c r="B744" s="42"/>
      <c r="C744" s="42"/>
      <c r="D744" s="42"/>
      <c r="E744" s="41"/>
      <c r="F744" s="41"/>
      <c r="G744" s="41"/>
      <c r="H744" s="41"/>
      <c r="I744" s="41"/>
      <c r="J744" s="42"/>
      <c r="K744" s="41"/>
      <c r="L744" s="41"/>
      <c r="M744" s="127"/>
      <c r="N744" s="41"/>
      <c r="O744" s="41"/>
      <c r="P744" s="41"/>
      <c r="Q744" s="42"/>
      <c r="R744" s="35"/>
      <c r="S744" s="35"/>
      <c r="T744" s="35"/>
      <c r="U744" s="35"/>
      <c r="V744" s="121"/>
      <c r="W744" s="42"/>
      <c r="X744" s="42"/>
      <c r="Y744" s="42"/>
      <c r="Z744" s="42"/>
      <c r="AA744" s="42"/>
      <c r="AB744" s="42"/>
      <c r="AC744" s="42"/>
      <c r="AD744" s="42"/>
      <c r="AE744" s="42"/>
      <c r="AF744" s="42"/>
      <c r="AG744" s="42"/>
      <c r="AH744" s="42"/>
      <c r="AI744" s="42"/>
      <c r="AJ744" s="42"/>
      <c r="AK744" s="42"/>
      <c r="AL744" s="42"/>
      <c r="AM744" s="42"/>
    </row>
    <row r="745" spans="1:39" x14ac:dyDescent="0.25">
      <c r="A745" s="38" t="s">
        <v>1096</v>
      </c>
      <c r="B745" s="42"/>
      <c r="C745" s="42"/>
      <c r="D745" s="42"/>
      <c r="E745" s="41"/>
      <c r="F745" s="41"/>
      <c r="G745" s="41"/>
      <c r="H745" s="41"/>
      <c r="I745" s="41"/>
      <c r="J745" s="42"/>
      <c r="K745" s="41"/>
      <c r="L745" s="41"/>
      <c r="M745" s="127"/>
      <c r="N745" s="41"/>
      <c r="O745" s="41"/>
      <c r="P745" s="41"/>
      <c r="Q745" s="42"/>
      <c r="R745" s="35"/>
      <c r="S745" s="35"/>
      <c r="T745" s="35"/>
      <c r="U745" s="35"/>
      <c r="V745" s="121"/>
      <c r="W745" s="42"/>
      <c r="X745" s="42"/>
      <c r="Y745" s="42"/>
      <c r="Z745" s="42"/>
      <c r="AA745" s="42"/>
      <c r="AB745" s="42"/>
      <c r="AC745" s="42"/>
      <c r="AD745" s="42"/>
      <c r="AE745" s="42"/>
      <c r="AF745" s="42"/>
      <c r="AG745" s="42"/>
      <c r="AH745" s="42"/>
      <c r="AI745" s="42"/>
      <c r="AJ745" s="42"/>
      <c r="AK745" s="42"/>
      <c r="AL745" s="42"/>
      <c r="AM745" s="42"/>
    </row>
    <row r="746" spans="1:39" x14ac:dyDescent="0.25">
      <c r="A746" s="38" t="s">
        <v>1097</v>
      </c>
      <c r="B746" s="42"/>
      <c r="C746" s="42"/>
      <c r="D746" s="42"/>
      <c r="E746" s="41"/>
      <c r="F746" s="41"/>
      <c r="G746" s="41"/>
      <c r="H746" s="41"/>
      <c r="I746" s="41"/>
      <c r="J746" s="42"/>
      <c r="K746" s="41"/>
      <c r="L746" s="41"/>
      <c r="M746" s="127"/>
      <c r="N746" s="41"/>
      <c r="O746" s="41"/>
      <c r="P746" s="41"/>
      <c r="Q746" s="42"/>
      <c r="R746" s="35"/>
      <c r="S746" s="35"/>
      <c r="T746" s="35"/>
      <c r="U746" s="35"/>
      <c r="V746" s="121"/>
      <c r="W746" s="42"/>
      <c r="X746" s="42"/>
      <c r="Y746" s="42"/>
      <c r="Z746" s="42"/>
      <c r="AA746" s="42"/>
      <c r="AB746" s="42"/>
      <c r="AC746" s="42"/>
      <c r="AD746" s="42"/>
      <c r="AE746" s="42"/>
      <c r="AF746" s="42"/>
      <c r="AG746" s="42"/>
      <c r="AH746" s="42"/>
      <c r="AI746" s="42"/>
      <c r="AJ746" s="42"/>
      <c r="AK746" s="42"/>
      <c r="AL746" s="42"/>
      <c r="AM746" s="42"/>
    </row>
    <row r="747" spans="1:39" x14ac:dyDescent="0.25">
      <c r="A747" s="38" t="s">
        <v>1098</v>
      </c>
      <c r="B747" s="42"/>
      <c r="C747" s="42"/>
      <c r="D747" s="42"/>
      <c r="E747" s="41"/>
      <c r="F747" s="41"/>
      <c r="G747" s="41"/>
      <c r="H747" s="41"/>
      <c r="I747" s="41"/>
      <c r="J747" s="42"/>
      <c r="K747" s="41"/>
      <c r="L747" s="41"/>
      <c r="M747" s="127"/>
      <c r="N747" s="41"/>
      <c r="O747" s="41"/>
      <c r="P747" s="41"/>
      <c r="Q747" s="42"/>
      <c r="R747" s="35"/>
      <c r="S747" s="35"/>
      <c r="T747" s="35"/>
      <c r="U747" s="35"/>
      <c r="V747" s="121"/>
      <c r="W747" s="42"/>
      <c r="X747" s="42"/>
      <c r="Y747" s="42"/>
      <c r="Z747" s="42"/>
      <c r="AA747" s="42"/>
      <c r="AB747" s="42"/>
      <c r="AC747" s="42"/>
      <c r="AD747" s="42"/>
      <c r="AE747" s="42"/>
      <c r="AF747" s="42"/>
      <c r="AG747" s="42"/>
      <c r="AH747" s="42"/>
      <c r="AI747" s="42"/>
      <c r="AJ747" s="42"/>
      <c r="AK747" s="42"/>
      <c r="AL747" s="42"/>
      <c r="AM747" s="42"/>
    </row>
    <row r="748" spans="1:39" x14ac:dyDescent="0.25">
      <c r="A748" s="38" t="s">
        <v>1099</v>
      </c>
      <c r="B748" s="42"/>
      <c r="C748" s="42"/>
      <c r="D748" s="42"/>
      <c r="E748" s="41"/>
      <c r="F748" s="41"/>
      <c r="G748" s="41"/>
      <c r="H748" s="41"/>
      <c r="I748" s="41"/>
      <c r="J748" s="42"/>
      <c r="K748" s="41"/>
      <c r="L748" s="41"/>
      <c r="M748" s="127"/>
      <c r="N748" s="41"/>
      <c r="O748" s="41"/>
      <c r="P748" s="41"/>
      <c r="Q748" s="42"/>
      <c r="R748" s="35"/>
      <c r="S748" s="35"/>
      <c r="T748" s="35"/>
      <c r="U748" s="35"/>
      <c r="V748" s="121"/>
      <c r="W748" s="42"/>
      <c r="X748" s="42"/>
      <c r="Y748" s="42"/>
      <c r="Z748" s="42"/>
      <c r="AA748" s="42"/>
      <c r="AB748" s="42"/>
      <c r="AC748" s="42"/>
      <c r="AD748" s="42"/>
      <c r="AE748" s="42"/>
      <c r="AF748" s="42"/>
      <c r="AG748" s="42"/>
      <c r="AH748" s="42"/>
      <c r="AI748" s="42"/>
      <c r="AJ748" s="42"/>
      <c r="AK748" s="42"/>
      <c r="AL748" s="42"/>
      <c r="AM748" s="42"/>
    </row>
    <row r="749" spans="1:39" x14ac:dyDescent="0.25">
      <c r="A749" s="38" t="s">
        <v>1100</v>
      </c>
      <c r="B749" s="42"/>
      <c r="C749" s="42"/>
      <c r="D749" s="42"/>
      <c r="E749" s="41"/>
      <c r="F749" s="41"/>
      <c r="G749" s="41"/>
      <c r="H749" s="41"/>
      <c r="I749" s="41"/>
      <c r="J749" s="42"/>
      <c r="K749" s="41"/>
      <c r="L749" s="41"/>
      <c r="M749" s="127"/>
      <c r="N749" s="41"/>
      <c r="O749" s="41"/>
      <c r="P749" s="41"/>
      <c r="Q749" s="42"/>
      <c r="R749" s="35"/>
      <c r="S749" s="35"/>
      <c r="T749" s="35"/>
      <c r="U749" s="35"/>
      <c r="V749" s="121"/>
      <c r="W749" s="42"/>
      <c r="X749" s="42"/>
      <c r="Y749" s="42"/>
      <c r="Z749" s="42"/>
      <c r="AA749" s="42"/>
      <c r="AB749" s="42"/>
      <c r="AC749" s="42"/>
      <c r="AD749" s="42"/>
      <c r="AE749" s="42"/>
      <c r="AF749" s="42"/>
      <c r="AG749" s="42"/>
      <c r="AH749" s="42"/>
      <c r="AI749" s="42"/>
      <c r="AJ749" s="42"/>
      <c r="AK749" s="42"/>
      <c r="AL749" s="42"/>
      <c r="AM749" s="42"/>
    </row>
    <row r="750" spans="1:39" x14ac:dyDescent="0.25">
      <c r="A750" s="38" t="s">
        <v>1101</v>
      </c>
      <c r="B750" s="42"/>
      <c r="C750" s="42"/>
      <c r="D750" s="42"/>
      <c r="E750" s="41"/>
      <c r="F750" s="41"/>
      <c r="G750" s="41"/>
      <c r="H750" s="41"/>
      <c r="I750" s="41"/>
      <c r="J750" s="42"/>
      <c r="K750" s="41"/>
      <c r="L750" s="41"/>
      <c r="M750" s="127"/>
      <c r="N750" s="41"/>
      <c r="O750" s="41"/>
      <c r="P750" s="41"/>
      <c r="Q750" s="42"/>
      <c r="R750" s="35"/>
      <c r="S750" s="35"/>
      <c r="T750" s="35"/>
      <c r="U750" s="35"/>
      <c r="V750" s="121"/>
      <c r="W750" s="42"/>
      <c r="X750" s="42"/>
      <c r="Y750" s="42"/>
      <c r="Z750" s="42"/>
      <c r="AA750" s="42"/>
      <c r="AB750" s="42"/>
      <c r="AC750" s="42"/>
      <c r="AD750" s="42"/>
      <c r="AE750" s="42"/>
      <c r="AF750" s="42"/>
      <c r="AG750" s="42"/>
      <c r="AH750" s="42"/>
      <c r="AI750" s="42"/>
      <c r="AJ750" s="42"/>
      <c r="AK750" s="42"/>
      <c r="AL750" s="42"/>
      <c r="AM750" s="42"/>
    </row>
    <row r="751" spans="1:39" x14ac:dyDescent="0.25">
      <c r="A751" s="38" t="s">
        <v>1102</v>
      </c>
      <c r="B751" s="42"/>
      <c r="C751" s="42"/>
      <c r="D751" s="42"/>
      <c r="E751" s="41"/>
      <c r="F751" s="41"/>
      <c r="G751" s="41"/>
      <c r="H751" s="41"/>
      <c r="I751" s="41"/>
      <c r="J751" s="42"/>
      <c r="K751" s="41"/>
      <c r="L751" s="41"/>
      <c r="M751" s="127"/>
      <c r="N751" s="41"/>
      <c r="O751" s="41"/>
      <c r="P751" s="41"/>
      <c r="Q751" s="42"/>
      <c r="R751" s="35"/>
      <c r="S751" s="35"/>
      <c r="T751" s="35"/>
      <c r="U751" s="35"/>
      <c r="V751" s="121"/>
      <c r="W751" s="42"/>
      <c r="X751" s="42"/>
      <c r="Y751" s="42"/>
      <c r="Z751" s="42"/>
      <c r="AA751" s="42"/>
      <c r="AB751" s="42"/>
      <c r="AC751" s="42"/>
      <c r="AD751" s="42"/>
      <c r="AE751" s="42"/>
      <c r="AF751" s="42"/>
      <c r="AG751" s="42"/>
      <c r="AH751" s="42"/>
      <c r="AI751" s="42"/>
      <c r="AJ751" s="42"/>
      <c r="AK751" s="42"/>
      <c r="AL751" s="42"/>
      <c r="AM751" s="42"/>
    </row>
    <row r="752" spans="1:39" x14ac:dyDescent="0.25">
      <c r="A752" s="38" t="s">
        <v>1103</v>
      </c>
      <c r="B752" s="42"/>
      <c r="C752" s="42"/>
      <c r="D752" s="42"/>
      <c r="E752" s="41"/>
      <c r="F752" s="41"/>
      <c r="G752" s="41"/>
      <c r="H752" s="41"/>
      <c r="I752" s="41"/>
      <c r="J752" s="42"/>
      <c r="K752" s="41"/>
      <c r="L752" s="41"/>
      <c r="M752" s="127"/>
      <c r="N752" s="41"/>
      <c r="O752" s="41"/>
      <c r="P752" s="41"/>
      <c r="Q752" s="42"/>
      <c r="R752" s="35"/>
      <c r="S752" s="35"/>
      <c r="T752" s="35"/>
      <c r="U752" s="35"/>
      <c r="V752" s="121"/>
      <c r="W752" s="42"/>
      <c r="X752" s="42"/>
      <c r="Y752" s="42"/>
      <c r="Z752" s="42"/>
      <c r="AA752" s="42"/>
      <c r="AB752" s="42"/>
      <c r="AC752" s="42"/>
      <c r="AD752" s="42"/>
      <c r="AE752" s="42"/>
      <c r="AF752" s="42"/>
      <c r="AG752" s="42"/>
      <c r="AH752" s="42"/>
      <c r="AI752" s="42"/>
      <c r="AJ752" s="42"/>
      <c r="AK752" s="42"/>
      <c r="AL752" s="42"/>
      <c r="AM752" s="42"/>
    </row>
    <row r="753" spans="1:39" x14ac:dyDescent="0.25">
      <c r="A753" s="38" t="s">
        <v>1104</v>
      </c>
      <c r="B753" s="42"/>
      <c r="C753" s="42"/>
      <c r="D753" s="42"/>
      <c r="E753" s="41"/>
      <c r="F753" s="41"/>
      <c r="G753" s="41"/>
      <c r="H753" s="41"/>
      <c r="I753" s="41"/>
      <c r="J753" s="42"/>
      <c r="K753" s="41"/>
      <c r="L753" s="41"/>
      <c r="M753" s="127"/>
      <c r="N753" s="41"/>
      <c r="O753" s="41"/>
      <c r="P753" s="41"/>
      <c r="Q753" s="42"/>
      <c r="R753" s="35"/>
      <c r="S753" s="35"/>
      <c r="T753" s="35"/>
      <c r="U753" s="35"/>
      <c r="V753" s="121"/>
      <c r="W753" s="42"/>
      <c r="X753" s="42"/>
      <c r="Y753" s="42"/>
      <c r="Z753" s="42"/>
      <c r="AA753" s="42"/>
      <c r="AB753" s="42"/>
      <c r="AC753" s="42"/>
      <c r="AD753" s="42"/>
      <c r="AE753" s="42"/>
      <c r="AF753" s="42"/>
      <c r="AG753" s="42"/>
      <c r="AH753" s="42"/>
      <c r="AI753" s="42"/>
      <c r="AJ753" s="42"/>
      <c r="AK753" s="42"/>
      <c r="AL753" s="42"/>
      <c r="AM753" s="42"/>
    </row>
    <row r="754" spans="1:39" x14ac:dyDescent="0.25">
      <c r="A754" s="38" t="s">
        <v>1105</v>
      </c>
      <c r="B754" s="42"/>
      <c r="C754" s="42"/>
      <c r="D754" s="42"/>
      <c r="E754" s="41"/>
      <c r="F754" s="41"/>
      <c r="G754" s="41"/>
      <c r="H754" s="41"/>
      <c r="I754" s="41"/>
      <c r="J754" s="42"/>
      <c r="K754" s="41"/>
      <c r="L754" s="41"/>
      <c r="M754" s="127"/>
      <c r="N754" s="41"/>
      <c r="O754" s="41"/>
      <c r="P754" s="41"/>
      <c r="Q754" s="42"/>
      <c r="R754" s="35"/>
      <c r="S754" s="35"/>
      <c r="T754" s="35"/>
      <c r="U754" s="35"/>
      <c r="V754" s="121"/>
      <c r="W754" s="42"/>
      <c r="X754" s="42"/>
      <c r="Y754" s="42"/>
      <c r="Z754" s="42"/>
      <c r="AA754" s="42"/>
      <c r="AB754" s="42"/>
      <c r="AC754" s="42"/>
      <c r="AD754" s="42"/>
      <c r="AE754" s="42"/>
      <c r="AF754" s="42"/>
      <c r="AG754" s="42"/>
      <c r="AH754" s="42"/>
      <c r="AI754" s="42"/>
      <c r="AJ754" s="42"/>
      <c r="AK754" s="42"/>
      <c r="AL754" s="42"/>
      <c r="AM754" s="42"/>
    </row>
    <row r="755" spans="1:39" x14ac:dyDescent="0.25">
      <c r="A755" s="38" t="s">
        <v>1106</v>
      </c>
      <c r="B755" s="42"/>
      <c r="C755" s="42"/>
      <c r="D755" s="42"/>
      <c r="E755" s="41"/>
      <c r="F755" s="41"/>
      <c r="G755" s="41"/>
      <c r="H755" s="41"/>
      <c r="I755" s="41"/>
      <c r="J755" s="42"/>
      <c r="K755" s="41"/>
      <c r="L755" s="41"/>
      <c r="M755" s="127"/>
      <c r="N755" s="41"/>
      <c r="O755" s="41"/>
      <c r="P755" s="41"/>
      <c r="Q755" s="42"/>
      <c r="R755" s="35"/>
      <c r="S755" s="35"/>
      <c r="T755" s="35"/>
      <c r="U755" s="35"/>
      <c r="V755" s="121"/>
      <c r="W755" s="42"/>
      <c r="X755" s="42"/>
      <c r="Y755" s="42"/>
      <c r="Z755" s="42"/>
      <c r="AA755" s="42"/>
      <c r="AB755" s="42"/>
      <c r="AC755" s="42"/>
      <c r="AD755" s="42"/>
      <c r="AE755" s="42"/>
      <c r="AF755" s="42"/>
      <c r="AG755" s="42"/>
      <c r="AH755" s="42"/>
      <c r="AI755" s="42"/>
      <c r="AJ755" s="42"/>
      <c r="AK755" s="42"/>
      <c r="AL755" s="42"/>
      <c r="AM755" s="42"/>
    </row>
    <row r="756" spans="1:39" x14ac:dyDescent="0.25">
      <c r="A756" s="38" t="s">
        <v>1107</v>
      </c>
      <c r="B756" s="42"/>
      <c r="C756" s="42"/>
      <c r="D756" s="42"/>
      <c r="E756" s="41"/>
      <c r="F756" s="41"/>
      <c r="G756" s="41"/>
      <c r="H756" s="41"/>
      <c r="I756" s="41"/>
      <c r="J756" s="42"/>
      <c r="K756" s="41"/>
      <c r="L756" s="41"/>
      <c r="M756" s="127"/>
      <c r="N756" s="41"/>
      <c r="O756" s="41"/>
      <c r="P756" s="41"/>
      <c r="Q756" s="42"/>
      <c r="R756" s="35"/>
      <c r="S756" s="35"/>
      <c r="T756" s="35"/>
      <c r="U756" s="35"/>
      <c r="V756" s="121"/>
      <c r="W756" s="42"/>
      <c r="X756" s="42"/>
      <c r="Y756" s="42"/>
      <c r="Z756" s="42"/>
      <c r="AA756" s="42"/>
      <c r="AB756" s="42"/>
      <c r="AC756" s="42"/>
      <c r="AD756" s="42"/>
      <c r="AE756" s="42"/>
      <c r="AF756" s="42"/>
      <c r="AG756" s="42"/>
      <c r="AH756" s="42"/>
      <c r="AI756" s="42"/>
      <c r="AJ756" s="42"/>
      <c r="AK756" s="42"/>
      <c r="AL756" s="42"/>
      <c r="AM756" s="42"/>
    </row>
    <row r="757" spans="1:39" x14ac:dyDescent="0.25">
      <c r="A757" s="38" t="s">
        <v>1108</v>
      </c>
      <c r="B757" s="42"/>
      <c r="C757" s="42"/>
      <c r="D757" s="42"/>
      <c r="E757" s="41"/>
      <c r="F757" s="41"/>
      <c r="G757" s="41"/>
      <c r="H757" s="41"/>
      <c r="I757" s="41"/>
      <c r="J757" s="42"/>
      <c r="K757" s="41"/>
      <c r="L757" s="41"/>
      <c r="M757" s="127"/>
      <c r="N757" s="41"/>
      <c r="O757" s="41"/>
      <c r="P757" s="41"/>
      <c r="Q757" s="42"/>
      <c r="R757" s="35"/>
      <c r="S757" s="35"/>
      <c r="T757" s="35"/>
      <c r="U757" s="35"/>
      <c r="V757" s="121"/>
      <c r="W757" s="42"/>
      <c r="X757" s="42"/>
      <c r="Y757" s="42"/>
      <c r="Z757" s="42"/>
      <c r="AA757" s="42"/>
      <c r="AB757" s="42"/>
      <c r="AC757" s="42"/>
      <c r="AD757" s="42"/>
      <c r="AE757" s="42"/>
      <c r="AF757" s="42"/>
      <c r="AG757" s="42"/>
      <c r="AH757" s="42"/>
      <c r="AI757" s="42"/>
      <c r="AJ757" s="42"/>
      <c r="AK757" s="42"/>
      <c r="AL757" s="42"/>
      <c r="AM757" s="42"/>
    </row>
    <row r="758" spans="1:39" x14ac:dyDescent="0.25">
      <c r="A758" s="38" t="s">
        <v>1109</v>
      </c>
      <c r="B758" s="42"/>
      <c r="C758" s="42"/>
      <c r="D758" s="42"/>
      <c r="E758" s="41"/>
      <c r="F758" s="41"/>
      <c r="G758" s="41"/>
      <c r="H758" s="41"/>
      <c r="I758" s="41"/>
      <c r="J758" s="42"/>
      <c r="K758" s="41"/>
      <c r="L758" s="41"/>
      <c r="M758" s="127"/>
      <c r="N758" s="41"/>
      <c r="O758" s="41"/>
      <c r="P758" s="41"/>
      <c r="Q758" s="42"/>
      <c r="R758" s="35"/>
      <c r="S758" s="35"/>
      <c r="T758" s="35"/>
      <c r="U758" s="35"/>
      <c r="V758" s="121"/>
      <c r="W758" s="42"/>
      <c r="X758" s="42"/>
      <c r="Y758" s="42"/>
      <c r="Z758" s="42"/>
      <c r="AA758" s="42"/>
      <c r="AB758" s="42"/>
      <c r="AC758" s="42"/>
      <c r="AD758" s="42"/>
      <c r="AE758" s="42"/>
      <c r="AF758" s="42"/>
      <c r="AG758" s="42"/>
      <c r="AH758" s="42"/>
      <c r="AI758" s="42"/>
      <c r="AJ758" s="42"/>
      <c r="AK758" s="42"/>
      <c r="AL758" s="42"/>
      <c r="AM758" s="42"/>
    </row>
    <row r="759" spans="1:39" x14ac:dyDescent="0.25">
      <c r="A759" s="38" t="s">
        <v>1110</v>
      </c>
      <c r="B759" s="42"/>
      <c r="C759" s="42"/>
      <c r="D759" s="42"/>
      <c r="E759" s="41"/>
      <c r="F759" s="41"/>
      <c r="G759" s="41"/>
      <c r="H759" s="41"/>
      <c r="I759" s="41"/>
      <c r="J759" s="42"/>
      <c r="K759" s="41"/>
      <c r="L759" s="41"/>
      <c r="M759" s="127"/>
      <c r="N759" s="41"/>
      <c r="O759" s="41"/>
      <c r="P759" s="41"/>
      <c r="Q759" s="42"/>
      <c r="R759" s="35"/>
      <c r="S759" s="35"/>
      <c r="T759" s="35"/>
      <c r="U759" s="35"/>
      <c r="V759" s="121"/>
      <c r="W759" s="42"/>
      <c r="X759" s="42"/>
      <c r="Y759" s="42"/>
      <c r="Z759" s="42"/>
      <c r="AA759" s="42"/>
      <c r="AB759" s="42"/>
      <c r="AC759" s="42"/>
      <c r="AD759" s="42"/>
      <c r="AE759" s="42"/>
      <c r="AF759" s="42"/>
      <c r="AG759" s="42"/>
      <c r="AH759" s="42"/>
      <c r="AI759" s="42"/>
      <c r="AJ759" s="42"/>
      <c r="AK759" s="42"/>
      <c r="AL759" s="42"/>
      <c r="AM759" s="42"/>
    </row>
    <row r="760" spans="1:39" x14ac:dyDescent="0.25">
      <c r="A760" s="38" t="s">
        <v>1111</v>
      </c>
      <c r="B760" s="42"/>
      <c r="C760" s="42"/>
      <c r="D760" s="42"/>
      <c r="E760" s="41"/>
      <c r="F760" s="41"/>
      <c r="G760" s="41"/>
      <c r="H760" s="41"/>
      <c r="I760" s="41"/>
      <c r="J760" s="42"/>
      <c r="K760" s="41"/>
      <c r="L760" s="41"/>
      <c r="M760" s="127"/>
      <c r="N760" s="41"/>
      <c r="O760" s="41"/>
      <c r="P760" s="41"/>
      <c r="Q760" s="42"/>
      <c r="R760" s="35"/>
      <c r="S760" s="35"/>
      <c r="T760" s="35"/>
      <c r="U760" s="35"/>
      <c r="V760" s="121"/>
      <c r="W760" s="42"/>
      <c r="X760" s="42"/>
      <c r="Y760" s="42"/>
      <c r="Z760" s="42"/>
      <c r="AA760" s="42"/>
      <c r="AB760" s="42"/>
      <c r="AC760" s="42"/>
      <c r="AD760" s="42"/>
      <c r="AE760" s="42"/>
      <c r="AF760" s="42"/>
      <c r="AG760" s="42"/>
      <c r="AH760" s="42"/>
      <c r="AI760" s="42"/>
      <c r="AJ760" s="42"/>
      <c r="AK760" s="42"/>
      <c r="AL760" s="42"/>
      <c r="AM760" s="42"/>
    </row>
    <row r="761" spans="1:39" x14ac:dyDescent="0.25">
      <c r="A761" s="38" t="s">
        <v>1112</v>
      </c>
      <c r="B761" s="42"/>
      <c r="C761" s="42"/>
      <c r="D761" s="42"/>
      <c r="E761" s="41"/>
      <c r="F761" s="41"/>
      <c r="G761" s="41"/>
      <c r="H761" s="41"/>
      <c r="I761" s="41"/>
      <c r="J761" s="42"/>
      <c r="K761" s="41"/>
      <c r="L761" s="41"/>
      <c r="M761" s="127"/>
      <c r="N761" s="41"/>
      <c r="O761" s="41"/>
      <c r="P761" s="41"/>
      <c r="Q761" s="42"/>
      <c r="R761" s="35"/>
      <c r="S761" s="35"/>
      <c r="T761" s="35"/>
      <c r="U761" s="35"/>
      <c r="V761" s="121"/>
      <c r="W761" s="42"/>
      <c r="X761" s="42"/>
      <c r="Y761" s="42"/>
      <c r="Z761" s="42"/>
      <c r="AA761" s="42"/>
      <c r="AB761" s="42"/>
      <c r="AC761" s="42"/>
      <c r="AD761" s="42"/>
      <c r="AE761" s="42"/>
      <c r="AF761" s="42"/>
      <c r="AG761" s="42"/>
      <c r="AH761" s="42"/>
      <c r="AI761" s="42"/>
      <c r="AJ761" s="42"/>
      <c r="AK761" s="42"/>
      <c r="AL761" s="42"/>
      <c r="AM761" s="42"/>
    </row>
    <row r="762" spans="1:39" x14ac:dyDescent="0.25">
      <c r="A762" s="38" t="s">
        <v>1113</v>
      </c>
      <c r="B762" s="42"/>
      <c r="C762" s="42"/>
      <c r="D762" s="42"/>
      <c r="E762" s="41"/>
      <c r="F762" s="41"/>
      <c r="G762" s="41"/>
      <c r="H762" s="41"/>
      <c r="I762" s="41"/>
      <c r="J762" s="42"/>
      <c r="K762" s="41"/>
      <c r="L762" s="41"/>
      <c r="M762" s="127"/>
      <c r="N762" s="41"/>
      <c r="O762" s="41"/>
      <c r="P762" s="41"/>
      <c r="Q762" s="42"/>
      <c r="R762" s="35"/>
      <c r="S762" s="35"/>
      <c r="T762" s="35"/>
      <c r="U762" s="35"/>
      <c r="V762" s="121"/>
      <c r="W762" s="42"/>
      <c r="X762" s="42"/>
      <c r="Y762" s="42"/>
      <c r="Z762" s="42"/>
      <c r="AA762" s="42"/>
      <c r="AB762" s="42"/>
      <c r="AC762" s="42"/>
      <c r="AD762" s="42"/>
      <c r="AE762" s="42"/>
      <c r="AF762" s="42"/>
      <c r="AG762" s="42"/>
      <c r="AH762" s="42"/>
      <c r="AI762" s="42"/>
      <c r="AJ762" s="42"/>
      <c r="AK762" s="42"/>
      <c r="AL762" s="42"/>
      <c r="AM762" s="42"/>
    </row>
    <row r="763" spans="1:39" x14ac:dyDescent="0.25">
      <c r="A763" s="38" t="s">
        <v>1114</v>
      </c>
      <c r="B763" s="42"/>
      <c r="C763" s="42"/>
      <c r="D763" s="42"/>
      <c r="E763" s="41"/>
      <c r="F763" s="41"/>
      <c r="G763" s="41"/>
      <c r="H763" s="41"/>
      <c r="I763" s="41"/>
      <c r="J763" s="42"/>
      <c r="K763" s="41"/>
      <c r="L763" s="41"/>
      <c r="M763" s="127"/>
      <c r="N763" s="41"/>
      <c r="O763" s="41"/>
      <c r="P763" s="41"/>
      <c r="Q763" s="42"/>
      <c r="R763" s="35"/>
      <c r="S763" s="35"/>
      <c r="T763" s="35"/>
      <c r="U763" s="35"/>
      <c r="V763" s="121"/>
      <c r="W763" s="42"/>
      <c r="X763" s="42"/>
      <c r="Y763" s="42"/>
      <c r="Z763" s="42"/>
      <c r="AA763" s="42"/>
      <c r="AB763" s="42"/>
      <c r="AC763" s="42"/>
      <c r="AD763" s="42"/>
      <c r="AE763" s="42"/>
      <c r="AF763" s="42"/>
      <c r="AG763" s="42"/>
      <c r="AH763" s="42"/>
      <c r="AI763" s="42"/>
      <c r="AJ763" s="42"/>
      <c r="AK763" s="42"/>
      <c r="AL763" s="42"/>
      <c r="AM763" s="42"/>
    </row>
    <row r="764" spans="1:39" x14ac:dyDescent="0.25">
      <c r="A764" s="38" t="s">
        <v>1115</v>
      </c>
      <c r="B764" s="42"/>
      <c r="C764" s="42"/>
      <c r="D764" s="42"/>
      <c r="E764" s="41"/>
      <c r="F764" s="41"/>
      <c r="G764" s="41"/>
      <c r="H764" s="41"/>
      <c r="I764" s="41"/>
      <c r="J764" s="42"/>
      <c r="K764" s="41"/>
      <c r="L764" s="41"/>
      <c r="M764" s="127"/>
      <c r="N764" s="41"/>
      <c r="O764" s="41"/>
      <c r="P764" s="41"/>
      <c r="Q764" s="42"/>
      <c r="R764" s="35"/>
      <c r="S764" s="35"/>
      <c r="T764" s="35"/>
      <c r="U764" s="35"/>
      <c r="V764" s="121"/>
      <c r="W764" s="42"/>
      <c r="X764" s="42"/>
      <c r="Y764" s="42"/>
      <c r="Z764" s="42"/>
      <c r="AA764" s="42"/>
      <c r="AB764" s="42"/>
      <c r="AC764" s="42"/>
      <c r="AD764" s="42"/>
      <c r="AE764" s="42"/>
      <c r="AF764" s="42"/>
      <c r="AG764" s="42"/>
      <c r="AH764" s="42"/>
      <c r="AI764" s="42"/>
      <c r="AJ764" s="42"/>
      <c r="AK764" s="42"/>
      <c r="AL764" s="42"/>
      <c r="AM764" s="42"/>
    </row>
    <row r="765" spans="1:39" x14ac:dyDescent="0.25">
      <c r="A765" s="38" t="s">
        <v>1116</v>
      </c>
      <c r="B765" s="42"/>
      <c r="C765" s="42"/>
      <c r="D765" s="42"/>
      <c r="E765" s="41"/>
      <c r="F765" s="41"/>
      <c r="G765" s="41"/>
      <c r="H765" s="41"/>
      <c r="I765" s="41"/>
      <c r="J765" s="42"/>
      <c r="K765" s="41"/>
      <c r="L765" s="41"/>
      <c r="M765" s="127"/>
      <c r="N765" s="41"/>
      <c r="O765" s="41"/>
      <c r="P765" s="41"/>
      <c r="Q765" s="42"/>
      <c r="R765" s="35"/>
      <c r="S765" s="35"/>
      <c r="T765" s="35"/>
      <c r="U765" s="35"/>
      <c r="V765" s="121"/>
      <c r="W765" s="42"/>
      <c r="X765" s="42"/>
      <c r="Y765" s="42"/>
      <c r="Z765" s="42"/>
      <c r="AA765" s="42"/>
      <c r="AB765" s="42"/>
      <c r="AC765" s="42"/>
      <c r="AD765" s="42"/>
      <c r="AE765" s="42"/>
      <c r="AF765" s="42"/>
      <c r="AG765" s="42"/>
      <c r="AH765" s="42"/>
      <c r="AI765" s="42"/>
      <c r="AJ765" s="42"/>
      <c r="AK765" s="42"/>
      <c r="AL765" s="42"/>
      <c r="AM765" s="42"/>
    </row>
    <row r="766" spans="1:39" x14ac:dyDescent="0.25">
      <c r="A766" s="38" t="s">
        <v>1117</v>
      </c>
      <c r="B766" s="42"/>
      <c r="C766" s="42"/>
      <c r="D766" s="42"/>
      <c r="E766" s="41"/>
      <c r="F766" s="41"/>
      <c r="G766" s="41"/>
      <c r="H766" s="41"/>
      <c r="I766" s="41"/>
      <c r="J766" s="42"/>
      <c r="K766" s="41"/>
      <c r="L766" s="41"/>
      <c r="M766" s="127"/>
      <c r="N766" s="41"/>
      <c r="O766" s="41"/>
      <c r="P766" s="41"/>
      <c r="Q766" s="42"/>
      <c r="R766" s="35"/>
      <c r="S766" s="35"/>
      <c r="T766" s="35"/>
      <c r="U766" s="35"/>
      <c r="V766" s="121"/>
      <c r="W766" s="42"/>
      <c r="X766" s="42"/>
      <c r="Y766" s="42"/>
      <c r="Z766" s="42"/>
      <c r="AA766" s="42"/>
      <c r="AB766" s="42"/>
      <c r="AC766" s="42"/>
      <c r="AD766" s="42"/>
      <c r="AE766" s="42"/>
      <c r="AF766" s="42"/>
      <c r="AG766" s="42"/>
      <c r="AH766" s="42"/>
      <c r="AI766" s="42"/>
      <c r="AJ766" s="42"/>
      <c r="AK766" s="42"/>
      <c r="AL766" s="42"/>
      <c r="AM766" s="42"/>
    </row>
    <row r="767" spans="1:39" x14ac:dyDescent="0.25">
      <c r="A767" s="38" t="s">
        <v>1118</v>
      </c>
      <c r="B767" s="42"/>
      <c r="C767" s="42"/>
      <c r="D767" s="42"/>
      <c r="E767" s="41"/>
      <c r="F767" s="41"/>
      <c r="G767" s="41"/>
      <c r="H767" s="41"/>
      <c r="I767" s="41"/>
      <c r="J767" s="42"/>
      <c r="K767" s="41"/>
      <c r="L767" s="41"/>
      <c r="M767" s="127"/>
      <c r="N767" s="41"/>
      <c r="O767" s="41"/>
      <c r="P767" s="41"/>
      <c r="Q767" s="42"/>
      <c r="R767" s="35"/>
      <c r="S767" s="35"/>
      <c r="T767" s="35"/>
      <c r="U767" s="35"/>
      <c r="V767" s="121"/>
      <c r="W767" s="42"/>
      <c r="X767" s="42"/>
      <c r="Y767" s="42"/>
      <c r="Z767" s="42"/>
      <c r="AA767" s="42"/>
      <c r="AB767" s="42"/>
      <c r="AC767" s="42"/>
      <c r="AD767" s="42"/>
      <c r="AE767" s="42"/>
      <c r="AF767" s="42"/>
      <c r="AG767" s="42"/>
      <c r="AH767" s="42"/>
      <c r="AI767" s="42"/>
      <c r="AJ767" s="42"/>
      <c r="AK767" s="42"/>
      <c r="AL767" s="42"/>
      <c r="AM767" s="42"/>
    </row>
    <row r="768" spans="1:39" x14ac:dyDescent="0.25">
      <c r="A768" s="38" t="s">
        <v>1119</v>
      </c>
      <c r="B768" s="42"/>
      <c r="C768" s="42"/>
      <c r="D768" s="42"/>
      <c r="E768" s="41"/>
      <c r="F768" s="41"/>
      <c r="G768" s="41"/>
      <c r="H768" s="41"/>
      <c r="I768" s="41"/>
      <c r="J768" s="42"/>
      <c r="K768" s="41"/>
      <c r="L768" s="41"/>
      <c r="M768" s="127"/>
      <c r="N768" s="41"/>
      <c r="O768" s="41"/>
      <c r="P768" s="41"/>
      <c r="Q768" s="42"/>
      <c r="R768" s="35"/>
      <c r="S768" s="35"/>
      <c r="T768" s="35"/>
      <c r="U768" s="35"/>
      <c r="V768" s="121"/>
      <c r="W768" s="42"/>
      <c r="X768" s="42"/>
      <c r="Y768" s="42"/>
      <c r="Z768" s="42"/>
      <c r="AA768" s="42"/>
      <c r="AB768" s="42"/>
      <c r="AC768" s="42"/>
      <c r="AD768" s="42"/>
      <c r="AE768" s="42"/>
      <c r="AF768" s="42"/>
      <c r="AG768" s="42"/>
      <c r="AH768" s="42"/>
      <c r="AI768" s="42"/>
      <c r="AJ768" s="42"/>
      <c r="AK768" s="42"/>
      <c r="AL768" s="42"/>
      <c r="AM768" s="42"/>
    </row>
    <row r="769" spans="1:39" x14ac:dyDescent="0.25">
      <c r="A769" s="38" t="s">
        <v>1120</v>
      </c>
      <c r="B769" s="42"/>
      <c r="C769" s="42"/>
      <c r="D769" s="42"/>
      <c r="E769" s="41"/>
      <c r="F769" s="41"/>
      <c r="G769" s="41"/>
      <c r="H769" s="41"/>
      <c r="I769" s="41"/>
      <c r="J769" s="42"/>
      <c r="K769" s="41"/>
      <c r="L769" s="41"/>
      <c r="M769" s="127"/>
      <c r="N769" s="41"/>
      <c r="O769" s="41"/>
      <c r="P769" s="41"/>
      <c r="Q769" s="42"/>
      <c r="R769" s="35"/>
      <c r="S769" s="35"/>
      <c r="T769" s="35"/>
      <c r="U769" s="35"/>
      <c r="V769" s="121"/>
      <c r="W769" s="42"/>
      <c r="X769" s="42"/>
      <c r="Y769" s="42"/>
      <c r="Z769" s="42"/>
      <c r="AA769" s="42"/>
      <c r="AB769" s="42"/>
      <c r="AC769" s="42"/>
      <c r="AD769" s="42"/>
      <c r="AE769" s="42"/>
      <c r="AF769" s="42"/>
      <c r="AG769" s="42"/>
      <c r="AH769" s="42"/>
      <c r="AI769" s="42"/>
      <c r="AJ769" s="42"/>
      <c r="AK769" s="42"/>
      <c r="AL769" s="42"/>
      <c r="AM769" s="42"/>
    </row>
    <row r="770" spans="1:39" x14ac:dyDescent="0.25">
      <c r="A770" s="38" t="s">
        <v>1121</v>
      </c>
      <c r="B770" s="42"/>
      <c r="C770" s="42"/>
      <c r="D770" s="42"/>
      <c r="E770" s="41"/>
      <c r="F770" s="41"/>
      <c r="G770" s="41"/>
      <c r="H770" s="41"/>
      <c r="I770" s="41"/>
      <c r="J770" s="42"/>
      <c r="K770" s="41"/>
      <c r="L770" s="41"/>
      <c r="M770" s="127"/>
      <c r="N770" s="41"/>
      <c r="O770" s="41"/>
      <c r="P770" s="41"/>
      <c r="Q770" s="42"/>
      <c r="R770" s="35"/>
      <c r="S770" s="35"/>
      <c r="T770" s="35"/>
      <c r="U770" s="35"/>
      <c r="V770" s="121"/>
      <c r="W770" s="42"/>
      <c r="X770" s="42"/>
      <c r="Y770" s="42"/>
      <c r="Z770" s="42"/>
      <c r="AA770" s="42"/>
      <c r="AB770" s="42"/>
      <c r="AC770" s="42"/>
      <c r="AD770" s="42"/>
      <c r="AE770" s="42"/>
      <c r="AF770" s="42"/>
      <c r="AG770" s="42"/>
      <c r="AH770" s="42"/>
      <c r="AI770" s="42"/>
      <c r="AJ770" s="42"/>
      <c r="AK770" s="42"/>
      <c r="AL770" s="42"/>
      <c r="AM770" s="42"/>
    </row>
    <row r="771" spans="1:39" x14ac:dyDescent="0.25">
      <c r="A771" s="38" t="s">
        <v>1122</v>
      </c>
      <c r="B771" s="42"/>
      <c r="C771" s="42"/>
      <c r="D771" s="42"/>
      <c r="E771" s="41"/>
      <c r="F771" s="41"/>
      <c r="G771" s="41"/>
      <c r="H771" s="41"/>
      <c r="I771" s="41"/>
      <c r="J771" s="42"/>
      <c r="K771" s="41"/>
      <c r="L771" s="41"/>
      <c r="M771" s="127"/>
      <c r="N771" s="41"/>
      <c r="O771" s="41"/>
      <c r="P771" s="41"/>
      <c r="Q771" s="42"/>
      <c r="R771" s="35"/>
      <c r="S771" s="35"/>
      <c r="T771" s="35"/>
      <c r="U771" s="35"/>
      <c r="V771" s="121"/>
      <c r="W771" s="42"/>
      <c r="X771" s="42"/>
      <c r="Y771" s="42"/>
      <c r="Z771" s="42"/>
      <c r="AA771" s="42"/>
      <c r="AB771" s="42"/>
      <c r="AC771" s="42"/>
      <c r="AD771" s="42"/>
      <c r="AE771" s="42"/>
      <c r="AF771" s="42"/>
      <c r="AG771" s="42"/>
      <c r="AH771" s="42"/>
      <c r="AI771" s="42"/>
      <c r="AJ771" s="42"/>
      <c r="AK771" s="42"/>
      <c r="AL771" s="42"/>
      <c r="AM771" s="42"/>
    </row>
    <row r="772" spans="1:39" x14ac:dyDescent="0.25">
      <c r="A772" s="38" t="s">
        <v>1123</v>
      </c>
      <c r="B772" s="42"/>
      <c r="C772" s="42"/>
      <c r="D772" s="42"/>
      <c r="E772" s="41"/>
      <c r="F772" s="41"/>
      <c r="G772" s="41"/>
      <c r="H772" s="41"/>
      <c r="I772" s="41"/>
      <c r="J772" s="42"/>
      <c r="K772" s="41"/>
      <c r="L772" s="41"/>
      <c r="M772" s="127"/>
      <c r="N772" s="41"/>
      <c r="O772" s="41"/>
      <c r="P772" s="41"/>
      <c r="Q772" s="42"/>
      <c r="R772" s="35"/>
      <c r="S772" s="35"/>
      <c r="T772" s="35"/>
      <c r="U772" s="35"/>
      <c r="V772" s="121"/>
      <c r="W772" s="42"/>
      <c r="X772" s="42"/>
      <c r="Y772" s="42"/>
      <c r="Z772" s="42"/>
      <c r="AA772" s="42"/>
      <c r="AB772" s="42"/>
      <c r="AC772" s="42"/>
      <c r="AD772" s="42"/>
      <c r="AE772" s="42"/>
      <c r="AF772" s="42"/>
      <c r="AG772" s="42"/>
      <c r="AH772" s="42"/>
      <c r="AI772" s="42"/>
      <c r="AJ772" s="42"/>
      <c r="AK772" s="42"/>
      <c r="AL772" s="42"/>
      <c r="AM772" s="42"/>
    </row>
    <row r="773" spans="1:39" x14ac:dyDescent="0.25">
      <c r="A773" s="38" t="s">
        <v>1124</v>
      </c>
      <c r="B773" s="42"/>
      <c r="C773" s="42"/>
      <c r="D773" s="42"/>
      <c r="E773" s="41"/>
      <c r="F773" s="41"/>
      <c r="G773" s="41"/>
      <c r="H773" s="41"/>
      <c r="I773" s="41"/>
      <c r="J773" s="42"/>
      <c r="K773" s="41"/>
      <c r="L773" s="41"/>
      <c r="M773" s="127"/>
      <c r="N773" s="41"/>
      <c r="O773" s="41"/>
      <c r="P773" s="41"/>
      <c r="Q773" s="42"/>
      <c r="R773" s="35"/>
      <c r="S773" s="35"/>
      <c r="T773" s="35"/>
      <c r="U773" s="35"/>
      <c r="V773" s="121"/>
      <c r="W773" s="42"/>
      <c r="X773" s="42"/>
      <c r="Y773" s="42"/>
      <c r="Z773" s="42"/>
      <c r="AA773" s="42"/>
      <c r="AB773" s="42"/>
      <c r="AC773" s="42"/>
      <c r="AD773" s="42"/>
      <c r="AE773" s="42"/>
      <c r="AF773" s="42"/>
      <c r="AG773" s="42"/>
      <c r="AH773" s="42"/>
      <c r="AI773" s="42"/>
      <c r="AJ773" s="42"/>
      <c r="AK773" s="42"/>
      <c r="AL773" s="42"/>
      <c r="AM773" s="42"/>
    </row>
    <row r="774" spans="1:39" x14ac:dyDescent="0.25">
      <c r="A774" s="38" t="s">
        <v>1125</v>
      </c>
      <c r="B774" s="42"/>
      <c r="C774" s="42"/>
      <c r="D774" s="42"/>
      <c r="E774" s="41"/>
      <c r="F774" s="41"/>
      <c r="G774" s="41"/>
      <c r="H774" s="41"/>
      <c r="I774" s="41"/>
      <c r="J774" s="42"/>
      <c r="K774" s="41"/>
      <c r="L774" s="41"/>
      <c r="M774" s="127"/>
      <c r="N774" s="41"/>
      <c r="O774" s="41"/>
      <c r="P774" s="41"/>
      <c r="Q774" s="42"/>
      <c r="R774" s="35"/>
      <c r="S774" s="35"/>
      <c r="T774" s="35"/>
      <c r="U774" s="35"/>
      <c r="V774" s="121"/>
      <c r="W774" s="42"/>
      <c r="X774" s="42"/>
      <c r="Y774" s="42"/>
      <c r="Z774" s="42"/>
      <c r="AA774" s="42"/>
      <c r="AB774" s="42"/>
      <c r="AC774" s="42"/>
      <c r="AD774" s="42"/>
      <c r="AE774" s="42"/>
      <c r="AF774" s="42"/>
      <c r="AG774" s="42"/>
      <c r="AH774" s="42"/>
      <c r="AI774" s="42"/>
      <c r="AJ774" s="42"/>
      <c r="AK774" s="42"/>
      <c r="AL774" s="42"/>
      <c r="AM774" s="42"/>
    </row>
    <row r="775" spans="1:39" x14ac:dyDescent="0.25">
      <c r="A775" s="38" t="s">
        <v>1126</v>
      </c>
      <c r="B775" s="42"/>
      <c r="C775" s="42"/>
      <c r="D775" s="42"/>
      <c r="E775" s="41"/>
      <c r="F775" s="41"/>
      <c r="G775" s="41"/>
      <c r="H775" s="41"/>
      <c r="I775" s="41"/>
      <c r="J775" s="42"/>
      <c r="K775" s="41"/>
      <c r="L775" s="41"/>
      <c r="M775" s="127"/>
      <c r="N775" s="41"/>
      <c r="O775" s="41"/>
      <c r="P775" s="41"/>
      <c r="Q775" s="42"/>
      <c r="R775" s="35"/>
      <c r="S775" s="35"/>
      <c r="T775" s="35"/>
      <c r="U775" s="35"/>
      <c r="V775" s="121"/>
      <c r="W775" s="42"/>
      <c r="X775" s="42"/>
      <c r="Y775" s="42"/>
      <c r="Z775" s="42"/>
      <c r="AA775" s="42"/>
      <c r="AB775" s="42"/>
      <c r="AC775" s="42"/>
      <c r="AD775" s="42"/>
      <c r="AE775" s="42"/>
      <c r="AF775" s="42"/>
      <c r="AG775" s="42"/>
      <c r="AH775" s="42"/>
      <c r="AI775" s="42"/>
      <c r="AJ775" s="42"/>
      <c r="AK775" s="42"/>
      <c r="AL775" s="42"/>
      <c r="AM775" s="42"/>
    </row>
    <row r="776" spans="1:39" x14ac:dyDescent="0.25">
      <c r="A776" s="38" t="s">
        <v>1127</v>
      </c>
      <c r="B776" s="42"/>
      <c r="C776" s="42"/>
      <c r="D776" s="42"/>
      <c r="E776" s="41"/>
      <c r="F776" s="41"/>
      <c r="G776" s="41"/>
      <c r="H776" s="41"/>
      <c r="I776" s="41"/>
      <c r="J776" s="42"/>
      <c r="K776" s="41"/>
      <c r="L776" s="41"/>
      <c r="M776" s="127"/>
      <c r="N776" s="41"/>
      <c r="O776" s="41"/>
      <c r="P776" s="41"/>
      <c r="Q776" s="42"/>
      <c r="R776" s="35"/>
      <c r="S776" s="35"/>
      <c r="T776" s="35"/>
      <c r="U776" s="35"/>
      <c r="V776" s="121"/>
      <c r="W776" s="42"/>
      <c r="X776" s="42"/>
      <c r="Y776" s="42"/>
      <c r="Z776" s="42"/>
      <c r="AA776" s="42"/>
      <c r="AB776" s="42"/>
      <c r="AC776" s="42"/>
      <c r="AD776" s="42"/>
      <c r="AE776" s="42"/>
      <c r="AF776" s="42"/>
      <c r="AG776" s="42"/>
      <c r="AH776" s="42"/>
      <c r="AI776" s="42"/>
      <c r="AJ776" s="42"/>
      <c r="AK776" s="42"/>
      <c r="AL776" s="42"/>
      <c r="AM776" s="42"/>
    </row>
    <row r="777" spans="1:39" x14ac:dyDescent="0.25">
      <c r="A777" s="38" t="s">
        <v>1128</v>
      </c>
      <c r="B777" s="42"/>
      <c r="C777" s="42"/>
      <c r="D777" s="42"/>
      <c r="E777" s="41"/>
      <c r="F777" s="41"/>
      <c r="G777" s="41"/>
      <c r="H777" s="41"/>
      <c r="I777" s="41"/>
      <c r="J777" s="42"/>
      <c r="K777" s="41"/>
      <c r="L777" s="41"/>
      <c r="M777" s="127"/>
      <c r="N777" s="41"/>
      <c r="O777" s="41"/>
      <c r="P777" s="41"/>
      <c r="Q777" s="42"/>
      <c r="R777" s="35"/>
      <c r="S777" s="35"/>
      <c r="T777" s="35"/>
      <c r="U777" s="35"/>
      <c r="V777" s="121"/>
      <c r="W777" s="42"/>
      <c r="X777" s="42"/>
      <c r="Y777" s="42"/>
      <c r="Z777" s="42"/>
      <c r="AA777" s="42"/>
      <c r="AB777" s="42"/>
      <c r="AC777" s="42"/>
      <c r="AD777" s="42"/>
      <c r="AE777" s="42"/>
      <c r="AF777" s="42"/>
      <c r="AG777" s="42"/>
      <c r="AH777" s="42"/>
      <c r="AI777" s="42"/>
      <c r="AJ777" s="42"/>
      <c r="AK777" s="42"/>
      <c r="AL777" s="42"/>
      <c r="AM777" s="42"/>
    </row>
    <row r="778" spans="1:39" x14ac:dyDescent="0.25">
      <c r="A778" s="38" t="s">
        <v>1129</v>
      </c>
      <c r="B778" s="42"/>
      <c r="C778" s="42"/>
      <c r="D778" s="42"/>
      <c r="E778" s="41"/>
      <c r="F778" s="41"/>
      <c r="G778" s="41"/>
      <c r="H778" s="41"/>
      <c r="I778" s="41"/>
      <c r="J778" s="42"/>
      <c r="K778" s="41"/>
      <c r="L778" s="41"/>
      <c r="M778" s="127"/>
      <c r="N778" s="41"/>
      <c r="O778" s="41"/>
      <c r="P778" s="41"/>
      <c r="Q778" s="42"/>
      <c r="R778" s="35"/>
      <c r="S778" s="35"/>
      <c r="T778" s="35"/>
      <c r="U778" s="35"/>
      <c r="V778" s="121"/>
      <c r="W778" s="42"/>
      <c r="X778" s="42"/>
      <c r="Y778" s="42"/>
      <c r="Z778" s="42"/>
      <c r="AA778" s="42"/>
      <c r="AB778" s="42"/>
      <c r="AC778" s="42"/>
      <c r="AD778" s="42"/>
      <c r="AE778" s="42"/>
      <c r="AF778" s="42"/>
      <c r="AG778" s="42"/>
      <c r="AH778" s="42"/>
      <c r="AI778" s="42"/>
      <c r="AJ778" s="42"/>
      <c r="AK778" s="42"/>
      <c r="AL778" s="42"/>
      <c r="AM778" s="42"/>
    </row>
    <row r="779" spans="1:39" x14ac:dyDescent="0.25">
      <c r="A779" s="38" t="s">
        <v>1130</v>
      </c>
      <c r="B779" s="42"/>
      <c r="C779" s="42"/>
      <c r="D779" s="42"/>
      <c r="E779" s="41"/>
      <c r="F779" s="41"/>
      <c r="G779" s="41"/>
      <c r="H779" s="41"/>
      <c r="I779" s="41"/>
      <c r="J779" s="42"/>
      <c r="K779" s="41"/>
      <c r="L779" s="41"/>
      <c r="M779" s="127"/>
      <c r="N779" s="41"/>
      <c r="O779" s="41"/>
      <c r="P779" s="41"/>
      <c r="Q779" s="42"/>
      <c r="R779" s="35"/>
      <c r="S779" s="35"/>
      <c r="T779" s="35"/>
      <c r="U779" s="35"/>
      <c r="V779" s="121"/>
      <c r="W779" s="42"/>
      <c r="X779" s="42"/>
      <c r="Y779" s="42"/>
      <c r="Z779" s="42"/>
      <c r="AA779" s="42"/>
      <c r="AB779" s="42"/>
      <c r="AC779" s="42"/>
      <c r="AD779" s="42"/>
      <c r="AE779" s="42"/>
      <c r="AF779" s="42"/>
      <c r="AG779" s="42"/>
      <c r="AH779" s="42"/>
      <c r="AI779" s="42"/>
      <c r="AJ779" s="42"/>
      <c r="AK779" s="42"/>
      <c r="AL779" s="42"/>
      <c r="AM779" s="42"/>
    </row>
    <row r="780" spans="1:39" x14ac:dyDescent="0.25">
      <c r="A780" s="38" t="s">
        <v>1131</v>
      </c>
      <c r="B780" s="42"/>
      <c r="C780" s="42"/>
      <c r="D780" s="42"/>
      <c r="E780" s="41"/>
      <c r="F780" s="41"/>
      <c r="G780" s="41"/>
      <c r="H780" s="41"/>
      <c r="I780" s="41"/>
      <c r="J780" s="42"/>
      <c r="K780" s="41"/>
      <c r="L780" s="41"/>
      <c r="M780" s="127"/>
      <c r="N780" s="41"/>
      <c r="O780" s="41"/>
      <c r="P780" s="41"/>
      <c r="Q780" s="42"/>
      <c r="R780" s="35"/>
      <c r="S780" s="35"/>
      <c r="T780" s="35"/>
      <c r="U780" s="35"/>
      <c r="V780" s="121"/>
      <c r="W780" s="42"/>
      <c r="X780" s="42"/>
      <c r="Y780" s="42"/>
      <c r="Z780" s="42"/>
      <c r="AA780" s="42"/>
      <c r="AB780" s="42"/>
      <c r="AC780" s="42"/>
      <c r="AD780" s="42"/>
      <c r="AE780" s="42"/>
      <c r="AF780" s="42"/>
      <c r="AG780" s="42"/>
      <c r="AH780" s="42"/>
      <c r="AI780" s="42"/>
      <c r="AJ780" s="42"/>
      <c r="AK780" s="42"/>
      <c r="AL780" s="42"/>
      <c r="AM780" s="42"/>
    </row>
    <row r="781" spans="1:39" x14ac:dyDescent="0.25">
      <c r="A781" s="38" t="s">
        <v>1132</v>
      </c>
      <c r="B781" s="42"/>
      <c r="C781" s="42"/>
      <c r="D781" s="42"/>
      <c r="E781" s="41"/>
      <c r="F781" s="41"/>
      <c r="G781" s="41"/>
      <c r="H781" s="41"/>
      <c r="I781" s="41"/>
      <c r="J781" s="42"/>
      <c r="K781" s="41"/>
      <c r="L781" s="41"/>
      <c r="M781" s="127"/>
      <c r="N781" s="41"/>
      <c r="O781" s="41"/>
      <c r="P781" s="41"/>
      <c r="Q781" s="42"/>
      <c r="R781" s="35"/>
      <c r="S781" s="35"/>
      <c r="T781" s="35"/>
      <c r="U781" s="35"/>
      <c r="V781" s="121"/>
      <c r="W781" s="42"/>
      <c r="X781" s="42"/>
      <c r="Y781" s="42"/>
      <c r="Z781" s="42"/>
      <c r="AA781" s="42"/>
      <c r="AB781" s="42"/>
      <c r="AC781" s="42"/>
      <c r="AD781" s="42"/>
      <c r="AE781" s="42"/>
      <c r="AF781" s="42"/>
      <c r="AG781" s="42"/>
      <c r="AH781" s="42"/>
      <c r="AI781" s="42"/>
      <c r="AJ781" s="42"/>
      <c r="AK781" s="42"/>
      <c r="AL781" s="42"/>
      <c r="AM781" s="42"/>
    </row>
    <row r="782" spans="1:39" x14ac:dyDescent="0.25">
      <c r="A782" s="38" t="s">
        <v>1133</v>
      </c>
      <c r="B782" s="42"/>
      <c r="C782" s="42"/>
      <c r="D782" s="42"/>
      <c r="E782" s="41"/>
      <c r="F782" s="41"/>
      <c r="G782" s="41"/>
      <c r="H782" s="41"/>
      <c r="I782" s="41"/>
      <c r="J782" s="42"/>
      <c r="K782" s="41"/>
      <c r="L782" s="41"/>
      <c r="M782" s="127"/>
      <c r="N782" s="41"/>
      <c r="O782" s="41"/>
      <c r="P782" s="41"/>
      <c r="Q782" s="42"/>
      <c r="R782" s="35"/>
      <c r="S782" s="35"/>
      <c r="T782" s="35"/>
      <c r="U782" s="35"/>
      <c r="V782" s="121"/>
      <c r="W782" s="42"/>
      <c r="X782" s="42"/>
      <c r="Y782" s="42"/>
      <c r="Z782" s="42"/>
      <c r="AA782" s="42"/>
      <c r="AB782" s="42"/>
      <c r="AC782" s="42"/>
      <c r="AD782" s="42"/>
      <c r="AE782" s="42"/>
      <c r="AF782" s="42"/>
      <c r="AG782" s="42"/>
      <c r="AH782" s="42"/>
      <c r="AI782" s="42"/>
      <c r="AJ782" s="42"/>
      <c r="AK782" s="42"/>
      <c r="AL782" s="42"/>
      <c r="AM782" s="42"/>
    </row>
    <row r="783" spans="1:39" x14ac:dyDescent="0.25">
      <c r="A783" s="38" t="s">
        <v>1134</v>
      </c>
      <c r="B783" s="42"/>
      <c r="C783" s="42"/>
      <c r="D783" s="42"/>
      <c r="E783" s="41"/>
      <c r="F783" s="41"/>
      <c r="G783" s="41"/>
      <c r="H783" s="41"/>
      <c r="I783" s="41"/>
      <c r="J783" s="42"/>
      <c r="K783" s="41"/>
      <c r="L783" s="41"/>
      <c r="M783" s="127"/>
      <c r="N783" s="41"/>
      <c r="O783" s="41"/>
      <c r="P783" s="41"/>
      <c r="Q783" s="42"/>
      <c r="R783" s="35"/>
      <c r="S783" s="35"/>
      <c r="T783" s="35"/>
      <c r="U783" s="35"/>
      <c r="V783" s="121"/>
      <c r="W783" s="42"/>
      <c r="X783" s="42"/>
      <c r="Y783" s="42"/>
      <c r="Z783" s="42"/>
      <c r="AA783" s="42"/>
      <c r="AB783" s="42"/>
      <c r="AC783" s="42"/>
      <c r="AD783" s="42"/>
      <c r="AE783" s="42"/>
      <c r="AF783" s="42"/>
      <c r="AG783" s="42"/>
      <c r="AH783" s="42"/>
      <c r="AI783" s="42"/>
      <c r="AJ783" s="42"/>
      <c r="AK783" s="42"/>
      <c r="AL783" s="42"/>
      <c r="AM783" s="42"/>
    </row>
    <row r="784" spans="1:39" x14ac:dyDescent="0.25">
      <c r="A784" s="38" t="s">
        <v>1135</v>
      </c>
      <c r="B784" s="42"/>
      <c r="C784" s="42"/>
      <c r="D784" s="42"/>
      <c r="E784" s="41"/>
      <c r="F784" s="41"/>
      <c r="G784" s="41"/>
      <c r="H784" s="41"/>
      <c r="I784" s="41"/>
      <c r="J784" s="42"/>
      <c r="K784" s="41"/>
      <c r="L784" s="41"/>
      <c r="M784" s="127"/>
      <c r="N784" s="41"/>
      <c r="O784" s="41"/>
      <c r="P784" s="41"/>
      <c r="Q784" s="42"/>
      <c r="R784" s="35"/>
      <c r="S784" s="35"/>
      <c r="T784" s="35"/>
      <c r="U784" s="35"/>
      <c r="V784" s="121"/>
      <c r="W784" s="42"/>
      <c r="X784" s="42"/>
      <c r="Y784" s="42"/>
      <c r="Z784" s="42"/>
      <c r="AA784" s="42"/>
      <c r="AB784" s="42"/>
      <c r="AC784" s="42"/>
      <c r="AD784" s="42"/>
      <c r="AE784" s="42"/>
      <c r="AF784" s="42"/>
      <c r="AG784" s="42"/>
      <c r="AH784" s="42"/>
      <c r="AI784" s="42"/>
      <c r="AJ784" s="42"/>
      <c r="AK784" s="42"/>
      <c r="AL784" s="42"/>
      <c r="AM784" s="42"/>
    </row>
    <row r="785" spans="1:39" x14ac:dyDescent="0.25">
      <c r="A785" s="38" t="s">
        <v>1136</v>
      </c>
      <c r="B785" s="42"/>
      <c r="C785" s="42"/>
      <c r="D785" s="42"/>
      <c r="E785" s="41"/>
      <c r="F785" s="41"/>
      <c r="G785" s="41"/>
      <c r="H785" s="41"/>
      <c r="I785" s="41"/>
      <c r="J785" s="42"/>
      <c r="K785" s="41"/>
      <c r="L785" s="41"/>
      <c r="M785" s="127"/>
      <c r="N785" s="41"/>
      <c r="O785" s="41"/>
      <c r="P785" s="41"/>
      <c r="Q785" s="42"/>
      <c r="R785" s="35"/>
      <c r="S785" s="35"/>
      <c r="T785" s="35"/>
      <c r="U785" s="35"/>
      <c r="V785" s="121"/>
      <c r="W785" s="42"/>
      <c r="X785" s="42"/>
      <c r="Y785" s="42"/>
      <c r="Z785" s="42"/>
      <c r="AA785" s="42"/>
      <c r="AB785" s="42"/>
      <c r="AC785" s="42"/>
      <c r="AD785" s="42"/>
      <c r="AE785" s="42"/>
      <c r="AF785" s="42"/>
      <c r="AG785" s="42"/>
      <c r="AH785" s="42"/>
      <c r="AI785" s="42"/>
      <c r="AJ785" s="42"/>
      <c r="AK785" s="42"/>
      <c r="AL785" s="42"/>
      <c r="AM785" s="42"/>
    </row>
    <row r="786" spans="1:39" x14ac:dyDescent="0.25">
      <c r="A786" s="38" t="s">
        <v>1137</v>
      </c>
      <c r="B786" s="42"/>
      <c r="C786" s="42"/>
      <c r="D786" s="42"/>
      <c r="E786" s="41"/>
      <c r="F786" s="41"/>
      <c r="G786" s="41"/>
      <c r="H786" s="41"/>
      <c r="I786" s="41"/>
      <c r="J786" s="42"/>
      <c r="K786" s="41"/>
      <c r="L786" s="41"/>
      <c r="M786" s="127"/>
      <c r="N786" s="41"/>
      <c r="O786" s="41"/>
      <c r="P786" s="41"/>
      <c r="Q786" s="42"/>
      <c r="R786" s="35"/>
      <c r="S786" s="35"/>
      <c r="T786" s="35"/>
      <c r="U786" s="35"/>
      <c r="V786" s="121"/>
      <c r="W786" s="42"/>
      <c r="X786" s="42"/>
      <c r="Y786" s="42"/>
      <c r="Z786" s="42"/>
      <c r="AA786" s="42"/>
      <c r="AB786" s="42"/>
      <c r="AC786" s="42"/>
      <c r="AD786" s="42"/>
      <c r="AE786" s="42"/>
      <c r="AF786" s="42"/>
      <c r="AG786" s="42"/>
      <c r="AH786" s="42"/>
      <c r="AI786" s="42"/>
      <c r="AJ786" s="42"/>
      <c r="AK786" s="42"/>
      <c r="AL786" s="42"/>
      <c r="AM786" s="42"/>
    </row>
    <row r="787" spans="1:39" x14ac:dyDescent="0.25">
      <c r="A787" s="38" t="s">
        <v>1138</v>
      </c>
      <c r="B787" s="42"/>
      <c r="C787" s="42"/>
      <c r="D787" s="42"/>
      <c r="E787" s="41"/>
      <c r="F787" s="41"/>
      <c r="G787" s="41"/>
      <c r="H787" s="41"/>
      <c r="I787" s="41"/>
      <c r="J787" s="42"/>
      <c r="K787" s="41"/>
      <c r="L787" s="41"/>
      <c r="M787" s="127"/>
      <c r="N787" s="41"/>
      <c r="O787" s="41"/>
      <c r="P787" s="41"/>
      <c r="Q787" s="42"/>
      <c r="R787" s="35"/>
      <c r="S787" s="35"/>
      <c r="T787" s="35"/>
      <c r="U787" s="35"/>
      <c r="V787" s="121"/>
      <c r="W787" s="42"/>
      <c r="X787" s="42"/>
      <c r="Y787" s="42"/>
      <c r="Z787" s="42"/>
      <c r="AA787" s="42"/>
      <c r="AB787" s="42"/>
      <c r="AC787" s="42"/>
      <c r="AD787" s="42"/>
      <c r="AE787" s="42"/>
      <c r="AF787" s="42"/>
      <c r="AG787" s="42"/>
      <c r="AH787" s="42"/>
      <c r="AI787" s="42"/>
      <c r="AJ787" s="42"/>
      <c r="AK787" s="42"/>
      <c r="AL787" s="42"/>
      <c r="AM787" s="42"/>
    </row>
    <row r="788" spans="1:39" x14ac:dyDescent="0.25">
      <c r="A788" s="38" t="s">
        <v>1139</v>
      </c>
      <c r="B788" s="42"/>
      <c r="C788" s="42"/>
      <c r="D788" s="42"/>
      <c r="E788" s="41"/>
      <c r="F788" s="41"/>
      <c r="G788" s="41"/>
      <c r="H788" s="41"/>
      <c r="I788" s="41"/>
      <c r="J788" s="42"/>
      <c r="K788" s="41"/>
      <c r="L788" s="41"/>
      <c r="M788" s="127"/>
      <c r="N788" s="41"/>
      <c r="O788" s="41"/>
      <c r="P788" s="41"/>
      <c r="Q788" s="42"/>
      <c r="R788" s="35"/>
      <c r="S788" s="35"/>
      <c r="T788" s="35"/>
      <c r="U788" s="35"/>
      <c r="V788" s="121"/>
      <c r="W788" s="42"/>
      <c r="X788" s="42"/>
      <c r="Y788" s="42"/>
      <c r="Z788" s="42"/>
      <c r="AA788" s="42"/>
      <c r="AB788" s="42"/>
      <c r="AC788" s="42"/>
      <c r="AD788" s="42"/>
      <c r="AE788" s="42"/>
      <c r="AF788" s="42"/>
      <c r="AG788" s="42"/>
      <c r="AH788" s="42"/>
      <c r="AI788" s="42"/>
      <c r="AJ788" s="42"/>
      <c r="AK788" s="42"/>
      <c r="AL788" s="42"/>
      <c r="AM788" s="42"/>
    </row>
    <row r="789" spans="1:39" x14ac:dyDescent="0.25">
      <c r="A789" s="38" t="s">
        <v>1140</v>
      </c>
      <c r="B789" s="42"/>
      <c r="C789" s="42"/>
      <c r="D789" s="42"/>
      <c r="E789" s="41"/>
      <c r="F789" s="41"/>
      <c r="G789" s="41"/>
      <c r="H789" s="41"/>
      <c r="I789" s="41"/>
      <c r="J789" s="42"/>
      <c r="K789" s="41"/>
      <c r="L789" s="41"/>
      <c r="M789" s="127"/>
      <c r="N789" s="41"/>
      <c r="O789" s="41"/>
      <c r="P789" s="41"/>
      <c r="Q789" s="42"/>
      <c r="R789" s="35"/>
      <c r="S789" s="35"/>
      <c r="T789" s="35"/>
      <c r="U789" s="35"/>
      <c r="V789" s="121"/>
      <c r="W789" s="42"/>
      <c r="X789" s="42"/>
      <c r="Y789" s="42"/>
      <c r="Z789" s="42"/>
      <c r="AA789" s="42"/>
      <c r="AB789" s="42"/>
      <c r="AC789" s="42"/>
      <c r="AD789" s="42"/>
      <c r="AE789" s="42"/>
      <c r="AF789" s="42"/>
      <c r="AG789" s="42"/>
      <c r="AH789" s="42"/>
      <c r="AI789" s="42"/>
      <c r="AJ789" s="42"/>
      <c r="AK789" s="42"/>
      <c r="AL789" s="42"/>
      <c r="AM789" s="42"/>
    </row>
    <row r="790" spans="1:39" x14ac:dyDescent="0.25">
      <c r="A790" s="38" t="s">
        <v>1141</v>
      </c>
      <c r="B790" s="42"/>
      <c r="C790" s="42"/>
      <c r="D790" s="42"/>
      <c r="E790" s="41"/>
      <c r="F790" s="41"/>
      <c r="G790" s="41"/>
      <c r="H790" s="41"/>
      <c r="I790" s="41"/>
      <c r="J790" s="42"/>
      <c r="K790" s="41"/>
      <c r="L790" s="41"/>
      <c r="M790" s="127"/>
      <c r="N790" s="41"/>
      <c r="O790" s="41"/>
      <c r="P790" s="41"/>
      <c r="Q790" s="42"/>
      <c r="R790" s="35"/>
      <c r="S790" s="35"/>
      <c r="T790" s="35"/>
      <c r="U790" s="35"/>
      <c r="V790" s="121"/>
      <c r="W790" s="42"/>
      <c r="X790" s="42"/>
      <c r="Y790" s="42"/>
      <c r="Z790" s="42"/>
      <c r="AA790" s="42"/>
      <c r="AB790" s="42"/>
      <c r="AC790" s="42"/>
      <c r="AD790" s="42"/>
      <c r="AE790" s="42"/>
      <c r="AF790" s="42"/>
      <c r="AG790" s="42"/>
      <c r="AH790" s="42"/>
      <c r="AI790" s="42"/>
      <c r="AJ790" s="42"/>
      <c r="AK790" s="42"/>
      <c r="AL790" s="42"/>
      <c r="AM790" s="42"/>
    </row>
    <row r="791" spans="1:39" x14ac:dyDescent="0.25">
      <c r="A791" s="38" t="s">
        <v>1142</v>
      </c>
      <c r="B791" s="42"/>
      <c r="C791" s="42"/>
      <c r="D791" s="42"/>
      <c r="E791" s="41"/>
      <c r="F791" s="41"/>
      <c r="G791" s="41"/>
      <c r="H791" s="41"/>
      <c r="I791" s="41"/>
      <c r="J791" s="42"/>
      <c r="K791" s="41"/>
      <c r="L791" s="41"/>
      <c r="M791" s="127"/>
      <c r="N791" s="41"/>
      <c r="O791" s="41"/>
      <c r="P791" s="41"/>
      <c r="Q791" s="42"/>
      <c r="R791" s="35"/>
      <c r="S791" s="35"/>
      <c r="T791" s="35"/>
      <c r="U791" s="35"/>
      <c r="V791" s="121"/>
      <c r="W791" s="42"/>
      <c r="X791" s="42"/>
      <c r="Y791" s="42"/>
      <c r="Z791" s="42"/>
      <c r="AA791" s="42"/>
      <c r="AB791" s="42"/>
      <c r="AC791" s="42"/>
      <c r="AD791" s="42"/>
      <c r="AE791" s="42"/>
      <c r="AF791" s="42"/>
      <c r="AG791" s="42"/>
      <c r="AH791" s="42"/>
      <c r="AI791" s="42"/>
      <c r="AJ791" s="42"/>
      <c r="AK791" s="42"/>
      <c r="AL791" s="42"/>
      <c r="AM791" s="42"/>
    </row>
    <row r="792" spans="1:39" x14ac:dyDescent="0.25">
      <c r="A792" s="38" t="s">
        <v>1143</v>
      </c>
      <c r="B792" s="42"/>
      <c r="C792" s="42"/>
      <c r="D792" s="42"/>
      <c r="E792" s="41"/>
      <c r="F792" s="41"/>
      <c r="G792" s="41"/>
      <c r="H792" s="41"/>
      <c r="I792" s="41"/>
      <c r="J792" s="42"/>
      <c r="K792" s="41"/>
      <c r="L792" s="41"/>
      <c r="M792" s="127"/>
      <c r="N792" s="41"/>
      <c r="O792" s="41"/>
      <c r="P792" s="41"/>
      <c r="Q792" s="42"/>
      <c r="R792" s="35"/>
      <c r="S792" s="35"/>
      <c r="T792" s="35"/>
      <c r="U792" s="35"/>
      <c r="V792" s="121"/>
      <c r="W792" s="42"/>
      <c r="X792" s="42"/>
      <c r="Y792" s="42"/>
      <c r="Z792" s="42"/>
      <c r="AA792" s="42"/>
      <c r="AB792" s="42"/>
      <c r="AC792" s="42"/>
      <c r="AD792" s="42"/>
      <c r="AE792" s="42"/>
      <c r="AF792" s="42"/>
      <c r="AG792" s="42"/>
      <c r="AH792" s="42"/>
      <c r="AI792" s="42"/>
      <c r="AJ792" s="42"/>
      <c r="AK792" s="42"/>
      <c r="AL792" s="42"/>
      <c r="AM792" s="42"/>
    </row>
    <row r="793" spans="1:39" x14ac:dyDescent="0.25">
      <c r="A793" s="38" t="s">
        <v>1144</v>
      </c>
      <c r="B793" s="42"/>
      <c r="C793" s="42"/>
      <c r="D793" s="42"/>
      <c r="E793" s="41"/>
      <c r="F793" s="41"/>
      <c r="G793" s="41"/>
      <c r="H793" s="41"/>
      <c r="I793" s="41"/>
      <c r="J793" s="42"/>
      <c r="K793" s="41"/>
      <c r="L793" s="41"/>
      <c r="M793" s="127"/>
      <c r="N793" s="41"/>
      <c r="O793" s="41"/>
      <c r="P793" s="41"/>
      <c r="Q793" s="42"/>
      <c r="R793" s="35"/>
      <c r="S793" s="35"/>
      <c r="T793" s="35"/>
      <c r="U793" s="35"/>
      <c r="V793" s="121"/>
      <c r="W793" s="42"/>
      <c r="X793" s="42"/>
      <c r="Y793" s="42"/>
      <c r="Z793" s="42"/>
      <c r="AA793" s="42"/>
      <c r="AB793" s="42"/>
      <c r="AC793" s="42"/>
      <c r="AD793" s="42"/>
      <c r="AE793" s="42"/>
      <c r="AF793" s="42"/>
      <c r="AG793" s="42"/>
      <c r="AH793" s="42"/>
      <c r="AI793" s="42"/>
      <c r="AJ793" s="42"/>
      <c r="AK793" s="42"/>
      <c r="AL793" s="42"/>
      <c r="AM793" s="42"/>
    </row>
    <row r="794" spans="1:39" x14ac:dyDescent="0.25">
      <c r="A794" s="38" t="s">
        <v>1145</v>
      </c>
      <c r="B794" s="42"/>
      <c r="C794" s="42"/>
      <c r="D794" s="42"/>
      <c r="E794" s="41"/>
      <c r="F794" s="41"/>
      <c r="G794" s="41"/>
      <c r="H794" s="41"/>
      <c r="I794" s="41"/>
      <c r="J794" s="42"/>
      <c r="K794" s="41"/>
      <c r="L794" s="41"/>
      <c r="M794" s="127"/>
      <c r="N794" s="41"/>
      <c r="O794" s="41"/>
      <c r="P794" s="41"/>
      <c r="Q794" s="42"/>
      <c r="R794" s="35"/>
      <c r="S794" s="35"/>
      <c r="T794" s="35"/>
      <c r="U794" s="35"/>
      <c r="V794" s="121"/>
      <c r="W794" s="42"/>
      <c r="X794" s="42"/>
      <c r="Y794" s="42"/>
      <c r="Z794" s="42"/>
      <c r="AA794" s="42"/>
      <c r="AB794" s="42"/>
      <c r="AC794" s="42"/>
      <c r="AD794" s="42"/>
      <c r="AE794" s="42"/>
      <c r="AF794" s="42"/>
      <c r="AG794" s="42"/>
      <c r="AH794" s="42"/>
      <c r="AI794" s="42"/>
      <c r="AJ794" s="42"/>
      <c r="AK794" s="42"/>
      <c r="AL794" s="42"/>
      <c r="AM794" s="42"/>
    </row>
    <row r="795" spans="1:39" x14ac:dyDescent="0.25">
      <c r="A795" s="38" t="s">
        <v>1146</v>
      </c>
      <c r="B795" s="42"/>
      <c r="C795" s="42"/>
      <c r="D795" s="42"/>
      <c r="E795" s="41"/>
      <c r="F795" s="41"/>
      <c r="G795" s="41"/>
      <c r="H795" s="41"/>
      <c r="I795" s="41"/>
      <c r="J795" s="42"/>
      <c r="K795" s="41"/>
      <c r="L795" s="41"/>
      <c r="M795" s="127"/>
      <c r="N795" s="41"/>
      <c r="O795" s="41"/>
      <c r="P795" s="41"/>
      <c r="Q795" s="42"/>
      <c r="R795" s="35"/>
      <c r="S795" s="35"/>
      <c r="T795" s="35"/>
      <c r="U795" s="35"/>
      <c r="V795" s="121"/>
      <c r="W795" s="42"/>
      <c r="X795" s="42"/>
      <c r="Y795" s="42"/>
      <c r="Z795" s="42"/>
      <c r="AA795" s="42"/>
      <c r="AB795" s="42"/>
      <c r="AC795" s="42"/>
      <c r="AD795" s="42"/>
      <c r="AE795" s="42"/>
      <c r="AF795" s="42"/>
      <c r="AG795" s="42"/>
      <c r="AH795" s="42"/>
      <c r="AI795" s="42"/>
      <c r="AJ795" s="42"/>
      <c r="AK795" s="42"/>
      <c r="AL795" s="42"/>
      <c r="AM795" s="42"/>
    </row>
    <row r="796" spans="1:39" x14ac:dyDescent="0.25">
      <c r="A796" s="38" t="s">
        <v>1147</v>
      </c>
      <c r="B796" s="42"/>
      <c r="C796" s="42"/>
      <c r="D796" s="42"/>
      <c r="E796" s="41"/>
      <c r="F796" s="41"/>
      <c r="G796" s="41"/>
      <c r="H796" s="41"/>
      <c r="I796" s="41"/>
      <c r="J796" s="42"/>
      <c r="K796" s="41"/>
      <c r="L796" s="41"/>
      <c r="M796" s="127"/>
      <c r="N796" s="41"/>
      <c r="O796" s="41"/>
      <c r="P796" s="41"/>
      <c r="Q796" s="42"/>
      <c r="R796" s="35"/>
      <c r="S796" s="35"/>
      <c r="T796" s="35"/>
      <c r="U796" s="35"/>
      <c r="V796" s="121"/>
      <c r="W796" s="42"/>
      <c r="X796" s="42"/>
      <c r="Y796" s="42"/>
      <c r="Z796" s="42"/>
      <c r="AA796" s="42"/>
      <c r="AB796" s="42"/>
      <c r="AC796" s="42"/>
      <c r="AD796" s="42"/>
      <c r="AE796" s="42"/>
      <c r="AF796" s="42"/>
      <c r="AG796" s="42"/>
      <c r="AH796" s="42"/>
      <c r="AI796" s="42"/>
      <c r="AJ796" s="42"/>
      <c r="AK796" s="42"/>
      <c r="AL796" s="42"/>
      <c r="AM796" s="42"/>
    </row>
    <row r="797" spans="1:39" x14ac:dyDescent="0.25">
      <c r="A797" s="38" t="s">
        <v>1148</v>
      </c>
      <c r="B797" s="42"/>
      <c r="C797" s="42"/>
      <c r="D797" s="42"/>
      <c r="E797" s="41"/>
      <c r="F797" s="41"/>
      <c r="G797" s="41"/>
      <c r="H797" s="41"/>
      <c r="I797" s="41"/>
      <c r="J797" s="42"/>
      <c r="K797" s="41"/>
      <c r="L797" s="41"/>
      <c r="M797" s="127"/>
      <c r="N797" s="41"/>
      <c r="O797" s="41"/>
      <c r="P797" s="41"/>
      <c r="Q797" s="42"/>
      <c r="R797" s="35"/>
      <c r="S797" s="35"/>
      <c r="T797" s="35"/>
      <c r="U797" s="35"/>
      <c r="V797" s="121"/>
      <c r="W797" s="42"/>
      <c r="X797" s="42"/>
      <c r="Y797" s="42"/>
      <c r="Z797" s="42"/>
      <c r="AA797" s="42"/>
      <c r="AB797" s="42"/>
      <c r="AC797" s="42"/>
      <c r="AD797" s="42"/>
      <c r="AE797" s="42"/>
      <c r="AF797" s="42"/>
      <c r="AG797" s="42"/>
      <c r="AH797" s="42"/>
      <c r="AI797" s="42"/>
      <c r="AJ797" s="42"/>
      <c r="AK797" s="42"/>
      <c r="AL797" s="42"/>
      <c r="AM797" s="42"/>
    </row>
    <row r="798" spans="1:39" x14ac:dyDescent="0.25">
      <c r="A798" s="38" t="s">
        <v>1149</v>
      </c>
      <c r="B798" s="42"/>
      <c r="C798" s="42"/>
      <c r="D798" s="42"/>
      <c r="E798" s="41"/>
      <c r="F798" s="41"/>
      <c r="G798" s="41"/>
      <c r="H798" s="41"/>
      <c r="I798" s="41"/>
      <c r="J798" s="42"/>
      <c r="K798" s="41"/>
      <c r="L798" s="41"/>
      <c r="M798" s="127"/>
      <c r="N798" s="41"/>
      <c r="O798" s="41"/>
      <c r="P798" s="41"/>
      <c r="Q798" s="42"/>
      <c r="R798" s="35"/>
      <c r="S798" s="35"/>
      <c r="T798" s="35"/>
      <c r="U798" s="35"/>
      <c r="V798" s="121"/>
      <c r="W798" s="42"/>
      <c r="X798" s="42"/>
      <c r="Y798" s="42"/>
      <c r="Z798" s="42"/>
      <c r="AA798" s="42"/>
      <c r="AB798" s="42"/>
      <c r="AC798" s="42"/>
      <c r="AD798" s="42"/>
      <c r="AE798" s="42"/>
      <c r="AF798" s="42"/>
      <c r="AG798" s="42"/>
      <c r="AH798" s="42"/>
      <c r="AI798" s="42"/>
      <c r="AJ798" s="42"/>
      <c r="AK798" s="42"/>
      <c r="AL798" s="42"/>
      <c r="AM798" s="42"/>
    </row>
    <row r="799" spans="1:39" x14ac:dyDescent="0.25">
      <c r="A799" s="38" t="s">
        <v>1150</v>
      </c>
      <c r="B799" s="42"/>
      <c r="C799" s="42"/>
      <c r="D799" s="42"/>
      <c r="E799" s="41"/>
      <c r="F799" s="41"/>
      <c r="G799" s="41"/>
      <c r="H799" s="41"/>
      <c r="I799" s="41"/>
      <c r="J799" s="42"/>
      <c r="K799" s="41"/>
      <c r="L799" s="41"/>
      <c r="M799" s="127"/>
      <c r="N799" s="41"/>
      <c r="O799" s="41"/>
      <c r="P799" s="41"/>
      <c r="Q799" s="42"/>
      <c r="R799" s="35"/>
      <c r="S799" s="35"/>
      <c r="T799" s="35"/>
      <c r="U799" s="35"/>
      <c r="V799" s="121"/>
      <c r="W799" s="42"/>
      <c r="X799" s="42"/>
      <c r="Y799" s="42"/>
      <c r="Z799" s="42"/>
      <c r="AA799" s="42"/>
      <c r="AB799" s="42"/>
      <c r="AC799" s="42"/>
      <c r="AD799" s="42"/>
      <c r="AE799" s="42"/>
      <c r="AF799" s="42"/>
      <c r="AG799" s="42"/>
      <c r="AH799" s="42"/>
      <c r="AI799" s="42"/>
      <c r="AJ799" s="42"/>
      <c r="AK799" s="42"/>
      <c r="AL799" s="42"/>
      <c r="AM799" s="42"/>
    </row>
    <row r="800" spans="1:39" x14ac:dyDescent="0.25">
      <c r="A800" s="38" t="s">
        <v>1151</v>
      </c>
      <c r="B800" s="42"/>
      <c r="C800" s="42"/>
      <c r="D800" s="42"/>
      <c r="E800" s="41"/>
      <c r="F800" s="41"/>
      <c r="G800" s="41"/>
      <c r="H800" s="41"/>
      <c r="I800" s="41"/>
      <c r="J800" s="42"/>
      <c r="K800" s="41"/>
      <c r="L800" s="41"/>
      <c r="M800" s="127"/>
      <c r="N800" s="41"/>
      <c r="O800" s="41"/>
      <c r="P800" s="41"/>
      <c r="Q800" s="42"/>
      <c r="R800" s="35"/>
      <c r="S800" s="35"/>
      <c r="T800" s="35"/>
      <c r="U800" s="35"/>
      <c r="V800" s="121"/>
      <c r="W800" s="42"/>
      <c r="X800" s="42"/>
      <c r="Y800" s="42"/>
      <c r="Z800" s="42"/>
      <c r="AA800" s="42"/>
      <c r="AB800" s="42"/>
      <c r="AC800" s="42"/>
      <c r="AD800" s="42"/>
      <c r="AE800" s="42"/>
      <c r="AF800" s="42"/>
      <c r="AG800" s="42"/>
      <c r="AH800" s="42"/>
      <c r="AI800" s="42"/>
      <c r="AJ800" s="42"/>
      <c r="AK800" s="42"/>
      <c r="AL800" s="42"/>
      <c r="AM800" s="42"/>
    </row>
    <row r="801" spans="1:39" x14ac:dyDescent="0.25">
      <c r="A801" s="38" t="s">
        <v>1152</v>
      </c>
      <c r="B801" s="42"/>
      <c r="C801" s="42"/>
      <c r="D801" s="42"/>
      <c r="E801" s="41"/>
      <c r="F801" s="41"/>
      <c r="G801" s="41"/>
      <c r="H801" s="41"/>
      <c r="I801" s="41"/>
      <c r="J801" s="42"/>
      <c r="K801" s="41"/>
      <c r="L801" s="41"/>
      <c r="M801" s="127"/>
      <c r="N801" s="41"/>
      <c r="O801" s="41"/>
      <c r="P801" s="41"/>
      <c r="Q801" s="42"/>
      <c r="R801" s="35"/>
      <c r="S801" s="35"/>
      <c r="T801" s="35"/>
      <c r="U801" s="35"/>
      <c r="V801" s="121"/>
      <c r="W801" s="42"/>
      <c r="X801" s="42"/>
      <c r="Y801" s="42"/>
      <c r="Z801" s="42"/>
      <c r="AA801" s="42"/>
      <c r="AB801" s="42"/>
      <c r="AC801" s="42"/>
      <c r="AD801" s="42"/>
      <c r="AE801" s="42"/>
      <c r="AF801" s="42"/>
      <c r="AG801" s="42"/>
      <c r="AH801" s="42"/>
      <c r="AI801" s="42"/>
      <c r="AJ801" s="42"/>
      <c r="AK801" s="42"/>
      <c r="AL801" s="42"/>
      <c r="AM801" s="42"/>
    </row>
    <row r="802" spans="1:39" x14ac:dyDescent="0.25">
      <c r="A802" s="38" t="s">
        <v>1153</v>
      </c>
      <c r="B802" s="42"/>
      <c r="C802" s="42"/>
      <c r="D802" s="42"/>
      <c r="E802" s="41"/>
      <c r="F802" s="41"/>
      <c r="G802" s="41"/>
      <c r="H802" s="41"/>
      <c r="I802" s="41"/>
      <c r="J802" s="42"/>
      <c r="K802" s="41"/>
      <c r="L802" s="41"/>
      <c r="M802" s="127"/>
      <c r="N802" s="41"/>
      <c r="O802" s="41"/>
      <c r="P802" s="41"/>
      <c r="Q802" s="42"/>
      <c r="R802" s="35"/>
      <c r="S802" s="35"/>
      <c r="T802" s="35"/>
      <c r="U802" s="35"/>
      <c r="V802" s="121"/>
      <c r="W802" s="42"/>
      <c r="X802" s="42"/>
      <c r="Y802" s="42"/>
      <c r="Z802" s="42"/>
      <c r="AA802" s="42"/>
      <c r="AB802" s="42"/>
      <c r="AC802" s="42"/>
      <c r="AD802" s="42"/>
      <c r="AE802" s="42"/>
      <c r="AF802" s="42"/>
      <c r="AG802" s="42"/>
      <c r="AH802" s="42"/>
      <c r="AI802" s="42"/>
      <c r="AJ802" s="42"/>
      <c r="AK802" s="42"/>
      <c r="AL802" s="42"/>
      <c r="AM802" s="42"/>
    </row>
    <row r="803" spans="1:39" x14ac:dyDescent="0.25">
      <c r="A803" s="38" t="s">
        <v>1154</v>
      </c>
      <c r="B803" s="42"/>
      <c r="C803" s="42"/>
      <c r="D803" s="42"/>
      <c r="E803" s="41"/>
      <c r="F803" s="41"/>
      <c r="G803" s="41"/>
      <c r="H803" s="41"/>
      <c r="I803" s="41"/>
      <c r="J803" s="42"/>
      <c r="K803" s="41"/>
      <c r="L803" s="41"/>
      <c r="M803" s="127"/>
      <c r="N803" s="41"/>
      <c r="O803" s="41"/>
      <c r="P803" s="41"/>
      <c r="Q803" s="42"/>
      <c r="R803" s="35"/>
      <c r="S803" s="35"/>
      <c r="T803" s="35"/>
      <c r="U803" s="35"/>
      <c r="V803" s="121"/>
      <c r="W803" s="42"/>
      <c r="X803" s="42"/>
      <c r="Y803" s="42"/>
      <c r="Z803" s="42"/>
      <c r="AA803" s="42"/>
      <c r="AB803" s="42"/>
      <c r="AC803" s="42"/>
      <c r="AD803" s="42"/>
      <c r="AE803" s="42"/>
      <c r="AF803" s="42"/>
      <c r="AG803" s="42"/>
      <c r="AH803" s="42"/>
      <c r="AI803" s="42"/>
      <c r="AJ803" s="42"/>
      <c r="AK803" s="42"/>
      <c r="AL803" s="42"/>
      <c r="AM803" s="42"/>
    </row>
    <row r="804" spans="1:39" x14ac:dyDescent="0.25">
      <c r="A804" s="38" t="s">
        <v>1155</v>
      </c>
      <c r="B804" s="42"/>
      <c r="C804" s="42"/>
      <c r="D804" s="42"/>
      <c r="E804" s="41"/>
      <c r="F804" s="41"/>
      <c r="G804" s="41"/>
      <c r="H804" s="41"/>
      <c r="I804" s="41"/>
      <c r="J804" s="42"/>
      <c r="K804" s="41"/>
      <c r="L804" s="41"/>
      <c r="M804" s="127"/>
      <c r="N804" s="41"/>
      <c r="O804" s="41"/>
      <c r="P804" s="41"/>
      <c r="Q804" s="42"/>
      <c r="R804" s="35"/>
      <c r="S804" s="35"/>
      <c r="T804" s="35"/>
      <c r="U804" s="35"/>
      <c r="V804" s="121"/>
      <c r="W804" s="42"/>
      <c r="X804" s="42"/>
      <c r="Y804" s="42"/>
      <c r="Z804" s="42"/>
      <c r="AA804" s="42"/>
      <c r="AB804" s="42"/>
      <c r="AC804" s="42"/>
      <c r="AD804" s="42"/>
      <c r="AE804" s="42"/>
      <c r="AF804" s="42"/>
      <c r="AG804" s="42"/>
      <c r="AH804" s="42"/>
      <c r="AI804" s="42"/>
      <c r="AJ804" s="42"/>
      <c r="AK804" s="42"/>
      <c r="AL804" s="42"/>
      <c r="AM804" s="42"/>
    </row>
    <row r="805" spans="1:39" x14ac:dyDescent="0.25">
      <c r="A805" s="38" t="s">
        <v>1156</v>
      </c>
      <c r="B805" s="42"/>
      <c r="C805" s="42"/>
      <c r="D805" s="42"/>
      <c r="E805" s="41"/>
      <c r="F805" s="41"/>
      <c r="G805" s="41"/>
      <c r="H805" s="41"/>
      <c r="I805" s="41"/>
      <c r="J805" s="42"/>
      <c r="K805" s="41"/>
      <c r="L805" s="41"/>
      <c r="M805" s="127"/>
      <c r="N805" s="41"/>
      <c r="O805" s="41"/>
      <c r="P805" s="41"/>
      <c r="Q805" s="42"/>
      <c r="R805" s="35"/>
      <c r="S805" s="35"/>
      <c r="T805" s="35"/>
      <c r="U805" s="35"/>
      <c r="V805" s="121"/>
      <c r="W805" s="42"/>
      <c r="X805" s="42"/>
      <c r="Y805" s="42"/>
      <c r="Z805" s="42"/>
      <c r="AA805" s="42"/>
      <c r="AB805" s="42"/>
      <c r="AC805" s="42"/>
      <c r="AD805" s="42"/>
      <c r="AE805" s="42"/>
      <c r="AF805" s="42"/>
      <c r="AG805" s="42"/>
      <c r="AH805" s="42"/>
      <c r="AI805" s="42"/>
      <c r="AJ805" s="42"/>
      <c r="AK805" s="42"/>
      <c r="AL805" s="42"/>
      <c r="AM805" s="42"/>
    </row>
    <row r="806" spans="1:39" x14ac:dyDescent="0.25">
      <c r="A806" s="38" t="s">
        <v>1157</v>
      </c>
      <c r="B806" s="42"/>
      <c r="C806" s="42"/>
      <c r="D806" s="42"/>
      <c r="E806" s="41"/>
      <c r="F806" s="41"/>
      <c r="G806" s="41"/>
      <c r="H806" s="41"/>
      <c r="I806" s="41"/>
      <c r="J806" s="42"/>
      <c r="K806" s="41"/>
      <c r="L806" s="41"/>
      <c r="M806" s="127"/>
      <c r="N806" s="41"/>
      <c r="O806" s="41"/>
      <c r="P806" s="41"/>
      <c r="Q806" s="42"/>
      <c r="R806" s="35"/>
      <c r="S806" s="35"/>
      <c r="T806" s="35"/>
      <c r="U806" s="35"/>
      <c r="V806" s="121"/>
      <c r="W806" s="42"/>
      <c r="X806" s="42"/>
      <c r="Y806" s="42"/>
      <c r="Z806" s="42"/>
      <c r="AA806" s="42"/>
      <c r="AB806" s="42"/>
      <c r="AC806" s="42"/>
      <c r="AD806" s="42"/>
      <c r="AE806" s="42"/>
      <c r="AF806" s="42"/>
      <c r="AG806" s="42"/>
      <c r="AH806" s="42"/>
      <c r="AI806" s="42"/>
      <c r="AJ806" s="42"/>
      <c r="AK806" s="42"/>
      <c r="AL806" s="42"/>
      <c r="AM806" s="42"/>
    </row>
    <row r="807" spans="1:39" x14ac:dyDescent="0.25">
      <c r="A807" s="38" t="s">
        <v>1158</v>
      </c>
      <c r="B807" s="42"/>
      <c r="C807" s="42"/>
      <c r="D807" s="42"/>
      <c r="E807" s="41"/>
      <c r="F807" s="41"/>
      <c r="G807" s="41"/>
      <c r="H807" s="41"/>
      <c r="I807" s="41"/>
      <c r="J807" s="42"/>
      <c r="K807" s="41"/>
      <c r="L807" s="41"/>
      <c r="M807" s="127"/>
      <c r="N807" s="41"/>
      <c r="O807" s="41"/>
      <c r="P807" s="41"/>
      <c r="Q807" s="42"/>
      <c r="R807" s="35"/>
      <c r="S807" s="35"/>
      <c r="T807" s="35"/>
      <c r="U807" s="35"/>
      <c r="V807" s="121"/>
      <c r="W807" s="42"/>
      <c r="X807" s="42"/>
      <c r="Y807" s="42"/>
      <c r="Z807" s="42"/>
      <c r="AA807" s="42"/>
      <c r="AB807" s="42"/>
      <c r="AC807" s="42"/>
      <c r="AD807" s="42"/>
      <c r="AE807" s="42"/>
      <c r="AF807" s="42"/>
      <c r="AG807" s="42"/>
      <c r="AH807" s="42"/>
      <c r="AI807" s="42"/>
      <c r="AJ807" s="42"/>
      <c r="AK807" s="42"/>
      <c r="AL807" s="42"/>
      <c r="AM807" s="42"/>
    </row>
    <row r="808" spans="1:39" x14ac:dyDescent="0.25">
      <c r="A808" s="38" t="s">
        <v>1159</v>
      </c>
      <c r="B808" s="42"/>
      <c r="C808" s="42"/>
      <c r="D808" s="42"/>
      <c r="E808" s="41"/>
      <c r="F808" s="41"/>
      <c r="G808" s="41"/>
      <c r="H808" s="41"/>
      <c r="I808" s="41"/>
      <c r="J808" s="42"/>
      <c r="K808" s="41"/>
      <c r="L808" s="41"/>
      <c r="M808" s="127"/>
      <c r="N808" s="41"/>
      <c r="O808" s="41"/>
      <c r="P808" s="41"/>
      <c r="Q808" s="42"/>
      <c r="R808" s="35"/>
      <c r="S808" s="35"/>
      <c r="T808" s="35"/>
      <c r="U808" s="35"/>
      <c r="V808" s="121"/>
      <c r="W808" s="42"/>
      <c r="X808" s="42"/>
      <c r="Y808" s="42"/>
      <c r="Z808" s="42"/>
      <c r="AA808" s="42"/>
      <c r="AB808" s="42"/>
      <c r="AC808" s="42"/>
      <c r="AD808" s="42"/>
      <c r="AE808" s="42"/>
      <c r="AF808" s="42"/>
      <c r="AG808" s="42"/>
      <c r="AH808" s="42"/>
      <c r="AI808" s="42"/>
      <c r="AJ808" s="42"/>
      <c r="AK808" s="42"/>
      <c r="AL808" s="42"/>
      <c r="AM808" s="42"/>
    </row>
    <row r="809" spans="1:39" x14ac:dyDescent="0.25">
      <c r="A809" s="38" t="s">
        <v>1160</v>
      </c>
      <c r="B809" s="42"/>
      <c r="C809" s="42"/>
      <c r="D809" s="42"/>
      <c r="E809" s="41"/>
      <c r="F809" s="41"/>
      <c r="G809" s="41"/>
      <c r="H809" s="41"/>
      <c r="I809" s="41"/>
      <c r="J809" s="42"/>
      <c r="K809" s="41"/>
      <c r="L809" s="41"/>
      <c r="M809" s="127"/>
      <c r="N809" s="41"/>
      <c r="O809" s="41"/>
      <c r="P809" s="41"/>
      <c r="Q809" s="42"/>
      <c r="R809" s="35"/>
      <c r="S809" s="35"/>
      <c r="T809" s="35"/>
      <c r="U809" s="35"/>
      <c r="V809" s="121"/>
      <c r="W809" s="42"/>
      <c r="X809" s="42"/>
      <c r="Y809" s="42"/>
      <c r="Z809" s="42"/>
      <c r="AA809" s="42"/>
      <c r="AB809" s="42"/>
      <c r="AC809" s="42"/>
      <c r="AD809" s="42"/>
      <c r="AE809" s="42"/>
      <c r="AF809" s="42"/>
      <c r="AG809" s="42"/>
      <c r="AH809" s="42"/>
      <c r="AI809" s="42"/>
      <c r="AJ809" s="42"/>
      <c r="AK809" s="42"/>
      <c r="AL809" s="42"/>
      <c r="AM809" s="42"/>
    </row>
    <row r="810" spans="1:39" x14ac:dyDescent="0.25">
      <c r="A810" s="38" t="s">
        <v>1161</v>
      </c>
      <c r="B810" s="42"/>
      <c r="C810" s="42"/>
      <c r="D810" s="42"/>
      <c r="E810" s="41"/>
      <c r="F810" s="41"/>
      <c r="G810" s="41"/>
      <c r="H810" s="41"/>
      <c r="I810" s="41"/>
      <c r="J810" s="42"/>
      <c r="K810" s="41"/>
      <c r="L810" s="41"/>
      <c r="M810" s="127"/>
      <c r="N810" s="41"/>
      <c r="O810" s="41"/>
      <c r="P810" s="41"/>
      <c r="Q810" s="42"/>
      <c r="R810" s="35"/>
      <c r="S810" s="35"/>
      <c r="T810" s="35"/>
      <c r="U810" s="35"/>
      <c r="V810" s="121"/>
      <c r="W810" s="42"/>
      <c r="X810" s="42"/>
      <c r="Y810" s="42"/>
      <c r="Z810" s="42"/>
      <c r="AA810" s="42"/>
      <c r="AB810" s="42"/>
      <c r="AC810" s="42"/>
      <c r="AD810" s="42"/>
      <c r="AE810" s="42"/>
      <c r="AF810" s="42"/>
      <c r="AG810" s="42"/>
      <c r="AH810" s="42"/>
      <c r="AI810" s="42"/>
      <c r="AJ810" s="42"/>
      <c r="AK810" s="42"/>
      <c r="AL810" s="42"/>
      <c r="AM810" s="42"/>
    </row>
    <row r="811" spans="1:39" x14ac:dyDescent="0.25">
      <c r="A811" s="38" t="s">
        <v>1162</v>
      </c>
      <c r="B811" s="42"/>
      <c r="C811" s="42"/>
      <c r="D811" s="42"/>
      <c r="E811" s="41"/>
      <c r="F811" s="41"/>
      <c r="G811" s="41"/>
      <c r="H811" s="41"/>
      <c r="I811" s="41"/>
      <c r="J811" s="42"/>
      <c r="K811" s="41"/>
      <c r="L811" s="41"/>
      <c r="M811" s="127"/>
      <c r="N811" s="41"/>
      <c r="O811" s="41"/>
      <c r="P811" s="41"/>
      <c r="Q811" s="42"/>
      <c r="R811" s="35"/>
      <c r="S811" s="35"/>
      <c r="T811" s="35"/>
      <c r="U811" s="35"/>
      <c r="V811" s="121"/>
      <c r="W811" s="42"/>
      <c r="X811" s="42"/>
      <c r="Y811" s="42"/>
      <c r="Z811" s="42"/>
      <c r="AA811" s="42"/>
      <c r="AB811" s="42"/>
      <c r="AC811" s="42"/>
      <c r="AD811" s="42"/>
      <c r="AE811" s="42"/>
      <c r="AF811" s="42"/>
      <c r="AG811" s="42"/>
      <c r="AH811" s="42"/>
      <c r="AI811" s="42"/>
      <c r="AJ811" s="42"/>
      <c r="AK811" s="42"/>
      <c r="AL811" s="42"/>
      <c r="AM811" s="42"/>
    </row>
    <row r="812" spans="1:39" x14ac:dyDescent="0.25">
      <c r="A812" s="38" t="s">
        <v>1163</v>
      </c>
      <c r="B812" s="42"/>
      <c r="C812" s="42"/>
      <c r="D812" s="42"/>
      <c r="E812" s="41"/>
      <c r="F812" s="41"/>
      <c r="G812" s="41"/>
      <c r="H812" s="41"/>
      <c r="I812" s="41"/>
      <c r="J812" s="42"/>
      <c r="K812" s="41"/>
      <c r="L812" s="41"/>
      <c r="M812" s="127"/>
      <c r="N812" s="41"/>
      <c r="O812" s="41"/>
      <c r="P812" s="41"/>
      <c r="Q812" s="42"/>
      <c r="R812" s="35"/>
      <c r="S812" s="35"/>
      <c r="T812" s="35"/>
      <c r="U812" s="35"/>
      <c r="V812" s="121"/>
      <c r="W812" s="42"/>
      <c r="X812" s="42"/>
      <c r="Y812" s="42"/>
      <c r="Z812" s="42"/>
      <c r="AA812" s="42"/>
      <c r="AB812" s="42"/>
      <c r="AC812" s="42"/>
      <c r="AD812" s="42"/>
      <c r="AE812" s="42"/>
      <c r="AF812" s="42"/>
      <c r="AG812" s="42"/>
      <c r="AH812" s="42"/>
      <c r="AI812" s="42"/>
      <c r="AJ812" s="42"/>
      <c r="AK812" s="42"/>
      <c r="AL812" s="42"/>
      <c r="AM812" s="42"/>
    </row>
    <row r="813" spans="1:39" x14ac:dyDescent="0.25">
      <c r="A813" s="38" t="s">
        <v>1164</v>
      </c>
      <c r="B813" s="42"/>
      <c r="C813" s="42"/>
      <c r="D813" s="42"/>
      <c r="E813" s="41"/>
      <c r="F813" s="41"/>
      <c r="G813" s="41"/>
      <c r="H813" s="41"/>
      <c r="I813" s="41"/>
      <c r="J813" s="42"/>
      <c r="K813" s="41"/>
      <c r="L813" s="41"/>
      <c r="M813" s="127"/>
      <c r="N813" s="41"/>
      <c r="O813" s="41"/>
      <c r="P813" s="41"/>
      <c r="Q813" s="42"/>
      <c r="R813" s="35"/>
      <c r="S813" s="35"/>
      <c r="T813" s="35"/>
      <c r="U813" s="35"/>
      <c r="V813" s="121"/>
      <c r="W813" s="42"/>
      <c r="X813" s="42"/>
      <c r="Y813" s="42"/>
      <c r="Z813" s="42"/>
      <c r="AA813" s="42"/>
      <c r="AB813" s="42"/>
      <c r="AC813" s="42"/>
      <c r="AD813" s="42"/>
      <c r="AE813" s="42"/>
      <c r="AF813" s="42"/>
      <c r="AG813" s="42"/>
      <c r="AH813" s="42"/>
      <c r="AI813" s="42"/>
      <c r="AJ813" s="42"/>
      <c r="AK813" s="42"/>
      <c r="AL813" s="42"/>
      <c r="AM813" s="42"/>
    </row>
    <row r="814" spans="1:39" x14ac:dyDescent="0.25">
      <c r="A814" s="38" t="s">
        <v>1165</v>
      </c>
      <c r="B814" s="42"/>
      <c r="C814" s="42"/>
      <c r="D814" s="42"/>
      <c r="E814" s="41"/>
      <c r="F814" s="41"/>
      <c r="G814" s="41"/>
      <c r="H814" s="41"/>
      <c r="I814" s="41"/>
      <c r="J814" s="42"/>
      <c r="K814" s="41"/>
      <c r="L814" s="41"/>
      <c r="M814" s="127"/>
      <c r="N814" s="41"/>
      <c r="O814" s="41"/>
      <c r="P814" s="41"/>
      <c r="Q814" s="42"/>
      <c r="R814" s="35"/>
      <c r="S814" s="35"/>
      <c r="T814" s="35"/>
      <c r="U814" s="35"/>
      <c r="V814" s="121"/>
      <c r="W814" s="42"/>
      <c r="X814" s="42"/>
      <c r="Y814" s="42"/>
      <c r="Z814" s="42"/>
      <c r="AA814" s="42"/>
      <c r="AB814" s="42"/>
      <c r="AC814" s="42"/>
      <c r="AD814" s="42"/>
      <c r="AE814" s="42"/>
      <c r="AF814" s="42"/>
      <c r="AG814" s="42"/>
      <c r="AH814" s="42"/>
      <c r="AI814" s="42"/>
      <c r="AJ814" s="42"/>
      <c r="AK814" s="42"/>
      <c r="AL814" s="42"/>
      <c r="AM814" s="42"/>
    </row>
    <row r="815" spans="1:39" x14ac:dyDescent="0.25">
      <c r="A815" s="38" t="s">
        <v>1166</v>
      </c>
      <c r="B815" s="42"/>
      <c r="C815" s="42"/>
      <c r="D815" s="42"/>
      <c r="E815" s="41"/>
      <c r="F815" s="41"/>
      <c r="G815" s="41"/>
      <c r="H815" s="41"/>
      <c r="I815" s="41"/>
      <c r="J815" s="42"/>
      <c r="K815" s="41"/>
      <c r="L815" s="41"/>
      <c r="M815" s="127"/>
      <c r="N815" s="41"/>
      <c r="O815" s="41"/>
      <c r="P815" s="41"/>
      <c r="Q815" s="42"/>
      <c r="R815" s="35"/>
      <c r="S815" s="35"/>
      <c r="T815" s="35"/>
      <c r="U815" s="35"/>
      <c r="V815" s="121"/>
      <c r="W815" s="42"/>
      <c r="X815" s="42"/>
      <c r="Y815" s="42"/>
      <c r="Z815" s="42"/>
      <c r="AA815" s="42"/>
      <c r="AB815" s="42"/>
      <c r="AC815" s="42"/>
      <c r="AD815" s="42"/>
      <c r="AE815" s="42"/>
      <c r="AF815" s="42"/>
      <c r="AG815" s="42"/>
      <c r="AH815" s="42"/>
      <c r="AI815" s="42"/>
      <c r="AJ815" s="42"/>
      <c r="AK815" s="42"/>
      <c r="AL815" s="42"/>
      <c r="AM815" s="42"/>
    </row>
    <row r="816" spans="1:39" x14ac:dyDescent="0.25">
      <c r="A816" s="38" t="s">
        <v>1167</v>
      </c>
      <c r="B816" s="42"/>
      <c r="C816" s="42"/>
      <c r="D816" s="42"/>
      <c r="E816" s="41"/>
      <c r="F816" s="41"/>
      <c r="G816" s="41"/>
      <c r="H816" s="41"/>
      <c r="I816" s="41"/>
      <c r="J816" s="42"/>
      <c r="K816" s="41"/>
      <c r="L816" s="41"/>
      <c r="M816" s="127"/>
      <c r="N816" s="41"/>
      <c r="O816" s="41"/>
      <c r="P816" s="41"/>
      <c r="Q816" s="42"/>
      <c r="R816" s="35"/>
      <c r="S816" s="35"/>
      <c r="T816" s="35"/>
      <c r="U816" s="35"/>
      <c r="V816" s="121"/>
      <c r="W816" s="42"/>
      <c r="X816" s="42"/>
      <c r="Y816" s="42"/>
      <c r="Z816" s="42"/>
      <c r="AA816" s="42"/>
      <c r="AB816" s="42"/>
      <c r="AC816" s="42"/>
      <c r="AD816" s="42"/>
      <c r="AE816" s="42"/>
      <c r="AF816" s="42"/>
      <c r="AG816" s="42"/>
      <c r="AH816" s="42"/>
      <c r="AI816" s="42"/>
      <c r="AJ816" s="42"/>
      <c r="AK816" s="42"/>
      <c r="AL816" s="42"/>
      <c r="AM816" s="42"/>
    </row>
    <row r="817" spans="1:39" x14ac:dyDescent="0.25">
      <c r="A817" s="38" t="s">
        <v>1168</v>
      </c>
      <c r="B817" s="42"/>
      <c r="C817" s="42"/>
      <c r="D817" s="42"/>
      <c r="E817" s="41"/>
      <c r="F817" s="41"/>
      <c r="G817" s="41"/>
      <c r="H817" s="41"/>
      <c r="I817" s="41"/>
      <c r="J817" s="42"/>
      <c r="K817" s="41"/>
      <c r="L817" s="41"/>
      <c r="M817" s="127"/>
      <c r="N817" s="41"/>
      <c r="O817" s="41"/>
      <c r="P817" s="41"/>
      <c r="Q817" s="42"/>
      <c r="R817" s="35"/>
      <c r="S817" s="35"/>
      <c r="T817" s="35"/>
      <c r="U817" s="35"/>
      <c r="V817" s="121"/>
      <c r="W817" s="42"/>
      <c r="X817" s="42"/>
      <c r="Y817" s="42"/>
      <c r="Z817" s="42"/>
      <c r="AA817" s="42"/>
      <c r="AB817" s="42"/>
      <c r="AC817" s="42"/>
      <c r="AD817" s="42"/>
      <c r="AE817" s="42"/>
      <c r="AF817" s="42"/>
      <c r="AG817" s="42"/>
      <c r="AH817" s="42"/>
      <c r="AI817" s="42"/>
      <c r="AJ817" s="42"/>
      <c r="AK817" s="42"/>
      <c r="AL817" s="42"/>
      <c r="AM817" s="42"/>
    </row>
    <row r="818" spans="1:39" x14ac:dyDescent="0.25">
      <c r="A818" s="38" t="s">
        <v>1169</v>
      </c>
      <c r="B818" s="42"/>
      <c r="C818" s="42"/>
      <c r="D818" s="42"/>
      <c r="E818" s="41"/>
      <c r="F818" s="41"/>
      <c r="G818" s="41"/>
      <c r="H818" s="41"/>
      <c r="I818" s="41"/>
      <c r="J818" s="42"/>
      <c r="K818" s="41"/>
      <c r="L818" s="41"/>
      <c r="M818" s="127"/>
      <c r="N818" s="41"/>
      <c r="O818" s="41"/>
      <c r="P818" s="41"/>
      <c r="Q818" s="42"/>
      <c r="R818" s="35"/>
      <c r="S818" s="35"/>
      <c r="T818" s="35"/>
      <c r="U818" s="35"/>
      <c r="V818" s="121"/>
      <c r="W818" s="42"/>
      <c r="X818" s="42"/>
      <c r="Y818" s="42"/>
      <c r="Z818" s="42"/>
      <c r="AA818" s="42"/>
      <c r="AB818" s="42"/>
      <c r="AC818" s="42"/>
      <c r="AD818" s="42"/>
      <c r="AE818" s="42"/>
      <c r="AF818" s="42"/>
      <c r="AG818" s="42"/>
      <c r="AH818" s="42"/>
      <c r="AI818" s="42"/>
      <c r="AJ818" s="42"/>
      <c r="AK818" s="42"/>
      <c r="AL818" s="42"/>
      <c r="AM818" s="42"/>
    </row>
    <row r="819" spans="1:39" x14ac:dyDescent="0.25">
      <c r="A819" s="38" t="s">
        <v>1170</v>
      </c>
      <c r="B819" s="42"/>
      <c r="C819" s="42"/>
      <c r="D819" s="42"/>
      <c r="E819" s="41"/>
      <c r="F819" s="41"/>
      <c r="G819" s="41"/>
      <c r="H819" s="41"/>
      <c r="I819" s="41"/>
      <c r="J819" s="42"/>
      <c r="K819" s="41"/>
      <c r="L819" s="41"/>
      <c r="M819" s="127"/>
      <c r="N819" s="41"/>
      <c r="O819" s="41"/>
      <c r="P819" s="41"/>
      <c r="Q819" s="42"/>
      <c r="R819" s="35"/>
      <c r="S819" s="35"/>
      <c r="T819" s="35"/>
      <c r="U819" s="35"/>
      <c r="V819" s="121"/>
      <c r="W819" s="42"/>
      <c r="X819" s="42"/>
      <c r="Y819" s="42"/>
      <c r="Z819" s="42"/>
      <c r="AA819" s="42"/>
      <c r="AB819" s="42"/>
      <c r="AC819" s="42"/>
      <c r="AD819" s="42"/>
      <c r="AE819" s="42"/>
      <c r="AF819" s="42"/>
      <c r="AG819" s="42"/>
      <c r="AH819" s="42"/>
      <c r="AI819" s="42"/>
      <c r="AJ819" s="42"/>
      <c r="AK819" s="42"/>
      <c r="AL819" s="42"/>
      <c r="AM819" s="42"/>
    </row>
    <row r="820" spans="1:39" x14ac:dyDescent="0.25">
      <c r="A820" s="38" t="s">
        <v>1171</v>
      </c>
      <c r="B820" s="42"/>
      <c r="C820" s="42"/>
      <c r="D820" s="42"/>
      <c r="E820" s="41"/>
      <c r="F820" s="41"/>
      <c r="G820" s="41"/>
      <c r="H820" s="41"/>
      <c r="I820" s="41"/>
      <c r="J820" s="42"/>
      <c r="K820" s="41"/>
      <c r="L820" s="41"/>
      <c r="M820" s="127"/>
      <c r="N820" s="41"/>
      <c r="O820" s="41"/>
      <c r="P820" s="41"/>
      <c r="Q820" s="42"/>
      <c r="R820" s="35"/>
      <c r="S820" s="35"/>
      <c r="T820" s="35"/>
      <c r="U820" s="35"/>
      <c r="V820" s="121"/>
      <c r="W820" s="42"/>
      <c r="X820" s="42"/>
      <c r="Y820" s="42"/>
      <c r="Z820" s="42"/>
      <c r="AA820" s="42"/>
      <c r="AB820" s="42"/>
      <c r="AC820" s="42"/>
      <c r="AD820" s="42"/>
      <c r="AE820" s="42"/>
      <c r="AF820" s="42"/>
      <c r="AG820" s="42"/>
      <c r="AH820" s="42"/>
      <c r="AI820" s="42"/>
      <c r="AJ820" s="42"/>
      <c r="AK820" s="42"/>
      <c r="AL820" s="42"/>
      <c r="AM820" s="42"/>
    </row>
    <row r="821" spans="1:39" x14ac:dyDescent="0.25">
      <c r="A821" s="38" t="s">
        <v>1172</v>
      </c>
      <c r="B821" s="42"/>
      <c r="C821" s="42"/>
      <c r="D821" s="42"/>
      <c r="E821" s="41"/>
      <c r="F821" s="41"/>
      <c r="G821" s="41"/>
      <c r="H821" s="41"/>
      <c r="I821" s="41"/>
      <c r="J821" s="42"/>
      <c r="K821" s="41"/>
      <c r="L821" s="41"/>
      <c r="M821" s="127"/>
      <c r="N821" s="41"/>
      <c r="O821" s="41"/>
      <c r="P821" s="41"/>
      <c r="Q821" s="42"/>
      <c r="R821" s="35"/>
      <c r="S821" s="35"/>
      <c r="T821" s="35"/>
      <c r="U821" s="35"/>
      <c r="V821" s="121"/>
      <c r="W821" s="42"/>
      <c r="X821" s="42"/>
      <c r="Y821" s="42"/>
      <c r="Z821" s="42"/>
      <c r="AA821" s="42"/>
      <c r="AB821" s="42"/>
      <c r="AC821" s="42"/>
      <c r="AD821" s="42"/>
      <c r="AE821" s="42"/>
      <c r="AF821" s="42"/>
      <c r="AG821" s="42"/>
      <c r="AH821" s="42"/>
      <c r="AI821" s="42"/>
      <c r="AJ821" s="42"/>
      <c r="AK821" s="42"/>
      <c r="AL821" s="42"/>
      <c r="AM821" s="42"/>
    </row>
    <row r="822" spans="1:39" x14ac:dyDescent="0.25">
      <c r="A822" s="38" t="s">
        <v>1173</v>
      </c>
      <c r="B822" s="42"/>
      <c r="C822" s="42"/>
      <c r="D822" s="42"/>
      <c r="E822" s="41"/>
      <c r="F822" s="41"/>
      <c r="G822" s="41"/>
      <c r="H822" s="41"/>
      <c r="I822" s="41"/>
      <c r="J822" s="42"/>
      <c r="K822" s="41"/>
      <c r="L822" s="41"/>
      <c r="M822" s="127"/>
      <c r="N822" s="41"/>
      <c r="O822" s="41"/>
      <c r="P822" s="41"/>
      <c r="Q822" s="42"/>
      <c r="R822" s="35"/>
      <c r="S822" s="35"/>
      <c r="T822" s="35"/>
      <c r="U822" s="35"/>
      <c r="V822" s="121"/>
      <c r="W822" s="42"/>
      <c r="X822" s="42"/>
      <c r="Y822" s="42"/>
      <c r="Z822" s="42"/>
      <c r="AA822" s="42"/>
      <c r="AB822" s="42"/>
      <c r="AC822" s="42"/>
      <c r="AD822" s="42"/>
      <c r="AE822" s="42"/>
      <c r="AF822" s="42"/>
      <c r="AG822" s="42"/>
      <c r="AH822" s="42"/>
      <c r="AI822" s="42"/>
      <c r="AJ822" s="42"/>
      <c r="AK822" s="42"/>
      <c r="AL822" s="42"/>
      <c r="AM822" s="42"/>
    </row>
    <row r="823" spans="1:39" x14ac:dyDescent="0.25">
      <c r="A823" s="38" t="s">
        <v>1174</v>
      </c>
      <c r="B823" s="42"/>
      <c r="C823" s="42"/>
      <c r="D823" s="42"/>
      <c r="E823" s="41"/>
      <c r="F823" s="41"/>
      <c r="G823" s="41"/>
      <c r="H823" s="41"/>
      <c r="I823" s="41"/>
      <c r="J823" s="42"/>
      <c r="K823" s="41"/>
      <c r="L823" s="41"/>
      <c r="M823" s="127"/>
      <c r="N823" s="41"/>
      <c r="O823" s="41"/>
      <c r="P823" s="41"/>
      <c r="Q823" s="42"/>
      <c r="R823" s="35"/>
      <c r="S823" s="35"/>
      <c r="T823" s="35"/>
      <c r="U823" s="35"/>
      <c r="V823" s="121"/>
      <c r="W823" s="42"/>
      <c r="X823" s="42"/>
      <c r="Y823" s="42"/>
      <c r="Z823" s="42"/>
      <c r="AA823" s="42"/>
      <c r="AB823" s="42"/>
      <c r="AC823" s="42"/>
      <c r="AD823" s="42"/>
      <c r="AE823" s="42"/>
      <c r="AF823" s="42"/>
      <c r="AG823" s="42"/>
      <c r="AH823" s="42"/>
      <c r="AI823" s="42"/>
      <c r="AJ823" s="42"/>
      <c r="AK823" s="42"/>
      <c r="AL823" s="42"/>
      <c r="AM823" s="42"/>
    </row>
    <row r="824" spans="1:39" x14ac:dyDescent="0.25">
      <c r="A824" s="38" t="s">
        <v>1175</v>
      </c>
      <c r="B824" s="42"/>
      <c r="C824" s="42"/>
      <c r="D824" s="42"/>
      <c r="E824" s="41"/>
      <c r="F824" s="41"/>
      <c r="G824" s="41"/>
      <c r="H824" s="41"/>
      <c r="I824" s="41"/>
      <c r="J824" s="42"/>
      <c r="K824" s="41"/>
      <c r="L824" s="41"/>
      <c r="M824" s="127"/>
      <c r="N824" s="41"/>
      <c r="O824" s="41"/>
      <c r="P824" s="41"/>
      <c r="Q824" s="42"/>
      <c r="R824" s="35"/>
      <c r="S824" s="35"/>
      <c r="T824" s="35"/>
      <c r="U824" s="35"/>
      <c r="V824" s="121"/>
      <c r="W824" s="42"/>
      <c r="X824" s="42"/>
      <c r="Y824" s="42"/>
      <c r="Z824" s="42"/>
      <c r="AA824" s="42"/>
      <c r="AB824" s="42"/>
      <c r="AC824" s="42"/>
      <c r="AD824" s="42"/>
      <c r="AE824" s="42"/>
      <c r="AF824" s="42"/>
      <c r="AG824" s="42"/>
      <c r="AH824" s="42"/>
      <c r="AI824" s="42"/>
      <c r="AJ824" s="42"/>
      <c r="AK824" s="42"/>
      <c r="AL824" s="42"/>
      <c r="AM824" s="42"/>
    </row>
    <row r="825" spans="1:39" x14ac:dyDescent="0.25">
      <c r="A825" s="38" t="s">
        <v>1176</v>
      </c>
      <c r="B825" s="42"/>
      <c r="C825" s="42"/>
      <c r="D825" s="42"/>
      <c r="E825" s="41"/>
      <c r="F825" s="41"/>
      <c r="G825" s="41"/>
      <c r="H825" s="41"/>
      <c r="I825" s="41"/>
      <c r="J825" s="42"/>
      <c r="K825" s="41"/>
      <c r="L825" s="41"/>
      <c r="M825" s="127"/>
      <c r="N825" s="41"/>
      <c r="O825" s="41"/>
      <c r="P825" s="41"/>
      <c r="Q825" s="42"/>
      <c r="R825" s="35"/>
      <c r="S825" s="35"/>
      <c r="T825" s="35"/>
      <c r="U825" s="35"/>
      <c r="V825" s="121"/>
      <c r="W825" s="42"/>
      <c r="X825" s="42"/>
      <c r="Y825" s="42"/>
      <c r="Z825" s="42"/>
      <c r="AA825" s="42"/>
      <c r="AB825" s="42"/>
      <c r="AC825" s="42"/>
      <c r="AD825" s="42"/>
      <c r="AE825" s="42"/>
      <c r="AF825" s="42"/>
      <c r="AG825" s="42"/>
      <c r="AH825" s="42"/>
      <c r="AI825" s="42"/>
      <c r="AJ825" s="42"/>
      <c r="AK825" s="42"/>
      <c r="AL825" s="42"/>
      <c r="AM825" s="42"/>
    </row>
    <row r="826" spans="1:39" x14ac:dyDescent="0.25">
      <c r="A826" s="38" t="s">
        <v>1177</v>
      </c>
      <c r="B826" s="42"/>
      <c r="C826" s="42"/>
      <c r="D826" s="42"/>
      <c r="E826" s="41"/>
      <c r="F826" s="41"/>
      <c r="G826" s="41"/>
      <c r="H826" s="41"/>
      <c r="I826" s="41"/>
      <c r="J826" s="42"/>
      <c r="K826" s="41"/>
      <c r="L826" s="41"/>
      <c r="M826" s="127"/>
      <c r="N826" s="41"/>
      <c r="O826" s="41"/>
      <c r="P826" s="41"/>
      <c r="Q826" s="42"/>
      <c r="R826" s="35"/>
      <c r="S826" s="35"/>
      <c r="T826" s="35"/>
      <c r="U826" s="35"/>
      <c r="V826" s="121"/>
      <c r="W826" s="42"/>
      <c r="X826" s="42"/>
      <c r="Y826" s="42"/>
      <c r="Z826" s="42"/>
      <c r="AA826" s="42"/>
      <c r="AB826" s="42"/>
      <c r="AC826" s="42"/>
      <c r="AD826" s="42"/>
      <c r="AE826" s="42"/>
      <c r="AF826" s="42"/>
      <c r="AG826" s="42"/>
      <c r="AH826" s="42"/>
      <c r="AI826" s="42"/>
      <c r="AJ826" s="42"/>
      <c r="AK826" s="42"/>
      <c r="AL826" s="42"/>
      <c r="AM826" s="42"/>
    </row>
    <row r="827" spans="1:39" x14ac:dyDescent="0.25">
      <c r="A827" s="38" t="s">
        <v>1178</v>
      </c>
      <c r="B827" s="42"/>
      <c r="C827" s="42"/>
      <c r="D827" s="42"/>
      <c r="E827" s="41"/>
      <c r="F827" s="41"/>
      <c r="G827" s="41"/>
      <c r="H827" s="41"/>
      <c r="I827" s="41"/>
      <c r="J827" s="42"/>
      <c r="K827" s="41"/>
      <c r="L827" s="41"/>
      <c r="M827" s="127"/>
      <c r="N827" s="41"/>
      <c r="O827" s="41"/>
      <c r="P827" s="41"/>
      <c r="Q827" s="42"/>
      <c r="R827" s="35"/>
      <c r="S827" s="35"/>
      <c r="T827" s="35"/>
      <c r="U827" s="35"/>
      <c r="V827" s="121"/>
      <c r="W827" s="42"/>
      <c r="X827" s="42"/>
      <c r="Y827" s="42"/>
      <c r="Z827" s="42"/>
      <c r="AA827" s="42"/>
      <c r="AB827" s="42"/>
      <c r="AC827" s="42"/>
      <c r="AD827" s="42"/>
      <c r="AE827" s="42"/>
      <c r="AF827" s="42"/>
      <c r="AG827" s="42"/>
      <c r="AH827" s="42"/>
      <c r="AI827" s="42"/>
      <c r="AJ827" s="42"/>
      <c r="AK827" s="42"/>
      <c r="AL827" s="42"/>
      <c r="AM827" s="42"/>
    </row>
    <row r="828" spans="1:39" x14ac:dyDescent="0.25">
      <c r="A828" s="38" t="s">
        <v>1179</v>
      </c>
      <c r="B828" s="42"/>
      <c r="C828" s="42"/>
      <c r="D828" s="42"/>
      <c r="E828" s="41"/>
      <c r="F828" s="41"/>
      <c r="G828" s="41"/>
      <c r="H828" s="41"/>
      <c r="I828" s="41"/>
      <c r="J828" s="42"/>
      <c r="K828" s="41"/>
      <c r="L828" s="41"/>
      <c r="M828" s="127"/>
      <c r="N828" s="41"/>
      <c r="O828" s="41"/>
      <c r="P828" s="41"/>
      <c r="Q828" s="42"/>
      <c r="R828" s="35"/>
      <c r="S828" s="35"/>
      <c r="T828" s="35"/>
      <c r="U828" s="35"/>
      <c r="V828" s="121"/>
      <c r="W828" s="42"/>
      <c r="X828" s="42"/>
      <c r="Y828" s="42"/>
      <c r="Z828" s="42"/>
      <c r="AA828" s="42"/>
      <c r="AB828" s="42"/>
      <c r="AC828" s="42"/>
      <c r="AD828" s="42"/>
      <c r="AE828" s="42"/>
      <c r="AF828" s="42"/>
      <c r="AG828" s="42"/>
      <c r="AH828" s="42"/>
      <c r="AI828" s="42"/>
      <c r="AJ828" s="42"/>
      <c r="AK828" s="42"/>
      <c r="AL828" s="42"/>
      <c r="AM828" s="42"/>
    </row>
    <row r="829" spans="1:39" x14ac:dyDescent="0.25">
      <c r="A829" s="38" t="s">
        <v>1180</v>
      </c>
      <c r="B829" s="42"/>
      <c r="C829" s="42"/>
      <c r="D829" s="42"/>
      <c r="E829" s="41"/>
      <c r="F829" s="41"/>
      <c r="G829" s="41"/>
      <c r="H829" s="41"/>
      <c r="I829" s="41"/>
      <c r="J829" s="42"/>
      <c r="K829" s="41"/>
      <c r="L829" s="41"/>
      <c r="M829" s="127"/>
      <c r="N829" s="41"/>
      <c r="O829" s="41"/>
      <c r="P829" s="41"/>
      <c r="Q829" s="42"/>
      <c r="R829" s="35"/>
      <c r="S829" s="35"/>
      <c r="T829" s="35"/>
      <c r="U829" s="35"/>
      <c r="V829" s="121"/>
      <c r="W829" s="42"/>
      <c r="X829" s="42"/>
      <c r="Y829" s="42"/>
      <c r="Z829" s="42"/>
      <c r="AA829" s="42"/>
      <c r="AB829" s="42"/>
      <c r="AC829" s="42"/>
      <c r="AD829" s="42"/>
      <c r="AE829" s="42"/>
      <c r="AF829" s="42"/>
      <c r="AG829" s="42"/>
      <c r="AH829" s="42"/>
      <c r="AI829" s="42"/>
      <c r="AJ829" s="42"/>
      <c r="AK829" s="42"/>
      <c r="AL829" s="42"/>
      <c r="AM829" s="42"/>
    </row>
    <row r="830" spans="1:39" x14ac:dyDescent="0.25">
      <c r="A830" s="38" t="s">
        <v>1181</v>
      </c>
      <c r="B830" s="42"/>
      <c r="C830" s="42"/>
      <c r="D830" s="42"/>
      <c r="E830" s="41"/>
      <c r="F830" s="41"/>
      <c r="G830" s="41"/>
      <c r="H830" s="41"/>
      <c r="I830" s="41"/>
      <c r="J830" s="42"/>
      <c r="K830" s="41"/>
      <c r="L830" s="41"/>
      <c r="M830" s="127"/>
      <c r="N830" s="41"/>
      <c r="O830" s="41"/>
      <c r="P830" s="41"/>
      <c r="Q830" s="42"/>
      <c r="R830" s="35"/>
      <c r="S830" s="35"/>
      <c r="T830" s="35"/>
      <c r="U830" s="35"/>
      <c r="V830" s="121"/>
      <c r="W830" s="42"/>
      <c r="X830" s="42"/>
      <c r="Y830" s="42"/>
      <c r="Z830" s="42"/>
      <c r="AA830" s="42"/>
      <c r="AB830" s="42"/>
      <c r="AC830" s="42"/>
      <c r="AD830" s="42"/>
      <c r="AE830" s="42"/>
      <c r="AF830" s="42"/>
      <c r="AG830" s="42"/>
      <c r="AH830" s="42"/>
      <c r="AI830" s="42"/>
      <c r="AJ830" s="42"/>
      <c r="AK830" s="42"/>
      <c r="AL830" s="42"/>
      <c r="AM830" s="42"/>
    </row>
    <row r="831" spans="1:39" x14ac:dyDescent="0.25">
      <c r="A831" s="38" t="s">
        <v>1182</v>
      </c>
      <c r="B831" s="42"/>
      <c r="C831" s="42"/>
      <c r="D831" s="42"/>
      <c r="E831" s="41"/>
      <c r="F831" s="41"/>
      <c r="G831" s="41"/>
      <c r="H831" s="41"/>
      <c r="I831" s="41"/>
      <c r="J831" s="42"/>
      <c r="K831" s="41"/>
      <c r="L831" s="41"/>
      <c r="M831" s="127"/>
      <c r="N831" s="41"/>
      <c r="O831" s="41"/>
      <c r="P831" s="41"/>
      <c r="Q831" s="42"/>
      <c r="R831" s="35"/>
      <c r="S831" s="35"/>
      <c r="T831" s="35"/>
      <c r="U831" s="35"/>
      <c r="V831" s="121"/>
      <c r="W831" s="42"/>
      <c r="X831" s="42"/>
      <c r="Y831" s="42"/>
      <c r="Z831" s="42"/>
      <c r="AA831" s="42"/>
      <c r="AB831" s="42"/>
      <c r="AC831" s="42"/>
      <c r="AD831" s="42"/>
      <c r="AE831" s="42"/>
      <c r="AF831" s="42"/>
      <c r="AG831" s="42"/>
      <c r="AH831" s="42"/>
      <c r="AI831" s="42"/>
      <c r="AJ831" s="42"/>
      <c r="AK831" s="42"/>
      <c r="AL831" s="42"/>
      <c r="AM831" s="42"/>
    </row>
    <row r="832" spans="1:39" x14ac:dyDescent="0.25">
      <c r="A832" s="38" t="s">
        <v>1183</v>
      </c>
      <c r="B832" s="42"/>
      <c r="C832" s="42"/>
      <c r="D832" s="42"/>
      <c r="E832" s="41"/>
      <c r="F832" s="41"/>
      <c r="G832" s="41"/>
      <c r="H832" s="41"/>
      <c r="I832" s="41"/>
      <c r="J832" s="42"/>
      <c r="K832" s="41"/>
      <c r="L832" s="41"/>
      <c r="M832" s="127"/>
      <c r="N832" s="41"/>
      <c r="O832" s="41"/>
      <c r="P832" s="41"/>
      <c r="Q832" s="42"/>
      <c r="R832" s="35"/>
      <c r="S832" s="35"/>
      <c r="T832" s="35"/>
      <c r="U832" s="35"/>
      <c r="V832" s="121"/>
      <c r="W832" s="42"/>
      <c r="X832" s="42"/>
      <c r="Y832" s="42"/>
      <c r="Z832" s="42"/>
      <c r="AA832" s="42"/>
      <c r="AB832" s="42"/>
      <c r="AC832" s="42"/>
      <c r="AD832" s="42"/>
      <c r="AE832" s="42"/>
      <c r="AF832" s="42"/>
      <c r="AG832" s="42"/>
      <c r="AH832" s="42"/>
      <c r="AI832" s="42"/>
      <c r="AJ832" s="42"/>
      <c r="AK832" s="42"/>
      <c r="AL832" s="42"/>
      <c r="AM832" s="42"/>
    </row>
    <row r="833" spans="1:39" x14ac:dyDescent="0.25">
      <c r="A833" s="38" t="s">
        <v>1184</v>
      </c>
      <c r="B833" s="42"/>
      <c r="C833" s="42"/>
      <c r="D833" s="42"/>
      <c r="E833" s="41"/>
      <c r="F833" s="41"/>
      <c r="G833" s="41"/>
      <c r="H833" s="41"/>
      <c r="I833" s="41"/>
      <c r="J833" s="42"/>
      <c r="K833" s="41"/>
      <c r="L833" s="41"/>
      <c r="M833" s="127"/>
      <c r="N833" s="41"/>
      <c r="O833" s="41"/>
      <c r="P833" s="41"/>
      <c r="Q833" s="42"/>
      <c r="R833" s="35"/>
      <c r="S833" s="35"/>
      <c r="T833" s="35"/>
      <c r="U833" s="35"/>
      <c r="V833" s="121"/>
      <c r="W833" s="42"/>
      <c r="X833" s="42"/>
      <c r="Y833" s="42"/>
      <c r="Z833" s="42"/>
      <c r="AA833" s="42"/>
      <c r="AB833" s="42"/>
      <c r="AC833" s="42"/>
      <c r="AD833" s="42"/>
      <c r="AE833" s="42"/>
      <c r="AF833" s="42"/>
      <c r="AG833" s="42"/>
      <c r="AH833" s="42"/>
      <c r="AI833" s="42"/>
      <c r="AJ833" s="42"/>
      <c r="AK833" s="42"/>
      <c r="AL833" s="42"/>
      <c r="AM833" s="42"/>
    </row>
    <row r="834" spans="1:39" x14ac:dyDescent="0.25">
      <c r="A834" s="38" t="s">
        <v>1185</v>
      </c>
      <c r="B834" s="42"/>
      <c r="C834" s="42"/>
      <c r="D834" s="42"/>
      <c r="E834" s="41"/>
      <c r="F834" s="41"/>
      <c r="G834" s="41"/>
      <c r="H834" s="41"/>
      <c r="I834" s="41"/>
      <c r="J834" s="42"/>
      <c r="K834" s="41"/>
      <c r="L834" s="41"/>
      <c r="M834" s="127"/>
      <c r="N834" s="41"/>
      <c r="O834" s="41"/>
      <c r="P834" s="41"/>
      <c r="Q834" s="42"/>
      <c r="R834" s="35"/>
      <c r="S834" s="35"/>
      <c r="T834" s="35"/>
      <c r="U834" s="35"/>
      <c r="V834" s="121"/>
      <c r="W834" s="42"/>
      <c r="X834" s="42"/>
      <c r="Y834" s="42"/>
      <c r="Z834" s="42"/>
      <c r="AA834" s="42"/>
      <c r="AB834" s="42"/>
      <c r="AC834" s="42"/>
      <c r="AD834" s="42"/>
      <c r="AE834" s="42"/>
      <c r="AF834" s="42"/>
      <c r="AG834" s="42"/>
      <c r="AH834" s="42"/>
      <c r="AI834" s="42"/>
      <c r="AJ834" s="42"/>
      <c r="AK834" s="42"/>
      <c r="AL834" s="42"/>
      <c r="AM834" s="42"/>
    </row>
    <row r="835" spans="1:39" x14ac:dyDescent="0.25">
      <c r="A835" s="38" t="s">
        <v>1186</v>
      </c>
      <c r="B835" s="42"/>
      <c r="C835" s="42"/>
      <c r="D835" s="42"/>
      <c r="E835" s="41"/>
      <c r="F835" s="41"/>
      <c r="G835" s="41"/>
      <c r="H835" s="41"/>
      <c r="I835" s="41"/>
      <c r="J835" s="42"/>
      <c r="K835" s="41"/>
      <c r="L835" s="41"/>
      <c r="M835" s="127"/>
      <c r="N835" s="41"/>
      <c r="O835" s="41"/>
      <c r="P835" s="41"/>
      <c r="Q835" s="42"/>
      <c r="R835" s="35"/>
      <c r="S835" s="35"/>
      <c r="T835" s="35"/>
      <c r="U835" s="35"/>
      <c r="V835" s="121"/>
      <c r="W835" s="42"/>
      <c r="X835" s="42"/>
      <c r="Y835" s="42"/>
      <c r="Z835" s="42"/>
      <c r="AA835" s="42"/>
      <c r="AB835" s="42"/>
      <c r="AC835" s="42"/>
      <c r="AD835" s="42"/>
      <c r="AE835" s="42"/>
      <c r="AF835" s="42"/>
      <c r="AG835" s="42"/>
      <c r="AH835" s="42"/>
      <c r="AI835" s="42"/>
      <c r="AJ835" s="42"/>
      <c r="AK835" s="42"/>
      <c r="AL835" s="42"/>
      <c r="AM835" s="42"/>
    </row>
    <row r="836" spans="1:39" x14ac:dyDescent="0.25">
      <c r="A836" s="38" t="s">
        <v>1187</v>
      </c>
      <c r="B836" s="42"/>
      <c r="C836" s="42"/>
      <c r="D836" s="42"/>
      <c r="E836" s="41"/>
      <c r="F836" s="41"/>
      <c r="G836" s="41"/>
      <c r="H836" s="41"/>
      <c r="I836" s="41"/>
      <c r="J836" s="42"/>
      <c r="K836" s="41"/>
      <c r="L836" s="41"/>
      <c r="M836" s="127"/>
      <c r="N836" s="41"/>
      <c r="O836" s="41"/>
      <c r="P836" s="41"/>
      <c r="Q836" s="42"/>
      <c r="R836" s="35"/>
      <c r="S836" s="35"/>
      <c r="T836" s="35"/>
      <c r="U836" s="35"/>
      <c r="V836" s="121"/>
      <c r="W836" s="42"/>
      <c r="X836" s="42"/>
      <c r="Y836" s="42"/>
      <c r="Z836" s="42"/>
      <c r="AA836" s="42"/>
      <c r="AB836" s="42"/>
      <c r="AC836" s="42"/>
      <c r="AD836" s="42"/>
      <c r="AE836" s="42"/>
      <c r="AF836" s="42"/>
      <c r="AG836" s="42"/>
      <c r="AH836" s="42"/>
      <c r="AI836" s="42"/>
      <c r="AJ836" s="42"/>
      <c r="AK836" s="42"/>
      <c r="AL836" s="42"/>
      <c r="AM836" s="42"/>
    </row>
    <row r="837" spans="1:39" x14ac:dyDescent="0.25">
      <c r="A837" s="38" t="s">
        <v>1188</v>
      </c>
      <c r="B837" s="42"/>
      <c r="C837" s="42"/>
      <c r="D837" s="42"/>
      <c r="E837" s="41"/>
      <c r="F837" s="41"/>
      <c r="G837" s="41"/>
      <c r="H837" s="41"/>
      <c r="I837" s="41"/>
      <c r="J837" s="42"/>
      <c r="K837" s="41"/>
      <c r="L837" s="41"/>
      <c r="M837" s="127"/>
      <c r="N837" s="41"/>
      <c r="O837" s="41"/>
      <c r="P837" s="41"/>
      <c r="Q837" s="42"/>
      <c r="R837" s="35"/>
      <c r="S837" s="35"/>
      <c r="T837" s="35"/>
      <c r="U837" s="35"/>
      <c r="V837" s="121"/>
      <c r="W837" s="42"/>
      <c r="X837" s="42"/>
      <c r="Y837" s="42"/>
      <c r="Z837" s="42"/>
      <c r="AA837" s="42"/>
      <c r="AB837" s="42"/>
      <c r="AC837" s="42"/>
      <c r="AD837" s="42"/>
      <c r="AE837" s="42"/>
      <c r="AF837" s="42"/>
      <c r="AG837" s="42"/>
      <c r="AH837" s="42"/>
      <c r="AI837" s="42"/>
      <c r="AJ837" s="42"/>
      <c r="AK837" s="42"/>
      <c r="AL837" s="42"/>
      <c r="AM837" s="42"/>
    </row>
    <row r="838" spans="1:39" x14ac:dyDescent="0.25">
      <c r="A838" s="38" t="s">
        <v>1189</v>
      </c>
      <c r="B838" s="42"/>
      <c r="C838" s="42"/>
      <c r="D838" s="42"/>
      <c r="E838" s="41"/>
      <c r="F838" s="41"/>
      <c r="G838" s="41"/>
      <c r="H838" s="41"/>
      <c r="I838" s="41"/>
      <c r="J838" s="42"/>
      <c r="K838" s="41"/>
      <c r="L838" s="41"/>
      <c r="M838" s="127"/>
      <c r="N838" s="41"/>
      <c r="O838" s="41"/>
      <c r="P838" s="41"/>
      <c r="Q838" s="42"/>
      <c r="R838" s="35"/>
      <c r="S838" s="35"/>
      <c r="T838" s="35"/>
      <c r="U838" s="35"/>
      <c r="V838" s="121"/>
      <c r="W838" s="42"/>
      <c r="X838" s="42"/>
      <c r="Y838" s="42"/>
      <c r="Z838" s="42"/>
      <c r="AA838" s="42"/>
      <c r="AB838" s="42"/>
      <c r="AC838" s="42"/>
      <c r="AD838" s="42"/>
      <c r="AE838" s="42"/>
      <c r="AF838" s="42"/>
      <c r="AG838" s="42"/>
      <c r="AH838" s="42"/>
      <c r="AI838" s="42"/>
      <c r="AJ838" s="42"/>
      <c r="AK838" s="42"/>
      <c r="AL838" s="42"/>
      <c r="AM838" s="42"/>
    </row>
    <row r="839" spans="1:39" x14ac:dyDescent="0.25">
      <c r="A839" s="38" t="s">
        <v>1190</v>
      </c>
      <c r="B839" s="42"/>
      <c r="C839" s="42"/>
      <c r="D839" s="42"/>
      <c r="E839" s="41"/>
      <c r="F839" s="41"/>
      <c r="G839" s="41"/>
      <c r="H839" s="41"/>
      <c r="I839" s="41"/>
      <c r="J839" s="42"/>
      <c r="K839" s="41"/>
      <c r="L839" s="41"/>
      <c r="M839" s="127"/>
      <c r="N839" s="41"/>
      <c r="O839" s="41"/>
      <c r="P839" s="41"/>
      <c r="Q839" s="42"/>
      <c r="R839" s="35"/>
      <c r="S839" s="35"/>
      <c r="T839" s="35"/>
      <c r="U839" s="35"/>
      <c r="V839" s="121"/>
      <c r="W839" s="42"/>
      <c r="X839" s="42"/>
      <c r="Y839" s="42"/>
      <c r="Z839" s="42"/>
      <c r="AA839" s="42"/>
      <c r="AB839" s="42"/>
      <c r="AC839" s="42"/>
      <c r="AD839" s="42"/>
      <c r="AE839" s="42"/>
      <c r="AF839" s="42"/>
      <c r="AG839" s="42"/>
      <c r="AH839" s="42"/>
      <c r="AI839" s="42"/>
      <c r="AJ839" s="42"/>
      <c r="AK839" s="42"/>
      <c r="AL839" s="42"/>
      <c r="AM839" s="42"/>
    </row>
    <row r="840" spans="1:39" x14ac:dyDescent="0.25">
      <c r="A840" s="38" t="s">
        <v>1191</v>
      </c>
      <c r="B840" s="42"/>
      <c r="C840" s="42"/>
      <c r="D840" s="42"/>
      <c r="E840" s="41"/>
      <c r="F840" s="41"/>
      <c r="G840" s="41"/>
      <c r="H840" s="41"/>
      <c r="I840" s="41"/>
      <c r="J840" s="42"/>
      <c r="K840" s="41"/>
      <c r="L840" s="41"/>
      <c r="M840" s="127"/>
      <c r="N840" s="41"/>
      <c r="O840" s="41"/>
      <c r="P840" s="41"/>
      <c r="Q840" s="42"/>
      <c r="R840" s="35"/>
      <c r="S840" s="35"/>
      <c r="T840" s="35"/>
      <c r="U840" s="35"/>
      <c r="V840" s="121"/>
      <c r="W840" s="42"/>
      <c r="X840" s="42"/>
      <c r="Y840" s="42"/>
      <c r="Z840" s="42"/>
      <c r="AA840" s="42"/>
      <c r="AB840" s="42"/>
      <c r="AC840" s="42"/>
      <c r="AD840" s="42"/>
      <c r="AE840" s="42"/>
      <c r="AF840" s="42"/>
      <c r="AG840" s="42"/>
      <c r="AH840" s="42"/>
      <c r="AI840" s="42"/>
      <c r="AJ840" s="42"/>
      <c r="AK840" s="42"/>
      <c r="AL840" s="42"/>
      <c r="AM840" s="42"/>
    </row>
    <row r="841" spans="1:39" x14ac:dyDescent="0.25">
      <c r="A841" s="38" t="s">
        <v>1192</v>
      </c>
      <c r="B841" s="42"/>
      <c r="C841" s="42"/>
      <c r="D841" s="42"/>
      <c r="E841" s="41"/>
      <c r="F841" s="41"/>
      <c r="G841" s="41"/>
      <c r="H841" s="41"/>
      <c r="I841" s="41"/>
      <c r="J841" s="42"/>
      <c r="K841" s="41"/>
      <c r="L841" s="41"/>
      <c r="M841" s="127"/>
      <c r="N841" s="41"/>
      <c r="O841" s="41"/>
      <c r="P841" s="41"/>
      <c r="Q841" s="42"/>
      <c r="R841" s="35"/>
      <c r="S841" s="35"/>
      <c r="T841" s="35"/>
      <c r="U841" s="35"/>
      <c r="V841" s="121"/>
      <c r="W841" s="42"/>
      <c r="X841" s="42"/>
      <c r="Y841" s="42"/>
      <c r="Z841" s="42"/>
      <c r="AA841" s="42"/>
      <c r="AB841" s="42"/>
      <c r="AC841" s="42"/>
      <c r="AD841" s="42"/>
      <c r="AE841" s="42"/>
      <c r="AF841" s="42"/>
      <c r="AG841" s="42"/>
      <c r="AH841" s="42"/>
      <c r="AI841" s="42"/>
      <c r="AJ841" s="42"/>
      <c r="AK841" s="42"/>
      <c r="AL841" s="42"/>
      <c r="AM841" s="42"/>
    </row>
    <row r="842" spans="1:39" x14ac:dyDescent="0.25">
      <c r="A842" s="38" t="s">
        <v>1193</v>
      </c>
      <c r="B842" s="42"/>
      <c r="C842" s="42"/>
      <c r="D842" s="42"/>
      <c r="E842" s="41"/>
      <c r="F842" s="41"/>
      <c r="G842" s="41"/>
      <c r="H842" s="41"/>
      <c r="I842" s="41"/>
      <c r="J842" s="42"/>
      <c r="K842" s="41"/>
      <c r="L842" s="41"/>
      <c r="M842" s="127"/>
      <c r="N842" s="41"/>
      <c r="O842" s="41"/>
      <c r="P842" s="41"/>
      <c r="Q842" s="42"/>
      <c r="R842" s="35"/>
      <c r="S842" s="35"/>
      <c r="T842" s="35"/>
      <c r="U842" s="35"/>
      <c r="V842" s="121"/>
      <c r="W842" s="42"/>
      <c r="X842" s="42"/>
      <c r="Y842" s="42"/>
      <c r="Z842" s="42"/>
      <c r="AA842" s="42"/>
      <c r="AB842" s="42"/>
      <c r="AC842" s="42"/>
      <c r="AD842" s="42"/>
      <c r="AE842" s="42"/>
      <c r="AF842" s="42"/>
      <c r="AG842" s="42"/>
      <c r="AH842" s="42"/>
      <c r="AI842" s="42"/>
      <c r="AJ842" s="42"/>
      <c r="AK842" s="42"/>
      <c r="AL842" s="42"/>
      <c r="AM842" s="42"/>
    </row>
    <row r="843" spans="1:39" x14ac:dyDescent="0.25">
      <c r="A843" s="38" t="s">
        <v>1194</v>
      </c>
      <c r="B843" s="42"/>
      <c r="C843" s="42"/>
      <c r="D843" s="42"/>
      <c r="E843" s="41"/>
      <c r="F843" s="41"/>
      <c r="G843" s="41"/>
      <c r="H843" s="41"/>
      <c r="I843" s="41"/>
      <c r="J843" s="42"/>
      <c r="K843" s="41"/>
      <c r="L843" s="41"/>
      <c r="M843" s="127"/>
      <c r="N843" s="41"/>
      <c r="O843" s="41"/>
      <c r="P843" s="41"/>
      <c r="Q843" s="42"/>
      <c r="R843" s="35"/>
      <c r="S843" s="35"/>
      <c r="T843" s="35"/>
      <c r="U843" s="35"/>
      <c r="V843" s="121"/>
      <c r="W843" s="42"/>
      <c r="X843" s="42"/>
      <c r="Y843" s="42"/>
      <c r="Z843" s="42"/>
      <c r="AA843" s="42"/>
      <c r="AB843" s="42"/>
      <c r="AC843" s="42"/>
      <c r="AD843" s="42"/>
      <c r="AE843" s="42"/>
      <c r="AF843" s="42"/>
      <c r="AG843" s="42"/>
      <c r="AH843" s="42"/>
      <c r="AI843" s="42"/>
      <c r="AJ843" s="42"/>
      <c r="AK843" s="42"/>
      <c r="AL843" s="42"/>
      <c r="AM843" s="42"/>
    </row>
    <row r="844" spans="1:39" x14ac:dyDescent="0.25">
      <c r="A844" s="38" t="s">
        <v>1195</v>
      </c>
      <c r="B844" s="42"/>
      <c r="C844" s="42"/>
      <c r="D844" s="42"/>
      <c r="E844" s="41"/>
      <c r="F844" s="41"/>
      <c r="G844" s="41"/>
      <c r="H844" s="41"/>
      <c r="I844" s="41"/>
      <c r="J844" s="42"/>
      <c r="K844" s="41"/>
      <c r="L844" s="41"/>
      <c r="M844" s="127"/>
      <c r="N844" s="41"/>
      <c r="O844" s="41"/>
      <c r="P844" s="41"/>
      <c r="Q844" s="42"/>
      <c r="R844" s="35"/>
      <c r="S844" s="35"/>
      <c r="T844" s="35"/>
      <c r="U844" s="35"/>
      <c r="V844" s="121"/>
      <c r="W844" s="42"/>
      <c r="X844" s="42"/>
      <c r="Y844" s="42"/>
      <c r="Z844" s="42"/>
      <c r="AA844" s="42"/>
      <c r="AB844" s="42"/>
      <c r="AC844" s="42"/>
      <c r="AD844" s="42"/>
      <c r="AE844" s="42"/>
      <c r="AF844" s="42"/>
      <c r="AG844" s="42"/>
      <c r="AH844" s="42"/>
      <c r="AI844" s="42"/>
      <c r="AJ844" s="42"/>
      <c r="AK844" s="42"/>
      <c r="AL844" s="42"/>
      <c r="AM844" s="42"/>
    </row>
    <row r="845" spans="1:39" x14ac:dyDescent="0.25">
      <c r="A845" s="38" t="s">
        <v>1196</v>
      </c>
      <c r="B845" s="42"/>
      <c r="C845" s="42"/>
      <c r="D845" s="42"/>
      <c r="E845" s="41"/>
      <c r="F845" s="41"/>
      <c r="G845" s="41"/>
      <c r="H845" s="41"/>
      <c r="I845" s="41"/>
      <c r="J845" s="42"/>
      <c r="K845" s="41"/>
      <c r="L845" s="41"/>
      <c r="M845" s="127"/>
      <c r="N845" s="41"/>
      <c r="O845" s="41"/>
      <c r="P845" s="41"/>
      <c r="Q845" s="42"/>
      <c r="R845" s="35"/>
      <c r="S845" s="35"/>
      <c r="T845" s="35"/>
      <c r="U845" s="35"/>
      <c r="V845" s="121"/>
      <c r="W845" s="42"/>
      <c r="X845" s="42"/>
      <c r="Y845" s="42"/>
      <c r="Z845" s="42"/>
      <c r="AA845" s="42"/>
      <c r="AB845" s="42"/>
      <c r="AC845" s="42"/>
      <c r="AD845" s="42"/>
      <c r="AE845" s="42"/>
      <c r="AF845" s="42"/>
      <c r="AG845" s="42"/>
      <c r="AH845" s="42"/>
      <c r="AI845" s="42"/>
      <c r="AJ845" s="42"/>
      <c r="AK845" s="42"/>
      <c r="AL845" s="42"/>
      <c r="AM845" s="42"/>
    </row>
    <row r="846" spans="1:39" x14ac:dyDescent="0.25">
      <c r="A846" s="38" t="s">
        <v>1197</v>
      </c>
      <c r="B846" s="42"/>
      <c r="C846" s="42"/>
      <c r="D846" s="42"/>
      <c r="E846" s="41"/>
      <c r="F846" s="41"/>
      <c r="G846" s="41"/>
      <c r="H846" s="41"/>
      <c r="I846" s="41"/>
      <c r="J846" s="42"/>
      <c r="K846" s="41"/>
      <c r="L846" s="41"/>
      <c r="M846" s="127"/>
      <c r="N846" s="41"/>
      <c r="O846" s="41"/>
      <c r="P846" s="41"/>
      <c r="Q846" s="42"/>
      <c r="R846" s="35"/>
      <c r="S846" s="35"/>
      <c r="T846" s="35"/>
      <c r="U846" s="35"/>
      <c r="V846" s="121"/>
      <c r="W846" s="42"/>
      <c r="X846" s="42"/>
      <c r="Y846" s="42"/>
      <c r="Z846" s="42"/>
      <c r="AA846" s="42"/>
      <c r="AB846" s="42"/>
      <c r="AC846" s="42"/>
      <c r="AD846" s="42"/>
      <c r="AE846" s="42"/>
      <c r="AF846" s="42"/>
      <c r="AG846" s="42"/>
      <c r="AH846" s="42"/>
      <c r="AI846" s="42"/>
      <c r="AJ846" s="42"/>
      <c r="AK846" s="42"/>
      <c r="AL846" s="42"/>
      <c r="AM846" s="42"/>
    </row>
    <row r="847" spans="1:39" x14ac:dyDescent="0.25">
      <c r="A847" s="38" t="s">
        <v>1198</v>
      </c>
      <c r="B847" s="42"/>
      <c r="C847" s="42"/>
      <c r="D847" s="42"/>
      <c r="E847" s="41"/>
      <c r="F847" s="41"/>
      <c r="G847" s="41"/>
      <c r="H847" s="41"/>
      <c r="I847" s="41"/>
      <c r="J847" s="42"/>
      <c r="K847" s="41"/>
      <c r="L847" s="41"/>
      <c r="M847" s="127"/>
      <c r="N847" s="41"/>
      <c r="O847" s="41"/>
      <c r="P847" s="41"/>
      <c r="Q847" s="42"/>
      <c r="R847" s="35"/>
      <c r="S847" s="35"/>
      <c r="T847" s="35"/>
      <c r="U847" s="35"/>
      <c r="V847" s="121"/>
      <c r="W847" s="42"/>
      <c r="X847" s="42"/>
      <c r="Y847" s="42"/>
      <c r="Z847" s="42"/>
      <c r="AA847" s="42"/>
      <c r="AB847" s="42"/>
      <c r="AC847" s="42"/>
      <c r="AD847" s="42"/>
      <c r="AE847" s="42"/>
      <c r="AF847" s="42"/>
      <c r="AG847" s="42"/>
      <c r="AH847" s="42"/>
      <c r="AI847" s="42"/>
      <c r="AJ847" s="42"/>
      <c r="AK847" s="42"/>
      <c r="AL847" s="42"/>
      <c r="AM847" s="42"/>
    </row>
    <row r="848" spans="1:39" x14ac:dyDescent="0.25">
      <c r="A848" s="38" t="s">
        <v>1199</v>
      </c>
      <c r="B848" s="42"/>
      <c r="C848" s="42"/>
      <c r="D848" s="42"/>
      <c r="E848" s="41"/>
      <c r="F848" s="41"/>
      <c r="G848" s="41"/>
      <c r="H848" s="41"/>
      <c r="I848" s="41"/>
      <c r="J848" s="42"/>
      <c r="K848" s="41"/>
      <c r="L848" s="41"/>
      <c r="M848" s="127"/>
      <c r="N848" s="41"/>
      <c r="O848" s="41"/>
      <c r="P848" s="41"/>
      <c r="Q848" s="42"/>
      <c r="R848" s="35"/>
      <c r="S848" s="35"/>
      <c r="T848" s="35"/>
      <c r="U848" s="35"/>
      <c r="V848" s="121"/>
      <c r="W848" s="42"/>
      <c r="X848" s="42"/>
      <c r="Y848" s="42"/>
      <c r="Z848" s="42"/>
      <c r="AA848" s="42"/>
      <c r="AB848" s="42"/>
      <c r="AC848" s="42"/>
      <c r="AD848" s="42"/>
      <c r="AE848" s="42"/>
      <c r="AF848" s="42"/>
      <c r="AG848" s="42"/>
      <c r="AH848" s="42"/>
      <c r="AI848" s="42"/>
      <c r="AJ848" s="42"/>
      <c r="AK848" s="42"/>
      <c r="AL848" s="42"/>
      <c r="AM848" s="42"/>
    </row>
    <row r="849" spans="1:39" x14ac:dyDescent="0.25">
      <c r="A849" s="38" t="s">
        <v>1200</v>
      </c>
      <c r="B849" s="42"/>
      <c r="C849" s="42"/>
      <c r="D849" s="42"/>
      <c r="E849" s="41"/>
      <c r="F849" s="41"/>
      <c r="G849" s="41"/>
      <c r="H849" s="41"/>
      <c r="I849" s="41"/>
      <c r="J849" s="42"/>
      <c r="K849" s="41"/>
      <c r="L849" s="41"/>
      <c r="M849" s="127"/>
      <c r="N849" s="41"/>
      <c r="O849" s="41"/>
      <c r="P849" s="41"/>
      <c r="Q849" s="42"/>
      <c r="R849" s="35"/>
      <c r="S849" s="35"/>
      <c r="T849" s="35"/>
      <c r="U849" s="35"/>
      <c r="V849" s="121"/>
      <c r="W849" s="42"/>
      <c r="X849" s="42"/>
      <c r="Y849" s="42"/>
      <c r="Z849" s="42"/>
      <c r="AA849" s="42"/>
      <c r="AB849" s="42"/>
      <c r="AC849" s="42"/>
      <c r="AD849" s="42"/>
      <c r="AE849" s="42"/>
      <c r="AF849" s="42"/>
      <c r="AG849" s="42"/>
      <c r="AH849" s="42"/>
      <c r="AI849" s="42"/>
      <c r="AJ849" s="42"/>
      <c r="AK849" s="42"/>
      <c r="AL849" s="42"/>
      <c r="AM849" s="42"/>
    </row>
    <row r="850" spans="1:39" x14ac:dyDescent="0.25">
      <c r="A850" s="38" t="s">
        <v>1201</v>
      </c>
      <c r="B850" s="42"/>
      <c r="C850" s="42"/>
      <c r="D850" s="42"/>
      <c r="E850" s="41"/>
      <c r="F850" s="41"/>
      <c r="G850" s="41"/>
      <c r="H850" s="41"/>
      <c r="I850" s="41"/>
      <c r="J850" s="42"/>
      <c r="K850" s="41"/>
      <c r="L850" s="41"/>
      <c r="M850" s="127"/>
      <c r="N850" s="41"/>
      <c r="O850" s="41"/>
      <c r="P850" s="41"/>
      <c r="Q850" s="42"/>
      <c r="R850" s="35"/>
      <c r="S850" s="35"/>
      <c r="T850" s="35"/>
      <c r="U850" s="35"/>
      <c r="V850" s="121"/>
      <c r="W850" s="42"/>
      <c r="X850" s="42"/>
      <c r="Y850" s="42"/>
      <c r="Z850" s="42"/>
      <c r="AA850" s="42"/>
      <c r="AB850" s="42"/>
      <c r="AC850" s="42"/>
      <c r="AD850" s="42"/>
      <c r="AE850" s="42"/>
      <c r="AF850" s="42"/>
      <c r="AG850" s="42"/>
      <c r="AH850" s="42"/>
      <c r="AI850" s="42"/>
      <c r="AJ850" s="42"/>
      <c r="AK850" s="42"/>
      <c r="AL850" s="42"/>
      <c r="AM850" s="42"/>
    </row>
    <row r="851" spans="1:39" x14ac:dyDescent="0.25">
      <c r="A851" s="38" t="s">
        <v>1202</v>
      </c>
      <c r="B851" s="42"/>
      <c r="C851" s="42"/>
      <c r="D851" s="42"/>
      <c r="E851" s="41"/>
      <c r="F851" s="41"/>
      <c r="G851" s="41"/>
      <c r="H851" s="41"/>
      <c r="I851" s="41"/>
      <c r="J851" s="42"/>
      <c r="K851" s="41"/>
      <c r="L851" s="41"/>
      <c r="M851" s="127"/>
      <c r="N851" s="41"/>
      <c r="O851" s="41"/>
      <c r="P851" s="41"/>
      <c r="Q851" s="42"/>
      <c r="R851" s="35"/>
      <c r="S851" s="35"/>
      <c r="T851" s="35"/>
      <c r="U851" s="35"/>
      <c r="V851" s="121"/>
      <c r="W851" s="42"/>
      <c r="X851" s="42"/>
      <c r="Y851" s="42"/>
      <c r="Z851" s="42"/>
      <c r="AA851" s="42"/>
      <c r="AB851" s="42"/>
      <c r="AC851" s="42"/>
      <c r="AD851" s="42"/>
      <c r="AE851" s="42"/>
      <c r="AF851" s="42"/>
      <c r="AG851" s="42"/>
      <c r="AH851" s="42"/>
      <c r="AI851" s="42"/>
      <c r="AJ851" s="42"/>
      <c r="AK851" s="42"/>
      <c r="AL851" s="42"/>
      <c r="AM851" s="42"/>
    </row>
    <row r="852" spans="1:39" x14ac:dyDescent="0.25">
      <c r="A852" s="38" t="s">
        <v>1203</v>
      </c>
      <c r="B852" s="42"/>
      <c r="C852" s="42"/>
      <c r="D852" s="42"/>
      <c r="E852" s="41"/>
      <c r="F852" s="41"/>
      <c r="G852" s="41"/>
      <c r="H852" s="41"/>
      <c r="I852" s="41"/>
      <c r="J852" s="42"/>
      <c r="K852" s="41"/>
      <c r="L852" s="41"/>
      <c r="M852" s="127"/>
      <c r="N852" s="41"/>
      <c r="O852" s="41"/>
      <c r="P852" s="41"/>
      <c r="Q852" s="42"/>
      <c r="R852" s="35"/>
      <c r="S852" s="35"/>
      <c r="T852" s="35"/>
      <c r="U852" s="35"/>
      <c r="V852" s="121"/>
      <c r="W852" s="42"/>
      <c r="X852" s="42"/>
      <c r="Y852" s="42"/>
      <c r="Z852" s="42"/>
      <c r="AA852" s="42"/>
      <c r="AB852" s="42"/>
      <c r="AC852" s="42"/>
      <c r="AD852" s="42"/>
      <c r="AE852" s="42"/>
      <c r="AF852" s="42"/>
      <c r="AG852" s="42"/>
      <c r="AH852" s="42"/>
      <c r="AI852" s="42"/>
      <c r="AJ852" s="42"/>
      <c r="AK852" s="42"/>
      <c r="AL852" s="42"/>
      <c r="AM852" s="42"/>
    </row>
    <row r="853" spans="1:39" x14ac:dyDescent="0.25">
      <c r="A853" s="38" t="s">
        <v>1204</v>
      </c>
      <c r="B853" s="42"/>
      <c r="C853" s="42"/>
      <c r="D853" s="42"/>
      <c r="E853" s="41"/>
      <c r="F853" s="41"/>
      <c r="G853" s="41"/>
      <c r="H853" s="41"/>
      <c r="I853" s="41"/>
      <c r="J853" s="42"/>
      <c r="K853" s="41"/>
      <c r="L853" s="41"/>
      <c r="M853" s="127"/>
      <c r="N853" s="41"/>
      <c r="O853" s="41"/>
      <c r="P853" s="41"/>
      <c r="Q853" s="42"/>
      <c r="R853" s="35"/>
      <c r="S853" s="35"/>
      <c r="T853" s="35"/>
      <c r="U853" s="35"/>
      <c r="V853" s="121"/>
      <c r="W853" s="42"/>
      <c r="X853" s="42"/>
      <c r="Y853" s="42"/>
      <c r="Z853" s="42"/>
      <c r="AA853" s="42"/>
      <c r="AB853" s="42"/>
      <c r="AC853" s="42"/>
      <c r="AD853" s="42"/>
      <c r="AE853" s="42"/>
      <c r="AF853" s="42"/>
      <c r="AG853" s="42"/>
      <c r="AH853" s="42"/>
      <c r="AI853" s="42"/>
      <c r="AJ853" s="42"/>
      <c r="AK853" s="42"/>
      <c r="AL853" s="42"/>
      <c r="AM853" s="42"/>
    </row>
    <row r="854" spans="1:39" x14ac:dyDescent="0.25">
      <c r="A854" s="38" t="s">
        <v>1205</v>
      </c>
      <c r="B854" s="42"/>
      <c r="C854" s="42"/>
      <c r="D854" s="42"/>
      <c r="E854" s="41"/>
      <c r="F854" s="41"/>
      <c r="G854" s="41"/>
      <c r="H854" s="41"/>
      <c r="I854" s="41"/>
      <c r="J854" s="42"/>
      <c r="K854" s="41"/>
      <c r="L854" s="41"/>
      <c r="M854" s="127"/>
      <c r="N854" s="41"/>
      <c r="O854" s="41"/>
      <c r="P854" s="41"/>
      <c r="Q854" s="42"/>
      <c r="R854" s="35"/>
      <c r="S854" s="35"/>
      <c r="T854" s="35"/>
      <c r="U854" s="35"/>
      <c r="V854" s="121"/>
      <c r="W854" s="42"/>
      <c r="X854" s="42"/>
      <c r="Y854" s="42"/>
      <c r="Z854" s="42"/>
      <c r="AA854" s="42"/>
      <c r="AB854" s="42"/>
      <c r="AC854" s="42"/>
      <c r="AD854" s="42"/>
      <c r="AE854" s="42"/>
      <c r="AF854" s="42"/>
      <c r="AG854" s="42"/>
      <c r="AH854" s="42"/>
      <c r="AI854" s="42"/>
      <c r="AJ854" s="42"/>
      <c r="AK854" s="42"/>
      <c r="AL854" s="42"/>
      <c r="AM854" s="42"/>
    </row>
    <row r="855" spans="1:39" x14ac:dyDescent="0.25">
      <c r="A855" s="38" t="s">
        <v>1206</v>
      </c>
      <c r="B855" s="42"/>
      <c r="C855" s="42"/>
      <c r="D855" s="42"/>
      <c r="E855" s="41"/>
      <c r="F855" s="41"/>
      <c r="G855" s="41"/>
      <c r="H855" s="41"/>
      <c r="I855" s="41"/>
      <c r="J855" s="42"/>
      <c r="K855" s="41"/>
      <c r="L855" s="41"/>
      <c r="M855" s="127"/>
      <c r="N855" s="41"/>
      <c r="O855" s="41"/>
      <c r="P855" s="41"/>
      <c r="Q855" s="42"/>
      <c r="R855" s="35"/>
      <c r="S855" s="35"/>
      <c r="T855" s="35"/>
      <c r="U855" s="35"/>
      <c r="V855" s="121"/>
      <c r="W855" s="42"/>
      <c r="X855" s="42"/>
      <c r="Y855" s="42"/>
      <c r="Z855" s="42"/>
      <c r="AA855" s="42"/>
      <c r="AB855" s="42"/>
      <c r="AC855" s="42"/>
      <c r="AD855" s="42"/>
      <c r="AE855" s="42"/>
      <c r="AF855" s="42"/>
      <c r="AG855" s="42"/>
      <c r="AH855" s="42"/>
      <c r="AI855" s="42"/>
      <c r="AJ855" s="42"/>
      <c r="AK855" s="42"/>
      <c r="AL855" s="42"/>
      <c r="AM855" s="42"/>
    </row>
    <row r="856" spans="1:39" x14ac:dyDescent="0.25">
      <c r="A856" s="38" t="s">
        <v>1207</v>
      </c>
      <c r="B856" s="42"/>
      <c r="C856" s="42"/>
      <c r="D856" s="42"/>
      <c r="E856" s="41"/>
      <c r="F856" s="41"/>
      <c r="G856" s="41"/>
      <c r="H856" s="41"/>
      <c r="I856" s="41"/>
      <c r="J856" s="42"/>
      <c r="K856" s="41"/>
      <c r="L856" s="41"/>
      <c r="M856" s="127"/>
      <c r="N856" s="41"/>
      <c r="O856" s="41"/>
      <c r="P856" s="41"/>
      <c r="Q856" s="42"/>
      <c r="R856" s="35"/>
      <c r="S856" s="35"/>
      <c r="T856" s="35"/>
      <c r="U856" s="35"/>
      <c r="V856" s="121"/>
      <c r="W856" s="42"/>
      <c r="X856" s="42"/>
      <c r="Y856" s="42"/>
      <c r="Z856" s="42"/>
      <c r="AA856" s="42"/>
      <c r="AB856" s="42"/>
      <c r="AC856" s="42"/>
      <c r="AD856" s="42"/>
      <c r="AE856" s="42"/>
      <c r="AF856" s="42"/>
      <c r="AG856" s="42"/>
      <c r="AH856" s="42"/>
      <c r="AI856" s="42"/>
      <c r="AJ856" s="42"/>
      <c r="AK856" s="42"/>
      <c r="AL856" s="42"/>
      <c r="AM856" s="42"/>
    </row>
    <row r="857" spans="1:39" x14ac:dyDescent="0.25">
      <c r="A857" s="38" t="s">
        <v>1208</v>
      </c>
      <c r="B857" s="42"/>
      <c r="C857" s="42"/>
      <c r="D857" s="42"/>
      <c r="E857" s="41"/>
      <c r="F857" s="41"/>
      <c r="G857" s="41"/>
      <c r="H857" s="41"/>
      <c r="I857" s="41"/>
      <c r="J857" s="42"/>
      <c r="K857" s="41"/>
      <c r="L857" s="41"/>
      <c r="M857" s="127"/>
      <c r="N857" s="41"/>
      <c r="O857" s="41"/>
      <c r="P857" s="41"/>
      <c r="Q857" s="42"/>
      <c r="R857" s="35"/>
      <c r="S857" s="35"/>
      <c r="T857" s="35"/>
      <c r="U857" s="35"/>
      <c r="V857" s="121"/>
      <c r="W857" s="42"/>
      <c r="X857" s="42"/>
      <c r="Y857" s="42"/>
      <c r="Z857" s="42"/>
      <c r="AA857" s="42"/>
      <c r="AB857" s="42"/>
      <c r="AC857" s="42"/>
      <c r="AD857" s="42"/>
      <c r="AE857" s="42"/>
      <c r="AF857" s="42"/>
      <c r="AG857" s="42"/>
      <c r="AH857" s="42"/>
      <c r="AI857" s="42"/>
      <c r="AJ857" s="42"/>
      <c r="AK857" s="42"/>
      <c r="AL857" s="42"/>
      <c r="AM857" s="42"/>
    </row>
    <row r="858" spans="1:39" x14ac:dyDescent="0.25">
      <c r="A858" s="38" t="s">
        <v>1209</v>
      </c>
      <c r="B858" s="42"/>
      <c r="C858" s="42"/>
      <c r="D858" s="42"/>
      <c r="E858" s="41"/>
      <c r="F858" s="41"/>
      <c r="G858" s="41"/>
      <c r="H858" s="41"/>
      <c r="I858" s="41"/>
      <c r="J858" s="42"/>
      <c r="K858" s="41"/>
      <c r="L858" s="41"/>
      <c r="M858" s="127"/>
      <c r="N858" s="41"/>
      <c r="O858" s="41"/>
      <c r="P858" s="41"/>
      <c r="Q858" s="42"/>
      <c r="R858" s="35"/>
      <c r="S858" s="35"/>
      <c r="T858" s="35"/>
      <c r="U858" s="35"/>
      <c r="V858" s="121"/>
      <c r="W858" s="42"/>
      <c r="X858" s="42"/>
      <c r="Y858" s="42"/>
      <c r="Z858" s="42"/>
      <c r="AA858" s="42"/>
      <c r="AB858" s="42"/>
      <c r="AC858" s="42"/>
      <c r="AD858" s="42"/>
      <c r="AE858" s="42"/>
      <c r="AF858" s="42"/>
      <c r="AG858" s="42"/>
      <c r="AH858" s="42"/>
      <c r="AI858" s="42"/>
      <c r="AJ858" s="42"/>
      <c r="AK858" s="42"/>
      <c r="AL858" s="42"/>
      <c r="AM858" s="42"/>
    </row>
    <row r="859" spans="1:39" x14ac:dyDescent="0.25">
      <c r="A859" s="38" t="s">
        <v>1210</v>
      </c>
      <c r="B859" s="42"/>
      <c r="C859" s="42"/>
      <c r="D859" s="42"/>
      <c r="E859" s="41"/>
      <c r="F859" s="41"/>
      <c r="G859" s="41"/>
      <c r="H859" s="41"/>
      <c r="I859" s="41"/>
      <c r="J859" s="42"/>
      <c r="K859" s="41"/>
      <c r="L859" s="41"/>
      <c r="M859" s="127"/>
      <c r="N859" s="41"/>
      <c r="O859" s="41"/>
      <c r="P859" s="41"/>
      <c r="Q859" s="42"/>
      <c r="R859" s="35"/>
      <c r="S859" s="35"/>
      <c r="T859" s="35"/>
      <c r="U859" s="35"/>
      <c r="V859" s="121"/>
      <c r="W859" s="42"/>
      <c r="X859" s="42"/>
      <c r="Y859" s="42"/>
      <c r="Z859" s="42"/>
      <c r="AA859" s="42"/>
      <c r="AB859" s="42"/>
      <c r="AC859" s="42"/>
      <c r="AD859" s="42"/>
      <c r="AE859" s="42"/>
      <c r="AF859" s="42"/>
      <c r="AG859" s="42"/>
      <c r="AH859" s="42"/>
      <c r="AI859" s="42"/>
      <c r="AJ859" s="42"/>
      <c r="AK859" s="42"/>
      <c r="AL859" s="42"/>
      <c r="AM859" s="42"/>
    </row>
    <row r="860" spans="1:39" x14ac:dyDescent="0.25">
      <c r="A860" s="38" t="s">
        <v>1211</v>
      </c>
      <c r="B860" s="42"/>
      <c r="C860" s="42"/>
      <c r="D860" s="42"/>
      <c r="E860" s="41"/>
      <c r="F860" s="41"/>
      <c r="G860" s="41"/>
      <c r="H860" s="41"/>
      <c r="I860" s="41"/>
      <c r="J860" s="42"/>
      <c r="K860" s="41"/>
      <c r="L860" s="41"/>
      <c r="M860" s="127"/>
      <c r="N860" s="41"/>
      <c r="O860" s="41"/>
      <c r="P860" s="41"/>
      <c r="Q860" s="42"/>
      <c r="R860" s="35"/>
      <c r="S860" s="35"/>
      <c r="T860" s="35"/>
      <c r="U860" s="35"/>
      <c r="V860" s="121"/>
      <c r="W860" s="42"/>
      <c r="X860" s="42"/>
      <c r="Y860" s="42"/>
      <c r="Z860" s="42"/>
      <c r="AA860" s="42"/>
      <c r="AB860" s="42"/>
      <c r="AC860" s="42"/>
      <c r="AD860" s="42"/>
      <c r="AE860" s="42"/>
      <c r="AF860" s="42"/>
      <c r="AG860" s="42"/>
      <c r="AH860" s="42"/>
      <c r="AI860" s="42"/>
      <c r="AJ860" s="42"/>
      <c r="AK860" s="42"/>
      <c r="AL860" s="42"/>
      <c r="AM860" s="42"/>
    </row>
    <row r="861" spans="1:39" x14ac:dyDescent="0.25">
      <c r="A861" s="38" t="s">
        <v>1212</v>
      </c>
      <c r="B861" s="42"/>
      <c r="C861" s="42"/>
      <c r="D861" s="42"/>
      <c r="E861" s="41"/>
      <c r="F861" s="41"/>
      <c r="G861" s="41"/>
      <c r="H861" s="41"/>
      <c r="I861" s="41"/>
      <c r="J861" s="42"/>
      <c r="K861" s="41"/>
      <c r="L861" s="41"/>
      <c r="M861" s="127"/>
      <c r="N861" s="41"/>
      <c r="O861" s="41"/>
      <c r="P861" s="41"/>
      <c r="Q861" s="42"/>
      <c r="R861" s="35"/>
      <c r="S861" s="35"/>
      <c r="T861" s="35"/>
      <c r="U861" s="35"/>
      <c r="V861" s="121"/>
      <c r="W861" s="42"/>
      <c r="X861" s="42"/>
      <c r="Y861" s="42"/>
      <c r="Z861" s="42"/>
      <c r="AA861" s="42"/>
      <c r="AB861" s="42"/>
      <c r="AC861" s="42"/>
      <c r="AD861" s="42"/>
      <c r="AE861" s="42"/>
      <c r="AF861" s="42"/>
      <c r="AG861" s="42"/>
      <c r="AH861" s="42"/>
      <c r="AI861" s="42"/>
      <c r="AJ861" s="42"/>
      <c r="AK861" s="42"/>
      <c r="AL861" s="42"/>
      <c r="AM861" s="42"/>
    </row>
    <row r="862" spans="1:39" x14ac:dyDescent="0.25">
      <c r="A862" s="38" t="s">
        <v>1213</v>
      </c>
      <c r="B862" s="42"/>
      <c r="C862" s="42"/>
      <c r="D862" s="42"/>
      <c r="E862" s="41"/>
      <c r="F862" s="41"/>
      <c r="G862" s="41"/>
      <c r="H862" s="41"/>
      <c r="I862" s="41"/>
      <c r="J862" s="42"/>
      <c r="K862" s="41"/>
      <c r="L862" s="41"/>
      <c r="M862" s="127"/>
      <c r="N862" s="41"/>
      <c r="O862" s="41"/>
      <c r="P862" s="41"/>
      <c r="Q862" s="42"/>
      <c r="R862" s="35"/>
      <c r="S862" s="35"/>
      <c r="T862" s="35"/>
      <c r="U862" s="35"/>
      <c r="V862" s="121"/>
      <c r="W862" s="42"/>
      <c r="X862" s="42"/>
      <c r="Y862" s="42"/>
      <c r="Z862" s="42"/>
      <c r="AA862" s="42"/>
      <c r="AB862" s="42"/>
      <c r="AC862" s="42"/>
      <c r="AD862" s="42"/>
      <c r="AE862" s="42"/>
      <c r="AF862" s="42"/>
      <c r="AG862" s="42"/>
      <c r="AH862" s="42"/>
      <c r="AI862" s="42"/>
      <c r="AJ862" s="42"/>
      <c r="AK862" s="42"/>
      <c r="AL862" s="42"/>
      <c r="AM862" s="42"/>
    </row>
    <row r="863" spans="1:39" x14ac:dyDescent="0.25">
      <c r="A863" s="38" t="s">
        <v>1214</v>
      </c>
      <c r="B863" s="42"/>
      <c r="C863" s="42"/>
      <c r="D863" s="42"/>
      <c r="E863" s="41"/>
      <c r="F863" s="41"/>
      <c r="G863" s="41"/>
      <c r="H863" s="41"/>
      <c r="I863" s="41"/>
      <c r="J863" s="42"/>
      <c r="K863" s="41"/>
      <c r="L863" s="41"/>
      <c r="M863" s="127"/>
      <c r="N863" s="41"/>
      <c r="O863" s="41"/>
      <c r="P863" s="41"/>
      <c r="Q863" s="42"/>
      <c r="R863" s="35"/>
      <c r="S863" s="35"/>
      <c r="T863" s="35"/>
      <c r="U863" s="35"/>
      <c r="V863" s="121"/>
      <c r="W863" s="42"/>
      <c r="X863" s="42"/>
      <c r="Y863" s="42"/>
      <c r="Z863" s="42"/>
      <c r="AA863" s="42"/>
      <c r="AB863" s="42"/>
      <c r="AC863" s="42"/>
      <c r="AD863" s="42"/>
      <c r="AE863" s="42"/>
      <c r="AF863" s="42"/>
      <c r="AG863" s="42"/>
      <c r="AH863" s="42"/>
      <c r="AI863" s="42"/>
      <c r="AJ863" s="42"/>
      <c r="AK863" s="42"/>
      <c r="AL863" s="42"/>
      <c r="AM863" s="42"/>
    </row>
    <row r="864" spans="1:39" x14ac:dyDescent="0.25">
      <c r="A864" s="38" t="s">
        <v>1215</v>
      </c>
      <c r="B864" s="42"/>
      <c r="C864" s="42"/>
      <c r="D864" s="42"/>
      <c r="E864" s="41"/>
      <c r="F864" s="41"/>
      <c r="G864" s="41"/>
      <c r="H864" s="41"/>
      <c r="I864" s="41"/>
      <c r="J864" s="42"/>
      <c r="K864" s="41"/>
      <c r="L864" s="41"/>
      <c r="M864" s="127"/>
      <c r="N864" s="41"/>
      <c r="O864" s="41"/>
      <c r="P864" s="41"/>
      <c r="Q864" s="42"/>
      <c r="R864" s="35"/>
      <c r="S864" s="35"/>
      <c r="T864" s="35"/>
      <c r="U864" s="35"/>
      <c r="V864" s="121"/>
      <c r="W864" s="42"/>
      <c r="X864" s="42"/>
      <c r="Y864" s="42"/>
      <c r="Z864" s="42"/>
      <c r="AA864" s="42"/>
      <c r="AB864" s="42"/>
      <c r="AC864" s="42"/>
      <c r="AD864" s="42"/>
      <c r="AE864" s="42"/>
      <c r="AF864" s="42"/>
      <c r="AG864" s="42"/>
      <c r="AH864" s="42"/>
      <c r="AI864" s="42"/>
      <c r="AJ864" s="42"/>
      <c r="AK864" s="42"/>
      <c r="AL864" s="42"/>
      <c r="AM864" s="42"/>
    </row>
    <row r="865" spans="1:39" x14ac:dyDescent="0.25">
      <c r="A865" s="38" t="s">
        <v>1216</v>
      </c>
      <c r="B865" s="42"/>
      <c r="C865" s="42"/>
      <c r="D865" s="42"/>
      <c r="E865" s="41"/>
      <c r="F865" s="41"/>
      <c r="G865" s="41"/>
      <c r="H865" s="41"/>
      <c r="I865" s="41"/>
      <c r="J865" s="42"/>
      <c r="K865" s="41"/>
      <c r="L865" s="41"/>
      <c r="M865" s="127"/>
      <c r="N865" s="41"/>
      <c r="O865" s="41"/>
      <c r="P865" s="41"/>
      <c r="Q865" s="42"/>
      <c r="R865" s="35"/>
      <c r="S865" s="35"/>
      <c r="T865" s="35"/>
      <c r="U865" s="35"/>
      <c r="V865" s="121"/>
      <c r="W865" s="42"/>
      <c r="X865" s="42"/>
      <c r="Y865" s="42"/>
      <c r="Z865" s="42"/>
      <c r="AA865" s="42"/>
      <c r="AB865" s="42"/>
      <c r="AC865" s="42"/>
      <c r="AD865" s="42"/>
      <c r="AE865" s="42"/>
      <c r="AF865" s="42"/>
      <c r="AG865" s="42"/>
      <c r="AH865" s="42"/>
      <c r="AI865" s="42"/>
      <c r="AJ865" s="42"/>
      <c r="AK865" s="42"/>
      <c r="AL865" s="42"/>
      <c r="AM865" s="42"/>
    </row>
    <row r="866" spans="1:39" x14ac:dyDescent="0.25">
      <c r="A866" s="38" t="s">
        <v>1217</v>
      </c>
      <c r="B866" s="42"/>
      <c r="C866" s="42"/>
      <c r="D866" s="42"/>
      <c r="E866" s="41"/>
      <c r="F866" s="41"/>
      <c r="G866" s="41"/>
      <c r="H866" s="41"/>
      <c r="I866" s="41"/>
      <c r="J866" s="42"/>
      <c r="K866" s="41"/>
      <c r="L866" s="41"/>
      <c r="M866" s="127"/>
      <c r="N866" s="41"/>
      <c r="O866" s="41"/>
      <c r="P866" s="41"/>
      <c r="Q866" s="42"/>
      <c r="R866" s="35"/>
      <c r="S866" s="35"/>
      <c r="T866" s="35"/>
      <c r="U866" s="35"/>
      <c r="V866" s="121"/>
      <c r="W866" s="42"/>
      <c r="X866" s="42"/>
      <c r="Y866" s="42"/>
      <c r="Z866" s="42"/>
      <c r="AA866" s="42"/>
      <c r="AB866" s="42"/>
      <c r="AC866" s="42"/>
      <c r="AD866" s="42"/>
      <c r="AE866" s="42"/>
      <c r="AF866" s="42"/>
      <c r="AG866" s="42"/>
      <c r="AH866" s="42"/>
      <c r="AI866" s="42"/>
      <c r="AJ866" s="42"/>
      <c r="AK866" s="42"/>
      <c r="AL866" s="42"/>
      <c r="AM866" s="42"/>
    </row>
    <row r="867" spans="1:39" x14ac:dyDescent="0.25">
      <c r="A867" s="38" t="s">
        <v>1218</v>
      </c>
      <c r="B867" s="42"/>
      <c r="C867" s="42"/>
      <c r="D867" s="42"/>
      <c r="E867" s="41"/>
      <c r="F867" s="41"/>
      <c r="G867" s="41"/>
      <c r="H867" s="41"/>
      <c r="I867" s="41"/>
      <c r="J867" s="42"/>
      <c r="K867" s="41"/>
      <c r="L867" s="41"/>
      <c r="M867" s="127"/>
      <c r="N867" s="41"/>
      <c r="O867" s="41"/>
      <c r="P867" s="41"/>
      <c r="Q867" s="42"/>
      <c r="R867" s="35"/>
      <c r="S867" s="35"/>
      <c r="T867" s="35"/>
      <c r="U867" s="35"/>
      <c r="V867" s="121"/>
      <c r="W867" s="42"/>
      <c r="X867" s="42"/>
      <c r="Y867" s="42"/>
      <c r="Z867" s="42"/>
      <c r="AA867" s="42"/>
      <c r="AB867" s="42"/>
      <c r="AC867" s="42"/>
      <c r="AD867" s="42"/>
      <c r="AE867" s="42"/>
      <c r="AF867" s="42"/>
      <c r="AG867" s="42"/>
      <c r="AH867" s="42"/>
      <c r="AI867" s="42"/>
      <c r="AJ867" s="42"/>
      <c r="AK867" s="42"/>
      <c r="AL867" s="42"/>
      <c r="AM867" s="42"/>
    </row>
    <row r="868" spans="1:39" x14ac:dyDescent="0.25">
      <c r="A868" s="38" t="s">
        <v>1219</v>
      </c>
      <c r="B868" s="42"/>
      <c r="C868" s="42"/>
      <c r="D868" s="42"/>
      <c r="E868" s="41"/>
      <c r="F868" s="41"/>
      <c r="G868" s="41"/>
      <c r="H868" s="41"/>
      <c r="I868" s="41"/>
      <c r="J868" s="42"/>
      <c r="K868" s="41"/>
      <c r="L868" s="41"/>
      <c r="M868" s="127"/>
      <c r="N868" s="41"/>
      <c r="O868" s="41"/>
      <c r="P868" s="41"/>
      <c r="Q868" s="42"/>
      <c r="R868" s="35"/>
      <c r="S868" s="35"/>
      <c r="T868" s="35"/>
      <c r="U868" s="35"/>
      <c r="V868" s="121"/>
      <c r="W868" s="42"/>
      <c r="X868" s="42"/>
      <c r="Y868" s="42"/>
      <c r="Z868" s="42"/>
      <c r="AA868" s="42"/>
      <c r="AB868" s="42"/>
      <c r="AC868" s="42"/>
      <c r="AD868" s="42"/>
      <c r="AE868" s="42"/>
      <c r="AF868" s="42"/>
      <c r="AG868" s="42"/>
      <c r="AH868" s="42"/>
      <c r="AI868" s="42"/>
      <c r="AJ868" s="42"/>
      <c r="AK868" s="42"/>
      <c r="AL868" s="42"/>
      <c r="AM868" s="42"/>
    </row>
    <row r="869" spans="1:39" x14ac:dyDescent="0.25">
      <c r="A869" s="38" t="s">
        <v>1220</v>
      </c>
      <c r="B869" s="42"/>
      <c r="C869" s="42"/>
      <c r="D869" s="42"/>
      <c r="E869" s="41"/>
      <c r="F869" s="41"/>
      <c r="G869" s="41"/>
      <c r="H869" s="41"/>
      <c r="I869" s="41"/>
      <c r="J869" s="42"/>
      <c r="K869" s="41"/>
      <c r="L869" s="41"/>
      <c r="M869" s="127"/>
      <c r="N869" s="41"/>
      <c r="O869" s="41"/>
      <c r="P869" s="41"/>
      <c r="Q869" s="42"/>
      <c r="R869" s="35"/>
      <c r="S869" s="35"/>
      <c r="T869" s="35"/>
      <c r="U869" s="35"/>
      <c r="V869" s="121"/>
      <c r="W869" s="42"/>
      <c r="X869" s="42"/>
      <c r="Y869" s="42"/>
      <c r="Z869" s="42"/>
      <c r="AA869" s="42"/>
      <c r="AB869" s="42"/>
      <c r="AC869" s="42"/>
      <c r="AD869" s="42"/>
      <c r="AE869" s="42"/>
      <c r="AF869" s="42"/>
      <c r="AG869" s="42"/>
      <c r="AH869" s="42"/>
      <c r="AI869" s="42"/>
      <c r="AJ869" s="42"/>
      <c r="AK869" s="42"/>
      <c r="AL869" s="42"/>
      <c r="AM869" s="42"/>
    </row>
    <row r="870" spans="1:39" x14ac:dyDescent="0.25">
      <c r="A870" s="38" t="s">
        <v>1221</v>
      </c>
      <c r="B870" s="42"/>
      <c r="C870" s="42"/>
      <c r="D870" s="42"/>
      <c r="E870" s="41"/>
      <c r="F870" s="41"/>
      <c r="G870" s="41"/>
      <c r="H870" s="41"/>
      <c r="I870" s="41"/>
      <c r="J870" s="42"/>
      <c r="K870" s="41"/>
      <c r="L870" s="41"/>
      <c r="M870" s="127"/>
      <c r="N870" s="41"/>
      <c r="O870" s="41"/>
      <c r="P870" s="41"/>
      <c r="Q870" s="42"/>
      <c r="R870" s="35"/>
      <c r="S870" s="35"/>
      <c r="T870" s="35"/>
      <c r="U870" s="35"/>
      <c r="V870" s="121"/>
      <c r="W870" s="42"/>
      <c r="X870" s="42"/>
      <c r="Y870" s="42"/>
      <c r="Z870" s="42"/>
      <c r="AA870" s="42"/>
      <c r="AB870" s="42"/>
      <c r="AC870" s="42"/>
      <c r="AD870" s="42"/>
      <c r="AE870" s="42"/>
      <c r="AF870" s="42"/>
      <c r="AG870" s="42"/>
      <c r="AH870" s="42"/>
      <c r="AI870" s="42"/>
      <c r="AJ870" s="42"/>
      <c r="AK870" s="42"/>
      <c r="AL870" s="42"/>
      <c r="AM870" s="42"/>
    </row>
    <row r="871" spans="1:39" x14ac:dyDescent="0.25">
      <c r="A871" s="38" t="s">
        <v>1222</v>
      </c>
      <c r="B871" s="42"/>
      <c r="C871" s="42"/>
      <c r="D871" s="42"/>
      <c r="E871" s="41"/>
      <c r="F871" s="41"/>
      <c r="G871" s="41"/>
      <c r="H871" s="41"/>
      <c r="I871" s="41"/>
      <c r="J871" s="42"/>
      <c r="K871" s="41"/>
      <c r="L871" s="41"/>
      <c r="M871" s="127"/>
      <c r="N871" s="41"/>
      <c r="O871" s="41"/>
      <c r="P871" s="41"/>
      <c r="Q871" s="42"/>
      <c r="R871" s="35"/>
      <c r="S871" s="35"/>
      <c r="T871" s="35"/>
      <c r="U871" s="35"/>
      <c r="V871" s="121"/>
      <c r="W871" s="42"/>
      <c r="X871" s="42"/>
      <c r="Y871" s="42"/>
      <c r="Z871" s="42"/>
      <c r="AA871" s="42"/>
      <c r="AB871" s="42"/>
      <c r="AC871" s="42"/>
      <c r="AD871" s="42"/>
      <c r="AE871" s="42"/>
      <c r="AF871" s="42"/>
      <c r="AG871" s="42"/>
      <c r="AH871" s="42"/>
      <c r="AI871" s="42"/>
      <c r="AJ871" s="42"/>
      <c r="AK871" s="42"/>
      <c r="AL871" s="42"/>
      <c r="AM871" s="42"/>
    </row>
    <row r="872" spans="1:39" x14ac:dyDescent="0.25">
      <c r="A872" s="38" t="s">
        <v>1223</v>
      </c>
      <c r="B872" s="42"/>
      <c r="C872" s="42"/>
      <c r="D872" s="42"/>
      <c r="E872" s="41"/>
      <c r="F872" s="41"/>
      <c r="G872" s="41"/>
      <c r="H872" s="41"/>
      <c r="I872" s="41"/>
      <c r="J872" s="42"/>
      <c r="K872" s="41"/>
      <c r="L872" s="41"/>
      <c r="M872" s="127"/>
      <c r="N872" s="41"/>
      <c r="O872" s="41"/>
      <c r="P872" s="41"/>
      <c r="Q872" s="42"/>
      <c r="R872" s="35"/>
      <c r="S872" s="35"/>
      <c r="T872" s="35"/>
      <c r="U872" s="35"/>
      <c r="V872" s="121"/>
      <c r="W872" s="42"/>
      <c r="X872" s="42"/>
      <c r="Y872" s="42"/>
      <c r="Z872" s="42"/>
      <c r="AA872" s="42"/>
      <c r="AB872" s="42"/>
      <c r="AC872" s="42"/>
      <c r="AD872" s="42"/>
      <c r="AE872" s="42"/>
      <c r="AF872" s="42"/>
      <c r="AG872" s="42"/>
      <c r="AH872" s="42"/>
      <c r="AI872" s="42"/>
      <c r="AJ872" s="42"/>
      <c r="AK872" s="42"/>
      <c r="AL872" s="42"/>
      <c r="AM872" s="42"/>
    </row>
    <row r="873" spans="1:39" x14ac:dyDescent="0.25">
      <c r="A873" s="38" t="s">
        <v>1224</v>
      </c>
      <c r="B873" s="42"/>
      <c r="C873" s="42"/>
      <c r="D873" s="42"/>
      <c r="E873" s="41"/>
      <c r="F873" s="41"/>
      <c r="G873" s="41"/>
      <c r="H873" s="41"/>
      <c r="I873" s="41"/>
      <c r="J873" s="42"/>
      <c r="K873" s="41"/>
      <c r="L873" s="41"/>
      <c r="M873" s="127"/>
      <c r="N873" s="41"/>
      <c r="O873" s="41"/>
      <c r="P873" s="41"/>
      <c r="Q873" s="42"/>
      <c r="R873" s="35"/>
      <c r="S873" s="35"/>
      <c r="T873" s="35"/>
      <c r="U873" s="35"/>
      <c r="V873" s="121"/>
      <c r="W873" s="42"/>
      <c r="X873" s="42"/>
      <c r="Y873" s="42"/>
      <c r="Z873" s="42"/>
      <c r="AA873" s="42"/>
      <c r="AB873" s="42"/>
      <c r="AC873" s="42"/>
      <c r="AD873" s="42"/>
      <c r="AE873" s="42"/>
      <c r="AF873" s="42"/>
      <c r="AG873" s="42"/>
      <c r="AH873" s="42"/>
      <c r="AI873" s="42"/>
      <c r="AJ873" s="42"/>
      <c r="AK873" s="42"/>
      <c r="AL873" s="42"/>
      <c r="AM873" s="42"/>
    </row>
    <row r="874" spans="1:39" x14ac:dyDescent="0.25">
      <c r="A874" s="38" t="s">
        <v>1225</v>
      </c>
      <c r="B874" s="42"/>
      <c r="C874" s="42"/>
      <c r="D874" s="42"/>
      <c r="E874" s="41"/>
      <c r="F874" s="41"/>
      <c r="G874" s="41"/>
      <c r="H874" s="41"/>
      <c r="I874" s="41"/>
      <c r="J874" s="42"/>
      <c r="K874" s="41"/>
      <c r="L874" s="41"/>
      <c r="M874" s="127"/>
      <c r="N874" s="41"/>
      <c r="O874" s="41"/>
      <c r="P874" s="41"/>
      <c r="Q874" s="42"/>
      <c r="R874" s="35"/>
      <c r="S874" s="35"/>
      <c r="T874" s="35"/>
      <c r="U874" s="35"/>
      <c r="V874" s="121"/>
      <c r="W874" s="42"/>
      <c r="X874" s="42"/>
      <c r="Y874" s="42"/>
      <c r="Z874" s="42"/>
      <c r="AA874" s="42"/>
      <c r="AB874" s="42"/>
      <c r="AC874" s="42"/>
      <c r="AD874" s="42"/>
      <c r="AE874" s="42"/>
      <c r="AF874" s="42"/>
      <c r="AG874" s="42"/>
      <c r="AH874" s="42"/>
      <c r="AI874" s="42"/>
      <c r="AJ874" s="42"/>
      <c r="AK874" s="42"/>
      <c r="AL874" s="42"/>
      <c r="AM874" s="42"/>
    </row>
    <row r="875" spans="1:39" x14ac:dyDescent="0.25">
      <c r="A875" s="38" t="s">
        <v>1226</v>
      </c>
      <c r="B875" s="42"/>
      <c r="C875" s="42"/>
      <c r="D875" s="42"/>
      <c r="E875" s="41"/>
      <c r="F875" s="41"/>
      <c r="G875" s="41"/>
      <c r="H875" s="41"/>
      <c r="I875" s="41"/>
      <c r="J875" s="42"/>
      <c r="K875" s="41"/>
      <c r="L875" s="41"/>
      <c r="M875" s="127"/>
      <c r="N875" s="41"/>
      <c r="O875" s="41"/>
      <c r="P875" s="41"/>
      <c r="Q875" s="42"/>
      <c r="R875" s="35"/>
      <c r="S875" s="35"/>
      <c r="T875" s="35"/>
      <c r="U875" s="35"/>
      <c r="V875" s="121"/>
      <c r="W875" s="42"/>
      <c r="X875" s="42"/>
      <c r="Y875" s="42"/>
      <c r="Z875" s="42"/>
      <c r="AA875" s="42"/>
      <c r="AB875" s="42"/>
      <c r="AC875" s="42"/>
      <c r="AD875" s="42"/>
      <c r="AE875" s="42"/>
      <c r="AF875" s="42"/>
      <c r="AG875" s="42"/>
      <c r="AH875" s="42"/>
      <c r="AI875" s="42"/>
      <c r="AJ875" s="42"/>
      <c r="AK875" s="42"/>
      <c r="AL875" s="42"/>
      <c r="AM875" s="42"/>
    </row>
    <row r="876" spans="1:39" x14ac:dyDescent="0.25">
      <c r="A876" s="38" t="s">
        <v>1227</v>
      </c>
      <c r="B876" s="42"/>
      <c r="C876" s="42"/>
      <c r="D876" s="42"/>
      <c r="E876" s="41"/>
      <c r="F876" s="41"/>
      <c r="G876" s="41"/>
      <c r="H876" s="41"/>
      <c r="I876" s="41"/>
      <c r="J876" s="42"/>
      <c r="K876" s="41"/>
      <c r="L876" s="41"/>
      <c r="M876" s="127"/>
      <c r="N876" s="41"/>
      <c r="O876" s="41"/>
      <c r="P876" s="41"/>
      <c r="Q876" s="42"/>
      <c r="R876" s="35"/>
      <c r="S876" s="35"/>
      <c r="T876" s="35"/>
      <c r="U876" s="35"/>
      <c r="V876" s="121"/>
      <c r="W876" s="42"/>
      <c r="X876" s="42"/>
      <c r="Y876" s="42"/>
      <c r="Z876" s="42"/>
      <c r="AA876" s="42"/>
      <c r="AB876" s="42"/>
      <c r="AC876" s="42"/>
      <c r="AD876" s="42"/>
      <c r="AE876" s="42"/>
      <c r="AF876" s="42"/>
      <c r="AG876" s="42"/>
      <c r="AH876" s="42"/>
      <c r="AI876" s="42"/>
      <c r="AJ876" s="42"/>
      <c r="AK876" s="42"/>
      <c r="AL876" s="42"/>
      <c r="AM876" s="42"/>
    </row>
    <row r="877" spans="1:39" x14ac:dyDescent="0.25">
      <c r="A877" s="38" t="s">
        <v>1228</v>
      </c>
      <c r="B877" s="42"/>
      <c r="C877" s="42"/>
      <c r="D877" s="42"/>
      <c r="E877" s="41"/>
      <c r="F877" s="41"/>
      <c r="G877" s="41"/>
      <c r="H877" s="41"/>
      <c r="I877" s="41"/>
      <c r="J877" s="42"/>
      <c r="K877" s="41"/>
      <c r="L877" s="41"/>
      <c r="M877" s="127"/>
      <c r="N877" s="41"/>
      <c r="O877" s="41"/>
      <c r="P877" s="41"/>
      <c r="Q877" s="42"/>
      <c r="R877" s="35"/>
      <c r="S877" s="35"/>
      <c r="T877" s="35"/>
      <c r="U877" s="35"/>
      <c r="V877" s="121"/>
      <c r="W877" s="42"/>
      <c r="X877" s="42"/>
      <c r="Y877" s="42"/>
      <c r="Z877" s="42"/>
      <c r="AA877" s="42"/>
      <c r="AB877" s="42"/>
      <c r="AC877" s="42"/>
      <c r="AD877" s="42"/>
      <c r="AE877" s="42"/>
      <c r="AF877" s="42"/>
      <c r="AG877" s="42"/>
      <c r="AH877" s="42"/>
      <c r="AI877" s="42"/>
      <c r="AJ877" s="42"/>
      <c r="AK877" s="42"/>
      <c r="AL877" s="42"/>
      <c r="AM877" s="42"/>
    </row>
    <row r="878" spans="1:39" x14ac:dyDescent="0.25">
      <c r="A878" s="38" t="s">
        <v>1229</v>
      </c>
      <c r="B878" s="42"/>
      <c r="C878" s="42"/>
      <c r="D878" s="42"/>
      <c r="E878" s="41"/>
      <c r="F878" s="41"/>
      <c r="G878" s="41"/>
      <c r="H878" s="41"/>
      <c r="I878" s="41"/>
      <c r="J878" s="42"/>
      <c r="K878" s="41"/>
      <c r="L878" s="41"/>
      <c r="M878" s="127"/>
      <c r="N878" s="41"/>
      <c r="O878" s="41"/>
      <c r="P878" s="41"/>
      <c r="Q878" s="42"/>
      <c r="R878" s="35"/>
      <c r="S878" s="35"/>
      <c r="T878" s="35"/>
      <c r="U878" s="35"/>
      <c r="V878" s="121"/>
      <c r="W878" s="42"/>
      <c r="X878" s="42"/>
      <c r="Y878" s="42"/>
      <c r="Z878" s="42"/>
      <c r="AA878" s="42"/>
      <c r="AB878" s="42"/>
      <c r="AC878" s="42"/>
      <c r="AD878" s="42"/>
      <c r="AE878" s="42"/>
      <c r="AF878" s="42"/>
      <c r="AG878" s="42"/>
      <c r="AH878" s="42"/>
      <c r="AI878" s="42"/>
      <c r="AJ878" s="42"/>
      <c r="AK878" s="42"/>
      <c r="AL878" s="42"/>
      <c r="AM878" s="42"/>
    </row>
    <row r="879" spans="1:39" x14ac:dyDescent="0.25">
      <c r="A879" s="38" t="s">
        <v>1230</v>
      </c>
      <c r="B879" s="42"/>
      <c r="C879" s="42"/>
      <c r="D879" s="42"/>
      <c r="E879" s="41"/>
      <c r="F879" s="41"/>
      <c r="G879" s="41"/>
      <c r="H879" s="41"/>
      <c r="I879" s="41"/>
      <c r="J879" s="42"/>
      <c r="K879" s="41"/>
      <c r="L879" s="41"/>
      <c r="M879" s="127"/>
      <c r="N879" s="41"/>
      <c r="O879" s="41"/>
      <c r="P879" s="41"/>
      <c r="Q879" s="42"/>
      <c r="R879" s="35"/>
      <c r="S879" s="35"/>
      <c r="T879" s="35"/>
      <c r="U879" s="35"/>
      <c r="V879" s="121"/>
      <c r="W879" s="42"/>
      <c r="X879" s="42"/>
      <c r="Y879" s="42"/>
      <c r="Z879" s="42"/>
      <c r="AA879" s="42"/>
      <c r="AB879" s="42"/>
      <c r="AC879" s="42"/>
      <c r="AD879" s="42"/>
      <c r="AE879" s="42"/>
      <c r="AF879" s="42"/>
      <c r="AG879" s="42"/>
      <c r="AH879" s="42"/>
      <c r="AI879" s="42"/>
      <c r="AJ879" s="42"/>
      <c r="AK879" s="42"/>
      <c r="AL879" s="42"/>
      <c r="AM879" s="42"/>
    </row>
    <row r="880" spans="1:39" x14ac:dyDescent="0.25">
      <c r="A880" s="38" t="s">
        <v>1231</v>
      </c>
      <c r="B880" s="42"/>
      <c r="C880" s="42"/>
      <c r="D880" s="42"/>
      <c r="E880" s="41"/>
      <c r="F880" s="41"/>
      <c r="G880" s="41"/>
      <c r="H880" s="41"/>
      <c r="I880" s="41"/>
      <c r="J880" s="42"/>
      <c r="K880" s="41"/>
      <c r="L880" s="41"/>
      <c r="M880" s="127"/>
      <c r="N880" s="41"/>
      <c r="O880" s="41"/>
      <c r="P880" s="41"/>
      <c r="Q880" s="42"/>
      <c r="R880" s="35"/>
      <c r="S880" s="35"/>
      <c r="T880" s="35"/>
      <c r="U880" s="35"/>
      <c r="V880" s="121"/>
      <c r="W880" s="42"/>
      <c r="X880" s="42"/>
      <c r="Y880" s="42"/>
      <c r="Z880" s="42"/>
      <c r="AA880" s="42"/>
      <c r="AB880" s="42"/>
      <c r="AC880" s="42"/>
      <c r="AD880" s="42"/>
      <c r="AE880" s="42"/>
      <c r="AF880" s="42"/>
      <c r="AG880" s="42"/>
      <c r="AH880" s="42"/>
      <c r="AI880" s="42"/>
      <c r="AJ880" s="42"/>
      <c r="AK880" s="42"/>
      <c r="AL880" s="42"/>
      <c r="AM880" s="42"/>
    </row>
    <row r="881" spans="1:39" x14ac:dyDescent="0.25">
      <c r="A881" s="38" t="s">
        <v>1232</v>
      </c>
      <c r="B881" s="42"/>
      <c r="C881" s="42"/>
      <c r="D881" s="42"/>
      <c r="E881" s="41"/>
      <c r="F881" s="41"/>
      <c r="G881" s="41"/>
      <c r="H881" s="41"/>
      <c r="I881" s="41"/>
      <c r="J881" s="42"/>
      <c r="K881" s="41"/>
      <c r="L881" s="41"/>
      <c r="M881" s="127"/>
      <c r="N881" s="41"/>
      <c r="O881" s="41"/>
      <c r="P881" s="41"/>
      <c r="Q881" s="42"/>
      <c r="R881" s="35"/>
      <c r="S881" s="35"/>
      <c r="T881" s="35"/>
      <c r="U881" s="35"/>
      <c r="V881" s="121"/>
      <c r="W881" s="42"/>
      <c r="X881" s="42"/>
      <c r="Y881" s="42"/>
      <c r="Z881" s="42"/>
      <c r="AA881" s="42"/>
      <c r="AB881" s="42"/>
      <c r="AC881" s="42"/>
      <c r="AD881" s="42"/>
      <c r="AE881" s="42"/>
      <c r="AF881" s="42"/>
      <c r="AG881" s="42"/>
      <c r="AH881" s="42"/>
      <c r="AI881" s="42"/>
      <c r="AJ881" s="42"/>
      <c r="AK881" s="42"/>
      <c r="AL881" s="42"/>
      <c r="AM881" s="42"/>
    </row>
    <row r="882" spans="1:39" x14ac:dyDescent="0.25">
      <c r="A882" s="38" t="s">
        <v>1233</v>
      </c>
      <c r="B882" s="42"/>
      <c r="C882" s="42"/>
      <c r="D882" s="42"/>
      <c r="E882" s="41"/>
      <c r="F882" s="41"/>
      <c r="G882" s="41"/>
      <c r="H882" s="41"/>
      <c r="I882" s="41"/>
      <c r="J882" s="42"/>
      <c r="K882" s="41"/>
      <c r="L882" s="41"/>
      <c r="M882" s="127"/>
      <c r="N882" s="41"/>
      <c r="O882" s="41"/>
      <c r="P882" s="41"/>
      <c r="Q882" s="42"/>
      <c r="R882" s="35"/>
      <c r="S882" s="35"/>
      <c r="T882" s="35"/>
      <c r="U882" s="35"/>
      <c r="V882" s="121"/>
      <c r="W882" s="42"/>
      <c r="X882" s="42"/>
      <c r="Y882" s="42"/>
      <c r="Z882" s="42"/>
      <c r="AA882" s="42"/>
      <c r="AB882" s="42"/>
      <c r="AC882" s="42"/>
      <c r="AD882" s="42"/>
      <c r="AE882" s="42"/>
      <c r="AF882" s="42"/>
      <c r="AG882" s="42"/>
      <c r="AH882" s="42"/>
      <c r="AI882" s="42"/>
      <c r="AJ882" s="42"/>
      <c r="AK882" s="42"/>
      <c r="AL882" s="42"/>
      <c r="AM882" s="42"/>
    </row>
    <row r="883" spans="1:39" x14ac:dyDescent="0.25">
      <c r="A883" s="38" t="s">
        <v>1234</v>
      </c>
      <c r="B883" s="42"/>
      <c r="C883" s="42"/>
      <c r="D883" s="42"/>
      <c r="E883" s="41"/>
      <c r="F883" s="41"/>
      <c r="G883" s="41"/>
      <c r="H883" s="41"/>
      <c r="I883" s="41"/>
      <c r="J883" s="42"/>
      <c r="K883" s="41"/>
      <c r="L883" s="41"/>
      <c r="M883" s="127"/>
      <c r="N883" s="41"/>
      <c r="O883" s="41"/>
      <c r="P883" s="41"/>
      <c r="Q883" s="42"/>
      <c r="R883" s="35"/>
      <c r="S883" s="35"/>
      <c r="T883" s="35"/>
      <c r="U883" s="35"/>
      <c r="V883" s="121"/>
      <c r="W883" s="42"/>
      <c r="X883" s="42"/>
      <c r="Y883" s="42"/>
      <c r="Z883" s="42"/>
      <c r="AA883" s="42"/>
      <c r="AB883" s="42"/>
      <c r="AC883" s="42"/>
      <c r="AD883" s="42"/>
      <c r="AE883" s="42"/>
      <c r="AF883" s="42"/>
      <c r="AG883" s="42"/>
      <c r="AH883" s="42"/>
      <c r="AI883" s="42"/>
      <c r="AJ883" s="42"/>
      <c r="AK883" s="42"/>
      <c r="AL883" s="42"/>
      <c r="AM883" s="42"/>
    </row>
    <row r="884" spans="1:39" x14ac:dyDescent="0.25">
      <c r="A884" s="38" t="s">
        <v>1235</v>
      </c>
      <c r="B884" s="42"/>
      <c r="C884" s="42"/>
      <c r="D884" s="42"/>
      <c r="E884" s="41"/>
      <c r="F884" s="41"/>
      <c r="G884" s="41"/>
      <c r="H884" s="41"/>
      <c r="I884" s="41"/>
      <c r="J884" s="42"/>
      <c r="K884" s="41"/>
      <c r="L884" s="41"/>
      <c r="M884" s="127"/>
      <c r="N884" s="41"/>
      <c r="O884" s="41"/>
      <c r="P884" s="41"/>
      <c r="Q884" s="42"/>
      <c r="R884" s="35"/>
      <c r="S884" s="35"/>
      <c r="T884" s="35"/>
      <c r="U884" s="35"/>
      <c r="V884" s="121"/>
      <c r="W884" s="42"/>
      <c r="X884" s="42"/>
      <c r="Y884" s="42"/>
      <c r="Z884" s="42"/>
      <c r="AA884" s="42"/>
      <c r="AB884" s="42"/>
      <c r="AC884" s="42"/>
      <c r="AD884" s="42"/>
      <c r="AE884" s="42"/>
      <c r="AF884" s="42"/>
      <c r="AG884" s="42"/>
      <c r="AH884" s="42"/>
      <c r="AI884" s="42"/>
      <c r="AJ884" s="42"/>
      <c r="AK884" s="42"/>
      <c r="AL884" s="42"/>
      <c r="AM884" s="42"/>
    </row>
    <row r="885" spans="1:39" x14ac:dyDescent="0.25">
      <c r="A885" s="38" t="s">
        <v>1236</v>
      </c>
      <c r="B885" s="42"/>
      <c r="C885" s="42"/>
      <c r="D885" s="42"/>
      <c r="E885" s="41"/>
      <c r="F885" s="41"/>
      <c r="G885" s="41"/>
      <c r="H885" s="41"/>
      <c r="I885" s="41"/>
      <c r="J885" s="42"/>
      <c r="K885" s="41"/>
      <c r="L885" s="41"/>
      <c r="M885" s="127"/>
      <c r="N885" s="41"/>
      <c r="O885" s="41"/>
      <c r="P885" s="41"/>
      <c r="Q885" s="42"/>
      <c r="R885" s="35"/>
      <c r="S885" s="35"/>
      <c r="T885" s="35"/>
      <c r="U885" s="35"/>
      <c r="V885" s="121"/>
      <c r="W885" s="42"/>
      <c r="X885" s="42"/>
      <c r="Y885" s="42"/>
      <c r="Z885" s="42"/>
      <c r="AA885" s="42"/>
      <c r="AB885" s="42"/>
      <c r="AC885" s="42"/>
      <c r="AD885" s="42"/>
      <c r="AE885" s="42"/>
      <c r="AF885" s="42"/>
      <c r="AG885" s="42"/>
      <c r="AH885" s="42"/>
      <c r="AI885" s="42"/>
      <c r="AJ885" s="42"/>
      <c r="AK885" s="42"/>
      <c r="AL885" s="42"/>
      <c r="AM885" s="42"/>
    </row>
    <row r="886" spans="1:39" x14ac:dyDescent="0.25">
      <c r="A886" s="38" t="s">
        <v>1237</v>
      </c>
      <c r="B886" s="42"/>
      <c r="C886" s="42"/>
      <c r="D886" s="42"/>
      <c r="E886" s="41"/>
      <c r="F886" s="41"/>
      <c r="G886" s="41"/>
      <c r="H886" s="41"/>
      <c r="I886" s="41"/>
      <c r="J886" s="42"/>
      <c r="K886" s="41"/>
      <c r="L886" s="41"/>
      <c r="M886" s="127"/>
      <c r="N886" s="41"/>
      <c r="O886" s="41"/>
      <c r="P886" s="41"/>
      <c r="Q886" s="42"/>
      <c r="R886" s="35"/>
      <c r="S886" s="35"/>
      <c r="T886" s="35"/>
      <c r="U886" s="35"/>
      <c r="V886" s="121"/>
      <c r="W886" s="42"/>
      <c r="X886" s="42"/>
      <c r="Y886" s="42"/>
      <c r="Z886" s="42"/>
      <c r="AA886" s="42"/>
      <c r="AB886" s="42"/>
      <c r="AC886" s="42"/>
      <c r="AD886" s="42"/>
      <c r="AE886" s="42"/>
      <c r="AF886" s="42"/>
      <c r="AG886" s="42"/>
      <c r="AH886" s="42"/>
      <c r="AI886" s="42"/>
      <c r="AJ886" s="42"/>
      <c r="AK886" s="42"/>
      <c r="AL886" s="42"/>
      <c r="AM886" s="42"/>
    </row>
    <row r="887" spans="1:39" x14ac:dyDescent="0.25">
      <c r="A887" s="38" t="s">
        <v>1238</v>
      </c>
      <c r="B887" s="42"/>
      <c r="C887" s="42"/>
      <c r="D887" s="42"/>
      <c r="E887" s="41"/>
      <c r="F887" s="41"/>
      <c r="G887" s="41"/>
      <c r="H887" s="41"/>
      <c r="I887" s="41"/>
      <c r="J887" s="42"/>
      <c r="K887" s="41"/>
      <c r="L887" s="41"/>
      <c r="M887" s="127"/>
      <c r="N887" s="41"/>
      <c r="O887" s="41"/>
      <c r="P887" s="41"/>
      <c r="Q887" s="42"/>
      <c r="R887" s="35"/>
      <c r="S887" s="35"/>
      <c r="T887" s="35"/>
      <c r="U887" s="35"/>
      <c r="V887" s="121"/>
      <c r="W887" s="42"/>
      <c r="X887" s="42"/>
      <c r="Y887" s="42"/>
      <c r="Z887" s="42"/>
      <c r="AA887" s="42"/>
      <c r="AB887" s="42"/>
      <c r="AC887" s="42"/>
      <c r="AD887" s="42"/>
      <c r="AE887" s="42"/>
      <c r="AF887" s="42"/>
      <c r="AG887" s="42"/>
      <c r="AH887" s="42"/>
      <c r="AI887" s="42"/>
      <c r="AJ887" s="42"/>
      <c r="AK887" s="42"/>
      <c r="AL887" s="42"/>
      <c r="AM887" s="42"/>
    </row>
    <row r="888" spans="1:39" x14ac:dyDescent="0.25">
      <c r="A888" s="38" t="s">
        <v>1239</v>
      </c>
      <c r="B888" s="42"/>
      <c r="C888" s="42"/>
      <c r="D888" s="42"/>
      <c r="E888" s="41"/>
      <c r="F888" s="41"/>
      <c r="G888" s="41"/>
      <c r="H888" s="41"/>
      <c r="I888" s="41"/>
      <c r="J888" s="42"/>
      <c r="K888" s="41"/>
      <c r="L888" s="41"/>
      <c r="M888" s="127"/>
      <c r="N888" s="41"/>
      <c r="O888" s="41"/>
      <c r="P888" s="41"/>
      <c r="Q888" s="42"/>
      <c r="R888" s="35"/>
      <c r="S888" s="35"/>
      <c r="T888" s="35"/>
      <c r="U888" s="35"/>
      <c r="V888" s="121"/>
      <c r="W888" s="42"/>
      <c r="X888" s="42"/>
      <c r="Y888" s="42"/>
      <c r="Z888" s="42"/>
      <c r="AA888" s="42"/>
      <c r="AB888" s="42"/>
      <c r="AC888" s="42"/>
      <c r="AD888" s="42"/>
      <c r="AE888" s="42"/>
      <c r="AF888" s="42"/>
      <c r="AG888" s="42"/>
      <c r="AH888" s="42"/>
      <c r="AI888" s="42"/>
      <c r="AJ888" s="42"/>
      <c r="AK888" s="42"/>
      <c r="AL888" s="42"/>
      <c r="AM888" s="42"/>
    </row>
    <row r="889" spans="1:39" x14ac:dyDescent="0.25">
      <c r="A889" s="38" t="s">
        <v>1240</v>
      </c>
      <c r="B889" s="42"/>
      <c r="C889" s="42"/>
      <c r="D889" s="42"/>
      <c r="E889" s="41"/>
      <c r="F889" s="41"/>
      <c r="G889" s="41"/>
      <c r="H889" s="41"/>
      <c r="I889" s="41"/>
      <c r="J889" s="42"/>
      <c r="K889" s="41"/>
      <c r="L889" s="41"/>
      <c r="M889" s="127"/>
      <c r="N889" s="41"/>
      <c r="O889" s="41"/>
      <c r="P889" s="41"/>
      <c r="Q889" s="42"/>
      <c r="R889" s="35"/>
      <c r="S889" s="35"/>
      <c r="T889" s="35"/>
      <c r="U889" s="35"/>
      <c r="V889" s="121"/>
      <c r="W889" s="42"/>
      <c r="X889" s="42"/>
      <c r="Y889" s="42"/>
      <c r="Z889" s="42"/>
      <c r="AA889" s="42"/>
      <c r="AB889" s="42"/>
      <c r="AC889" s="42"/>
      <c r="AD889" s="42"/>
      <c r="AE889" s="42"/>
      <c r="AF889" s="42"/>
      <c r="AG889" s="42"/>
      <c r="AH889" s="42"/>
      <c r="AI889" s="42"/>
      <c r="AJ889" s="42"/>
      <c r="AK889" s="42"/>
      <c r="AL889" s="42"/>
      <c r="AM889" s="42"/>
    </row>
    <row r="890" spans="1:39" x14ac:dyDescent="0.25">
      <c r="A890" s="38" t="s">
        <v>1241</v>
      </c>
      <c r="B890" s="42"/>
      <c r="C890" s="42"/>
      <c r="D890" s="42"/>
      <c r="E890" s="41"/>
      <c r="F890" s="41"/>
      <c r="G890" s="41"/>
      <c r="H890" s="41"/>
      <c r="I890" s="41"/>
      <c r="J890" s="42"/>
      <c r="K890" s="41"/>
      <c r="L890" s="41"/>
      <c r="M890" s="127"/>
      <c r="N890" s="41"/>
      <c r="O890" s="41"/>
      <c r="P890" s="41"/>
      <c r="Q890" s="42"/>
      <c r="R890" s="35"/>
      <c r="S890" s="35"/>
      <c r="T890" s="35"/>
      <c r="U890" s="35"/>
      <c r="V890" s="121"/>
      <c r="W890" s="42"/>
      <c r="X890" s="42"/>
      <c r="Y890" s="42"/>
      <c r="Z890" s="42"/>
      <c r="AA890" s="42"/>
      <c r="AB890" s="42"/>
      <c r="AC890" s="42"/>
      <c r="AD890" s="42"/>
      <c r="AE890" s="42"/>
      <c r="AF890" s="42"/>
      <c r="AG890" s="42"/>
      <c r="AH890" s="42"/>
      <c r="AI890" s="42"/>
      <c r="AJ890" s="42"/>
      <c r="AK890" s="42"/>
      <c r="AL890" s="42"/>
      <c r="AM890" s="42"/>
    </row>
    <row r="891" spans="1:39" x14ac:dyDescent="0.25">
      <c r="A891" s="38" t="s">
        <v>1242</v>
      </c>
      <c r="B891" s="42"/>
      <c r="C891" s="42"/>
      <c r="D891" s="42"/>
      <c r="E891" s="41"/>
      <c r="F891" s="41"/>
      <c r="G891" s="41"/>
      <c r="H891" s="41"/>
      <c r="I891" s="41"/>
      <c r="J891" s="42"/>
      <c r="K891" s="41"/>
      <c r="L891" s="41"/>
      <c r="M891" s="127"/>
      <c r="N891" s="41"/>
      <c r="O891" s="41"/>
      <c r="P891" s="41"/>
      <c r="Q891" s="42"/>
      <c r="R891" s="35"/>
      <c r="S891" s="35"/>
      <c r="T891" s="35"/>
      <c r="U891" s="35"/>
      <c r="V891" s="121"/>
      <c r="W891" s="42"/>
      <c r="X891" s="42"/>
      <c r="Y891" s="42"/>
      <c r="Z891" s="42"/>
      <c r="AA891" s="42"/>
      <c r="AB891" s="42"/>
      <c r="AC891" s="42"/>
      <c r="AD891" s="42"/>
      <c r="AE891" s="42"/>
      <c r="AF891" s="42"/>
      <c r="AG891" s="42"/>
      <c r="AH891" s="42"/>
      <c r="AI891" s="42"/>
      <c r="AJ891" s="42"/>
      <c r="AK891" s="42"/>
      <c r="AL891" s="42"/>
      <c r="AM891" s="42"/>
    </row>
    <row r="892" spans="1:39" x14ac:dyDescent="0.25">
      <c r="A892" s="38" t="s">
        <v>1243</v>
      </c>
      <c r="B892" s="42"/>
      <c r="C892" s="42"/>
      <c r="D892" s="42"/>
      <c r="E892" s="41"/>
      <c r="F892" s="41"/>
      <c r="G892" s="41"/>
      <c r="H892" s="41"/>
      <c r="I892" s="41"/>
      <c r="J892" s="42"/>
      <c r="K892" s="41"/>
      <c r="L892" s="41"/>
      <c r="M892" s="127"/>
      <c r="N892" s="41"/>
      <c r="O892" s="41"/>
      <c r="P892" s="41"/>
      <c r="Q892" s="42"/>
      <c r="R892" s="35"/>
      <c r="S892" s="35"/>
      <c r="T892" s="35"/>
      <c r="U892" s="35"/>
      <c r="V892" s="121"/>
      <c r="W892" s="42"/>
      <c r="X892" s="42"/>
      <c r="Y892" s="42"/>
      <c r="Z892" s="42"/>
      <c r="AA892" s="42"/>
      <c r="AB892" s="42"/>
      <c r="AC892" s="42"/>
      <c r="AD892" s="42"/>
      <c r="AE892" s="42"/>
      <c r="AF892" s="42"/>
      <c r="AG892" s="42"/>
      <c r="AH892" s="42"/>
      <c r="AI892" s="42"/>
      <c r="AJ892" s="42"/>
      <c r="AK892" s="42"/>
      <c r="AL892" s="42"/>
      <c r="AM892" s="42"/>
    </row>
    <row r="893" spans="1:39" x14ac:dyDescent="0.25">
      <c r="A893" s="38" t="s">
        <v>1244</v>
      </c>
      <c r="B893" s="42"/>
      <c r="C893" s="42"/>
      <c r="D893" s="42"/>
      <c r="E893" s="41"/>
      <c r="F893" s="41"/>
      <c r="G893" s="41"/>
      <c r="H893" s="41"/>
      <c r="I893" s="41"/>
      <c r="J893" s="42"/>
      <c r="K893" s="41"/>
      <c r="L893" s="41"/>
      <c r="M893" s="127"/>
      <c r="N893" s="41"/>
      <c r="O893" s="41"/>
      <c r="P893" s="41"/>
      <c r="Q893" s="42"/>
      <c r="R893" s="35"/>
      <c r="S893" s="35"/>
      <c r="T893" s="35"/>
      <c r="U893" s="35"/>
      <c r="V893" s="121"/>
      <c r="W893" s="42"/>
      <c r="X893" s="42"/>
      <c r="Y893" s="42"/>
      <c r="Z893" s="42"/>
      <c r="AA893" s="42"/>
      <c r="AB893" s="42"/>
      <c r="AC893" s="42"/>
      <c r="AD893" s="42"/>
      <c r="AE893" s="42"/>
      <c r="AF893" s="42"/>
      <c r="AG893" s="42"/>
      <c r="AH893" s="42"/>
      <c r="AI893" s="42"/>
      <c r="AJ893" s="42"/>
      <c r="AK893" s="42"/>
      <c r="AL893" s="42"/>
      <c r="AM893" s="42"/>
    </row>
    <row r="894" spans="1:39" x14ac:dyDescent="0.25">
      <c r="A894" s="38" t="s">
        <v>1245</v>
      </c>
      <c r="B894" s="42"/>
      <c r="C894" s="42"/>
      <c r="D894" s="42"/>
      <c r="E894" s="41"/>
      <c r="F894" s="41"/>
      <c r="G894" s="41"/>
      <c r="H894" s="41"/>
      <c r="I894" s="41"/>
      <c r="J894" s="42"/>
      <c r="K894" s="41"/>
      <c r="L894" s="41"/>
      <c r="M894" s="127"/>
      <c r="N894" s="41"/>
      <c r="O894" s="41"/>
      <c r="P894" s="41"/>
      <c r="Q894" s="42"/>
      <c r="R894" s="35"/>
      <c r="S894" s="35"/>
      <c r="T894" s="35"/>
      <c r="U894" s="35"/>
      <c r="V894" s="121"/>
      <c r="W894" s="42"/>
      <c r="X894" s="42"/>
      <c r="Y894" s="42"/>
      <c r="Z894" s="42"/>
      <c r="AA894" s="42"/>
      <c r="AB894" s="42"/>
      <c r="AC894" s="42"/>
      <c r="AD894" s="42"/>
      <c r="AE894" s="42"/>
      <c r="AF894" s="42"/>
      <c r="AG894" s="42"/>
      <c r="AH894" s="42"/>
      <c r="AI894" s="42"/>
      <c r="AJ894" s="42"/>
      <c r="AK894" s="42"/>
      <c r="AL894" s="42"/>
      <c r="AM894" s="42"/>
    </row>
    <row r="895" spans="1:39" x14ac:dyDescent="0.25">
      <c r="A895" s="38" t="s">
        <v>1246</v>
      </c>
      <c r="B895" s="42"/>
      <c r="C895" s="42"/>
      <c r="D895" s="42"/>
      <c r="E895" s="41"/>
      <c r="F895" s="41"/>
      <c r="G895" s="41"/>
      <c r="H895" s="41"/>
      <c r="I895" s="41"/>
      <c r="J895" s="42"/>
      <c r="K895" s="41"/>
      <c r="L895" s="41"/>
      <c r="M895" s="127"/>
      <c r="N895" s="41"/>
      <c r="O895" s="41"/>
      <c r="P895" s="41"/>
      <c r="Q895" s="42"/>
      <c r="R895" s="35"/>
      <c r="S895" s="35"/>
      <c r="T895" s="35"/>
      <c r="U895" s="35"/>
      <c r="V895" s="121"/>
      <c r="W895" s="42"/>
      <c r="X895" s="42"/>
      <c r="Y895" s="42"/>
      <c r="Z895" s="42"/>
      <c r="AA895" s="42"/>
      <c r="AB895" s="42"/>
      <c r="AC895" s="42"/>
      <c r="AD895" s="42"/>
      <c r="AE895" s="42"/>
      <c r="AF895" s="42"/>
      <c r="AG895" s="42"/>
      <c r="AH895" s="42"/>
      <c r="AI895" s="42"/>
      <c r="AJ895" s="42"/>
      <c r="AK895" s="42"/>
      <c r="AL895" s="42"/>
      <c r="AM895" s="42"/>
    </row>
    <row r="896" spans="1:39" x14ac:dyDescent="0.25">
      <c r="A896" s="38" t="s">
        <v>1247</v>
      </c>
      <c r="B896" s="42"/>
      <c r="C896" s="42"/>
      <c r="D896" s="42"/>
      <c r="E896" s="41"/>
      <c r="F896" s="41"/>
      <c r="G896" s="41"/>
      <c r="H896" s="41"/>
      <c r="I896" s="41"/>
      <c r="J896" s="42"/>
      <c r="K896" s="41"/>
      <c r="L896" s="41"/>
      <c r="M896" s="127"/>
      <c r="N896" s="41"/>
      <c r="O896" s="41"/>
      <c r="P896" s="41"/>
      <c r="Q896" s="42"/>
      <c r="R896" s="35"/>
      <c r="S896" s="35"/>
      <c r="T896" s="35"/>
      <c r="U896" s="35"/>
      <c r="V896" s="121"/>
      <c r="W896" s="42"/>
      <c r="X896" s="42"/>
      <c r="Y896" s="42"/>
      <c r="Z896" s="42"/>
      <c r="AA896" s="42"/>
      <c r="AB896" s="42"/>
      <c r="AC896" s="42"/>
      <c r="AD896" s="42"/>
      <c r="AE896" s="42"/>
      <c r="AF896" s="42"/>
      <c r="AG896" s="42"/>
      <c r="AH896" s="42"/>
      <c r="AI896" s="42"/>
      <c r="AJ896" s="42"/>
      <c r="AK896" s="42"/>
      <c r="AL896" s="42"/>
      <c r="AM896" s="42"/>
    </row>
    <row r="897" spans="1:39" x14ac:dyDescent="0.25">
      <c r="A897" s="38" t="s">
        <v>1248</v>
      </c>
      <c r="B897" s="42"/>
      <c r="C897" s="42"/>
      <c r="D897" s="42"/>
      <c r="E897" s="41"/>
      <c r="F897" s="41"/>
      <c r="G897" s="41"/>
      <c r="H897" s="41"/>
      <c r="I897" s="41"/>
      <c r="J897" s="42"/>
      <c r="K897" s="41"/>
      <c r="L897" s="41"/>
      <c r="M897" s="127"/>
      <c r="N897" s="41"/>
      <c r="O897" s="41"/>
      <c r="P897" s="41"/>
      <c r="Q897" s="42"/>
      <c r="R897" s="35"/>
      <c r="S897" s="35"/>
      <c r="T897" s="35"/>
      <c r="U897" s="35"/>
      <c r="V897" s="121"/>
      <c r="W897" s="42"/>
      <c r="X897" s="42"/>
      <c r="Y897" s="42"/>
      <c r="Z897" s="42"/>
      <c r="AA897" s="42"/>
      <c r="AB897" s="42"/>
      <c r="AC897" s="42"/>
      <c r="AD897" s="42"/>
      <c r="AE897" s="42"/>
      <c r="AF897" s="42"/>
      <c r="AG897" s="42"/>
      <c r="AH897" s="42"/>
      <c r="AI897" s="42"/>
      <c r="AJ897" s="42"/>
      <c r="AK897" s="42"/>
      <c r="AL897" s="42"/>
      <c r="AM897" s="42"/>
    </row>
    <row r="898" spans="1:39" x14ac:dyDescent="0.25">
      <c r="A898" s="38" t="s">
        <v>1249</v>
      </c>
      <c r="B898" s="42"/>
      <c r="C898" s="42"/>
      <c r="D898" s="42"/>
      <c r="E898" s="41"/>
      <c r="F898" s="41"/>
      <c r="G898" s="41"/>
      <c r="H898" s="41"/>
      <c r="I898" s="41"/>
      <c r="J898" s="42"/>
      <c r="K898" s="41"/>
      <c r="L898" s="41"/>
      <c r="M898" s="127"/>
      <c r="N898" s="41"/>
      <c r="O898" s="41"/>
      <c r="P898" s="41"/>
      <c r="Q898" s="42"/>
      <c r="R898" s="35"/>
      <c r="S898" s="35"/>
      <c r="T898" s="35"/>
      <c r="U898" s="35"/>
      <c r="V898" s="121"/>
      <c r="W898" s="42"/>
      <c r="X898" s="42"/>
      <c r="Y898" s="42"/>
      <c r="Z898" s="42"/>
      <c r="AA898" s="42"/>
      <c r="AB898" s="42"/>
      <c r="AC898" s="42"/>
      <c r="AD898" s="42"/>
      <c r="AE898" s="42"/>
      <c r="AF898" s="42"/>
      <c r="AG898" s="42"/>
      <c r="AH898" s="42"/>
      <c r="AI898" s="42"/>
      <c r="AJ898" s="42"/>
      <c r="AK898" s="42"/>
      <c r="AL898" s="42"/>
      <c r="AM898" s="42"/>
    </row>
    <row r="899" spans="1:39" x14ac:dyDescent="0.25">
      <c r="A899" s="38" t="s">
        <v>1250</v>
      </c>
      <c r="B899" s="42"/>
      <c r="C899" s="42"/>
      <c r="D899" s="42"/>
      <c r="E899" s="41"/>
      <c r="F899" s="41"/>
      <c r="G899" s="41"/>
      <c r="H899" s="41"/>
      <c r="I899" s="41"/>
      <c r="J899" s="42"/>
      <c r="K899" s="41"/>
      <c r="L899" s="41"/>
      <c r="M899" s="127"/>
      <c r="N899" s="41"/>
      <c r="O899" s="41"/>
      <c r="P899" s="41"/>
      <c r="Q899" s="42"/>
      <c r="R899" s="35"/>
      <c r="S899" s="35"/>
      <c r="T899" s="35"/>
      <c r="U899" s="35"/>
      <c r="V899" s="121"/>
      <c r="W899" s="42"/>
      <c r="X899" s="42"/>
      <c r="Y899" s="42"/>
      <c r="Z899" s="42"/>
      <c r="AA899" s="42"/>
      <c r="AB899" s="42"/>
      <c r="AC899" s="42"/>
      <c r="AD899" s="42"/>
      <c r="AE899" s="42"/>
      <c r="AF899" s="42"/>
      <c r="AG899" s="42"/>
      <c r="AH899" s="42"/>
      <c r="AI899" s="42"/>
      <c r="AJ899" s="42"/>
      <c r="AK899" s="42"/>
      <c r="AL899" s="42"/>
      <c r="AM899" s="42"/>
    </row>
    <row r="900" spans="1:39" x14ac:dyDescent="0.25">
      <c r="A900" s="38" t="s">
        <v>1251</v>
      </c>
      <c r="B900" s="42"/>
      <c r="C900" s="42"/>
      <c r="D900" s="42"/>
      <c r="E900" s="41"/>
      <c r="F900" s="41"/>
      <c r="G900" s="41"/>
      <c r="H900" s="41"/>
      <c r="I900" s="41"/>
      <c r="J900" s="42"/>
      <c r="K900" s="41"/>
      <c r="L900" s="41"/>
      <c r="M900" s="127"/>
      <c r="N900" s="41"/>
      <c r="O900" s="41"/>
      <c r="P900" s="41"/>
      <c r="Q900" s="42"/>
      <c r="R900" s="35"/>
      <c r="S900" s="35"/>
      <c r="T900" s="35"/>
      <c r="U900" s="35"/>
      <c r="V900" s="121"/>
      <c r="W900" s="42"/>
      <c r="X900" s="42"/>
      <c r="Y900" s="42"/>
      <c r="Z900" s="42"/>
      <c r="AA900" s="42"/>
      <c r="AB900" s="42"/>
      <c r="AC900" s="42"/>
      <c r="AD900" s="42"/>
      <c r="AE900" s="42"/>
      <c r="AF900" s="42"/>
      <c r="AG900" s="42"/>
      <c r="AH900" s="42"/>
      <c r="AI900" s="42"/>
      <c r="AJ900" s="42"/>
      <c r="AK900" s="42"/>
      <c r="AL900" s="42"/>
      <c r="AM900" s="42"/>
    </row>
    <row r="901" spans="1:39" x14ac:dyDescent="0.25">
      <c r="A901" s="38" t="s">
        <v>1252</v>
      </c>
      <c r="B901" s="42"/>
      <c r="C901" s="42"/>
      <c r="D901" s="42"/>
      <c r="E901" s="41"/>
      <c r="F901" s="41"/>
      <c r="G901" s="41"/>
      <c r="H901" s="41"/>
      <c r="I901" s="41"/>
      <c r="J901" s="42"/>
      <c r="K901" s="41"/>
      <c r="L901" s="41"/>
      <c r="M901" s="127"/>
      <c r="N901" s="41"/>
      <c r="O901" s="41"/>
      <c r="P901" s="41"/>
      <c r="Q901" s="42"/>
      <c r="R901" s="35"/>
      <c r="S901" s="35"/>
      <c r="T901" s="35"/>
      <c r="U901" s="35"/>
      <c r="V901" s="121"/>
      <c r="W901" s="42"/>
      <c r="X901" s="42"/>
      <c r="Y901" s="42"/>
      <c r="Z901" s="42"/>
      <c r="AA901" s="42"/>
      <c r="AB901" s="42"/>
      <c r="AC901" s="42"/>
      <c r="AD901" s="42"/>
      <c r="AE901" s="42"/>
      <c r="AF901" s="42"/>
      <c r="AG901" s="42"/>
      <c r="AH901" s="42"/>
      <c r="AI901" s="42"/>
      <c r="AJ901" s="42"/>
      <c r="AK901" s="42"/>
      <c r="AL901" s="42"/>
      <c r="AM901" s="42"/>
    </row>
    <row r="902" spans="1:39" x14ac:dyDescent="0.25">
      <c r="A902" s="38" t="s">
        <v>1253</v>
      </c>
      <c r="B902" s="42"/>
      <c r="C902" s="42"/>
      <c r="D902" s="42"/>
      <c r="E902" s="41"/>
      <c r="F902" s="41"/>
      <c r="G902" s="41"/>
      <c r="H902" s="41"/>
      <c r="I902" s="41"/>
      <c r="J902" s="42"/>
      <c r="K902" s="41"/>
      <c r="L902" s="41"/>
      <c r="M902" s="127"/>
      <c r="N902" s="41"/>
      <c r="O902" s="41"/>
      <c r="P902" s="41"/>
      <c r="Q902" s="42"/>
      <c r="R902" s="35"/>
      <c r="S902" s="35"/>
      <c r="T902" s="35"/>
      <c r="U902" s="35"/>
      <c r="V902" s="121"/>
      <c r="W902" s="42"/>
      <c r="X902" s="42"/>
      <c r="Y902" s="42"/>
      <c r="Z902" s="42"/>
      <c r="AA902" s="42"/>
      <c r="AB902" s="42"/>
      <c r="AC902" s="42"/>
      <c r="AD902" s="42"/>
      <c r="AE902" s="42"/>
      <c r="AF902" s="42"/>
      <c r="AG902" s="42"/>
      <c r="AH902" s="42"/>
      <c r="AI902" s="42"/>
      <c r="AJ902" s="42"/>
      <c r="AK902" s="42"/>
      <c r="AL902" s="42"/>
      <c r="AM902" s="42"/>
    </row>
    <row r="903" spans="1:39" x14ac:dyDescent="0.25">
      <c r="A903" s="38" t="s">
        <v>1254</v>
      </c>
      <c r="B903" s="42"/>
      <c r="C903" s="42"/>
      <c r="D903" s="42"/>
      <c r="E903" s="41"/>
      <c r="F903" s="41"/>
      <c r="G903" s="41"/>
      <c r="H903" s="41"/>
      <c r="I903" s="41"/>
      <c r="J903" s="42"/>
      <c r="K903" s="41"/>
      <c r="L903" s="41"/>
      <c r="M903" s="127"/>
      <c r="N903" s="41"/>
      <c r="O903" s="41"/>
      <c r="P903" s="41"/>
      <c r="Q903" s="42"/>
      <c r="R903" s="35"/>
      <c r="S903" s="35"/>
      <c r="T903" s="35"/>
      <c r="U903" s="35"/>
      <c r="V903" s="121"/>
      <c r="W903" s="42"/>
      <c r="X903" s="42"/>
      <c r="Y903" s="42"/>
      <c r="Z903" s="42"/>
      <c r="AA903" s="42"/>
      <c r="AB903" s="42"/>
      <c r="AC903" s="42"/>
      <c r="AD903" s="42"/>
      <c r="AE903" s="42"/>
      <c r="AF903" s="42"/>
      <c r="AG903" s="42"/>
      <c r="AH903" s="42"/>
      <c r="AI903" s="42"/>
      <c r="AJ903" s="42"/>
      <c r="AK903" s="42"/>
      <c r="AL903" s="42"/>
      <c r="AM903" s="42"/>
    </row>
    <row r="904" spans="1:39" x14ac:dyDescent="0.25">
      <c r="A904" s="38" t="s">
        <v>1255</v>
      </c>
      <c r="B904" s="42"/>
      <c r="C904" s="42"/>
      <c r="D904" s="42"/>
      <c r="E904" s="41"/>
      <c r="F904" s="41"/>
      <c r="G904" s="41"/>
      <c r="H904" s="41"/>
      <c r="I904" s="41"/>
      <c r="J904" s="42"/>
      <c r="K904" s="41"/>
      <c r="L904" s="41"/>
      <c r="M904" s="127"/>
      <c r="N904" s="41"/>
      <c r="O904" s="41"/>
      <c r="P904" s="41"/>
      <c r="Q904" s="42"/>
      <c r="R904" s="35"/>
      <c r="S904" s="35"/>
      <c r="T904" s="35"/>
      <c r="U904" s="35"/>
      <c r="V904" s="121"/>
      <c r="W904" s="42"/>
      <c r="X904" s="42"/>
      <c r="Y904" s="42"/>
      <c r="Z904" s="42"/>
      <c r="AA904" s="42"/>
      <c r="AB904" s="42"/>
      <c r="AC904" s="42"/>
      <c r="AD904" s="42"/>
      <c r="AE904" s="42"/>
      <c r="AF904" s="42"/>
      <c r="AG904" s="42"/>
      <c r="AH904" s="42"/>
      <c r="AI904" s="42"/>
      <c r="AJ904" s="42"/>
      <c r="AK904" s="42"/>
      <c r="AL904" s="42"/>
      <c r="AM904" s="42"/>
    </row>
    <row r="905" spans="1:39" x14ac:dyDescent="0.25">
      <c r="A905" s="38" t="s">
        <v>1256</v>
      </c>
      <c r="B905" s="42"/>
      <c r="C905" s="42"/>
      <c r="D905" s="42"/>
      <c r="E905" s="41"/>
      <c r="F905" s="41"/>
      <c r="G905" s="41"/>
      <c r="H905" s="41"/>
      <c r="I905" s="41"/>
      <c r="J905" s="42"/>
      <c r="K905" s="41"/>
      <c r="L905" s="41"/>
      <c r="M905" s="127"/>
      <c r="N905" s="41"/>
      <c r="O905" s="41"/>
      <c r="P905" s="41"/>
      <c r="Q905" s="42"/>
      <c r="R905" s="35"/>
      <c r="S905" s="35"/>
      <c r="T905" s="35"/>
      <c r="U905" s="35"/>
      <c r="V905" s="121"/>
      <c r="W905" s="42"/>
      <c r="X905" s="42"/>
      <c r="Y905" s="42"/>
      <c r="Z905" s="42"/>
      <c r="AA905" s="42"/>
      <c r="AB905" s="42"/>
      <c r="AC905" s="42"/>
      <c r="AD905" s="42"/>
      <c r="AE905" s="42"/>
      <c r="AF905" s="42"/>
      <c r="AG905" s="42"/>
      <c r="AH905" s="42"/>
      <c r="AI905" s="42"/>
      <c r="AJ905" s="42"/>
      <c r="AK905" s="42"/>
      <c r="AL905" s="42"/>
      <c r="AM905" s="42"/>
    </row>
    <row r="906" spans="1:39" x14ac:dyDescent="0.25">
      <c r="A906" s="38" t="s">
        <v>1257</v>
      </c>
      <c r="B906" s="42"/>
      <c r="C906" s="42"/>
      <c r="D906" s="42"/>
      <c r="E906" s="41"/>
      <c r="F906" s="41"/>
      <c r="G906" s="41"/>
      <c r="H906" s="41"/>
      <c r="I906" s="41"/>
      <c r="J906" s="42"/>
      <c r="K906" s="41"/>
      <c r="L906" s="41"/>
      <c r="M906" s="127"/>
      <c r="N906" s="41"/>
      <c r="O906" s="41"/>
      <c r="P906" s="41"/>
      <c r="Q906" s="42"/>
      <c r="R906" s="35"/>
      <c r="S906" s="35"/>
      <c r="T906" s="35"/>
      <c r="U906" s="35"/>
      <c r="V906" s="121"/>
      <c r="W906" s="42"/>
      <c r="X906" s="42"/>
      <c r="Y906" s="42"/>
      <c r="Z906" s="42"/>
      <c r="AA906" s="42"/>
      <c r="AB906" s="42"/>
      <c r="AC906" s="42"/>
      <c r="AD906" s="42"/>
      <c r="AE906" s="42"/>
      <c r="AF906" s="42"/>
      <c r="AG906" s="42"/>
      <c r="AH906" s="42"/>
      <c r="AI906" s="42"/>
      <c r="AJ906" s="42"/>
      <c r="AK906" s="42"/>
      <c r="AL906" s="42"/>
      <c r="AM906" s="42"/>
    </row>
    <row r="907" spans="1:39" x14ac:dyDescent="0.25">
      <c r="A907" s="38" t="s">
        <v>1258</v>
      </c>
      <c r="B907" s="42"/>
      <c r="C907" s="42"/>
      <c r="D907" s="42"/>
      <c r="E907" s="41"/>
      <c r="F907" s="41"/>
      <c r="G907" s="41"/>
      <c r="H907" s="41"/>
      <c r="I907" s="41"/>
      <c r="J907" s="42"/>
      <c r="K907" s="41"/>
      <c r="L907" s="41"/>
      <c r="M907" s="127"/>
      <c r="N907" s="41"/>
      <c r="O907" s="41"/>
      <c r="P907" s="41"/>
      <c r="Q907" s="42"/>
      <c r="R907" s="35"/>
      <c r="S907" s="35"/>
      <c r="T907" s="35"/>
      <c r="U907" s="35"/>
      <c r="V907" s="121"/>
      <c r="W907" s="42"/>
      <c r="X907" s="42"/>
      <c r="Y907" s="42"/>
      <c r="Z907" s="42"/>
      <c r="AA907" s="42"/>
      <c r="AB907" s="42"/>
      <c r="AC907" s="42"/>
      <c r="AD907" s="42"/>
      <c r="AE907" s="42"/>
      <c r="AF907" s="42"/>
      <c r="AG907" s="42"/>
      <c r="AH907" s="42"/>
      <c r="AI907" s="42"/>
      <c r="AJ907" s="42"/>
      <c r="AK907" s="42"/>
      <c r="AL907" s="42"/>
      <c r="AM907" s="42"/>
    </row>
    <row r="908" spans="1:39" x14ac:dyDescent="0.25">
      <c r="A908" s="38" t="s">
        <v>1259</v>
      </c>
      <c r="B908" s="42"/>
      <c r="C908" s="42"/>
      <c r="D908" s="42"/>
      <c r="E908" s="41"/>
      <c r="F908" s="41"/>
      <c r="G908" s="41"/>
      <c r="H908" s="41"/>
      <c r="I908" s="41"/>
      <c r="J908" s="42"/>
      <c r="K908" s="41"/>
      <c r="L908" s="41"/>
      <c r="M908" s="127"/>
      <c r="N908" s="41"/>
      <c r="O908" s="41"/>
      <c r="P908" s="41"/>
      <c r="Q908" s="42"/>
      <c r="R908" s="35"/>
      <c r="S908" s="35"/>
      <c r="T908" s="35"/>
      <c r="U908" s="35"/>
      <c r="V908" s="121"/>
      <c r="W908" s="42"/>
      <c r="X908" s="42"/>
      <c r="Y908" s="42"/>
      <c r="Z908" s="42"/>
      <c r="AA908" s="42"/>
      <c r="AB908" s="42"/>
      <c r="AC908" s="42"/>
      <c r="AD908" s="42"/>
      <c r="AE908" s="42"/>
      <c r="AF908" s="42"/>
      <c r="AG908" s="42"/>
      <c r="AH908" s="42"/>
      <c r="AI908" s="42"/>
      <c r="AJ908" s="42"/>
      <c r="AK908" s="42"/>
      <c r="AL908" s="42"/>
      <c r="AM908" s="42"/>
    </row>
    <row r="909" spans="1:39" x14ac:dyDescent="0.25">
      <c r="A909" s="38" t="s">
        <v>1260</v>
      </c>
      <c r="B909" s="42"/>
      <c r="C909" s="42"/>
      <c r="D909" s="42"/>
      <c r="E909" s="41"/>
      <c r="F909" s="41"/>
      <c r="G909" s="41"/>
      <c r="H909" s="41"/>
      <c r="I909" s="41"/>
      <c r="J909" s="42"/>
      <c r="K909" s="41"/>
      <c r="L909" s="41"/>
      <c r="M909" s="127"/>
      <c r="N909" s="41"/>
      <c r="O909" s="41"/>
      <c r="P909" s="41"/>
      <c r="Q909" s="42"/>
      <c r="R909" s="35"/>
      <c r="S909" s="35"/>
      <c r="T909" s="35"/>
      <c r="U909" s="35"/>
      <c r="V909" s="121"/>
      <c r="W909" s="42"/>
      <c r="X909" s="42"/>
      <c r="Y909" s="42"/>
      <c r="Z909" s="42"/>
      <c r="AA909" s="42"/>
      <c r="AB909" s="42"/>
      <c r="AC909" s="42"/>
      <c r="AD909" s="42"/>
      <c r="AE909" s="42"/>
      <c r="AF909" s="42"/>
      <c r="AG909" s="42"/>
      <c r="AH909" s="42"/>
      <c r="AI909" s="42"/>
      <c r="AJ909" s="42"/>
      <c r="AK909" s="42"/>
      <c r="AL909" s="42"/>
      <c r="AM909" s="42"/>
    </row>
    <row r="910" spans="1:39" x14ac:dyDescent="0.25">
      <c r="A910" s="38" t="s">
        <v>1261</v>
      </c>
      <c r="B910" s="42"/>
      <c r="C910" s="42"/>
      <c r="D910" s="42"/>
      <c r="E910" s="41"/>
      <c r="F910" s="41"/>
      <c r="G910" s="41"/>
      <c r="H910" s="41"/>
      <c r="I910" s="41"/>
      <c r="J910" s="42"/>
      <c r="K910" s="41"/>
      <c r="L910" s="41"/>
      <c r="M910" s="127"/>
      <c r="N910" s="41"/>
      <c r="O910" s="41"/>
      <c r="P910" s="41"/>
      <c r="Q910" s="42"/>
      <c r="R910" s="35"/>
      <c r="S910" s="35"/>
      <c r="T910" s="35"/>
      <c r="U910" s="35"/>
      <c r="V910" s="121"/>
      <c r="W910" s="42"/>
      <c r="X910" s="42"/>
      <c r="Y910" s="42"/>
      <c r="Z910" s="42"/>
      <c r="AA910" s="42"/>
      <c r="AB910" s="42"/>
      <c r="AC910" s="42"/>
      <c r="AD910" s="42"/>
      <c r="AE910" s="42"/>
      <c r="AF910" s="42"/>
      <c r="AG910" s="42"/>
      <c r="AH910" s="42"/>
      <c r="AI910" s="42"/>
      <c r="AJ910" s="42"/>
      <c r="AK910" s="42"/>
      <c r="AL910" s="42"/>
      <c r="AM910" s="42"/>
    </row>
    <row r="911" spans="1:39" x14ac:dyDescent="0.25">
      <c r="A911" s="38" t="s">
        <v>1262</v>
      </c>
      <c r="B911" s="42"/>
      <c r="C911" s="42"/>
      <c r="D911" s="42"/>
      <c r="E911" s="41"/>
      <c r="F911" s="41"/>
      <c r="G911" s="41"/>
      <c r="H911" s="41"/>
      <c r="I911" s="41"/>
      <c r="J911" s="42"/>
      <c r="K911" s="41"/>
      <c r="L911" s="41"/>
      <c r="M911" s="127"/>
      <c r="N911" s="41"/>
      <c r="O911" s="41"/>
      <c r="P911" s="41"/>
      <c r="Q911" s="42"/>
      <c r="R911" s="35"/>
      <c r="S911" s="35"/>
      <c r="T911" s="35"/>
      <c r="U911" s="35"/>
      <c r="V911" s="121"/>
      <c r="W911" s="42"/>
      <c r="X911" s="42"/>
      <c r="Y911" s="42"/>
      <c r="Z911" s="42"/>
      <c r="AA911" s="42"/>
      <c r="AB911" s="42"/>
      <c r="AC911" s="42"/>
      <c r="AD911" s="42"/>
      <c r="AE911" s="42"/>
      <c r="AF911" s="42"/>
      <c r="AG911" s="42"/>
      <c r="AH911" s="42"/>
      <c r="AI911" s="42"/>
      <c r="AJ911" s="42"/>
      <c r="AK911" s="42"/>
      <c r="AL911" s="42"/>
      <c r="AM911" s="42"/>
    </row>
    <row r="912" spans="1:39" x14ac:dyDescent="0.25">
      <c r="A912" s="38" t="s">
        <v>1263</v>
      </c>
      <c r="B912" s="42"/>
      <c r="C912" s="42"/>
      <c r="D912" s="42"/>
      <c r="E912" s="41"/>
      <c r="F912" s="41"/>
      <c r="G912" s="41"/>
      <c r="H912" s="41"/>
      <c r="I912" s="41"/>
      <c r="J912" s="42"/>
      <c r="K912" s="41"/>
      <c r="L912" s="41"/>
      <c r="M912" s="127"/>
      <c r="N912" s="41"/>
      <c r="O912" s="41"/>
      <c r="P912" s="41"/>
      <c r="Q912" s="42"/>
      <c r="R912" s="35"/>
      <c r="S912" s="35"/>
      <c r="T912" s="35"/>
      <c r="U912" s="35"/>
      <c r="V912" s="121"/>
      <c r="W912" s="42"/>
      <c r="X912" s="42"/>
      <c r="Y912" s="42"/>
      <c r="Z912" s="42"/>
      <c r="AA912" s="42"/>
      <c r="AB912" s="42"/>
      <c r="AC912" s="42"/>
      <c r="AD912" s="42"/>
      <c r="AE912" s="42"/>
      <c r="AF912" s="42"/>
      <c r="AG912" s="42"/>
      <c r="AH912" s="42"/>
      <c r="AI912" s="42"/>
      <c r="AJ912" s="42"/>
      <c r="AK912" s="42"/>
      <c r="AL912" s="42"/>
      <c r="AM912" s="42"/>
    </row>
    <row r="913" spans="1:39" x14ac:dyDescent="0.25">
      <c r="A913" s="38" t="s">
        <v>1264</v>
      </c>
      <c r="B913" s="42"/>
      <c r="C913" s="42"/>
      <c r="D913" s="42"/>
      <c r="E913" s="41"/>
      <c r="F913" s="41"/>
      <c r="G913" s="41"/>
      <c r="H913" s="41"/>
      <c r="I913" s="41"/>
      <c r="J913" s="42"/>
      <c r="K913" s="41"/>
      <c r="L913" s="41"/>
      <c r="M913" s="127"/>
      <c r="N913" s="41"/>
      <c r="O913" s="41"/>
      <c r="P913" s="41"/>
      <c r="Q913" s="42"/>
      <c r="R913" s="35"/>
      <c r="S913" s="35"/>
      <c r="T913" s="35"/>
      <c r="U913" s="35"/>
      <c r="V913" s="121"/>
      <c r="W913" s="42"/>
      <c r="X913" s="42"/>
      <c r="Y913" s="42"/>
      <c r="Z913" s="42"/>
      <c r="AA913" s="42"/>
      <c r="AB913" s="42"/>
      <c r="AC913" s="42"/>
      <c r="AD913" s="42"/>
      <c r="AE913" s="42"/>
      <c r="AF913" s="42"/>
      <c r="AG913" s="42"/>
      <c r="AH913" s="42"/>
      <c r="AI913" s="42"/>
      <c r="AJ913" s="42"/>
      <c r="AK913" s="42"/>
      <c r="AL913" s="42"/>
      <c r="AM913" s="42"/>
    </row>
    <row r="914" spans="1:39" x14ac:dyDescent="0.25">
      <c r="A914" s="38" t="s">
        <v>1265</v>
      </c>
      <c r="B914" s="42"/>
      <c r="C914" s="42"/>
      <c r="D914" s="42"/>
      <c r="E914" s="41"/>
      <c r="F914" s="41"/>
      <c r="G914" s="41"/>
      <c r="H914" s="41"/>
      <c r="I914" s="41"/>
      <c r="J914" s="42"/>
      <c r="K914" s="41"/>
      <c r="L914" s="41"/>
      <c r="M914" s="127"/>
      <c r="N914" s="41"/>
      <c r="O914" s="41"/>
      <c r="P914" s="41"/>
      <c r="Q914" s="42"/>
      <c r="R914" s="35"/>
      <c r="S914" s="35"/>
      <c r="T914" s="35"/>
      <c r="U914" s="35"/>
      <c r="V914" s="121"/>
      <c r="W914" s="42"/>
      <c r="X914" s="42"/>
      <c r="Y914" s="42"/>
      <c r="Z914" s="42"/>
      <c r="AA914" s="42"/>
      <c r="AB914" s="42"/>
      <c r="AC914" s="42"/>
      <c r="AD914" s="42"/>
      <c r="AE914" s="42"/>
      <c r="AF914" s="42"/>
      <c r="AG914" s="42"/>
      <c r="AH914" s="42"/>
      <c r="AI914" s="42"/>
      <c r="AJ914" s="42"/>
      <c r="AK914" s="42"/>
      <c r="AL914" s="42"/>
      <c r="AM914" s="42"/>
    </row>
    <row r="915" spans="1:39" x14ac:dyDescent="0.25">
      <c r="A915" s="38" t="s">
        <v>1266</v>
      </c>
      <c r="B915" s="42"/>
      <c r="C915" s="42"/>
      <c r="D915" s="42"/>
      <c r="E915" s="41"/>
      <c r="F915" s="41"/>
      <c r="G915" s="41"/>
      <c r="H915" s="41"/>
      <c r="I915" s="41"/>
      <c r="J915" s="42"/>
      <c r="K915" s="41"/>
      <c r="L915" s="41"/>
      <c r="M915" s="127"/>
      <c r="N915" s="41"/>
      <c r="O915" s="41"/>
      <c r="P915" s="41"/>
      <c r="Q915" s="42"/>
      <c r="R915" s="35"/>
      <c r="S915" s="35"/>
      <c r="T915" s="35"/>
      <c r="U915" s="35"/>
      <c r="V915" s="121"/>
      <c r="W915" s="42"/>
      <c r="X915" s="42"/>
      <c r="Y915" s="42"/>
      <c r="Z915" s="42"/>
      <c r="AA915" s="42"/>
      <c r="AB915" s="42"/>
      <c r="AC915" s="42"/>
      <c r="AD915" s="42"/>
      <c r="AE915" s="42"/>
      <c r="AF915" s="42"/>
      <c r="AG915" s="42"/>
      <c r="AH915" s="42"/>
      <c r="AI915" s="42"/>
      <c r="AJ915" s="42"/>
      <c r="AK915" s="42"/>
      <c r="AL915" s="42"/>
      <c r="AM915" s="42"/>
    </row>
    <row r="916" spans="1:39" x14ac:dyDescent="0.25">
      <c r="A916" s="38" t="s">
        <v>1267</v>
      </c>
      <c r="B916" s="42"/>
      <c r="C916" s="42"/>
      <c r="D916" s="42"/>
      <c r="E916" s="41"/>
      <c r="F916" s="41"/>
      <c r="G916" s="41"/>
      <c r="H916" s="41"/>
      <c r="I916" s="41"/>
      <c r="J916" s="42"/>
      <c r="K916" s="41"/>
      <c r="L916" s="41"/>
      <c r="M916" s="127"/>
      <c r="N916" s="41"/>
      <c r="O916" s="41"/>
      <c r="P916" s="41"/>
      <c r="Q916" s="42"/>
      <c r="R916" s="35"/>
      <c r="S916" s="35"/>
      <c r="T916" s="35"/>
      <c r="U916" s="35"/>
      <c r="V916" s="121"/>
      <c r="W916" s="42"/>
      <c r="X916" s="42"/>
      <c r="Y916" s="42"/>
      <c r="Z916" s="42"/>
      <c r="AA916" s="42"/>
      <c r="AB916" s="42"/>
      <c r="AC916" s="42"/>
      <c r="AD916" s="42"/>
      <c r="AE916" s="42"/>
      <c r="AF916" s="42"/>
      <c r="AG916" s="42"/>
      <c r="AH916" s="42"/>
      <c r="AI916" s="42"/>
      <c r="AJ916" s="42"/>
      <c r="AK916" s="42"/>
      <c r="AL916" s="42"/>
      <c r="AM916" s="42"/>
    </row>
    <row r="917" spans="1:39" x14ac:dyDescent="0.25">
      <c r="A917" s="38" t="s">
        <v>1268</v>
      </c>
      <c r="B917" s="42"/>
      <c r="C917" s="42"/>
      <c r="D917" s="42"/>
      <c r="E917" s="41"/>
      <c r="F917" s="41"/>
      <c r="G917" s="41"/>
      <c r="H917" s="41"/>
      <c r="I917" s="41"/>
      <c r="J917" s="42"/>
      <c r="K917" s="41"/>
      <c r="L917" s="41"/>
      <c r="M917" s="127"/>
      <c r="N917" s="41"/>
      <c r="O917" s="41"/>
      <c r="P917" s="41"/>
      <c r="Q917" s="42"/>
      <c r="R917" s="35"/>
      <c r="S917" s="35"/>
      <c r="T917" s="35"/>
      <c r="U917" s="35"/>
      <c r="V917" s="121"/>
      <c r="W917" s="42"/>
      <c r="X917" s="42"/>
      <c r="Y917" s="42"/>
      <c r="Z917" s="42"/>
      <c r="AA917" s="42"/>
      <c r="AB917" s="42"/>
      <c r="AC917" s="42"/>
      <c r="AD917" s="42"/>
      <c r="AE917" s="42"/>
      <c r="AF917" s="42"/>
      <c r="AG917" s="42"/>
      <c r="AH917" s="42"/>
      <c r="AI917" s="42"/>
      <c r="AJ917" s="42"/>
      <c r="AK917" s="42"/>
      <c r="AL917" s="42"/>
      <c r="AM917" s="42"/>
    </row>
    <row r="918" spans="1:39" x14ac:dyDescent="0.25">
      <c r="A918" s="38" t="s">
        <v>1269</v>
      </c>
      <c r="B918" s="42"/>
      <c r="C918" s="42"/>
      <c r="D918" s="42"/>
      <c r="E918" s="41"/>
      <c r="F918" s="41"/>
      <c r="G918" s="41"/>
      <c r="H918" s="41"/>
      <c r="I918" s="41"/>
      <c r="J918" s="42"/>
      <c r="K918" s="41"/>
      <c r="L918" s="41"/>
      <c r="M918" s="127"/>
      <c r="N918" s="41"/>
      <c r="O918" s="41"/>
      <c r="P918" s="41"/>
      <c r="Q918" s="42"/>
      <c r="R918" s="35"/>
      <c r="S918" s="35"/>
      <c r="T918" s="35"/>
      <c r="U918" s="35"/>
      <c r="V918" s="121"/>
      <c r="W918" s="42"/>
      <c r="X918" s="42"/>
      <c r="Y918" s="42"/>
      <c r="Z918" s="42"/>
      <c r="AA918" s="42"/>
      <c r="AB918" s="42"/>
      <c r="AC918" s="42"/>
      <c r="AD918" s="42"/>
      <c r="AE918" s="42"/>
      <c r="AF918" s="42"/>
      <c r="AG918" s="42"/>
      <c r="AH918" s="42"/>
      <c r="AI918" s="42"/>
      <c r="AJ918" s="42"/>
      <c r="AK918" s="42"/>
      <c r="AL918" s="42"/>
      <c r="AM918" s="42"/>
    </row>
    <row r="919" spans="1:39" x14ac:dyDescent="0.25">
      <c r="A919" s="38" t="s">
        <v>1270</v>
      </c>
      <c r="B919" s="42"/>
      <c r="C919" s="42"/>
      <c r="D919" s="42"/>
      <c r="E919" s="41"/>
      <c r="F919" s="41"/>
      <c r="G919" s="41"/>
      <c r="H919" s="41"/>
      <c r="I919" s="41"/>
      <c r="J919" s="42"/>
      <c r="K919" s="41"/>
      <c r="L919" s="41"/>
      <c r="M919" s="127"/>
      <c r="N919" s="41"/>
      <c r="O919" s="41"/>
      <c r="P919" s="41"/>
      <c r="Q919" s="42"/>
      <c r="R919" s="35"/>
      <c r="S919" s="35"/>
      <c r="T919" s="35"/>
      <c r="U919" s="35"/>
      <c r="V919" s="121"/>
      <c r="W919" s="42"/>
      <c r="X919" s="42"/>
      <c r="Y919" s="42"/>
      <c r="Z919" s="42"/>
      <c r="AA919" s="42"/>
      <c r="AB919" s="42"/>
      <c r="AC919" s="42"/>
      <c r="AD919" s="42"/>
      <c r="AE919" s="42"/>
      <c r="AF919" s="42"/>
      <c r="AG919" s="42"/>
      <c r="AH919" s="42"/>
      <c r="AI919" s="42"/>
      <c r="AJ919" s="42"/>
      <c r="AK919" s="42"/>
      <c r="AL919" s="42"/>
      <c r="AM919" s="42"/>
    </row>
    <row r="920" spans="1:39" x14ac:dyDescent="0.25">
      <c r="A920" s="38" t="s">
        <v>1271</v>
      </c>
      <c r="B920" s="42"/>
      <c r="C920" s="42"/>
      <c r="D920" s="42"/>
      <c r="E920" s="41"/>
      <c r="F920" s="41"/>
      <c r="G920" s="41"/>
      <c r="H920" s="41"/>
      <c r="I920" s="41"/>
      <c r="J920" s="42"/>
      <c r="K920" s="41"/>
      <c r="L920" s="41"/>
      <c r="M920" s="127"/>
      <c r="N920" s="41"/>
      <c r="O920" s="41"/>
      <c r="P920" s="41"/>
      <c r="Q920" s="42"/>
      <c r="R920" s="35"/>
      <c r="S920" s="35"/>
      <c r="T920" s="35"/>
      <c r="U920" s="35"/>
      <c r="V920" s="121"/>
      <c r="W920" s="42"/>
      <c r="X920" s="42"/>
      <c r="Y920" s="42"/>
      <c r="Z920" s="42"/>
      <c r="AA920" s="42"/>
      <c r="AB920" s="42"/>
      <c r="AC920" s="42"/>
      <c r="AD920" s="42"/>
      <c r="AE920" s="42"/>
      <c r="AF920" s="42"/>
      <c r="AG920" s="42"/>
      <c r="AH920" s="42"/>
      <c r="AI920" s="42"/>
      <c r="AJ920" s="42"/>
      <c r="AK920" s="42"/>
      <c r="AL920" s="42"/>
      <c r="AM920" s="42"/>
    </row>
    <row r="921" spans="1:39" x14ac:dyDescent="0.25">
      <c r="A921" s="38" t="s">
        <v>1272</v>
      </c>
      <c r="B921" s="42"/>
      <c r="C921" s="42"/>
      <c r="D921" s="42"/>
      <c r="E921" s="41"/>
      <c r="F921" s="41"/>
      <c r="G921" s="41"/>
      <c r="H921" s="41"/>
      <c r="I921" s="41"/>
      <c r="J921" s="42"/>
      <c r="K921" s="41"/>
      <c r="L921" s="41"/>
      <c r="M921" s="127"/>
      <c r="N921" s="41"/>
      <c r="O921" s="41"/>
      <c r="P921" s="41"/>
      <c r="Q921" s="42"/>
      <c r="R921" s="35"/>
      <c r="S921" s="35"/>
      <c r="T921" s="35"/>
      <c r="U921" s="35"/>
      <c r="V921" s="121"/>
      <c r="W921" s="42"/>
      <c r="X921" s="42"/>
      <c r="Y921" s="42"/>
      <c r="Z921" s="42"/>
      <c r="AA921" s="42"/>
      <c r="AB921" s="42"/>
      <c r="AC921" s="42"/>
      <c r="AD921" s="42"/>
      <c r="AE921" s="42"/>
      <c r="AF921" s="42"/>
      <c r="AG921" s="42"/>
      <c r="AH921" s="42"/>
      <c r="AI921" s="42"/>
      <c r="AJ921" s="42"/>
      <c r="AK921" s="42"/>
      <c r="AL921" s="42"/>
      <c r="AM921" s="42"/>
    </row>
    <row r="922" spans="1:39" x14ac:dyDescent="0.25">
      <c r="A922" s="38" t="s">
        <v>1273</v>
      </c>
      <c r="B922" s="42"/>
      <c r="C922" s="42"/>
      <c r="D922" s="42"/>
      <c r="E922" s="41"/>
      <c r="F922" s="41"/>
      <c r="G922" s="41"/>
      <c r="H922" s="41"/>
      <c r="I922" s="41"/>
      <c r="J922" s="42"/>
      <c r="K922" s="41"/>
      <c r="L922" s="41"/>
      <c r="M922" s="127"/>
      <c r="N922" s="41"/>
      <c r="O922" s="41"/>
      <c r="P922" s="41"/>
      <c r="Q922" s="42"/>
      <c r="R922" s="35"/>
      <c r="S922" s="35"/>
      <c r="T922" s="35"/>
      <c r="U922" s="35"/>
      <c r="V922" s="121"/>
      <c r="W922" s="42"/>
      <c r="X922" s="42"/>
      <c r="Y922" s="42"/>
      <c r="Z922" s="42"/>
      <c r="AA922" s="42"/>
      <c r="AB922" s="42"/>
      <c r="AC922" s="42"/>
      <c r="AD922" s="42"/>
      <c r="AE922" s="42"/>
      <c r="AF922" s="42"/>
      <c r="AG922" s="42"/>
      <c r="AH922" s="42"/>
      <c r="AI922" s="42"/>
      <c r="AJ922" s="42"/>
      <c r="AK922" s="42"/>
      <c r="AL922" s="42"/>
      <c r="AM922" s="42"/>
    </row>
    <row r="923" spans="1:39" x14ac:dyDescent="0.25">
      <c r="A923" s="38" t="s">
        <v>1274</v>
      </c>
      <c r="B923" s="42"/>
      <c r="C923" s="42"/>
      <c r="D923" s="42"/>
      <c r="E923" s="41"/>
      <c r="F923" s="41"/>
      <c r="G923" s="41"/>
      <c r="H923" s="41"/>
      <c r="I923" s="41"/>
      <c r="J923" s="42"/>
      <c r="K923" s="41"/>
      <c r="L923" s="41"/>
      <c r="M923" s="127"/>
      <c r="N923" s="41"/>
      <c r="O923" s="41"/>
      <c r="P923" s="41"/>
      <c r="Q923" s="42"/>
      <c r="R923" s="35"/>
      <c r="S923" s="35"/>
      <c r="T923" s="35"/>
      <c r="U923" s="35"/>
      <c r="V923" s="121"/>
      <c r="W923" s="42"/>
      <c r="X923" s="42"/>
      <c r="Y923" s="42"/>
      <c r="Z923" s="42"/>
      <c r="AA923" s="42"/>
      <c r="AB923" s="42"/>
      <c r="AC923" s="42"/>
      <c r="AD923" s="42"/>
      <c r="AE923" s="42"/>
      <c r="AF923" s="42"/>
      <c r="AG923" s="42"/>
      <c r="AH923" s="42"/>
      <c r="AI923" s="42"/>
      <c r="AJ923" s="42"/>
      <c r="AK923" s="42"/>
      <c r="AL923" s="42"/>
      <c r="AM923" s="42"/>
    </row>
    <row r="924" spans="1:39" x14ac:dyDescent="0.25">
      <c r="A924" s="38" t="s">
        <v>1275</v>
      </c>
      <c r="B924" s="42"/>
      <c r="C924" s="42"/>
      <c r="D924" s="42"/>
      <c r="E924" s="41"/>
      <c r="F924" s="41"/>
      <c r="G924" s="41"/>
      <c r="H924" s="41"/>
      <c r="I924" s="41"/>
      <c r="J924" s="42"/>
      <c r="K924" s="41"/>
      <c r="L924" s="41"/>
      <c r="M924" s="127"/>
      <c r="N924" s="41"/>
      <c r="O924" s="41"/>
      <c r="P924" s="41"/>
      <c r="Q924" s="42"/>
      <c r="R924" s="35"/>
      <c r="S924" s="35"/>
      <c r="T924" s="35"/>
      <c r="U924" s="35"/>
      <c r="V924" s="121"/>
      <c r="W924" s="42"/>
      <c r="X924" s="42"/>
      <c r="Y924" s="42"/>
      <c r="Z924" s="42"/>
      <c r="AA924" s="42"/>
      <c r="AB924" s="42"/>
      <c r="AC924" s="42"/>
      <c r="AD924" s="42"/>
      <c r="AE924" s="42"/>
      <c r="AF924" s="42"/>
      <c r="AG924" s="42"/>
      <c r="AH924" s="42"/>
      <c r="AI924" s="42"/>
      <c r="AJ924" s="42"/>
      <c r="AK924" s="42"/>
      <c r="AL924" s="42"/>
      <c r="AM924" s="42"/>
    </row>
    <row r="925" spans="1:39" x14ac:dyDescent="0.25">
      <c r="A925" s="38" t="s">
        <v>1276</v>
      </c>
      <c r="B925" s="42"/>
      <c r="C925" s="42"/>
      <c r="D925" s="42"/>
      <c r="E925" s="41"/>
      <c r="F925" s="41"/>
      <c r="G925" s="41"/>
      <c r="H925" s="41"/>
      <c r="I925" s="41"/>
      <c r="J925" s="42"/>
      <c r="K925" s="41"/>
      <c r="L925" s="41"/>
      <c r="M925" s="127"/>
      <c r="N925" s="41"/>
      <c r="O925" s="41"/>
      <c r="P925" s="41"/>
      <c r="Q925" s="42"/>
      <c r="R925" s="35"/>
      <c r="S925" s="35"/>
      <c r="T925" s="35"/>
      <c r="U925" s="35"/>
      <c r="V925" s="121"/>
      <c r="W925" s="42"/>
      <c r="X925" s="42"/>
      <c r="Y925" s="42"/>
      <c r="Z925" s="42"/>
      <c r="AA925" s="42"/>
      <c r="AB925" s="42"/>
      <c r="AC925" s="42"/>
      <c r="AD925" s="42"/>
      <c r="AE925" s="42"/>
      <c r="AF925" s="42"/>
      <c r="AG925" s="42"/>
      <c r="AH925" s="42"/>
      <c r="AI925" s="42"/>
      <c r="AJ925" s="42"/>
      <c r="AK925" s="42"/>
      <c r="AL925" s="42"/>
      <c r="AM925" s="42"/>
    </row>
    <row r="926" spans="1:39" x14ac:dyDescent="0.25">
      <c r="A926" s="38" t="s">
        <v>1277</v>
      </c>
      <c r="B926" s="42"/>
      <c r="C926" s="42"/>
      <c r="D926" s="42"/>
      <c r="E926" s="41"/>
      <c r="F926" s="41"/>
      <c r="G926" s="41"/>
      <c r="H926" s="41"/>
      <c r="I926" s="41"/>
      <c r="J926" s="42"/>
      <c r="K926" s="41"/>
      <c r="L926" s="41"/>
      <c r="M926" s="127"/>
      <c r="N926" s="41"/>
      <c r="O926" s="41"/>
      <c r="P926" s="41"/>
      <c r="Q926" s="42"/>
      <c r="R926" s="35"/>
      <c r="S926" s="35"/>
      <c r="T926" s="35"/>
      <c r="U926" s="35"/>
      <c r="V926" s="121"/>
      <c r="W926" s="42"/>
      <c r="X926" s="42"/>
      <c r="Y926" s="42"/>
      <c r="Z926" s="42"/>
      <c r="AA926" s="42"/>
      <c r="AB926" s="42"/>
      <c r="AC926" s="42"/>
      <c r="AD926" s="42"/>
      <c r="AE926" s="42"/>
      <c r="AF926" s="42"/>
      <c r="AG926" s="42"/>
      <c r="AH926" s="42"/>
      <c r="AI926" s="42"/>
      <c r="AJ926" s="42"/>
      <c r="AK926" s="42"/>
      <c r="AL926" s="42"/>
      <c r="AM926" s="42"/>
    </row>
    <row r="927" spans="1:39" x14ac:dyDescent="0.25">
      <c r="A927" s="38" t="s">
        <v>1278</v>
      </c>
      <c r="B927" s="42"/>
      <c r="C927" s="42"/>
      <c r="D927" s="42"/>
      <c r="E927" s="41"/>
      <c r="F927" s="41"/>
      <c r="G927" s="41"/>
      <c r="H927" s="41"/>
      <c r="I927" s="41"/>
      <c r="J927" s="42"/>
      <c r="K927" s="41"/>
      <c r="L927" s="41"/>
      <c r="M927" s="127"/>
      <c r="N927" s="41"/>
      <c r="O927" s="41"/>
      <c r="P927" s="41"/>
      <c r="Q927" s="42"/>
      <c r="R927" s="35"/>
      <c r="S927" s="35"/>
      <c r="T927" s="35"/>
      <c r="U927" s="35"/>
      <c r="V927" s="121"/>
      <c r="W927" s="42"/>
      <c r="X927" s="42"/>
      <c r="Y927" s="42"/>
      <c r="Z927" s="42"/>
      <c r="AA927" s="42"/>
      <c r="AB927" s="42"/>
      <c r="AC927" s="42"/>
      <c r="AD927" s="42"/>
      <c r="AE927" s="42"/>
      <c r="AF927" s="42"/>
      <c r="AG927" s="42"/>
      <c r="AH927" s="42"/>
      <c r="AI927" s="42"/>
      <c r="AJ927" s="42"/>
      <c r="AK927" s="42"/>
      <c r="AL927" s="42"/>
      <c r="AM927" s="42"/>
    </row>
    <row r="928" spans="1:39" x14ac:dyDescent="0.25">
      <c r="A928" s="38" t="s">
        <v>1279</v>
      </c>
      <c r="B928" s="42"/>
      <c r="C928" s="42"/>
      <c r="D928" s="42"/>
      <c r="E928" s="41"/>
      <c r="F928" s="41"/>
      <c r="G928" s="41"/>
      <c r="H928" s="41"/>
      <c r="I928" s="41"/>
      <c r="J928" s="42"/>
      <c r="K928" s="41"/>
      <c r="L928" s="41"/>
      <c r="M928" s="127"/>
      <c r="N928" s="41"/>
      <c r="O928" s="41"/>
      <c r="P928" s="41"/>
      <c r="Q928" s="42"/>
      <c r="R928" s="35"/>
      <c r="S928" s="35"/>
      <c r="T928" s="35"/>
      <c r="U928" s="35"/>
      <c r="V928" s="121"/>
      <c r="W928" s="42"/>
      <c r="X928" s="42"/>
      <c r="Y928" s="42"/>
      <c r="Z928" s="42"/>
      <c r="AA928" s="42"/>
      <c r="AB928" s="42"/>
      <c r="AC928" s="42"/>
      <c r="AD928" s="42"/>
      <c r="AE928" s="42"/>
      <c r="AF928" s="42"/>
      <c r="AG928" s="42"/>
      <c r="AH928" s="42"/>
      <c r="AI928" s="42"/>
      <c r="AJ928" s="42"/>
      <c r="AK928" s="42"/>
      <c r="AL928" s="42"/>
      <c r="AM928" s="42"/>
    </row>
    <row r="929" spans="1:39" x14ac:dyDescent="0.25">
      <c r="A929" s="38" t="s">
        <v>1280</v>
      </c>
      <c r="B929" s="42"/>
      <c r="C929" s="42"/>
      <c r="D929" s="42"/>
      <c r="E929" s="41"/>
      <c r="F929" s="41"/>
      <c r="G929" s="41"/>
      <c r="H929" s="41"/>
      <c r="I929" s="41"/>
      <c r="J929" s="42"/>
      <c r="K929" s="41"/>
      <c r="L929" s="41"/>
      <c r="M929" s="127"/>
      <c r="N929" s="41"/>
      <c r="O929" s="41"/>
      <c r="P929" s="41"/>
      <c r="Q929" s="42"/>
      <c r="R929" s="35"/>
      <c r="S929" s="35"/>
      <c r="T929" s="35"/>
      <c r="U929" s="35"/>
      <c r="V929" s="121"/>
      <c r="W929" s="42"/>
      <c r="X929" s="42"/>
      <c r="Y929" s="42"/>
      <c r="Z929" s="42"/>
      <c r="AA929" s="42"/>
      <c r="AB929" s="42"/>
      <c r="AC929" s="42"/>
      <c r="AD929" s="42"/>
      <c r="AE929" s="42"/>
      <c r="AF929" s="42"/>
      <c r="AG929" s="42"/>
      <c r="AH929" s="42"/>
      <c r="AI929" s="42"/>
      <c r="AJ929" s="42"/>
      <c r="AK929" s="42"/>
      <c r="AL929" s="42"/>
      <c r="AM929" s="42"/>
    </row>
    <row r="930" spans="1:39" x14ac:dyDescent="0.25">
      <c r="A930" s="38" t="s">
        <v>1281</v>
      </c>
      <c r="B930" s="42"/>
      <c r="C930" s="42"/>
      <c r="D930" s="42"/>
      <c r="E930" s="41"/>
      <c r="F930" s="41"/>
      <c r="G930" s="41"/>
      <c r="H930" s="41"/>
      <c r="I930" s="41"/>
      <c r="J930" s="42"/>
      <c r="K930" s="41"/>
      <c r="L930" s="41"/>
      <c r="M930" s="127"/>
      <c r="N930" s="41"/>
      <c r="O930" s="41"/>
      <c r="P930" s="41"/>
      <c r="Q930" s="42"/>
      <c r="R930" s="35"/>
      <c r="S930" s="35"/>
      <c r="T930" s="35"/>
      <c r="U930" s="35"/>
      <c r="V930" s="121"/>
      <c r="W930" s="42"/>
      <c r="X930" s="42"/>
      <c r="Y930" s="42"/>
      <c r="Z930" s="42"/>
      <c r="AA930" s="42"/>
      <c r="AB930" s="42"/>
      <c r="AC930" s="42"/>
      <c r="AD930" s="42"/>
      <c r="AE930" s="42"/>
      <c r="AF930" s="42"/>
      <c r="AG930" s="42"/>
      <c r="AH930" s="42"/>
      <c r="AI930" s="42"/>
      <c r="AJ930" s="42"/>
      <c r="AK930" s="42"/>
      <c r="AL930" s="42"/>
      <c r="AM930" s="42"/>
    </row>
    <row r="931" spans="1:39" x14ac:dyDescent="0.25">
      <c r="A931" s="38" t="s">
        <v>1282</v>
      </c>
      <c r="B931" s="42"/>
      <c r="C931" s="42"/>
      <c r="D931" s="42"/>
      <c r="E931" s="41"/>
      <c r="F931" s="41"/>
      <c r="G931" s="41"/>
      <c r="H931" s="41"/>
      <c r="I931" s="41"/>
      <c r="J931" s="42"/>
      <c r="K931" s="41"/>
      <c r="L931" s="41"/>
      <c r="M931" s="127"/>
      <c r="N931" s="41"/>
      <c r="O931" s="41"/>
      <c r="P931" s="41"/>
      <c r="Q931" s="42"/>
      <c r="R931" s="35"/>
      <c r="S931" s="35"/>
      <c r="T931" s="35"/>
      <c r="U931" s="35"/>
      <c r="V931" s="121"/>
      <c r="W931" s="42"/>
      <c r="X931" s="42"/>
      <c r="Y931" s="42"/>
      <c r="Z931" s="42"/>
      <c r="AA931" s="42"/>
      <c r="AB931" s="42"/>
      <c r="AC931" s="42"/>
      <c r="AD931" s="42"/>
      <c r="AE931" s="42"/>
      <c r="AF931" s="42"/>
      <c r="AG931" s="42"/>
      <c r="AH931" s="42"/>
      <c r="AI931" s="42"/>
      <c r="AJ931" s="42"/>
      <c r="AK931" s="42"/>
      <c r="AL931" s="42"/>
      <c r="AM931" s="42"/>
    </row>
    <row r="932" spans="1:39" x14ac:dyDescent="0.25">
      <c r="A932" s="38" t="s">
        <v>1283</v>
      </c>
      <c r="B932" s="42"/>
      <c r="C932" s="42"/>
      <c r="D932" s="42"/>
      <c r="E932" s="41"/>
      <c r="F932" s="41"/>
      <c r="G932" s="41"/>
      <c r="H932" s="41"/>
      <c r="I932" s="41"/>
      <c r="J932" s="42"/>
      <c r="K932" s="41"/>
      <c r="L932" s="41"/>
      <c r="M932" s="127"/>
      <c r="N932" s="41"/>
      <c r="O932" s="41"/>
      <c r="P932" s="41"/>
      <c r="Q932" s="42"/>
      <c r="R932" s="35"/>
      <c r="S932" s="35"/>
      <c r="T932" s="35"/>
      <c r="U932" s="35"/>
      <c r="V932" s="121"/>
      <c r="W932" s="42"/>
      <c r="X932" s="42"/>
      <c r="Y932" s="42"/>
      <c r="Z932" s="42"/>
      <c r="AA932" s="42"/>
      <c r="AB932" s="42"/>
      <c r="AC932" s="42"/>
      <c r="AD932" s="42"/>
      <c r="AE932" s="42"/>
      <c r="AF932" s="42"/>
      <c r="AG932" s="42"/>
      <c r="AH932" s="42"/>
      <c r="AI932" s="42"/>
      <c r="AJ932" s="42"/>
      <c r="AK932" s="42"/>
      <c r="AL932" s="42"/>
      <c r="AM932" s="42"/>
    </row>
    <row r="933" spans="1:39" x14ac:dyDescent="0.25">
      <c r="A933" s="38" t="s">
        <v>1284</v>
      </c>
      <c r="B933" s="42"/>
      <c r="C933" s="42"/>
      <c r="D933" s="42"/>
      <c r="E933" s="41"/>
      <c r="F933" s="41"/>
      <c r="G933" s="41"/>
      <c r="H933" s="41"/>
      <c r="I933" s="41"/>
      <c r="J933" s="42"/>
      <c r="K933" s="41"/>
      <c r="L933" s="41"/>
      <c r="M933" s="127"/>
      <c r="N933" s="41"/>
      <c r="O933" s="41"/>
      <c r="P933" s="41"/>
      <c r="Q933" s="42"/>
      <c r="R933" s="35"/>
      <c r="S933" s="35"/>
      <c r="T933" s="35"/>
      <c r="U933" s="35"/>
      <c r="V933" s="121"/>
      <c r="W933" s="42"/>
      <c r="X933" s="42"/>
      <c r="Y933" s="42"/>
      <c r="Z933" s="42"/>
      <c r="AA933" s="42"/>
      <c r="AB933" s="42"/>
      <c r="AC933" s="42"/>
      <c r="AD933" s="42"/>
      <c r="AE933" s="42"/>
      <c r="AF933" s="42"/>
      <c r="AG933" s="42"/>
      <c r="AH933" s="42"/>
      <c r="AI933" s="42"/>
      <c r="AJ933" s="42"/>
      <c r="AK933" s="42"/>
      <c r="AL933" s="42"/>
      <c r="AM933" s="42"/>
    </row>
    <row r="934" spans="1:39" x14ac:dyDescent="0.25">
      <c r="A934" s="38" t="s">
        <v>1285</v>
      </c>
      <c r="B934" s="42"/>
      <c r="C934" s="42"/>
      <c r="D934" s="42"/>
      <c r="E934" s="41"/>
      <c r="F934" s="41"/>
      <c r="G934" s="41"/>
      <c r="H934" s="41"/>
      <c r="I934" s="41"/>
      <c r="J934" s="42"/>
      <c r="K934" s="41"/>
      <c r="L934" s="41"/>
      <c r="M934" s="127"/>
      <c r="N934" s="41"/>
      <c r="O934" s="41"/>
      <c r="P934" s="41"/>
      <c r="Q934" s="42"/>
      <c r="R934" s="35"/>
      <c r="S934" s="35"/>
      <c r="T934" s="35"/>
      <c r="U934" s="35"/>
      <c r="V934" s="121"/>
      <c r="W934" s="42"/>
      <c r="X934" s="42"/>
      <c r="Y934" s="42"/>
      <c r="Z934" s="42"/>
      <c r="AA934" s="42"/>
      <c r="AB934" s="42"/>
      <c r="AC934" s="42"/>
      <c r="AD934" s="42"/>
      <c r="AE934" s="42"/>
      <c r="AF934" s="42"/>
      <c r="AG934" s="42"/>
      <c r="AH934" s="42"/>
      <c r="AI934" s="42"/>
      <c r="AJ934" s="42"/>
      <c r="AK934" s="42"/>
      <c r="AL934" s="42"/>
      <c r="AM934" s="42"/>
    </row>
    <row r="935" spans="1:39" x14ac:dyDescent="0.25">
      <c r="A935" s="38" t="s">
        <v>1286</v>
      </c>
      <c r="B935" s="42"/>
      <c r="C935" s="42"/>
      <c r="D935" s="42"/>
      <c r="E935" s="41"/>
      <c r="F935" s="41"/>
      <c r="G935" s="41"/>
      <c r="H935" s="41"/>
      <c r="I935" s="41"/>
      <c r="J935" s="42"/>
      <c r="K935" s="41"/>
      <c r="L935" s="41"/>
      <c r="M935" s="127"/>
      <c r="N935" s="41"/>
      <c r="O935" s="41"/>
      <c r="P935" s="41"/>
      <c r="Q935" s="42"/>
      <c r="R935" s="35"/>
      <c r="S935" s="35"/>
      <c r="T935" s="35"/>
      <c r="U935" s="35"/>
      <c r="V935" s="121"/>
      <c r="W935" s="42"/>
      <c r="X935" s="42"/>
      <c r="Y935" s="42"/>
      <c r="Z935" s="42"/>
      <c r="AA935" s="42"/>
      <c r="AB935" s="42"/>
      <c r="AC935" s="42"/>
      <c r="AD935" s="42"/>
      <c r="AE935" s="42"/>
      <c r="AF935" s="42"/>
      <c r="AG935" s="42"/>
      <c r="AH935" s="42"/>
      <c r="AI935" s="42"/>
      <c r="AJ935" s="42"/>
      <c r="AK935" s="42"/>
      <c r="AL935" s="42"/>
      <c r="AM935" s="42"/>
    </row>
    <row r="936" spans="1:39" x14ac:dyDescent="0.25">
      <c r="A936" s="38" t="s">
        <v>1287</v>
      </c>
      <c r="B936" s="42"/>
      <c r="C936" s="42"/>
      <c r="D936" s="42"/>
      <c r="E936" s="41"/>
      <c r="F936" s="41"/>
      <c r="G936" s="41"/>
      <c r="H936" s="41"/>
      <c r="I936" s="41"/>
      <c r="J936" s="42"/>
      <c r="K936" s="41"/>
      <c r="L936" s="41"/>
      <c r="M936" s="127"/>
      <c r="N936" s="41"/>
      <c r="O936" s="41"/>
      <c r="P936" s="41"/>
      <c r="Q936" s="42"/>
      <c r="R936" s="35"/>
      <c r="S936" s="35"/>
      <c r="T936" s="35"/>
      <c r="U936" s="35"/>
      <c r="V936" s="121"/>
      <c r="W936" s="42"/>
      <c r="X936" s="42"/>
      <c r="Y936" s="42"/>
      <c r="Z936" s="42"/>
      <c r="AA936" s="42"/>
      <c r="AB936" s="42"/>
      <c r="AC936" s="42"/>
      <c r="AD936" s="42"/>
      <c r="AE936" s="42"/>
      <c r="AF936" s="42"/>
      <c r="AG936" s="42"/>
      <c r="AH936" s="42"/>
      <c r="AI936" s="42"/>
      <c r="AJ936" s="42"/>
      <c r="AK936" s="42"/>
      <c r="AL936" s="42"/>
      <c r="AM936" s="42"/>
    </row>
    <row r="937" spans="1:39" x14ac:dyDescent="0.25">
      <c r="A937" s="38" t="s">
        <v>1288</v>
      </c>
      <c r="B937" s="42"/>
      <c r="C937" s="42"/>
      <c r="D937" s="42"/>
      <c r="E937" s="41"/>
      <c r="F937" s="41"/>
      <c r="G937" s="41"/>
      <c r="H937" s="41"/>
      <c r="I937" s="41"/>
      <c r="J937" s="42"/>
      <c r="K937" s="41"/>
      <c r="L937" s="41"/>
      <c r="M937" s="127"/>
      <c r="N937" s="41"/>
      <c r="O937" s="41"/>
      <c r="P937" s="41"/>
      <c r="Q937" s="42"/>
      <c r="R937" s="35"/>
      <c r="S937" s="35"/>
      <c r="T937" s="35"/>
      <c r="U937" s="35"/>
      <c r="V937" s="121"/>
      <c r="W937" s="42"/>
      <c r="X937" s="42"/>
      <c r="Y937" s="42"/>
      <c r="Z937" s="42"/>
      <c r="AA937" s="42"/>
      <c r="AB937" s="42"/>
      <c r="AC937" s="42"/>
      <c r="AD937" s="42"/>
      <c r="AE937" s="42"/>
      <c r="AF937" s="42"/>
      <c r="AG937" s="42"/>
      <c r="AH937" s="42"/>
      <c r="AI937" s="42"/>
      <c r="AJ937" s="42"/>
      <c r="AK937" s="42"/>
      <c r="AL937" s="42"/>
      <c r="AM937" s="42"/>
    </row>
    <row r="938" spans="1:39" x14ac:dyDescent="0.25">
      <c r="A938" s="38" t="s">
        <v>1289</v>
      </c>
      <c r="B938" s="42"/>
      <c r="C938" s="42"/>
      <c r="D938" s="42"/>
      <c r="E938" s="41"/>
      <c r="F938" s="41"/>
      <c r="G938" s="41"/>
      <c r="H938" s="41"/>
      <c r="I938" s="41"/>
      <c r="J938" s="42"/>
      <c r="K938" s="41"/>
      <c r="L938" s="41"/>
      <c r="M938" s="127"/>
      <c r="N938" s="41"/>
      <c r="O938" s="41"/>
      <c r="P938" s="41"/>
      <c r="Q938" s="42"/>
      <c r="R938" s="35"/>
      <c r="S938" s="35"/>
      <c r="T938" s="35"/>
      <c r="U938" s="35"/>
      <c r="V938" s="121"/>
      <c r="W938" s="42"/>
      <c r="X938" s="42"/>
      <c r="Y938" s="42"/>
      <c r="Z938" s="42"/>
      <c r="AA938" s="42"/>
      <c r="AB938" s="42"/>
      <c r="AC938" s="42"/>
      <c r="AD938" s="42"/>
      <c r="AE938" s="42"/>
      <c r="AF938" s="42"/>
      <c r="AG938" s="42"/>
      <c r="AH938" s="42"/>
      <c r="AI938" s="42"/>
      <c r="AJ938" s="42"/>
      <c r="AK938" s="42"/>
      <c r="AL938" s="42"/>
      <c r="AM938" s="42"/>
    </row>
    <row r="939" spans="1:39" x14ac:dyDescent="0.25">
      <c r="A939" s="38" t="s">
        <v>1290</v>
      </c>
      <c r="B939" s="42"/>
      <c r="C939" s="42"/>
      <c r="D939" s="42"/>
      <c r="E939" s="41"/>
      <c r="F939" s="41"/>
      <c r="G939" s="41"/>
      <c r="H939" s="41"/>
      <c r="I939" s="41"/>
      <c r="J939" s="42"/>
      <c r="K939" s="41"/>
      <c r="L939" s="41"/>
      <c r="M939" s="127"/>
      <c r="N939" s="41"/>
      <c r="O939" s="41"/>
      <c r="P939" s="41"/>
      <c r="Q939" s="42"/>
      <c r="R939" s="35"/>
      <c r="S939" s="35"/>
      <c r="T939" s="35"/>
      <c r="U939" s="35"/>
      <c r="V939" s="121"/>
      <c r="W939" s="42"/>
      <c r="X939" s="42"/>
      <c r="Y939" s="42"/>
      <c r="Z939" s="42"/>
      <c r="AA939" s="42"/>
      <c r="AB939" s="42"/>
      <c r="AC939" s="42"/>
      <c r="AD939" s="42"/>
      <c r="AE939" s="42"/>
      <c r="AF939" s="42"/>
      <c r="AG939" s="42"/>
      <c r="AH939" s="42"/>
      <c r="AI939" s="42"/>
      <c r="AJ939" s="42"/>
      <c r="AK939" s="42"/>
      <c r="AL939" s="42"/>
      <c r="AM939" s="42"/>
    </row>
    <row r="940" spans="1:39" x14ac:dyDescent="0.25">
      <c r="A940" s="38" t="s">
        <v>1291</v>
      </c>
      <c r="B940" s="42"/>
      <c r="C940" s="42"/>
      <c r="D940" s="42"/>
      <c r="E940" s="41"/>
      <c r="F940" s="41"/>
      <c r="G940" s="41"/>
      <c r="H940" s="41"/>
      <c r="I940" s="41"/>
      <c r="J940" s="42"/>
      <c r="K940" s="41"/>
      <c r="L940" s="41"/>
      <c r="M940" s="127"/>
      <c r="N940" s="41"/>
      <c r="O940" s="41"/>
      <c r="P940" s="41"/>
      <c r="Q940" s="42"/>
      <c r="R940" s="35"/>
      <c r="S940" s="35"/>
      <c r="T940" s="35"/>
      <c r="U940" s="35"/>
      <c r="V940" s="121"/>
      <c r="W940" s="42"/>
      <c r="X940" s="42"/>
      <c r="Y940" s="42"/>
      <c r="Z940" s="42"/>
      <c r="AA940" s="42"/>
      <c r="AB940" s="42"/>
      <c r="AC940" s="42"/>
      <c r="AD940" s="42"/>
      <c r="AE940" s="42"/>
      <c r="AF940" s="42"/>
      <c r="AG940" s="42"/>
      <c r="AH940" s="42"/>
      <c r="AI940" s="42"/>
      <c r="AJ940" s="42"/>
      <c r="AK940" s="42"/>
      <c r="AL940" s="42"/>
      <c r="AM940" s="42"/>
    </row>
    <row r="941" spans="1:39" x14ac:dyDescent="0.25">
      <c r="A941" s="38" t="s">
        <v>1292</v>
      </c>
      <c r="B941" s="42"/>
      <c r="C941" s="42"/>
      <c r="D941" s="42"/>
      <c r="E941" s="41"/>
      <c r="F941" s="41"/>
      <c r="G941" s="41"/>
      <c r="H941" s="41"/>
      <c r="I941" s="41"/>
      <c r="J941" s="42"/>
      <c r="K941" s="41"/>
      <c r="L941" s="41"/>
      <c r="M941" s="127"/>
      <c r="N941" s="41"/>
      <c r="O941" s="41"/>
      <c r="P941" s="41"/>
      <c r="Q941" s="42"/>
      <c r="R941" s="35"/>
      <c r="S941" s="35"/>
      <c r="T941" s="35"/>
      <c r="U941" s="35"/>
      <c r="V941" s="121"/>
      <c r="W941" s="42"/>
      <c r="X941" s="42"/>
      <c r="Y941" s="42"/>
      <c r="Z941" s="42"/>
      <c r="AA941" s="42"/>
      <c r="AB941" s="42"/>
      <c r="AC941" s="42"/>
      <c r="AD941" s="42"/>
      <c r="AE941" s="42"/>
      <c r="AF941" s="42"/>
      <c r="AG941" s="42"/>
      <c r="AH941" s="42"/>
      <c r="AI941" s="42"/>
      <c r="AJ941" s="42"/>
      <c r="AK941" s="42"/>
      <c r="AL941" s="42"/>
      <c r="AM941" s="42"/>
    </row>
    <row r="942" spans="1:39" x14ac:dyDescent="0.25">
      <c r="A942" s="38" t="s">
        <v>1293</v>
      </c>
      <c r="B942" s="42"/>
      <c r="C942" s="42"/>
      <c r="D942" s="42"/>
      <c r="E942" s="41"/>
      <c r="F942" s="41"/>
      <c r="G942" s="41"/>
      <c r="H942" s="41"/>
      <c r="I942" s="41"/>
      <c r="J942" s="42"/>
      <c r="K942" s="41"/>
      <c r="L942" s="41"/>
      <c r="M942" s="127"/>
      <c r="N942" s="41"/>
      <c r="O942" s="41"/>
      <c r="P942" s="41"/>
      <c r="Q942" s="42"/>
      <c r="R942" s="35"/>
      <c r="S942" s="35"/>
      <c r="T942" s="35"/>
      <c r="U942" s="35"/>
      <c r="V942" s="121"/>
      <c r="W942" s="42"/>
      <c r="X942" s="42"/>
      <c r="Y942" s="42"/>
      <c r="Z942" s="42"/>
      <c r="AA942" s="42"/>
      <c r="AB942" s="42"/>
      <c r="AC942" s="42"/>
      <c r="AD942" s="42"/>
      <c r="AE942" s="42"/>
      <c r="AF942" s="42"/>
      <c r="AG942" s="42"/>
      <c r="AH942" s="42"/>
      <c r="AI942" s="42"/>
      <c r="AJ942" s="42"/>
      <c r="AK942" s="42"/>
      <c r="AL942" s="42"/>
      <c r="AM942" s="42"/>
    </row>
    <row r="943" spans="1:39" x14ac:dyDescent="0.25">
      <c r="A943" s="38" t="s">
        <v>1294</v>
      </c>
      <c r="B943" s="42"/>
      <c r="C943" s="42"/>
      <c r="D943" s="42"/>
      <c r="E943" s="41"/>
      <c r="F943" s="41"/>
      <c r="G943" s="41"/>
      <c r="H943" s="41"/>
      <c r="I943" s="41"/>
      <c r="J943" s="42"/>
      <c r="K943" s="41"/>
      <c r="L943" s="41"/>
      <c r="M943" s="127"/>
      <c r="N943" s="41"/>
      <c r="O943" s="41"/>
      <c r="P943" s="41"/>
      <c r="Q943" s="42"/>
      <c r="R943" s="35"/>
      <c r="S943" s="35"/>
      <c r="T943" s="35"/>
      <c r="U943" s="35"/>
      <c r="V943" s="121"/>
      <c r="W943" s="42"/>
      <c r="X943" s="42"/>
      <c r="Y943" s="42"/>
      <c r="Z943" s="42"/>
      <c r="AA943" s="42"/>
      <c r="AB943" s="42"/>
      <c r="AC943" s="42"/>
      <c r="AD943" s="42"/>
      <c r="AE943" s="42"/>
      <c r="AF943" s="42"/>
      <c r="AG943" s="42"/>
      <c r="AH943" s="42"/>
      <c r="AI943" s="42"/>
      <c r="AJ943" s="42"/>
      <c r="AK943" s="42"/>
      <c r="AL943" s="42"/>
      <c r="AM943" s="42"/>
    </row>
    <row r="944" spans="1:39" x14ac:dyDescent="0.25">
      <c r="A944" s="38" t="s">
        <v>1295</v>
      </c>
      <c r="B944" s="42"/>
      <c r="C944" s="42"/>
      <c r="D944" s="42"/>
      <c r="E944" s="41"/>
      <c r="F944" s="41"/>
      <c r="G944" s="41"/>
      <c r="H944" s="41"/>
      <c r="I944" s="41"/>
      <c r="J944" s="42"/>
      <c r="K944" s="41"/>
      <c r="L944" s="41"/>
      <c r="M944" s="127"/>
      <c r="N944" s="41"/>
      <c r="O944" s="41"/>
      <c r="P944" s="41"/>
      <c r="Q944" s="42"/>
      <c r="R944" s="35"/>
      <c r="S944" s="35"/>
      <c r="T944" s="35"/>
      <c r="U944" s="35"/>
      <c r="V944" s="121"/>
      <c r="W944" s="42"/>
      <c r="X944" s="42"/>
      <c r="Y944" s="42"/>
      <c r="Z944" s="42"/>
      <c r="AA944" s="42"/>
      <c r="AB944" s="42"/>
      <c r="AC944" s="42"/>
      <c r="AD944" s="42"/>
      <c r="AE944" s="42"/>
      <c r="AF944" s="42"/>
      <c r="AG944" s="42"/>
      <c r="AH944" s="42"/>
      <c r="AI944" s="42"/>
      <c r="AJ944" s="42"/>
      <c r="AK944" s="42"/>
      <c r="AL944" s="42"/>
      <c r="AM944" s="42"/>
    </row>
    <row r="945" spans="1:39" x14ac:dyDescent="0.25">
      <c r="A945" s="38" t="s">
        <v>1296</v>
      </c>
      <c r="B945" s="42"/>
      <c r="C945" s="42"/>
      <c r="D945" s="42"/>
      <c r="E945" s="41"/>
      <c r="F945" s="41"/>
      <c r="G945" s="41"/>
      <c r="H945" s="41"/>
      <c r="I945" s="41"/>
      <c r="J945" s="42"/>
      <c r="K945" s="41"/>
      <c r="L945" s="41"/>
      <c r="M945" s="127"/>
      <c r="N945" s="41"/>
      <c r="O945" s="41"/>
      <c r="P945" s="41"/>
      <c r="Q945" s="42"/>
      <c r="R945" s="35"/>
      <c r="S945" s="35"/>
      <c r="T945" s="35"/>
      <c r="U945" s="35"/>
      <c r="V945" s="121"/>
      <c r="W945" s="42"/>
      <c r="X945" s="42"/>
      <c r="Y945" s="42"/>
      <c r="Z945" s="42"/>
      <c r="AA945" s="42"/>
      <c r="AB945" s="42"/>
      <c r="AC945" s="42"/>
      <c r="AD945" s="42"/>
      <c r="AE945" s="42"/>
      <c r="AF945" s="42"/>
      <c r="AG945" s="42"/>
      <c r="AH945" s="42"/>
      <c r="AI945" s="42"/>
      <c r="AJ945" s="42"/>
      <c r="AK945" s="42"/>
      <c r="AL945" s="42"/>
      <c r="AM945" s="42"/>
    </row>
    <row r="946" spans="1:39" x14ac:dyDescent="0.25">
      <c r="A946" s="38" t="s">
        <v>1297</v>
      </c>
      <c r="B946" s="42"/>
      <c r="C946" s="42"/>
      <c r="D946" s="42"/>
      <c r="E946" s="41"/>
      <c r="F946" s="41"/>
      <c r="G946" s="41"/>
      <c r="H946" s="41"/>
      <c r="I946" s="41"/>
      <c r="J946" s="42"/>
      <c r="K946" s="41"/>
      <c r="L946" s="41"/>
      <c r="M946" s="127"/>
      <c r="N946" s="41"/>
      <c r="O946" s="41"/>
      <c r="P946" s="41"/>
      <c r="Q946" s="42"/>
      <c r="R946" s="35"/>
      <c r="S946" s="35"/>
      <c r="T946" s="35"/>
      <c r="U946" s="35"/>
      <c r="V946" s="121"/>
      <c r="W946" s="42"/>
      <c r="X946" s="42"/>
      <c r="Y946" s="42"/>
      <c r="Z946" s="42"/>
      <c r="AA946" s="42"/>
      <c r="AB946" s="42"/>
      <c r="AC946" s="42"/>
      <c r="AD946" s="42"/>
      <c r="AE946" s="42"/>
      <c r="AF946" s="42"/>
      <c r="AG946" s="42"/>
      <c r="AH946" s="42"/>
      <c r="AI946" s="42"/>
      <c r="AJ946" s="42"/>
      <c r="AK946" s="42"/>
      <c r="AL946" s="42"/>
      <c r="AM946" s="42"/>
    </row>
    <row r="947" spans="1:39" x14ac:dyDescent="0.25">
      <c r="A947" s="38" t="s">
        <v>1298</v>
      </c>
      <c r="B947" s="42"/>
      <c r="C947" s="42"/>
      <c r="D947" s="42"/>
      <c r="E947" s="41"/>
      <c r="F947" s="41"/>
      <c r="G947" s="41"/>
      <c r="H947" s="41"/>
      <c r="I947" s="41"/>
      <c r="J947" s="42"/>
      <c r="K947" s="41"/>
      <c r="L947" s="41"/>
      <c r="M947" s="127"/>
      <c r="N947" s="41"/>
      <c r="O947" s="41"/>
      <c r="P947" s="41"/>
      <c r="Q947" s="42"/>
      <c r="R947" s="35"/>
      <c r="S947" s="35"/>
      <c r="T947" s="35"/>
      <c r="U947" s="35"/>
      <c r="V947" s="121"/>
      <c r="W947" s="42"/>
      <c r="X947" s="42"/>
      <c r="Y947" s="42"/>
      <c r="Z947" s="42"/>
      <c r="AA947" s="42"/>
      <c r="AB947" s="42"/>
      <c r="AC947" s="42"/>
      <c r="AD947" s="42"/>
      <c r="AE947" s="42"/>
      <c r="AF947" s="42"/>
      <c r="AG947" s="42"/>
      <c r="AH947" s="42"/>
      <c r="AI947" s="42"/>
      <c r="AJ947" s="42"/>
      <c r="AK947" s="42"/>
      <c r="AL947" s="42"/>
      <c r="AM947" s="42"/>
    </row>
    <row r="948" spans="1:39" x14ac:dyDescent="0.25">
      <c r="A948" s="38" t="s">
        <v>1299</v>
      </c>
      <c r="B948" s="42"/>
      <c r="C948" s="42"/>
      <c r="D948" s="42"/>
      <c r="E948" s="41"/>
      <c r="F948" s="41"/>
      <c r="G948" s="41"/>
      <c r="H948" s="41"/>
      <c r="I948" s="41"/>
      <c r="J948" s="42"/>
      <c r="K948" s="41"/>
      <c r="L948" s="41"/>
      <c r="M948" s="127"/>
      <c r="N948" s="41"/>
      <c r="O948" s="41"/>
      <c r="P948" s="41"/>
      <c r="Q948" s="42"/>
      <c r="R948" s="35"/>
      <c r="S948" s="35"/>
      <c r="T948" s="35"/>
      <c r="U948" s="35"/>
      <c r="V948" s="121"/>
      <c r="W948" s="42"/>
      <c r="X948" s="42"/>
      <c r="Y948" s="42"/>
      <c r="Z948" s="42"/>
      <c r="AA948" s="42"/>
      <c r="AB948" s="42"/>
      <c r="AC948" s="42"/>
      <c r="AD948" s="42"/>
      <c r="AE948" s="42"/>
      <c r="AF948" s="42"/>
      <c r="AG948" s="42"/>
      <c r="AH948" s="42"/>
      <c r="AI948" s="42"/>
      <c r="AJ948" s="42"/>
      <c r="AK948" s="42"/>
      <c r="AL948" s="42"/>
      <c r="AM948" s="42"/>
    </row>
    <row r="949" spans="1:39" x14ac:dyDescent="0.25">
      <c r="A949" s="38" t="s">
        <v>1300</v>
      </c>
      <c r="B949" s="42"/>
      <c r="C949" s="42"/>
      <c r="D949" s="42"/>
      <c r="E949" s="41"/>
      <c r="F949" s="41"/>
      <c r="G949" s="41"/>
      <c r="H949" s="41"/>
      <c r="I949" s="41"/>
      <c r="J949" s="42"/>
      <c r="K949" s="41"/>
      <c r="L949" s="41"/>
      <c r="M949" s="127"/>
      <c r="N949" s="41"/>
      <c r="O949" s="41"/>
      <c r="P949" s="41"/>
      <c r="Q949" s="42"/>
      <c r="R949" s="35"/>
      <c r="S949" s="35"/>
      <c r="T949" s="35"/>
      <c r="U949" s="35"/>
      <c r="V949" s="121"/>
      <c r="W949" s="42"/>
      <c r="X949" s="42"/>
      <c r="Y949" s="42"/>
      <c r="Z949" s="42"/>
      <c r="AA949" s="42"/>
      <c r="AB949" s="42"/>
      <c r="AC949" s="42"/>
      <c r="AD949" s="42"/>
      <c r="AE949" s="42"/>
      <c r="AF949" s="42"/>
      <c r="AG949" s="42"/>
      <c r="AH949" s="42"/>
      <c r="AI949" s="42"/>
      <c r="AJ949" s="42"/>
      <c r="AK949" s="42"/>
      <c r="AL949" s="42"/>
      <c r="AM949" s="42"/>
    </row>
    <row r="950" spans="1:39" x14ac:dyDescent="0.25">
      <c r="A950" s="38" t="s">
        <v>1301</v>
      </c>
      <c r="B950" s="42"/>
      <c r="C950" s="42"/>
      <c r="D950" s="42"/>
      <c r="E950" s="41"/>
      <c r="F950" s="41"/>
      <c r="G950" s="41"/>
      <c r="H950" s="41"/>
      <c r="I950" s="41"/>
      <c r="J950" s="42"/>
      <c r="K950" s="41"/>
      <c r="L950" s="41"/>
      <c r="M950" s="127"/>
      <c r="N950" s="41"/>
      <c r="O950" s="41"/>
      <c r="P950" s="41"/>
      <c r="Q950" s="42"/>
      <c r="R950" s="35"/>
      <c r="S950" s="35"/>
      <c r="T950" s="35"/>
      <c r="U950" s="35"/>
      <c r="V950" s="121"/>
      <c r="W950" s="42"/>
      <c r="X950" s="42"/>
      <c r="Y950" s="42"/>
      <c r="Z950" s="42"/>
      <c r="AA950" s="42"/>
      <c r="AB950" s="42"/>
      <c r="AC950" s="42"/>
      <c r="AD950" s="42"/>
      <c r="AE950" s="42"/>
      <c r="AF950" s="42"/>
      <c r="AG950" s="42"/>
      <c r="AH950" s="42"/>
      <c r="AI950" s="42"/>
      <c r="AJ950" s="42"/>
      <c r="AK950" s="42"/>
      <c r="AL950" s="42"/>
      <c r="AM950" s="42"/>
    </row>
    <row r="951" spans="1:39" x14ac:dyDescent="0.25">
      <c r="A951" s="38" t="s">
        <v>1302</v>
      </c>
      <c r="B951" s="42"/>
      <c r="C951" s="42"/>
      <c r="D951" s="42"/>
      <c r="E951" s="41"/>
      <c r="F951" s="41"/>
      <c r="G951" s="41"/>
      <c r="H951" s="41"/>
      <c r="I951" s="41"/>
      <c r="J951" s="42"/>
      <c r="K951" s="41"/>
      <c r="L951" s="41"/>
      <c r="M951" s="127"/>
      <c r="N951" s="41"/>
      <c r="O951" s="41"/>
      <c r="P951" s="41"/>
      <c r="Q951" s="42"/>
      <c r="R951" s="35"/>
      <c r="S951" s="35"/>
      <c r="T951" s="35"/>
      <c r="U951" s="35"/>
      <c r="V951" s="121"/>
      <c r="W951" s="42"/>
      <c r="X951" s="42"/>
      <c r="Y951" s="42"/>
      <c r="Z951" s="42"/>
      <c r="AA951" s="42"/>
      <c r="AB951" s="42"/>
      <c r="AC951" s="42"/>
      <c r="AD951" s="42"/>
      <c r="AE951" s="42"/>
      <c r="AF951" s="42"/>
      <c r="AG951" s="42"/>
      <c r="AH951" s="42"/>
      <c r="AI951" s="42"/>
      <c r="AJ951" s="42"/>
      <c r="AK951" s="42"/>
      <c r="AL951" s="42"/>
      <c r="AM951" s="42"/>
    </row>
    <row r="952" spans="1:39" x14ac:dyDescent="0.25">
      <c r="A952" s="38" t="s">
        <v>1303</v>
      </c>
      <c r="B952" s="42"/>
      <c r="C952" s="42"/>
      <c r="D952" s="42"/>
      <c r="E952" s="41"/>
      <c r="F952" s="41"/>
      <c r="G952" s="41"/>
      <c r="H952" s="41"/>
      <c r="I952" s="41"/>
      <c r="J952" s="42"/>
      <c r="K952" s="41"/>
      <c r="L952" s="41"/>
      <c r="M952" s="127"/>
      <c r="N952" s="41"/>
      <c r="O952" s="41"/>
      <c r="P952" s="41"/>
      <c r="Q952" s="42"/>
      <c r="R952" s="35"/>
      <c r="S952" s="35"/>
      <c r="T952" s="35"/>
      <c r="U952" s="35"/>
      <c r="V952" s="121"/>
      <c r="W952" s="42"/>
      <c r="X952" s="42"/>
      <c r="Y952" s="42"/>
      <c r="Z952" s="42"/>
      <c r="AA952" s="42"/>
      <c r="AB952" s="42"/>
      <c r="AC952" s="42"/>
      <c r="AD952" s="42"/>
      <c r="AE952" s="42"/>
      <c r="AF952" s="42"/>
      <c r="AG952" s="42"/>
      <c r="AH952" s="42"/>
      <c r="AI952" s="42"/>
      <c r="AJ952" s="42"/>
      <c r="AK952" s="42"/>
      <c r="AL952" s="42"/>
      <c r="AM952" s="42"/>
    </row>
    <row r="953" spans="1:39" x14ac:dyDescent="0.25">
      <c r="A953" s="38" t="s">
        <v>1304</v>
      </c>
      <c r="B953" s="42"/>
      <c r="C953" s="42"/>
      <c r="D953" s="42"/>
      <c r="E953" s="41"/>
      <c r="F953" s="41"/>
      <c r="G953" s="41"/>
      <c r="H953" s="41"/>
      <c r="I953" s="41"/>
      <c r="J953" s="42"/>
      <c r="K953" s="41"/>
      <c r="L953" s="41"/>
      <c r="M953" s="127"/>
      <c r="N953" s="41"/>
      <c r="O953" s="41"/>
      <c r="P953" s="41"/>
      <c r="Q953" s="42"/>
      <c r="R953" s="35"/>
      <c r="S953" s="35"/>
      <c r="T953" s="35"/>
      <c r="U953" s="35"/>
      <c r="V953" s="121"/>
      <c r="W953" s="42"/>
      <c r="X953" s="42"/>
      <c r="Y953" s="42"/>
      <c r="Z953" s="42"/>
      <c r="AA953" s="42"/>
      <c r="AB953" s="42"/>
      <c r="AC953" s="42"/>
      <c r="AD953" s="42"/>
      <c r="AE953" s="42"/>
      <c r="AF953" s="42"/>
      <c r="AG953" s="42"/>
      <c r="AH953" s="42"/>
      <c r="AI953" s="42"/>
      <c r="AJ953" s="42"/>
      <c r="AK953" s="42"/>
      <c r="AL953" s="42"/>
      <c r="AM953" s="42"/>
    </row>
    <row r="954" spans="1:39" x14ac:dyDescent="0.25">
      <c r="A954" s="38" t="s">
        <v>1305</v>
      </c>
      <c r="B954" s="42"/>
      <c r="C954" s="42"/>
      <c r="D954" s="42"/>
      <c r="E954" s="41"/>
      <c r="F954" s="41"/>
      <c r="G954" s="41"/>
      <c r="H954" s="41"/>
      <c r="I954" s="41"/>
      <c r="J954" s="42"/>
      <c r="K954" s="41"/>
      <c r="L954" s="41"/>
      <c r="M954" s="127"/>
      <c r="N954" s="41"/>
      <c r="O954" s="41"/>
      <c r="P954" s="41"/>
      <c r="Q954" s="42"/>
      <c r="R954" s="35"/>
      <c r="S954" s="35"/>
      <c r="T954" s="35"/>
      <c r="U954" s="35"/>
      <c r="V954" s="121"/>
      <c r="W954" s="42"/>
      <c r="X954" s="42"/>
      <c r="Y954" s="42"/>
      <c r="Z954" s="42"/>
      <c r="AA954" s="42"/>
      <c r="AB954" s="42"/>
      <c r="AC954" s="42"/>
      <c r="AD954" s="42"/>
      <c r="AE954" s="42"/>
      <c r="AF954" s="42"/>
      <c r="AG954" s="42"/>
      <c r="AH954" s="42"/>
      <c r="AI954" s="42"/>
      <c r="AJ954" s="42"/>
      <c r="AK954" s="42"/>
      <c r="AL954" s="42"/>
      <c r="AM954" s="42"/>
    </row>
    <row r="955" spans="1:39" x14ac:dyDescent="0.25">
      <c r="A955" s="38" t="s">
        <v>1306</v>
      </c>
      <c r="B955" s="42"/>
      <c r="C955" s="42"/>
      <c r="D955" s="42"/>
      <c r="E955" s="41"/>
      <c r="F955" s="41"/>
      <c r="G955" s="41"/>
      <c r="H955" s="41"/>
      <c r="I955" s="41"/>
      <c r="J955" s="42"/>
      <c r="K955" s="41"/>
      <c r="L955" s="41"/>
      <c r="M955" s="127"/>
      <c r="N955" s="41"/>
      <c r="O955" s="41"/>
      <c r="P955" s="41"/>
      <c r="Q955" s="42"/>
      <c r="R955" s="35"/>
      <c r="S955" s="35"/>
      <c r="T955" s="35"/>
      <c r="U955" s="35"/>
      <c r="V955" s="121"/>
      <c r="W955" s="42"/>
      <c r="X955" s="42"/>
      <c r="Y955" s="42"/>
      <c r="Z955" s="42"/>
      <c r="AA955" s="42"/>
      <c r="AB955" s="42"/>
      <c r="AC955" s="42"/>
      <c r="AD955" s="42"/>
      <c r="AE955" s="42"/>
      <c r="AF955" s="42"/>
      <c r="AG955" s="42"/>
      <c r="AH955" s="42"/>
      <c r="AI955" s="42"/>
      <c r="AJ955" s="42"/>
      <c r="AK955" s="42"/>
      <c r="AL955" s="42"/>
      <c r="AM955" s="42"/>
    </row>
    <row r="956" spans="1:39" x14ac:dyDescent="0.25">
      <c r="A956" s="38" t="s">
        <v>1307</v>
      </c>
      <c r="B956" s="42"/>
      <c r="C956" s="42"/>
      <c r="D956" s="42"/>
      <c r="E956" s="41"/>
      <c r="F956" s="41"/>
      <c r="G956" s="41"/>
      <c r="H956" s="41"/>
      <c r="I956" s="41"/>
      <c r="J956" s="42"/>
      <c r="K956" s="41"/>
      <c r="L956" s="41"/>
      <c r="M956" s="127"/>
      <c r="N956" s="41"/>
      <c r="O956" s="41"/>
      <c r="P956" s="41"/>
      <c r="Q956" s="42"/>
      <c r="R956" s="35"/>
      <c r="S956" s="35"/>
      <c r="T956" s="35"/>
      <c r="U956" s="35"/>
      <c r="V956" s="121"/>
      <c r="W956" s="42"/>
      <c r="X956" s="42"/>
      <c r="Y956" s="42"/>
      <c r="Z956" s="42"/>
      <c r="AA956" s="42"/>
      <c r="AB956" s="42"/>
      <c r="AC956" s="42"/>
      <c r="AD956" s="42"/>
      <c r="AE956" s="42"/>
      <c r="AF956" s="42"/>
      <c r="AG956" s="42"/>
      <c r="AH956" s="42"/>
      <c r="AI956" s="42"/>
      <c r="AJ956" s="42"/>
      <c r="AK956" s="42"/>
      <c r="AL956" s="42"/>
      <c r="AM956" s="42"/>
    </row>
    <row r="957" spans="1:39" x14ac:dyDescent="0.25">
      <c r="A957" s="38" t="s">
        <v>1308</v>
      </c>
      <c r="B957" s="42"/>
      <c r="C957" s="42"/>
      <c r="D957" s="42"/>
      <c r="E957" s="41"/>
      <c r="F957" s="41"/>
      <c r="G957" s="41"/>
      <c r="H957" s="41"/>
      <c r="I957" s="41"/>
      <c r="J957" s="42"/>
      <c r="K957" s="41"/>
      <c r="L957" s="41"/>
      <c r="M957" s="127"/>
      <c r="N957" s="41"/>
      <c r="O957" s="41"/>
      <c r="P957" s="41"/>
      <c r="Q957" s="42"/>
      <c r="R957" s="35"/>
      <c r="S957" s="35"/>
      <c r="T957" s="35"/>
      <c r="U957" s="35"/>
      <c r="V957" s="121"/>
      <c r="W957" s="42"/>
      <c r="X957" s="42"/>
      <c r="Y957" s="42"/>
      <c r="Z957" s="42"/>
      <c r="AA957" s="42"/>
      <c r="AB957" s="42"/>
      <c r="AC957" s="42"/>
      <c r="AD957" s="42"/>
      <c r="AE957" s="42"/>
      <c r="AF957" s="42"/>
      <c r="AG957" s="42"/>
      <c r="AH957" s="42"/>
      <c r="AI957" s="42"/>
      <c r="AJ957" s="42"/>
      <c r="AK957" s="42"/>
      <c r="AL957" s="42"/>
      <c r="AM957" s="42"/>
    </row>
    <row r="958" spans="1:39" x14ac:dyDescent="0.25">
      <c r="A958" s="38" t="s">
        <v>1309</v>
      </c>
      <c r="B958" s="42"/>
      <c r="C958" s="42"/>
      <c r="D958" s="42"/>
      <c r="E958" s="41"/>
      <c r="F958" s="41"/>
      <c r="G958" s="41"/>
      <c r="H958" s="41"/>
      <c r="I958" s="41"/>
      <c r="J958" s="42"/>
      <c r="K958" s="41"/>
      <c r="L958" s="41"/>
      <c r="M958" s="127"/>
      <c r="N958" s="41"/>
      <c r="O958" s="41"/>
      <c r="P958" s="41"/>
      <c r="Q958" s="42"/>
      <c r="R958" s="35"/>
      <c r="S958" s="35"/>
      <c r="T958" s="35"/>
      <c r="U958" s="35"/>
      <c r="V958" s="121"/>
      <c r="W958" s="42"/>
      <c r="X958" s="42"/>
      <c r="Y958" s="42"/>
      <c r="Z958" s="42"/>
      <c r="AA958" s="42"/>
      <c r="AB958" s="42"/>
      <c r="AC958" s="42"/>
      <c r="AD958" s="42"/>
      <c r="AE958" s="42"/>
      <c r="AF958" s="42"/>
      <c r="AG958" s="42"/>
      <c r="AH958" s="42"/>
      <c r="AI958" s="42"/>
      <c r="AJ958" s="42"/>
      <c r="AK958" s="42"/>
      <c r="AL958" s="42"/>
      <c r="AM958" s="42"/>
    </row>
    <row r="959" spans="1:39" x14ac:dyDescent="0.25">
      <c r="A959" s="38" t="s">
        <v>1310</v>
      </c>
      <c r="B959" s="42"/>
      <c r="C959" s="42"/>
      <c r="D959" s="42"/>
      <c r="E959" s="41"/>
      <c r="F959" s="41"/>
      <c r="G959" s="41"/>
      <c r="H959" s="41"/>
      <c r="I959" s="41"/>
      <c r="J959" s="42"/>
      <c r="K959" s="41"/>
      <c r="L959" s="41"/>
      <c r="M959" s="127"/>
      <c r="N959" s="41"/>
      <c r="O959" s="41"/>
      <c r="P959" s="41"/>
      <c r="Q959" s="42"/>
      <c r="R959" s="35"/>
      <c r="S959" s="35"/>
      <c r="T959" s="35"/>
      <c r="U959" s="35"/>
      <c r="V959" s="121"/>
      <c r="W959" s="42"/>
      <c r="X959" s="42"/>
      <c r="Y959" s="42"/>
      <c r="Z959" s="42"/>
      <c r="AA959" s="42"/>
      <c r="AB959" s="42"/>
      <c r="AC959" s="42"/>
      <c r="AD959" s="42"/>
      <c r="AE959" s="42"/>
      <c r="AF959" s="42"/>
      <c r="AG959" s="42"/>
      <c r="AH959" s="42"/>
      <c r="AI959" s="42"/>
      <c r="AJ959" s="42"/>
      <c r="AK959" s="42"/>
      <c r="AL959" s="42"/>
      <c r="AM959" s="42"/>
    </row>
    <row r="960" spans="1:39" x14ac:dyDescent="0.25">
      <c r="A960" s="38" t="s">
        <v>1311</v>
      </c>
      <c r="B960" s="42"/>
      <c r="C960" s="42"/>
      <c r="D960" s="42"/>
      <c r="E960" s="41"/>
      <c r="F960" s="41"/>
      <c r="G960" s="41"/>
      <c r="H960" s="41"/>
      <c r="I960" s="41"/>
      <c r="J960" s="42"/>
      <c r="K960" s="41"/>
      <c r="L960" s="41"/>
      <c r="M960" s="127"/>
      <c r="N960" s="41"/>
      <c r="O960" s="41"/>
      <c r="P960" s="41"/>
      <c r="Q960" s="42"/>
      <c r="R960" s="35"/>
      <c r="S960" s="35"/>
      <c r="T960" s="35"/>
      <c r="U960" s="35"/>
      <c r="V960" s="121"/>
      <c r="W960" s="42"/>
      <c r="X960" s="42"/>
      <c r="Y960" s="42"/>
      <c r="Z960" s="42"/>
      <c r="AA960" s="42"/>
      <c r="AB960" s="42"/>
      <c r="AC960" s="42"/>
      <c r="AD960" s="42"/>
      <c r="AE960" s="42"/>
      <c r="AF960" s="42"/>
      <c r="AG960" s="42"/>
      <c r="AH960" s="42"/>
      <c r="AI960" s="42"/>
      <c r="AJ960" s="42"/>
      <c r="AK960" s="42"/>
      <c r="AL960" s="42"/>
      <c r="AM960" s="42"/>
    </row>
    <row r="961" spans="1:39" x14ac:dyDescent="0.25">
      <c r="A961" s="38" t="s">
        <v>1312</v>
      </c>
      <c r="B961" s="42"/>
      <c r="C961" s="42"/>
      <c r="D961" s="42"/>
      <c r="E961" s="41"/>
      <c r="F961" s="41"/>
      <c r="G961" s="41"/>
      <c r="H961" s="41"/>
      <c r="I961" s="41"/>
      <c r="J961" s="42"/>
      <c r="K961" s="41"/>
      <c r="L961" s="41"/>
      <c r="M961" s="127"/>
      <c r="N961" s="41"/>
      <c r="O961" s="41"/>
      <c r="P961" s="41"/>
      <c r="Q961" s="42"/>
      <c r="R961" s="35"/>
      <c r="S961" s="35"/>
      <c r="T961" s="35"/>
      <c r="U961" s="35"/>
      <c r="V961" s="121"/>
      <c r="W961" s="42"/>
      <c r="X961" s="42"/>
      <c r="Y961" s="42"/>
      <c r="Z961" s="42"/>
      <c r="AA961" s="42"/>
      <c r="AB961" s="42"/>
      <c r="AC961" s="42"/>
      <c r="AD961" s="42"/>
      <c r="AE961" s="42"/>
      <c r="AF961" s="42"/>
      <c r="AG961" s="42"/>
      <c r="AH961" s="42"/>
      <c r="AI961" s="42"/>
      <c r="AJ961" s="42"/>
      <c r="AK961" s="42"/>
      <c r="AL961" s="42"/>
      <c r="AM961" s="42"/>
    </row>
    <row r="962" spans="1:39" x14ac:dyDescent="0.25">
      <c r="A962" s="38" t="s">
        <v>1313</v>
      </c>
      <c r="B962" s="42"/>
      <c r="C962" s="42"/>
      <c r="D962" s="42"/>
      <c r="E962" s="41"/>
      <c r="F962" s="41"/>
      <c r="G962" s="41"/>
      <c r="H962" s="41"/>
      <c r="I962" s="41"/>
      <c r="J962" s="42"/>
      <c r="K962" s="41"/>
      <c r="L962" s="41"/>
      <c r="M962" s="127"/>
      <c r="N962" s="41"/>
      <c r="O962" s="41"/>
      <c r="P962" s="41"/>
      <c r="Q962" s="42"/>
      <c r="R962" s="35"/>
      <c r="S962" s="35"/>
      <c r="T962" s="35"/>
      <c r="U962" s="35"/>
      <c r="V962" s="121"/>
      <c r="W962" s="42"/>
      <c r="X962" s="42"/>
      <c r="Y962" s="42"/>
      <c r="Z962" s="42"/>
      <c r="AA962" s="42"/>
      <c r="AB962" s="42"/>
      <c r="AC962" s="42"/>
      <c r="AD962" s="42"/>
      <c r="AE962" s="42"/>
      <c r="AF962" s="42"/>
      <c r="AG962" s="42"/>
      <c r="AH962" s="42"/>
      <c r="AI962" s="42"/>
      <c r="AJ962" s="42"/>
      <c r="AK962" s="42"/>
      <c r="AL962" s="42"/>
      <c r="AM962" s="42"/>
    </row>
    <row r="963" spans="1:39" x14ac:dyDescent="0.25">
      <c r="A963" s="38" t="s">
        <v>1314</v>
      </c>
      <c r="B963" s="42"/>
      <c r="C963" s="42"/>
      <c r="D963" s="42"/>
      <c r="E963" s="41"/>
      <c r="F963" s="41"/>
      <c r="G963" s="41"/>
      <c r="H963" s="41"/>
      <c r="I963" s="41"/>
      <c r="J963" s="42"/>
      <c r="K963" s="41"/>
      <c r="L963" s="41"/>
      <c r="M963" s="127"/>
      <c r="N963" s="41"/>
      <c r="O963" s="41"/>
      <c r="P963" s="41"/>
      <c r="Q963" s="42"/>
      <c r="R963" s="35"/>
      <c r="S963" s="35"/>
      <c r="T963" s="35"/>
      <c r="U963" s="35"/>
      <c r="V963" s="121"/>
      <c r="W963" s="42"/>
      <c r="X963" s="42"/>
      <c r="Y963" s="42"/>
      <c r="Z963" s="42"/>
      <c r="AA963" s="42"/>
      <c r="AB963" s="42"/>
      <c r="AC963" s="42"/>
      <c r="AD963" s="42"/>
      <c r="AE963" s="42"/>
      <c r="AF963" s="42"/>
      <c r="AG963" s="42"/>
      <c r="AH963" s="42"/>
      <c r="AI963" s="42"/>
      <c r="AJ963" s="42"/>
      <c r="AK963" s="42"/>
      <c r="AL963" s="42"/>
      <c r="AM963" s="42"/>
    </row>
    <row r="964" spans="1:39" x14ac:dyDescent="0.25">
      <c r="A964" s="38" t="s">
        <v>1315</v>
      </c>
      <c r="B964" s="42"/>
      <c r="C964" s="42"/>
      <c r="D964" s="42"/>
      <c r="E964" s="41"/>
      <c r="F964" s="41"/>
      <c r="G964" s="41"/>
      <c r="H964" s="41"/>
      <c r="I964" s="41"/>
      <c r="J964" s="42"/>
      <c r="K964" s="41"/>
      <c r="L964" s="41"/>
      <c r="M964" s="127"/>
      <c r="N964" s="41"/>
      <c r="O964" s="41"/>
      <c r="P964" s="41"/>
      <c r="Q964" s="42"/>
      <c r="R964" s="35"/>
      <c r="S964" s="35"/>
      <c r="T964" s="35"/>
      <c r="U964" s="35"/>
      <c r="V964" s="121"/>
      <c r="W964" s="42"/>
      <c r="X964" s="42"/>
      <c r="Y964" s="42"/>
      <c r="Z964" s="42"/>
      <c r="AA964" s="42"/>
      <c r="AB964" s="42"/>
      <c r="AC964" s="42"/>
      <c r="AD964" s="42"/>
      <c r="AE964" s="42"/>
      <c r="AF964" s="42"/>
      <c r="AG964" s="42"/>
      <c r="AH964" s="42"/>
      <c r="AI964" s="42"/>
      <c r="AJ964" s="42"/>
      <c r="AK964" s="42"/>
      <c r="AL964" s="42"/>
      <c r="AM964" s="42"/>
    </row>
    <row r="965" spans="1:39" x14ac:dyDescent="0.25">
      <c r="A965" s="38" t="s">
        <v>1316</v>
      </c>
      <c r="B965" s="42"/>
      <c r="C965" s="42"/>
      <c r="D965" s="42"/>
      <c r="E965" s="41"/>
      <c r="F965" s="41"/>
      <c r="G965" s="41"/>
      <c r="H965" s="41"/>
      <c r="I965" s="41"/>
      <c r="J965" s="42"/>
      <c r="K965" s="41"/>
      <c r="L965" s="41"/>
      <c r="M965" s="127"/>
      <c r="N965" s="41"/>
      <c r="O965" s="41"/>
      <c r="P965" s="41"/>
      <c r="Q965" s="42"/>
      <c r="R965" s="35"/>
      <c r="S965" s="35"/>
      <c r="T965" s="35"/>
      <c r="U965" s="35"/>
      <c r="V965" s="121"/>
      <c r="W965" s="42"/>
      <c r="X965" s="42"/>
      <c r="Y965" s="42"/>
      <c r="Z965" s="42"/>
      <c r="AA965" s="42"/>
      <c r="AB965" s="42"/>
      <c r="AC965" s="42"/>
      <c r="AD965" s="42"/>
      <c r="AE965" s="42"/>
      <c r="AF965" s="42"/>
      <c r="AG965" s="42"/>
      <c r="AH965" s="42"/>
      <c r="AI965" s="42"/>
      <c r="AJ965" s="42"/>
      <c r="AK965" s="42"/>
      <c r="AL965" s="42"/>
      <c r="AM965" s="42"/>
    </row>
    <row r="966" spans="1:39" x14ac:dyDescent="0.25">
      <c r="A966" s="38" t="s">
        <v>1317</v>
      </c>
      <c r="B966" s="42"/>
      <c r="C966" s="42"/>
      <c r="D966" s="42"/>
      <c r="E966" s="41"/>
      <c r="F966" s="41"/>
      <c r="G966" s="41"/>
      <c r="H966" s="41"/>
      <c r="I966" s="41"/>
      <c r="J966" s="42"/>
      <c r="K966" s="41"/>
      <c r="L966" s="41"/>
      <c r="M966" s="127"/>
      <c r="N966" s="41"/>
      <c r="O966" s="41"/>
      <c r="P966" s="41"/>
      <c r="Q966" s="42"/>
      <c r="R966" s="35"/>
      <c r="S966" s="35"/>
      <c r="T966" s="35"/>
      <c r="U966" s="35"/>
      <c r="V966" s="121"/>
      <c r="W966" s="42"/>
      <c r="X966" s="42"/>
      <c r="Y966" s="42"/>
      <c r="Z966" s="42"/>
      <c r="AA966" s="42"/>
      <c r="AB966" s="42"/>
      <c r="AC966" s="42"/>
      <c r="AD966" s="42"/>
      <c r="AE966" s="42"/>
      <c r="AF966" s="42"/>
      <c r="AG966" s="42"/>
      <c r="AH966" s="42"/>
      <c r="AI966" s="42"/>
      <c r="AJ966" s="42"/>
      <c r="AK966" s="42"/>
      <c r="AL966" s="42"/>
      <c r="AM966" s="42"/>
    </row>
    <row r="967" spans="1:39" x14ac:dyDescent="0.25">
      <c r="A967" s="38" t="s">
        <v>1318</v>
      </c>
      <c r="B967" s="42"/>
      <c r="C967" s="42"/>
      <c r="D967" s="42"/>
      <c r="E967" s="41"/>
      <c r="F967" s="41"/>
      <c r="G967" s="41"/>
      <c r="H967" s="41"/>
      <c r="I967" s="41"/>
      <c r="J967" s="42"/>
      <c r="K967" s="41"/>
      <c r="L967" s="41"/>
      <c r="M967" s="127"/>
      <c r="N967" s="41"/>
      <c r="O967" s="41"/>
      <c r="P967" s="41"/>
      <c r="Q967" s="42"/>
      <c r="R967" s="35"/>
      <c r="S967" s="35"/>
      <c r="T967" s="35"/>
      <c r="U967" s="35"/>
      <c r="V967" s="121"/>
      <c r="W967" s="42"/>
      <c r="X967" s="42"/>
      <c r="Y967" s="42"/>
      <c r="Z967" s="42"/>
      <c r="AA967" s="42"/>
      <c r="AB967" s="42"/>
      <c r="AC967" s="42"/>
      <c r="AD967" s="42"/>
      <c r="AE967" s="42"/>
      <c r="AF967" s="42"/>
      <c r="AG967" s="42"/>
      <c r="AH967" s="42"/>
      <c r="AI967" s="42"/>
      <c r="AJ967" s="42"/>
      <c r="AK967" s="42"/>
      <c r="AL967" s="42"/>
      <c r="AM967" s="42"/>
    </row>
    <row r="968" spans="1:39" x14ac:dyDescent="0.25">
      <c r="A968" s="38" t="s">
        <v>1319</v>
      </c>
      <c r="B968" s="42"/>
      <c r="C968" s="42"/>
      <c r="D968" s="42"/>
      <c r="E968" s="41"/>
      <c r="F968" s="41"/>
      <c r="G968" s="41"/>
      <c r="H968" s="41"/>
      <c r="I968" s="41"/>
      <c r="J968" s="42"/>
      <c r="K968" s="41"/>
      <c r="L968" s="41"/>
      <c r="M968" s="127"/>
      <c r="N968" s="41"/>
      <c r="O968" s="41"/>
      <c r="P968" s="41"/>
      <c r="Q968" s="42"/>
      <c r="R968" s="35"/>
      <c r="S968" s="35"/>
      <c r="T968" s="35"/>
      <c r="U968" s="35"/>
      <c r="V968" s="121"/>
      <c r="W968" s="42"/>
      <c r="X968" s="42"/>
      <c r="Y968" s="42"/>
      <c r="Z968" s="42"/>
      <c r="AA968" s="42"/>
      <c r="AB968" s="42"/>
      <c r="AC968" s="42"/>
      <c r="AD968" s="42"/>
      <c r="AE968" s="42"/>
      <c r="AF968" s="42"/>
      <c r="AG968" s="42"/>
      <c r="AH968" s="42"/>
      <c r="AI968" s="42"/>
      <c r="AJ968" s="42"/>
      <c r="AK968" s="42"/>
      <c r="AL968" s="42"/>
      <c r="AM968" s="42"/>
    </row>
    <row r="969" spans="1:39" x14ac:dyDescent="0.25">
      <c r="A969" s="38" t="s">
        <v>1320</v>
      </c>
      <c r="B969" s="42"/>
      <c r="C969" s="42"/>
      <c r="D969" s="42"/>
      <c r="E969" s="41"/>
      <c r="F969" s="41"/>
      <c r="G969" s="41"/>
      <c r="H969" s="41"/>
      <c r="I969" s="41"/>
      <c r="J969" s="42"/>
      <c r="K969" s="41"/>
      <c r="L969" s="41"/>
      <c r="M969" s="127"/>
      <c r="N969" s="41"/>
      <c r="O969" s="41"/>
      <c r="P969" s="41"/>
      <c r="Q969" s="42"/>
      <c r="R969" s="35"/>
      <c r="S969" s="35"/>
      <c r="T969" s="35"/>
      <c r="U969" s="35"/>
      <c r="V969" s="121"/>
      <c r="W969" s="42"/>
      <c r="X969" s="42"/>
      <c r="Y969" s="42"/>
      <c r="Z969" s="42"/>
      <c r="AA969" s="42"/>
      <c r="AB969" s="42"/>
      <c r="AC969" s="42"/>
      <c r="AD969" s="42"/>
      <c r="AE969" s="42"/>
      <c r="AF969" s="42"/>
      <c r="AG969" s="42"/>
      <c r="AH969" s="42"/>
      <c r="AI969" s="42"/>
      <c r="AJ969" s="42"/>
      <c r="AK969" s="42"/>
      <c r="AL969" s="42"/>
      <c r="AM969" s="42"/>
    </row>
    <row r="970" spans="1:39" x14ac:dyDescent="0.25">
      <c r="A970" s="38" t="s">
        <v>1321</v>
      </c>
      <c r="B970" s="42"/>
      <c r="C970" s="42"/>
      <c r="D970" s="42"/>
      <c r="E970" s="41"/>
      <c r="F970" s="41"/>
      <c r="G970" s="41"/>
      <c r="H970" s="41"/>
      <c r="I970" s="41"/>
      <c r="J970" s="42"/>
      <c r="K970" s="41"/>
      <c r="L970" s="41"/>
      <c r="M970" s="127"/>
      <c r="N970" s="41"/>
      <c r="O970" s="41"/>
      <c r="P970" s="41"/>
      <c r="Q970" s="42"/>
      <c r="R970" s="35"/>
      <c r="S970" s="35"/>
      <c r="T970" s="35"/>
      <c r="U970" s="35"/>
      <c r="V970" s="121"/>
      <c r="W970" s="42"/>
      <c r="X970" s="42"/>
      <c r="Y970" s="42"/>
      <c r="Z970" s="42"/>
      <c r="AA970" s="42"/>
      <c r="AB970" s="42"/>
      <c r="AC970" s="42"/>
      <c r="AD970" s="42"/>
      <c r="AE970" s="42"/>
      <c r="AF970" s="42"/>
      <c r="AG970" s="42"/>
      <c r="AH970" s="42"/>
      <c r="AI970" s="42"/>
      <c r="AJ970" s="42"/>
      <c r="AK970" s="42"/>
      <c r="AL970" s="42"/>
      <c r="AM970" s="42"/>
    </row>
    <row r="971" spans="1:39" x14ac:dyDescent="0.25">
      <c r="A971" s="38" t="s">
        <v>1322</v>
      </c>
      <c r="B971" s="42"/>
      <c r="C971" s="42"/>
      <c r="D971" s="42"/>
      <c r="E971" s="41"/>
      <c r="F971" s="41"/>
      <c r="G971" s="41"/>
      <c r="H971" s="41"/>
      <c r="I971" s="41"/>
      <c r="J971" s="42"/>
      <c r="K971" s="41"/>
      <c r="L971" s="41"/>
      <c r="M971" s="127"/>
      <c r="N971" s="41"/>
      <c r="O971" s="41"/>
      <c r="P971" s="41"/>
      <c r="Q971" s="42"/>
      <c r="R971" s="35"/>
      <c r="S971" s="35"/>
      <c r="T971" s="35"/>
      <c r="U971" s="35"/>
      <c r="V971" s="121"/>
      <c r="W971" s="42"/>
      <c r="X971" s="42"/>
      <c r="Y971" s="42"/>
      <c r="Z971" s="42"/>
      <c r="AA971" s="42"/>
      <c r="AB971" s="42"/>
      <c r="AC971" s="42"/>
      <c r="AD971" s="42"/>
      <c r="AE971" s="42"/>
      <c r="AF971" s="42"/>
      <c r="AG971" s="42"/>
      <c r="AH971" s="42"/>
      <c r="AI971" s="42"/>
      <c r="AJ971" s="42"/>
      <c r="AK971" s="42"/>
      <c r="AL971" s="42"/>
      <c r="AM971" s="42"/>
    </row>
    <row r="972" spans="1:39" x14ac:dyDescent="0.25">
      <c r="A972" s="38" t="s">
        <v>1323</v>
      </c>
      <c r="B972" s="42"/>
      <c r="C972" s="42"/>
      <c r="D972" s="42"/>
      <c r="E972" s="41"/>
      <c r="F972" s="41"/>
      <c r="G972" s="41"/>
      <c r="H972" s="41"/>
      <c r="I972" s="41"/>
      <c r="J972" s="42"/>
      <c r="K972" s="41"/>
      <c r="L972" s="41"/>
      <c r="M972" s="127"/>
      <c r="N972" s="41"/>
      <c r="O972" s="41"/>
      <c r="P972" s="41"/>
      <c r="Q972" s="42"/>
      <c r="R972" s="35"/>
      <c r="S972" s="35"/>
      <c r="T972" s="35"/>
      <c r="U972" s="35"/>
      <c r="V972" s="121"/>
      <c r="W972" s="42"/>
      <c r="X972" s="42"/>
      <c r="Y972" s="42"/>
      <c r="Z972" s="42"/>
      <c r="AA972" s="42"/>
      <c r="AB972" s="42"/>
      <c r="AC972" s="42"/>
      <c r="AD972" s="42"/>
      <c r="AE972" s="42"/>
      <c r="AF972" s="42"/>
      <c r="AG972" s="42"/>
      <c r="AH972" s="42"/>
      <c r="AI972" s="42"/>
      <c r="AJ972" s="42"/>
      <c r="AK972" s="42"/>
      <c r="AL972" s="42"/>
      <c r="AM972" s="42"/>
    </row>
    <row r="973" spans="1:39" x14ac:dyDescent="0.25">
      <c r="A973" s="38" t="s">
        <v>1324</v>
      </c>
      <c r="B973" s="42"/>
      <c r="C973" s="42"/>
      <c r="D973" s="42"/>
      <c r="E973" s="41"/>
      <c r="F973" s="41"/>
      <c r="G973" s="41"/>
      <c r="H973" s="41"/>
      <c r="I973" s="41"/>
      <c r="J973" s="42"/>
      <c r="K973" s="41"/>
      <c r="L973" s="41"/>
      <c r="M973" s="127"/>
      <c r="N973" s="41"/>
      <c r="O973" s="41"/>
      <c r="P973" s="41"/>
      <c r="Q973" s="42"/>
      <c r="R973" s="35"/>
      <c r="S973" s="35"/>
      <c r="T973" s="35"/>
      <c r="U973" s="35"/>
      <c r="V973" s="121"/>
      <c r="W973" s="42"/>
      <c r="X973" s="42"/>
      <c r="Y973" s="42"/>
      <c r="Z973" s="42"/>
      <c r="AA973" s="42"/>
      <c r="AB973" s="42"/>
      <c r="AC973" s="42"/>
      <c r="AD973" s="42"/>
      <c r="AE973" s="42"/>
      <c r="AF973" s="42"/>
      <c r="AG973" s="42"/>
      <c r="AH973" s="42"/>
      <c r="AI973" s="42"/>
      <c r="AJ973" s="42"/>
      <c r="AK973" s="42"/>
      <c r="AL973" s="42"/>
      <c r="AM973" s="42"/>
    </row>
    <row r="974" spans="1:39" x14ac:dyDescent="0.25">
      <c r="A974" s="38" t="s">
        <v>1325</v>
      </c>
      <c r="B974" s="42"/>
      <c r="C974" s="42"/>
      <c r="D974" s="42"/>
      <c r="E974" s="41"/>
      <c r="F974" s="41"/>
      <c r="G974" s="41"/>
      <c r="H974" s="41"/>
      <c r="I974" s="41"/>
      <c r="J974" s="42"/>
      <c r="K974" s="41"/>
      <c r="L974" s="41"/>
      <c r="M974" s="127"/>
      <c r="N974" s="41"/>
      <c r="O974" s="41"/>
      <c r="P974" s="41"/>
      <c r="Q974" s="42"/>
      <c r="R974" s="35"/>
      <c r="S974" s="35"/>
      <c r="T974" s="35"/>
      <c r="U974" s="35"/>
      <c r="V974" s="121"/>
      <c r="W974" s="42"/>
      <c r="X974" s="42"/>
      <c r="Y974" s="42"/>
      <c r="Z974" s="42"/>
      <c r="AA974" s="42"/>
      <c r="AB974" s="42"/>
      <c r="AC974" s="42"/>
      <c r="AD974" s="42"/>
      <c r="AE974" s="42"/>
      <c r="AF974" s="42"/>
      <c r="AG974" s="42"/>
      <c r="AH974" s="42"/>
      <c r="AI974" s="42"/>
      <c r="AJ974" s="42"/>
      <c r="AK974" s="42"/>
      <c r="AL974" s="42"/>
      <c r="AM974" s="42"/>
    </row>
    <row r="975" spans="1:39" x14ac:dyDescent="0.25">
      <c r="A975" s="38" t="s">
        <v>1326</v>
      </c>
      <c r="B975" s="42"/>
      <c r="C975" s="42"/>
      <c r="D975" s="42"/>
      <c r="E975" s="41"/>
      <c r="F975" s="41"/>
      <c r="G975" s="41"/>
      <c r="H975" s="41"/>
      <c r="I975" s="41"/>
      <c r="J975" s="42"/>
      <c r="K975" s="41"/>
      <c r="L975" s="41"/>
      <c r="M975" s="127"/>
      <c r="N975" s="41"/>
      <c r="O975" s="41"/>
      <c r="P975" s="41"/>
      <c r="Q975" s="42"/>
      <c r="R975" s="35"/>
      <c r="S975" s="35"/>
      <c r="T975" s="35"/>
      <c r="U975" s="35"/>
      <c r="V975" s="121"/>
      <c r="W975" s="42"/>
      <c r="X975" s="42"/>
      <c r="Y975" s="42"/>
      <c r="Z975" s="42"/>
      <c r="AA975" s="42"/>
      <c r="AB975" s="42"/>
      <c r="AC975" s="42"/>
      <c r="AD975" s="42"/>
      <c r="AE975" s="42"/>
      <c r="AF975" s="42"/>
      <c r="AG975" s="42"/>
      <c r="AH975" s="42"/>
      <c r="AI975" s="42"/>
      <c r="AJ975" s="42"/>
      <c r="AK975" s="42"/>
      <c r="AL975" s="42"/>
      <c r="AM975" s="42"/>
    </row>
    <row r="976" spans="1:39" x14ac:dyDescent="0.25">
      <c r="A976" s="38" t="s">
        <v>1327</v>
      </c>
      <c r="B976" s="42"/>
      <c r="C976" s="42"/>
      <c r="D976" s="42"/>
      <c r="E976" s="41"/>
      <c r="F976" s="41"/>
      <c r="G976" s="41"/>
      <c r="H976" s="41"/>
      <c r="I976" s="41"/>
      <c r="J976" s="42"/>
      <c r="K976" s="41"/>
      <c r="L976" s="41"/>
      <c r="M976" s="127"/>
      <c r="N976" s="41"/>
      <c r="O976" s="41"/>
      <c r="P976" s="41"/>
      <c r="Q976" s="42"/>
      <c r="R976" s="35"/>
      <c r="S976" s="35"/>
      <c r="T976" s="35"/>
      <c r="U976" s="35"/>
      <c r="V976" s="121"/>
      <c r="W976" s="42"/>
      <c r="X976" s="42"/>
      <c r="Y976" s="42"/>
      <c r="Z976" s="42"/>
      <c r="AA976" s="42"/>
      <c r="AB976" s="42"/>
      <c r="AC976" s="42"/>
      <c r="AD976" s="42"/>
      <c r="AE976" s="42"/>
      <c r="AF976" s="42"/>
      <c r="AG976" s="42"/>
      <c r="AH976" s="42"/>
      <c r="AI976" s="42"/>
      <c r="AJ976" s="42"/>
      <c r="AK976" s="42"/>
      <c r="AL976" s="42"/>
      <c r="AM976" s="42"/>
    </row>
    <row r="977" spans="1:39" x14ac:dyDescent="0.25">
      <c r="A977" s="38" t="s">
        <v>1328</v>
      </c>
      <c r="B977" s="42"/>
      <c r="C977" s="42"/>
      <c r="D977" s="42"/>
      <c r="E977" s="41"/>
      <c r="F977" s="41"/>
      <c r="G977" s="41"/>
      <c r="H977" s="41"/>
      <c r="I977" s="41"/>
      <c r="J977" s="42"/>
      <c r="K977" s="41"/>
      <c r="L977" s="41"/>
      <c r="M977" s="127"/>
      <c r="N977" s="41"/>
      <c r="O977" s="41"/>
      <c r="P977" s="41"/>
      <c r="Q977" s="42"/>
      <c r="R977" s="35"/>
      <c r="S977" s="35"/>
      <c r="T977" s="35"/>
      <c r="U977" s="35"/>
      <c r="V977" s="121"/>
      <c r="W977" s="42"/>
      <c r="X977" s="42"/>
      <c r="Y977" s="42"/>
      <c r="Z977" s="42"/>
      <c r="AA977" s="42"/>
      <c r="AB977" s="42"/>
      <c r="AC977" s="42"/>
      <c r="AD977" s="42"/>
      <c r="AE977" s="42"/>
      <c r="AF977" s="42"/>
      <c r="AG977" s="42"/>
      <c r="AH977" s="42"/>
      <c r="AI977" s="42"/>
      <c r="AJ977" s="42"/>
      <c r="AK977" s="42"/>
      <c r="AL977" s="42"/>
      <c r="AM977" s="42"/>
    </row>
    <row r="978" spans="1:39" x14ac:dyDescent="0.25">
      <c r="A978" s="38" t="s">
        <v>1329</v>
      </c>
      <c r="B978" s="42"/>
      <c r="C978" s="42"/>
      <c r="D978" s="42"/>
      <c r="E978" s="41"/>
      <c r="F978" s="41"/>
      <c r="G978" s="41"/>
      <c r="H978" s="41"/>
      <c r="I978" s="41"/>
      <c r="J978" s="42"/>
      <c r="K978" s="41"/>
      <c r="L978" s="41"/>
      <c r="M978" s="127"/>
      <c r="N978" s="41"/>
      <c r="O978" s="41"/>
      <c r="P978" s="41"/>
      <c r="Q978" s="42"/>
      <c r="R978" s="35"/>
      <c r="S978" s="35"/>
      <c r="T978" s="35"/>
      <c r="U978" s="35"/>
      <c r="V978" s="121"/>
      <c r="W978" s="42"/>
      <c r="X978" s="42"/>
      <c r="Y978" s="42"/>
      <c r="Z978" s="42"/>
      <c r="AA978" s="42"/>
      <c r="AB978" s="42"/>
      <c r="AC978" s="42"/>
      <c r="AD978" s="42"/>
      <c r="AE978" s="42"/>
      <c r="AF978" s="42"/>
      <c r="AG978" s="42"/>
      <c r="AH978" s="42"/>
      <c r="AI978" s="42"/>
      <c r="AJ978" s="42"/>
      <c r="AK978" s="42"/>
      <c r="AL978" s="42"/>
      <c r="AM978" s="42"/>
    </row>
    <row r="979" spans="1:39" x14ac:dyDescent="0.25">
      <c r="A979" s="38" t="s">
        <v>1330</v>
      </c>
      <c r="B979" s="42"/>
      <c r="C979" s="42"/>
      <c r="D979" s="42"/>
      <c r="E979" s="41"/>
      <c r="F979" s="41"/>
      <c r="G979" s="41"/>
      <c r="H979" s="41"/>
      <c r="I979" s="41"/>
      <c r="J979" s="42"/>
      <c r="K979" s="41"/>
      <c r="L979" s="41"/>
      <c r="M979" s="127"/>
      <c r="N979" s="41"/>
      <c r="O979" s="41"/>
      <c r="P979" s="41"/>
      <c r="Q979" s="42"/>
      <c r="R979" s="35"/>
      <c r="S979" s="35"/>
      <c r="T979" s="35"/>
      <c r="U979" s="35"/>
      <c r="V979" s="121"/>
      <c r="W979" s="42"/>
      <c r="X979" s="42"/>
      <c r="Y979" s="42"/>
      <c r="Z979" s="42"/>
      <c r="AA979" s="42"/>
      <c r="AB979" s="42"/>
      <c r="AC979" s="42"/>
      <c r="AD979" s="42"/>
      <c r="AE979" s="42"/>
      <c r="AF979" s="42"/>
      <c r="AG979" s="42"/>
      <c r="AH979" s="42"/>
      <c r="AI979" s="42"/>
      <c r="AJ979" s="42"/>
      <c r="AK979" s="42"/>
      <c r="AL979" s="42"/>
      <c r="AM979" s="42"/>
    </row>
    <row r="980" spans="1:39" x14ac:dyDescent="0.25">
      <c r="A980" s="38" t="s">
        <v>1331</v>
      </c>
      <c r="B980" s="42"/>
      <c r="C980" s="42"/>
      <c r="D980" s="42"/>
      <c r="E980" s="41"/>
      <c r="F980" s="41"/>
      <c r="G980" s="41"/>
      <c r="H980" s="41"/>
      <c r="I980" s="41"/>
      <c r="J980" s="42"/>
      <c r="K980" s="41"/>
      <c r="L980" s="41"/>
      <c r="M980" s="127"/>
      <c r="N980" s="41"/>
      <c r="O980" s="41"/>
      <c r="P980" s="41"/>
      <c r="Q980" s="42"/>
      <c r="R980" s="35"/>
      <c r="S980" s="35"/>
      <c r="T980" s="35"/>
      <c r="U980" s="35"/>
      <c r="V980" s="121"/>
      <c r="W980" s="42"/>
      <c r="X980" s="42"/>
      <c r="Y980" s="42"/>
      <c r="Z980" s="42"/>
      <c r="AA980" s="42"/>
      <c r="AB980" s="42"/>
      <c r="AC980" s="42"/>
      <c r="AD980" s="42"/>
      <c r="AE980" s="42"/>
      <c r="AF980" s="42"/>
      <c r="AG980" s="42"/>
      <c r="AH980" s="42"/>
      <c r="AI980" s="42"/>
      <c r="AJ980" s="42"/>
      <c r="AK980" s="42"/>
      <c r="AL980" s="42"/>
      <c r="AM980" s="42"/>
    </row>
    <row r="981" spans="1:39" x14ac:dyDescent="0.25">
      <c r="A981" s="38" t="s">
        <v>1332</v>
      </c>
      <c r="B981" s="42"/>
      <c r="C981" s="42"/>
      <c r="D981" s="42"/>
      <c r="E981" s="41"/>
      <c r="F981" s="41"/>
      <c r="G981" s="41"/>
      <c r="H981" s="41"/>
      <c r="I981" s="41"/>
      <c r="J981" s="42"/>
      <c r="K981" s="41"/>
      <c r="L981" s="41"/>
      <c r="M981" s="127"/>
      <c r="N981" s="41"/>
      <c r="O981" s="41"/>
      <c r="P981" s="41"/>
      <c r="Q981" s="42"/>
      <c r="R981" s="35"/>
      <c r="S981" s="35"/>
      <c r="T981" s="35"/>
      <c r="U981" s="35"/>
      <c r="V981" s="121"/>
      <c r="W981" s="42"/>
      <c r="X981" s="42"/>
      <c r="Y981" s="42"/>
      <c r="Z981" s="42"/>
      <c r="AA981" s="42"/>
      <c r="AB981" s="42"/>
      <c r="AC981" s="42"/>
      <c r="AD981" s="42"/>
      <c r="AE981" s="42"/>
      <c r="AF981" s="42"/>
      <c r="AG981" s="42"/>
      <c r="AH981" s="42"/>
      <c r="AI981" s="42"/>
      <c r="AJ981" s="42"/>
      <c r="AK981" s="42"/>
      <c r="AL981" s="42"/>
      <c r="AM981" s="42"/>
    </row>
    <row r="982" spans="1:39" x14ac:dyDescent="0.25">
      <c r="A982" s="38" t="s">
        <v>1333</v>
      </c>
      <c r="B982" s="42"/>
      <c r="C982" s="42"/>
      <c r="D982" s="42"/>
      <c r="E982" s="41"/>
      <c r="F982" s="41"/>
      <c r="G982" s="41"/>
      <c r="H982" s="41"/>
      <c r="I982" s="41"/>
      <c r="J982" s="42"/>
      <c r="K982" s="41"/>
      <c r="L982" s="41"/>
      <c r="M982" s="127"/>
      <c r="N982" s="41"/>
      <c r="O982" s="41"/>
      <c r="P982" s="41"/>
      <c r="Q982" s="42"/>
      <c r="R982" s="35"/>
      <c r="S982" s="35"/>
      <c r="T982" s="35"/>
      <c r="U982" s="35"/>
      <c r="V982" s="121"/>
      <c r="W982" s="42"/>
      <c r="X982" s="42"/>
      <c r="Y982" s="42"/>
      <c r="Z982" s="42"/>
      <c r="AA982" s="42"/>
      <c r="AB982" s="42"/>
      <c r="AC982" s="42"/>
      <c r="AD982" s="42"/>
      <c r="AE982" s="42"/>
      <c r="AF982" s="42"/>
      <c r="AG982" s="42"/>
      <c r="AH982" s="42"/>
      <c r="AI982" s="42"/>
      <c r="AJ982" s="42"/>
      <c r="AK982" s="42"/>
      <c r="AL982" s="42"/>
      <c r="AM982" s="42"/>
    </row>
    <row r="983" spans="1:39" x14ac:dyDescent="0.25">
      <c r="A983" s="38" t="s">
        <v>1334</v>
      </c>
      <c r="B983" s="42"/>
      <c r="C983" s="42"/>
      <c r="D983" s="42"/>
      <c r="E983" s="41"/>
      <c r="F983" s="41"/>
      <c r="G983" s="41"/>
      <c r="H983" s="41"/>
      <c r="I983" s="41"/>
      <c r="J983" s="42"/>
      <c r="K983" s="41"/>
      <c r="L983" s="41"/>
      <c r="M983" s="127"/>
      <c r="N983" s="41"/>
      <c r="O983" s="41"/>
      <c r="P983" s="41"/>
      <c r="Q983" s="42"/>
      <c r="R983" s="35"/>
      <c r="S983" s="35"/>
      <c r="T983" s="35"/>
      <c r="U983" s="35"/>
      <c r="V983" s="121"/>
      <c r="W983" s="42"/>
      <c r="X983" s="42"/>
      <c r="Y983" s="42"/>
      <c r="Z983" s="42"/>
      <c r="AA983" s="42"/>
      <c r="AB983" s="42"/>
      <c r="AC983" s="42"/>
      <c r="AD983" s="42"/>
      <c r="AE983" s="42"/>
      <c r="AF983" s="42"/>
      <c r="AG983" s="42"/>
      <c r="AH983" s="42"/>
      <c r="AI983" s="42"/>
      <c r="AJ983" s="42"/>
      <c r="AK983" s="42"/>
      <c r="AL983" s="42"/>
      <c r="AM983" s="42"/>
    </row>
    <row r="984" spans="1:39" x14ac:dyDescent="0.25">
      <c r="A984" s="38" t="s">
        <v>1335</v>
      </c>
      <c r="B984" s="42"/>
      <c r="C984" s="42"/>
      <c r="D984" s="42"/>
      <c r="E984" s="41"/>
      <c r="F984" s="41"/>
      <c r="G984" s="41"/>
      <c r="H984" s="41"/>
      <c r="I984" s="41"/>
      <c r="J984" s="42"/>
      <c r="K984" s="41"/>
      <c r="L984" s="41"/>
      <c r="M984" s="127"/>
      <c r="N984" s="41"/>
      <c r="O984" s="41"/>
      <c r="P984" s="41"/>
      <c r="Q984" s="42"/>
      <c r="R984" s="35"/>
      <c r="S984" s="35"/>
      <c r="T984" s="35"/>
      <c r="U984" s="35"/>
      <c r="V984" s="121"/>
      <c r="W984" s="42"/>
      <c r="X984" s="42"/>
      <c r="Y984" s="42"/>
      <c r="Z984" s="42"/>
      <c r="AA984" s="42"/>
      <c r="AB984" s="42"/>
      <c r="AC984" s="42"/>
      <c r="AD984" s="42"/>
      <c r="AE984" s="42"/>
      <c r="AF984" s="42"/>
      <c r="AG984" s="42"/>
      <c r="AH984" s="42"/>
      <c r="AI984" s="42"/>
      <c r="AJ984" s="42"/>
      <c r="AK984" s="42"/>
      <c r="AL984" s="42"/>
      <c r="AM984" s="42"/>
    </row>
    <row r="985" spans="1:39" x14ac:dyDescent="0.25">
      <c r="A985" s="38" t="s">
        <v>1336</v>
      </c>
      <c r="B985" s="42"/>
      <c r="C985" s="42"/>
      <c r="D985" s="42"/>
      <c r="E985" s="41"/>
      <c r="F985" s="41"/>
      <c r="G985" s="41"/>
      <c r="H985" s="41"/>
      <c r="I985" s="41"/>
      <c r="J985" s="42"/>
      <c r="K985" s="41"/>
      <c r="L985" s="41"/>
      <c r="M985" s="127"/>
      <c r="N985" s="41"/>
      <c r="O985" s="41"/>
      <c r="P985" s="41"/>
      <c r="Q985" s="42"/>
      <c r="R985" s="35"/>
      <c r="S985" s="35"/>
      <c r="T985" s="35"/>
      <c r="U985" s="35"/>
      <c r="V985" s="121"/>
      <c r="W985" s="42"/>
      <c r="X985" s="42"/>
      <c r="Y985" s="42"/>
      <c r="Z985" s="42"/>
      <c r="AA985" s="42"/>
      <c r="AB985" s="42"/>
      <c r="AC985" s="42"/>
      <c r="AD985" s="42"/>
      <c r="AE985" s="42"/>
      <c r="AF985" s="42"/>
      <c r="AG985" s="42"/>
      <c r="AH985" s="42"/>
      <c r="AI985" s="42"/>
      <c r="AJ985" s="42"/>
      <c r="AK985" s="42"/>
      <c r="AL985" s="42"/>
      <c r="AM985" s="42"/>
    </row>
    <row r="986" spans="1:39" x14ac:dyDescent="0.25">
      <c r="A986" s="38" t="s">
        <v>1337</v>
      </c>
      <c r="B986" s="42"/>
      <c r="C986" s="42"/>
      <c r="D986" s="42"/>
      <c r="E986" s="41"/>
      <c r="F986" s="41"/>
      <c r="G986" s="41"/>
      <c r="H986" s="41"/>
      <c r="I986" s="41"/>
      <c r="J986" s="42"/>
      <c r="K986" s="41"/>
      <c r="L986" s="41"/>
      <c r="M986" s="127"/>
      <c r="N986" s="41"/>
      <c r="O986" s="41"/>
      <c r="P986" s="41"/>
      <c r="Q986" s="42"/>
      <c r="R986" s="35"/>
      <c r="S986" s="35"/>
      <c r="T986" s="35"/>
      <c r="U986" s="35"/>
      <c r="V986" s="121"/>
      <c r="W986" s="42"/>
      <c r="X986" s="42"/>
      <c r="Y986" s="42"/>
      <c r="Z986" s="42"/>
      <c r="AA986" s="42"/>
      <c r="AB986" s="42"/>
      <c r="AC986" s="42"/>
      <c r="AD986" s="42"/>
      <c r="AE986" s="42"/>
      <c r="AF986" s="42"/>
      <c r="AG986" s="42"/>
      <c r="AH986" s="42"/>
      <c r="AI986" s="42"/>
      <c r="AJ986" s="42"/>
      <c r="AK986" s="42"/>
      <c r="AL986" s="42"/>
      <c r="AM986" s="42"/>
    </row>
    <row r="987" spans="1:39" x14ac:dyDescent="0.25">
      <c r="A987" s="38" t="s">
        <v>1338</v>
      </c>
      <c r="B987" s="42"/>
      <c r="C987" s="42"/>
      <c r="D987" s="42"/>
      <c r="E987" s="41"/>
      <c r="F987" s="41"/>
      <c r="G987" s="41"/>
      <c r="H987" s="41"/>
      <c r="I987" s="41"/>
      <c r="J987" s="42"/>
      <c r="K987" s="41"/>
      <c r="L987" s="41"/>
      <c r="M987" s="127"/>
      <c r="N987" s="41"/>
      <c r="O987" s="41"/>
      <c r="P987" s="41"/>
      <c r="Q987" s="42"/>
      <c r="R987" s="35"/>
      <c r="S987" s="35"/>
      <c r="T987" s="35"/>
      <c r="U987" s="35"/>
      <c r="V987" s="121"/>
      <c r="W987" s="42"/>
      <c r="X987" s="42"/>
      <c r="Y987" s="42"/>
      <c r="Z987" s="42"/>
      <c r="AA987" s="42"/>
      <c r="AB987" s="42"/>
      <c r="AC987" s="42"/>
      <c r="AD987" s="42"/>
      <c r="AE987" s="42"/>
      <c r="AF987" s="42"/>
      <c r="AG987" s="42"/>
      <c r="AH987" s="42"/>
      <c r="AI987" s="42"/>
      <c r="AJ987" s="42"/>
      <c r="AK987" s="42"/>
      <c r="AL987" s="42"/>
      <c r="AM987" s="42"/>
    </row>
    <row r="988" spans="1:39" x14ac:dyDescent="0.25">
      <c r="A988" s="38" t="s">
        <v>1339</v>
      </c>
      <c r="B988" s="42"/>
      <c r="C988" s="42"/>
      <c r="D988" s="42"/>
      <c r="E988" s="41"/>
      <c r="F988" s="41"/>
      <c r="G988" s="41"/>
      <c r="H988" s="41"/>
      <c r="I988" s="41"/>
      <c r="J988" s="42"/>
      <c r="K988" s="41"/>
      <c r="L988" s="41"/>
      <c r="M988" s="127"/>
      <c r="N988" s="41"/>
      <c r="O988" s="41"/>
      <c r="P988" s="41"/>
      <c r="Q988" s="42"/>
      <c r="R988" s="35"/>
      <c r="S988" s="35"/>
      <c r="T988" s="35"/>
      <c r="U988" s="35"/>
      <c r="V988" s="121"/>
      <c r="W988" s="42"/>
      <c r="X988" s="42"/>
      <c r="Y988" s="42"/>
      <c r="Z988" s="42"/>
      <c r="AA988" s="42"/>
      <c r="AB988" s="42"/>
      <c r="AC988" s="42"/>
      <c r="AD988" s="42"/>
      <c r="AE988" s="42"/>
      <c r="AF988" s="42"/>
      <c r="AG988" s="42"/>
      <c r="AH988" s="42"/>
      <c r="AI988" s="42"/>
      <c r="AJ988" s="42"/>
      <c r="AK988" s="42"/>
      <c r="AL988" s="42"/>
      <c r="AM988" s="42"/>
    </row>
    <row r="989" spans="1:39" x14ac:dyDescent="0.25">
      <c r="A989" s="38" t="s">
        <v>1340</v>
      </c>
      <c r="B989" s="42"/>
      <c r="C989" s="42"/>
      <c r="D989" s="42"/>
      <c r="E989" s="41"/>
      <c r="F989" s="41"/>
      <c r="G989" s="41"/>
      <c r="H989" s="41"/>
      <c r="I989" s="41"/>
      <c r="J989" s="42"/>
      <c r="K989" s="41"/>
      <c r="L989" s="41"/>
      <c r="M989" s="127"/>
      <c r="N989" s="41"/>
      <c r="O989" s="41"/>
      <c r="P989" s="41"/>
      <c r="Q989" s="42"/>
      <c r="R989" s="35"/>
      <c r="S989" s="35"/>
      <c r="T989" s="35"/>
      <c r="U989" s="35"/>
      <c r="V989" s="121"/>
      <c r="W989" s="42"/>
      <c r="X989" s="42"/>
      <c r="Y989" s="42"/>
      <c r="Z989" s="42"/>
      <c r="AA989" s="42"/>
      <c r="AB989" s="42"/>
      <c r="AC989" s="42"/>
      <c r="AD989" s="42"/>
      <c r="AE989" s="42"/>
      <c r="AF989" s="42"/>
      <c r="AG989" s="42"/>
      <c r="AH989" s="42"/>
      <c r="AI989" s="42"/>
      <c r="AJ989" s="42"/>
      <c r="AK989" s="42"/>
      <c r="AL989" s="42"/>
      <c r="AM989" s="42"/>
    </row>
    <row r="990" spans="1:39" x14ac:dyDescent="0.25">
      <c r="A990" s="38" t="s">
        <v>1341</v>
      </c>
      <c r="B990" s="42"/>
      <c r="C990" s="42"/>
      <c r="D990" s="42"/>
      <c r="E990" s="41"/>
      <c r="F990" s="41"/>
      <c r="G990" s="41"/>
      <c r="H990" s="41"/>
      <c r="I990" s="41"/>
      <c r="J990" s="42"/>
      <c r="K990" s="41"/>
      <c r="L990" s="41"/>
      <c r="M990" s="127"/>
      <c r="N990" s="41"/>
      <c r="O990" s="41"/>
      <c r="P990" s="41"/>
      <c r="Q990" s="42"/>
      <c r="R990" s="35"/>
      <c r="S990" s="35"/>
      <c r="T990" s="35"/>
      <c r="U990" s="35"/>
      <c r="V990" s="121"/>
      <c r="W990" s="42"/>
      <c r="X990" s="42"/>
      <c r="Y990" s="42"/>
      <c r="Z990" s="42"/>
      <c r="AA990" s="42"/>
      <c r="AB990" s="42"/>
      <c r="AC990" s="42"/>
      <c r="AD990" s="42"/>
      <c r="AE990" s="42"/>
      <c r="AF990" s="42"/>
      <c r="AG990" s="42"/>
      <c r="AH990" s="42"/>
      <c r="AI990" s="42"/>
      <c r="AJ990" s="42"/>
      <c r="AK990" s="42"/>
      <c r="AL990" s="42"/>
      <c r="AM990" s="42"/>
    </row>
    <row r="991" spans="1:39" x14ac:dyDescent="0.25">
      <c r="A991" s="38" t="s">
        <v>1342</v>
      </c>
      <c r="B991" s="42"/>
      <c r="C991" s="42"/>
      <c r="D991" s="42"/>
      <c r="E991" s="41"/>
      <c r="F991" s="41"/>
      <c r="G991" s="41"/>
      <c r="H991" s="41"/>
      <c r="I991" s="41"/>
      <c r="J991" s="42"/>
      <c r="K991" s="41"/>
      <c r="L991" s="41"/>
      <c r="M991" s="127"/>
      <c r="N991" s="41"/>
      <c r="O991" s="41"/>
      <c r="P991" s="41"/>
      <c r="Q991" s="42"/>
      <c r="R991" s="35"/>
      <c r="S991" s="35"/>
      <c r="T991" s="35"/>
      <c r="U991" s="35"/>
      <c r="V991" s="121"/>
      <c r="W991" s="42"/>
      <c r="X991" s="42"/>
      <c r="Y991" s="42"/>
      <c r="Z991" s="42"/>
      <c r="AA991" s="42"/>
      <c r="AB991" s="42"/>
      <c r="AC991" s="42"/>
      <c r="AD991" s="42"/>
      <c r="AE991" s="42"/>
      <c r="AF991" s="42"/>
      <c r="AG991" s="42"/>
      <c r="AH991" s="42"/>
      <c r="AI991" s="42"/>
      <c r="AJ991" s="42"/>
      <c r="AK991" s="42"/>
      <c r="AL991" s="42"/>
      <c r="AM991" s="42"/>
    </row>
    <row r="992" spans="1:39" x14ac:dyDescent="0.25">
      <c r="A992" s="38" t="s">
        <v>1343</v>
      </c>
      <c r="B992" s="42"/>
      <c r="C992" s="42"/>
      <c r="D992" s="42"/>
      <c r="E992" s="41"/>
      <c r="F992" s="41"/>
      <c r="G992" s="41"/>
      <c r="H992" s="41"/>
      <c r="I992" s="41"/>
      <c r="J992" s="42"/>
      <c r="K992" s="41"/>
      <c r="L992" s="41"/>
      <c r="M992" s="127"/>
      <c r="N992" s="41"/>
      <c r="O992" s="41"/>
      <c r="P992" s="41"/>
      <c r="Q992" s="42"/>
      <c r="R992" s="35"/>
      <c r="S992" s="35"/>
      <c r="T992" s="35"/>
      <c r="U992" s="35"/>
      <c r="V992" s="121"/>
      <c r="W992" s="42"/>
      <c r="X992" s="42"/>
      <c r="Y992" s="42"/>
      <c r="Z992" s="42"/>
      <c r="AA992" s="42"/>
      <c r="AB992" s="42"/>
      <c r="AC992" s="42"/>
      <c r="AD992" s="42"/>
      <c r="AE992" s="42"/>
      <c r="AF992" s="42"/>
      <c r="AG992" s="42"/>
      <c r="AH992" s="42"/>
      <c r="AI992" s="42"/>
      <c r="AJ992" s="42"/>
      <c r="AK992" s="42"/>
      <c r="AL992" s="42"/>
      <c r="AM992" s="42"/>
    </row>
    <row r="993" spans="1:39" x14ac:dyDescent="0.25">
      <c r="A993" s="38" t="s">
        <v>1344</v>
      </c>
      <c r="B993" s="42"/>
      <c r="C993" s="42"/>
      <c r="D993" s="42"/>
      <c r="E993" s="41"/>
      <c r="F993" s="41"/>
      <c r="G993" s="41"/>
      <c r="H993" s="41"/>
      <c r="I993" s="41"/>
      <c r="J993" s="42"/>
      <c r="K993" s="41"/>
      <c r="L993" s="41"/>
      <c r="M993" s="127"/>
      <c r="N993" s="41"/>
      <c r="O993" s="41"/>
      <c r="P993" s="41"/>
      <c r="Q993" s="42"/>
      <c r="R993" s="35"/>
      <c r="S993" s="35"/>
      <c r="T993" s="35"/>
      <c r="U993" s="35"/>
      <c r="V993" s="121"/>
      <c r="W993" s="42"/>
      <c r="X993" s="42"/>
      <c r="Y993" s="42"/>
      <c r="Z993" s="42"/>
      <c r="AA993" s="42"/>
      <c r="AB993" s="42"/>
      <c r="AC993" s="42"/>
      <c r="AD993" s="42"/>
      <c r="AE993" s="42"/>
      <c r="AF993" s="42"/>
      <c r="AG993" s="42"/>
      <c r="AH993" s="42"/>
      <c r="AI993" s="42"/>
      <c r="AJ993" s="42"/>
      <c r="AK993" s="42"/>
      <c r="AL993" s="42"/>
      <c r="AM993" s="42"/>
    </row>
    <row r="994" spans="1:39" x14ac:dyDescent="0.25">
      <c r="A994" s="38" t="s">
        <v>1345</v>
      </c>
      <c r="B994" s="42"/>
      <c r="C994" s="42"/>
      <c r="D994" s="42"/>
      <c r="E994" s="41"/>
      <c r="F994" s="41"/>
      <c r="G994" s="41"/>
      <c r="H994" s="41"/>
      <c r="I994" s="41"/>
      <c r="J994" s="42"/>
      <c r="K994" s="41"/>
      <c r="L994" s="41"/>
      <c r="M994" s="127"/>
      <c r="N994" s="41"/>
      <c r="O994" s="41"/>
      <c r="P994" s="41"/>
      <c r="Q994" s="42"/>
      <c r="R994" s="35"/>
      <c r="S994" s="35"/>
      <c r="T994" s="35"/>
      <c r="U994" s="35"/>
      <c r="V994" s="121"/>
      <c r="W994" s="42"/>
      <c r="X994" s="42"/>
      <c r="Y994" s="42"/>
      <c r="Z994" s="42"/>
      <c r="AA994" s="42"/>
      <c r="AB994" s="42"/>
      <c r="AC994" s="42"/>
      <c r="AD994" s="42"/>
      <c r="AE994" s="42"/>
      <c r="AF994" s="42"/>
      <c r="AG994" s="42"/>
      <c r="AH994" s="42"/>
      <c r="AI994" s="42"/>
      <c r="AJ994" s="42"/>
      <c r="AK994" s="42"/>
      <c r="AL994" s="42"/>
      <c r="AM994" s="42"/>
    </row>
    <row r="995" spans="1:39" x14ac:dyDescent="0.25">
      <c r="A995" s="38" t="s">
        <v>1346</v>
      </c>
      <c r="B995" s="42"/>
      <c r="C995" s="42"/>
      <c r="D995" s="42"/>
      <c r="E995" s="41"/>
      <c r="F995" s="41"/>
      <c r="G995" s="41"/>
      <c r="H995" s="41"/>
      <c r="I995" s="41"/>
      <c r="J995" s="42"/>
      <c r="K995" s="41"/>
      <c r="L995" s="41"/>
      <c r="M995" s="127"/>
      <c r="N995" s="41"/>
      <c r="O995" s="41"/>
      <c r="P995" s="41"/>
      <c r="Q995" s="42"/>
      <c r="R995" s="35"/>
      <c r="S995" s="35"/>
      <c r="T995" s="35"/>
      <c r="U995" s="35"/>
      <c r="V995" s="121"/>
      <c r="W995" s="42"/>
      <c r="X995" s="42"/>
      <c r="Y995" s="42"/>
      <c r="Z995" s="42"/>
      <c r="AA995" s="42"/>
      <c r="AB995" s="42"/>
      <c r="AC995" s="42"/>
      <c r="AD995" s="42"/>
      <c r="AE995" s="42"/>
      <c r="AF995" s="42"/>
      <c r="AG995" s="42"/>
      <c r="AH995" s="42"/>
      <c r="AI995" s="42"/>
      <c r="AJ995" s="42"/>
      <c r="AK995" s="42"/>
      <c r="AL995" s="42"/>
      <c r="AM995" s="42"/>
    </row>
    <row r="996" spans="1:39" x14ac:dyDescent="0.25">
      <c r="A996" s="38" t="s">
        <v>1347</v>
      </c>
      <c r="B996" s="42"/>
      <c r="C996" s="42"/>
      <c r="D996" s="42"/>
      <c r="E996" s="41"/>
      <c r="F996" s="41"/>
      <c r="G996" s="41"/>
      <c r="H996" s="41"/>
      <c r="I996" s="41"/>
      <c r="J996" s="42"/>
      <c r="K996" s="41"/>
      <c r="L996" s="41"/>
      <c r="M996" s="127"/>
      <c r="N996" s="41"/>
      <c r="O996" s="41"/>
      <c r="P996" s="41"/>
      <c r="Q996" s="42"/>
      <c r="R996" s="35"/>
      <c r="S996" s="35"/>
      <c r="T996" s="35"/>
      <c r="U996" s="35"/>
      <c r="V996" s="121"/>
      <c r="W996" s="42"/>
      <c r="X996" s="42"/>
      <c r="Y996" s="42"/>
      <c r="Z996" s="42"/>
      <c r="AA996" s="42"/>
      <c r="AB996" s="42"/>
      <c r="AC996" s="42"/>
      <c r="AD996" s="42"/>
      <c r="AE996" s="42"/>
      <c r="AF996" s="42"/>
      <c r="AG996" s="42"/>
      <c r="AH996" s="42"/>
      <c r="AI996" s="42"/>
      <c r="AJ996" s="42"/>
      <c r="AK996" s="42"/>
      <c r="AL996" s="42"/>
      <c r="AM996" s="42"/>
    </row>
    <row r="997" spans="1:39" x14ac:dyDescent="0.25">
      <c r="A997" s="38" t="s">
        <v>1348</v>
      </c>
      <c r="B997" s="42"/>
      <c r="C997" s="42"/>
      <c r="D997" s="42"/>
      <c r="E997" s="41"/>
      <c r="F997" s="41"/>
      <c r="G997" s="41"/>
      <c r="H997" s="41"/>
      <c r="I997" s="41"/>
      <c r="J997" s="42"/>
      <c r="K997" s="41"/>
      <c r="L997" s="41"/>
      <c r="M997" s="127"/>
      <c r="N997" s="41"/>
      <c r="O997" s="41"/>
      <c r="P997" s="41"/>
      <c r="Q997" s="42"/>
      <c r="R997" s="35"/>
      <c r="S997" s="35"/>
      <c r="T997" s="35"/>
      <c r="U997" s="35"/>
      <c r="V997" s="121"/>
      <c r="W997" s="42"/>
      <c r="X997" s="42"/>
      <c r="Y997" s="42"/>
      <c r="Z997" s="42"/>
      <c r="AA997" s="42"/>
      <c r="AB997" s="42"/>
      <c r="AC997" s="42"/>
      <c r="AD997" s="42"/>
      <c r="AE997" s="42"/>
      <c r="AF997" s="42"/>
      <c r="AG997" s="42"/>
      <c r="AH997" s="42"/>
      <c r="AI997" s="42"/>
      <c r="AJ997" s="42"/>
      <c r="AK997" s="42"/>
      <c r="AL997" s="42"/>
      <c r="AM997" s="42"/>
    </row>
    <row r="998" spans="1:39" x14ac:dyDescent="0.25">
      <c r="A998" s="38" t="s">
        <v>1349</v>
      </c>
      <c r="B998" s="42"/>
      <c r="C998" s="42"/>
      <c r="D998" s="42"/>
      <c r="E998" s="41"/>
      <c r="F998" s="41"/>
      <c r="G998" s="41"/>
      <c r="H998" s="41"/>
      <c r="I998" s="41"/>
      <c r="J998" s="42"/>
      <c r="K998" s="41"/>
      <c r="L998" s="41"/>
      <c r="M998" s="127"/>
      <c r="N998" s="41"/>
      <c r="O998" s="41"/>
      <c r="P998" s="41"/>
      <c r="Q998" s="42"/>
      <c r="R998" s="35"/>
      <c r="S998" s="35"/>
      <c r="T998" s="35"/>
      <c r="U998" s="35"/>
      <c r="V998" s="121"/>
      <c r="W998" s="42"/>
      <c r="X998" s="42"/>
      <c r="Y998" s="42"/>
      <c r="Z998" s="42"/>
      <c r="AA998" s="42"/>
      <c r="AB998" s="42"/>
      <c r="AC998" s="42"/>
      <c r="AD998" s="42"/>
      <c r="AE998" s="42"/>
      <c r="AF998" s="42"/>
      <c r="AG998" s="42"/>
      <c r="AH998" s="42"/>
      <c r="AI998" s="42"/>
      <c r="AJ998" s="42"/>
      <c r="AK998" s="42"/>
      <c r="AL998" s="42"/>
      <c r="AM998" s="42"/>
    </row>
    <row r="999" spans="1:39" x14ac:dyDescent="0.25">
      <c r="A999" s="38" t="s">
        <v>1350</v>
      </c>
      <c r="B999" s="42"/>
      <c r="C999" s="42"/>
      <c r="D999" s="42"/>
      <c r="E999" s="41"/>
      <c r="F999" s="41"/>
      <c r="G999" s="41"/>
      <c r="H999" s="41"/>
      <c r="I999" s="41"/>
      <c r="J999" s="42"/>
      <c r="K999" s="41"/>
      <c r="L999" s="41"/>
      <c r="M999" s="127"/>
      <c r="N999" s="41"/>
      <c r="O999" s="41"/>
      <c r="P999" s="41"/>
      <c r="Q999" s="42"/>
      <c r="R999" s="35"/>
      <c r="S999" s="35"/>
      <c r="T999" s="35"/>
      <c r="U999" s="35"/>
      <c r="V999" s="121"/>
      <c r="W999" s="42"/>
      <c r="X999" s="42"/>
      <c r="Y999" s="42"/>
      <c r="Z999" s="42"/>
      <c r="AA999" s="42"/>
      <c r="AB999" s="42"/>
      <c r="AC999" s="42"/>
      <c r="AD999" s="42"/>
      <c r="AE999" s="42"/>
      <c r="AF999" s="42"/>
      <c r="AG999" s="42"/>
      <c r="AH999" s="42"/>
      <c r="AI999" s="42"/>
      <c r="AJ999" s="42"/>
      <c r="AK999" s="42"/>
      <c r="AL999" s="42"/>
      <c r="AM999" s="42"/>
    </row>
    <row r="1000" spans="1:39" x14ac:dyDescent="0.25">
      <c r="A1000" s="38" t="s">
        <v>1351</v>
      </c>
      <c r="B1000" s="42"/>
      <c r="C1000" s="42"/>
      <c r="D1000" s="42"/>
      <c r="E1000" s="41"/>
      <c r="F1000" s="41"/>
      <c r="G1000" s="41"/>
      <c r="H1000" s="41"/>
      <c r="I1000" s="41"/>
      <c r="J1000" s="42"/>
      <c r="K1000" s="41"/>
      <c r="L1000" s="41"/>
      <c r="M1000" s="127"/>
      <c r="N1000" s="41"/>
      <c r="O1000" s="41"/>
      <c r="P1000" s="41"/>
      <c r="Q1000" s="42"/>
      <c r="R1000" s="35"/>
      <c r="S1000" s="35"/>
      <c r="T1000" s="35"/>
      <c r="U1000" s="35"/>
      <c r="V1000" s="121"/>
      <c r="W1000" s="42"/>
      <c r="X1000" s="42"/>
      <c r="Y1000" s="42"/>
      <c r="Z1000" s="42"/>
      <c r="AA1000" s="42"/>
      <c r="AB1000" s="42"/>
      <c r="AC1000" s="42"/>
      <c r="AD1000" s="42"/>
      <c r="AE1000" s="42"/>
      <c r="AF1000" s="42"/>
      <c r="AG1000" s="42"/>
      <c r="AH1000" s="42"/>
      <c r="AI1000" s="42"/>
      <c r="AJ1000" s="42"/>
      <c r="AK1000" s="42"/>
      <c r="AL1000" s="42"/>
      <c r="AM1000" s="42"/>
    </row>
    <row r="1001" spans="1:39" x14ac:dyDescent="0.25">
      <c r="A1001" s="38" t="s">
        <v>1352</v>
      </c>
      <c r="B1001" s="42"/>
      <c r="C1001" s="42"/>
      <c r="D1001" s="42"/>
      <c r="E1001" s="41"/>
      <c r="F1001" s="41"/>
      <c r="G1001" s="41"/>
      <c r="H1001" s="41"/>
      <c r="I1001" s="41"/>
      <c r="J1001" s="42"/>
      <c r="K1001" s="41"/>
      <c r="L1001" s="41"/>
      <c r="M1001" s="127"/>
      <c r="N1001" s="41"/>
      <c r="O1001" s="41"/>
      <c r="P1001" s="41"/>
      <c r="Q1001" s="42"/>
      <c r="R1001" s="35"/>
      <c r="S1001" s="35"/>
      <c r="T1001" s="35"/>
      <c r="U1001" s="35"/>
      <c r="V1001" s="121"/>
      <c r="W1001" s="42"/>
      <c r="X1001" s="42"/>
      <c r="Y1001" s="42"/>
      <c r="Z1001" s="42"/>
      <c r="AA1001" s="42"/>
      <c r="AB1001" s="42"/>
      <c r="AC1001" s="42"/>
      <c r="AD1001" s="42"/>
      <c r="AE1001" s="42"/>
      <c r="AF1001" s="42"/>
      <c r="AG1001" s="42"/>
      <c r="AH1001" s="42"/>
      <c r="AI1001" s="42"/>
      <c r="AJ1001" s="42"/>
      <c r="AK1001" s="42"/>
      <c r="AL1001" s="42"/>
      <c r="AM1001" s="42"/>
    </row>
    <row r="1002" spans="1:39" x14ac:dyDescent="0.25">
      <c r="A1002" s="38" t="s">
        <v>1353</v>
      </c>
      <c r="B1002" s="42"/>
      <c r="C1002" s="42"/>
      <c r="D1002" s="42"/>
      <c r="E1002" s="41"/>
      <c r="F1002" s="41"/>
      <c r="G1002" s="41"/>
      <c r="H1002" s="41"/>
      <c r="I1002" s="41"/>
      <c r="J1002" s="42"/>
      <c r="K1002" s="41"/>
      <c r="L1002" s="41"/>
      <c r="M1002" s="127"/>
      <c r="N1002" s="41"/>
      <c r="O1002" s="41"/>
      <c r="P1002" s="41"/>
      <c r="Q1002" s="42"/>
      <c r="R1002" s="35"/>
      <c r="S1002" s="35"/>
      <c r="T1002" s="35"/>
      <c r="U1002" s="35"/>
      <c r="V1002" s="121"/>
      <c r="W1002" s="42"/>
      <c r="X1002" s="42"/>
      <c r="Y1002" s="42"/>
      <c r="Z1002" s="42"/>
      <c r="AA1002" s="42"/>
      <c r="AB1002" s="42"/>
      <c r="AC1002" s="42"/>
      <c r="AD1002" s="42"/>
      <c r="AE1002" s="42"/>
      <c r="AF1002" s="42"/>
      <c r="AG1002" s="42"/>
      <c r="AH1002" s="42"/>
      <c r="AI1002" s="42"/>
      <c r="AJ1002" s="42"/>
      <c r="AK1002" s="42"/>
      <c r="AL1002" s="42"/>
      <c r="AM1002" s="42"/>
    </row>
    <row r="1003" spans="1:39" x14ac:dyDescent="0.25">
      <c r="A1003" s="38" t="s">
        <v>1354</v>
      </c>
      <c r="B1003" s="42"/>
      <c r="C1003" s="42"/>
      <c r="D1003" s="42"/>
      <c r="E1003" s="41"/>
      <c r="F1003" s="41"/>
      <c r="G1003" s="41"/>
      <c r="H1003" s="41"/>
      <c r="I1003" s="41"/>
      <c r="J1003" s="42"/>
      <c r="K1003" s="41"/>
      <c r="L1003" s="41"/>
      <c r="M1003" s="127"/>
      <c r="N1003" s="41"/>
      <c r="O1003" s="41"/>
      <c r="P1003" s="41"/>
      <c r="Q1003" s="42"/>
      <c r="R1003" s="35"/>
      <c r="S1003" s="35"/>
      <c r="T1003" s="35"/>
      <c r="U1003" s="35"/>
      <c r="V1003" s="121"/>
      <c r="W1003" s="42"/>
      <c r="X1003" s="42"/>
      <c r="Y1003" s="42"/>
      <c r="Z1003" s="42"/>
      <c r="AA1003" s="42"/>
      <c r="AB1003" s="42"/>
      <c r="AC1003" s="42"/>
      <c r="AD1003" s="42"/>
      <c r="AE1003" s="42"/>
      <c r="AF1003" s="42"/>
      <c r="AG1003" s="42"/>
      <c r="AH1003" s="42"/>
      <c r="AI1003" s="42"/>
      <c r="AJ1003" s="42"/>
      <c r="AK1003" s="42"/>
      <c r="AL1003" s="42"/>
      <c r="AM1003" s="42"/>
    </row>
    <row r="1004" spans="1:39" x14ac:dyDescent="0.25">
      <c r="A1004" s="38" t="s">
        <v>1355</v>
      </c>
      <c r="B1004" s="42"/>
      <c r="C1004" s="42"/>
      <c r="D1004" s="42"/>
      <c r="E1004" s="41"/>
      <c r="F1004" s="41"/>
      <c r="G1004" s="41"/>
      <c r="H1004" s="41"/>
      <c r="I1004" s="41"/>
      <c r="J1004" s="42"/>
      <c r="K1004" s="41"/>
      <c r="L1004" s="41"/>
      <c r="M1004" s="127"/>
      <c r="N1004" s="41"/>
      <c r="O1004" s="41"/>
      <c r="P1004" s="41"/>
      <c r="Q1004" s="42"/>
      <c r="R1004" s="35"/>
      <c r="S1004" s="35"/>
      <c r="T1004" s="35"/>
      <c r="U1004" s="35"/>
      <c r="V1004" s="121"/>
      <c r="W1004" s="42"/>
      <c r="X1004" s="42"/>
      <c r="Y1004" s="42"/>
      <c r="Z1004" s="42"/>
      <c r="AA1004" s="42"/>
      <c r="AB1004" s="42"/>
      <c r="AC1004" s="42"/>
      <c r="AD1004" s="42"/>
      <c r="AE1004" s="42"/>
      <c r="AF1004" s="42"/>
      <c r="AG1004" s="42"/>
      <c r="AH1004" s="42"/>
      <c r="AI1004" s="42"/>
      <c r="AJ1004" s="42"/>
      <c r="AK1004" s="42"/>
      <c r="AL1004" s="42"/>
      <c r="AM1004" s="42"/>
    </row>
    <row r="1005" spans="1:39" x14ac:dyDescent="0.25">
      <c r="A1005" s="38" t="s">
        <v>1356</v>
      </c>
      <c r="B1005" s="42"/>
      <c r="C1005" s="42"/>
      <c r="D1005" s="42"/>
      <c r="E1005" s="41"/>
      <c r="F1005" s="41"/>
      <c r="G1005" s="41"/>
      <c r="H1005" s="41"/>
      <c r="I1005" s="41"/>
      <c r="J1005" s="42"/>
      <c r="K1005" s="41"/>
      <c r="L1005" s="41"/>
      <c r="M1005" s="127"/>
      <c r="N1005" s="41"/>
      <c r="O1005" s="41"/>
      <c r="P1005" s="41"/>
      <c r="Q1005" s="42"/>
      <c r="R1005" s="35"/>
      <c r="S1005" s="35"/>
      <c r="T1005" s="35"/>
      <c r="U1005" s="35"/>
      <c r="V1005" s="121"/>
      <c r="W1005" s="42"/>
      <c r="X1005" s="42"/>
      <c r="Y1005" s="42"/>
      <c r="Z1005" s="42"/>
      <c r="AA1005" s="42"/>
      <c r="AB1005" s="42"/>
      <c r="AC1005" s="42"/>
      <c r="AD1005" s="42"/>
      <c r="AE1005" s="42"/>
      <c r="AF1005" s="42"/>
      <c r="AG1005" s="42"/>
      <c r="AH1005" s="42"/>
      <c r="AI1005" s="42"/>
      <c r="AJ1005" s="42"/>
      <c r="AK1005" s="42"/>
      <c r="AL1005" s="42"/>
      <c r="AM1005" s="42"/>
    </row>
    <row r="1006" spans="1:39" x14ac:dyDescent="0.25">
      <c r="A1006" s="38" t="s">
        <v>1357</v>
      </c>
      <c r="B1006" s="42"/>
      <c r="C1006" s="42"/>
      <c r="D1006" s="42"/>
      <c r="E1006" s="41"/>
      <c r="F1006" s="41"/>
      <c r="G1006" s="41"/>
      <c r="H1006" s="41"/>
      <c r="I1006" s="41"/>
      <c r="J1006" s="42"/>
      <c r="K1006" s="41"/>
      <c r="L1006" s="41"/>
      <c r="M1006" s="127"/>
      <c r="N1006" s="41"/>
      <c r="O1006" s="41"/>
      <c r="P1006" s="41"/>
      <c r="Q1006" s="42"/>
      <c r="R1006" s="35"/>
      <c r="S1006" s="35"/>
      <c r="T1006" s="35"/>
      <c r="U1006" s="35"/>
      <c r="V1006" s="121"/>
      <c r="W1006" s="42"/>
      <c r="X1006" s="42"/>
      <c r="Y1006" s="42"/>
      <c r="Z1006" s="42"/>
      <c r="AA1006" s="42"/>
      <c r="AB1006" s="42"/>
      <c r="AC1006" s="42"/>
      <c r="AD1006" s="42"/>
      <c r="AE1006" s="42"/>
      <c r="AF1006" s="42"/>
      <c r="AG1006" s="42"/>
      <c r="AH1006" s="42"/>
      <c r="AI1006" s="42"/>
      <c r="AJ1006" s="42"/>
      <c r="AK1006" s="42"/>
      <c r="AL1006" s="42"/>
      <c r="AM1006" s="42"/>
    </row>
    <row r="1007" spans="1:39" x14ac:dyDescent="0.25">
      <c r="A1007" s="38" t="s">
        <v>1358</v>
      </c>
      <c r="B1007" s="42"/>
      <c r="C1007" s="42"/>
      <c r="D1007" s="42"/>
      <c r="E1007" s="41"/>
      <c r="F1007" s="41"/>
      <c r="G1007" s="41"/>
      <c r="H1007" s="41"/>
      <c r="I1007" s="41"/>
      <c r="J1007" s="42"/>
      <c r="K1007" s="41"/>
      <c r="L1007" s="41"/>
      <c r="M1007" s="127"/>
      <c r="N1007" s="41"/>
      <c r="O1007" s="41"/>
      <c r="P1007" s="41"/>
      <c r="Q1007" s="42"/>
      <c r="R1007" s="35"/>
      <c r="S1007" s="35"/>
      <c r="T1007" s="35"/>
      <c r="U1007" s="35"/>
      <c r="V1007" s="121"/>
      <c r="W1007" s="42"/>
      <c r="X1007" s="42"/>
      <c r="Y1007" s="42"/>
      <c r="Z1007" s="42"/>
      <c r="AA1007" s="42"/>
      <c r="AB1007" s="42"/>
      <c r="AC1007" s="42"/>
      <c r="AD1007" s="42"/>
      <c r="AE1007" s="42"/>
      <c r="AF1007" s="42"/>
      <c r="AG1007" s="42"/>
      <c r="AH1007" s="42"/>
      <c r="AI1007" s="42"/>
      <c r="AJ1007" s="42"/>
      <c r="AK1007" s="42"/>
      <c r="AL1007" s="42"/>
      <c r="AM1007" s="42"/>
    </row>
    <row r="1008" spans="1:39" x14ac:dyDescent="0.25">
      <c r="A1008" s="38" t="s">
        <v>1359</v>
      </c>
      <c r="B1008" s="42"/>
      <c r="C1008" s="42"/>
      <c r="D1008" s="42"/>
      <c r="E1008" s="41"/>
      <c r="F1008" s="41"/>
      <c r="G1008" s="41"/>
      <c r="H1008" s="41"/>
      <c r="I1008" s="41"/>
      <c r="J1008" s="42"/>
      <c r="K1008" s="41"/>
      <c r="L1008" s="41"/>
      <c r="M1008" s="127"/>
      <c r="N1008" s="41"/>
      <c r="O1008" s="41"/>
      <c r="P1008" s="41"/>
      <c r="Q1008" s="42"/>
      <c r="R1008" s="35"/>
      <c r="S1008" s="35"/>
      <c r="T1008" s="35"/>
      <c r="U1008" s="35"/>
      <c r="V1008" s="121"/>
      <c r="W1008" s="42"/>
      <c r="X1008" s="42"/>
      <c r="Y1008" s="42"/>
      <c r="Z1008" s="42"/>
      <c r="AA1008" s="42"/>
      <c r="AB1008" s="42"/>
      <c r="AC1008" s="42"/>
      <c r="AD1008" s="42"/>
      <c r="AE1008" s="42"/>
      <c r="AF1008" s="42"/>
      <c r="AG1008" s="42"/>
      <c r="AH1008" s="42"/>
      <c r="AI1008" s="42"/>
      <c r="AJ1008" s="42"/>
      <c r="AK1008" s="42"/>
      <c r="AL1008" s="42"/>
      <c r="AM1008" s="42"/>
    </row>
    <row r="1009" spans="1:39" x14ac:dyDescent="0.25">
      <c r="A1009" s="38" t="s">
        <v>1360</v>
      </c>
      <c r="B1009" s="42"/>
      <c r="C1009" s="42"/>
      <c r="D1009" s="42"/>
      <c r="E1009" s="41"/>
      <c r="F1009" s="41"/>
      <c r="G1009" s="41"/>
      <c r="H1009" s="41"/>
      <c r="I1009" s="41"/>
      <c r="J1009" s="42"/>
      <c r="K1009" s="41"/>
      <c r="L1009" s="41"/>
      <c r="M1009" s="127"/>
      <c r="N1009" s="41"/>
      <c r="O1009" s="41"/>
      <c r="P1009" s="41"/>
      <c r="Q1009" s="42"/>
      <c r="R1009" s="35"/>
      <c r="S1009" s="35"/>
      <c r="T1009" s="35"/>
      <c r="U1009" s="35"/>
      <c r="V1009" s="121"/>
      <c r="W1009" s="42"/>
      <c r="X1009" s="42"/>
      <c r="Y1009" s="42"/>
      <c r="Z1009" s="42"/>
      <c r="AA1009" s="42"/>
      <c r="AB1009" s="42"/>
      <c r="AC1009" s="42"/>
      <c r="AD1009" s="42"/>
      <c r="AE1009" s="42"/>
      <c r="AF1009" s="42"/>
      <c r="AG1009" s="42"/>
      <c r="AH1009" s="42"/>
      <c r="AI1009" s="42"/>
      <c r="AJ1009" s="42"/>
      <c r="AK1009" s="42"/>
      <c r="AL1009" s="42"/>
      <c r="AM1009" s="42"/>
    </row>
    <row r="1010" spans="1:39" x14ac:dyDescent="0.25">
      <c r="A1010" s="38" t="s">
        <v>1361</v>
      </c>
      <c r="B1010" s="42"/>
      <c r="C1010" s="42"/>
      <c r="D1010" s="42"/>
      <c r="E1010" s="41"/>
      <c r="F1010" s="41"/>
      <c r="G1010" s="41"/>
      <c r="H1010" s="41"/>
      <c r="I1010" s="41"/>
      <c r="J1010" s="42"/>
      <c r="K1010" s="41"/>
      <c r="L1010" s="41"/>
      <c r="M1010" s="127"/>
      <c r="N1010" s="41"/>
      <c r="O1010" s="41"/>
      <c r="P1010" s="41"/>
      <c r="Q1010" s="42"/>
      <c r="R1010" s="35"/>
      <c r="S1010" s="35"/>
      <c r="T1010" s="35"/>
      <c r="U1010" s="35"/>
      <c r="V1010" s="121"/>
      <c r="W1010" s="42"/>
      <c r="X1010" s="42"/>
      <c r="Y1010" s="42"/>
      <c r="Z1010" s="42"/>
      <c r="AA1010" s="42"/>
      <c r="AB1010" s="42"/>
      <c r="AC1010" s="42"/>
      <c r="AD1010" s="42"/>
      <c r="AE1010" s="42"/>
      <c r="AF1010" s="42"/>
      <c r="AG1010" s="42"/>
      <c r="AH1010" s="42"/>
      <c r="AI1010" s="42"/>
      <c r="AJ1010" s="42"/>
      <c r="AK1010" s="42"/>
      <c r="AL1010" s="42"/>
      <c r="AM1010" s="42"/>
    </row>
    <row r="1011" spans="1:39" x14ac:dyDescent="0.25">
      <c r="A1011" s="38" t="s">
        <v>1362</v>
      </c>
      <c r="B1011" s="42"/>
      <c r="C1011" s="42"/>
      <c r="D1011" s="42"/>
      <c r="E1011" s="41"/>
      <c r="F1011" s="41"/>
      <c r="G1011" s="41"/>
      <c r="H1011" s="41"/>
      <c r="I1011" s="41"/>
      <c r="J1011" s="42"/>
      <c r="K1011" s="41"/>
      <c r="L1011" s="41"/>
      <c r="M1011" s="127"/>
      <c r="N1011" s="41"/>
      <c r="O1011" s="41"/>
      <c r="P1011" s="41"/>
      <c r="Q1011" s="42"/>
      <c r="R1011" s="35"/>
      <c r="S1011" s="35"/>
      <c r="T1011" s="35"/>
      <c r="U1011" s="35"/>
      <c r="V1011" s="121"/>
      <c r="W1011" s="42"/>
      <c r="X1011" s="42"/>
      <c r="Y1011" s="42"/>
      <c r="Z1011" s="42"/>
      <c r="AA1011" s="42"/>
      <c r="AB1011" s="42"/>
      <c r="AC1011" s="42"/>
      <c r="AD1011" s="42"/>
      <c r="AE1011" s="42"/>
      <c r="AF1011" s="42"/>
      <c r="AG1011" s="42"/>
      <c r="AH1011" s="42"/>
      <c r="AI1011" s="42"/>
      <c r="AJ1011" s="42"/>
      <c r="AK1011" s="42"/>
      <c r="AL1011" s="42"/>
      <c r="AM1011" s="42"/>
    </row>
    <row r="1012" spans="1:39" x14ac:dyDescent="0.25">
      <c r="A1012" s="38" t="s">
        <v>1363</v>
      </c>
      <c r="B1012" s="42"/>
      <c r="C1012" s="42"/>
      <c r="D1012" s="42"/>
      <c r="E1012" s="41"/>
      <c r="F1012" s="41"/>
      <c r="G1012" s="41"/>
      <c r="H1012" s="41"/>
      <c r="I1012" s="41"/>
      <c r="J1012" s="42"/>
      <c r="K1012" s="41"/>
      <c r="L1012" s="41"/>
      <c r="M1012" s="127"/>
      <c r="N1012" s="41"/>
      <c r="O1012" s="41"/>
      <c r="P1012" s="41"/>
      <c r="Q1012" s="42"/>
      <c r="R1012" s="35"/>
      <c r="S1012" s="35"/>
      <c r="T1012" s="35"/>
      <c r="U1012" s="35"/>
      <c r="V1012" s="121"/>
      <c r="W1012" s="42"/>
      <c r="X1012" s="42"/>
      <c r="Y1012" s="42"/>
      <c r="Z1012" s="42"/>
      <c r="AA1012" s="42"/>
      <c r="AB1012" s="42"/>
      <c r="AC1012" s="42"/>
      <c r="AD1012" s="42"/>
      <c r="AE1012" s="42"/>
      <c r="AF1012" s="42"/>
      <c r="AG1012" s="42"/>
      <c r="AH1012" s="42"/>
      <c r="AI1012" s="42"/>
      <c r="AJ1012" s="42"/>
      <c r="AK1012" s="42"/>
      <c r="AL1012" s="42"/>
      <c r="AM1012" s="42"/>
    </row>
    <row r="1013" spans="1:39" x14ac:dyDescent="0.25">
      <c r="A1013" s="38" t="s">
        <v>1364</v>
      </c>
      <c r="B1013" s="42"/>
      <c r="C1013" s="42"/>
      <c r="D1013" s="42"/>
      <c r="E1013" s="41"/>
      <c r="F1013" s="41"/>
      <c r="G1013" s="41"/>
      <c r="H1013" s="41"/>
      <c r="I1013" s="41"/>
      <c r="J1013" s="42"/>
      <c r="K1013" s="41"/>
      <c r="L1013" s="41"/>
      <c r="M1013" s="127"/>
      <c r="N1013" s="41"/>
      <c r="O1013" s="41"/>
      <c r="P1013" s="41"/>
      <c r="Q1013" s="42"/>
      <c r="R1013" s="35"/>
      <c r="S1013" s="35"/>
      <c r="T1013" s="35"/>
      <c r="U1013" s="35"/>
      <c r="V1013" s="121"/>
      <c r="W1013" s="42"/>
      <c r="X1013" s="42"/>
      <c r="Y1013" s="42"/>
      <c r="Z1013" s="42"/>
      <c r="AA1013" s="42"/>
      <c r="AB1013" s="42"/>
      <c r="AC1013" s="42"/>
      <c r="AD1013" s="42"/>
      <c r="AE1013" s="42"/>
      <c r="AF1013" s="42"/>
      <c r="AG1013" s="42"/>
      <c r="AH1013" s="42"/>
      <c r="AI1013" s="42"/>
      <c r="AJ1013" s="42"/>
      <c r="AK1013" s="42"/>
      <c r="AL1013" s="42"/>
      <c r="AM1013" s="42"/>
    </row>
    <row r="1014" spans="1:39" x14ac:dyDescent="0.25">
      <c r="A1014" s="38" t="s">
        <v>1365</v>
      </c>
      <c r="B1014" s="42"/>
      <c r="C1014" s="42"/>
      <c r="D1014" s="42"/>
      <c r="E1014" s="41"/>
      <c r="F1014" s="41"/>
      <c r="G1014" s="41"/>
      <c r="H1014" s="41"/>
      <c r="I1014" s="41"/>
      <c r="J1014" s="42"/>
      <c r="K1014" s="41"/>
      <c r="L1014" s="41"/>
      <c r="M1014" s="127"/>
      <c r="N1014" s="41"/>
      <c r="O1014" s="41"/>
      <c r="P1014" s="41"/>
      <c r="Q1014" s="42"/>
      <c r="R1014" s="35"/>
      <c r="S1014" s="35"/>
      <c r="T1014" s="35"/>
      <c r="U1014" s="35"/>
      <c r="V1014" s="121"/>
      <c r="W1014" s="42"/>
      <c r="X1014" s="42"/>
      <c r="Y1014" s="42"/>
      <c r="Z1014" s="42"/>
      <c r="AA1014" s="42"/>
      <c r="AB1014" s="42"/>
      <c r="AC1014" s="42"/>
      <c r="AD1014" s="42"/>
      <c r="AE1014" s="42"/>
      <c r="AF1014" s="42"/>
      <c r="AG1014" s="42"/>
      <c r="AH1014" s="42"/>
      <c r="AI1014" s="42"/>
      <c r="AJ1014" s="42"/>
      <c r="AK1014" s="42"/>
      <c r="AL1014" s="42"/>
      <c r="AM1014" s="42"/>
    </row>
    <row r="1015" spans="1:39" x14ac:dyDescent="0.25">
      <c r="A1015" s="38" t="s">
        <v>1366</v>
      </c>
      <c r="B1015" s="42"/>
      <c r="C1015" s="42"/>
      <c r="D1015" s="42"/>
      <c r="E1015" s="41"/>
      <c r="F1015" s="41"/>
      <c r="G1015" s="41"/>
      <c r="H1015" s="41"/>
      <c r="I1015" s="41"/>
      <c r="J1015" s="42"/>
      <c r="K1015" s="41"/>
      <c r="L1015" s="41"/>
      <c r="M1015" s="127"/>
      <c r="N1015" s="41"/>
      <c r="O1015" s="41"/>
      <c r="P1015" s="41"/>
      <c r="Q1015" s="42"/>
      <c r="R1015" s="35"/>
      <c r="S1015" s="35"/>
      <c r="T1015" s="35"/>
      <c r="U1015" s="35"/>
      <c r="V1015" s="121"/>
      <c r="W1015" s="42"/>
      <c r="X1015" s="42"/>
      <c r="Y1015" s="42"/>
      <c r="Z1015" s="42"/>
      <c r="AA1015" s="42"/>
      <c r="AB1015" s="42"/>
      <c r="AC1015" s="42"/>
      <c r="AD1015" s="42"/>
      <c r="AE1015" s="42"/>
      <c r="AF1015" s="42"/>
      <c r="AG1015" s="42"/>
      <c r="AH1015" s="42"/>
      <c r="AI1015" s="42"/>
      <c r="AJ1015" s="42"/>
      <c r="AK1015" s="42"/>
      <c r="AL1015" s="42"/>
      <c r="AM1015" s="42"/>
    </row>
    <row r="1016" spans="1:39" x14ac:dyDescent="0.25">
      <c r="A1016" s="38" t="s">
        <v>1367</v>
      </c>
      <c r="B1016" s="42"/>
      <c r="C1016" s="42"/>
      <c r="D1016" s="42"/>
      <c r="E1016" s="41"/>
      <c r="F1016" s="41"/>
      <c r="G1016" s="41"/>
      <c r="H1016" s="41"/>
      <c r="I1016" s="41"/>
      <c r="J1016" s="42"/>
      <c r="K1016" s="41"/>
      <c r="L1016" s="41"/>
      <c r="M1016" s="127"/>
      <c r="N1016" s="41"/>
      <c r="O1016" s="41"/>
      <c r="P1016" s="41"/>
      <c r="Q1016" s="42"/>
      <c r="R1016" s="35"/>
      <c r="S1016" s="35"/>
      <c r="T1016" s="35"/>
      <c r="U1016" s="35"/>
      <c r="V1016" s="121"/>
      <c r="W1016" s="42"/>
      <c r="X1016" s="42"/>
      <c r="Y1016" s="42"/>
      <c r="Z1016" s="42"/>
      <c r="AA1016" s="42"/>
      <c r="AB1016" s="42"/>
      <c r="AC1016" s="42"/>
      <c r="AD1016" s="42"/>
      <c r="AE1016" s="42"/>
      <c r="AF1016" s="42"/>
      <c r="AG1016" s="42"/>
      <c r="AH1016" s="42"/>
      <c r="AI1016" s="42"/>
      <c r="AJ1016" s="42"/>
      <c r="AK1016" s="42"/>
      <c r="AL1016" s="42"/>
      <c r="AM1016" s="42"/>
    </row>
    <row r="1017" spans="1:39" x14ac:dyDescent="0.25">
      <c r="A1017" s="38" t="s">
        <v>1368</v>
      </c>
      <c r="B1017" s="42"/>
      <c r="C1017" s="42"/>
      <c r="D1017" s="42"/>
      <c r="E1017" s="41"/>
      <c r="F1017" s="41"/>
      <c r="G1017" s="41"/>
      <c r="H1017" s="41"/>
      <c r="I1017" s="41"/>
      <c r="J1017" s="42"/>
      <c r="K1017" s="41"/>
      <c r="L1017" s="41"/>
      <c r="M1017" s="127"/>
      <c r="N1017" s="41"/>
      <c r="O1017" s="41"/>
      <c r="P1017" s="41"/>
      <c r="Q1017" s="42"/>
      <c r="R1017" s="35"/>
      <c r="S1017" s="35"/>
      <c r="T1017" s="35"/>
      <c r="U1017" s="35"/>
      <c r="V1017" s="121"/>
      <c r="W1017" s="42"/>
      <c r="X1017" s="42"/>
      <c r="Y1017" s="42"/>
      <c r="Z1017" s="42"/>
      <c r="AA1017" s="42"/>
      <c r="AB1017" s="42"/>
      <c r="AC1017" s="42"/>
      <c r="AD1017" s="42"/>
      <c r="AE1017" s="42"/>
      <c r="AF1017" s="42"/>
      <c r="AG1017" s="42"/>
      <c r="AH1017" s="42"/>
      <c r="AI1017" s="42"/>
      <c r="AJ1017" s="42"/>
      <c r="AK1017" s="42"/>
      <c r="AL1017" s="42"/>
      <c r="AM1017" s="42"/>
    </row>
    <row r="1018" spans="1:39" x14ac:dyDescent="0.25">
      <c r="A1018" s="38" t="s">
        <v>1369</v>
      </c>
      <c r="B1018" s="42"/>
      <c r="C1018" s="42"/>
      <c r="D1018" s="42"/>
      <c r="E1018" s="41"/>
      <c r="F1018" s="41"/>
      <c r="G1018" s="41"/>
      <c r="H1018" s="41"/>
      <c r="I1018" s="41"/>
      <c r="J1018" s="42"/>
      <c r="K1018" s="41"/>
      <c r="L1018" s="41"/>
      <c r="M1018" s="127"/>
      <c r="N1018" s="41"/>
      <c r="O1018" s="41"/>
      <c r="P1018" s="41"/>
      <c r="Q1018" s="42"/>
      <c r="R1018" s="35"/>
      <c r="S1018" s="35"/>
      <c r="T1018" s="35"/>
      <c r="U1018" s="35"/>
      <c r="V1018" s="121"/>
      <c r="W1018" s="42"/>
      <c r="X1018" s="42"/>
      <c r="Y1018" s="42"/>
      <c r="Z1018" s="42"/>
      <c r="AA1018" s="42"/>
      <c r="AB1018" s="42"/>
      <c r="AC1018" s="42"/>
      <c r="AD1018" s="42"/>
      <c r="AE1018" s="42"/>
      <c r="AF1018" s="42"/>
      <c r="AG1018" s="42"/>
      <c r="AH1018" s="42"/>
      <c r="AI1018" s="42"/>
      <c r="AJ1018" s="42"/>
      <c r="AK1018" s="42"/>
      <c r="AL1018" s="42"/>
      <c r="AM1018" s="42"/>
    </row>
    <row r="1019" spans="1:39" x14ac:dyDescent="0.25">
      <c r="A1019" s="38" t="s">
        <v>1370</v>
      </c>
      <c r="B1019" s="42"/>
      <c r="C1019" s="42"/>
      <c r="D1019" s="42"/>
      <c r="E1019" s="41"/>
      <c r="F1019" s="41"/>
      <c r="G1019" s="41"/>
      <c r="H1019" s="41"/>
      <c r="I1019" s="41"/>
      <c r="J1019" s="42"/>
      <c r="K1019" s="41"/>
      <c r="L1019" s="41"/>
      <c r="M1019" s="127"/>
      <c r="N1019" s="41"/>
      <c r="O1019" s="41"/>
      <c r="P1019" s="41"/>
      <c r="Q1019" s="42"/>
      <c r="R1019" s="35"/>
      <c r="S1019" s="35"/>
      <c r="T1019" s="35"/>
      <c r="U1019" s="35"/>
      <c r="V1019" s="121"/>
      <c r="W1019" s="42"/>
      <c r="X1019" s="42"/>
      <c r="Y1019" s="42"/>
      <c r="Z1019" s="42"/>
      <c r="AA1019" s="42"/>
      <c r="AB1019" s="42"/>
      <c r="AC1019" s="42"/>
      <c r="AD1019" s="42"/>
      <c r="AE1019" s="42"/>
      <c r="AF1019" s="42"/>
      <c r="AG1019" s="42"/>
      <c r="AH1019" s="42"/>
      <c r="AI1019" s="42"/>
      <c r="AJ1019" s="42"/>
      <c r="AK1019" s="42"/>
      <c r="AL1019" s="42"/>
      <c r="AM1019" s="42"/>
    </row>
    <row r="1020" spans="1:39" x14ac:dyDescent="0.25">
      <c r="A1020" s="38" t="s">
        <v>1371</v>
      </c>
      <c r="B1020" s="42"/>
      <c r="C1020" s="42"/>
      <c r="D1020" s="42"/>
      <c r="E1020" s="41"/>
      <c r="F1020" s="41"/>
      <c r="G1020" s="41"/>
      <c r="H1020" s="41"/>
      <c r="I1020" s="41"/>
      <c r="J1020" s="42"/>
      <c r="K1020" s="41"/>
      <c r="L1020" s="41"/>
      <c r="M1020" s="127"/>
      <c r="N1020" s="41"/>
      <c r="O1020" s="41"/>
      <c r="P1020" s="41"/>
      <c r="Q1020" s="42"/>
      <c r="R1020" s="35"/>
      <c r="S1020" s="35"/>
      <c r="T1020" s="35"/>
      <c r="U1020" s="35"/>
      <c r="V1020" s="121"/>
      <c r="W1020" s="42"/>
      <c r="X1020" s="42"/>
      <c r="Y1020" s="42"/>
      <c r="Z1020" s="42"/>
      <c r="AA1020" s="42"/>
      <c r="AB1020" s="42"/>
      <c r="AC1020" s="42"/>
      <c r="AD1020" s="42"/>
      <c r="AE1020" s="42"/>
      <c r="AF1020" s="42"/>
      <c r="AG1020" s="42"/>
      <c r="AH1020" s="42"/>
      <c r="AI1020" s="42"/>
      <c r="AJ1020" s="42"/>
      <c r="AK1020" s="42"/>
      <c r="AL1020" s="42"/>
      <c r="AM1020" s="42"/>
    </row>
    <row r="1021" spans="1:39" x14ac:dyDescent="0.25">
      <c r="A1021" s="38" t="s">
        <v>1372</v>
      </c>
      <c r="B1021" s="42"/>
      <c r="C1021" s="42"/>
      <c r="D1021" s="42"/>
      <c r="E1021" s="41"/>
      <c r="F1021" s="41"/>
      <c r="G1021" s="41"/>
      <c r="H1021" s="41"/>
      <c r="I1021" s="41"/>
      <c r="J1021" s="42"/>
      <c r="K1021" s="41"/>
      <c r="L1021" s="41"/>
      <c r="M1021" s="127"/>
      <c r="N1021" s="41"/>
      <c r="O1021" s="41"/>
      <c r="P1021" s="41"/>
      <c r="Q1021" s="42"/>
      <c r="R1021" s="35"/>
      <c r="S1021" s="35"/>
      <c r="T1021" s="35"/>
      <c r="U1021" s="35"/>
      <c r="V1021" s="121"/>
      <c r="W1021" s="42"/>
      <c r="X1021" s="42"/>
      <c r="Y1021" s="42"/>
      <c r="Z1021" s="42"/>
      <c r="AA1021" s="42"/>
      <c r="AB1021" s="42"/>
      <c r="AC1021" s="42"/>
      <c r="AD1021" s="42"/>
      <c r="AE1021" s="42"/>
      <c r="AF1021" s="42"/>
      <c r="AG1021" s="42"/>
      <c r="AH1021" s="42"/>
      <c r="AI1021" s="42"/>
      <c r="AJ1021" s="42"/>
      <c r="AK1021" s="42"/>
      <c r="AL1021" s="42"/>
      <c r="AM1021" s="42"/>
    </row>
    <row r="1022" spans="1:39" x14ac:dyDescent="0.25">
      <c r="A1022" s="38" t="s">
        <v>1373</v>
      </c>
      <c r="B1022" s="42"/>
      <c r="C1022" s="42"/>
      <c r="D1022" s="42"/>
      <c r="E1022" s="41"/>
      <c r="F1022" s="41"/>
      <c r="G1022" s="41"/>
      <c r="H1022" s="41"/>
      <c r="I1022" s="41"/>
      <c r="J1022" s="42"/>
      <c r="K1022" s="41"/>
      <c r="L1022" s="41"/>
      <c r="M1022" s="127"/>
      <c r="N1022" s="41"/>
      <c r="O1022" s="41"/>
      <c r="P1022" s="41"/>
      <c r="Q1022" s="42"/>
      <c r="R1022" s="35"/>
      <c r="S1022" s="35"/>
      <c r="T1022" s="35"/>
      <c r="U1022" s="35"/>
      <c r="V1022" s="121"/>
      <c r="W1022" s="42"/>
      <c r="X1022" s="42"/>
      <c r="Y1022" s="42"/>
      <c r="Z1022" s="42"/>
      <c r="AA1022" s="42"/>
      <c r="AB1022" s="42"/>
      <c r="AC1022" s="42"/>
      <c r="AD1022" s="42"/>
      <c r="AE1022" s="42"/>
      <c r="AF1022" s="42"/>
      <c r="AG1022" s="42"/>
      <c r="AH1022" s="42"/>
      <c r="AI1022" s="42"/>
      <c r="AJ1022" s="42"/>
      <c r="AK1022" s="42"/>
      <c r="AL1022" s="42"/>
      <c r="AM1022" s="42"/>
    </row>
    <row r="1023" spans="1:39" x14ac:dyDescent="0.25">
      <c r="A1023" s="38" t="s">
        <v>1374</v>
      </c>
      <c r="B1023" s="42"/>
      <c r="C1023" s="42"/>
      <c r="D1023" s="42"/>
      <c r="E1023" s="41"/>
      <c r="F1023" s="41"/>
      <c r="G1023" s="41"/>
      <c r="H1023" s="41"/>
      <c r="I1023" s="41"/>
      <c r="J1023" s="42"/>
      <c r="K1023" s="41"/>
      <c r="L1023" s="41"/>
      <c r="M1023" s="127"/>
      <c r="N1023" s="41"/>
      <c r="O1023" s="41"/>
      <c r="P1023" s="41"/>
      <c r="Q1023" s="42"/>
      <c r="R1023" s="35"/>
      <c r="S1023" s="35"/>
      <c r="T1023" s="35"/>
      <c r="U1023" s="35"/>
      <c r="V1023" s="121"/>
      <c r="W1023" s="42"/>
      <c r="X1023" s="42"/>
      <c r="Y1023" s="42"/>
      <c r="Z1023" s="42"/>
      <c r="AA1023" s="42"/>
      <c r="AB1023" s="42"/>
      <c r="AC1023" s="42"/>
      <c r="AD1023" s="42"/>
      <c r="AE1023" s="42"/>
      <c r="AF1023" s="42"/>
      <c r="AG1023" s="42"/>
      <c r="AH1023" s="42"/>
      <c r="AI1023" s="42"/>
      <c r="AJ1023" s="42"/>
      <c r="AK1023" s="42"/>
      <c r="AL1023" s="42"/>
      <c r="AM1023" s="42"/>
    </row>
    <row r="1024" spans="1:39" x14ac:dyDescent="0.25">
      <c r="A1024" s="38" t="s">
        <v>1375</v>
      </c>
      <c r="B1024" s="42"/>
      <c r="C1024" s="42"/>
      <c r="D1024" s="42"/>
      <c r="E1024" s="41"/>
      <c r="F1024" s="41"/>
      <c r="G1024" s="41"/>
      <c r="H1024" s="41"/>
      <c r="I1024" s="41"/>
      <c r="J1024" s="42"/>
      <c r="K1024" s="41"/>
      <c r="L1024" s="41"/>
      <c r="M1024" s="127"/>
      <c r="N1024" s="41"/>
      <c r="O1024" s="41"/>
      <c r="P1024" s="41"/>
      <c r="Q1024" s="42"/>
      <c r="R1024" s="35"/>
      <c r="S1024" s="35"/>
      <c r="T1024" s="35"/>
      <c r="U1024" s="35"/>
      <c r="V1024" s="121"/>
      <c r="W1024" s="42"/>
      <c r="X1024" s="42"/>
      <c r="Y1024" s="42"/>
      <c r="Z1024" s="42"/>
      <c r="AA1024" s="42"/>
      <c r="AB1024" s="42"/>
      <c r="AC1024" s="42"/>
      <c r="AD1024" s="42"/>
      <c r="AE1024" s="42"/>
      <c r="AF1024" s="42"/>
      <c r="AG1024" s="42"/>
      <c r="AH1024" s="42"/>
      <c r="AI1024" s="42"/>
      <c r="AJ1024" s="42"/>
      <c r="AK1024" s="42"/>
      <c r="AL1024" s="42"/>
      <c r="AM1024" s="42"/>
    </row>
    <row r="1025" spans="1:39" x14ac:dyDescent="0.25">
      <c r="A1025" s="38" t="s">
        <v>1376</v>
      </c>
      <c r="B1025" s="42"/>
      <c r="C1025" s="42"/>
      <c r="D1025" s="42"/>
      <c r="E1025" s="41"/>
      <c r="F1025" s="41"/>
      <c r="G1025" s="41"/>
      <c r="H1025" s="41"/>
      <c r="I1025" s="41"/>
      <c r="J1025" s="42"/>
      <c r="K1025" s="41"/>
      <c r="L1025" s="41"/>
      <c r="M1025" s="127"/>
      <c r="N1025" s="41"/>
      <c r="O1025" s="41"/>
      <c r="P1025" s="41"/>
      <c r="Q1025" s="42"/>
      <c r="R1025" s="35"/>
      <c r="S1025" s="35"/>
      <c r="T1025" s="35"/>
      <c r="U1025" s="35"/>
      <c r="V1025" s="121"/>
      <c r="W1025" s="42"/>
      <c r="X1025" s="42"/>
      <c r="Y1025" s="42"/>
      <c r="Z1025" s="42"/>
      <c r="AA1025" s="42"/>
      <c r="AB1025" s="42"/>
      <c r="AC1025" s="42"/>
      <c r="AD1025" s="42"/>
      <c r="AE1025" s="42"/>
      <c r="AF1025" s="42"/>
      <c r="AG1025" s="42"/>
      <c r="AH1025" s="42"/>
      <c r="AI1025" s="42"/>
      <c r="AJ1025" s="42"/>
      <c r="AK1025" s="42"/>
      <c r="AL1025" s="42"/>
      <c r="AM1025" s="42"/>
    </row>
    <row r="1026" spans="1:39" x14ac:dyDescent="0.25">
      <c r="A1026" s="38" t="s">
        <v>1377</v>
      </c>
      <c r="B1026" s="42"/>
      <c r="C1026" s="42"/>
      <c r="D1026" s="42"/>
      <c r="E1026" s="41"/>
      <c r="F1026" s="41"/>
      <c r="G1026" s="41"/>
      <c r="H1026" s="41"/>
      <c r="I1026" s="41"/>
      <c r="J1026" s="42"/>
      <c r="K1026" s="41"/>
      <c r="L1026" s="41"/>
      <c r="M1026" s="127"/>
      <c r="N1026" s="41"/>
      <c r="O1026" s="41"/>
      <c r="P1026" s="41"/>
      <c r="Q1026" s="42"/>
      <c r="R1026" s="35"/>
      <c r="S1026" s="35"/>
      <c r="T1026" s="35"/>
      <c r="U1026" s="35"/>
      <c r="V1026" s="121"/>
      <c r="W1026" s="42"/>
      <c r="X1026" s="42"/>
      <c r="Y1026" s="42"/>
      <c r="Z1026" s="42"/>
      <c r="AA1026" s="42"/>
      <c r="AB1026" s="42"/>
      <c r="AC1026" s="42"/>
      <c r="AD1026" s="42"/>
      <c r="AE1026" s="42"/>
      <c r="AF1026" s="42"/>
      <c r="AG1026" s="42"/>
      <c r="AH1026" s="42"/>
      <c r="AI1026" s="42"/>
      <c r="AJ1026" s="42"/>
      <c r="AK1026" s="42"/>
      <c r="AL1026" s="42"/>
      <c r="AM1026" s="42"/>
    </row>
    <row r="1027" spans="1:39" x14ac:dyDescent="0.25">
      <c r="A1027" s="38" t="s">
        <v>1378</v>
      </c>
      <c r="B1027" s="42"/>
      <c r="C1027" s="42"/>
      <c r="D1027" s="42"/>
      <c r="E1027" s="41"/>
      <c r="F1027" s="41"/>
      <c r="G1027" s="41"/>
      <c r="H1027" s="41"/>
      <c r="I1027" s="41"/>
      <c r="J1027" s="42"/>
      <c r="K1027" s="41"/>
      <c r="L1027" s="41"/>
      <c r="M1027" s="127"/>
      <c r="N1027" s="41"/>
      <c r="O1027" s="41"/>
      <c r="P1027" s="41"/>
      <c r="Q1027" s="42"/>
      <c r="R1027" s="35"/>
      <c r="S1027" s="35"/>
      <c r="T1027" s="35"/>
      <c r="U1027" s="35"/>
      <c r="V1027" s="121"/>
      <c r="W1027" s="42"/>
      <c r="X1027" s="42"/>
      <c r="Y1027" s="42"/>
      <c r="Z1027" s="42"/>
      <c r="AA1027" s="42"/>
      <c r="AB1027" s="42"/>
      <c r="AC1027" s="42"/>
      <c r="AD1027" s="42"/>
      <c r="AE1027" s="42"/>
      <c r="AF1027" s="42"/>
      <c r="AG1027" s="42"/>
      <c r="AH1027" s="42"/>
      <c r="AI1027" s="42"/>
      <c r="AJ1027" s="42"/>
      <c r="AK1027" s="42"/>
      <c r="AL1027" s="42"/>
      <c r="AM1027" s="42"/>
    </row>
    <row r="1028" spans="1:39" x14ac:dyDescent="0.25">
      <c r="A1028" s="38" t="s">
        <v>1379</v>
      </c>
      <c r="B1028" s="42"/>
      <c r="C1028" s="42"/>
      <c r="D1028" s="42"/>
      <c r="E1028" s="41"/>
      <c r="F1028" s="41"/>
      <c r="G1028" s="41"/>
      <c r="H1028" s="41"/>
      <c r="I1028" s="41"/>
      <c r="J1028" s="42"/>
      <c r="K1028" s="41"/>
      <c r="L1028" s="41"/>
      <c r="M1028" s="127"/>
      <c r="N1028" s="41"/>
      <c r="O1028" s="41"/>
      <c r="P1028" s="41"/>
      <c r="Q1028" s="42"/>
      <c r="R1028" s="35"/>
      <c r="S1028" s="35"/>
      <c r="T1028" s="35"/>
      <c r="U1028" s="35"/>
      <c r="V1028" s="121"/>
      <c r="W1028" s="42"/>
      <c r="X1028" s="42"/>
      <c r="Y1028" s="42"/>
      <c r="Z1028" s="42"/>
      <c r="AA1028" s="42"/>
      <c r="AB1028" s="42"/>
      <c r="AC1028" s="42"/>
      <c r="AD1028" s="42"/>
      <c r="AE1028" s="42"/>
      <c r="AF1028" s="42"/>
      <c r="AG1028" s="42"/>
      <c r="AH1028" s="42"/>
      <c r="AI1028" s="42"/>
      <c r="AJ1028" s="42"/>
      <c r="AK1028" s="42"/>
      <c r="AL1028" s="42"/>
      <c r="AM1028" s="42"/>
    </row>
    <row r="1029" spans="1:39" x14ac:dyDescent="0.25">
      <c r="A1029" s="38" t="s">
        <v>1380</v>
      </c>
      <c r="B1029" s="42"/>
      <c r="C1029" s="42"/>
      <c r="D1029" s="42"/>
      <c r="E1029" s="41"/>
      <c r="F1029" s="41"/>
      <c r="G1029" s="41"/>
      <c r="H1029" s="41"/>
      <c r="I1029" s="41"/>
      <c r="J1029" s="42"/>
      <c r="K1029" s="41"/>
      <c r="L1029" s="41"/>
      <c r="M1029" s="127"/>
      <c r="N1029" s="41"/>
      <c r="O1029" s="41"/>
      <c r="P1029" s="41"/>
      <c r="Q1029" s="42"/>
      <c r="R1029" s="35"/>
      <c r="S1029" s="35"/>
      <c r="T1029" s="35"/>
      <c r="U1029" s="35"/>
      <c r="V1029" s="121"/>
      <c r="W1029" s="42"/>
      <c r="X1029" s="42"/>
      <c r="Y1029" s="42"/>
      <c r="Z1029" s="42"/>
      <c r="AA1029" s="42"/>
      <c r="AB1029" s="42"/>
      <c r="AC1029" s="42"/>
      <c r="AD1029" s="42"/>
      <c r="AE1029" s="42"/>
      <c r="AF1029" s="42"/>
      <c r="AG1029" s="42"/>
      <c r="AH1029" s="42"/>
      <c r="AI1029" s="42"/>
      <c r="AJ1029" s="42"/>
      <c r="AK1029" s="42"/>
      <c r="AL1029" s="42"/>
      <c r="AM1029" s="42"/>
    </row>
    <row r="1030" spans="1:39" x14ac:dyDescent="0.25">
      <c r="A1030" s="38" t="s">
        <v>1381</v>
      </c>
      <c r="B1030" s="42"/>
      <c r="C1030" s="42"/>
      <c r="D1030" s="42"/>
      <c r="E1030" s="41"/>
      <c r="F1030" s="41"/>
      <c r="G1030" s="41"/>
      <c r="H1030" s="41"/>
      <c r="I1030" s="41"/>
      <c r="J1030" s="42"/>
      <c r="K1030" s="41"/>
      <c r="L1030" s="41"/>
      <c r="M1030" s="127"/>
      <c r="N1030" s="41"/>
      <c r="O1030" s="41"/>
      <c r="P1030" s="41"/>
      <c r="Q1030" s="42"/>
      <c r="R1030" s="35"/>
      <c r="S1030" s="35"/>
      <c r="T1030" s="35"/>
      <c r="U1030" s="35"/>
      <c r="V1030" s="121"/>
      <c r="W1030" s="42"/>
      <c r="X1030" s="42"/>
      <c r="Y1030" s="42"/>
      <c r="Z1030" s="42"/>
      <c r="AA1030" s="42"/>
      <c r="AB1030" s="42"/>
      <c r="AC1030" s="42"/>
      <c r="AD1030" s="42"/>
      <c r="AE1030" s="42"/>
      <c r="AF1030" s="42"/>
      <c r="AG1030" s="42"/>
      <c r="AH1030" s="42"/>
      <c r="AI1030" s="42"/>
      <c r="AJ1030" s="42"/>
      <c r="AK1030" s="42"/>
      <c r="AL1030" s="42"/>
      <c r="AM1030" s="42"/>
    </row>
    <row r="1031" spans="1:39" x14ac:dyDescent="0.25">
      <c r="A1031" s="38" t="s">
        <v>1382</v>
      </c>
      <c r="B1031" s="42"/>
      <c r="C1031" s="42"/>
      <c r="D1031" s="42"/>
      <c r="E1031" s="41"/>
      <c r="F1031" s="41"/>
      <c r="G1031" s="41"/>
      <c r="H1031" s="41"/>
      <c r="I1031" s="41"/>
      <c r="J1031" s="42"/>
      <c r="K1031" s="41"/>
      <c r="L1031" s="41"/>
      <c r="M1031" s="127"/>
      <c r="N1031" s="41"/>
      <c r="O1031" s="41"/>
      <c r="P1031" s="41"/>
      <c r="Q1031" s="42"/>
      <c r="R1031" s="35"/>
      <c r="S1031" s="35"/>
      <c r="T1031" s="35"/>
      <c r="U1031" s="35"/>
      <c r="V1031" s="121"/>
      <c r="W1031" s="42"/>
      <c r="X1031" s="42"/>
      <c r="Y1031" s="42"/>
      <c r="Z1031" s="42"/>
      <c r="AA1031" s="42"/>
      <c r="AB1031" s="42"/>
      <c r="AC1031" s="42"/>
      <c r="AD1031" s="42"/>
      <c r="AE1031" s="42"/>
      <c r="AF1031" s="42"/>
      <c r="AG1031" s="42"/>
      <c r="AH1031" s="42"/>
      <c r="AI1031" s="42"/>
      <c r="AJ1031" s="42"/>
      <c r="AK1031" s="42"/>
      <c r="AL1031" s="42"/>
      <c r="AM1031" s="42"/>
    </row>
    <row r="1032" spans="1:39" x14ac:dyDescent="0.25">
      <c r="A1032" s="38" t="s">
        <v>1383</v>
      </c>
      <c r="B1032" s="42"/>
      <c r="C1032" s="42"/>
      <c r="D1032" s="42"/>
      <c r="E1032" s="41"/>
      <c r="F1032" s="41"/>
      <c r="G1032" s="41"/>
      <c r="H1032" s="41"/>
      <c r="I1032" s="41"/>
      <c r="J1032" s="42"/>
      <c r="K1032" s="41"/>
      <c r="L1032" s="41"/>
      <c r="M1032" s="127"/>
      <c r="N1032" s="41"/>
      <c r="O1032" s="41"/>
      <c r="P1032" s="41"/>
      <c r="Q1032" s="42"/>
      <c r="R1032" s="35"/>
      <c r="S1032" s="35"/>
      <c r="T1032" s="35"/>
      <c r="U1032" s="35"/>
      <c r="V1032" s="121"/>
      <c r="W1032" s="42"/>
      <c r="X1032" s="42"/>
      <c r="Y1032" s="42"/>
      <c r="Z1032" s="42"/>
      <c r="AA1032" s="42"/>
      <c r="AB1032" s="42"/>
      <c r="AC1032" s="42"/>
      <c r="AD1032" s="42"/>
      <c r="AE1032" s="42"/>
      <c r="AF1032" s="42"/>
      <c r="AG1032" s="42"/>
      <c r="AH1032" s="42"/>
      <c r="AI1032" s="42"/>
      <c r="AJ1032" s="42"/>
      <c r="AK1032" s="42"/>
      <c r="AL1032" s="42"/>
      <c r="AM1032" s="42"/>
    </row>
    <row r="1033" spans="1:39" x14ac:dyDescent="0.25">
      <c r="A1033" s="38" t="s">
        <v>1384</v>
      </c>
      <c r="B1033" s="42"/>
      <c r="C1033" s="42"/>
      <c r="D1033" s="42"/>
      <c r="E1033" s="41"/>
      <c r="F1033" s="41"/>
      <c r="G1033" s="41"/>
      <c r="H1033" s="41"/>
      <c r="I1033" s="41"/>
      <c r="J1033" s="42"/>
      <c r="K1033" s="41"/>
      <c r="L1033" s="41"/>
      <c r="M1033" s="127"/>
      <c r="N1033" s="41"/>
      <c r="O1033" s="41"/>
      <c r="P1033" s="41"/>
      <c r="Q1033" s="42"/>
      <c r="R1033" s="35"/>
      <c r="S1033" s="35"/>
      <c r="T1033" s="35"/>
      <c r="U1033" s="35"/>
      <c r="V1033" s="121"/>
      <c r="W1033" s="42"/>
      <c r="X1033" s="42"/>
      <c r="Y1033" s="42"/>
      <c r="Z1033" s="42"/>
      <c r="AA1033" s="42"/>
      <c r="AB1033" s="42"/>
      <c r="AC1033" s="42"/>
      <c r="AD1033" s="42"/>
      <c r="AE1033" s="42"/>
      <c r="AF1033" s="42"/>
      <c r="AG1033" s="42"/>
      <c r="AH1033" s="42"/>
      <c r="AI1033" s="42"/>
      <c r="AJ1033" s="42"/>
      <c r="AK1033" s="42"/>
      <c r="AL1033" s="42"/>
      <c r="AM1033" s="42"/>
    </row>
    <row r="1034" spans="1:39" x14ac:dyDescent="0.25">
      <c r="A1034" s="38" t="s">
        <v>1385</v>
      </c>
      <c r="B1034" s="42"/>
      <c r="C1034" s="42"/>
      <c r="D1034" s="42"/>
      <c r="E1034" s="41"/>
      <c r="F1034" s="41"/>
      <c r="G1034" s="41"/>
      <c r="H1034" s="41"/>
      <c r="I1034" s="41"/>
      <c r="J1034" s="42"/>
      <c r="K1034" s="41"/>
      <c r="L1034" s="41"/>
      <c r="M1034" s="127"/>
      <c r="N1034" s="41"/>
      <c r="O1034" s="41"/>
      <c r="P1034" s="41"/>
      <c r="Q1034" s="42"/>
      <c r="R1034" s="35"/>
      <c r="S1034" s="35"/>
      <c r="T1034" s="35"/>
      <c r="U1034" s="35"/>
      <c r="V1034" s="121"/>
      <c r="W1034" s="42"/>
      <c r="X1034" s="42"/>
      <c r="Y1034" s="42"/>
      <c r="Z1034" s="42"/>
      <c r="AA1034" s="42"/>
      <c r="AB1034" s="42"/>
      <c r="AC1034" s="42"/>
      <c r="AD1034" s="42"/>
      <c r="AE1034" s="42"/>
      <c r="AF1034" s="42"/>
      <c r="AG1034" s="42"/>
      <c r="AH1034" s="42"/>
      <c r="AI1034" s="42"/>
      <c r="AJ1034" s="42"/>
      <c r="AK1034" s="42"/>
      <c r="AL1034" s="42"/>
      <c r="AM1034" s="42"/>
    </row>
    <row r="1035" spans="1:39" x14ac:dyDescent="0.25">
      <c r="A1035" s="38" t="s">
        <v>1386</v>
      </c>
      <c r="B1035" s="42"/>
      <c r="C1035" s="42"/>
      <c r="D1035" s="42"/>
      <c r="E1035" s="41"/>
      <c r="F1035" s="41"/>
      <c r="G1035" s="41"/>
      <c r="H1035" s="41"/>
      <c r="I1035" s="41"/>
      <c r="J1035" s="42"/>
      <c r="K1035" s="41"/>
      <c r="L1035" s="41"/>
      <c r="M1035" s="127"/>
      <c r="N1035" s="41"/>
      <c r="O1035" s="41"/>
      <c r="P1035" s="41"/>
      <c r="Q1035" s="42"/>
      <c r="R1035" s="35"/>
      <c r="S1035" s="35"/>
      <c r="T1035" s="35"/>
      <c r="U1035" s="35"/>
      <c r="V1035" s="121"/>
      <c r="W1035" s="42"/>
      <c r="X1035" s="42"/>
      <c r="Y1035" s="42"/>
      <c r="Z1035" s="42"/>
      <c r="AA1035" s="42"/>
      <c r="AB1035" s="42"/>
      <c r="AC1035" s="42"/>
      <c r="AD1035" s="42"/>
      <c r="AE1035" s="42"/>
      <c r="AF1035" s="42"/>
      <c r="AG1035" s="42"/>
      <c r="AH1035" s="42"/>
      <c r="AI1035" s="42"/>
      <c r="AJ1035" s="42"/>
      <c r="AK1035" s="42"/>
      <c r="AL1035" s="42"/>
      <c r="AM1035" s="42"/>
    </row>
    <row r="1036" spans="1:39" x14ac:dyDescent="0.25">
      <c r="A1036" s="38" t="s">
        <v>1387</v>
      </c>
      <c r="B1036" s="42"/>
      <c r="C1036" s="42"/>
      <c r="D1036" s="42"/>
      <c r="E1036" s="41"/>
      <c r="F1036" s="41"/>
      <c r="G1036" s="41"/>
      <c r="H1036" s="41"/>
      <c r="I1036" s="41"/>
      <c r="J1036" s="42"/>
      <c r="K1036" s="41"/>
      <c r="L1036" s="41"/>
      <c r="M1036" s="127"/>
      <c r="N1036" s="41"/>
      <c r="O1036" s="41"/>
      <c r="P1036" s="41"/>
      <c r="Q1036" s="42"/>
      <c r="R1036" s="35"/>
      <c r="S1036" s="35"/>
      <c r="T1036" s="35"/>
      <c r="U1036" s="35"/>
      <c r="V1036" s="121"/>
      <c r="W1036" s="42"/>
      <c r="X1036" s="42"/>
      <c r="Y1036" s="42"/>
      <c r="Z1036" s="42"/>
      <c r="AA1036" s="42"/>
      <c r="AB1036" s="42"/>
      <c r="AC1036" s="42"/>
      <c r="AD1036" s="42"/>
      <c r="AE1036" s="42"/>
      <c r="AF1036" s="42"/>
      <c r="AG1036" s="42"/>
      <c r="AH1036" s="42"/>
      <c r="AI1036" s="42"/>
      <c r="AJ1036" s="42"/>
      <c r="AK1036" s="42"/>
      <c r="AL1036" s="42"/>
      <c r="AM1036" s="42"/>
    </row>
    <row r="1037" spans="1:39" x14ac:dyDescent="0.25">
      <c r="A1037" s="38" t="s">
        <v>1388</v>
      </c>
      <c r="B1037" s="42"/>
      <c r="C1037" s="42"/>
      <c r="D1037" s="42"/>
      <c r="E1037" s="41"/>
      <c r="F1037" s="41"/>
      <c r="G1037" s="41"/>
      <c r="H1037" s="41"/>
      <c r="I1037" s="41"/>
      <c r="J1037" s="42"/>
      <c r="K1037" s="41"/>
      <c r="L1037" s="41"/>
      <c r="M1037" s="127"/>
      <c r="N1037" s="41"/>
      <c r="O1037" s="41"/>
      <c r="P1037" s="41"/>
      <c r="Q1037" s="42"/>
      <c r="R1037" s="35"/>
      <c r="S1037" s="35"/>
      <c r="T1037" s="35"/>
      <c r="U1037" s="35"/>
      <c r="V1037" s="121"/>
      <c r="W1037" s="42"/>
      <c r="X1037" s="42"/>
      <c r="Y1037" s="42"/>
      <c r="Z1037" s="42"/>
      <c r="AA1037" s="42"/>
      <c r="AB1037" s="42"/>
      <c r="AC1037" s="42"/>
      <c r="AD1037" s="42"/>
      <c r="AE1037" s="42"/>
      <c r="AF1037" s="42"/>
      <c r="AG1037" s="42"/>
      <c r="AH1037" s="42"/>
      <c r="AI1037" s="42"/>
      <c r="AJ1037" s="42"/>
      <c r="AK1037" s="42"/>
      <c r="AL1037" s="42"/>
      <c r="AM1037" s="42"/>
    </row>
    <row r="1038" spans="1:39" x14ac:dyDescent="0.25">
      <c r="A1038" s="38" t="s">
        <v>1389</v>
      </c>
      <c r="B1038" s="42"/>
      <c r="C1038" s="42"/>
      <c r="D1038" s="42"/>
      <c r="E1038" s="41"/>
      <c r="F1038" s="41"/>
      <c r="G1038" s="41"/>
      <c r="H1038" s="41"/>
      <c r="I1038" s="41"/>
      <c r="J1038" s="42"/>
      <c r="K1038" s="41"/>
      <c r="L1038" s="41"/>
      <c r="M1038" s="127"/>
      <c r="N1038" s="41"/>
      <c r="O1038" s="41"/>
      <c r="P1038" s="41"/>
      <c r="Q1038" s="42"/>
      <c r="R1038" s="35"/>
      <c r="S1038" s="35"/>
      <c r="T1038" s="35"/>
      <c r="U1038" s="35"/>
      <c r="V1038" s="121"/>
      <c r="W1038" s="42"/>
      <c r="X1038" s="42"/>
      <c r="Y1038" s="42"/>
      <c r="Z1038" s="42"/>
      <c r="AA1038" s="42"/>
      <c r="AB1038" s="42"/>
      <c r="AC1038" s="42"/>
      <c r="AD1038" s="42"/>
      <c r="AE1038" s="42"/>
      <c r="AF1038" s="42"/>
      <c r="AG1038" s="42"/>
      <c r="AH1038" s="42"/>
      <c r="AI1038" s="42"/>
      <c r="AJ1038" s="42"/>
      <c r="AK1038" s="42"/>
      <c r="AL1038" s="42"/>
      <c r="AM1038" s="42"/>
    </row>
    <row r="1039" spans="1:39" x14ac:dyDescent="0.25">
      <c r="A1039" s="38" t="s">
        <v>1390</v>
      </c>
      <c r="B1039" s="42"/>
      <c r="C1039" s="42"/>
      <c r="D1039" s="42"/>
      <c r="E1039" s="41"/>
      <c r="F1039" s="41"/>
      <c r="G1039" s="41"/>
      <c r="H1039" s="41"/>
      <c r="I1039" s="41"/>
      <c r="J1039" s="42"/>
      <c r="K1039" s="41"/>
      <c r="L1039" s="41"/>
      <c r="M1039" s="127"/>
      <c r="N1039" s="41"/>
      <c r="O1039" s="41"/>
      <c r="P1039" s="41"/>
      <c r="Q1039" s="42"/>
      <c r="R1039" s="35"/>
      <c r="S1039" s="35"/>
      <c r="T1039" s="35"/>
      <c r="U1039" s="35"/>
      <c r="V1039" s="121"/>
      <c r="W1039" s="42"/>
      <c r="X1039" s="42"/>
      <c r="Y1039" s="42"/>
      <c r="Z1039" s="42"/>
      <c r="AA1039" s="42"/>
      <c r="AB1039" s="42"/>
      <c r="AC1039" s="42"/>
      <c r="AD1039" s="42"/>
      <c r="AE1039" s="42"/>
      <c r="AF1039" s="42"/>
      <c r="AG1039" s="42"/>
      <c r="AH1039" s="42"/>
      <c r="AI1039" s="42"/>
      <c r="AJ1039" s="42"/>
      <c r="AK1039" s="42"/>
      <c r="AL1039" s="42"/>
      <c r="AM1039" s="42"/>
    </row>
    <row r="1040" spans="1:39" x14ac:dyDescent="0.25">
      <c r="A1040" s="38" t="s">
        <v>1391</v>
      </c>
      <c r="B1040" s="42"/>
      <c r="C1040" s="42"/>
      <c r="D1040" s="42"/>
      <c r="E1040" s="41"/>
      <c r="F1040" s="41"/>
      <c r="G1040" s="41"/>
      <c r="H1040" s="41"/>
      <c r="I1040" s="41"/>
      <c r="J1040" s="42"/>
      <c r="K1040" s="41"/>
      <c r="L1040" s="41"/>
      <c r="M1040" s="127"/>
      <c r="N1040" s="41"/>
      <c r="O1040" s="41"/>
      <c r="P1040" s="41"/>
      <c r="Q1040" s="42"/>
      <c r="R1040" s="35"/>
      <c r="S1040" s="35"/>
      <c r="T1040" s="35"/>
      <c r="U1040" s="35"/>
      <c r="V1040" s="121"/>
      <c r="W1040" s="42"/>
      <c r="X1040" s="42"/>
      <c r="Y1040" s="42"/>
      <c r="Z1040" s="42"/>
      <c r="AA1040" s="42"/>
      <c r="AB1040" s="42"/>
      <c r="AC1040" s="42"/>
      <c r="AD1040" s="42"/>
      <c r="AE1040" s="42"/>
      <c r="AF1040" s="42"/>
      <c r="AG1040" s="42"/>
      <c r="AH1040" s="42"/>
      <c r="AI1040" s="42"/>
      <c r="AJ1040" s="42"/>
      <c r="AK1040" s="42"/>
      <c r="AL1040" s="42"/>
      <c r="AM1040" s="42"/>
    </row>
    <row r="1041" spans="1:39" x14ac:dyDescent="0.25">
      <c r="A1041" s="38" t="s">
        <v>1392</v>
      </c>
      <c r="B1041" s="42"/>
      <c r="C1041" s="42"/>
      <c r="D1041" s="42"/>
      <c r="E1041" s="41"/>
      <c r="F1041" s="41"/>
      <c r="G1041" s="41"/>
      <c r="H1041" s="41"/>
      <c r="I1041" s="41"/>
      <c r="J1041" s="42"/>
      <c r="K1041" s="41"/>
      <c r="L1041" s="41"/>
      <c r="M1041" s="127"/>
      <c r="N1041" s="41"/>
      <c r="O1041" s="41"/>
      <c r="P1041" s="41"/>
      <c r="Q1041" s="42"/>
      <c r="R1041" s="35"/>
      <c r="S1041" s="35"/>
      <c r="T1041" s="35"/>
      <c r="U1041" s="35"/>
      <c r="V1041" s="121"/>
      <c r="W1041" s="42"/>
      <c r="X1041" s="42"/>
      <c r="Y1041" s="42"/>
      <c r="Z1041" s="42"/>
      <c r="AA1041" s="42"/>
      <c r="AB1041" s="42"/>
      <c r="AC1041" s="42"/>
      <c r="AD1041" s="42"/>
      <c r="AE1041" s="42"/>
      <c r="AF1041" s="42"/>
      <c r="AG1041" s="42"/>
      <c r="AH1041" s="42"/>
      <c r="AI1041" s="42"/>
      <c r="AJ1041" s="42"/>
      <c r="AK1041" s="42"/>
      <c r="AL1041" s="42"/>
      <c r="AM1041" s="42"/>
    </row>
    <row r="1042" spans="1:39" x14ac:dyDescent="0.25">
      <c r="A1042" s="38" t="s">
        <v>1393</v>
      </c>
      <c r="B1042" s="42"/>
      <c r="C1042" s="42"/>
      <c r="D1042" s="42"/>
      <c r="E1042" s="41"/>
      <c r="F1042" s="41"/>
      <c r="G1042" s="41"/>
      <c r="H1042" s="41"/>
      <c r="I1042" s="41"/>
      <c r="J1042" s="42"/>
      <c r="K1042" s="41"/>
      <c r="L1042" s="41"/>
      <c r="M1042" s="127"/>
      <c r="N1042" s="41"/>
      <c r="O1042" s="41"/>
      <c r="P1042" s="41"/>
      <c r="Q1042" s="42"/>
      <c r="R1042" s="35"/>
      <c r="S1042" s="35"/>
      <c r="T1042" s="35"/>
      <c r="U1042" s="35"/>
      <c r="V1042" s="121"/>
      <c r="W1042" s="42"/>
      <c r="X1042" s="42"/>
      <c r="Y1042" s="42"/>
      <c r="Z1042" s="42"/>
      <c r="AA1042" s="42"/>
      <c r="AB1042" s="42"/>
      <c r="AC1042" s="42"/>
      <c r="AD1042" s="42"/>
      <c r="AE1042" s="42"/>
      <c r="AF1042" s="42"/>
      <c r="AG1042" s="42"/>
      <c r="AH1042" s="42"/>
      <c r="AI1042" s="42"/>
      <c r="AJ1042" s="42"/>
      <c r="AK1042" s="42"/>
      <c r="AL1042" s="42"/>
      <c r="AM1042" s="42"/>
    </row>
    <row r="1043" spans="1:39" x14ac:dyDescent="0.25">
      <c r="A1043" s="38" t="s">
        <v>1394</v>
      </c>
      <c r="B1043" s="42"/>
      <c r="C1043" s="42"/>
      <c r="D1043" s="42"/>
      <c r="E1043" s="41"/>
      <c r="F1043" s="41"/>
      <c r="G1043" s="41"/>
      <c r="H1043" s="41"/>
      <c r="I1043" s="41"/>
      <c r="J1043" s="42"/>
      <c r="K1043" s="41"/>
      <c r="L1043" s="41"/>
      <c r="M1043" s="127"/>
      <c r="N1043" s="41"/>
      <c r="O1043" s="41"/>
      <c r="P1043" s="41"/>
      <c r="Q1043" s="42"/>
      <c r="R1043" s="35"/>
      <c r="S1043" s="35"/>
      <c r="T1043" s="35"/>
      <c r="U1043" s="35"/>
      <c r="V1043" s="121"/>
      <c r="W1043" s="42"/>
      <c r="X1043" s="42"/>
      <c r="Y1043" s="42"/>
      <c r="Z1043" s="42"/>
      <c r="AA1043" s="42"/>
      <c r="AB1043" s="42"/>
      <c r="AC1043" s="42"/>
      <c r="AD1043" s="42"/>
      <c r="AE1043" s="42"/>
      <c r="AF1043" s="42"/>
      <c r="AG1043" s="42"/>
      <c r="AH1043" s="42"/>
      <c r="AI1043" s="42"/>
      <c r="AJ1043" s="42"/>
      <c r="AK1043" s="42"/>
      <c r="AL1043" s="42"/>
      <c r="AM1043" s="42"/>
    </row>
    <row r="1044" spans="1:39" x14ac:dyDescent="0.25">
      <c r="A1044" s="38" t="s">
        <v>1395</v>
      </c>
      <c r="B1044" s="42"/>
      <c r="C1044" s="42"/>
      <c r="D1044" s="42"/>
      <c r="E1044" s="41"/>
      <c r="F1044" s="41"/>
      <c r="G1044" s="41"/>
      <c r="H1044" s="41"/>
      <c r="I1044" s="41"/>
      <c r="J1044" s="42"/>
      <c r="K1044" s="41"/>
      <c r="L1044" s="41"/>
      <c r="M1044" s="127"/>
      <c r="N1044" s="41"/>
      <c r="O1044" s="41"/>
      <c r="P1044" s="41"/>
      <c r="Q1044" s="42"/>
      <c r="R1044" s="35"/>
      <c r="S1044" s="35"/>
      <c r="T1044" s="35"/>
      <c r="U1044" s="35"/>
      <c r="V1044" s="121"/>
      <c r="W1044" s="42"/>
      <c r="X1044" s="42"/>
      <c r="Y1044" s="42"/>
      <c r="Z1044" s="42"/>
      <c r="AA1044" s="42"/>
      <c r="AB1044" s="42"/>
      <c r="AC1044" s="42"/>
      <c r="AD1044" s="42"/>
      <c r="AE1044" s="42"/>
      <c r="AF1044" s="42"/>
      <c r="AG1044" s="42"/>
      <c r="AH1044" s="42"/>
      <c r="AI1044" s="42"/>
      <c r="AJ1044" s="42"/>
      <c r="AK1044" s="42"/>
      <c r="AL1044" s="42"/>
      <c r="AM1044" s="42"/>
    </row>
    <row r="1045" spans="1:39" x14ac:dyDescent="0.25">
      <c r="A1045" s="38" t="s">
        <v>1396</v>
      </c>
      <c r="B1045" s="42"/>
      <c r="C1045" s="42"/>
      <c r="D1045" s="42"/>
      <c r="E1045" s="41"/>
      <c r="F1045" s="41"/>
      <c r="G1045" s="41"/>
      <c r="H1045" s="41"/>
      <c r="I1045" s="41"/>
      <c r="J1045" s="42"/>
      <c r="K1045" s="41"/>
      <c r="L1045" s="41"/>
      <c r="M1045" s="127"/>
      <c r="N1045" s="41"/>
      <c r="O1045" s="41"/>
      <c r="P1045" s="41"/>
      <c r="Q1045" s="42"/>
      <c r="R1045" s="35"/>
      <c r="S1045" s="35"/>
      <c r="T1045" s="35"/>
      <c r="U1045" s="35"/>
      <c r="V1045" s="121"/>
      <c r="W1045" s="42"/>
      <c r="X1045" s="42"/>
      <c r="Y1045" s="42"/>
      <c r="Z1045" s="42"/>
      <c r="AA1045" s="42"/>
      <c r="AB1045" s="42"/>
      <c r="AC1045" s="42"/>
      <c r="AD1045" s="42"/>
      <c r="AE1045" s="42"/>
      <c r="AF1045" s="42"/>
      <c r="AG1045" s="42"/>
      <c r="AH1045" s="42"/>
      <c r="AI1045" s="42"/>
      <c r="AJ1045" s="42"/>
      <c r="AK1045" s="42"/>
      <c r="AL1045" s="42"/>
      <c r="AM1045" s="42"/>
    </row>
    <row r="1046" spans="1:39" x14ac:dyDescent="0.25">
      <c r="A1046" s="38" t="s">
        <v>1397</v>
      </c>
      <c r="B1046" s="42"/>
      <c r="C1046" s="42"/>
      <c r="D1046" s="42"/>
      <c r="E1046" s="41"/>
      <c r="F1046" s="41"/>
      <c r="G1046" s="41"/>
      <c r="H1046" s="41"/>
      <c r="I1046" s="41"/>
      <c r="J1046" s="42"/>
      <c r="K1046" s="41"/>
      <c r="L1046" s="41"/>
      <c r="M1046" s="127"/>
      <c r="N1046" s="41"/>
      <c r="O1046" s="41"/>
      <c r="P1046" s="41"/>
      <c r="Q1046" s="42"/>
      <c r="R1046" s="35"/>
      <c r="S1046" s="35"/>
      <c r="T1046" s="35"/>
      <c r="U1046" s="35"/>
      <c r="V1046" s="121"/>
      <c r="W1046" s="42"/>
      <c r="X1046" s="42"/>
      <c r="Y1046" s="42"/>
      <c r="Z1046" s="42"/>
      <c r="AA1046" s="42"/>
      <c r="AB1046" s="42"/>
      <c r="AC1046" s="42"/>
      <c r="AD1046" s="42"/>
      <c r="AE1046" s="42"/>
      <c r="AF1046" s="42"/>
      <c r="AG1046" s="42"/>
      <c r="AH1046" s="42"/>
      <c r="AI1046" s="42"/>
      <c r="AJ1046" s="42"/>
      <c r="AK1046" s="42"/>
      <c r="AL1046" s="42"/>
      <c r="AM1046" s="42"/>
    </row>
    <row r="1047" spans="1:39" x14ac:dyDescent="0.25">
      <c r="A1047" s="38" t="s">
        <v>1398</v>
      </c>
      <c r="B1047" s="42"/>
      <c r="C1047" s="42"/>
      <c r="D1047" s="42"/>
      <c r="E1047" s="41"/>
      <c r="F1047" s="41"/>
      <c r="G1047" s="41"/>
      <c r="H1047" s="41"/>
      <c r="I1047" s="41"/>
      <c r="J1047" s="42"/>
      <c r="K1047" s="41"/>
      <c r="L1047" s="41"/>
      <c r="M1047" s="127"/>
      <c r="N1047" s="41"/>
      <c r="O1047" s="41"/>
      <c r="P1047" s="41"/>
      <c r="Q1047" s="42"/>
      <c r="R1047" s="35"/>
      <c r="S1047" s="35"/>
      <c r="T1047" s="35"/>
      <c r="U1047" s="35"/>
      <c r="V1047" s="121"/>
      <c r="W1047" s="42"/>
      <c r="X1047" s="42"/>
      <c r="Y1047" s="42"/>
      <c r="Z1047" s="42"/>
      <c r="AA1047" s="42"/>
      <c r="AB1047" s="42"/>
      <c r="AC1047" s="42"/>
      <c r="AD1047" s="42"/>
      <c r="AE1047" s="42"/>
      <c r="AF1047" s="42"/>
      <c r="AG1047" s="42"/>
      <c r="AH1047" s="42"/>
      <c r="AI1047" s="42"/>
      <c r="AJ1047" s="42"/>
      <c r="AK1047" s="42"/>
      <c r="AL1047" s="42"/>
      <c r="AM1047" s="42"/>
    </row>
    <row r="1048" spans="1:39" x14ac:dyDescent="0.25">
      <c r="A1048" s="38" t="s">
        <v>1399</v>
      </c>
      <c r="B1048" s="42"/>
      <c r="C1048" s="42"/>
      <c r="D1048" s="42"/>
      <c r="E1048" s="41"/>
      <c r="F1048" s="41"/>
      <c r="G1048" s="41"/>
      <c r="H1048" s="41"/>
      <c r="I1048" s="41"/>
      <c r="J1048" s="42"/>
      <c r="K1048" s="41"/>
      <c r="L1048" s="41"/>
      <c r="M1048" s="127"/>
      <c r="N1048" s="41"/>
      <c r="O1048" s="41"/>
      <c r="P1048" s="41"/>
      <c r="Q1048" s="42"/>
      <c r="R1048" s="35"/>
      <c r="S1048" s="35"/>
      <c r="T1048" s="35"/>
      <c r="U1048" s="35"/>
      <c r="V1048" s="121"/>
      <c r="W1048" s="42"/>
      <c r="X1048" s="42"/>
      <c r="Y1048" s="42"/>
      <c r="Z1048" s="42"/>
      <c r="AA1048" s="42"/>
      <c r="AB1048" s="42"/>
      <c r="AC1048" s="42"/>
      <c r="AD1048" s="42"/>
      <c r="AE1048" s="42"/>
      <c r="AF1048" s="42"/>
      <c r="AG1048" s="42"/>
      <c r="AH1048" s="42"/>
      <c r="AI1048" s="42"/>
      <c r="AJ1048" s="42"/>
      <c r="AK1048" s="42"/>
      <c r="AL1048" s="42"/>
      <c r="AM1048" s="42"/>
    </row>
    <row r="1049" spans="1:39" x14ac:dyDescent="0.25">
      <c r="A1049" s="38" t="s">
        <v>1400</v>
      </c>
      <c r="B1049" s="42"/>
      <c r="C1049" s="42"/>
      <c r="D1049" s="42"/>
      <c r="E1049" s="41"/>
      <c r="F1049" s="41"/>
      <c r="G1049" s="41"/>
      <c r="H1049" s="41"/>
      <c r="I1049" s="41"/>
      <c r="J1049" s="42"/>
      <c r="K1049" s="41"/>
      <c r="L1049" s="41"/>
      <c r="M1049" s="127"/>
      <c r="N1049" s="41"/>
      <c r="O1049" s="41"/>
      <c r="P1049" s="41"/>
      <c r="Q1049" s="42"/>
      <c r="R1049" s="35"/>
      <c r="S1049" s="35"/>
      <c r="T1049" s="35"/>
      <c r="U1049" s="35"/>
      <c r="V1049" s="121"/>
      <c r="W1049" s="42"/>
      <c r="X1049" s="42"/>
      <c r="Y1049" s="42"/>
      <c r="Z1049" s="42"/>
      <c r="AA1049" s="42"/>
      <c r="AB1049" s="42"/>
      <c r="AC1049" s="42"/>
      <c r="AD1049" s="42"/>
      <c r="AE1049" s="42"/>
      <c r="AF1049" s="42"/>
      <c r="AG1049" s="42"/>
      <c r="AH1049" s="42"/>
      <c r="AI1049" s="42"/>
      <c r="AJ1049" s="42"/>
      <c r="AK1049" s="42"/>
      <c r="AL1049" s="42"/>
      <c r="AM1049" s="42"/>
    </row>
    <row r="1050" spans="1:39" x14ac:dyDescent="0.25">
      <c r="A1050" s="38" t="s">
        <v>1401</v>
      </c>
      <c r="B1050" s="42"/>
      <c r="C1050" s="42"/>
      <c r="D1050" s="42"/>
      <c r="E1050" s="41"/>
      <c r="F1050" s="41"/>
      <c r="G1050" s="41"/>
      <c r="H1050" s="41"/>
      <c r="I1050" s="41"/>
      <c r="J1050" s="42"/>
      <c r="K1050" s="41"/>
      <c r="L1050" s="41"/>
      <c r="M1050" s="127"/>
      <c r="N1050" s="41"/>
      <c r="O1050" s="41"/>
      <c r="P1050" s="41"/>
      <c r="Q1050" s="42"/>
      <c r="R1050" s="35"/>
      <c r="S1050" s="35"/>
      <c r="T1050" s="35"/>
      <c r="U1050" s="35"/>
      <c r="V1050" s="121"/>
      <c r="W1050" s="42"/>
      <c r="X1050" s="42"/>
      <c r="Y1050" s="42"/>
      <c r="Z1050" s="42"/>
      <c r="AA1050" s="42"/>
      <c r="AB1050" s="42"/>
      <c r="AC1050" s="42"/>
      <c r="AD1050" s="42"/>
      <c r="AE1050" s="42"/>
      <c r="AF1050" s="42"/>
      <c r="AG1050" s="42"/>
      <c r="AH1050" s="42"/>
      <c r="AI1050" s="42"/>
      <c r="AJ1050" s="42"/>
      <c r="AK1050" s="42"/>
      <c r="AL1050" s="42"/>
      <c r="AM1050" s="42"/>
    </row>
    <row r="1051" spans="1:39" x14ac:dyDescent="0.25">
      <c r="A1051" s="38" t="s">
        <v>1402</v>
      </c>
      <c r="B1051" s="42"/>
      <c r="C1051" s="42"/>
      <c r="D1051" s="42"/>
      <c r="E1051" s="41"/>
      <c r="F1051" s="41"/>
      <c r="G1051" s="41"/>
      <c r="H1051" s="41"/>
      <c r="I1051" s="41"/>
      <c r="J1051" s="42"/>
      <c r="K1051" s="41"/>
      <c r="L1051" s="41"/>
      <c r="M1051" s="127"/>
      <c r="N1051" s="41"/>
      <c r="O1051" s="41"/>
      <c r="P1051" s="41"/>
      <c r="Q1051" s="42"/>
      <c r="R1051" s="35"/>
      <c r="S1051" s="35"/>
      <c r="T1051" s="35"/>
      <c r="U1051" s="35"/>
      <c r="V1051" s="121"/>
      <c r="W1051" s="42"/>
      <c r="X1051" s="42"/>
      <c r="Y1051" s="42"/>
      <c r="Z1051" s="42"/>
      <c r="AA1051" s="42"/>
      <c r="AB1051" s="42"/>
      <c r="AC1051" s="42"/>
      <c r="AD1051" s="42"/>
      <c r="AE1051" s="42"/>
      <c r="AF1051" s="42"/>
      <c r="AG1051" s="42"/>
      <c r="AH1051" s="42"/>
      <c r="AI1051" s="42"/>
      <c r="AJ1051" s="42"/>
      <c r="AK1051" s="42"/>
      <c r="AL1051" s="42"/>
      <c r="AM1051" s="42"/>
    </row>
    <row r="1052" spans="1:39" x14ac:dyDescent="0.25">
      <c r="A1052" s="38" t="s">
        <v>1403</v>
      </c>
      <c r="B1052" s="42"/>
      <c r="C1052" s="42"/>
      <c r="D1052" s="42"/>
      <c r="E1052" s="41"/>
      <c r="F1052" s="41"/>
      <c r="G1052" s="41"/>
      <c r="H1052" s="41"/>
      <c r="I1052" s="41"/>
      <c r="J1052" s="42"/>
      <c r="K1052" s="41"/>
      <c r="L1052" s="41"/>
      <c r="M1052" s="127"/>
      <c r="N1052" s="41"/>
      <c r="O1052" s="41"/>
      <c r="P1052" s="41"/>
      <c r="Q1052" s="42"/>
      <c r="R1052" s="35"/>
      <c r="S1052" s="35"/>
      <c r="T1052" s="35"/>
      <c r="U1052" s="35"/>
      <c r="V1052" s="121"/>
      <c r="W1052" s="42"/>
      <c r="X1052" s="42"/>
      <c r="Y1052" s="42"/>
      <c r="Z1052" s="42"/>
      <c r="AA1052" s="42"/>
      <c r="AB1052" s="42"/>
      <c r="AC1052" s="42"/>
      <c r="AD1052" s="42"/>
      <c r="AE1052" s="42"/>
      <c r="AF1052" s="42"/>
      <c r="AG1052" s="42"/>
      <c r="AH1052" s="42"/>
      <c r="AI1052" s="42"/>
      <c r="AJ1052" s="42"/>
      <c r="AK1052" s="42"/>
      <c r="AL1052" s="42"/>
      <c r="AM1052" s="42"/>
    </row>
    <row r="1053" spans="1:39" x14ac:dyDescent="0.25">
      <c r="A1053" s="38" t="s">
        <v>1404</v>
      </c>
      <c r="B1053" s="42"/>
      <c r="C1053" s="42"/>
      <c r="D1053" s="42"/>
      <c r="E1053" s="41"/>
      <c r="F1053" s="41"/>
      <c r="G1053" s="41"/>
      <c r="H1053" s="41"/>
      <c r="I1053" s="41"/>
      <c r="J1053" s="42"/>
      <c r="K1053" s="41"/>
      <c r="L1053" s="41"/>
      <c r="M1053" s="127"/>
      <c r="N1053" s="41"/>
      <c r="O1053" s="41"/>
      <c r="P1053" s="41"/>
      <c r="Q1053" s="42"/>
      <c r="R1053" s="35"/>
      <c r="S1053" s="35"/>
      <c r="T1053" s="35"/>
      <c r="U1053" s="35"/>
      <c r="V1053" s="121"/>
      <c r="W1053" s="42"/>
      <c r="X1053" s="42"/>
      <c r="Y1053" s="42"/>
      <c r="Z1053" s="42"/>
      <c r="AA1053" s="42"/>
      <c r="AB1053" s="42"/>
      <c r="AC1053" s="42"/>
      <c r="AD1053" s="42"/>
      <c r="AE1053" s="42"/>
      <c r="AF1053" s="42"/>
      <c r="AG1053" s="42"/>
      <c r="AH1053" s="42"/>
      <c r="AI1053" s="42"/>
      <c r="AJ1053" s="42"/>
      <c r="AK1053" s="42"/>
      <c r="AL1053" s="42"/>
      <c r="AM1053" s="42"/>
    </row>
    <row r="1054" spans="1:39" x14ac:dyDescent="0.25">
      <c r="A1054" s="38" t="s">
        <v>1405</v>
      </c>
      <c r="B1054" s="42"/>
      <c r="C1054" s="42"/>
      <c r="D1054" s="42"/>
      <c r="E1054" s="41"/>
      <c r="F1054" s="41"/>
      <c r="G1054" s="41"/>
      <c r="H1054" s="41"/>
      <c r="I1054" s="41"/>
      <c r="J1054" s="42"/>
      <c r="K1054" s="41"/>
      <c r="L1054" s="41"/>
      <c r="M1054" s="127"/>
      <c r="N1054" s="41"/>
      <c r="O1054" s="41"/>
      <c r="P1054" s="41"/>
      <c r="Q1054" s="42"/>
      <c r="R1054" s="35"/>
      <c r="S1054" s="35"/>
      <c r="T1054" s="35"/>
      <c r="U1054" s="35"/>
      <c r="V1054" s="121"/>
      <c r="W1054" s="42"/>
      <c r="X1054" s="42"/>
      <c r="Y1054" s="42"/>
      <c r="Z1054" s="42"/>
      <c r="AA1054" s="42"/>
      <c r="AB1054" s="42"/>
      <c r="AC1054" s="42"/>
      <c r="AD1054" s="42"/>
      <c r="AE1054" s="42"/>
      <c r="AF1054" s="42"/>
      <c r="AG1054" s="42"/>
      <c r="AH1054" s="42"/>
      <c r="AI1054" s="42"/>
      <c r="AJ1054" s="42"/>
      <c r="AK1054" s="42"/>
      <c r="AL1054" s="42"/>
      <c r="AM1054" s="42"/>
    </row>
    <row r="1055" spans="1:39" x14ac:dyDescent="0.25">
      <c r="A1055" s="38" t="s">
        <v>1406</v>
      </c>
      <c r="B1055" s="42"/>
      <c r="C1055" s="42"/>
      <c r="D1055" s="42"/>
      <c r="E1055" s="41"/>
      <c r="F1055" s="41"/>
      <c r="G1055" s="41"/>
      <c r="H1055" s="41"/>
      <c r="I1055" s="41"/>
      <c r="J1055" s="42"/>
      <c r="K1055" s="41"/>
      <c r="L1055" s="41"/>
      <c r="M1055" s="127"/>
      <c r="N1055" s="41"/>
      <c r="O1055" s="41"/>
      <c r="P1055" s="41"/>
      <c r="Q1055" s="42"/>
      <c r="R1055" s="35"/>
      <c r="S1055" s="35"/>
      <c r="T1055" s="35"/>
      <c r="U1055" s="35"/>
      <c r="V1055" s="121"/>
      <c r="W1055" s="42"/>
      <c r="X1055" s="42"/>
      <c r="Y1055" s="42"/>
      <c r="Z1055" s="42"/>
      <c r="AA1055" s="42"/>
      <c r="AB1055" s="42"/>
      <c r="AC1055" s="42"/>
      <c r="AD1055" s="42"/>
      <c r="AE1055" s="42"/>
      <c r="AF1055" s="42"/>
      <c r="AG1055" s="42"/>
      <c r="AH1055" s="42"/>
      <c r="AI1055" s="42"/>
      <c r="AJ1055" s="42"/>
      <c r="AK1055" s="42"/>
      <c r="AL1055" s="42"/>
      <c r="AM1055" s="42"/>
    </row>
    <row r="1056" spans="1:39" x14ac:dyDescent="0.25">
      <c r="A1056" s="38" t="s">
        <v>1407</v>
      </c>
      <c r="B1056" s="42"/>
      <c r="C1056" s="42"/>
      <c r="D1056" s="42"/>
      <c r="E1056" s="41"/>
      <c r="F1056" s="41"/>
      <c r="G1056" s="41"/>
      <c r="H1056" s="41"/>
      <c r="I1056" s="41"/>
      <c r="J1056" s="42"/>
      <c r="K1056" s="41"/>
      <c r="L1056" s="41"/>
      <c r="M1056" s="127"/>
      <c r="N1056" s="41"/>
      <c r="O1056" s="41"/>
      <c r="P1056" s="41"/>
      <c r="Q1056" s="42"/>
      <c r="R1056" s="35"/>
      <c r="S1056" s="35"/>
      <c r="T1056" s="35"/>
      <c r="U1056" s="35"/>
      <c r="V1056" s="121"/>
      <c r="W1056" s="42"/>
      <c r="X1056" s="42"/>
      <c r="Y1056" s="42"/>
      <c r="Z1056" s="42"/>
      <c r="AA1056" s="42"/>
      <c r="AB1056" s="42"/>
      <c r="AC1056" s="42"/>
      <c r="AD1056" s="42"/>
      <c r="AE1056" s="42"/>
      <c r="AF1056" s="42"/>
      <c r="AG1056" s="42"/>
      <c r="AH1056" s="42"/>
      <c r="AI1056" s="42"/>
      <c r="AJ1056" s="42"/>
      <c r="AK1056" s="42"/>
      <c r="AL1056" s="42"/>
      <c r="AM1056" s="42"/>
    </row>
    <row r="1057" spans="1:39" x14ac:dyDescent="0.25">
      <c r="A1057" s="38" t="s">
        <v>1408</v>
      </c>
      <c r="B1057" s="42"/>
      <c r="C1057" s="42"/>
      <c r="D1057" s="42"/>
      <c r="E1057" s="41"/>
      <c r="F1057" s="41"/>
      <c r="G1057" s="41"/>
      <c r="H1057" s="41"/>
      <c r="I1057" s="41"/>
      <c r="J1057" s="42"/>
      <c r="K1057" s="41"/>
      <c r="L1057" s="41"/>
      <c r="M1057" s="127"/>
      <c r="N1057" s="41"/>
      <c r="O1057" s="41"/>
      <c r="P1057" s="41"/>
      <c r="Q1057" s="42"/>
      <c r="R1057" s="35"/>
      <c r="S1057" s="35"/>
      <c r="T1057" s="35"/>
      <c r="U1057" s="35"/>
      <c r="V1057" s="121"/>
      <c r="W1057" s="42"/>
      <c r="X1057" s="42"/>
      <c r="Y1057" s="42"/>
      <c r="Z1057" s="42"/>
      <c r="AA1057" s="42"/>
      <c r="AB1057" s="42"/>
      <c r="AC1057" s="42"/>
      <c r="AD1057" s="42"/>
      <c r="AE1057" s="42"/>
      <c r="AF1057" s="42"/>
      <c r="AG1057" s="42"/>
      <c r="AH1057" s="42"/>
      <c r="AI1057" s="42"/>
      <c r="AJ1057" s="42"/>
      <c r="AK1057" s="42"/>
      <c r="AL1057" s="42"/>
      <c r="AM1057" s="42"/>
    </row>
    <row r="1058" spans="1:39" x14ac:dyDescent="0.25">
      <c r="A1058" s="38" t="s">
        <v>1409</v>
      </c>
      <c r="B1058" s="42"/>
      <c r="C1058" s="42"/>
      <c r="D1058" s="42"/>
      <c r="E1058" s="41"/>
      <c r="F1058" s="41"/>
      <c r="G1058" s="41"/>
      <c r="H1058" s="41"/>
      <c r="I1058" s="41"/>
      <c r="J1058" s="42"/>
      <c r="K1058" s="41"/>
      <c r="L1058" s="41"/>
      <c r="M1058" s="127"/>
      <c r="N1058" s="41"/>
      <c r="O1058" s="41"/>
      <c r="P1058" s="41"/>
      <c r="Q1058" s="42"/>
      <c r="R1058" s="35"/>
      <c r="S1058" s="35"/>
      <c r="T1058" s="35"/>
      <c r="U1058" s="35"/>
      <c r="V1058" s="121"/>
      <c r="W1058" s="42"/>
      <c r="X1058" s="42"/>
      <c r="Y1058" s="42"/>
      <c r="Z1058" s="42"/>
      <c r="AA1058" s="42"/>
      <c r="AB1058" s="42"/>
      <c r="AC1058" s="42"/>
      <c r="AD1058" s="42"/>
      <c r="AE1058" s="42"/>
      <c r="AF1058" s="42"/>
      <c r="AG1058" s="42"/>
      <c r="AH1058" s="42"/>
      <c r="AI1058" s="42"/>
      <c r="AJ1058" s="42"/>
      <c r="AK1058" s="42"/>
      <c r="AL1058" s="42"/>
      <c r="AM1058" s="42"/>
    </row>
    <row r="1059" spans="1:39" x14ac:dyDescent="0.25">
      <c r="A1059" s="38" t="s">
        <v>1410</v>
      </c>
      <c r="B1059" s="42"/>
      <c r="C1059" s="42"/>
      <c r="D1059" s="42"/>
      <c r="E1059" s="41"/>
      <c r="F1059" s="41"/>
      <c r="G1059" s="41"/>
      <c r="H1059" s="41"/>
      <c r="I1059" s="41"/>
      <c r="J1059" s="42"/>
      <c r="K1059" s="41"/>
      <c r="L1059" s="41"/>
      <c r="M1059" s="127"/>
      <c r="N1059" s="41"/>
      <c r="O1059" s="41"/>
      <c r="P1059" s="41"/>
      <c r="Q1059" s="42"/>
      <c r="R1059" s="35"/>
      <c r="S1059" s="35"/>
      <c r="T1059" s="35"/>
      <c r="U1059" s="35"/>
      <c r="V1059" s="121"/>
      <c r="W1059" s="42"/>
      <c r="X1059" s="42"/>
      <c r="Y1059" s="42"/>
      <c r="Z1059" s="42"/>
      <c r="AA1059" s="42"/>
      <c r="AB1059" s="42"/>
      <c r="AC1059" s="42"/>
      <c r="AD1059" s="42"/>
      <c r="AE1059" s="42"/>
      <c r="AF1059" s="42"/>
      <c r="AG1059" s="42"/>
      <c r="AH1059" s="42"/>
      <c r="AI1059" s="42"/>
      <c r="AJ1059" s="42"/>
      <c r="AK1059" s="42"/>
      <c r="AL1059" s="42"/>
      <c r="AM1059" s="42"/>
    </row>
    <row r="1060" spans="1:39" x14ac:dyDescent="0.25">
      <c r="A1060" s="38" t="s">
        <v>1411</v>
      </c>
      <c r="B1060" s="42"/>
      <c r="C1060" s="42"/>
      <c r="D1060" s="42"/>
      <c r="E1060" s="41"/>
      <c r="F1060" s="41"/>
      <c r="G1060" s="41"/>
      <c r="H1060" s="41"/>
      <c r="I1060" s="41"/>
      <c r="J1060" s="42"/>
      <c r="K1060" s="41"/>
      <c r="L1060" s="41"/>
      <c r="M1060" s="127"/>
      <c r="N1060" s="41"/>
      <c r="O1060" s="41"/>
      <c r="P1060" s="41"/>
      <c r="Q1060" s="42"/>
      <c r="R1060" s="35"/>
      <c r="S1060" s="35"/>
      <c r="T1060" s="35"/>
      <c r="U1060" s="35"/>
      <c r="V1060" s="121"/>
      <c r="W1060" s="42"/>
      <c r="X1060" s="42"/>
      <c r="Y1060" s="42"/>
      <c r="Z1060" s="42"/>
      <c r="AA1060" s="42"/>
      <c r="AB1060" s="42"/>
      <c r="AC1060" s="42"/>
      <c r="AD1060" s="42"/>
      <c r="AE1060" s="42"/>
      <c r="AF1060" s="42"/>
      <c r="AG1060" s="42"/>
      <c r="AH1060" s="42"/>
      <c r="AI1060" s="42"/>
      <c r="AJ1060" s="42"/>
      <c r="AK1060" s="42"/>
      <c r="AL1060" s="42"/>
      <c r="AM1060" s="42"/>
    </row>
    <row r="1061" spans="1:39" x14ac:dyDescent="0.25">
      <c r="A1061" s="38" t="s">
        <v>1412</v>
      </c>
      <c r="B1061" s="42"/>
      <c r="C1061" s="42"/>
      <c r="D1061" s="42"/>
      <c r="E1061" s="41"/>
      <c r="F1061" s="41"/>
      <c r="G1061" s="41"/>
      <c r="H1061" s="41"/>
      <c r="I1061" s="41"/>
      <c r="J1061" s="42"/>
      <c r="K1061" s="41"/>
      <c r="L1061" s="41"/>
      <c r="M1061" s="127"/>
      <c r="N1061" s="41"/>
      <c r="O1061" s="41"/>
      <c r="P1061" s="41"/>
      <c r="Q1061" s="42"/>
      <c r="R1061" s="35"/>
      <c r="S1061" s="35"/>
      <c r="T1061" s="35"/>
      <c r="U1061" s="35"/>
      <c r="V1061" s="121"/>
      <c r="W1061" s="42"/>
      <c r="X1061" s="42"/>
      <c r="Y1061" s="42"/>
      <c r="Z1061" s="42"/>
      <c r="AA1061" s="42"/>
      <c r="AB1061" s="42"/>
      <c r="AC1061" s="42"/>
      <c r="AD1061" s="42"/>
      <c r="AE1061" s="42"/>
      <c r="AF1061" s="42"/>
      <c r="AG1061" s="42"/>
      <c r="AH1061" s="42"/>
      <c r="AI1061" s="42"/>
      <c r="AJ1061" s="42"/>
      <c r="AK1061" s="42"/>
      <c r="AL1061" s="42"/>
      <c r="AM1061" s="42"/>
    </row>
    <row r="1062" spans="1:39" x14ac:dyDescent="0.25">
      <c r="A1062" s="38" t="s">
        <v>1413</v>
      </c>
      <c r="B1062" s="42"/>
      <c r="C1062" s="42"/>
      <c r="D1062" s="42"/>
      <c r="E1062" s="41"/>
      <c r="F1062" s="41"/>
      <c r="G1062" s="41"/>
      <c r="H1062" s="41"/>
      <c r="I1062" s="41"/>
      <c r="J1062" s="42"/>
      <c r="K1062" s="41"/>
      <c r="L1062" s="41"/>
      <c r="M1062" s="127"/>
      <c r="N1062" s="41"/>
      <c r="O1062" s="41"/>
      <c r="P1062" s="41"/>
      <c r="Q1062" s="42"/>
      <c r="R1062" s="35"/>
      <c r="S1062" s="35"/>
      <c r="T1062" s="35"/>
      <c r="U1062" s="35"/>
      <c r="V1062" s="121"/>
      <c r="W1062" s="42"/>
      <c r="X1062" s="42"/>
      <c r="Y1062" s="42"/>
      <c r="Z1062" s="42"/>
      <c r="AA1062" s="42"/>
      <c r="AB1062" s="42"/>
      <c r="AC1062" s="42"/>
      <c r="AD1062" s="42"/>
      <c r="AE1062" s="42"/>
      <c r="AF1062" s="42"/>
      <c r="AG1062" s="42"/>
      <c r="AH1062" s="42"/>
      <c r="AI1062" s="42"/>
      <c r="AJ1062" s="42"/>
      <c r="AK1062" s="42"/>
      <c r="AL1062" s="42"/>
      <c r="AM1062" s="42"/>
    </row>
    <row r="1063" spans="1:39" x14ac:dyDescent="0.25">
      <c r="A1063" s="38" t="s">
        <v>1414</v>
      </c>
      <c r="B1063" s="42"/>
      <c r="C1063" s="42"/>
      <c r="D1063" s="42"/>
      <c r="E1063" s="41"/>
      <c r="F1063" s="41"/>
      <c r="G1063" s="41"/>
      <c r="H1063" s="41"/>
      <c r="I1063" s="41"/>
      <c r="J1063" s="42"/>
      <c r="K1063" s="41"/>
      <c r="L1063" s="41"/>
      <c r="M1063" s="127"/>
      <c r="N1063" s="41"/>
      <c r="O1063" s="41"/>
      <c r="P1063" s="41"/>
      <c r="Q1063" s="42"/>
      <c r="R1063" s="35"/>
      <c r="S1063" s="35"/>
      <c r="T1063" s="35"/>
      <c r="U1063" s="35"/>
      <c r="V1063" s="121"/>
      <c r="W1063" s="42"/>
      <c r="X1063" s="42"/>
      <c r="Y1063" s="42"/>
      <c r="Z1063" s="42"/>
      <c r="AA1063" s="42"/>
      <c r="AB1063" s="42"/>
      <c r="AC1063" s="42"/>
      <c r="AD1063" s="42"/>
      <c r="AE1063" s="42"/>
      <c r="AF1063" s="42"/>
      <c r="AG1063" s="42"/>
      <c r="AH1063" s="42"/>
      <c r="AI1063" s="42"/>
      <c r="AJ1063" s="42"/>
      <c r="AK1063" s="42"/>
      <c r="AL1063" s="42"/>
      <c r="AM1063" s="42"/>
    </row>
    <row r="1064" spans="1:39" x14ac:dyDescent="0.25">
      <c r="A1064" s="38" t="s">
        <v>1415</v>
      </c>
      <c r="B1064" s="42"/>
      <c r="C1064" s="42"/>
      <c r="D1064" s="42"/>
      <c r="E1064" s="41"/>
      <c r="F1064" s="41"/>
      <c r="G1064" s="41"/>
      <c r="H1064" s="41"/>
      <c r="I1064" s="41"/>
      <c r="J1064" s="42"/>
      <c r="K1064" s="41"/>
      <c r="L1064" s="41"/>
      <c r="M1064" s="127"/>
      <c r="N1064" s="41"/>
      <c r="O1064" s="41"/>
      <c r="P1064" s="41"/>
      <c r="Q1064" s="42"/>
      <c r="R1064" s="35"/>
      <c r="S1064" s="35"/>
      <c r="T1064" s="35"/>
      <c r="U1064" s="35"/>
      <c r="V1064" s="121"/>
      <c r="W1064" s="42"/>
      <c r="X1064" s="42"/>
      <c r="Y1064" s="42"/>
      <c r="Z1064" s="42"/>
      <c r="AA1064" s="42"/>
      <c r="AB1064" s="42"/>
      <c r="AC1064" s="42"/>
      <c r="AD1064" s="42"/>
      <c r="AE1064" s="42"/>
      <c r="AF1064" s="42"/>
      <c r="AG1064" s="42"/>
      <c r="AH1064" s="42"/>
      <c r="AI1064" s="42"/>
      <c r="AJ1064" s="42"/>
      <c r="AK1064" s="42"/>
      <c r="AL1064" s="42"/>
      <c r="AM1064" s="42"/>
    </row>
    <row r="1065" spans="1:39" x14ac:dyDescent="0.25">
      <c r="A1065" s="38" t="s">
        <v>1416</v>
      </c>
      <c r="B1065" s="42"/>
      <c r="C1065" s="42"/>
      <c r="D1065" s="42"/>
      <c r="E1065" s="41"/>
      <c r="F1065" s="41"/>
      <c r="G1065" s="41"/>
      <c r="H1065" s="41"/>
      <c r="I1065" s="41"/>
      <c r="J1065" s="42"/>
      <c r="K1065" s="41"/>
      <c r="L1065" s="41"/>
      <c r="M1065" s="127"/>
      <c r="N1065" s="41"/>
      <c r="O1065" s="41"/>
      <c r="P1065" s="41"/>
      <c r="Q1065" s="42"/>
      <c r="R1065" s="35"/>
      <c r="S1065" s="35"/>
      <c r="T1065" s="35"/>
      <c r="U1065" s="35"/>
      <c r="V1065" s="121"/>
      <c r="W1065" s="42"/>
      <c r="X1065" s="42"/>
      <c r="Y1065" s="42"/>
      <c r="Z1065" s="42"/>
      <c r="AA1065" s="42"/>
      <c r="AB1065" s="42"/>
      <c r="AC1065" s="42"/>
      <c r="AD1065" s="42"/>
      <c r="AE1065" s="42"/>
      <c r="AF1065" s="42"/>
      <c r="AG1065" s="42"/>
      <c r="AH1065" s="42"/>
      <c r="AI1065" s="42"/>
      <c r="AJ1065" s="42"/>
      <c r="AK1065" s="42"/>
      <c r="AL1065" s="42"/>
      <c r="AM1065" s="42"/>
    </row>
    <row r="1066" spans="1:39" x14ac:dyDescent="0.25">
      <c r="A1066" s="38" t="s">
        <v>1417</v>
      </c>
      <c r="B1066" s="42"/>
      <c r="C1066" s="42"/>
      <c r="D1066" s="42"/>
      <c r="E1066" s="41"/>
      <c r="F1066" s="41"/>
      <c r="G1066" s="41"/>
      <c r="H1066" s="41"/>
      <c r="I1066" s="41"/>
      <c r="J1066" s="42"/>
      <c r="K1066" s="41"/>
      <c r="L1066" s="41"/>
      <c r="M1066" s="127"/>
      <c r="N1066" s="41"/>
      <c r="O1066" s="41"/>
      <c r="P1066" s="41"/>
      <c r="Q1066" s="42"/>
      <c r="R1066" s="35"/>
      <c r="S1066" s="35"/>
      <c r="T1066" s="35"/>
      <c r="U1066" s="35"/>
      <c r="V1066" s="121"/>
      <c r="W1066" s="42"/>
      <c r="X1066" s="42"/>
      <c r="Y1066" s="42"/>
      <c r="Z1066" s="42"/>
      <c r="AA1066" s="42"/>
      <c r="AB1066" s="42"/>
      <c r="AC1066" s="42"/>
      <c r="AD1066" s="42"/>
      <c r="AE1066" s="42"/>
      <c r="AF1066" s="42"/>
      <c r="AG1066" s="42"/>
      <c r="AH1066" s="42"/>
      <c r="AI1066" s="42"/>
      <c r="AJ1066" s="42"/>
      <c r="AK1066" s="42"/>
      <c r="AL1066" s="42"/>
      <c r="AM1066" s="42"/>
    </row>
    <row r="1067" spans="1:39" x14ac:dyDescent="0.25">
      <c r="A1067" s="38" t="s">
        <v>1418</v>
      </c>
      <c r="B1067" s="42"/>
      <c r="C1067" s="42"/>
      <c r="D1067" s="42"/>
      <c r="E1067" s="41"/>
      <c r="F1067" s="41"/>
      <c r="G1067" s="41"/>
      <c r="H1067" s="41"/>
      <c r="I1067" s="41"/>
      <c r="J1067" s="42"/>
      <c r="K1067" s="41"/>
      <c r="L1067" s="41"/>
      <c r="M1067" s="127"/>
      <c r="N1067" s="41"/>
      <c r="O1067" s="41"/>
      <c r="P1067" s="41"/>
      <c r="Q1067" s="42"/>
      <c r="R1067" s="35"/>
      <c r="S1067" s="35"/>
      <c r="T1067" s="35"/>
      <c r="U1067" s="35"/>
      <c r="V1067" s="121"/>
      <c r="W1067" s="42"/>
      <c r="X1067" s="42"/>
      <c r="Y1067" s="42"/>
      <c r="Z1067" s="42"/>
      <c r="AA1067" s="42"/>
      <c r="AB1067" s="42"/>
      <c r="AC1067" s="42"/>
      <c r="AD1067" s="42"/>
      <c r="AE1067" s="42"/>
      <c r="AF1067" s="42"/>
      <c r="AG1067" s="42"/>
      <c r="AH1067" s="42"/>
      <c r="AI1067" s="42"/>
      <c r="AJ1067" s="42"/>
      <c r="AK1067" s="42"/>
      <c r="AL1067" s="42"/>
      <c r="AM1067" s="42"/>
    </row>
    <row r="1068" spans="1:39" x14ac:dyDescent="0.25">
      <c r="A1068" s="38" t="s">
        <v>1419</v>
      </c>
      <c r="B1068" s="42"/>
      <c r="C1068" s="42"/>
      <c r="D1068" s="42"/>
      <c r="E1068" s="41"/>
      <c r="F1068" s="41"/>
      <c r="G1068" s="41"/>
      <c r="H1068" s="41"/>
      <c r="I1068" s="41"/>
      <c r="J1068" s="42"/>
      <c r="K1068" s="41"/>
      <c r="L1068" s="41"/>
      <c r="M1068" s="127"/>
      <c r="N1068" s="41"/>
      <c r="O1068" s="41"/>
      <c r="P1068" s="41"/>
      <c r="Q1068" s="42"/>
      <c r="R1068" s="35"/>
      <c r="S1068" s="35"/>
      <c r="T1068" s="35"/>
      <c r="U1068" s="35"/>
      <c r="V1068" s="121"/>
      <c r="W1068" s="42"/>
      <c r="X1068" s="42"/>
      <c r="Y1068" s="42"/>
      <c r="Z1068" s="42"/>
      <c r="AA1068" s="42"/>
      <c r="AB1068" s="42"/>
      <c r="AC1068" s="42"/>
      <c r="AD1068" s="42"/>
      <c r="AE1068" s="42"/>
      <c r="AF1068" s="42"/>
      <c r="AG1068" s="42"/>
      <c r="AH1068" s="42"/>
      <c r="AI1068" s="42"/>
      <c r="AJ1068" s="42"/>
      <c r="AK1068" s="42"/>
      <c r="AL1068" s="42"/>
      <c r="AM1068" s="42"/>
    </row>
    <row r="1069" spans="1:39" x14ac:dyDescent="0.25">
      <c r="A1069" s="38" t="s">
        <v>1420</v>
      </c>
      <c r="B1069" s="42"/>
      <c r="C1069" s="42"/>
      <c r="D1069" s="42"/>
      <c r="E1069" s="41"/>
      <c r="F1069" s="41"/>
      <c r="G1069" s="41"/>
      <c r="H1069" s="41"/>
      <c r="I1069" s="41"/>
      <c r="J1069" s="42"/>
      <c r="K1069" s="41"/>
      <c r="L1069" s="41"/>
      <c r="M1069" s="127"/>
      <c r="N1069" s="41"/>
      <c r="O1069" s="41"/>
      <c r="P1069" s="41"/>
      <c r="Q1069" s="42"/>
      <c r="R1069" s="35"/>
      <c r="S1069" s="35"/>
      <c r="T1069" s="35"/>
      <c r="U1069" s="35"/>
      <c r="V1069" s="121"/>
      <c r="W1069" s="42"/>
      <c r="X1069" s="42"/>
      <c r="Y1069" s="42"/>
      <c r="Z1069" s="42"/>
      <c r="AA1069" s="42"/>
      <c r="AB1069" s="42"/>
      <c r="AC1069" s="42"/>
      <c r="AD1069" s="42"/>
      <c r="AE1069" s="42"/>
      <c r="AF1069" s="42"/>
      <c r="AG1069" s="42"/>
      <c r="AH1069" s="42"/>
      <c r="AI1069" s="42"/>
      <c r="AJ1069" s="42"/>
      <c r="AK1069" s="42"/>
      <c r="AL1069" s="42"/>
      <c r="AM1069" s="42"/>
    </row>
    <row r="1070" spans="1:39" x14ac:dyDescent="0.25">
      <c r="A1070" s="38" t="s">
        <v>1421</v>
      </c>
      <c r="B1070" s="42"/>
      <c r="C1070" s="42"/>
      <c r="D1070" s="42"/>
      <c r="E1070" s="41"/>
      <c r="F1070" s="41"/>
      <c r="G1070" s="41"/>
      <c r="H1070" s="41"/>
      <c r="I1070" s="41"/>
      <c r="J1070" s="42"/>
      <c r="K1070" s="41"/>
      <c r="L1070" s="41"/>
      <c r="M1070" s="127"/>
      <c r="N1070" s="41"/>
      <c r="O1070" s="41"/>
      <c r="P1070" s="41"/>
      <c r="Q1070" s="42"/>
      <c r="R1070" s="35"/>
      <c r="S1070" s="35"/>
      <c r="T1070" s="35"/>
      <c r="U1070" s="35"/>
      <c r="V1070" s="121"/>
      <c r="W1070" s="42"/>
      <c r="X1070" s="42"/>
      <c r="Y1070" s="42"/>
      <c r="Z1070" s="42"/>
      <c r="AA1070" s="42"/>
      <c r="AB1070" s="42"/>
      <c r="AC1070" s="42"/>
      <c r="AD1070" s="42"/>
      <c r="AE1070" s="42"/>
      <c r="AF1070" s="42"/>
      <c r="AG1070" s="42"/>
      <c r="AH1070" s="42"/>
      <c r="AI1070" s="42"/>
      <c r="AJ1070" s="42"/>
      <c r="AK1070" s="42"/>
      <c r="AL1070" s="42"/>
      <c r="AM1070" s="42"/>
    </row>
    <row r="1071" spans="1:39" x14ac:dyDescent="0.25">
      <c r="A1071" s="38" t="s">
        <v>1422</v>
      </c>
      <c r="B1071" s="42"/>
      <c r="C1071" s="42"/>
      <c r="D1071" s="42"/>
      <c r="E1071" s="41"/>
      <c r="F1071" s="41"/>
      <c r="G1071" s="41"/>
      <c r="H1071" s="41"/>
      <c r="I1071" s="41"/>
      <c r="J1071" s="42"/>
      <c r="K1071" s="41"/>
      <c r="L1071" s="41"/>
      <c r="M1071" s="127"/>
      <c r="N1071" s="41"/>
      <c r="O1071" s="41"/>
      <c r="P1071" s="41"/>
      <c r="Q1071" s="42"/>
      <c r="R1071" s="35"/>
      <c r="S1071" s="35"/>
      <c r="T1071" s="35"/>
      <c r="U1071" s="35"/>
      <c r="V1071" s="121"/>
      <c r="W1071" s="42"/>
      <c r="X1071" s="42"/>
      <c r="Y1071" s="42"/>
      <c r="Z1071" s="42"/>
      <c r="AA1071" s="42"/>
      <c r="AB1071" s="42"/>
      <c r="AC1071" s="42"/>
      <c r="AD1071" s="42"/>
      <c r="AE1071" s="42"/>
      <c r="AF1071" s="42"/>
      <c r="AG1071" s="42"/>
      <c r="AH1071" s="42"/>
      <c r="AI1071" s="42"/>
      <c r="AJ1071" s="42"/>
      <c r="AK1071" s="42"/>
      <c r="AL1071" s="42"/>
      <c r="AM1071" s="42"/>
    </row>
    <row r="1072" spans="1:39" x14ac:dyDescent="0.25">
      <c r="A1072" s="38" t="s">
        <v>1423</v>
      </c>
      <c r="B1072" s="42"/>
      <c r="C1072" s="42"/>
      <c r="D1072" s="42"/>
      <c r="E1072" s="41"/>
      <c r="F1072" s="41"/>
      <c r="G1072" s="41"/>
      <c r="H1072" s="41"/>
      <c r="I1072" s="41"/>
      <c r="J1072" s="42"/>
      <c r="K1072" s="41"/>
      <c r="L1072" s="41"/>
      <c r="M1072" s="127"/>
      <c r="N1072" s="41"/>
      <c r="O1072" s="41"/>
      <c r="P1072" s="41"/>
      <c r="Q1072" s="42"/>
      <c r="R1072" s="35"/>
      <c r="S1072" s="35"/>
      <c r="T1072" s="35"/>
      <c r="U1072" s="35"/>
      <c r="V1072" s="121"/>
      <c r="W1072" s="42"/>
      <c r="X1072" s="42"/>
      <c r="Y1072" s="42"/>
      <c r="Z1072" s="42"/>
      <c r="AA1072" s="42"/>
      <c r="AB1072" s="42"/>
      <c r="AC1072" s="42"/>
      <c r="AD1072" s="42"/>
      <c r="AE1072" s="42"/>
      <c r="AF1072" s="42"/>
      <c r="AG1072" s="42"/>
      <c r="AH1072" s="42"/>
      <c r="AI1072" s="42"/>
      <c r="AJ1072" s="42"/>
      <c r="AK1072" s="42"/>
      <c r="AL1072" s="42"/>
      <c r="AM1072" s="42"/>
    </row>
    <row r="1073" spans="1:39" x14ac:dyDescent="0.25">
      <c r="A1073" s="38" t="s">
        <v>1424</v>
      </c>
      <c r="B1073" s="42"/>
      <c r="C1073" s="42"/>
      <c r="D1073" s="42"/>
      <c r="E1073" s="41"/>
      <c r="F1073" s="41"/>
      <c r="G1073" s="41"/>
      <c r="H1073" s="41"/>
      <c r="I1073" s="41"/>
      <c r="J1073" s="42"/>
      <c r="K1073" s="41"/>
      <c r="L1073" s="41"/>
      <c r="M1073" s="127"/>
      <c r="N1073" s="41"/>
      <c r="O1073" s="41"/>
      <c r="P1073" s="41"/>
      <c r="Q1073" s="42"/>
      <c r="R1073" s="35"/>
      <c r="S1073" s="35"/>
      <c r="T1073" s="35"/>
      <c r="U1073" s="35"/>
      <c r="V1073" s="121"/>
      <c r="W1073" s="42"/>
      <c r="X1073" s="42"/>
      <c r="Y1073" s="42"/>
      <c r="Z1073" s="42"/>
      <c r="AA1073" s="42"/>
      <c r="AB1073" s="42"/>
      <c r="AC1073" s="42"/>
      <c r="AD1073" s="42"/>
      <c r="AE1073" s="42"/>
      <c r="AF1073" s="42"/>
      <c r="AG1073" s="42"/>
      <c r="AH1073" s="42"/>
      <c r="AI1073" s="42"/>
      <c r="AJ1073" s="42"/>
      <c r="AK1073" s="42"/>
      <c r="AL1073" s="42"/>
      <c r="AM1073" s="42"/>
    </row>
    <row r="1074" spans="1:39" x14ac:dyDescent="0.25">
      <c r="A1074" s="38" t="s">
        <v>1425</v>
      </c>
      <c r="B1074" s="42"/>
      <c r="C1074" s="42"/>
      <c r="D1074" s="42"/>
      <c r="E1074" s="41"/>
      <c r="F1074" s="41"/>
      <c r="G1074" s="41"/>
      <c r="H1074" s="41"/>
      <c r="I1074" s="41"/>
      <c r="J1074" s="42"/>
      <c r="K1074" s="41"/>
      <c r="L1074" s="41"/>
      <c r="M1074" s="127"/>
      <c r="N1074" s="41"/>
      <c r="O1074" s="41"/>
      <c r="P1074" s="41"/>
      <c r="Q1074" s="42"/>
      <c r="R1074" s="35"/>
      <c r="S1074" s="35"/>
      <c r="T1074" s="35"/>
      <c r="U1074" s="35"/>
      <c r="V1074" s="121"/>
      <c r="W1074" s="42"/>
      <c r="X1074" s="42"/>
      <c r="Y1074" s="42"/>
      <c r="Z1074" s="42"/>
      <c r="AA1074" s="42"/>
      <c r="AB1074" s="42"/>
      <c r="AC1074" s="42"/>
      <c r="AD1074" s="42"/>
      <c r="AE1074" s="42"/>
      <c r="AF1074" s="42"/>
      <c r="AG1074" s="42"/>
      <c r="AH1074" s="42"/>
      <c r="AI1074" s="42"/>
      <c r="AJ1074" s="42"/>
      <c r="AK1074" s="42"/>
      <c r="AL1074" s="42"/>
      <c r="AM1074" s="42"/>
    </row>
    <row r="1075" spans="1:39" x14ac:dyDescent="0.25">
      <c r="A1075" s="38" t="s">
        <v>1426</v>
      </c>
      <c r="B1075" s="42"/>
      <c r="C1075" s="42"/>
      <c r="D1075" s="42"/>
      <c r="E1075" s="41"/>
      <c r="F1075" s="41"/>
      <c r="G1075" s="41"/>
      <c r="H1075" s="41"/>
      <c r="I1075" s="41"/>
      <c r="J1075" s="42"/>
      <c r="K1075" s="41"/>
      <c r="L1075" s="41"/>
      <c r="M1075" s="127"/>
      <c r="N1075" s="41"/>
      <c r="O1075" s="41"/>
      <c r="P1075" s="41"/>
      <c r="Q1075" s="42"/>
      <c r="R1075" s="35"/>
      <c r="S1075" s="35"/>
      <c r="T1075" s="35"/>
      <c r="U1075" s="35"/>
      <c r="V1075" s="121"/>
      <c r="W1075" s="42"/>
      <c r="X1075" s="42"/>
      <c r="Y1075" s="42"/>
      <c r="Z1075" s="42"/>
      <c r="AA1075" s="42"/>
      <c r="AB1075" s="42"/>
      <c r="AC1075" s="42"/>
      <c r="AD1075" s="42"/>
      <c r="AE1075" s="42"/>
      <c r="AF1075" s="42"/>
      <c r="AG1075" s="42"/>
      <c r="AH1075" s="42"/>
      <c r="AI1075" s="42"/>
      <c r="AJ1075" s="42"/>
      <c r="AK1075" s="42"/>
      <c r="AL1075" s="42"/>
      <c r="AM1075" s="42"/>
    </row>
    <row r="1076" spans="1:39" x14ac:dyDescent="0.25">
      <c r="A1076" s="38" t="s">
        <v>1427</v>
      </c>
      <c r="B1076" s="42"/>
      <c r="C1076" s="42"/>
      <c r="D1076" s="42"/>
      <c r="E1076" s="41"/>
      <c r="F1076" s="41"/>
      <c r="G1076" s="41"/>
      <c r="H1076" s="41"/>
      <c r="I1076" s="41"/>
      <c r="J1076" s="42"/>
      <c r="K1076" s="41"/>
      <c r="L1076" s="41"/>
      <c r="M1076" s="127"/>
      <c r="N1076" s="41"/>
      <c r="O1076" s="41"/>
      <c r="P1076" s="41"/>
      <c r="Q1076" s="42"/>
      <c r="R1076" s="35"/>
      <c r="S1076" s="35"/>
      <c r="T1076" s="35"/>
      <c r="U1076" s="35"/>
      <c r="V1076" s="121"/>
      <c r="W1076" s="42"/>
      <c r="X1076" s="42"/>
      <c r="Y1076" s="42"/>
      <c r="Z1076" s="42"/>
      <c r="AA1076" s="42"/>
      <c r="AB1076" s="42"/>
      <c r="AC1076" s="42"/>
      <c r="AD1076" s="42"/>
      <c r="AE1076" s="42"/>
      <c r="AF1076" s="42"/>
      <c r="AG1076" s="42"/>
      <c r="AH1076" s="42"/>
      <c r="AI1076" s="42"/>
      <c r="AJ1076" s="42"/>
      <c r="AK1076" s="42"/>
      <c r="AL1076" s="42"/>
      <c r="AM1076" s="42"/>
    </row>
    <row r="1077" spans="1:39" x14ac:dyDescent="0.25">
      <c r="A1077" s="38" t="s">
        <v>1428</v>
      </c>
      <c r="B1077" s="42"/>
      <c r="C1077" s="42"/>
      <c r="D1077" s="42"/>
      <c r="E1077" s="41"/>
      <c r="F1077" s="41"/>
      <c r="G1077" s="41"/>
      <c r="H1077" s="41"/>
      <c r="I1077" s="41"/>
      <c r="J1077" s="42"/>
      <c r="K1077" s="41"/>
      <c r="L1077" s="41"/>
      <c r="M1077" s="127"/>
      <c r="N1077" s="41"/>
      <c r="O1077" s="41"/>
      <c r="P1077" s="41"/>
      <c r="Q1077" s="42"/>
      <c r="R1077" s="35"/>
      <c r="S1077" s="35"/>
      <c r="T1077" s="35"/>
      <c r="U1077" s="35"/>
      <c r="V1077" s="121"/>
      <c r="W1077" s="42"/>
      <c r="X1077" s="42"/>
      <c r="Y1077" s="42"/>
      <c r="Z1077" s="42"/>
      <c r="AA1077" s="42"/>
      <c r="AB1077" s="42"/>
      <c r="AC1077" s="42"/>
      <c r="AD1077" s="42"/>
      <c r="AE1077" s="42"/>
      <c r="AF1077" s="42"/>
      <c r="AG1077" s="42"/>
      <c r="AH1077" s="42"/>
      <c r="AI1077" s="42"/>
      <c r="AJ1077" s="42"/>
      <c r="AK1077" s="42"/>
      <c r="AL1077" s="42"/>
      <c r="AM1077" s="42"/>
    </row>
    <row r="1078" spans="1:39" x14ac:dyDescent="0.25">
      <c r="A1078" s="38" t="s">
        <v>1429</v>
      </c>
      <c r="B1078" s="42"/>
      <c r="C1078" s="42"/>
      <c r="D1078" s="42"/>
      <c r="E1078" s="41"/>
      <c r="F1078" s="41"/>
      <c r="G1078" s="41"/>
      <c r="H1078" s="41"/>
      <c r="I1078" s="41"/>
      <c r="J1078" s="42"/>
      <c r="K1078" s="41"/>
      <c r="L1078" s="41"/>
      <c r="M1078" s="127"/>
      <c r="N1078" s="41"/>
      <c r="O1078" s="41"/>
      <c r="P1078" s="41"/>
      <c r="Q1078" s="42"/>
      <c r="R1078" s="35"/>
      <c r="S1078" s="35"/>
      <c r="T1078" s="35"/>
      <c r="U1078" s="35"/>
      <c r="V1078" s="121"/>
      <c r="W1078" s="42"/>
      <c r="X1078" s="42"/>
      <c r="Y1078" s="42"/>
      <c r="Z1078" s="42"/>
      <c r="AA1078" s="42"/>
      <c r="AB1078" s="42"/>
      <c r="AC1078" s="42"/>
      <c r="AD1078" s="42"/>
      <c r="AE1078" s="42"/>
      <c r="AF1078" s="42"/>
      <c r="AG1078" s="42"/>
      <c r="AH1078" s="42"/>
      <c r="AI1078" s="42"/>
      <c r="AJ1078" s="42"/>
      <c r="AK1078" s="42"/>
      <c r="AL1078" s="42"/>
      <c r="AM1078" s="42"/>
    </row>
    <row r="1079" spans="1:39" x14ac:dyDescent="0.25">
      <c r="A1079" s="38" t="s">
        <v>1430</v>
      </c>
      <c r="B1079" s="42"/>
      <c r="C1079" s="42"/>
      <c r="D1079" s="42"/>
      <c r="E1079" s="41"/>
      <c r="F1079" s="41"/>
      <c r="G1079" s="41"/>
      <c r="H1079" s="41"/>
      <c r="I1079" s="41"/>
      <c r="J1079" s="42"/>
      <c r="K1079" s="41"/>
      <c r="L1079" s="41"/>
      <c r="M1079" s="127"/>
      <c r="N1079" s="41"/>
      <c r="O1079" s="41"/>
      <c r="P1079" s="41"/>
      <c r="Q1079" s="42"/>
      <c r="R1079" s="35"/>
      <c r="S1079" s="35"/>
      <c r="T1079" s="35"/>
      <c r="U1079" s="35"/>
      <c r="V1079" s="121"/>
      <c r="W1079" s="42"/>
      <c r="X1079" s="42"/>
      <c r="Y1079" s="42"/>
      <c r="Z1079" s="42"/>
      <c r="AA1079" s="42"/>
      <c r="AB1079" s="42"/>
      <c r="AC1079" s="42"/>
      <c r="AD1079" s="42"/>
      <c r="AE1079" s="42"/>
      <c r="AF1079" s="42"/>
      <c r="AG1079" s="42"/>
      <c r="AH1079" s="42"/>
      <c r="AI1079" s="42"/>
      <c r="AJ1079" s="42"/>
      <c r="AK1079" s="42"/>
      <c r="AL1079" s="42"/>
      <c r="AM1079" s="42"/>
    </row>
    <row r="1080" spans="1:39" x14ac:dyDescent="0.25">
      <c r="A1080" s="38" t="s">
        <v>1431</v>
      </c>
      <c r="B1080" s="42"/>
      <c r="C1080" s="42"/>
      <c r="D1080" s="42"/>
      <c r="E1080" s="41"/>
      <c r="F1080" s="41"/>
      <c r="G1080" s="41"/>
      <c r="H1080" s="41"/>
      <c r="I1080" s="41"/>
      <c r="J1080" s="42"/>
      <c r="K1080" s="41"/>
      <c r="L1080" s="41"/>
      <c r="M1080" s="127"/>
      <c r="N1080" s="41"/>
      <c r="O1080" s="41"/>
      <c r="P1080" s="41"/>
      <c r="Q1080" s="42"/>
      <c r="R1080" s="35"/>
      <c r="S1080" s="35"/>
      <c r="T1080" s="35"/>
      <c r="U1080" s="35"/>
      <c r="V1080" s="121"/>
      <c r="W1080" s="42"/>
      <c r="X1080" s="42"/>
      <c r="Y1080" s="42"/>
      <c r="Z1080" s="42"/>
      <c r="AA1080" s="42"/>
      <c r="AB1080" s="42"/>
      <c r="AC1080" s="42"/>
      <c r="AD1080" s="42"/>
      <c r="AE1080" s="42"/>
      <c r="AF1080" s="42"/>
      <c r="AG1080" s="42"/>
      <c r="AH1080" s="42"/>
      <c r="AI1080" s="42"/>
      <c r="AJ1080" s="42"/>
      <c r="AK1080" s="42"/>
      <c r="AL1080" s="42"/>
      <c r="AM1080" s="42"/>
    </row>
    <row r="1081" spans="1:39" x14ac:dyDescent="0.25">
      <c r="A1081" s="38" t="s">
        <v>1432</v>
      </c>
      <c r="B1081" s="42"/>
      <c r="C1081" s="42"/>
      <c r="D1081" s="42"/>
      <c r="E1081" s="41"/>
      <c r="F1081" s="41"/>
      <c r="G1081" s="41"/>
      <c r="H1081" s="41"/>
      <c r="I1081" s="41"/>
      <c r="J1081" s="42"/>
      <c r="K1081" s="41"/>
      <c r="L1081" s="41"/>
      <c r="M1081" s="127"/>
      <c r="N1081" s="41"/>
      <c r="O1081" s="41"/>
      <c r="P1081" s="41"/>
      <c r="Q1081" s="42"/>
      <c r="R1081" s="35"/>
      <c r="S1081" s="35"/>
      <c r="T1081" s="35"/>
      <c r="U1081" s="35"/>
      <c r="V1081" s="121"/>
      <c r="W1081" s="42"/>
      <c r="X1081" s="42"/>
      <c r="Y1081" s="42"/>
      <c r="Z1081" s="42"/>
      <c r="AA1081" s="42"/>
      <c r="AB1081" s="42"/>
      <c r="AC1081" s="42"/>
      <c r="AD1081" s="42"/>
      <c r="AE1081" s="42"/>
      <c r="AF1081" s="42"/>
      <c r="AG1081" s="42"/>
      <c r="AH1081" s="42"/>
      <c r="AI1081" s="42"/>
      <c r="AJ1081" s="42"/>
      <c r="AK1081" s="42"/>
      <c r="AL1081" s="42"/>
      <c r="AM1081" s="42"/>
    </row>
    <row r="1082" spans="1:39" x14ac:dyDescent="0.25">
      <c r="A1082" s="38" t="s">
        <v>1433</v>
      </c>
      <c r="B1082" s="42"/>
      <c r="C1082" s="42"/>
      <c r="D1082" s="42"/>
      <c r="E1082" s="41"/>
      <c r="F1082" s="41"/>
      <c r="G1082" s="41"/>
      <c r="H1082" s="41"/>
      <c r="I1082" s="41"/>
      <c r="J1082" s="42"/>
      <c r="K1082" s="41"/>
      <c r="L1082" s="41"/>
      <c r="M1082" s="127"/>
      <c r="N1082" s="41"/>
      <c r="O1082" s="41"/>
      <c r="P1082" s="41"/>
      <c r="Q1082" s="42"/>
      <c r="R1082" s="35"/>
      <c r="S1082" s="35"/>
      <c r="T1082" s="35"/>
      <c r="U1082" s="35"/>
      <c r="V1082" s="121"/>
      <c r="W1082" s="42"/>
      <c r="X1082" s="42"/>
      <c r="Y1082" s="42"/>
      <c r="Z1082" s="42"/>
      <c r="AA1082" s="42"/>
      <c r="AB1082" s="42"/>
      <c r="AC1082" s="42"/>
      <c r="AD1082" s="42"/>
      <c r="AE1082" s="42"/>
      <c r="AF1082" s="42"/>
      <c r="AG1082" s="42"/>
      <c r="AH1082" s="42"/>
      <c r="AI1082" s="42"/>
      <c r="AJ1082" s="42"/>
      <c r="AK1082" s="42"/>
      <c r="AL1082" s="42"/>
      <c r="AM1082" s="42"/>
    </row>
    <row r="1083" spans="1:39" x14ac:dyDescent="0.25">
      <c r="A1083" s="38" t="s">
        <v>1434</v>
      </c>
      <c r="B1083" s="42"/>
      <c r="C1083" s="42"/>
      <c r="D1083" s="42"/>
      <c r="E1083" s="41"/>
      <c r="F1083" s="41"/>
      <c r="G1083" s="41"/>
      <c r="H1083" s="41"/>
      <c r="I1083" s="41"/>
      <c r="J1083" s="42"/>
      <c r="K1083" s="41"/>
      <c r="L1083" s="41"/>
      <c r="M1083" s="127"/>
      <c r="N1083" s="41"/>
      <c r="O1083" s="41"/>
      <c r="P1083" s="41"/>
      <c r="Q1083" s="42"/>
      <c r="R1083" s="35"/>
      <c r="S1083" s="35"/>
      <c r="T1083" s="35"/>
      <c r="U1083" s="35"/>
      <c r="V1083" s="121"/>
      <c r="W1083" s="42"/>
      <c r="X1083" s="42"/>
      <c r="Y1083" s="42"/>
      <c r="Z1083" s="42"/>
      <c r="AA1083" s="42"/>
      <c r="AB1083" s="42"/>
      <c r="AC1083" s="42"/>
      <c r="AD1083" s="42"/>
      <c r="AE1083" s="42"/>
      <c r="AF1083" s="42"/>
      <c r="AG1083" s="42"/>
      <c r="AH1083" s="42"/>
      <c r="AI1083" s="42"/>
      <c r="AJ1083" s="42"/>
      <c r="AK1083" s="42"/>
      <c r="AL1083" s="42"/>
      <c r="AM1083" s="42"/>
    </row>
    <row r="1084" spans="1:39" x14ac:dyDescent="0.25">
      <c r="A1084" s="38" t="s">
        <v>1435</v>
      </c>
      <c r="B1084" s="42"/>
      <c r="C1084" s="42"/>
      <c r="D1084" s="42"/>
      <c r="E1084" s="41"/>
      <c r="F1084" s="41"/>
      <c r="G1084" s="41"/>
      <c r="H1084" s="41"/>
      <c r="I1084" s="41"/>
      <c r="J1084" s="42"/>
      <c r="K1084" s="41"/>
      <c r="L1084" s="41"/>
      <c r="M1084" s="127"/>
      <c r="N1084" s="41"/>
      <c r="O1084" s="41"/>
      <c r="P1084" s="41"/>
      <c r="Q1084" s="42"/>
      <c r="R1084" s="35"/>
      <c r="S1084" s="35"/>
      <c r="T1084" s="35"/>
      <c r="U1084" s="35"/>
      <c r="V1084" s="121"/>
      <c r="W1084" s="42"/>
      <c r="X1084" s="42"/>
      <c r="Y1084" s="42"/>
      <c r="Z1084" s="42"/>
      <c r="AA1084" s="42"/>
      <c r="AB1084" s="42"/>
      <c r="AC1084" s="42"/>
      <c r="AD1084" s="42"/>
      <c r="AE1084" s="42"/>
      <c r="AF1084" s="42"/>
      <c r="AG1084" s="42"/>
      <c r="AH1084" s="42"/>
      <c r="AI1084" s="42"/>
      <c r="AJ1084" s="42"/>
      <c r="AK1084" s="42"/>
      <c r="AL1084" s="42"/>
      <c r="AM1084" s="42"/>
    </row>
    <row r="1085" spans="1:39" x14ac:dyDescent="0.25">
      <c r="A1085" s="38" t="s">
        <v>1436</v>
      </c>
      <c r="B1085" s="42"/>
      <c r="C1085" s="42"/>
      <c r="D1085" s="42"/>
      <c r="E1085" s="41"/>
      <c r="F1085" s="41"/>
      <c r="G1085" s="41"/>
      <c r="H1085" s="41"/>
      <c r="I1085" s="41"/>
      <c r="J1085" s="42"/>
      <c r="K1085" s="41"/>
      <c r="L1085" s="41"/>
      <c r="M1085" s="127"/>
      <c r="N1085" s="41"/>
      <c r="O1085" s="41"/>
      <c r="P1085" s="41"/>
      <c r="Q1085" s="42"/>
      <c r="R1085" s="35"/>
      <c r="S1085" s="35"/>
      <c r="T1085" s="35"/>
      <c r="U1085" s="35"/>
      <c r="V1085" s="121"/>
      <c r="W1085" s="42"/>
      <c r="X1085" s="42"/>
      <c r="Y1085" s="42"/>
      <c r="Z1085" s="42"/>
      <c r="AA1085" s="42"/>
      <c r="AB1085" s="42"/>
      <c r="AC1085" s="42"/>
      <c r="AD1085" s="42"/>
      <c r="AE1085" s="42"/>
      <c r="AF1085" s="42"/>
      <c r="AG1085" s="42"/>
      <c r="AH1085" s="42"/>
      <c r="AI1085" s="42"/>
      <c r="AJ1085" s="42"/>
      <c r="AK1085" s="42"/>
      <c r="AL1085" s="42"/>
      <c r="AM1085" s="42"/>
    </row>
    <row r="1086" spans="1:39" x14ac:dyDescent="0.25">
      <c r="A1086" s="38" t="s">
        <v>1437</v>
      </c>
      <c r="B1086" s="42"/>
      <c r="C1086" s="42"/>
      <c r="D1086" s="42"/>
      <c r="E1086" s="41"/>
      <c r="F1086" s="41"/>
      <c r="G1086" s="41"/>
      <c r="H1086" s="41"/>
      <c r="I1086" s="41"/>
      <c r="J1086" s="42"/>
      <c r="K1086" s="41"/>
      <c r="L1086" s="41"/>
      <c r="M1086" s="127"/>
      <c r="N1086" s="41"/>
      <c r="O1086" s="41"/>
      <c r="P1086" s="41"/>
      <c r="Q1086" s="42"/>
      <c r="R1086" s="35"/>
      <c r="S1086" s="35"/>
      <c r="T1086" s="35"/>
      <c r="U1086" s="35"/>
      <c r="V1086" s="121"/>
      <c r="W1086" s="42"/>
      <c r="X1086" s="42"/>
      <c r="Y1086" s="42"/>
      <c r="Z1086" s="42"/>
      <c r="AA1086" s="42"/>
      <c r="AB1086" s="42"/>
      <c r="AC1086" s="42"/>
      <c r="AD1086" s="42"/>
      <c r="AE1086" s="42"/>
      <c r="AF1086" s="42"/>
      <c r="AG1086" s="42"/>
      <c r="AH1086" s="42"/>
      <c r="AI1086" s="42"/>
      <c r="AJ1086" s="42"/>
      <c r="AK1086" s="42"/>
      <c r="AL1086" s="42"/>
      <c r="AM1086" s="42"/>
    </row>
    <row r="1087" spans="1:39" x14ac:dyDescent="0.25">
      <c r="A1087" s="38" t="s">
        <v>1438</v>
      </c>
      <c r="B1087" s="42"/>
      <c r="C1087" s="42"/>
      <c r="D1087" s="42"/>
      <c r="E1087" s="41"/>
      <c r="F1087" s="41"/>
      <c r="G1087" s="41"/>
      <c r="H1087" s="41"/>
      <c r="I1087" s="41"/>
      <c r="J1087" s="42"/>
      <c r="K1087" s="41"/>
      <c r="L1087" s="41"/>
      <c r="M1087" s="127"/>
      <c r="N1087" s="41"/>
      <c r="O1087" s="41"/>
      <c r="P1087" s="41"/>
      <c r="Q1087" s="42"/>
      <c r="R1087" s="35"/>
      <c r="S1087" s="35"/>
      <c r="T1087" s="35"/>
      <c r="U1087" s="35"/>
      <c r="V1087" s="121"/>
      <c r="W1087" s="42"/>
      <c r="X1087" s="42"/>
      <c r="Y1087" s="42"/>
      <c r="Z1087" s="42"/>
      <c r="AA1087" s="42"/>
      <c r="AB1087" s="42"/>
      <c r="AC1087" s="42"/>
      <c r="AD1087" s="42"/>
      <c r="AE1087" s="42"/>
      <c r="AF1087" s="42"/>
      <c r="AG1087" s="42"/>
      <c r="AH1087" s="42"/>
      <c r="AI1087" s="42"/>
      <c r="AJ1087" s="42"/>
      <c r="AK1087" s="42"/>
      <c r="AL1087" s="42"/>
      <c r="AM1087" s="42"/>
    </row>
    <row r="1088" spans="1:39" x14ac:dyDescent="0.25">
      <c r="A1088" s="38" t="s">
        <v>1439</v>
      </c>
      <c r="B1088" s="42"/>
      <c r="C1088" s="42"/>
      <c r="D1088" s="42"/>
      <c r="E1088" s="41"/>
      <c r="F1088" s="41"/>
      <c r="G1088" s="41"/>
      <c r="H1088" s="41"/>
      <c r="I1088" s="41"/>
      <c r="J1088" s="42"/>
      <c r="K1088" s="41"/>
      <c r="L1088" s="41"/>
      <c r="M1088" s="127"/>
      <c r="N1088" s="41"/>
      <c r="O1088" s="41"/>
      <c r="P1088" s="41"/>
      <c r="Q1088" s="42"/>
      <c r="R1088" s="35"/>
      <c r="S1088" s="35"/>
      <c r="T1088" s="35"/>
      <c r="U1088" s="35"/>
      <c r="V1088" s="121"/>
      <c r="W1088" s="42"/>
      <c r="X1088" s="42"/>
      <c r="Y1088" s="42"/>
      <c r="Z1088" s="42"/>
      <c r="AA1088" s="42"/>
      <c r="AB1088" s="42"/>
      <c r="AC1088" s="42"/>
      <c r="AD1088" s="42"/>
      <c r="AE1088" s="42"/>
      <c r="AF1088" s="42"/>
      <c r="AG1088" s="42"/>
      <c r="AH1088" s="42"/>
      <c r="AI1088" s="42"/>
      <c r="AJ1088" s="42"/>
      <c r="AK1088" s="42"/>
      <c r="AL1088" s="42"/>
      <c r="AM1088" s="42"/>
    </row>
    <row r="1089" spans="1:39" x14ac:dyDescent="0.25">
      <c r="A1089" s="38" t="s">
        <v>1440</v>
      </c>
      <c r="B1089" s="42"/>
      <c r="C1089" s="42"/>
      <c r="D1089" s="42"/>
      <c r="E1089" s="41"/>
      <c r="F1089" s="41"/>
      <c r="G1089" s="41"/>
      <c r="H1089" s="41"/>
      <c r="I1089" s="41"/>
      <c r="J1089" s="42"/>
      <c r="K1089" s="41"/>
      <c r="L1089" s="41"/>
      <c r="M1089" s="127"/>
      <c r="N1089" s="41"/>
      <c r="O1089" s="41"/>
      <c r="P1089" s="41"/>
      <c r="Q1089" s="42"/>
      <c r="R1089" s="35"/>
      <c r="S1089" s="35"/>
      <c r="T1089" s="35"/>
      <c r="U1089" s="35"/>
      <c r="V1089" s="121"/>
      <c r="W1089" s="42"/>
      <c r="X1089" s="42"/>
      <c r="Y1089" s="42"/>
      <c r="Z1089" s="42"/>
      <c r="AA1089" s="42"/>
      <c r="AB1089" s="42"/>
      <c r="AC1089" s="42"/>
      <c r="AD1089" s="42"/>
      <c r="AE1089" s="42"/>
      <c r="AF1089" s="42"/>
      <c r="AG1089" s="42"/>
      <c r="AH1089" s="42"/>
      <c r="AI1089" s="42"/>
      <c r="AJ1089" s="42"/>
      <c r="AK1089" s="42"/>
      <c r="AL1089" s="42"/>
      <c r="AM1089" s="42"/>
    </row>
    <row r="1090" spans="1:39" x14ac:dyDescent="0.25">
      <c r="A1090" s="38" t="s">
        <v>1441</v>
      </c>
      <c r="B1090" s="42"/>
      <c r="C1090" s="42"/>
      <c r="D1090" s="42"/>
      <c r="E1090" s="41"/>
      <c r="F1090" s="41"/>
      <c r="G1090" s="41"/>
      <c r="H1090" s="41"/>
      <c r="I1090" s="41"/>
      <c r="J1090" s="42"/>
      <c r="K1090" s="41"/>
      <c r="L1090" s="41"/>
      <c r="M1090" s="127"/>
      <c r="N1090" s="41"/>
      <c r="O1090" s="41"/>
      <c r="P1090" s="41"/>
      <c r="Q1090" s="42"/>
      <c r="R1090" s="35"/>
      <c r="S1090" s="35"/>
      <c r="T1090" s="35"/>
      <c r="U1090" s="35"/>
      <c r="V1090" s="121"/>
      <c r="W1090" s="42"/>
      <c r="X1090" s="42"/>
      <c r="Y1090" s="42"/>
      <c r="Z1090" s="42"/>
      <c r="AA1090" s="42"/>
      <c r="AB1090" s="42"/>
      <c r="AC1090" s="42"/>
      <c r="AD1090" s="42"/>
      <c r="AE1090" s="42"/>
      <c r="AF1090" s="42"/>
      <c r="AG1090" s="42"/>
      <c r="AH1090" s="42"/>
      <c r="AI1090" s="42"/>
      <c r="AJ1090" s="42"/>
      <c r="AK1090" s="42"/>
      <c r="AL1090" s="42"/>
      <c r="AM1090" s="42"/>
    </row>
    <row r="1091" spans="1:39" x14ac:dyDescent="0.25">
      <c r="A1091" s="38" t="s">
        <v>1442</v>
      </c>
      <c r="B1091" s="42"/>
      <c r="C1091" s="42"/>
      <c r="D1091" s="42"/>
      <c r="E1091" s="41"/>
      <c r="F1091" s="41"/>
      <c r="G1091" s="41"/>
      <c r="H1091" s="41"/>
      <c r="I1091" s="41"/>
      <c r="J1091" s="42"/>
      <c r="K1091" s="41"/>
      <c r="L1091" s="41"/>
      <c r="M1091" s="127"/>
      <c r="N1091" s="41"/>
      <c r="O1091" s="41"/>
      <c r="P1091" s="41"/>
      <c r="Q1091" s="42"/>
      <c r="R1091" s="35"/>
      <c r="S1091" s="35"/>
      <c r="T1091" s="35"/>
      <c r="U1091" s="35"/>
      <c r="V1091" s="121"/>
      <c r="W1091" s="42"/>
      <c r="X1091" s="42"/>
      <c r="Y1091" s="42"/>
      <c r="Z1091" s="42"/>
      <c r="AA1091" s="42"/>
      <c r="AB1091" s="42"/>
      <c r="AC1091" s="42"/>
      <c r="AD1091" s="42"/>
      <c r="AE1091" s="42"/>
      <c r="AF1091" s="42"/>
      <c r="AG1091" s="42"/>
      <c r="AH1091" s="42"/>
      <c r="AI1091" s="42"/>
      <c r="AJ1091" s="42"/>
      <c r="AK1091" s="42"/>
      <c r="AL1091" s="42"/>
      <c r="AM1091" s="42"/>
    </row>
    <row r="1092" spans="1:39" x14ac:dyDescent="0.25">
      <c r="A1092" s="38" t="s">
        <v>1443</v>
      </c>
      <c r="B1092" s="42"/>
      <c r="C1092" s="42"/>
      <c r="D1092" s="42"/>
      <c r="E1092" s="41"/>
      <c r="F1092" s="41"/>
      <c r="G1092" s="41"/>
      <c r="H1092" s="41"/>
      <c r="I1092" s="41"/>
      <c r="J1092" s="42"/>
      <c r="K1092" s="41"/>
      <c r="L1092" s="41"/>
      <c r="M1092" s="127"/>
      <c r="N1092" s="41"/>
      <c r="O1092" s="41"/>
      <c r="P1092" s="41"/>
      <c r="Q1092" s="42"/>
      <c r="R1092" s="35"/>
      <c r="S1092" s="35"/>
      <c r="T1092" s="35"/>
      <c r="U1092" s="35"/>
      <c r="V1092" s="121"/>
      <c r="W1092" s="42"/>
      <c r="X1092" s="42"/>
      <c r="Y1092" s="42"/>
      <c r="Z1092" s="42"/>
      <c r="AA1092" s="42"/>
      <c r="AB1092" s="42"/>
      <c r="AC1092" s="42"/>
      <c r="AD1092" s="42"/>
      <c r="AE1092" s="42"/>
      <c r="AF1092" s="42"/>
      <c r="AG1092" s="42"/>
      <c r="AH1092" s="42"/>
      <c r="AI1092" s="42"/>
      <c r="AJ1092" s="42"/>
      <c r="AK1092" s="42"/>
      <c r="AL1092" s="42"/>
      <c r="AM1092" s="42"/>
    </row>
    <row r="1093" spans="1:39" x14ac:dyDescent="0.25">
      <c r="A1093" s="38" t="s">
        <v>1444</v>
      </c>
      <c r="B1093" s="42"/>
      <c r="C1093" s="42"/>
      <c r="D1093" s="42"/>
      <c r="E1093" s="41"/>
      <c r="F1093" s="41"/>
      <c r="G1093" s="41"/>
      <c r="H1093" s="41"/>
      <c r="I1093" s="41"/>
      <c r="J1093" s="42"/>
      <c r="K1093" s="41"/>
      <c r="L1093" s="41"/>
      <c r="M1093" s="127"/>
      <c r="N1093" s="41"/>
      <c r="O1093" s="41"/>
      <c r="P1093" s="41"/>
      <c r="Q1093" s="42"/>
      <c r="R1093" s="35"/>
      <c r="S1093" s="35"/>
      <c r="T1093" s="35"/>
      <c r="U1093" s="35"/>
      <c r="V1093" s="121"/>
      <c r="W1093" s="42"/>
      <c r="X1093" s="42"/>
      <c r="Y1093" s="42"/>
      <c r="Z1093" s="42"/>
      <c r="AA1093" s="42"/>
      <c r="AB1093" s="42"/>
      <c r="AC1093" s="42"/>
      <c r="AD1093" s="42"/>
      <c r="AE1093" s="42"/>
      <c r="AF1093" s="42"/>
      <c r="AG1093" s="42"/>
      <c r="AH1093" s="42"/>
      <c r="AI1093" s="42"/>
      <c r="AJ1093" s="42"/>
      <c r="AK1093" s="42"/>
      <c r="AL1093" s="42"/>
      <c r="AM1093" s="42"/>
    </row>
    <row r="1094" spans="1:39" x14ac:dyDescent="0.25">
      <c r="A1094" s="38" t="s">
        <v>1445</v>
      </c>
      <c r="B1094" s="42"/>
      <c r="C1094" s="42"/>
      <c r="D1094" s="42"/>
      <c r="E1094" s="41"/>
      <c r="F1094" s="41"/>
      <c r="G1094" s="41"/>
      <c r="H1094" s="41"/>
      <c r="I1094" s="41"/>
      <c r="J1094" s="42"/>
      <c r="K1094" s="41"/>
      <c r="L1094" s="41"/>
      <c r="M1094" s="127"/>
      <c r="N1094" s="41"/>
      <c r="O1094" s="41"/>
      <c r="P1094" s="41"/>
      <c r="Q1094" s="42"/>
      <c r="R1094" s="35"/>
      <c r="S1094" s="35"/>
      <c r="T1094" s="35"/>
      <c r="U1094" s="35"/>
      <c r="V1094" s="121"/>
      <c r="W1094" s="42"/>
      <c r="X1094" s="42"/>
      <c r="Y1094" s="42"/>
      <c r="Z1094" s="42"/>
      <c r="AA1094" s="42"/>
      <c r="AB1094" s="42"/>
      <c r="AC1094" s="42"/>
      <c r="AD1094" s="42"/>
      <c r="AE1094" s="42"/>
      <c r="AF1094" s="42"/>
      <c r="AG1094" s="42"/>
      <c r="AH1094" s="42"/>
      <c r="AI1094" s="42"/>
      <c r="AJ1094" s="42"/>
      <c r="AK1094" s="42"/>
      <c r="AL1094" s="42"/>
      <c r="AM1094" s="42"/>
    </row>
    <row r="1095" spans="1:39" x14ac:dyDescent="0.25">
      <c r="A1095" s="38" t="s">
        <v>1446</v>
      </c>
      <c r="B1095" s="42"/>
      <c r="C1095" s="42"/>
      <c r="D1095" s="42"/>
      <c r="E1095" s="41"/>
      <c r="F1095" s="41"/>
      <c r="G1095" s="41"/>
      <c r="H1095" s="41"/>
      <c r="I1095" s="41"/>
      <c r="J1095" s="42"/>
      <c r="K1095" s="41"/>
      <c r="L1095" s="41"/>
      <c r="M1095" s="127"/>
      <c r="N1095" s="41"/>
      <c r="O1095" s="41"/>
      <c r="P1095" s="41"/>
      <c r="Q1095" s="42"/>
      <c r="R1095" s="35"/>
      <c r="S1095" s="35"/>
      <c r="T1095" s="35"/>
      <c r="U1095" s="35"/>
      <c r="V1095" s="121"/>
      <c r="W1095" s="42"/>
      <c r="X1095" s="42"/>
      <c r="Y1095" s="42"/>
      <c r="Z1095" s="42"/>
      <c r="AA1095" s="42"/>
      <c r="AB1095" s="42"/>
      <c r="AC1095" s="42"/>
      <c r="AD1095" s="42"/>
      <c r="AE1095" s="42"/>
      <c r="AF1095" s="42"/>
      <c r="AG1095" s="42"/>
      <c r="AH1095" s="42"/>
      <c r="AI1095" s="42"/>
      <c r="AJ1095" s="42"/>
      <c r="AK1095" s="42"/>
      <c r="AL1095" s="42"/>
      <c r="AM1095" s="42"/>
    </row>
    <row r="1096" spans="1:39" x14ac:dyDescent="0.25">
      <c r="A1096" s="38" t="s">
        <v>1447</v>
      </c>
      <c r="B1096" s="42"/>
      <c r="C1096" s="42"/>
      <c r="D1096" s="42"/>
      <c r="E1096" s="41"/>
      <c r="F1096" s="41"/>
      <c r="G1096" s="41"/>
      <c r="H1096" s="41"/>
      <c r="I1096" s="41"/>
      <c r="J1096" s="42"/>
      <c r="K1096" s="41"/>
      <c r="L1096" s="41"/>
      <c r="M1096" s="127"/>
      <c r="N1096" s="41"/>
      <c r="O1096" s="41"/>
      <c r="P1096" s="41"/>
      <c r="Q1096" s="42"/>
      <c r="R1096" s="35"/>
      <c r="S1096" s="35"/>
      <c r="T1096" s="35"/>
      <c r="U1096" s="35"/>
      <c r="V1096" s="121"/>
      <c r="W1096" s="42"/>
      <c r="X1096" s="42"/>
      <c r="Y1096" s="42"/>
      <c r="Z1096" s="42"/>
      <c r="AA1096" s="42"/>
      <c r="AB1096" s="42"/>
      <c r="AC1096" s="42"/>
      <c r="AD1096" s="42"/>
      <c r="AE1096" s="42"/>
      <c r="AF1096" s="42"/>
      <c r="AG1096" s="42"/>
      <c r="AH1096" s="42"/>
      <c r="AI1096" s="42"/>
      <c r="AJ1096" s="42"/>
      <c r="AK1096" s="42"/>
      <c r="AL1096" s="42"/>
      <c r="AM1096" s="42"/>
    </row>
    <row r="1097" spans="1:39" x14ac:dyDescent="0.25">
      <c r="A1097" s="38" t="s">
        <v>1448</v>
      </c>
      <c r="B1097" s="42"/>
      <c r="C1097" s="42"/>
      <c r="D1097" s="42"/>
      <c r="E1097" s="41"/>
      <c r="F1097" s="41"/>
      <c r="G1097" s="41"/>
      <c r="H1097" s="41"/>
      <c r="I1097" s="41"/>
      <c r="J1097" s="42"/>
      <c r="K1097" s="41"/>
      <c r="L1097" s="41"/>
      <c r="M1097" s="127"/>
      <c r="N1097" s="41"/>
      <c r="O1097" s="41"/>
      <c r="P1097" s="41"/>
      <c r="Q1097" s="42"/>
      <c r="R1097" s="35"/>
      <c r="S1097" s="35"/>
      <c r="T1097" s="35"/>
      <c r="U1097" s="35"/>
      <c r="V1097" s="121"/>
      <c r="W1097" s="42"/>
      <c r="X1097" s="42"/>
      <c r="Y1097" s="42"/>
      <c r="Z1097" s="42"/>
      <c r="AA1097" s="42"/>
      <c r="AB1097" s="42"/>
      <c r="AC1097" s="42"/>
      <c r="AD1097" s="42"/>
      <c r="AE1097" s="42"/>
      <c r="AF1097" s="42"/>
      <c r="AG1097" s="42"/>
      <c r="AH1097" s="42"/>
      <c r="AI1097" s="42"/>
      <c r="AJ1097" s="42"/>
      <c r="AK1097" s="42"/>
      <c r="AL1097" s="42"/>
      <c r="AM1097" s="42"/>
    </row>
    <row r="1098" spans="1:39" x14ac:dyDescent="0.25">
      <c r="A1098" s="38" t="s">
        <v>1449</v>
      </c>
      <c r="B1098" s="42"/>
      <c r="C1098" s="42"/>
      <c r="D1098" s="42"/>
      <c r="E1098" s="41"/>
      <c r="F1098" s="41"/>
      <c r="G1098" s="41"/>
      <c r="H1098" s="41"/>
      <c r="I1098" s="41"/>
      <c r="J1098" s="42"/>
      <c r="K1098" s="41"/>
      <c r="L1098" s="41"/>
      <c r="M1098" s="127"/>
      <c r="N1098" s="41"/>
      <c r="O1098" s="41"/>
      <c r="P1098" s="41"/>
      <c r="Q1098" s="42"/>
      <c r="R1098" s="35"/>
      <c r="S1098" s="35"/>
      <c r="T1098" s="35"/>
      <c r="U1098" s="35"/>
      <c r="V1098" s="121"/>
      <c r="W1098" s="42"/>
      <c r="X1098" s="42"/>
      <c r="Y1098" s="42"/>
      <c r="Z1098" s="42"/>
      <c r="AA1098" s="42"/>
      <c r="AB1098" s="42"/>
      <c r="AC1098" s="42"/>
      <c r="AD1098" s="42"/>
      <c r="AE1098" s="42"/>
      <c r="AF1098" s="42"/>
      <c r="AG1098" s="42"/>
      <c r="AH1098" s="42"/>
      <c r="AI1098" s="42"/>
      <c r="AJ1098" s="42"/>
      <c r="AK1098" s="42"/>
      <c r="AL1098" s="42"/>
      <c r="AM1098" s="42"/>
    </row>
    <row r="1099" spans="1:39" x14ac:dyDescent="0.25">
      <c r="A1099" s="38" t="s">
        <v>1450</v>
      </c>
      <c r="B1099" s="42"/>
      <c r="C1099" s="42"/>
      <c r="D1099" s="42"/>
      <c r="E1099" s="41"/>
      <c r="F1099" s="41"/>
      <c r="G1099" s="41"/>
      <c r="H1099" s="41"/>
      <c r="I1099" s="41"/>
      <c r="J1099" s="42"/>
      <c r="K1099" s="41"/>
      <c r="L1099" s="41"/>
      <c r="M1099" s="127"/>
      <c r="N1099" s="41"/>
      <c r="O1099" s="41"/>
      <c r="P1099" s="41"/>
      <c r="Q1099" s="42"/>
      <c r="R1099" s="35"/>
      <c r="S1099" s="35"/>
      <c r="T1099" s="35"/>
      <c r="U1099" s="35"/>
      <c r="V1099" s="121"/>
      <c r="W1099" s="42"/>
      <c r="X1099" s="42"/>
      <c r="Y1099" s="42"/>
      <c r="Z1099" s="42"/>
      <c r="AA1099" s="42"/>
      <c r="AB1099" s="42"/>
      <c r="AC1099" s="42"/>
      <c r="AD1099" s="42"/>
      <c r="AE1099" s="42"/>
      <c r="AF1099" s="42"/>
      <c r="AG1099" s="42"/>
      <c r="AH1099" s="42"/>
      <c r="AI1099" s="42"/>
      <c r="AJ1099" s="42"/>
      <c r="AK1099" s="42"/>
      <c r="AL1099" s="42"/>
      <c r="AM1099" s="42"/>
    </row>
    <row r="1100" spans="1:39" x14ac:dyDescent="0.25">
      <c r="A1100" s="38" t="s">
        <v>1451</v>
      </c>
      <c r="B1100" s="42"/>
      <c r="C1100" s="42"/>
      <c r="D1100" s="42"/>
      <c r="E1100" s="41"/>
      <c r="F1100" s="41"/>
      <c r="G1100" s="41"/>
      <c r="H1100" s="41"/>
      <c r="I1100" s="41"/>
      <c r="J1100" s="42"/>
      <c r="K1100" s="41"/>
      <c r="L1100" s="41"/>
      <c r="M1100" s="127"/>
      <c r="N1100" s="41"/>
      <c r="O1100" s="41"/>
      <c r="P1100" s="41"/>
      <c r="Q1100" s="42"/>
      <c r="R1100" s="35"/>
      <c r="S1100" s="35"/>
      <c r="T1100" s="35"/>
      <c r="U1100" s="35"/>
      <c r="V1100" s="121"/>
      <c r="W1100" s="42"/>
      <c r="X1100" s="42"/>
      <c r="Y1100" s="42"/>
      <c r="Z1100" s="42"/>
      <c r="AA1100" s="42"/>
      <c r="AB1100" s="42"/>
      <c r="AC1100" s="42"/>
      <c r="AD1100" s="42"/>
      <c r="AE1100" s="42"/>
      <c r="AF1100" s="42"/>
      <c r="AG1100" s="42"/>
      <c r="AH1100" s="42"/>
      <c r="AI1100" s="42"/>
      <c r="AJ1100" s="42"/>
      <c r="AK1100" s="42"/>
      <c r="AL1100" s="42"/>
      <c r="AM1100" s="42"/>
    </row>
    <row r="1101" spans="1:39" x14ac:dyDescent="0.25">
      <c r="A1101" s="38" t="s">
        <v>1452</v>
      </c>
      <c r="B1101" s="42"/>
      <c r="C1101" s="42"/>
      <c r="D1101" s="42"/>
      <c r="E1101" s="41"/>
      <c r="F1101" s="41"/>
      <c r="G1101" s="41"/>
      <c r="H1101" s="41"/>
      <c r="I1101" s="41"/>
      <c r="J1101" s="42"/>
      <c r="K1101" s="41"/>
      <c r="L1101" s="41"/>
      <c r="M1101" s="127"/>
      <c r="N1101" s="41"/>
      <c r="O1101" s="41"/>
      <c r="P1101" s="41"/>
      <c r="Q1101" s="42"/>
      <c r="R1101" s="35"/>
      <c r="S1101" s="35"/>
      <c r="T1101" s="35"/>
      <c r="U1101" s="35"/>
      <c r="V1101" s="121"/>
      <c r="W1101" s="42"/>
      <c r="X1101" s="42"/>
      <c r="Y1101" s="42"/>
      <c r="Z1101" s="42"/>
      <c r="AA1101" s="42"/>
      <c r="AB1101" s="42"/>
      <c r="AC1101" s="42"/>
      <c r="AD1101" s="42"/>
      <c r="AE1101" s="42"/>
      <c r="AF1101" s="42"/>
      <c r="AG1101" s="42"/>
      <c r="AH1101" s="42"/>
      <c r="AI1101" s="42"/>
      <c r="AJ1101" s="42"/>
      <c r="AK1101" s="42"/>
      <c r="AL1101" s="42"/>
      <c r="AM1101" s="42"/>
    </row>
    <row r="1102" spans="1:39" x14ac:dyDescent="0.25">
      <c r="A1102" s="38" t="s">
        <v>1453</v>
      </c>
      <c r="B1102" s="42"/>
      <c r="C1102" s="42"/>
      <c r="D1102" s="42"/>
      <c r="E1102" s="41"/>
      <c r="F1102" s="41"/>
      <c r="G1102" s="41"/>
      <c r="H1102" s="41"/>
      <c r="I1102" s="41"/>
      <c r="J1102" s="42"/>
      <c r="K1102" s="41"/>
      <c r="L1102" s="41"/>
      <c r="M1102" s="127"/>
      <c r="N1102" s="41"/>
      <c r="O1102" s="41"/>
      <c r="P1102" s="41"/>
      <c r="Q1102" s="42"/>
      <c r="R1102" s="35"/>
      <c r="S1102" s="35"/>
      <c r="T1102" s="35"/>
      <c r="U1102" s="35"/>
      <c r="V1102" s="121"/>
      <c r="W1102" s="42"/>
      <c r="X1102" s="42"/>
      <c r="Y1102" s="42"/>
      <c r="Z1102" s="42"/>
      <c r="AA1102" s="42"/>
      <c r="AB1102" s="42"/>
      <c r="AC1102" s="42"/>
      <c r="AD1102" s="42"/>
      <c r="AE1102" s="42"/>
      <c r="AF1102" s="42"/>
      <c r="AG1102" s="42"/>
      <c r="AH1102" s="42"/>
      <c r="AI1102" s="42"/>
      <c r="AJ1102" s="42"/>
      <c r="AK1102" s="42"/>
      <c r="AL1102" s="42"/>
      <c r="AM1102" s="42"/>
    </row>
    <row r="1103" spans="1:39" x14ac:dyDescent="0.25">
      <c r="A1103" s="38" t="s">
        <v>1454</v>
      </c>
      <c r="B1103" s="42"/>
      <c r="C1103" s="42"/>
      <c r="D1103" s="42"/>
      <c r="E1103" s="41"/>
      <c r="F1103" s="41"/>
      <c r="G1103" s="41"/>
      <c r="H1103" s="41"/>
      <c r="I1103" s="41"/>
      <c r="J1103" s="42"/>
      <c r="K1103" s="41"/>
      <c r="L1103" s="41"/>
      <c r="M1103" s="127"/>
      <c r="N1103" s="41"/>
      <c r="O1103" s="41"/>
      <c r="P1103" s="41"/>
      <c r="Q1103" s="42"/>
      <c r="R1103" s="35"/>
      <c r="S1103" s="35"/>
      <c r="T1103" s="35"/>
      <c r="U1103" s="35"/>
      <c r="V1103" s="121"/>
      <c r="W1103" s="42"/>
      <c r="X1103" s="42"/>
      <c r="Y1103" s="42"/>
      <c r="Z1103" s="42"/>
      <c r="AA1103" s="42"/>
      <c r="AB1103" s="42"/>
      <c r="AC1103" s="42"/>
      <c r="AD1103" s="42"/>
      <c r="AE1103" s="42"/>
      <c r="AF1103" s="42"/>
      <c r="AG1103" s="42"/>
      <c r="AH1103" s="42"/>
      <c r="AI1103" s="42"/>
      <c r="AJ1103" s="42"/>
      <c r="AK1103" s="42"/>
      <c r="AL1103" s="42"/>
      <c r="AM1103" s="42"/>
    </row>
    <row r="1104" spans="1:39" x14ac:dyDescent="0.25">
      <c r="A1104" s="38" t="s">
        <v>1455</v>
      </c>
      <c r="B1104" s="42"/>
      <c r="C1104" s="42"/>
      <c r="D1104" s="42"/>
      <c r="E1104" s="41"/>
      <c r="F1104" s="41"/>
      <c r="G1104" s="41"/>
      <c r="H1104" s="41"/>
      <c r="I1104" s="41"/>
      <c r="J1104" s="42"/>
      <c r="K1104" s="41"/>
      <c r="L1104" s="41"/>
      <c r="M1104" s="127"/>
      <c r="N1104" s="41"/>
      <c r="O1104" s="41"/>
      <c r="P1104" s="41"/>
      <c r="Q1104" s="42"/>
      <c r="R1104" s="35"/>
      <c r="S1104" s="35"/>
      <c r="T1104" s="35"/>
      <c r="U1104" s="35"/>
      <c r="V1104" s="121"/>
      <c r="W1104" s="42"/>
      <c r="X1104" s="42"/>
      <c r="Y1104" s="42"/>
      <c r="Z1104" s="42"/>
      <c r="AA1104" s="42"/>
      <c r="AB1104" s="42"/>
      <c r="AC1104" s="42"/>
      <c r="AD1104" s="42"/>
      <c r="AE1104" s="42"/>
      <c r="AF1104" s="42"/>
      <c r="AG1104" s="42"/>
      <c r="AH1104" s="42"/>
      <c r="AI1104" s="42"/>
      <c r="AJ1104" s="42"/>
      <c r="AK1104" s="42"/>
      <c r="AL1104" s="42"/>
      <c r="AM1104" s="42"/>
    </row>
    <row r="1105" spans="1:39" x14ac:dyDescent="0.25">
      <c r="A1105" s="38" t="s">
        <v>1456</v>
      </c>
      <c r="B1105" s="42"/>
      <c r="C1105" s="42"/>
      <c r="D1105" s="42"/>
      <c r="E1105" s="41"/>
      <c r="F1105" s="41"/>
      <c r="G1105" s="41"/>
      <c r="H1105" s="41"/>
      <c r="I1105" s="41"/>
      <c r="J1105" s="42"/>
      <c r="K1105" s="41"/>
      <c r="L1105" s="41"/>
      <c r="M1105" s="127"/>
      <c r="N1105" s="41"/>
      <c r="O1105" s="41"/>
      <c r="P1105" s="41"/>
      <c r="Q1105" s="42"/>
      <c r="R1105" s="35"/>
      <c r="S1105" s="35"/>
      <c r="T1105" s="35"/>
      <c r="U1105" s="35"/>
      <c r="V1105" s="121"/>
      <c r="W1105" s="42"/>
      <c r="X1105" s="42"/>
      <c r="Y1105" s="42"/>
      <c r="Z1105" s="42"/>
      <c r="AA1105" s="42"/>
      <c r="AB1105" s="42"/>
      <c r="AC1105" s="42"/>
      <c r="AD1105" s="42"/>
      <c r="AE1105" s="42"/>
      <c r="AF1105" s="42"/>
      <c r="AG1105" s="42"/>
      <c r="AH1105" s="42"/>
      <c r="AI1105" s="42"/>
      <c r="AJ1105" s="42"/>
      <c r="AK1105" s="42"/>
      <c r="AL1105" s="42"/>
      <c r="AM1105" s="42"/>
    </row>
    <row r="1106" spans="1:39" x14ac:dyDescent="0.25">
      <c r="A1106" s="38" t="s">
        <v>1457</v>
      </c>
      <c r="B1106" s="42"/>
      <c r="C1106" s="42"/>
      <c r="D1106" s="42"/>
      <c r="E1106" s="41"/>
      <c r="F1106" s="41"/>
      <c r="G1106" s="41"/>
      <c r="H1106" s="41"/>
      <c r="I1106" s="41"/>
      <c r="J1106" s="42"/>
      <c r="K1106" s="41"/>
      <c r="L1106" s="41"/>
      <c r="M1106" s="127"/>
      <c r="N1106" s="41"/>
      <c r="O1106" s="41"/>
      <c r="P1106" s="41"/>
      <c r="Q1106" s="42"/>
      <c r="R1106" s="35"/>
      <c r="S1106" s="35"/>
      <c r="T1106" s="35"/>
      <c r="U1106" s="35"/>
      <c r="V1106" s="121"/>
      <c r="W1106" s="42"/>
      <c r="X1106" s="42"/>
      <c r="Y1106" s="42"/>
      <c r="Z1106" s="42"/>
      <c r="AA1106" s="42"/>
      <c r="AB1106" s="42"/>
      <c r="AC1106" s="42"/>
      <c r="AD1106" s="42"/>
      <c r="AE1106" s="42"/>
      <c r="AF1106" s="42"/>
      <c r="AG1106" s="42"/>
      <c r="AH1106" s="42"/>
      <c r="AI1106" s="42"/>
      <c r="AJ1106" s="42"/>
      <c r="AK1106" s="42"/>
      <c r="AL1106" s="42"/>
      <c r="AM1106" s="42"/>
    </row>
    <row r="1107" spans="1:39" x14ac:dyDescent="0.25">
      <c r="A1107" s="38" t="s">
        <v>1458</v>
      </c>
      <c r="B1107" s="42"/>
      <c r="C1107" s="42"/>
      <c r="D1107" s="42"/>
      <c r="E1107" s="41"/>
      <c r="F1107" s="41"/>
      <c r="G1107" s="41"/>
      <c r="H1107" s="41"/>
      <c r="I1107" s="41"/>
      <c r="J1107" s="42"/>
      <c r="K1107" s="41"/>
      <c r="L1107" s="41"/>
      <c r="M1107" s="127"/>
      <c r="N1107" s="41"/>
      <c r="O1107" s="41"/>
      <c r="P1107" s="41"/>
      <c r="Q1107" s="42"/>
      <c r="R1107" s="35"/>
      <c r="S1107" s="35"/>
      <c r="T1107" s="35"/>
      <c r="U1107" s="35"/>
      <c r="V1107" s="121"/>
      <c r="W1107" s="42"/>
      <c r="X1107" s="42"/>
      <c r="Y1107" s="42"/>
      <c r="Z1107" s="42"/>
      <c r="AA1107" s="42"/>
      <c r="AB1107" s="42"/>
      <c r="AC1107" s="42"/>
      <c r="AD1107" s="42"/>
      <c r="AE1107" s="42"/>
      <c r="AF1107" s="42"/>
      <c r="AG1107" s="42"/>
      <c r="AH1107" s="42"/>
      <c r="AI1107" s="42"/>
      <c r="AJ1107" s="42"/>
      <c r="AK1107" s="42"/>
      <c r="AL1107" s="42"/>
      <c r="AM1107" s="42"/>
    </row>
    <row r="1108" spans="1:39" x14ac:dyDescent="0.25">
      <c r="A1108" s="38" t="s">
        <v>1459</v>
      </c>
      <c r="B1108" s="42"/>
      <c r="C1108" s="42"/>
      <c r="D1108" s="42"/>
      <c r="E1108" s="41"/>
      <c r="F1108" s="41"/>
      <c r="G1108" s="41"/>
      <c r="H1108" s="41"/>
      <c r="I1108" s="41"/>
      <c r="J1108" s="42"/>
      <c r="K1108" s="41"/>
      <c r="L1108" s="41"/>
      <c r="M1108" s="127"/>
      <c r="N1108" s="41"/>
      <c r="O1108" s="41"/>
      <c r="P1108" s="41"/>
      <c r="Q1108" s="42"/>
      <c r="R1108" s="35"/>
      <c r="S1108" s="35"/>
      <c r="T1108" s="35"/>
      <c r="U1108" s="35"/>
      <c r="V1108" s="121"/>
      <c r="W1108" s="42"/>
      <c r="X1108" s="42"/>
      <c r="Y1108" s="42"/>
      <c r="Z1108" s="42"/>
      <c r="AA1108" s="42"/>
      <c r="AB1108" s="42"/>
      <c r="AC1108" s="42"/>
      <c r="AD1108" s="42"/>
      <c r="AE1108" s="42"/>
      <c r="AF1108" s="42"/>
      <c r="AG1108" s="42"/>
      <c r="AH1108" s="42"/>
      <c r="AI1108" s="42"/>
      <c r="AJ1108" s="42"/>
      <c r="AK1108" s="42"/>
      <c r="AL1108" s="42"/>
      <c r="AM1108" s="42"/>
    </row>
    <row r="1109" spans="1:39" x14ac:dyDescent="0.25">
      <c r="A1109" s="38" t="s">
        <v>1460</v>
      </c>
      <c r="B1109" s="42"/>
      <c r="C1109" s="42"/>
      <c r="D1109" s="42"/>
      <c r="E1109" s="41"/>
      <c r="F1109" s="41"/>
      <c r="G1109" s="41"/>
      <c r="H1109" s="41"/>
      <c r="I1109" s="41"/>
      <c r="J1109" s="42"/>
      <c r="K1109" s="41"/>
      <c r="L1109" s="41"/>
      <c r="M1109" s="127"/>
      <c r="N1109" s="41"/>
      <c r="O1109" s="41"/>
      <c r="P1109" s="41"/>
      <c r="Q1109" s="42"/>
      <c r="R1109" s="35"/>
      <c r="S1109" s="35"/>
      <c r="T1109" s="35"/>
      <c r="U1109" s="35"/>
      <c r="V1109" s="121"/>
      <c r="W1109" s="42"/>
      <c r="X1109" s="42"/>
      <c r="Y1109" s="42"/>
      <c r="Z1109" s="42"/>
      <c r="AA1109" s="42"/>
      <c r="AB1109" s="42"/>
      <c r="AC1109" s="42"/>
      <c r="AD1109" s="42"/>
      <c r="AE1109" s="42"/>
      <c r="AF1109" s="42"/>
      <c r="AG1109" s="42"/>
      <c r="AH1109" s="42"/>
      <c r="AI1109" s="42"/>
      <c r="AJ1109" s="42"/>
      <c r="AK1109" s="42"/>
      <c r="AL1109" s="42"/>
      <c r="AM1109" s="42"/>
    </row>
    <row r="1110" spans="1:39" x14ac:dyDescent="0.25">
      <c r="A1110" s="38" t="s">
        <v>1461</v>
      </c>
      <c r="B1110" s="42"/>
      <c r="C1110" s="42"/>
      <c r="D1110" s="42"/>
      <c r="E1110" s="41"/>
      <c r="F1110" s="41"/>
      <c r="G1110" s="41"/>
      <c r="H1110" s="41"/>
      <c r="I1110" s="41"/>
      <c r="J1110" s="42"/>
      <c r="K1110" s="41"/>
      <c r="L1110" s="41"/>
      <c r="M1110" s="127"/>
      <c r="N1110" s="41"/>
      <c r="O1110" s="41"/>
      <c r="P1110" s="41"/>
      <c r="Q1110" s="42"/>
      <c r="R1110" s="35"/>
      <c r="S1110" s="35"/>
      <c r="T1110" s="35"/>
      <c r="U1110" s="35"/>
      <c r="V1110" s="121"/>
      <c r="W1110" s="42"/>
      <c r="X1110" s="42"/>
      <c r="Y1110" s="42"/>
      <c r="Z1110" s="42"/>
      <c r="AA1110" s="42"/>
      <c r="AB1110" s="42"/>
      <c r="AC1110" s="42"/>
      <c r="AD1110" s="42"/>
      <c r="AE1110" s="42"/>
      <c r="AF1110" s="42"/>
      <c r="AG1110" s="42"/>
      <c r="AH1110" s="42"/>
      <c r="AI1110" s="42"/>
      <c r="AJ1110" s="42"/>
      <c r="AK1110" s="42"/>
      <c r="AL1110" s="42"/>
      <c r="AM1110" s="42"/>
    </row>
    <row r="1111" spans="1:39" x14ac:dyDescent="0.25">
      <c r="A1111" s="38" t="s">
        <v>1462</v>
      </c>
      <c r="B1111" s="42"/>
      <c r="C1111" s="42"/>
      <c r="D1111" s="42"/>
      <c r="E1111" s="41"/>
      <c r="F1111" s="41"/>
      <c r="G1111" s="41"/>
      <c r="H1111" s="41"/>
      <c r="I1111" s="41"/>
      <c r="J1111" s="42"/>
      <c r="K1111" s="41"/>
      <c r="L1111" s="41"/>
      <c r="M1111" s="127"/>
      <c r="N1111" s="41"/>
      <c r="O1111" s="41"/>
      <c r="P1111" s="41"/>
      <c r="Q1111" s="42"/>
      <c r="R1111" s="35"/>
      <c r="S1111" s="35"/>
      <c r="T1111" s="35"/>
      <c r="U1111" s="35"/>
      <c r="V1111" s="121"/>
      <c r="W1111" s="42"/>
      <c r="X1111" s="42"/>
      <c r="Y1111" s="42"/>
      <c r="Z1111" s="42"/>
      <c r="AA1111" s="42"/>
      <c r="AB1111" s="42"/>
      <c r="AC1111" s="42"/>
      <c r="AD1111" s="42"/>
      <c r="AE1111" s="42"/>
      <c r="AF1111" s="42"/>
      <c r="AG1111" s="42"/>
      <c r="AH1111" s="42"/>
      <c r="AI1111" s="42"/>
      <c r="AJ1111" s="42"/>
      <c r="AK1111" s="42"/>
      <c r="AL1111" s="42"/>
      <c r="AM1111" s="42"/>
    </row>
    <row r="1112" spans="1:39" x14ac:dyDescent="0.25">
      <c r="A1112" s="38" t="s">
        <v>1463</v>
      </c>
      <c r="B1112" s="42"/>
      <c r="C1112" s="42"/>
      <c r="D1112" s="42"/>
      <c r="E1112" s="41"/>
      <c r="F1112" s="41"/>
      <c r="G1112" s="41"/>
      <c r="H1112" s="41"/>
      <c r="I1112" s="41"/>
      <c r="J1112" s="42"/>
      <c r="K1112" s="41"/>
      <c r="L1112" s="41"/>
      <c r="M1112" s="127"/>
      <c r="N1112" s="41"/>
      <c r="O1112" s="41"/>
      <c r="P1112" s="41"/>
      <c r="Q1112" s="42"/>
      <c r="R1112" s="35"/>
      <c r="S1112" s="35"/>
      <c r="T1112" s="35"/>
      <c r="U1112" s="35"/>
      <c r="V1112" s="121"/>
      <c r="W1112" s="42"/>
      <c r="X1112" s="42"/>
      <c r="Y1112" s="42"/>
      <c r="Z1112" s="42"/>
      <c r="AA1112" s="42"/>
      <c r="AB1112" s="42"/>
      <c r="AC1112" s="42"/>
      <c r="AD1112" s="42"/>
      <c r="AE1112" s="42"/>
      <c r="AF1112" s="42"/>
      <c r="AG1112" s="42"/>
      <c r="AH1112" s="42"/>
      <c r="AI1112" s="42"/>
      <c r="AJ1112" s="42"/>
      <c r="AK1112" s="42"/>
      <c r="AL1112" s="42"/>
      <c r="AM1112" s="42"/>
    </row>
    <row r="1113" spans="1:39" x14ac:dyDescent="0.25">
      <c r="A1113" s="38" t="s">
        <v>1464</v>
      </c>
      <c r="B1113" s="42"/>
      <c r="C1113" s="42"/>
      <c r="D1113" s="42"/>
      <c r="E1113" s="41"/>
      <c r="F1113" s="41"/>
      <c r="G1113" s="41"/>
      <c r="H1113" s="41"/>
      <c r="I1113" s="41"/>
      <c r="J1113" s="42"/>
      <c r="K1113" s="41"/>
      <c r="L1113" s="41"/>
      <c r="M1113" s="127"/>
      <c r="N1113" s="41"/>
      <c r="O1113" s="41"/>
      <c r="P1113" s="41"/>
      <c r="Q1113" s="42"/>
      <c r="R1113" s="35"/>
      <c r="S1113" s="35"/>
      <c r="T1113" s="35"/>
      <c r="U1113" s="35"/>
      <c r="V1113" s="121"/>
      <c r="W1113" s="42"/>
      <c r="X1113" s="42"/>
      <c r="Y1113" s="42"/>
      <c r="Z1113" s="42"/>
      <c r="AA1113" s="42"/>
      <c r="AB1113" s="42"/>
      <c r="AC1113" s="42"/>
      <c r="AD1113" s="42"/>
      <c r="AE1113" s="42"/>
      <c r="AF1113" s="42"/>
      <c r="AG1113" s="42"/>
      <c r="AH1113" s="42"/>
      <c r="AI1113" s="42"/>
      <c r="AJ1113" s="42"/>
      <c r="AK1113" s="42"/>
      <c r="AL1113" s="42"/>
      <c r="AM1113" s="42"/>
    </row>
    <row r="1114" spans="1:39" x14ac:dyDescent="0.25">
      <c r="A1114" s="38" t="s">
        <v>1465</v>
      </c>
      <c r="B1114" s="42"/>
      <c r="C1114" s="42"/>
      <c r="D1114" s="42"/>
      <c r="E1114" s="41"/>
      <c r="F1114" s="41"/>
      <c r="G1114" s="41"/>
      <c r="H1114" s="41"/>
      <c r="I1114" s="41"/>
      <c r="J1114" s="42"/>
      <c r="K1114" s="41"/>
      <c r="L1114" s="41"/>
      <c r="M1114" s="127"/>
      <c r="N1114" s="41"/>
      <c r="O1114" s="41"/>
      <c r="P1114" s="41"/>
      <c r="Q1114" s="42"/>
      <c r="R1114" s="35"/>
      <c r="S1114" s="35"/>
      <c r="T1114" s="35"/>
      <c r="U1114" s="35"/>
      <c r="V1114" s="121"/>
      <c r="W1114" s="42"/>
      <c r="X1114" s="42"/>
      <c r="Y1114" s="42"/>
      <c r="Z1114" s="42"/>
      <c r="AA1114" s="42"/>
      <c r="AB1114" s="42"/>
      <c r="AC1114" s="42"/>
      <c r="AD1114" s="42"/>
      <c r="AE1114" s="42"/>
      <c r="AF1114" s="42"/>
      <c r="AG1114" s="42"/>
      <c r="AH1114" s="42"/>
      <c r="AI1114" s="42"/>
      <c r="AJ1114" s="42"/>
      <c r="AK1114" s="42"/>
      <c r="AL1114" s="42"/>
      <c r="AM1114" s="42"/>
    </row>
    <row r="1115" spans="1:39" x14ac:dyDescent="0.25">
      <c r="A1115" s="38" t="s">
        <v>1466</v>
      </c>
      <c r="B1115" s="42"/>
      <c r="C1115" s="42"/>
      <c r="D1115" s="42"/>
      <c r="E1115" s="41"/>
      <c r="F1115" s="41"/>
      <c r="G1115" s="41"/>
      <c r="H1115" s="41"/>
      <c r="I1115" s="41"/>
      <c r="J1115" s="42"/>
      <c r="K1115" s="41"/>
      <c r="L1115" s="41"/>
      <c r="M1115" s="127"/>
      <c r="N1115" s="41"/>
      <c r="O1115" s="41"/>
      <c r="P1115" s="41"/>
      <c r="Q1115" s="42"/>
      <c r="R1115" s="35"/>
      <c r="S1115" s="35"/>
      <c r="T1115" s="35"/>
      <c r="U1115" s="35"/>
      <c r="V1115" s="121"/>
      <c r="W1115" s="42"/>
      <c r="X1115" s="42"/>
      <c r="Y1115" s="42"/>
      <c r="Z1115" s="42"/>
      <c r="AA1115" s="42"/>
      <c r="AB1115" s="42"/>
      <c r="AC1115" s="42"/>
      <c r="AD1115" s="42"/>
      <c r="AE1115" s="42"/>
      <c r="AF1115" s="42"/>
      <c r="AG1115" s="42"/>
      <c r="AH1115" s="42"/>
      <c r="AI1115" s="42"/>
      <c r="AJ1115" s="42"/>
      <c r="AK1115" s="42"/>
      <c r="AL1115" s="42"/>
      <c r="AM1115" s="42"/>
    </row>
    <row r="1116" spans="1:39" x14ac:dyDescent="0.25">
      <c r="A1116" s="38" t="s">
        <v>1467</v>
      </c>
      <c r="B1116" s="42"/>
      <c r="C1116" s="42"/>
      <c r="D1116" s="42"/>
      <c r="E1116" s="41"/>
      <c r="F1116" s="41"/>
      <c r="G1116" s="41"/>
      <c r="H1116" s="41"/>
      <c r="I1116" s="41"/>
      <c r="J1116" s="42"/>
      <c r="K1116" s="41"/>
      <c r="L1116" s="41"/>
      <c r="M1116" s="127"/>
      <c r="N1116" s="41"/>
      <c r="O1116" s="41"/>
      <c r="P1116" s="41"/>
      <c r="Q1116" s="42"/>
      <c r="R1116" s="35"/>
      <c r="S1116" s="35"/>
      <c r="T1116" s="35"/>
      <c r="U1116" s="35"/>
      <c r="V1116" s="121"/>
      <c r="W1116" s="42"/>
      <c r="X1116" s="42"/>
      <c r="Y1116" s="42"/>
      <c r="Z1116" s="42"/>
      <c r="AA1116" s="42"/>
      <c r="AB1116" s="42"/>
      <c r="AC1116" s="42"/>
      <c r="AD1116" s="42"/>
      <c r="AE1116" s="42"/>
      <c r="AF1116" s="42"/>
      <c r="AG1116" s="42"/>
      <c r="AH1116" s="42"/>
      <c r="AI1116" s="42"/>
      <c r="AJ1116" s="42"/>
      <c r="AK1116" s="42"/>
      <c r="AL1116" s="42"/>
      <c r="AM1116" s="42"/>
    </row>
    <row r="1117" spans="1:39" x14ac:dyDescent="0.25">
      <c r="A1117" s="38" t="s">
        <v>1468</v>
      </c>
      <c r="B1117" s="42"/>
      <c r="C1117" s="42"/>
      <c r="D1117" s="42"/>
      <c r="E1117" s="41"/>
      <c r="F1117" s="41"/>
      <c r="G1117" s="41"/>
      <c r="H1117" s="41"/>
      <c r="I1117" s="41"/>
      <c r="J1117" s="42"/>
      <c r="K1117" s="41"/>
      <c r="L1117" s="41"/>
      <c r="M1117" s="127"/>
      <c r="N1117" s="41"/>
      <c r="O1117" s="41"/>
      <c r="P1117" s="41"/>
      <c r="Q1117" s="42"/>
      <c r="R1117" s="35"/>
      <c r="S1117" s="35"/>
      <c r="T1117" s="35"/>
      <c r="U1117" s="35"/>
      <c r="V1117" s="121"/>
      <c r="W1117" s="42"/>
      <c r="X1117" s="42"/>
      <c r="Y1117" s="42"/>
      <c r="Z1117" s="42"/>
      <c r="AA1117" s="42"/>
      <c r="AB1117" s="42"/>
      <c r="AC1117" s="42"/>
      <c r="AD1117" s="42"/>
      <c r="AE1117" s="42"/>
      <c r="AF1117" s="42"/>
      <c r="AG1117" s="42"/>
      <c r="AH1117" s="42"/>
      <c r="AI1117" s="42"/>
      <c r="AJ1117" s="42"/>
      <c r="AK1117" s="42"/>
      <c r="AL1117" s="42"/>
      <c r="AM1117" s="42"/>
    </row>
    <row r="1118" spans="1:39" x14ac:dyDescent="0.25">
      <c r="A1118" s="38" t="s">
        <v>1469</v>
      </c>
      <c r="B1118" s="42"/>
      <c r="C1118" s="42"/>
      <c r="D1118" s="42"/>
      <c r="E1118" s="41"/>
      <c r="F1118" s="41"/>
      <c r="G1118" s="41"/>
      <c r="H1118" s="41"/>
      <c r="I1118" s="41"/>
      <c r="J1118" s="42"/>
      <c r="K1118" s="41"/>
      <c r="L1118" s="41"/>
      <c r="M1118" s="127"/>
      <c r="N1118" s="41"/>
      <c r="O1118" s="41"/>
      <c r="P1118" s="41"/>
      <c r="Q1118" s="42"/>
      <c r="R1118" s="35"/>
      <c r="S1118" s="35"/>
      <c r="T1118" s="35"/>
      <c r="U1118" s="35"/>
      <c r="V1118" s="121"/>
      <c r="W1118" s="42"/>
      <c r="X1118" s="42"/>
      <c r="Y1118" s="42"/>
      <c r="Z1118" s="42"/>
      <c r="AA1118" s="42"/>
      <c r="AB1118" s="42"/>
      <c r="AC1118" s="42"/>
      <c r="AD1118" s="42"/>
      <c r="AE1118" s="42"/>
      <c r="AF1118" s="42"/>
      <c r="AG1118" s="42"/>
      <c r="AH1118" s="42"/>
      <c r="AI1118" s="42"/>
      <c r="AJ1118" s="42"/>
      <c r="AK1118" s="42"/>
      <c r="AL1118" s="42"/>
      <c r="AM1118" s="42"/>
    </row>
    <row r="1119" spans="1:39" x14ac:dyDescent="0.25">
      <c r="A1119" s="38" t="s">
        <v>1470</v>
      </c>
      <c r="B1119" s="42"/>
      <c r="C1119" s="42"/>
      <c r="D1119" s="42"/>
      <c r="E1119" s="41"/>
      <c r="F1119" s="41"/>
      <c r="G1119" s="41"/>
      <c r="H1119" s="41"/>
      <c r="I1119" s="41"/>
      <c r="J1119" s="42"/>
      <c r="K1119" s="41"/>
      <c r="L1119" s="41"/>
      <c r="M1119" s="127"/>
      <c r="N1119" s="41"/>
      <c r="O1119" s="41"/>
      <c r="P1119" s="41"/>
      <c r="Q1119" s="42"/>
      <c r="R1119" s="35"/>
      <c r="S1119" s="35"/>
      <c r="T1119" s="35"/>
      <c r="U1119" s="35"/>
      <c r="V1119" s="121"/>
      <c r="W1119" s="42"/>
      <c r="X1119" s="42"/>
      <c r="Y1119" s="42"/>
      <c r="Z1119" s="42"/>
      <c r="AA1119" s="42"/>
      <c r="AB1119" s="42"/>
      <c r="AC1119" s="42"/>
      <c r="AD1119" s="42"/>
      <c r="AE1119" s="42"/>
      <c r="AF1119" s="42"/>
      <c r="AG1119" s="42"/>
      <c r="AH1119" s="42"/>
      <c r="AI1119" s="42"/>
      <c r="AJ1119" s="42"/>
      <c r="AK1119" s="42"/>
      <c r="AL1119" s="42"/>
      <c r="AM1119" s="42"/>
    </row>
    <row r="1120" spans="1:39" x14ac:dyDescent="0.25">
      <c r="A1120" s="38" t="s">
        <v>1471</v>
      </c>
      <c r="B1120" s="42"/>
      <c r="C1120" s="42"/>
      <c r="D1120" s="42"/>
      <c r="E1120" s="41"/>
      <c r="F1120" s="41"/>
      <c r="G1120" s="41"/>
      <c r="H1120" s="41"/>
      <c r="I1120" s="41"/>
      <c r="J1120" s="42"/>
      <c r="K1120" s="41"/>
      <c r="L1120" s="41"/>
      <c r="M1120" s="127"/>
      <c r="N1120" s="41"/>
      <c r="O1120" s="41"/>
      <c r="P1120" s="41"/>
      <c r="Q1120" s="42"/>
      <c r="R1120" s="35"/>
      <c r="S1120" s="35"/>
      <c r="T1120" s="35"/>
      <c r="U1120" s="35"/>
      <c r="V1120" s="121"/>
      <c r="W1120" s="42"/>
      <c r="X1120" s="42"/>
      <c r="Y1120" s="42"/>
      <c r="Z1120" s="42"/>
      <c r="AA1120" s="42"/>
      <c r="AB1120" s="42"/>
      <c r="AC1120" s="42"/>
      <c r="AD1120" s="42"/>
      <c r="AE1120" s="42"/>
      <c r="AF1120" s="42"/>
      <c r="AG1120" s="42"/>
      <c r="AH1120" s="42"/>
      <c r="AI1120" s="42"/>
      <c r="AJ1120" s="42"/>
      <c r="AK1120" s="42"/>
      <c r="AL1120" s="42"/>
      <c r="AM1120" s="42"/>
    </row>
    <row r="1121" spans="1:39" x14ac:dyDescent="0.25">
      <c r="A1121" s="38" t="s">
        <v>1472</v>
      </c>
      <c r="B1121" s="42"/>
      <c r="C1121" s="42"/>
      <c r="D1121" s="42"/>
      <c r="E1121" s="41"/>
      <c r="F1121" s="41"/>
      <c r="G1121" s="41"/>
      <c r="H1121" s="41"/>
      <c r="I1121" s="41"/>
      <c r="J1121" s="42"/>
      <c r="K1121" s="41"/>
      <c r="L1121" s="41"/>
      <c r="M1121" s="127"/>
      <c r="N1121" s="41"/>
      <c r="O1121" s="41"/>
      <c r="P1121" s="41"/>
      <c r="Q1121" s="42"/>
      <c r="R1121" s="35"/>
      <c r="S1121" s="35"/>
      <c r="T1121" s="35"/>
      <c r="U1121" s="35"/>
      <c r="V1121" s="121"/>
      <c r="W1121" s="42"/>
      <c r="X1121" s="42"/>
      <c r="Y1121" s="42"/>
      <c r="Z1121" s="42"/>
      <c r="AA1121" s="42"/>
      <c r="AB1121" s="42"/>
      <c r="AC1121" s="42"/>
      <c r="AD1121" s="42"/>
      <c r="AE1121" s="42"/>
      <c r="AF1121" s="42"/>
      <c r="AG1121" s="42"/>
      <c r="AH1121" s="42"/>
      <c r="AI1121" s="42"/>
      <c r="AJ1121" s="42"/>
      <c r="AK1121" s="42"/>
      <c r="AL1121" s="42"/>
      <c r="AM1121" s="42"/>
    </row>
    <row r="1122" spans="1:39" x14ac:dyDescent="0.25">
      <c r="A1122" s="38" t="s">
        <v>1473</v>
      </c>
      <c r="B1122" s="42"/>
      <c r="C1122" s="42"/>
      <c r="D1122" s="42"/>
      <c r="E1122" s="41"/>
      <c r="F1122" s="41"/>
      <c r="G1122" s="41"/>
      <c r="H1122" s="41"/>
      <c r="I1122" s="41"/>
      <c r="J1122" s="42"/>
      <c r="K1122" s="41"/>
      <c r="L1122" s="41"/>
      <c r="M1122" s="127"/>
      <c r="N1122" s="41"/>
      <c r="O1122" s="41"/>
      <c r="P1122" s="41"/>
      <c r="Q1122" s="42"/>
      <c r="R1122" s="35"/>
      <c r="S1122" s="35"/>
      <c r="T1122" s="35"/>
      <c r="U1122" s="35"/>
      <c r="V1122" s="121"/>
      <c r="W1122" s="42"/>
      <c r="X1122" s="42"/>
      <c r="Y1122" s="42"/>
      <c r="Z1122" s="42"/>
      <c r="AA1122" s="42"/>
      <c r="AB1122" s="42"/>
      <c r="AC1122" s="42"/>
      <c r="AD1122" s="42"/>
      <c r="AE1122" s="42"/>
      <c r="AF1122" s="42"/>
      <c r="AG1122" s="42"/>
      <c r="AH1122" s="42"/>
      <c r="AI1122" s="42"/>
      <c r="AJ1122" s="42"/>
      <c r="AK1122" s="42"/>
      <c r="AL1122" s="42"/>
      <c r="AM1122" s="42"/>
    </row>
    <row r="1123" spans="1:39" x14ac:dyDescent="0.25">
      <c r="A1123" s="38" t="s">
        <v>1474</v>
      </c>
      <c r="B1123" s="42"/>
      <c r="C1123" s="42"/>
      <c r="D1123" s="42"/>
      <c r="E1123" s="41"/>
      <c r="F1123" s="41"/>
      <c r="G1123" s="41"/>
      <c r="H1123" s="41"/>
      <c r="I1123" s="41"/>
      <c r="J1123" s="42"/>
      <c r="K1123" s="41"/>
      <c r="L1123" s="41"/>
      <c r="M1123" s="127"/>
      <c r="N1123" s="41"/>
      <c r="O1123" s="41"/>
      <c r="P1123" s="41"/>
      <c r="Q1123" s="42"/>
      <c r="R1123" s="35"/>
      <c r="S1123" s="35"/>
      <c r="T1123" s="35"/>
      <c r="U1123" s="35"/>
      <c r="V1123" s="121"/>
      <c r="W1123" s="42"/>
      <c r="X1123" s="42"/>
      <c r="Y1123" s="42"/>
      <c r="Z1123" s="42"/>
      <c r="AA1123" s="42"/>
      <c r="AB1123" s="42"/>
      <c r="AC1123" s="42"/>
      <c r="AD1123" s="42"/>
      <c r="AE1123" s="42"/>
      <c r="AF1123" s="42"/>
      <c r="AG1123" s="42"/>
      <c r="AH1123" s="42"/>
      <c r="AI1123" s="42"/>
      <c r="AJ1123" s="42"/>
      <c r="AK1123" s="42"/>
      <c r="AL1123" s="42"/>
      <c r="AM1123" s="42"/>
    </row>
    <row r="1124" spans="1:39" x14ac:dyDescent="0.25">
      <c r="A1124" s="38" t="s">
        <v>1475</v>
      </c>
      <c r="B1124" s="42"/>
      <c r="C1124" s="42"/>
      <c r="D1124" s="42"/>
      <c r="E1124" s="41"/>
      <c r="F1124" s="41"/>
      <c r="G1124" s="41"/>
      <c r="H1124" s="41"/>
      <c r="I1124" s="41"/>
      <c r="J1124" s="42"/>
      <c r="K1124" s="41"/>
      <c r="L1124" s="41"/>
      <c r="M1124" s="127"/>
      <c r="N1124" s="41"/>
      <c r="O1124" s="41"/>
      <c r="P1124" s="41"/>
      <c r="Q1124" s="42"/>
      <c r="R1124" s="35"/>
      <c r="S1124" s="35"/>
      <c r="T1124" s="35"/>
      <c r="U1124" s="35"/>
      <c r="V1124" s="121"/>
      <c r="W1124" s="42"/>
      <c r="X1124" s="42"/>
      <c r="Y1124" s="42"/>
      <c r="Z1124" s="42"/>
      <c r="AA1124" s="42"/>
      <c r="AB1124" s="42"/>
      <c r="AC1124" s="42"/>
      <c r="AD1124" s="42"/>
      <c r="AE1124" s="42"/>
      <c r="AF1124" s="42"/>
      <c r="AG1124" s="42"/>
      <c r="AH1124" s="42"/>
      <c r="AI1124" s="42"/>
      <c r="AJ1124" s="42"/>
      <c r="AK1124" s="42"/>
      <c r="AL1124" s="42"/>
      <c r="AM1124" s="42"/>
    </row>
    <row r="1125" spans="1:39" x14ac:dyDescent="0.25">
      <c r="A1125" s="38" t="s">
        <v>1476</v>
      </c>
      <c r="B1125" s="42"/>
      <c r="C1125" s="42"/>
      <c r="D1125" s="42"/>
      <c r="E1125" s="41"/>
      <c r="F1125" s="41"/>
      <c r="G1125" s="41"/>
      <c r="H1125" s="41"/>
      <c r="I1125" s="41"/>
      <c r="J1125" s="42"/>
      <c r="K1125" s="41"/>
      <c r="L1125" s="41"/>
      <c r="M1125" s="127"/>
      <c r="N1125" s="41"/>
      <c r="O1125" s="41"/>
      <c r="P1125" s="41"/>
      <c r="Q1125" s="42"/>
      <c r="R1125" s="35"/>
      <c r="S1125" s="35"/>
      <c r="T1125" s="35"/>
      <c r="U1125" s="35"/>
      <c r="V1125" s="121"/>
      <c r="W1125" s="42"/>
      <c r="X1125" s="42"/>
      <c r="Y1125" s="42"/>
      <c r="Z1125" s="42"/>
      <c r="AA1125" s="42"/>
      <c r="AB1125" s="42"/>
      <c r="AC1125" s="42"/>
      <c r="AD1125" s="42"/>
      <c r="AE1125" s="42"/>
      <c r="AF1125" s="42"/>
      <c r="AG1125" s="42"/>
      <c r="AH1125" s="42"/>
      <c r="AI1125" s="42"/>
      <c r="AJ1125" s="42"/>
      <c r="AK1125" s="42"/>
      <c r="AL1125" s="42"/>
      <c r="AM1125" s="42"/>
    </row>
    <row r="1126" spans="1:39" x14ac:dyDescent="0.25">
      <c r="A1126" s="38" t="s">
        <v>1477</v>
      </c>
      <c r="B1126" s="42"/>
      <c r="C1126" s="42"/>
      <c r="D1126" s="42"/>
      <c r="E1126" s="41"/>
      <c r="F1126" s="41"/>
      <c r="G1126" s="41"/>
      <c r="H1126" s="41"/>
      <c r="I1126" s="41"/>
      <c r="J1126" s="42"/>
      <c r="K1126" s="41"/>
      <c r="L1126" s="41"/>
      <c r="M1126" s="127"/>
      <c r="N1126" s="41"/>
      <c r="O1126" s="41"/>
      <c r="P1126" s="41"/>
      <c r="Q1126" s="42"/>
      <c r="R1126" s="35"/>
      <c r="S1126" s="35"/>
      <c r="T1126" s="35"/>
      <c r="U1126" s="35"/>
      <c r="V1126" s="121"/>
      <c r="W1126" s="42"/>
      <c r="X1126" s="42"/>
      <c r="Y1126" s="42"/>
      <c r="Z1126" s="42"/>
      <c r="AA1126" s="42"/>
      <c r="AB1126" s="42"/>
      <c r="AC1126" s="42"/>
      <c r="AD1126" s="42"/>
      <c r="AE1126" s="42"/>
      <c r="AF1126" s="42"/>
      <c r="AG1126" s="42"/>
      <c r="AH1126" s="42"/>
      <c r="AI1126" s="42"/>
      <c r="AJ1126" s="42"/>
      <c r="AK1126" s="42"/>
      <c r="AL1126" s="42"/>
      <c r="AM1126" s="42"/>
    </row>
    <row r="1127" spans="1:39" x14ac:dyDescent="0.25">
      <c r="A1127" s="38" t="s">
        <v>1478</v>
      </c>
      <c r="B1127" s="42"/>
      <c r="C1127" s="42"/>
      <c r="D1127" s="42"/>
      <c r="E1127" s="41"/>
      <c r="F1127" s="41"/>
      <c r="G1127" s="41"/>
      <c r="H1127" s="41"/>
      <c r="I1127" s="41"/>
      <c r="J1127" s="42"/>
      <c r="K1127" s="41"/>
      <c r="L1127" s="41"/>
      <c r="M1127" s="127"/>
      <c r="N1127" s="41"/>
      <c r="O1127" s="41"/>
      <c r="P1127" s="41"/>
      <c r="Q1127" s="42"/>
      <c r="R1127" s="35"/>
      <c r="S1127" s="35"/>
      <c r="T1127" s="35"/>
      <c r="U1127" s="35"/>
      <c r="V1127" s="121"/>
      <c r="W1127" s="42"/>
      <c r="X1127" s="42"/>
      <c r="Y1127" s="42"/>
      <c r="Z1127" s="42"/>
      <c r="AA1127" s="42"/>
      <c r="AB1127" s="42"/>
      <c r="AC1127" s="42"/>
      <c r="AD1127" s="42"/>
      <c r="AE1127" s="42"/>
      <c r="AF1127" s="42"/>
      <c r="AG1127" s="42"/>
      <c r="AH1127" s="42"/>
      <c r="AI1127" s="42"/>
      <c r="AJ1127" s="42"/>
      <c r="AK1127" s="42"/>
      <c r="AL1127" s="42"/>
      <c r="AM1127" s="42"/>
    </row>
    <row r="1128" spans="1:39" x14ac:dyDescent="0.25">
      <c r="A1128" s="38" t="s">
        <v>1479</v>
      </c>
      <c r="B1128" s="42"/>
      <c r="C1128" s="42"/>
      <c r="D1128" s="42"/>
      <c r="E1128" s="41"/>
      <c r="F1128" s="41"/>
      <c r="G1128" s="41"/>
      <c r="H1128" s="41"/>
      <c r="I1128" s="41"/>
      <c r="J1128" s="42"/>
      <c r="K1128" s="41"/>
      <c r="L1128" s="41"/>
      <c r="M1128" s="127"/>
      <c r="N1128" s="41"/>
      <c r="O1128" s="41"/>
      <c r="P1128" s="41"/>
      <c r="Q1128" s="42"/>
      <c r="R1128" s="35"/>
      <c r="S1128" s="35"/>
      <c r="T1128" s="35"/>
      <c r="U1128" s="35"/>
      <c r="V1128" s="121"/>
      <c r="W1128" s="42"/>
      <c r="X1128" s="42"/>
      <c r="Y1128" s="42"/>
      <c r="Z1128" s="42"/>
      <c r="AA1128" s="42"/>
      <c r="AB1128" s="42"/>
      <c r="AC1128" s="42"/>
      <c r="AD1128" s="42"/>
      <c r="AE1128" s="42"/>
      <c r="AF1128" s="42"/>
      <c r="AG1128" s="42"/>
      <c r="AH1128" s="42"/>
      <c r="AI1128" s="42"/>
      <c r="AJ1128" s="42"/>
      <c r="AK1128" s="42"/>
      <c r="AL1128" s="42"/>
      <c r="AM1128" s="42"/>
    </row>
    <row r="1129" spans="1:39" x14ac:dyDescent="0.25">
      <c r="A1129" s="38" t="s">
        <v>1480</v>
      </c>
      <c r="B1129" s="42"/>
      <c r="C1129" s="42"/>
      <c r="D1129" s="42"/>
      <c r="E1129" s="41"/>
      <c r="F1129" s="41"/>
      <c r="G1129" s="41"/>
      <c r="H1129" s="41"/>
      <c r="I1129" s="41"/>
      <c r="J1129" s="42"/>
      <c r="K1129" s="41"/>
      <c r="L1129" s="41"/>
      <c r="M1129" s="127"/>
      <c r="N1129" s="41"/>
      <c r="O1129" s="41"/>
      <c r="P1129" s="41"/>
      <c r="Q1129" s="42"/>
      <c r="R1129" s="35"/>
      <c r="S1129" s="35"/>
      <c r="T1129" s="35"/>
      <c r="U1129" s="35"/>
      <c r="V1129" s="121"/>
      <c r="W1129" s="42"/>
      <c r="X1129" s="42"/>
      <c r="Y1129" s="42"/>
      <c r="Z1129" s="42"/>
      <c r="AA1129" s="42"/>
      <c r="AB1129" s="42"/>
      <c r="AC1129" s="42"/>
      <c r="AD1129" s="42"/>
      <c r="AE1129" s="42"/>
      <c r="AF1129" s="42"/>
      <c r="AG1129" s="42"/>
      <c r="AH1129" s="42"/>
      <c r="AI1129" s="42"/>
      <c r="AJ1129" s="42"/>
      <c r="AK1129" s="42"/>
      <c r="AL1129" s="42"/>
      <c r="AM1129" s="42"/>
    </row>
    <row r="1130" spans="1:39" x14ac:dyDescent="0.25">
      <c r="A1130" s="38" t="s">
        <v>1481</v>
      </c>
      <c r="B1130" s="42"/>
      <c r="C1130" s="42"/>
      <c r="D1130" s="42"/>
      <c r="E1130" s="41"/>
      <c r="F1130" s="41"/>
      <c r="G1130" s="41"/>
      <c r="H1130" s="41"/>
      <c r="I1130" s="41"/>
      <c r="J1130" s="42"/>
      <c r="K1130" s="41"/>
      <c r="L1130" s="41"/>
      <c r="M1130" s="127"/>
      <c r="N1130" s="41"/>
      <c r="O1130" s="41"/>
      <c r="P1130" s="41"/>
      <c r="Q1130" s="42"/>
      <c r="R1130" s="35"/>
      <c r="S1130" s="35"/>
      <c r="T1130" s="35"/>
      <c r="U1130" s="35"/>
      <c r="V1130" s="121"/>
      <c r="W1130" s="42"/>
      <c r="X1130" s="42"/>
      <c r="Y1130" s="42"/>
      <c r="Z1130" s="42"/>
      <c r="AA1130" s="42"/>
      <c r="AB1130" s="42"/>
      <c r="AC1130" s="42"/>
      <c r="AD1130" s="42"/>
      <c r="AE1130" s="42"/>
      <c r="AF1130" s="42"/>
      <c r="AG1130" s="42"/>
      <c r="AH1130" s="42"/>
      <c r="AI1130" s="42"/>
      <c r="AJ1130" s="42"/>
      <c r="AK1130" s="42"/>
      <c r="AL1130" s="42"/>
      <c r="AM1130" s="42"/>
    </row>
    <row r="1131" spans="1:39" x14ac:dyDescent="0.25">
      <c r="A1131" s="38" t="s">
        <v>1482</v>
      </c>
      <c r="B1131" s="42"/>
      <c r="C1131" s="42"/>
      <c r="D1131" s="42"/>
      <c r="E1131" s="41"/>
      <c r="F1131" s="41"/>
      <c r="G1131" s="41"/>
      <c r="H1131" s="41"/>
      <c r="I1131" s="41"/>
      <c r="J1131" s="42"/>
      <c r="K1131" s="41"/>
      <c r="L1131" s="41"/>
      <c r="M1131" s="127"/>
      <c r="N1131" s="41"/>
      <c r="O1131" s="41"/>
      <c r="P1131" s="41"/>
      <c r="Q1131" s="42"/>
      <c r="R1131" s="35"/>
      <c r="S1131" s="35"/>
      <c r="T1131" s="35"/>
      <c r="U1131" s="35"/>
      <c r="V1131" s="121"/>
      <c r="W1131" s="42"/>
      <c r="X1131" s="42"/>
      <c r="Y1131" s="42"/>
      <c r="Z1131" s="42"/>
      <c r="AA1131" s="42"/>
      <c r="AB1131" s="42"/>
      <c r="AC1131" s="42"/>
      <c r="AD1131" s="42"/>
      <c r="AE1131" s="42"/>
      <c r="AF1131" s="42"/>
      <c r="AG1131" s="42"/>
      <c r="AH1131" s="42"/>
      <c r="AI1131" s="42"/>
      <c r="AJ1131" s="42"/>
      <c r="AK1131" s="42"/>
      <c r="AL1131" s="42"/>
      <c r="AM1131" s="42"/>
    </row>
    <row r="1132" spans="1:39" x14ac:dyDescent="0.25">
      <c r="A1132" s="38" t="s">
        <v>1483</v>
      </c>
      <c r="B1132" s="42"/>
      <c r="C1132" s="42"/>
      <c r="D1132" s="42"/>
      <c r="E1132" s="41"/>
      <c r="F1132" s="41"/>
      <c r="G1132" s="41"/>
      <c r="H1132" s="41"/>
      <c r="I1132" s="41"/>
      <c r="J1132" s="42"/>
      <c r="K1132" s="41"/>
      <c r="L1132" s="41"/>
      <c r="M1132" s="127"/>
      <c r="N1132" s="41"/>
      <c r="O1132" s="41"/>
      <c r="P1132" s="41"/>
      <c r="Q1132" s="42"/>
      <c r="R1132" s="35"/>
      <c r="S1132" s="35"/>
      <c r="T1132" s="35"/>
      <c r="U1132" s="35"/>
      <c r="V1132" s="121"/>
      <c r="W1132" s="42"/>
      <c r="X1132" s="42"/>
      <c r="Y1132" s="42"/>
      <c r="Z1132" s="42"/>
      <c r="AA1132" s="42"/>
      <c r="AB1132" s="42"/>
      <c r="AC1132" s="42"/>
      <c r="AD1132" s="42"/>
      <c r="AE1132" s="42"/>
      <c r="AF1132" s="42"/>
      <c r="AG1132" s="42"/>
      <c r="AH1132" s="42"/>
      <c r="AI1132" s="42"/>
      <c r="AJ1132" s="42"/>
      <c r="AK1132" s="42"/>
      <c r="AL1132" s="42"/>
      <c r="AM1132" s="42"/>
    </row>
    <row r="1133" spans="1:39" x14ac:dyDescent="0.25">
      <c r="A1133" s="38" t="s">
        <v>1484</v>
      </c>
      <c r="B1133" s="42"/>
      <c r="C1133" s="42"/>
      <c r="D1133" s="42"/>
      <c r="E1133" s="41"/>
      <c r="F1133" s="41"/>
      <c r="G1133" s="41"/>
      <c r="H1133" s="41"/>
      <c r="I1133" s="41"/>
      <c r="J1133" s="42"/>
      <c r="K1133" s="41"/>
      <c r="L1133" s="41"/>
      <c r="M1133" s="127"/>
      <c r="N1133" s="41"/>
      <c r="O1133" s="41"/>
      <c r="P1133" s="41"/>
      <c r="Q1133" s="42"/>
      <c r="R1133" s="35"/>
      <c r="S1133" s="35"/>
      <c r="T1133" s="35"/>
      <c r="U1133" s="35"/>
      <c r="V1133" s="121"/>
      <c r="W1133" s="42"/>
      <c r="X1133" s="42"/>
      <c r="Y1133" s="42"/>
      <c r="Z1133" s="42"/>
      <c r="AA1133" s="42"/>
      <c r="AB1133" s="42"/>
      <c r="AC1133" s="42"/>
      <c r="AD1133" s="42"/>
      <c r="AE1133" s="42"/>
      <c r="AF1133" s="42"/>
      <c r="AG1133" s="42"/>
      <c r="AH1133" s="42"/>
      <c r="AI1133" s="42"/>
      <c r="AJ1133" s="42"/>
      <c r="AK1133" s="42"/>
      <c r="AL1133" s="42"/>
      <c r="AM1133" s="42"/>
    </row>
    <row r="1134" spans="1:39" x14ac:dyDescent="0.25">
      <c r="A1134" s="38" t="s">
        <v>1485</v>
      </c>
      <c r="B1134" s="42"/>
      <c r="C1134" s="42"/>
      <c r="D1134" s="42"/>
      <c r="E1134" s="41"/>
      <c r="F1134" s="41"/>
      <c r="G1134" s="41"/>
      <c r="H1134" s="41"/>
      <c r="I1134" s="41"/>
      <c r="J1134" s="42"/>
      <c r="K1134" s="41"/>
      <c r="L1134" s="41"/>
      <c r="M1134" s="127"/>
      <c r="N1134" s="41"/>
      <c r="O1134" s="41"/>
      <c r="P1134" s="41"/>
      <c r="Q1134" s="42"/>
      <c r="R1134" s="35"/>
      <c r="S1134" s="35"/>
      <c r="T1134" s="35"/>
      <c r="U1134" s="35"/>
      <c r="V1134" s="121"/>
      <c r="W1134" s="42"/>
      <c r="X1134" s="42"/>
      <c r="Y1134" s="42"/>
      <c r="Z1134" s="42"/>
      <c r="AA1134" s="42"/>
      <c r="AB1134" s="42"/>
      <c r="AC1134" s="42"/>
      <c r="AD1134" s="42"/>
      <c r="AE1134" s="42"/>
      <c r="AF1134" s="42"/>
      <c r="AG1134" s="42"/>
      <c r="AH1134" s="42"/>
      <c r="AI1134" s="42"/>
      <c r="AJ1134" s="42"/>
      <c r="AK1134" s="42"/>
      <c r="AL1134" s="42"/>
      <c r="AM1134" s="42"/>
    </row>
    <row r="1135" spans="1:39" x14ac:dyDescent="0.25">
      <c r="A1135" s="38" t="s">
        <v>1486</v>
      </c>
      <c r="B1135" s="42"/>
      <c r="C1135" s="42"/>
      <c r="D1135" s="42"/>
      <c r="E1135" s="41"/>
      <c r="F1135" s="41"/>
      <c r="G1135" s="41"/>
      <c r="H1135" s="41"/>
      <c r="I1135" s="41"/>
      <c r="J1135" s="42"/>
      <c r="K1135" s="41"/>
      <c r="L1135" s="41"/>
      <c r="M1135" s="127"/>
      <c r="N1135" s="41"/>
      <c r="O1135" s="41"/>
      <c r="P1135" s="41"/>
      <c r="Q1135" s="42"/>
      <c r="R1135" s="35"/>
      <c r="S1135" s="35"/>
      <c r="T1135" s="35"/>
      <c r="U1135" s="35"/>
      <c r="V1135" s="121"/>
      <c r="W1135" s="42"/>
      <c r="X1135" s="42"/>
      <c r="Y1135" s="42"/>
      <c r="Z1135" s="42"/>
      <c r="AA1135" s="42"/>
      <c r="AB1135" s="42"/>
      <c r="AC1135" s="42"/>
      <c r="AD1135" s="42"/>
      <c r="AE1135" s="42"/>
      <c r="AF1135" s="42"/>
      <c r="AG1135" s="42"/>
      <c r="AH1135" s="42"/>
      <c r="AI1135" s="42"/>
      <c r="AJ1135" s="42"/>
      <c r="AK1135" s="42"/>
      <c r="AL1135" s="42"/>
      <c r="AM1135" s="42"/>
    </row>
    <row r="1136" spans="1:39" x14ac:dyDescent="0.25">
      <c r="A1136" s="38" t="s">
        <v>1487</v>
      </c>
      <c r="B1136" s="42"/>
      <c r="C1136" s="42"/>
      <c r="D1136" s="42"/>
      <c r="E1136" s="41"/>
      <c r="F1136" s="41"/>
      <c r="G1136" s="41"/>
      <c r="H1136" s="41"/>
      <c r="I1136" s="41"/>
      <c r="J1136" s="42"/>
      <c r="K1136" s="41"/>
      <c r="L1136" s="41"/>
      <c r="M1136" s="127"/>
      <c r="N1136" s="41"/>
      <c r="O1136" s="41"/>
      <c r="P1136" s="41"/>
      <c r="Q1136" s="42"/>
      <c r="R1136" s="35"/>
      <c r="S1136" s="35"/>
      <c r="T1136" s="35"/>
      <c r="U1136" s="35"/>
      <c r="V1136" s="121"/>
      <c r="W1136" s="42"/>
      <c r="X1136" s="42"/>
      <c r="Y1136" s="42"/>
      <c r="Z1136" s="42"/>
      <c r="AA1136" s="42"/>
      <c r="AB1136" s="42"/>
      <c r="AC1136" s="42"/>
      <c r="AD1136" s="42"/>
      <c r="AE1136" s="42"/>
      <c r="AF1136" s="42"/>
      <c r="AG1136" s="42"/>
      <c r="AH1136" s="42"/>
      <c r="AI1136" s="42"/>
      <c r="AJ1136" s="42"/>
      <c r="AK1136" s="42"/>
      <c r="AL1136" s="42"/>
      <c r="AM1136" s="42"/>
    </row>
    <row r="1137" spans="1:39" x14ac:dyDescent="0.25">
      <c r="A1137" s="38" t="s">
        <v>1488</v>
      </c>
      <c r="B1137" s="42"/>
      <c r="C1137" s="42"/>
      <c r="D1137" s="42"/>
      <c r="E1137" s="41"/>
      <c r="F1137" s="41"/>
      <c r="G1137" s="41"/>
      <c r="H1137" s="41"/>
      <c r="I1137" s="41"/>
      <c r="J1137" s="42"/>
      <c r="K1137" s="41"/>
      <c r="L1137" s="41"/>
      <c r="M1137" s="127"/>
      <c r="N1137" s="41"/>
      <c r="O1137" s="41"/>
      <c r="P1137" s="41"/>
      <c r="Q1137" s="42"/>
      <c r="R1137" s="35"/>
      <c r="S1137" s="35"/>
      <c r="T1137" s="35"/>
      <c r="U1137" s="35"/>
      <c r="V1137" s="121"/>
      <c r="W1137" s="42"/>
      <c r="X1137" s="42"/>
      <c r="Y1137" s="42"/>
      <c r="Z1137" s="42"/>
      <c r="AA1137" s="42"/>
      <c r="AB1137" s="42"/>
      <c r="AC1137" s="42"/>
      <c r="AD1137" s="42"/>
      <c r="AE1137" s="42"/>
      <c r="AF1137" s="42"/>
      <c r="AG1137" s="42"/>
      <c r="AH1137" s="42"/>
      <c r="AI1137" s="42"/>
      <c r="AJ1137" s="42"/>
      <c r="AK1137" s="42"/>
      <c r="AL1137" s="42"/>
      <c r="AM1137" s="42"/>
    </row>
    <row r="1138" spans="1:39" x14ac:dyDescent="0.25">
      <c r="A1138" s="38" t="s">
        <v>1489</v>
      </c>
      <c r="B1138" s="42"/>
      <c r="C1138" s="42"/>
      <c r="D1138" s="42"/>
      <c r="E1138" s="41"/>
      <c r="F1138" s="41"/>
      <c r="G1138" s="41"/>
      <c r="H1138" s="41"/>
      <c r="I1138" s="41"/>
      <c r="J1138" s="42"/>
      <c r="K1138" s="41"/>
      <c r="L1138" s="41"/>
      <c r="M1138" s="127"/>
      <c r="N1138" s="41"/>
      <c r="O1138" s="41"/>
      <c r="P1138" s="41"/>
      <c r="Q1138" s="42"/>
      <c r="R1138" s="35"/>
      <c r="S1138" s="35"/>
      <c r="T1138" s="35"/>
      <c r="U1138" s="35"/>
      <c r="V1138" s="121"/>
      <c r="W1138" s="42"/>
      <c r="X1138" s="42"/>
      <c r="Y1138" s="42"/>
      <c r="Z1138" s="42"/>
      <c r="AA1138" s="42"/>
      <c r="AB1138" s="42"/>
      <c r="AC1138" s="42"/>
      <c r="AD1138" s="42"/>
      <c r="AE1138" s="42"/>
      <c r="AF1138" s="42"/>
      <c r="AG1138" s="42"/>
      <c r="AH1138" s="42"/>
      <c r="AI1138" s="42"/>
      <c r="AJ1138" s="42"/>
      <c r="AK1138" s="42"/>
      <c r="AL1138" s="42"/>
      <c r="AM1138" s="42"/>
    </row>
    <row r="1139" spans="1:39" x14ac:dyDescent="0.25">
      <c r="A1139" s="38" t="s">
        <v>1490</v>
      </c>
      <c r="B1139" s="42"/>
      <c r="C1139" s="42"/>
      <c r="D1139" s="42"/>
      <c r="E1139" s="41"/>
      <c r="F1139" s="41"/>
      <c r="G1139" s="41"/>
      <c r="H1139" s="41"/>
      <c r="I1139" s="41"/>
      <c r="J1139" s="42"/>
      <c r="K1139" s="41"/>
      <c r="L1139" s="41"/>
      <c r="M1139" s="127"/>
      <c r="N1139" s="41"/>
      <c r="O1139" s="41"/>
      <c r="P1139" s="41"/>
      <c r="Q1139" s="42"/>
      <c r="R1139" s="35"/>
      <c r="S1139" s="35"/>
      <c r="T1139" s="35"/>
      <c r="U1139" s="35"/>
      <c r="V1139" s="121"/>
      <c r="W1139" s="42"/>
      <c r="X1139" s="42"/>
      <c r="Y1139" s="42"/>
      <c r="Z1139" s="42"/>
      <c r="AA1139" s="42"/>
      <c r="AB1139" s="42"/>
      <c r="AC1139" s="42"/>
      <c r="AD1139" s="42"/>
      <c r="AE1139" s="42"/>
      <c r="AF1139" s="42"/>
      <c r="AG1139" s="42"/>
      <c r="AH1139" s="42"/>
      <c r="AI1139" s="42"/>
      <c r="AJ1139" s="42"/>
      <c r="AK1139" s="42"/>
      <c r="AL1139" s="42"/>
      <c r="AM1139" s="42"/>
    </row>
    <row r="1140" spans="1:39" x14ac:dyDescent="0.25">
      <c r="A1140" s="38" t="s">
        <v>1491</v>
      </c>
      <c r="B1140" s="42"/>
      <c r="C1140" s="42"/>
      <c r="D1140" s="42"/>
      <c r="E1140" s="41"/>
      <c r="F1140" s="41"/>
      <c r="G1140" s="41"/>
      <c r="H1140" s="41"/>
      <c r="I1140" s="41"/>
      <c r="J1140" s="42"/>
      <c r="K1140" s="41"/>
      <c r="L1140" s="41"/>
      <c r="M1140" s="127"/>
      <c r="N1140" s="41"/>
      <c r="O1140" s="41"/>
      <c r="P1140" s="41"/>
      <c r="Q1140" s="42"/>
      <c r="R1140" s="35"/>
      <c r="S1140" s="35"/>
      <c r="T1140" s="35"/>
      <c r="U1140" s="35"/>
      <c r="V1140" s="121"/>
      <c r="W1140" s="42"/>
      <c r="X1140" s="42"/>
      <c r="Y1140" s="42"/>
      <c r="Z1140" s="42"/>
      <c r="AA1140" s="42"/>
      <c r="AB1140" s="42"/>
      <c r="AC1140" s="42"/>
      <c r="AD1140" s="42"/>
      <c r="AE1140" s="42"/>
      <c r="AF1140" s="42"/>
      <c r="AG1140" s="42"/>
      <c r="AH1140" s="42"/>
      <c r="AI1140" s="42"/>
      <c r="AJ1140" s="42"/>
      <c r="AK1140" s="42"/>
      <c r="AL1140" s="42"/>
      <c r="AM1140" s="42"/>
    </row>
    <row r="1141" spans="1:39" x14ac:dyDescent="0.25">
      <c r="A1141" s="38" t="s">
        <v>1492</v>
      </c>
      <c r="B1141" s="42"/>
      <c r="C1141" s="42"/>
      <c r="D1141" s="42"/>
      <c r="E1141" s="41"/>
      <c r="F1141" s="41"/>
      <c r="G1141" s="41"/>
      <c r="H1141" s="41"/>
      <c r="I1141" s="41"/>
      <c r="J1141" s="42"/>
      <c r="K1141" s="41"/>
      <c r="L1141" s="41"/>
      <c r="M1141" s="127"/>
      <c r="N1141" s="41"/>
      <c r="O1141" s="41"/>
      <c r="P1141" s="41"/>
      <c r="Q1141" s="42"/>
      <c r="R1141" s="35"/>
      <c r="S1141" s="35"/>
      <c r="T1141" s="35"/>
      <c r="U1141" s="35"/>
      <c r="V1141" s="121"/>
      <c r="W1141" s="42"/>
      <c r="X1141" s="42"/>
      <c r="Y1141" s="42"/>
      <c r="Z1141" s="42"/>
      <c r="AA1141" s="42"/>
      <c r="AB1141" s="42"/>
      <c r="AC1141" s="42"/>
      <c r="AD1141" s="42"/>
      <c r="AE1141" s="42"/>
      <c r="AF1141" s="42"/>
      <c r="AG1141" s="42"/>
      <c r="AH1141" s="42"/>
      <c r="AI1141" s="42"/>
      <c r="AJ1141" s="42"/>
      <c r="AK1141" s="42"/>
      <c r="AL1141" s="42"/>
      <c r="AM1141" s="42"/>
    </row>
    <row r="1142" spans="1:39" x14ac:dyDescent="0.25">
      <c r="A1142" s="38" t="s">
        <v>1493</v>
      </c>
      <c r="B1142" s="42"/>
      <c r="C1142" s="42"/>
      <c r="D1142" s="42"/>
      <c r="E1142" s="41"/>
      <c r="F1142" s="41"/>
      <c r="G1142" s="41"/>
      <c r="H1142" s="41"/>
      <c r="I1142" s="41"/>
      <c r="J1142" s="42"/>
      <c r="K1142" s="41"/>
      <c r="L1142" s="41"/>
      <c r="M1142" s="127"/>
      <c r="N1142" s="41"/>
      <c r="O1142" s="41"/>
      <c r="P1142" s="41"/>
      <c r="Q1142" s="42"/>
      <c r="R1142" s="35"/>
      <c r="S1142" s="35"/>
      <c r="T1142" s="35"/>
      <c r="U1142" s="35"/>
      <c r="V1142" s="121"/>
      <c r="W1142" s="42"/>
      <c r="X1142" s="42"/>
      <c r="Y1142" s="42"/>
      <c r="Z1142" s="42"/>
      <c r="AA1142" s="42"/>
      <c r="AB1142" s="42"/>
      <c r="AC1142" s="42"/>
      <c r="AD1142" s="42"/>
      <c r="AE1142" s="42"/>
      <c r="AF1142" s="42"/>
      <c r="AG1142" s="42"/>
      <c r="AH1142" s="42"/>
      <c r="AI1142" s="42"/>
      <c r="AJ1142" s="42"/>
      <c r="AK1142" s="42"/>
      <c r="AL1142" s="42"/>
      <c r="AM1142" s="42"/>
    </row>
    <row r="1143" spans="1:39" x14ac:dyDescent="0.25">
      <c r="A1143" s="38" t="s">
        <v>1494</v>
      </c>
      <c r="B1143" s="42"/>
      <c r="C1143" s="42"/>
      <c r="D1143" s="42"/>
      <c r="E1143" s="41"/>
      <c r="F1143" s="41"/>
      <c r="G1143" s="41"/>
      <c r="H1143" s="41"/>
      <c r="I1143" s="41"/>
      <c r="J1143" s="42"/>
      <c r="K1143" s="41"/>
      <c r="L1143" s="41"/>
      <c r="M1143" s="127"/>
      <c r="N1143" s="41"/>
      <c r="O1143" s="41"/>
      <c r="P1143" s="41"/>
      <c r="Q1143" s="42"/>
      <c r="R1143" s="35"/>
      <c r="S1143" s="35"/>
      <c r="T1143" s="35"/>
      <c r="U1143" s="35"/>
      <c r="V1143" s="121"/>
      <c r="W1143" s="42"/>
      <c r="X1143" s="42"/>
      <c r="Y1143" s="42"/>
      <c r="Z1143" s="42"/>
      <c r="AA1143" s="42"/>
      <c r="AB1143" s="42"/>
      <c r="AC1143" s="42"/>
      <c r="AD1143" s="42"/>
      <c r="AE1143" s="42"/>
      <c r="AF1143" s="42"/>
      <c r="AG1143" s="42"/>
      <c r="AH1143" s="42"/>
      <c r="AI1143" s="42"/>
      <c r="AJ1143" s="42"/>
      <c r="AK1143" s="42"/>
      <c r="AL1143" s="42"/>
      <c r="AM1143" s="42"/>
    </row>
    <row r="1144" spans="1:39" x14ac:dyDescent="0.25">
      <c r="A1144" s="38" t="s">
        <v>1495</v>
      </c>
      <c r="B1144" s="42"/>
      <c r="C1144" s="42"/>
      <c r="D1144" s="42"/>
      <c r="E1144" s="41"/>
      <c r="F1144" s="41"/>
      <c r="G1144" s="41"/>
      <c r="H1144" s="41"/>
      <c r="I1144" s="41"/>
      <c r="J1144" s="42"/>
      <c r="K1144" s="41"/>
      <c r="L1144" s="41"/>
      <c r="M1144" s="127"/>
      <c r="N1144" s="41"/>
      <c r="O1144" s="41"/>
      <c r="P1144" s="41"/>
      <c r="Q1144" s="42"/>
      <c r="R1144" s="35"/>
      <c r="S1144" s="35"/>
      <c r="T1144" s="35"/>
      <c r="U1144" s="35"/>
      <c r="V1144" s="121"/>
      <c r="W1144" s="42"/>
      <c r="X1144" s="42"/>
      <c r="Y1144" s="42"/>
      <c r="Z1144" s="42"/>
      <c r="AA1144" s="42"/>
      <c r="AB1144" s="42"/>
      <c r="AC1144" s="42"/>
      <c r="AD1144" s="42"/>
      <c r="AE1144" s="42"/>
      <c r="AF1144" s="42"/>
      <c r="AG1144" s="42"/>
      <c r="AH1144" s="42"/>
      <c r="AI1144" s="42"/>
      <c r="AJ1144" s="42"/>
      <c r="AK1144" s="42"/>
      <c r="AL1144" s="42"/>
      <c r="AM1144" s="42"/>
    </row>
    <row r="1145" spans="1:39" x14ac:dyDescent="0.25">
      <c r="A1145" s="38" t="s">
        <v>1496</v>
      </c>
      <c r="B1145" s="42"/>
      <c r="C1145" s="42"/>
      <c r="D1145" s="42"/>
      <c r="E1145" s="41"/>
      <c r="F1145" s="41"/>
      <c r="G1145" s="41"/>
      <c r="H1145" s="41"/>
      <c r="I1145" s="41"/>
      <c r="J1145" s="42"/>
      <c r="K1145" s="41"/>
      <c r="L1145" s="41"/>
      <c r="M1145" s="127"/>
      <c r="N1145" s="41"/>
      <c r="O1145" s="41"/>
      <c r="P1145" s="41"/>
      <c r="Q1145" s="42"/>
      <c r="R1145" s="35"/>
      <c r="S1145" s="35"/>
      <c r="T1145" s="35"/>
      <c r="U1145" s="35"/>
      <c r="V1145" s="121"/>
      <c r="W1145" s="42"/>
      <c r="X1145" s="42"/>
      <c r="Y1145" s="42"/>
      <c r="Z1145" s="42"/>
      <c r="AA1145" s="42"/>
      <c r="AB1145" s="42"/>
      <c r="AC1145" s="42"/>
      <c r="AD1145" s="42"/>
      <c r="AE1145" s="42"/>
      <c r="AF1145" s="42"/>
      <c r="AG1145" s="42"/>
      <c r="AH1145" s="42"/>
      <c r="AI1145" s="42"/>
      <c r="AJ1145" s="42"/>
      <c r="AK1145" s="42"/>
      <c r="AL1145" s="42"/>
      <c r="AM1145" s="42"/>
    </row>
    <row r="1146" spans="1:39" x14ac:dyDescent="0.25">
      <c r="A1146" s="38" t="s">
        <v>1497</v>
      </c>
      <c r="B1146" s="42"/>
      <c r="C1146" s="42"/>
      <c r="D1146" s="42"/>
      <c r="E1146" s="41"/>
      <c r="F1146" s="41"/>
      <c r="G1146" s="41"/>
      <c r="H1146" s="41"/>
      <c r="I1146" s="41"/>
      <c r="J1146" s="42"/>
      <c r="K1146" s="41"/>
      <c r="L1146" s="41"/>
      <c r="M1146" s="127"/>
      <c r="N1146" s="41"/>
      <c r="O1146" s="41"/>
      <c r="P1146" s="41"/>
      <c r="Q1146" s="42"/>
      <c r="R1146" s="35"/>
      <c r="S1146" s="35"/>
      <c r="T1146" s="35"/>
      <c r="U1146" s="35"/>
      <c r="V1146" s="121"/>
      <c r="W1146" s="42"/>
      <c r="X1146" s="42"/>
      <c r="Y1146" s="42"/>
      <c r="Z1146" s="42"/>
      <c r="AA1146" s="42"/>
      <c r="AB1146" s="42"/>
      <c r="AC1146" s="42"/>
      <c r="AD1146" s="42"/>
      <c r="AE1146" s="42"/>
      <c r="AF1146" s="42"/>
      <c r="AG1146" s="42"/>
      <c r="AH1146" s="42"/>
      <c r="AI1146" s="42"/>
      <c r="AJ1146" s="42"/>
      <c r="AK1146" s="42"/>
      <c r="AL1146" s="42"/>
      <c r="AM1146" s="42"/>
    </row>
    <row r="1147" spans="1:39" x14ac:dyDescent="0.25">
      <c r="A1147" s="38" t="s">
        <v>1498</v>
      </c>
      <c r="B1147" s="42"/>
      <c r="C1147" s="42"/>
      <c r="D1147" s="42"/>
      <c r="E1147" s="41"/>
      <c r="F1147" s="41"/>
      <c r="G1147" s="41"/>
      <c r="H1147" s="41"/>
      <c r="I1147" s="41"/>
      <c r="J1147" s="42"/>
      <c r="K1147" s="41"/>
      <c r="L1147" s="41"/>
      <c r="M1147" s="127"/>
      <c r="N1147" s="41"/>
      <c r="O1147" s="41"/>
      <c r="P1147" s="41"/>
      <c r="Q1147" s="42"/>
      <c r="R1147" s="35"/>
      <c r="S1147" s="35"/>
      <c r="T1147" s="35"/>
      <c r="U1147" s="35"/>
      <c r="V1147" s="121"/>
      <c r="W1147" s="42"/>
      <c r="X1147" s="42"/>
      <c r="Y1147" s="42"/>
      <c r="Z1147" s="42"/>
      <c r="AA1147" s="42"/>
      <c r="AB1147" s="42"/>
      <c r="AC1147" s="42"/>
      <c r="AD1147" s="42"/>
      <c r="AE1147" s="42"/>
      <c r="AF1147" s="42"/>
      <c r="AG1147" s="42"/>
      <c r="AH1147" s="42"/>
      <c r="AI1147" s="42"/>
      <c r="AJ1147" s="42"/>
      <c r="AK1147" s="42"/>
      <c r="AL1147" s="42"/>
      <c r="AM1147" s="42"/>
    </row>
    <row r="1148" spans="1:39" x14ac:dyDescent="0.25">
      <c r="A1148" s="38" t="s">
        <v>1499</v>
      </c>
      <c r="B1148" s="42"/>
      <c r="C1148" s="42"/>
      <c r="D1148" s="42"/>
      <c r="E1148" s="41"/>
      <c r="F1148" s="41"/>
      <c r="G1148" s="41"/>
      <c r="H1148" s="41"/>
      <c r="I1148" s="41"/>
      <c r="J1148" s="42"/>
      <c r="K1148" s="41"/>
      <c r="L1148" s="41"/>
      <c r="M1148" s="127"/>
      <c r="N1148" s="41"/>
      <c r="O1148" s="41"/>
      <c r="P1148" s="41"/>
      <c r="Q1148" s="42"/>
      <c r="R1148" s="35"/>
      <c r="S1148" s="35"/>
      <c r="T1148" s="35"/>
      <c r="U1148" s="35"/>
      <c r="V1148" s="121"/>
      <c r="W1148" s="42"/>
      <c r="X1148" s="42"/>
      <c r="Y1148" s="42"/>
      <c r="Z1148" s="42"/>
      <c r="AA1148" s="42"/>
      <c r="AB1148" s="42"/>
      <c r="AC1148" s="42"/>
      <c r="AD1148" s="42"/>
      <c r="AE1148" s="42"/>
      <c r="AF1148" s="42"/>
      <c r="AG1148" s="42"/>
      <c r="AH1148" s="42"/>
      <c r="AI1148" s="42"/>
      <c r="AJ1148" s="42"/>
      <c r="AK1148" s="42"/>
      <c r="AL1148" s="42"/>
      <c r="AM1148" s="42"/>
    </row>
    <row r="1149" spans="1:39" x14ac:dyDescent="0.25">
      <c r="A1149" s="38" t="s">
        <v>1500</v>
      </c>
      <c r="B1149" s="42"/>
      <c r="C1149" s="42"/>
      <c r="D1149" s="42"/>
      <c r="E1149" s="41"/>
      <c r="F1149" s="41"/>
      <c r="G1149" s="41"/>
      <c r="H1149" s="41"/>
      <c r="I1149" s="41"/>
      <c r="J1149" s="42"/>
      <c r="K1149" s="41"/>
      <c r="L1149" s="41"/>
      <c r="M1149" s="127"/>
      <c r="N1149" s="41"/>
      <c r="O1149" s="41"/>
      <c r="P1149" s="41"/>
      <c r="Q1149" s="42"/>
      <c r="R1149" s="35"/>
      <c r="S1149" s="35"/>
      <c r="T1149" s="35"/>
      <c r="U1149" s="35"/>
      <c r="V1149" s="121"/>
      <c r="W1149" s="42"/>
      <c r="X1149" s="42"/>
      <c r="Y1149" s="42"/>
      <c r="Z1149" s="42"/>
      <c r="AA1149" s="42"/>
      <c r="AB1149" s="42"/>
      <c r="AC1149" s="42"/>
      <c r="AD1149" s="42"/>
      <c r="AE1149" s="42"/>
      <c r="AF1149" s="42"/>
      <c r="AG1149" s="42"/>
      <c r="AH1149" s="42"/>
      <c r="AI1149" s="42"/>
      <c r="AJ1149" s="42"/>
      <c r="AK1149" s="42"/>
      <c r="AL1149" s="42"/>
      <c r="AM1149" s="42"/>
    </row>
    <row r="1150" spans="1:39" x14ac:dyDescent="0.25">
      <c r="A1150" s="38" t="s">
        <v>1501</v>
      </c>
      <c r="B1150" s="42"/>
      <c r="C1150" s="42"/>
      <c r="D1150" s="42"/>
      <c r="E1150" s="41"/>
      <c r="F1150" s="41"/>
      <c r="G1150" s="41"/>
      <c r="H1150" s="41"/>
      <c r="I1150" s="41"/>
      <c r="J1150" s="42"/>
      <c r="K1150" s="41"/>
      <c r="L1150" s="41"/>
      <c r="M1150" s="127"/>
      <c r="N1150" s="41"/>
      <c r="O1150" s="41"/>
      <c r="P1150" s="41"/>
      <c r="Q1150" s="42"/>
      <c r="R1150" s="35"/>
      <c r="S1150" s="35"/>
      <c r="T1150" s="35"/>
      <c r="U1150" s="35"/>
      <c r="V1150" s="121"/>
      <c r="W1150" s="42"/>
      <c r="X1150" s="42"/>
      <c r="Y1150" s="42"/>
      <c r="Z1150" s="42"/>
      <c r="AA1150" s="42"/>
      <c r="AB1150" s="42"/>
      <c r="AC1150" s="42"/>
      <c r="AD1150" s="42"/>
      <c r="AE1150" s="42"/>
      <c r="AF1150" s="42"/>
      <c r="AG1150" s="42"/>
      <c r="AH1150" s="42"/>
      <c r="AI1150" s="42"/>
      <c r="AJ1150" s="42"/>
      <c r="AK1150" s="42"/>
      <c r="AL1150" s="42"/>
      <c r="AM1150" s="42"/>
    </row>
    <row r="1151" spans="1:39" x14ac:dyDescent="0.25">
      <c r="A1151" s="38" t="s">
        <v>1502</v>
      </c>
      <c r="B1151" s="42"/>
      <c r="C1151" s="42"/>
      <c r="D1151" s="42"/>
      <c r="E1151" s="41"/>
      <c r="F1151" s="41"/>
      <c r="G1151" s="41"/>
      <c r="H1151" s="41"/>
      <c r="I1151" s="41"/>
      <c r="J1151" s="42"/>
      <c r="K1151" s="41"/>
      <c r="L1151" s="41"/>
      <c r="M1151" s="127"/>
      <c r="N1151" s="41"/>
      <c r="O1151" s="41"/>
      <c r="P1151" s="41"/>
      <c r="Q1151" s="42"/>
      <c r="R1151" s="35"/>
      <c r="S1151" s="35"/>
      <c r="T1151" s="35"/>
      <c r="U1151" s="35"/>
      <c r="V1151" s="121"/>
      <c r="W1151" s="42"/>
      <c r="X1151" s="42"/>
      <c r="Y1151" s="42"/>
      <c r="Z1151" s="42"/>
      <c r="AA1151" s="42"/>
      <c r="AB1151" s="42"/>
      <c r="AC1151" s="42"/>
      <c r="AD1151" s="42"/>
      <c r="AE1151" s="42"/>
      <c r="AF1151" s="42"/>
      <c r="AG1151" s="42"/>
      <c r="AH1151" s="42"/>
      <c r="AI1151" s="42"/>
      <c r="AJ1151" s="42"/>
      <c r="AK1151" s="42"/>
      <c r="AL1151" s="42"/>
      <c r="AM1151" s="42"/>
    </row>
    <row r="1152" spans="1:39" x14ac:dyDescent="0.25">
      <c r="A1152" s="38" t="s">
        <v>1503</v>
      </c>
      <c r="B1152" s="42"/>
      <c r="C1152" s="42"/>
      <c r="D1152" s="42"/>
      <c r="E1152" s="41"/>
      <c r="F1152" s="41"/>
      <c r="G1152" s="41"/>
      <c r="H1152" s="41"/>
      <c r="I1152" s="41"/>
      <c r="J1152" s="42"/>
      <c r="K1152" s="41"/>
      <c r="L1152" s="41"/>
      <c r="M1152" s="127"/>
      <c r="N1152" s="41"/>
      <c r="O1152" s="41"/>
      <c r="P1152" s="41"/>
      <c r="Q1152" s="42"/>
      <c r="R1152" s="35"/>
      <c r="S1152" s="35"/>
      <c r="T1152" s="35"/>
      <c r="U1152" s="35"/>
      <c r="V1152" s="121"/>
      <c r="W1152" s="42"/>
      <c r="X1152" s="42"/>
      <c r="Y1152" s="42"/>
      <c r="Z1152" s="42"/>
      <c r="AA1152" s="42"/>
      <c r="AB1152" s="42"/>
      <c r="AC1152" s="42"/>
      <c r="AD1152" s="42"/>
      <c r="AE1152" s="42"/>
      <c r="AF1152" s="42"/>
      <c r="AG1152" s="42"/>
      <c r="AH1152" s="42"/>
      <c r="AI1152" s="42"/>
      <c r="AJ1152" s="42"/>
      <c r="AK1152" s="42"/>
      <c r="AL1152" s="42"/>
      <c r="AM1152" s="42"/>
    </row>
    <row r="1153" spans="1:39" x14ac:dyDescent="0.25">
      <c r="A1153" s="38" t="s">
        <v>1504</v>
      </c>
      <c r="B1153" s="42"/>
      <c r="C1153" s="42"/>
      <c r="D1153" s="42"/>
      <c r="E1153" s="41"/>
      <c r="F1153" s="41"/>
      <c r="G1153" s="41"/>
      <c r="H1153" s="41"/>
      <c r="I1153" s="41"/>
      <c r="J1153" s="42"/>
      <c r="K1153" s="41"/>
      <c r="L1153" s="41"/>
      <c r="M1153" s="127"/>
      <c r="N1153" s="41"/>
      <c r="O1153" s="41"/>
      <c r="P1153" s="41"/>
      <c r="Q1153" s="42"/>
      <c r="R1153" s="35"/>
      <c r="S1153" s="35"/>
      <c r="T1153" s="35"/>
      <c r="U1153" s="35"/>
      <c r="V1153" s="121"/>
      <c r="W1153" s="42"/>
      <c r="X1153" s="42"/>
      <c r="Y1153" s="42"/>
      <c r="Z1153" s="42"/>
      <c r="AA1153" s="42"/>
      <c r="AB1153" s="42"/>
      <c r="AC1153" s="42"/>
      <c r="AD1153" s="42"/>
      <c r="AE1153" s="42"/>
      <c r="AF1153" s="42"/>
      <c r="AG1153" s="42"/>
      <c r="AH1153" s="42"/>
      <c r="AI1153" s="42"/>
      <c r="AJ1153" s="42"/>
      <c r="AK1153" s="42"/>
      <c r="AL1153" s="42"/>
      <c r="AM1153" s="42"/>
    </row>
    <row r="1154" spans="1:39" x14ac:dyDescent="0.25">
      <c r="A1154" s="38" t="s">
        <v>1505</v>
      </c>
      <c r="B1154" s="42"/>
      <c r="C1154" s="42"/>
      <c r="D1154" s="42"/>
      <c r="E1154" s="41"/>
      <c r="F1154" s="41"/>
      <c r="G1154" s="41"/>
      <c r="H1154" s="41"/>
      <c r="I1154" s="41"/>
      <c r="J1154" s="42"/>
      <c r="K1154" s="41"/>
      <c r="L1154" s="41"/>
      <c r="M1154" s="127"/>
      <c r="N1154" s="41"/>
      <c r="O1154" s="41"/>
      <c r="P1154" s="41"/>
      <c r="Q1154" s="42"/>
      <c r="R1154" s="35"/>
      <c r="S1154" s="35"/>
      <c r="T1154" s="35"/>
      <c r="U1154" s="35"/>
      <c r="V1154" s="121"/>
      <c r="W1154" s="42"/>
      <c r="X1154" s="42"/>
      <c r="Y1154" s="42"/>
      <c r="Z1154" s="42"/>
      <c r="AA1154" s="42"/>
      <c r="AB1154" s="42"/>
      <c r="AC1154" s="42"/>
      <c r="AD1154" s="42"/>
      <c r="AE1154" s="42"/>
      <c r="AF1154" s="42"/>
      <c r="AG1154" s="42"/>
      <c r="AH1154" s="42"/>
      <c r="AI1154" s="42"/>
      <c r="AJ1154" s="42"/>
      <c r="AK1154" s="42"/>
      <c r="AL1154" s="42"/>
      <c r="AM1154" s="42"/>
    </row>
    <row r="1155" spans="1:39" x14ac:dyDescent="0.25">
      <c r="A1155" s="38" t="s">
        <v>1506</v>
      </c>
      <c r="B1155" s="42"/>
      <c r="C1155" s="42"/>
      <c r="D1155" s="42"/>
      <c r="E1155" s="41"/>
      <c r="F1155" s="41"/>
      <c r="G1155" s="41"/>
      <c r="H1155" s="41"/>
      <c r="I1155" s="41"/>
      <c r="J1155" s="42"/>
      <c r="K1155" s="41"/>
      <c r="L1155" s="41"/>
      <c r="M1155" s="127"/>
      <c r="N1155" s="41"/>
      <c r="O1155" s="41"/>
      <c r="P1155" s="41"/>
      <c r="Q1155" s="42"/>
      <c r="R1155" s="35"/>
      <c r="S1155" s="35"/>
      <c r="T1155" s="35"/>
      <c r="U1155" s="35"/>
      <c r="V1155" s="121"/>
      <c r="W1155" s="42"/>
      <c r="X1155" s="42"/>
      <c r="Y1155" s="42"/>
      <c r="Z1155" s="42"/>
      <c r="AA1155" s="42"/>
      <c r="AB1155" s="42"/>
      <c r="AC1155" s="42"/>
      <c r="AD1155" s="42"/>
      <c r="AE1155" s="42"/>
      <c r="AF1155" s="42"/>
      <c r="AG1155" s="42"/>
      <c r="AH1155" s="42"/>
      <c r="AI1155" s="42"/>
      <c r="AJ1155" s="42"/>
      <c r="AK1155" s="42"/>
      <c r="AL1155" s="42"/>
      <c r="AM1155" s="42"/>
    </row>
    <row r="1156" spans="1:39" x14ac:dyDescent="0.25">
      <c r="A1156" s="38" t="s">
        <v>1507</v>
      </c>
      <c r="B1156" s="42"/>
      <c r="C1156" s="42"/>
      <c r="D1156" s="42"/>
      <c r="E1156" s="41"/>
      <c r="F1156" s="41"/>
      <c r="G1156" s="41"/>
      <c r="H1156" s="41"/>
      <c r="I1156" s="41"/>
      <c r="J1156" s="42"/>
      <c r="K1156" s="41"/>
      <c r="L1156" s="41"/>
      <c r="M1156" s="127"/>
      <c r="N1156" s="41"/>
      <c r="O1156" s="41"/>
      <c r="P1156" s="41"/>
      <c r="Q1156" s="42"/>
      <c r="R1156" s="35"/>
      <c r="S1156" s="35"/>
      <c r="T1156" s="35"/>
      <c r="U1156" s="35"/>
      <c r="V1156" s="121"/>
      <c r="W1156" s="42"/>
      <c r="X1156" s="42"/>
      <c r="Y1156" s="42"/>
      <c r="Z1156" s="42"/>
      <c r="AA1156" s="42"/>
      <c r="AB1156" s="42"/>
      <c r="AC1156" s="42"/>
      <c r="AD1156" s="42"/>
      <c r="AE1156" s="42"/>
      <c r="AF1156" s="42"/>
      <c r="AG1156" s="42"/>
      <c r="AH1156" s="42"/>
      <c r="AI1156" s="42"/>
      <c r="AJ1156" s="42"/>
      <c r="AK1156" s="42"/>
      <c r="AL1156" s="42"/>
      <c r="AM1156" s="42"/>
    </row>
    <row r="1157" spans="1:39" x14ac:dyDescent="0.25">
      <c r="A1157" s="38" t="s">
        <v>1508</v>
      </c>
      <c r="B1157" s="42"/>
      <c r="C1157" s="42"/>
      <c r="D1157" s="42"/>
      <c r="E1157" s="41"/>
      <c r="F1157" s="41"/>
      <c r="G1157" s="41"/>
      <c r="H1157" s="41"/>
      <c r="I1157" s="41"/>
      <c r="J1157" s="42"/>
      <c r="K1157" s="41"/>
      <c r="L1157" s="41"/>
      <c r="M1157" s="127"/>
      <c r="N1157" s="41"/>
      <c r="O1157" s="41"/>
      <c r="P1157" s="41"/>
      <c r="Q1157" s="42"/>
      <c r="R1157" s="35"/>
      <c r="S1157" s="35"/>
      <c r="T1157" s="35"/>
      <c r="U1157" s="35"/>
      <c r="V1157" s="121"/>
      <c r="W1157" s="42"/>
      <c r="X1157" s="42"/>
      <c r="Y1157" s="42"/>
      <c r="Z1157" s="42"/>
      <c r="AA1157" s="42"/>
      <c r="AB1157" s="42"/>
      <c r="AC1157" s="42"/>
      <c r="AD1157" s="42"/>
      <c r="AE1157" s="42"/>
      <c r="AF1157" s="42"/>
      <c r="AG1157" s="42"/>
      <c r="AH1157" s="42"/>
      <c r="AI1157" s="42"/>
      <c r="AJ1157" s="42"/>
      <c r="AK1157" s="42"/>
      <c r="AL1157" s="42"/>
      <c r="AM1157" s="42"/>
    </row>
    <row r="1158" spans="1:39" x14ac:dyDescent="0.25">
      <c r="A1158" s="38" t="s">
        <v>1509</v>
      </c>
      <c r="B1158" s="42"/>
      <c r="C1158" s="42"/>
      <c r="D1158" s="42"/>
      <c r="E1158" s="41"/>
      <c r="F1158" s="41"/>
      <c r="G1158" s="41"/>
      <c r="H1158" s="41"/>
      <c r="I1158" s="41"/>
      <c r="J1158" s="42"/>
      <c r="K1158" s="41"/>
      <c r="L1158" s="41"/>
      <c r="M1158" s="127"/>
      <c r="N1158" s="41"/>
      <c r="O1158" s="41"/>
      <c r="P1158" s="41"/>
      <c r="Q1158" s="42"/>
      <c r="R1158" s="35"/>
      <c r="S1158" s="35"/>
      <c r="T1158" s="35"/>
      <c r="U1158" s="35"/>
      <c r="V1158" s="121"/>
      <c r="W1158" s="42"/>
      <c r="X1158" s="42"/>
      <c r="Y1158" s="42"/>
      <c r="Z1158" s="42"/>
      <c r="AA1158" s="42"/>
      <c r="AB1158" s="42"/>
      <c r="AC1158" s="42"/>
      <c r="AD1158" s="42"/>
      <c r="AE1158" s="42"/>
      <c r="AF1158" s="42"/>
      <c r="AG1158" s="42"/>
      <c r="AH1158" s="42"/>
      <c r="AI1158" s="42"/>
      <c r="AJ1158" s="42"/>
      <c r="AK1158" s="42"/>
      <c r="AL1158" s="42"/>
      <c r="AM1158" s="42"/>
    </row>
    <row r="1159" spans="1:39" x14ac:dyDescent="0.25">
      <c r="A1159" s="38" t="s">
        <v>1510</v>
      </c>
      <c r="B1159" s="42"/>
      <c r="C1159" s="42"/>
      <c r="D1159" s="42"/>
      <c r="E1159" s="41"/>
      <c r="F1159" s="41"/>
      <c r="G1159" s="41"/>
      <c r="H1159" s="41"/>
      <c r="I1159" s="41"/>
      <c r="J1159" s="42"/>
      <c r="K1159" s="41"/>
      <c r="L1159" s="41"/>
      <c r="M1159" s="127"/>
      <c r="N1159" s="41"/>
      <c r="O1159" s="41"/>
      <c r="P1159" s="41"/>
      <c r="Q1159" s="42"/>
      <c r="R1159" s="35"/>
      <c r="S1159" s="35"/>
      <c r="T1159" s="35"/>
      <c r="U1159" s="35"/>
      <c r="V1159" s="121"/>
      <c r="W1159" s="42"/>
      <c r="X1159" s="42"/>
      <c r="Y1159" s="42"/>
      <c r="Z1159" s="42"/>
      <c r="AA1159" s="42"/>
      <c r="AB1159" s="42"/>
      <c r="AC1159" s="42"/>
      <c r="AD1159" s="42"/>
      <c r="AE1159" s="42"/>
      <c r="AF1159" s="42"/>
      <c r="AG1159" s="42"/>
      <c r="AH1159" s="42"/>
      <c r="AI1159" s="42"/>
      <c r="AJ1159" s="42"/>
      <c r="AK1159" s="42"/>
      <c r="AL1159" s="42"/>
      <c r="AM1159" s="42"/>
    </row>
    <row r="1160" spans="1:39" x14ac:dyDescent="0.25">
      <c r="A1160" s="38" t="s">
        <v>1511</v>
      </c>
      <c r="B1160" s="42"/>
      <c r="C1160" s="42"/>
      <c r="D1160" s="42"/>
      <c r="E1160" s="41"/>
      <c r="F1160" s="41"/>
      <c r="G1160" s="41"/>
      <c r="H1160" s="41"/>
      <c r="I1160" s="41"/>
      <c r="J1160" s="42"/>
      <c r="K1160" s="41"/>
      <c r="L1160" s="41"/>
      <c r="M1160" s="127"/>
      <c r="N1160" s="41"/>
      <c r="O1160" s="41"/>
      <c r="P1160" s="41"/>
      <c r="Q1160" s="42"/>
      <c r="R1160" s="35"/>
      <c r="S1160" s="35"/>
      <c r="T1160" s="35"/>
      <c r="U1160" s="35"/>
      <c r="V1160" s="121"/>
      <c r="W1160" s="42"/>
      <c r="X1160" s="42"/>
      <c r="Y1160" s="42"/>
      <c r="Z1160" s="42"/>
      <c r="AA1160" s="42"/>
      <c r="AB1160" s="42"/>
      <c r="AC1160" s="42"/>
      <c r="AD1160" s="42"/>
      <c r="AE1160" s="42"/>
      <c r="AF1160" s="42"/>
      <c r="AG1160" s="42"/>
      <c r="AH1160" s="42"/>
      <c r="AI1160" s="42"/>
      <c r="AJ1160" s="42"/>
      <c r="AK1160" s="42"/>
      <c r="AL1160" s="42"/>
      <c r="AM1160" s="42"/>
    </row>
    <row r="1161" spans="1:39" x14ac:dyDescent="0.25">
      <c r="A1161" s="38" t="s">
        <v>1512</v>
      </c>
      <c r="B1161" s="42"/>
      <c r="C1161" s="42"/>
      <c r="D1161" s="42"/>
      <c r="E1161" s="41"/>
      <c r="F1161" s="41"/>
      <c r="G1161" s="41"/>
      <c r="H1161" s="41"/>
      <c r="I1161" s="41"/>
      <c r="J1161" s="42"/>
      <c r="K1161" s="41"/>
      <c r="L1161" s="41"/>
      <c r="M1161" s="127"/>
      <c r="N1161" s="41"/>
      <c r="O1161" s="41"/>
      <c r="P1161" s="41"/>
      <c r="Q1161" s="42"/>
      <c r="R1161" s="35"/>
      <c r="S1161" s="35"/>
      <c r="T1161" s="35"/>
      <c r="U1161" s="35"/>
      <c r="V1161" s="121"/>
      <c r="W1161" s="42"/>
      <c r="X1161" s="42"/>
      <c r="Y1161" s="42"/>
      <c r="Z1161" s="42"/>
      <c r="AA1161" s="42"/>
      <c r="AB1161" s="42"/>
      <c r="AC1161" s="42"/>
      <c r="AD1161" s="42"/>
      <c r="AE1161" s="42"/>
      <c r="AF1161" s="42"/>
      <c r="AG1161" s="42"/>
      <c r="AH1161" s="42"/>
      <c r="AI1161" s="42"/>
      <c r="AJ1161" s="42"/>
      <c r="AK1161" s="42"/>
      <c r="AL1161" s="42"/>
      <c r="AM1161" s="42"/>
    </row>
    <row r="1162" spans="1:39" x14ac:dyDescent="0.25">
      <c r="A1162" s="38" t="s">
        <v>1513</v>
      </c>
      <c r="B1162" s="42"/>
      <c r="C1162" s="42"/>
      <c r="D1162" s="42"/>
      <c r="E1162" s="41"/>
      <c r="F1162" s="41"/>
      <c r="G1162" s="41"/>
      <c r="H1162" s="41"/>
      <c r="I1162" s="41"/>
      <c r="J1162" s="42"/>
      <c r="K1162" s="41"/>
      <c r="L1162" s="41"/>
      <c r="M1162" s="127"/>
      <c r="N1162" s="41"/>
      <c r="O1162" s="41"/>
      <c r="P1162" s="41"/>
      <c r="Q1162" s="42"/>
      <c r="R1162" s="35"/>
      <c r="S1162" s="35"/>
      <c r="T1162" s="35"/>
      <c r="U1162" s="35"/>
      <c r="V1162" s="121"/>
      <c r="W1162" s="42"/>
      <c r="X1162" s="42"/>
      <c r="Y1162" s="42"/>
      <c r="Z1162" s="42"/>
      <c r="AA1162" s="42"/>
      <c r="AB1162" s="42"/>
      <c r="AC1162" s="42"/>
      <c r="AD1162" s="42"/>
      <c r="AE1162" s="42"/>
      <c r="AF1162" s="42"/>
      <c r="AG1162" s="42"/>
      <c r="AH1162" s="42"/>
      <c r="AI1162" s="42"/>
      <c r="AJ1162" s="42"/>
      <c r="AK1162" s="42"/>
      <c r="AL1162" s="42"/>
      <c r="AM1162" s="42"/>
    </row>
    <row r="1163" spans="1:39" x14ac:dyDescent="0.25">
      <c r="A1163" s="38" t="s">
        <v>1514</v>
      </c>
      <c r="B1163" s="42"/>
      <c r="C1163" s="42"/>
      <c r="D1163" s="42"/>
      <c r="E1163" s="41"/>
      <c r="F1163" s="41"/>
      <c r="G1163" s="41"/>
      <c r="H1163" s="41"/>
      <c r="I1163" s="41"/>
      <c r="J1163" s="42"/>
      <c r="K1163" s="41"/>
      <c r="L1163" s="41"/>
      <c r="M1163" s="127"/>
      <c r="N1163" s="41"/>
      <c r="O1163" s="41"/>
      <c r="P1163" s="41"/>
      <c r="Q1163" s="42"/>
      <c r="R1163" s="35"/>
      <c r="S1163" s="35"/>
      <c r="T1163" s="35"/>
      <c r="U1163" s="35"/>
      <c r="V1163" s="121"/>
      <c r="W1163" s="42"/>
      <c r="X1163" s="42"/>
      <c r="Y1163" s="42"/>
      <c r="Z1163" s="42"/>
      <c r="AA1163" s="42"/>
      <c r="AB1163" s="42"/>
      <c r="AC1163" s="42"/>
      <c r="AD1163" s="42"/>
      <c r="AE1163" s="42"/>
      <c r="AF1163" s="42"/>
      <c r="AG1163" s="42"/>
      <c r="AH1163" s="42"/>
      <c r="AI1163" s="42"/>
      <c r="AJ1163" s="42"/>
      <c r="AK1163" s="42"/>
      <c r="AL1163" s="42"/>
      <c r="AM1163" s="42"/>
    </row>
    <row r="1164" spans="1:39" x14ac:dyDescent="0.25">
      <c r="A1164" s="38" t="s">
        <v>1515</v>
      </c>
      <c r="B1164" s="42"/>
      <c r="C1164" s="42"/>
      <c r="D1164" s="42"/>
      <c r="E1164" s="41"/>
      <c r="F1164" s="41"/>
      <c r="G1164" s="41"/>
      <c r="H1164" s="41"/>
      <c r="I1164" s="41"/>
      <c r="J1164" s="42"/>
      <c r="K1164" s="41"/>
      <c r="L1164" s="41"/>
      <c r="M1164" s="127"/>
      <c r="N1164" s="41"/>
      <c r="O1164" s="41"/>
      <c r="P1164" s="41"/>
      <c r="Q1164" s="42"/>
      <c r="R1164" s="35"/>
      <c r="S1164" s="35"/>
      <c r="T1164" s="35"/>
      <c r="U1164" s="35"/>
      <c r="V1164" s="121"/>
      <c r="W1164" s="42"/>
      <c r="X1164" s="42"/>
      <c r="Y1164" s="42"/>
      <c r="Z1164" s="42"/>
      <c r="AA1164" s="42"/>
      <c r="AB1164" s="42"/>
      <c r="AC1164" s="42"/>
      <c r="AD1164" s="42"/>
      <c r="AE1164" s="42"/>
      <c r="AF1164" s="42"/>
      <c r="AG1164" s="42"/>
      <c r="AH1164" s="42"/>
      <c r="AI1164" s="42"/>
      <c r="AJ1164" s="42"/>
      <c r="AK1164" s="42"/>
      <c r="AL1164" s="42"/>
      <c r="AM1164" s="42"/>
    </row>
    <row r="1165" spans="1:39" x14ac:dyDescent="0.25">
      <c r="A1165" s="38" t="s">
        <v>1516</v>
      </c>
      <c r="B1165" s="42"/>
      <c r="C1165" s="42"/>
      <c r="D1165" s="42"/>
      <c r="E1165" s="41"/>
      <c r="F1165" s="41"/>
      <c r="G1165" s="41"/>
      <c r="H1165" s="41"/>
      <c r="I1165" s="41"/>
      <c r="J1165" s="42"/>
      <c r="K1165" s="41"/>
      <c r="L1165" s="41"/>
      <c r="M1165" s="127"/>
      <c r="N1165" s="41"/>
      <c r="O1165" s="41"/>
      <c r="P1165" s="41"/>
      <c r="Q1165" s="42"/>
      <c r="R1165" s="35"/>
      <c r="S1165" s="35"/>
      <c r="T1165" s="35"/>
      <c r="U1165" s="35"/>
      <c r="V1165" s="121"/>
      <c r="W1165" s="42"/>
      <c r="X1165" s="42"/>
      <c r="Y1165" s="42"/>
      <c r="Z1165" s="42"/>
      <c r="AA1165" s="42"/>
      <c r="AB1165" s="42"/>
      <c r="AC1165" s="42"/>
      <c r="AD1165" s="42"/>
      <c r="AE1165" s="42"/>
      <c r="AF1165" s="42"/>
      <c r="AG1165" s="42"/>
      <c r="AH1165" s="42"/>
      <c r="AI1165" s="42"/>
      <c r="AJ1165" s="42"/>
      <c r="AK1165" s="42"/>
      <c r="AL1165" s="42"/>
      <c r="AM1165" s="42"/>
    </row>
    <row r="1166" spans="1:39" x14ac:dyDescent="0.25">
      <c r="A1166" s="38" t="s">
        <v>1517</v>
      </c>
      <c r="B1166" s="42"/>
      <c r="C1166" s="42"/>
      <c r="D1166" s="42"/>
      <c r="E1166" s="41"/>
      <c r="F1166" s="41"/>
      <c r="G1166" s="41"/>
      <c r="H1166" s="41"/>
      <c r="I1166" s="41"/>
      <c r="J1166" s="42"/>
      <c r="K1166" s="41"/>
      <c r="L1166" s="41"/>
      <c r="M1166" s="127"/>
      <c r="N1166" s="41"/>
      <c r="O1166" s="41"/>
      <c r="P1166" s="41"/>
      <c r="Q1166" s="42"/>
      <c r="R1166" s="35"/>
      <c r="S1166" s="35"/>
      <c r="T1166" s="35"/>
      <c r="U1166" s="35"/>
      <c r="V1166" s="121"/>
      <c r="W1166" s="42"/>
      <c r="X1166" s="42"/>
      <c r="Y1166" s="42"/>
      <c r="Z1166" s="42"/>
      <c r="AA1166" s="42"/>
      <c r="AB1166" s="42"/>
      <c r="AC1166" s="42"/>
      <c r="AD1166" s="42"/>
      <c r="AE1166" s="42"/>
      <c r="AF1166" s="42"/>
      <c r="AG1166" s="42"/>
      <c r="AH1166" s="42"/>
      <c r="AI1166" s="42"/>
      <c r="AJ1166" s="42"/>
      <c r="AK1166" s="42"/>
      <c r="AL1166" s="42"/>
      <c r="AM1166" s="42"/>
    </row>
    <row r="1167" spans="1:39" x14ac:dyDescent="0.25">
      <c r="A1167" s="38" t="s">
        <v>1518</v>
      </c>
      <c r="B1167" s="42"/>
      <c r="C1167" s="42"/>
      <c r="D1167" s="42"/>
      <c r="E1167" s="41"/>
      <c r="F1167" s="41"/>
      <c r="G1167" s="41"/>
      <c r="H1167" s="41"/>
      <c r="I1167" s="41"/>
      <c r="J1167" s="42"/>
      <c r="K1167" s="41"/>
      <c r="L1167" s="41"/>
      <c r="M1167" s="127"/>
      <c r="N1167" s="41"/>
      <c r="O1167" s="41"/>
      <c r="P1167" s="41"/>
      <c r="Q1167" s="42"/>
      <c r="R1167" s="35"/>
      <c r="S1167" s="35"/>
      <c r="T1167" s="35"/>
      <c r="U1167" s="35"/>
      <c r="V1167" s="121"/>
      <c r="W1167" s="42"/>
      <c r="X1167" s="42"/>
      <c r="Y1167" s="42"/>
      <c r="Z1167" s="42"/>
      <c r="AA1167" s="42"/>
      <c r="AB1167" s="42"/>
      <c r="AC1167" s="42"/>
      <c r="AD1167" s="42"/>
      <c r="AE1167" s="42"/>
      <c r="AF1167" s="42"/>
      <c r="AG1167" s="42"/>
      <c r="AH1167" s="42"/>
      <c r="AI1167" s="42"/>
      <c r="AJ1167" s="42"/>
      <c r="AK1167" s="42"/>
      <c r="AL1167" s="42"/>
      <c r="AM1167" s="42"/>
    </row>
    <row r="1168" spans="1:39" x14ac:dyDescent="0.25">
      <c r="A1168" s="38" t="s">
        <v>1519</v>
      </c>
      <c r="B1168" s="42"/>
      <c r="C1168" s="42"/>
      <c r="D1168" s="42"/>
      <c r="E1168" s="41"/>
      <c r="F1168" s="41"/>
      <c r="G1168" s="41"/>
      <c r="H1168" s="41"/>
      <c r="I1168" s="41"/>
      <c r="J1168" s="42"/>
      <c r="K1168" s="41"/>
      <c r="L1168" s="41"/>
      <c r="M1168" s="127"/>
      <c r="N1168" s="41"/>
      <c r="O1168" s="41"/>
      <c r="P1168" s="41"/>
      <c r="Q1168" s="42"/>
      <c r="R1168" s="35"/>
      <c r="S1168" s="35"/>
      <c r="T1168" s="35"/>
      <c r="U1168" s="35"/>
      <c r="V1168" s="121"/>
      <c r="W1168" s="42"/>
      <c r="X1168" s="42"/>
      <c r="Y1168" s="42"/>
      <c r="Z1168" s="42"/>
      <c r="AA1168" s="42"/>
      <c r="AB1168" s="42"/>
      <c r="AC1168" s="42"/>
      <c r="AD1168" s="42"/>
      <c r="AE1168" s="42"/>
      <c r="AF1168" s="42"/>
      <c r="AG1168" s="42"/>
      <c r="AH1168" s="42"/>
      <c r="AI1168" s="42"/>
      <c r="AJ1168" s="42"/>
      <c r="AK1168" s="42"/>
      <c r="AL1168" s="42"/>
      <c r="AM1168" s="42"/>
    </row>
    <row r="1169" spans="1:39" x14ac:dyDescent="0.25">
      <c r="A1169" s="38" t="s">
        <v>1520</v>
      </c>
      <c r="B1169" s="42"/>
      <c r="C1169" s="42"/>
      <c r="D1169" s="42"/>
      <c r="E1169" s="41"/>
      <c r="F1169" s="41"/>
      <c r="G1169" s="41"/>
      <c r="H1169" s="41"/>
      <c r="I1169" s="41"/>
      <c r="J1169" s="42"/>
      <c r="K1169" s="41"/>
      <c r="L1169" s="41"/>
      <c r="M1169" s="127"/>
      <c r="N1169" s="41"/>
      <c r="O1169" s="41"/>
      <c r="P1169" s="41"/>
      <c r="Q1169" s="42"/>
      <c r="R1169" s="35"/>
      <c r="S1169" s="35"/>
      <c r="T1169" s="35"/>
      <c r="U1169" s="35"/>
      <c r="V1169" s="121"/>
      <c r="W1169" s="42"/>
      <c r="X1169" s="42"/>
      <c r="Y1169" s="42"/>
      <c r="Z1169" s="42"/>
      <c r="AA1169" s="42"/>
      <c r="AB1169" s="42"/>
      <c r="AC1169" s="42"/>
      <c r="AD1169" s="42"/>
      <c r="AE1169" s="42"/>
      <c r="AF1169" s="42"/>
      <c r="AG1169" s="42"/>
      <c r="AH1169" s="42"/>
      <c r="AI1169" s="42"/>
      <c r="AJ1169" s="42"/>
      <c r="AK1169" s="42"/>
      <c r="AL1169" s="42"/>
      <c r="AM1169" s="42"/>
    </row>
    <row r="1170" spans="1:39" x14ac:dyDescent="0.25">
      <c r="A1170" s="38" t="s">
        <v>1521</v>
      </c>
      <c r="B1170" s="42"/>
      <c r="C1170" s="42"/>
      <c r="D1170" s="42"/>
      <c r="E1170" s="41"/>
      <c r="F1170" s="41"/>
      <c r="G1170" s="41"/>
      <c r="H1170" s="41"/>
      <c r="I1170" s="41"/>
      <c r="J1170" s="42"/>
      <c r="K1170" s="41"/>
      <c r="L1170" s="41"/>
      <c r="M1170" s="127"/>
      <c r="N1170" s="41"/>
      <c r="O1170" s="41"/>
      <c r="P1170" s="41"/>
      <c r="Q1170" s="42"/>
      <c r="R1170" s="35"/>
      <c r="S1170" s="35"/>
      <c r="T1170" s="35"/>
      <c r="U1170" s="35"/>
      <c r="V1170" s="121"/>
      <c r="W1170" s="42"/>
      <c r="X1170" s="42"/>
      <c r="Y1170" s="42"/>
      <c r="Z1170" s="42"/>
      <c r="AA1170" s="42"/>
      <c r="AB1170" s="42"/>
      <c r="AC1170" s="42"/>
      <c r="AD1170" s="42"/>
      <c r="AE1170" s="42"/>
      <c r="AF1170" s="42"/>
      <c r="AG1170" s="42"/>
      <c r="AH1170" s="42"/>
      <c r="AI1170" s="42"/>
      <c r="AJ1170" s="42"/>
      <c r="AK1170" s="42"/>
      <c r="AL1170" s="42"/>
      <c r="AM1170" s="42"/>
    </row>
    <row r="1171" spans="1:39" x14ac:dyDescent="0.25">
      <c r="A1171" s="38" t="s">
        <v>1522</v>
      </c>
      <c r="B1171" s="42"/>
      <c r="C1171" s="42"/>
      <c r="D1171" s="42"/>
      <c r="E1171" s="41"/>
      <c r="F1171" s="41"/>
      <c r="G1171" s="41"/>
      <c r="H1171" s="41"/>
      <c r="I1171" s="41"/>
      <c r="J1171" s="42"/>
      <c r="K1171" s="41"/>
      <c r="L1171" s="41"/>
      <c r="M1171" s="127"/>
      <c r="N1171" s="41"/>
      <c r="O1171" s="41"/>
      <c r="P1171" s="41"/>
      <c r="Q1171" s="42"/>
      <c r="R1171" s="35"/>
      <c r="S1171" s="35"/>
      <c r="T1171" s="35"/>
      <c r="U1171" s="35"/>
      <c r="V1171" s="121"/>
      <c r="W1171" s="42"/>
      <c r="X1171" s="42"/>
      <c r="Y1171" s="42"/>
      <c r="Z1171" s="42"/>
      <c r="AA1171" s="42"/>
      <c r="AB1171" s="42"/>
      <c r="AC1171" s="42"/>
      <c r="AD1171" s="42"/>
      <c r="AE1171" s="42"/>
      <c r="AF1171" s="42"/>
      <c r="AG1171" s="42"/>
      <c r="AH1171" s="42"/>
      <c r="AI1171" s="42"/>
      <c r="AJ1171" s="42"/>
      <c r="AK1171" s="42"/>
      <c r="AL1171" s="42"/>
      <c r="AM1171" s="42"/>
    </row>
    <row r="1172" spans="1:39" x14ac:dyDescent="0.25">
      <c r="A1172" s="38" t="s">
        <v>1523</v>
      </c>
      <c r="B1172" s="42"/>
      <c r="C1172" s="42"/>
      <c r="D1172" s="42"/>
      <c r="E1172" s="41"/>
      <c r="F1172" s="41"/>
      <c r="G1172" s="41"/>
      <c r="H1172" s="41"/>
      <c r="I1172" s="41"/>
      <c r="J1172" s="42"/>
      <c r="K1172" s="41"/>
      <c r="L1172" s="41"/>
      <c r="M1172" s="127"/>
      <c r="N1172" s="41"/>
      <c r="O1172" s="41"/>
      <c r="P1172" s="41"/>
      <c r="Q1172" s="42"/>
      <c r="R1172" s="35"/>
      <c r="S1172" s="35"/>
      <c r="T1172" s="35"/>
      <c r="U1172" s="35"/>
      <c r="V1172" s="121"/>
      <c r="W1172" s="42"/>
      <c r="X1172" s="42"/>
      <c r="Y1172" s="42"/>
      <c r="Z1172" s="42"/>
      <c r="AA1172" s="42"/>
      <c r="AB1172" s="42"/>
      <c r="AC1172" s="42"/>
      <c r="AD1172" s="42"/>
      <c r="AE1172" s="42"/>
      <c r="AF1172" s="42"/>
      <c r="AG1172" s="42"/>
      <c r="AH1172" s="42"/>
      <c r="AI1172" s="42"/>
      <c r="AJ1172" s="42"/>
      <c r="AK1172" s="42"/>
      <c r="AL1172" s="42"/>
      <c r="AM1172" s="42"/>
    </row>
    <row r="1173" spans="1:39" x14ac:dyDescent="0.25">
      <c r="A1173" s="38" t="s">
        <v>1524</v>
      </c>
      <c r="B1173" s="42"/>
      <c r="C1173" s="42"/>
      <c r="D1173" s="42"/>
      <c r="E1173" s="41"/>
      <c r="F1173" s="41"/>
      <c r="G1173" s="41"/>
      <c r="H1173" s="41"/>
      <c r="I1173" s="41"/>
      <c r="J1173" s="42"/>
      <c r="K1173" s="41"/>
      <c r="L1173" s="41"/>
      <c r="M1173" s="127"/>
      <c r="N1173" s="41"/>
      <c r="O1173" s="41"/>
      <c r="P1173" s="41"/>
      <c r="Q1173" s="42"/>
      <c r="R1173" s="35"/>
      <c r="S1173" s="35"/>
      <c r="T1173" s="35"/>
      <c r="U1173" s="35"/>
      <c r="V1173" s="121"/>
      <c r="W1173" s="42"/>
      <c r="X1173" s="42"/>
      <c r="Y1173" s="42"/>
      <c r="Z1173" s="42"/>
      <c r="AA1173" s="42"/>
      <c r="AB1173" s="42"/>
      <c r="AC1173" s="42"/>
      <c r="AD1173" s="42"/>
      <c r="AE1173" s="42"/>
      <c r="AF1173" s="42"/>
      <c r="AG1173" s="42"/>
      <c r="AH1173" s="42"/>
      <c r="AI1173" s="42"/>
      <c r="AJ1173" s="42"/>
      <c r="AK1173" s="42"/>
      <c r="AL1173" s="42"/>
      <c r="AM1173" s="42"/>
    </row>
    <row r="1174" spans="1:39" x14ac:dyDescent="0.25">
      <c r="A1174" s="38" t="s">
        <v>1525</v>
      </c>
      <c r="B1174" s="42"/>
      <c r="C1174" s="42"/>
      <c r="D1174" s="42"/>
      <c r="E1174" s="41"/>
      <c r="F1174" s="41"/>
      <c r="G1174" s="41"/>
      <c r="H1174" s="41"/>
      <c r="I1174" s="41"/>
      <c r="J1174" s="42"/>
      <c r="K1174" s="41"/>
      <c r="L1174" s="41"/>
      <c r="M1174" s="127"/>
      <c r="N1174" s="41"/>
      <c r="O1174" s="41"/>
      <c r="P1174" s="41"/>
      <c r="Q1174" s="42"/>
      <c r="R1174" s="35"/>
      <c r="S1174" s="35"/>
      <c r="T1174" s="35"/>
      <c r="U1174" s="35"/>
      <c r="V1174" s="121"/>
      <c r="W1174" s="42"/>
      <c r="X1174" s="42"/>
      <c r="Y1174" s="42"/>
      <c r="Z1174" s="42"/>
      <c r="AA1174" s="42"/>
      <c r="AB1174" s="42"/>
      <c r="AC1174" s="42"/>
      <c r="AD1174" s="42"/>
      <c r="AE1174" s="42"/>
      <c r="AF1174" s="42"/>
      <c r="AG1174" s="42"/>
      <c r="AH1174" s="42"/>
      <c r="AI1174" s="42"/>
      <c r="AJ1174" s="42"/>
      <c r="AK1174" s="42"/>
      <c r="AL1174" s="42"/>
      <c r="AM1174" s="42"/>
    </row>
    <row r="1175" spans="1:39" x14ac:dyDescent="0.25">
      <c r="A1175" s="38" t="s">
        <v>1526</v>
      </c>
      <c r="B1175" s="42"/>
      <c r="C1175" s="42"/>
      <c r="D1175" s="42"/>
      <c r="E1175" s="41"/>
      <c r="F1175" s="41"/>
      <c r="G1175" s="41"/>
      <c r="H1175" s="41"/>
      <c r="I1175" s="41"/>
      <c r="J1175" s="42"/>
      <c r="K1175" s="41"/>
      <c r="L1175" s="41"/>
      <c r="M1175" s="127"/>
      <c r="N1175" s="41"/>
      <c r="O1175" s="41"/>
      <c r="P1175" s="41"/>
      <c r="Q1175" s="42"/>
      <c r="R1175" s="35"/>
      <c r="S1175" s="35"/>
      <c r="T1175" s="35"/>
      <c r="U1175" s="35"/>
      <c r="V1175" s="121"/>
      <c r="W1175" s="42"/>
      <c r="X1175" s="42"/>
      <c r="Y1175" s="42"/>
      <c r="Z1175" s="42"/>
      <c r="AA1175" s="42"/>
      <c r="AB1175" s="42"/>
      <c r="AC1175" s="42"/>
      <c r="AD1175" s="42"/>
      <c r="AE1175" s="42"/>
      <c r="AF1175" s="42"/>
      <c r="AG1175" s="42"/>
      <c r="AH1175" s="42"/>
      <c r="AI1175" s="42"/>
      <c r="AJ1175" s="42"/>
      <c r="AK1175" s="42"/>
      <c r="AL1175" s="42"/>
      <c r="AM1175" s="42"/>
    </row>
    <row r="1176" spans="1:39" x14ac:dyDescent="0.25">
      <c r="A1176" s="38" t="s">
        <v>1527</v>
      </c>
      <c r="B1176" s="42"/>
      <c r="C1176" s="42"/>
      <c r="D1176" s="42"/>
      <c r="E1176" s="41"/>
      <c r="F1176" s="41"/>
      <c r="G1176" s="41"/>
      <c r="H1176" s="41"/>
      <c r="I1176" s="41"/>
      <c r="J1176" s="42"/>
      <c r="K1176" s="41"/>
      <c r="L1176" s="41"/>
      <c r="M1176" s="127"/>
      <c r="N1176" s="41"/>
      <c r="O1176" s="41"/>
      <c r="P1176" s="41"/>
      <c r="Q1176" s="42"/>
      <c r="R1176" s="35"/>
      <c r="S1176" s="35"/>
      <c r="T1176" s="35"/>
      <c r="U1176" s="35"/>
      <c r="V1176" s="121"/>
      <c r="W1176" s="42"/>
      <c r="X1176" s="42"/>
      <c r="Y1176" s="42"/>
      <c r="Z1176" s="42"/>
      <c r="AA1176" s="42"/>
      <c r="AB1176" s="42"/>
      <c r="AC1176" s="42"/>
      <c r="AD1176" s="42"/>
      <c r="AE1176" s="42"/>
      <c r="AF1176" s="42"/>
      <c r="AG1176" s="42"/>
      <c r="AH1176" s="42"/>
      <c r="AI1176" s="42"/>
      <c r="AJ1176" s="42"/>
      <c r="AK1176" s="42"/>
      <c r="AL1176" s="42"/>
      <c r="AM1176" s="42"/>
    </row>
    <row r="1177" spans="1:39" x14ac:dyDescent="0.25">
      <c r="A1177" s="38" t="s">
        <v>1528</v>
      </c>
      <c r="B1177" s="42"/>
      <c r="C1177" s="42"/>
      <c r="D1177" s="42"/>
      <c r="E1177" s="41"/>
      <c r="F1177" s="41"/>
      <c r="G1177" s="41"/>
      <c r="H1177" s="41"/>
      <c r="I1177" s="41"/>
      <c r="J1177" s="42"/>
      <c r="K1177" s="41"/>
      <c r="L1177" s="41"/>
      <c r="M1177" s="127"/>
      <c r="N1177" s="41"/>
      <c r="O1177" s="41"/>
      <c r="P1177" s="41"/>
      <c r="Q1177" s="42"/>
      <c r="R1177" s="35"/>
      <c r="S1177" s="35"/>
      <c r="T1177" s="35"/>
      <c r="U1177" s="35"/>
      <c r="V1177" s="121"/>
      <c r="W1177" s="42"/>
      <c r="X1177" s="42"/>
      <c r="Y1177" s="42"/>
      <c r="Z1177" s="42"/>
      <c r="AA1177" s="42"/>
      <c r="AB1177" s="42"/>
      <c r="AC1177" s="42"/>
      <c r="AD1177" s="42"/>
      <c r="AE1177" s="42"/>
      <c r="AF1177" s="42"/>
      <c r="AG1177" s="42"/>
      <c r="AH1177" s="42"/>
      <c r="AI1177" s="42"/>
      <c r="AJ1177" s="42"/>
      <c r="AK1177" s="42"/>
      <c r="AL1177" s="42"/>
      <c r="AM1177" s="42"/>
    </row>
    <row r="1178" spans="1:39" x14ac:dyDescent="0.25">
      <c r="A1178" s="38" t="s">
        <v>1529</v>
      </c>
      <c r="B1178" s="42"/>
      <c r="C1178" s="42"/>
      <c r="D1178" s="42"/>
      <c r="E1178" s="41"/>
      <c r="F1178" s="41"/>
      <c r="G1178" s="41"/>
      <c r="H1178" s="41"/>
      <c r="I1178" s="41"/>
      <c r="J1178" s="42"/>
      <c r="K1178" s="41"/>
      <c r="L1178" s="41"/>
      <c r="M1178" s="127"/>
      <c r="N1178" s="41"/>
      <c r="O1178" s="41"/>
      <c r="P1178" s="41"/>
      <c r="Q1178" s="42"/>
      <c r="R1178" s="35"/>
      <c r="S1178" s="35"/>
      <c r="T1178" s="35"/>
      <c r="U1178" s="35"/>
      <c r="V1178" s="121"/>
      <c r="W1178" s="42"/>
      <c r="X1178" s="42"/>
      <c r="Y1178" s="42"/>
      <c r="Z1178" s="42"/>
      <c r="AA1178" s="42"/>
      <c r="AB1178" s="42"/>
      <c r="AC1178" s="42"/>
      <c r="AD1178" s="42"/>
      <c r="AE1178" s="42"/>
      <c r="AF1178" s="42"/>
      <c r="AG1178" s="42"/>
      <c r="AH1178" s="42"/>
      <c r="AI1178" s="42"/>
      <c r="AJ1178" s="42"/>
      <c r="AK1178" s="42"/>
      <c r="AL1178" s="42"/>
      <c r="AM1178" s="42"/>
    </row>
    <row r="1179" spans="1:39" x14ac:dyDescent="0.25">
      <c r="A1179" s="38" t="s">
        <v>1530</v>
      </c>
      <c r="B1179" s="42"/>
      <c r="C1179" s="42"/>
      <c r="D1179" s="42"/>
      <c r="E1179" s="41"/>
      <c r="F1179" s="41"/>
      <c r="G1179" s="41"/>
      <c r="H1179" s="41"/>
      <c r="I1179" s="41"/>
      <c r="J1179" s="42"/>
      <c r="K1179" s="41"/>
      <c r="L1179" s="41"/>
      <c r="M1179" s="127"/>
      <c r="N1179" s="41"/>
      <c r="O1179" s="41"/>
      <c r="P1179" s="41"/>
      <c r="Q1179" s="42"/>
      <c r="R1179" s="35"/>
      <c r="S1179" s="35"/>
      <c r="T1179" s="35"/>
      <c r="U1179" s="35"/>
      <c r="V1179" s="121"/>
      <c r="W1179" s="42"/>
      <c r="X1179" s="42"/>
      <c r="Y1179" s="42"/>
      <c r="Z1179" s="42"/>
      <c r="AA1179" s="42"/>
      <c r="AB1179" s="42"/>
      <c r="AC1179" s="42"/>
      <c r="AD1179" s="42"/>
      <c r="AE1179" s="42"/>
      <c r="AF1179" s="42"/>
      <c r="AG1179" s="42"/>
      <c r="AH1179" s="42"/>
      <c r="AI1179" s="42"/>
      <c r="AJ1179" s="42"/>
      <c r="AK1179" s="42"/>
      <c r="AL1179" s="42"/>
      <c r="AM1179" s="42"/>
    </row>
    <row r="1180" spans="1:39" x14ac:dyDescent="0.25">
      <c r="A1180" s="38" t="s">
        <v>1531</v>
      </c>
      <c r="B1180" s="42"/>
      <c r="C1180" s="42"/>
      <c r="D1180" s="42"/>
      <c r="E1180" s="41"/>
      <c r="F1180" s="41"/>
      <c r="G1180" s="41"/>
      <c r="H1180" s="41"/>
      <c r="I1180" s="41"/>
      <c r="J1180" s="42"/>
      <c r="K1180" s="41"/>
      <c r="L1180" s="41"/>
      <c r="M1180" s="127"/>
      <c r="N1180" s="41"/>
      <c r="O1180" s="41"/>
      <c r="P1180" s="41"/>
      <c r="Q1180" s="42"/>
      <c r="R1180" s="35"/>
      <c r="S1180" s="35"/>
      <c r="T1180" s="35"/>
      <c r="U1180" s="35"/>
      <c r="V1180" s="121"/>
      <c r="W1180" s="42"/>
      <c r="X1180" s="42"/>
      <c r="Y1180" s="42"/>
      <c r="Z1180" s="42"/>
      <c r="AA1180" s="42"/>
      <c r="AB1180" s="42"/>
      <c r="AC1180" s="42"/>
      <c r="AD1180" s="42"/>
      <c r="AE1180" s="42"/>
      <c r="AF1180" s="42"/>
      <c r="AG1180" s="42"/>
      <c r="AH1180" s="42"/>
      <c r="AI1180" s="42"/>
      <c r="AJ1180" s="42"/>
      <c r="AK1180" s="42"/>
      <c r="AL1180" s="42"/>
      <c r="AM1180" s="42"/>
    </row>
    <row r="1181" spans="1:39" x14ac:dyDescent="0.25">
      <c r="A1181" s="38" t="s">
        <v>1532</v>
      </c>
      <c r="B1181" s="42"/>
      <c r="C1181" s="42"/>
      <c r="D1181" s="42"/>
      <c r="E1181" s="41"/>
      <c r="F1181" s="41"/>
      <c r="G1181" s="41"/>
      <c r="H1181" s="41"/>
      <c r="I1181" s="41"/>
      <c r="J1181" s="42"/>
      <c r="K1181" s="41"/>
      <c r="L1181" s="41"/>
      <c r="M1181" s="127"/>
      <c r="N1181" s="41"/>
      <c r="O1181" s="41"/>
      <c r="P1181" s="41"/>
      <c r="Q1181" s="42"/>
      <c r="R1181" s="35"/>
      <c r="S1181" s="35"/>
      <c r="T1181" s="35"/>
      <c r="U1181" s="35"/>
      <c r="V1181" s="121"/>
      <c r="W1181" s="42"/>
      <c r="X1181" s="42"/>
      <c r="Y1181" s="42"/>
      <c r="Z1181" s="42"/>
      <c r="AA1181" s="42"/>
      <c r="AB1181" s="42"/>
      <c r="AC1181" s="42"/>
      <c r="AD1181" s="42"/>
      <c r="AE1181" s="42"/>
      <c r="AF1181" s="42"/>
      <c r="AG1181" s="42"/>
      <c r="AH1181" s="42"/>
      <c r="AI1181" s="42"/>
      <c r="AJ1181" s="42"/>
      <c r="AK1181" s="42"/>
      <c r="AL1181" s="42"/>
      <c r="AM1181" s="42"/>
    </row>
    <row r="1182" spans="1:39" x14ac:dyDescent="0.25">
      <c r="A1182" s="38" t="s">
        <v>1533</v>
      </c>
      <c r="B1182" s="42"/>
      <c r="C1182" s="42"/>
      <c r="D1182" s="42"/>
      <c r="E1182" s="41"/>
      <c r="F1182" s="41"/>
      <c r="G1182" s="41"/>
      <c r="H1182" s="41"/>
      <c r="I1182" s="41"/>
      <c r="J1182" s="42"/>
      <c r="K1182" s="41"/>
      <c r="L1182" s="41"/>
      <c r="M1182" s="127"/>
      <c r="N1182" s="41"/>
      <c r="O1182" s="41"/>
      <c r="P1182" s="41"/>
      <c r="Q1182" s="42"/>
      <c r="R1182" s="35"/>
      <c r="S1182" s="35"/>
      <c r="T1182" s="35"/>
      <c r="U1182" s="35"/>
      <c r="V1182" s="121"/>
      <c r="W1182" s="42"/>
      <c r="X1182" s="42"/>
      <c r="Y1182" s="42"/>
      <c r="Z1182" s="42"/>
      <c r="AA1182" s="42"/>
      <c r="AB1182" s="42"/>
      <c r="AC1182" s="42"/>
      <c r="AD1182" s="42"/>
      <c r="AE1182" s="42"/>
      <c r="AF1182" s="42"/>
      <c r="AG1182" s="42"/>
      <c r="AH1182" s="42"/>
      <c r="AI1182" s="42"/>
      <c r="AJ1182" s="42"/>
      <c r="AK1182" s="42"/>
      <c r="AL1182" s="42"/>
      <c r="AM1182" s="42"/>
    </row>
    <row r="1183" spans="1:39" x14ac:dyDescent="0.25">
      <c r="A1183" s="38" t="s">
        <v>1534</v>
      </c>
      <c r="B1183" s="42"/>
      <c r="C1183" s="42"/>
      <c r="D1183" s="42"/>
      <c r="E1183" s="41"/>
      <c r="F1183" s="41"/>
      <c r="G1183" s="41"/>
      <c r="H1183" s="41"/>
      <c r="I1183" s="41"/>
      <c r="J1183" s="42"/>
      <c r="K1183" s="41"/>
      <c r="L1183" s="41"/>
      <c r="M1183" s="127"/>
      <c r="N1183" s="41"/>
      <c r="O1183" s="41"/>
      <c r="P1183" s="41"/>
      <c r="Q1183" s="42"/>
      <c r="R1183" s="35"/>
      <c r="S1183" s="35"/>
      <c r="T1183" s="35"/>
      <c r="U1183" s="35"/>
      <c r="V1183" s="121"/>
      <c r="W1183" s="42"/>
      <c r="X1183" s="42"/>
      <c r="Y1183" s="42"/>
      <c r="Z1183" s="42"/>
      <c r="AA1183" s="42"/>
      <c r="AB1183" s="42"/>
      <c r="AC1183" s="42"/>
      <c r="AD1183" s="42"/>
      <c r="AE1183" s="42"/>
      <c r="AF1183" s="42"/>
      <c r="AG1183" s="42"/>
      <c r="AH1183" s="42"/>
      <c r="AI1183" s="42"/>
      <c r="AJ1183" s="42"/>
      <c r="AK1183" s="42"/>
      <c r="AL1183" s="42"/>
      <c r="AM1183" s="42"/>
    </row>
    <row r="1184" spans="1:39" x14ac:dyDescent="0.25">
      <c r="A1184" s="38" t="s">
        <v>1535</v>
      </c>
      <c r="B1184" s="42"/>
      <c r="C1184" s="42"/>
      <c r="D1184" s="42"/>
      <c r="E1184" s="41"/>
      <c r="F1184" s="41"/>
      <c r="G1184" s="41"/>
      <c r="H1184" s="41"/>
      <c r="I1184" s="41"/>
      <c r="J1184" s="42"/>
      <c r="K1184" s="41"/>
      <c r="L1184" s="41"/>
      <c r="M1184" s="127"/>
      <c r="N1184" s="41"/>
      <c r="O1184" s="41"/>
      <c r="P1184" s="41"/>
      <c r="Q1184" s="42"/>
      <c r="R1184" s="35"/>
      <c r="S1184" s="35"/>
      <c r="T1184" s="35"/>
      <c r="U1184" s="35"/>
      <c r="V1184" s="121"/>
      <c r="W1184" s="42"/>
      <c r="X1184" s="42"/>
      <c r="Y1184" s="42"/>
      <c r="Z1184" s="42"/>
      <c r="AA1184" s="42"/>
      <c r="AB1184" s="42"/>
      <c r="AC1184" s="42"/>
      <c r="AD1184" s="42"/>
      <c r="AE1184" s="42"/>
      <c r="AF1184" s="42"/>
      <c r="AG1184" s="42"/>
      <c r="AH1184" s="42"/>
      <c r="AI1184" s="42"/>
      <c r="AJ1184" s="42"/>
      <c r="AK1184" s="42"/>
      <c r="AL1184" s="42"/>
      <c r="AM1184" s="42"/>
    </row>
    <row r="1185" spans="1:39" x14ac:dyDescent="0.25">
      <c r="A1185" s="38" t="s">
        <v>1536</v>
      </c>
      <c r="B1185" s="42"/>
      <c r="C1185" s="42"/>
      <c r="D1185" s="42"/>
      <c r="E1185" s="41"/>
      <c r="F1185" s="41"/>
      <c r="G1185" s="41"/>
      <c r="H1185" s="41"/>
      <c r="I1185" s="41"/>
      <c r="J1185" s="42"/>
      <c r="K1185" s="41"/>
      <c r="L1185" s="41"/>
      <c r="M1185" s="127"/>
      <c r="N1185" s="41"/>
      <c r="O1185" s="41"/>
      <c r="P1185" s="41"/>
      <c r="Q1185" s="42"/>
      <c r="R1185" s="35"/>
      <c r="S1185" s="35"/>
      <c r="T1185" s="35"/>
      <c r="U1185" s="35"/>
      <c r="V1185" s="121"/>
      <c r="W1185" s="42"/>
      <c r="X1185" s="42"/>
      <c r="Y1185" s="42"/>
      <c r="Z1185" s="42"/>
      <c r="AA1185" s="42"/>
      <c r="AB1185" s="42"/>
      <c r="AC1185" s="42"/>
      <c r="AD1185" s="42"/>
      <c r="AE1185" s="42"/>
      <c r="AF1185" s="42"/>
      <c r="AG1185" s="42"/>
      <c r="AH1185" s="42"/>
      <c r="AI1185" s="42"/>
      <c r="AJ1185" s="42"/>
      <c r="AK1185" s="42"/>
      <c r="AL1185" s="42"/>
      <c r="AM1185" s="42"/>
    </row>
    <row r="1186" spans="1:39" x14ac:dyDescent="0.25">
      <c r="A1186" s="38" t="s">
        <v>1537</v>
      </c>
      <c r="B1186" s="42"/>
      <c r="C1186" s="42"/>
      <c r="D1186" s="42"/>
      <c r="E1186" s="41"/>
      <c r="F1186" s="41"/>
      <c r="G1186" s="41"/>
      <c r="H1186" s="41"/>
      <c r="I1186" s="41"/>
      <c r="J1186" s="42"/>
      <c r="K1186" s="41"/>
      <c r="L1186" s="41"/>
      <c r="M1186" s="127"/>
      <c r="N1186" s="41"/>
      <c r="O1186" s="41"/>
      <c r="P1186" s="41"/>
      <c r="Q1186" s="42"/>
      <c r="R1186" s="35"/>
      <c r="S1186" s="35"/>
      <c r="T1186" s="35"/>
      <c r="U1186" s="35"/>
      <c r="V1186" s="121"/>
      <c r="W1186" s="42"/>
      <c r="X1186" s="42"/>
      <c r="Y1186" s="42"/>
      <c r="Z1186" s="42"/>
      <c r="AA1186" s="42"/>
      <c r="AB1186" s="42"/>
      <c r="AC1186" s="42"/>
      <c r="AD1186" s="42"/>
      <c r="AE1186" s="42"/>
      <c r="AF1186" s="42"/>
      <c r="AG1186" s="42"/>
      <c r="AH1186" s="42"/>
      <c r="AI1186" s="42"/>
      <c r="AJ1186" s="42"/>
      <c r="AK1186" s="42"/>
      <c r="AL1186" s="42"/>
      <c r="AM1186" s="42"/>
    </row>
    <row r="1187" spans="1:39" x14ac:dyDescent="0.25">
      <c r="A1187" s="38" t="s">
        <v>1538</v>
      </c>
      <c r="B1187" s="42"/>
      <c r="C1187" s="42"/>
      <c r="D1187" s="42"/>
      <c r="E1187" s="41"/>
      <c r="F1187" s="41"/>
      <c r="G1187" s="41"/>
      <c r="H1187" s="41"/>
      <c r="I1187" s="41"/>
      <c r="J1187" s="42"/>
      <c r="K1187" s="41"/>
      <c r="L1187" s="41"/>
      <c r="M1187" s="127"/>
      <c r="N1187" s="41"/>
      <c r="O1187" s="41"/>
      <c r="P1187" s="41"/>
      <c r="Q1187" s="42"/>
      <c r="R1187" s="35"/>
      <c r="S1187" s="35"/>
      <c r="T1187" s="35"/>
      <c r="U1187" s="35"/>
      <c r="V1187" s="121"/>
      <c r="W1187" s="42"/>
      <c r="X1187" s="42"/>
      <c r="Y1187" s="42"/>
      <c r="Z1187" s="42"/>
      <c r="AA1187" s="42"/>
      <c r="AB1187" s="42"/>
      <c r="AC1187" s="42"/>
      <c r="AD1187" s="42"/>
      <c r="AE1187" s="42"/>
      <c r="AF1187" s="42"/>
      <c r="AG1187" s="42"/>
      <c r="AH1187" s="42"/>
      <c r="AI1187" s="42"/>
      <c r="AJ1187" s="42"/>
      <c r="AK1187" s="42"/>
      <c r="AL1187" s="42"/>
      <c r="AM1187" s="42"/>
    </row>
    <row r="1188" spans="1:39" x14ac:dyDescent="0.25">
      <c r="A1188" s="38" t="s">
        <v>1539</v>
      </c>
      <c r="B1188" s="42"/>
      <c r="C1188" s="42"/>
      <c r="D1188" s="42"/>
      <c r="E1188" s="41"/>
      <c r="F1188" s="41"/>
      <c r="G1188" s="41"/>
      <c r="H1188" s="41"/>
      <c r="I1188" s="41"/>
      <c r="J1188" s="42"/>
      <c r="K1188" s="41"/>
      <c r="L1188" s="41"/>
      <c r="M1188" s="127"/>
      <c r="N1188" s="41"/>
      <c r="O1188" s="41"/>
      <c r="P1188" s="41"/>
      <c r="Q1188" s="42"/>
      <c r="R1188" s="35"/>
      <c r="S1188" s="35"/>
      <c r="T1188" s="35"/>
      <c r="U1188" s="35"/>
      <c r="V1188" s="121"/>
      <c r="W1188" s="42"/>
      <c r="X1188" s="42"/>
      <c r="Y1188" s="42"/>
      <c r="Z1188" s="42"/>
      <c r="AA1188" s="42"/>
      <c r="AB1188" s="42"/>
      <c r="AC1188" s="42"/>
      <c r="AD1188" s="42"/>
      <c r="AE1188" s="42"/>
      <c r="AF1188" s="42"/>
      <c r="AG1188" s="42"/>
      <c r="AH1188" s="42"/>
      <c r="AI1188" s="42"/>
      <c r="AJ1188" s="42"/>
      <c r="AK1188" s="42"/>
      <c r="AL1188" s="42"/>
      <c r="AM1188" s="42"/>
    </row>
    <row r="1189" spans="1:39" x14ac:dyDescent="0.25">
      <c r="A1189" s="38" t="s">
        <v>1540</v>
      </c>
      <c r="B1189" s="42"/>
      <c r="C1189" s="42"/>
      <c r="D1189" s="42"/>
      <c r="E1189" s="41"/>
      <c r="F1189" s="41"/>
      <c r="G1189" s="41"/>
      <c r="H1189" s="41"/>
      <c r="I1189" s="41"/>
      <c r="J1189" s="42"/>
      <c r="K1189" s="41"/>
      <c r="L1189" s="41"/>
      <c r="M1189" s="127"/>
      <c r="N1189" s="41"/>
      <c r="O1189" s="41"/>
      <c r="P1189" s="41"/>
      <c r="Q1189" s="42"/>
      <c r="R1189" s="35"/>
      <c r="S1189" s="35"/>
      <c r="T1189" s="35"/>
      <c r="U1189" s="35"/>
      <c r="V1189" s="121"/>
      <c r="W1189" s="42"/>
      <c r="X1189" s="42"/>
      <c r="Y1189" s="42"/>
      <c r="Z1189" s="42"/>
      <c r="AA1189" s="42"/>
      <c r="AB1189" s="42"/>
      <c r="AC1189" s="42"/>
      <c r="AD1189" s="42"/>
      <c r="AE1189" s="42"/>
      <c r="AF1189" s="42"/>
      <c r="AG1189" s="42"/>
      <c r="AH1189" s="42"/>
      <c r="AI1189" s="42"/>
      <c r="AJ1189" s="42"/>
      <c r="AK1189" s="42"/>
      <c r="AL1189" s="42"/>
      <c r="AM1189" s="42"/>
    </row>
    <row r="1190" spans="1:39" x14ac:dyDescent="0.25">
      <c r="A1190" s="38" t="s">
        <v>1541</v>
      </c>
      <c r="B1190" s="42"/>
      <c r="C1190" s="42"/>
      <c r="D1190" s="42"/>
      <c r="E1190" s="41"/>
      <c r="F1190" s="41"/>
      <c r="G1190" s="41"/>
      <c r="H1190" s="41"/>
      <c r="I1190" s="41"/>
      <c r="J1190" s="42"/>
      <c r="K1190" s="41"/>
      <c r="L1190" s="41"/>
      <c r="M1190" s="127"/>
      <c r="N1190" s="41"/>
      <c r="O1190" s="41"/>
      <c r="P1190" s="41"/>
      <c r="Q1190" s="42"/>
      <c r="R1190" s="35"/>
      <c r="S1190" s="35"/>
      <c r="T1190" s="35"/>
      <c r="U1190" s="35"/>
      <c r="V1190" s="121"/>
      <c r="W1190" s="42"/>
      <c r="X1190" s="42"/>
      <c r="Y1190" s="42"/>
      <c r="Z1190" s="42"/>
      <c r="AA1190" s="42"/>
      <c r="AB1190" s="42"/>
      <c r="AC1190" s="42"/>
      <c r="AD1190" s="42"/>
      <c r="AE1190" s="42"/>
      <c r="AF1190" s="42"/>
      <c r="AG1190" s="42"/>
      <c r="AH1190" s="42"/>
      <c r="AI1190" s="42"/>
      <c r="AJ1190" s="42"/>
      <c r="AK1190" s="42"/>
      <c r="AL1190" s="42"/>
      <c r="AM1190" s="42"/>
    </row>
    <row r="1191" spans="1:39" x14ac:dyDescent="0.25">
      <c r="A1191" s="38" t="s">
        <v>1542</v>
      </c>
      <c r="B1191" s="42"/>
      <c r="C1191" s="42"/>
      <c r="D1191" s="42"/>
      <c r="E1191" s="41"/>
      <c r="F1191" s="41"/>
      <c r="G1191" s="41"/>
      <c r="H1191" s="41"/>
      <c r="I1191" s="41"/>
      <c r="J1191" s="42"/>
      <c r="K1191" s="41"/>
      <c r="L1191" s="41"/>
      <c r="M1191" s="127"/>
      <c r="N1191" s="41"/>
      <c r="O1191" s="41"/>
      <c r="P1191" s="41"/>
      <c r="Q1191" s="42"/>
      <c r="R1191" s="35"/>
      <c r="S1191" s="35"/>
      <c r="T1191" s="35"/>
      <c r="U1191" s="35"/>
      <c r="V1191" s="121"/>
      <c r="W1191" s="42"/>
      <c r="X1191" s="42"/>
      <c r="Y1191" s="42"/>
      <c r="Z1191" s="42"/>
      <c r="AA1191" s="42"/>
      <c r="AB1191" s="42"/>
      <c r="AC1191" s="42"/>
      <c r="AD1191" s="42"/>
      <c r="AE1191" s="42"/>
      <c r="AF1191" s="42"/>
      <c r="AG1191" s="42"/>
      <c r="AH1191" s="42"/>
      <c r="AI1191" s="42"/>
      <c r="AJ1191" s="42"/>
      <c r="AK1191" s="42"/>
      <c r="AL1191" s="42"/>
      <c r="AM1191" s="42"/>
    </row>
    <row r="1192" spans="1:39" x14ac:dyDescent="0.25">
      <c r="A1192" s="38" t="s">
        <v>1543</v>
      </c>
      <c r="B1192" s="42"/>
      <c r="C1192" s="42"/>
      <c r="D1192" s="42"/>
      <c r="E1192" s="41"/>
      <c r="F1192" s="41"/>
      <c r="G1192" s="41"/>
      <c r="H1192" s="41"/>
      <c r="I1192" s="41"/>
      <c r="J1192" s="42"/>
      <c r="K1192" s="41"/>
      <c r="L1192" s="41"/>
      <c r="M1192" s="127"/>
      <c r="N1192" s="41"/>
      <c r="O1192" s="41"/>
      <c r="P1192" s="41"/>
      <c r="Q1192" s="42"/>
      <c r="R1192" s="35"/>
      <c r="S1192" s="35"/>
      <c r="T1192" s="35"/>
      <c r="U1192" s="35"/>
      <c r="V1192" s="121"/>
      <c r="W1192" s="42"/>
      <c r="X1192" s="42"/>
      <c r="Y1192" s="42"/>
      <c r="Z1192" s="42"/>
      <c r="AA1192" s="42"/>
      <c r="AB1192" s="42"/>
      <c r="AC1192" s="42"/>
      <c r="AD1192" s="42"/>
      <c r="AE1192" s="42"/>
      <c r="AF1192" s="42"/>
      <c r="AG1192" s="42"/>
      <c r="AH1192" s="42"/>
      <c r="AI1192" s="42"/>
      <c r="AJ1192" s="42"/>
      <c r="AK1192" s="42"/>
      <c r="AL1192" s="42"/>
      <c r="AM1192" s="42"/>
    </row>
    <row r="1193" spans="1:39" x14ac:dyDescent="0.25">
      <c r="A1193" s="38" t="s">
        <v>1544</v>
      </c>
      <c r="B1193" s="42"/>
      <c r="C1193" s="42"/>
      <c r="D1193" s="42"/>
      <c r="E1193" s="41"/>
      <c r="F1193" s="41"/>
      <c r="G1193" s="41"/>
      <c r="H1193" s="41"/>
      <c r="I1193" s="41"/>
      <c r="J1193" s="42"/>
      <c r="K1193" s="41"/>
      <c r="L1193" s="41"/>
      <c r="M1193" s="127"/>
      <c r="N1193" s="41"/>
      <c r="O1193" s="41"/>
      <c r="P1193" s="41"/>
      <c r="Q1193" s="42"/>
      <c r="R1193" s="35"/>
      <c r="S1193" s="35"/>
      <c r="T1193" s="35"/>
      <c r="U1193" s="35"/>
      <c r="V1193" s="121"/>
      <c r="W1193" s="42"/>
      <c r="X1193" s="42"/>
      <c r="Y1193" s="42"/>
      <c r="Z1193" s="42"/>
      <c r="AA1193" s="42"/>
      <c r="AB1193" s="42"/>
      <c r="AC1193" s="42"/>
      <c r="AD1193" s="42"/>
      <c r="AE1193" s="42"/>
      <c r="AF1193" s="42"/>
      <c r="AG1193" s="42"/>
      <c r="AH1193" s="42"/>
      <c r="AI1193" s="42"/>
      <c r="AJ1193" s="42"/>
      <c r="AK1193" s="42"/>
      <c r="AL1193" s="42"/>
      <c r="AM1193" s="42"/>
    </row>
    <row r="1194" spans="1:39" x14ac:dyDescent="0.25">
      <c r="A1194" s="38" t="s">
        <v>1545</v>
      </c>
      <c r="B1194" s="42"/>
      <c r="C1194" s="42"/>
      <c r="D1194" s="42"/>
      <c r="E1194" s="41"/>
      <c r="F1194" s="41"/>
      <c r="G1194" s="41"/>
      <c r="H1194" s="41"/>
      <c r="I1194" s="41"/>
      <c r="J1194" s="42"/>
      <c r="K1194" s="41"/>
      <c r="L1194" s="41"/>
      <c r="M1194" s="127"/>
      <c r="N1194" s="41"/>
      <c r="O1194" s="41"/>
      <c r="P1194" s="41"/>
      <c r="Q1194" s="42"/>
      <c r="R1194" s="35"/>
      <c r="S1194" s="35"/>
      <c r="T1194" s="35"/>
      <c r="U1194" s="35"/>
      <c r="V1194" s="121"/>
      <c r="W1194" s="42"/>
      <c r="X1194" s="42"/>
      <c r="Y1194" s="42"/>
      <c r="Z1194" s="42"/>
      <c r="AA1194" s="42"/>
      <c r="AB1194" s="42"/>
      <c r="AC1194" s="42"/>
      <c r="AD1194" s="42"/>
      <c r="AE1194" s="42"/>
      <c r="AF1194" s="42"/>
      <c r="AG1194" s="42"/>
      <c r="AH1194" s="42"/>
      <c r="AI1194" s="42"/>
      <c r="AJ1194" s="42"/>
      <c r="AK1194" s="42"/>
      <c r="AL1194" s="42"/>
      <c r="AM1194" s="42"/>
    </row>
    <row r="1195" spans="1:39" x14ac:dyDescent="0.25">
      <c r="A1195" s="38" t="s">
        <v>1546</v>
      </c>
      <c r="B1195" s="42"/>
      <c r="C1195" s="42"/>
      <c r="D1195" s="42"/>
      <c r="E1195" s="41"/>
      <c r="F1195" s="41"/>
      <c r="G1195" s="41"/>
      <c r="H1195" s="41"/>
      <c r="I1195" s="41"/>
      <c r="J1195" s="42"/>
      <c r="K1195" s="41"/>
      <c r="L1195" s="41"/>
      <c r="M1195" s="127"/>
      <c r="N1195" s="41"/>
      <c r="O1195" s="41"/>
      <c r="P1195" s="41"/>
      <c r="Q1195" s="42"/>
      <c r="R1195" s="35"/>
      <c r="S1195" s="35"/>
      <c r="T1195" s="35"/>
      <c r="U1195" s="35"/>
      <c r="V1195" s="121"/>
      <c r="W1195" s="42"/>
      <c r="X1195" s="42"/>
      <c r="Y1195" s="42"/>
      <c r="Z1195" s="42"/>
      <c r="AA1195" s="42"/>
      <c r="AB1195" s="42"/>
      <c r="AC1195" s="42"/>
      <c r="AD1195" s="42"/>
      <c r="AE1195" s="42"/>
      <c r="AF1195" s="42"/>
      <c r="AG1195" s="42"/>
      <c r="AH1195" s="42"/>
      <c r="AI1195" s="42"/>
      <c r="AJ1195" s="42"/>
      <c r="AK1195" s="42"/>
      <c r="AL1195" s="42"/>
      <c r="AM1195" s="42"/>
    </row>
    <row r="1196" spans="1:39" x14ac:dyDescent="0.25">
      <c r="A1196" s="38" t="s">
        <v>1547</v>
      </c>
      <c r="B1196" s="42"/>
      <c r="C1196" s="42"/>
      <c r="D1196" s="42"/>
      <c r="E1196" s="41"/>
      <c r="F1196" s="41"/>
      <c r="G1196" s="41"/>
      <c r="H1196" s="41"/>
      <c r="I1196" s="41"/>
      <c r="J1196" s="42"/>
      <c r="K1196" s="41"/>
      <c r="L1196" s="41"/>
      <c r="M1196" s="127"/>
      <c r="N1196" s="41"/>
      <c r="O1196" s="41"/>
      <c r="P1196" s="41"/>
      <c r="Q1196" s="42"/>
      <c r="R1196" s="35"/>
      <c r="S1196" s="35"/>
      <c r="T1196" s="35"/>
      <c r="U1196" s="35"/>
      <c r="V1196" s="121"/>
      <c r="W1196" s="42"/>
      <c r="X1196" s="42"/>
      <c r="Y1196" s="42"/>
      <c r="Z1196" s="42"/>
      <c r="AA1196" s="42"/>
      <c r="AB1196" s="42"/>
      <c r="AC1196" s="42"/>
      <c r="AD1196" s="42"/>
      <c r="AE1196" s="42"/>
      <c r="AF1196" s="42"/>
      <c r="AG1196" s="42"/>
      <c r="AH1196" s="42"/>
      <c r="AI1196" s="42"/>
      <c r="AJ1196" s="42"/>
      <c r="AK1196" s="42"/>
      <c r="AL1196" s="42"/>
      <c r="AM1196" s="42"/>
    </row>
    <row r="1197" spans="1:39" x14ac:dyDescent="0.25">
      <c r="A1197" s="38" t="s">
        <v>1548</v>
      </c>
      <c r="B1197" s="42"/>
      <c r="C1197" s="42"/>
      <c r="D1197" s="42"/>
      <c r="E1197" s="41"/>
      <c r="F1197" s="41"/>
      <c r="G1197" s="41"/>
      <c r="H1197" s="41"/>
      <c r="I1197" s="41"/>
      <c r="J1197" s="42"/>
      <c r="K1197" s="41"/>
      <c r="L1197" s="41"/>
      <c r="M1197" s="127"/>
      <c r="N1197" s="41"/>
      <c r="O1197" s="41"/>
      <c r="P1197" s="41"/>
      <c r="Q1197" s="42"/>
      <c r="R1197" s="35"/>
      <c r="S1197" s="35"/>
      <c r="T1197" s="35"/>
      <c r="U1197" s="35"/>
      <c r="V1197" s="121"/>
      <c r="W1197" s="42"/>
      <c r="X1197" s="42"/>
      <c r="Y1197" s="42"/>
      <c r="Z1197" s="42"/>
      <c r="AA1197" s="42"/>
      <c r="AB1197" s="42"/>
      <c r="AC1197" s="42"/>
      <c r="AD1197" s="42"/>
      <c r="AE1197" s="42"/>
      <c r="AF1197" s="42"/>
      <c r="AG1197" s="42"/>
      <c r="AH1197" s="42"/>
      <c r="AI1197" s="42"/>
      <c r="AJ1197" s="42"/>
      <c r="AK1197" s="42"/>
      <c r="AL1197" s="42"/>
      <c r="AM1197" s="42"/>
    </row>
    <row r="1198" spans="1:39" x14ac:dyDescent="0.25">
      <c r="A1198" s="38" t="s">
        <v>1549</v>
      </c>
      <c r="B1198" s="42"/>
      <c r="C1198" s="42"/>
      <c r="D1198" s="42"/>
      <c r="E1198" s="41"/>
      <c r="F1198" s="41"/>
      <c r="G1198" s="41"/>
      <c r="H1198" s="41"/>
      <c r="I1198" s="41"/>
      <c r="J1198" s="42"/>
      <c r="K1198" s="41"/>
      <c r="L1198" s="41"/>
      <c r="M1198" s="127"/>
      <c r="N1198" s="41"/>
      <c r="O1198" s="41"/>
      <c r="P1198" s="41"/>
      <c r="Q1198" s="42"/>
      <c r="R1198" s="35"/>
      <c r="S1198" s="35"/>
      <c r="T1198" s="35"/>
      <c r="U1198" s="35"/>
      <c r="V1198" s="121"/>
      <c r="W1198" s="42"/>
      <c r="X1198" s="42"/>
      <c r="Y1198" s="42"/>
      <c r="Z1198" s="42"/>
      <c r="AA1198" s="42"/>
      <c r="AB1198" s="42"/>
      <c r="AC1198" s="42"/>
      <c r="AD1198" s="42"/>
      <c r="AE1198" s="42"/>
      <c r="AF1198" s="42"/>
      <c r="AG1198" s="42"/>
      <c r="AH1198" s="42"/>
      <c r="AI1198" s="42"/>
      <c r="AJ1198" s="42"/>
      <c r="AK1198" s="42"/>
      <c r="AL1198" s="42"/>
      <c r="AM1198" s="42"/>
    </row>
    <row r="1199" spans="1:39" x14ac:dyDescent="0.25">
      <c r="A1199" s="38" t="s">
        <v>1550</v>
      </c>
      <c r="B1199" s="42"/>
      <c r="C1199" s="42"/>
      <c r="D1199" s="42"/>
      <c r="E1199" s="41"/>
      <c r="F1199" s="41"/>
      <c r="G1199" s="41"/>
      <c r="H1199" s="41"/>
      <c r="I1199" s="41"/>
      <c r="J1199" s="42"/>
      <c r="K1199" s="41"/>
      <c r="L1199" s="41"/>
      <c r="M1199" s="127"/>
      <c r="N1199" s="41"/>
      <c r="O1199" s="41"/>
      <c r="P1199" s="41"/>
      <c r="Q1199" s="42"/>
      <c r="R1199" s="35"/>
      <c r="S1199" s="35"/>
      <c r="T1199" s="35"/>
      <c r="U1199" s="35"/>
      <c r="V1199" s="121"/>
      <c r="W1199" s="42"/>
      <c r="X1199" s="42"/>
      <c r="Y1199" s="42"/>
      <c r="Z1199" s="42"/>
      <c r="AA1199" s="42"/>
      <c r="AB1199" s="42"/>
      <c r="AC1199" s="42"/>
      <c r="AD1199" s="42"/>
      <c r="AE1199" s="42"/>
      <c r="AF1199" s="42"/>
      <c r="AG1199" s="42"/>
      <c r="AH1199" s="42"/>
      <c r="AI1199" s="42"/>
      <c r="AJ1199" s="42"/>
      <c r="AK1199" s="42"/>
      <c r="AL1199" s="42"/>
      <c r="AM1199" s="42"/>
    </row>
    <row r="1200" spans="1:39" x14ac:dyDescent="0.25">
      <c r="A1200" s="38" t="s">
        <v>1551</v>
      </c>
      <c r="B1200" s="42"/>
      <c r="C1200" s="42"/>
      <c r="D1200" s="42"/>
      <c r="E1200" s="41"/>
      <c r="F1200" s="41"/>
      <c r="G1200" s="41"/>
      <c r="H1200" s="41"/>
      <c r="I1200" s="41"/>
      <c r="J1200" s="42"/>
      <c r="K1200" s="41"/>
      <c r="L1200" s="41"/>
      <c r="M1200" s="127"/>
      <c r="N1200" s="41"/>
      <c r="O1200" s="41"/>
      <c r="P1200" s="41"/>
      <c r="Q1200" s="42"/>
      <c r="R1200" s="35"/>
      <c r="S1200" s="35"/>
      <c r="T1200" s="35"/>
      <c r="U1200" s="35"/>
      <c r="V1200" s="121"/>
      <c r="W1200" s="42"/>
      <c r="X1200" s="42"/>
      <c r="Y1200" s="42"/>
      <c r="Z1200" s="42"/>
      <c r="AA1200" s="42"/>
      <c r="AB1200" s="42"/>
      <c r="AC1200" s="42"/>
      <c r="AD1200" s="42"/>
      <c r="AE1200" s="42"/>
      <c r="AF1200" s="42"/>
      <c r="AG1200" s="42"/>
      <c r="AH1200" s="42"/>
      <c r="AI1200" s="42"/>
      <c r="AJ1200" s="42"/>
      <c r="AK1200" s="42"/>
      <c r="AL1200" s="42"/>
      <c r="AM1200" s="42"/>
    </row>
    <row r="1201" spans="1:39" x14ac:dyDescent="0.25">
      <c r="A1201" s="38" t="s">
        <v>1552</v>
      </c>
      <c r="B1201" s="42"/>
      <c r="C1201" s="42"/>
      <c r="D1201" s="42"/>
      <c r="E1201" s="41"/>
      <c r="F1201" s="41"/>
      <c r="G1201" s="41"/>
      <c r="H1201" s="41"/>
      <c r="I1201" s="41"/>
      <c r="J1201" s="42"/>
      <c r="K1201" s="41"/>
      <c r="L1201" s="41"/>
      <c r="M1201" s="127"/>
      <c r="N1201" s="41"/>
      <c r="O1201" s="41"/>
      <c r="P1201" s="41"/>
      <c r="Q1201" s="42"/>
      <c r="R1201" s="35"/>
      <c r="S1201" s="35"/>
      <c r="T1201" s="35"/>
      <c r="U1201" s="35"/>
      <c r="V1201" s="121"/>
      <c r="W1201" s="42"/>
      <c r="X1201" s="42"/>
      <c r="Y1201" s="42"/>
      <c r="Z1201" s="42"/>
      <c r="AA1201" s="42"/>
      <c r="AB1201" s="42"/>
      <c r="AC1201" s="42"/>
      <c r="AD1201" s="42"/>
      <c r="AE1201" s="42"/>
      <c r="AF1201" s="42"/>
      <c r="AG1201" s="42"/>
      <c r="AH1201" s="42"/>
      <c r="AI1201" s="42"/>
      <c r="AJ1201" s="42"/>
      <c r="AK1201" s="42"/>
      <c r="AL1201" s="42"/>
      <c r="AM1201" s="42"/>
    </row>
    <row r="1202" spans="1:39" x14ac:dyDescent="0.25">
      <c r="A1202" s="38" t="s">
        <v>1553</v>
      </c>
      <c r="B1202" s="42"/>
      <c r="C1202" s="42"/>
      <c r="D1202" s="42"/>
      <c r="E1202" s="41"/>
      <c r="F1202" s="41"/>
      <c r="G1202" s="41"/>
      <c r="H1202" s="41"/>
      <c r="I1202" s="41"/>
      <c r="J1202" s="42"/>
      <c r="K1202" s="41"/>
      <c r="L1202" s="41"/>
      <c r="M1202" s="127"/>
      <c r="N1202" s="41"/>
      <c r="O1202" s="41"/>
      <c r="P1202" s="41"/>
      <c r="Q1202" s="42"/>
      <c r="R1202" s="35"/>
      <c r="S1202" s="35"/>
      <c r="T1202" s="35"/>
      <c r="U1202" s="35"/>
      <c r="V1202" s="121"/>
      <c r="W1202" s="42"/>
      <c r="X1202" s="42"/>
      <c r="Y1202" s="42"/>
      <c r="Z1202" s="42"/>
      <c r="AA1202" s="42"/>
      <c r="AB1202" s="42"/>
      <c r="AC1202" s="42"/>
      <c r="AD1202" s="42"/>
      <c r="AE1202" s="42"/>
      <c r="AF1202" s="42"/>
      <c r="AG1202" s="42"/>
      <c r="AH1202" s="42"/>
      <c r="AI1202" s="42"/>
      <c r="AJ1202" s="42"/>
      <c r="AK1202" s="42"/>
      <c r="AL1202" s="42"/>
      <c r="AM1202" s="42"/>
    </row>
    <row r="1203" spans="1:39" x14ac:dyDescent="0.25">
      <c r="A1203" s="38" t="s">
        <v>1554</v>
      </c>
      <c r="B1203" s="42"/>
      <c r="C1203" s="42"/>
      <c r="D1203" s="42"/>
      <c r="E1203" s="41"/>
      <c r="F1203" s="41"/>
      <c r="G1203" s="41"/>
      <c r="H1203" s="41"/>
      <c r="I1203" s="41"/>
      <c r="J1203" s="42"/>
      <c r="K1203" s="41"/>
      <c r="L1203" s="41"/>
      <c r="M1203" s="127"/>
      <c r="N1203" s="41"/>
      <c r="O1203" s="41"/>
      <c r="P1203" s="41"/>
      <c r="Q1203" s="42"/>
      <c r="R1203" s="35"/>
      <c r="S1203" s="35"/>
      <c r="T1203" s="35"/>
      <c r="U1203" s="35"/>
      <c r="V1203" s="121"/>
      <c r="W1203" s="42"/>
      <c r="X1203" s="42"/>
      <c r="Y1203" s="42"/>
      <c r="Z1203" s="42"/>
      <c r="AA1203" s="42"/>
      <c r="AB1203" s="42"/>
      <c r="AC1203" s="42"/>
      <c r="AD1203" s="42"/>
      <c r="AE1203" s="42"/>
      <c r="AF1203" s="42"/>
      <c r="AG1203" s="42"/>
      <c r="AH1203" s="42"/>
      <c r="AI1203" s="42"/>
      <c r="AJ1203" s="42"/>
      <c r="AK1203" s="42"/>
      <c r="AL1203" s="42"/>
      <c r="AM1203" s="42"/>
    </row>
    <row r="1204" spans="1:39" x14ac:dyDescent="0.25">
      <c r="A1204" s="38" t="s">
        <v>1555</v>
      </c>
      <c r="B1204" s="42"/>
      <c r="C1204" s="42"/>
      <c r="D1204" s="42"/>
      <c r="E1204" s="41"/>
      <c r="F1204" s="41"/>
      <c r="G1204" s="41"/>
      <c r="H1204" s="41"/>
      <c r="I1204" s="41"/>
      <c r="J1204" s="42"/>
      <c r="K1204" s="41"/>
      <c r="L1204" s="41"/>
      <c r="M1204" s="127"/>
      <c r="N1204" s="41"/>
      <c r="O1204" s="41"/>
      <c r="P1204" s="41"/>
      <c r="Q1204" s="42"/>
      <c r="R1204" s="35"/>
      <c r="S1204" s="35"/>
      <c r="T1204" s="35"/>
      <c r="U1204" s="35"/>
      <c r="V1204" s="121"/>
      <c r="W1204" s="42"/>
      <c r="X1204" s="42"/>
      <c r="Y1204" s="42"/>
      <c r="Z1204" s="42"/>
      <c r="AA1204" s="42"/>
      <c r="AB1204" s="42"/>
      <c r="AC1204" s="42"/>
      <c r="AD1204" s="42"/>
      <c r="AE1204" s="42"/>
      <c r="AF1204" s="42"/>
      <c r="AG1204" s="42"/>
      <c r="AH1204" s="42"/>
      <c r="AI1204" s="42"/>
      <c r="AJ1204" s="42"/>
      <c r="AK1204" s="42"/>
      <c r="AL1204" s="42"/>
      <c r="AM1204" s="42"/>
    </row>
    <row r="1205" spans="1:39" x14ac:dyDescent="0.25">
      <c r="A1205" s="38" t="s">
        <v>1556</v>
      </c>
      <c r="B1205" s="42"/>
      <c r="C1205" s="42"/>
      <c r="D1205" s="42"/>
      <c r="E1205" s="41"/>
      <c r="F1205" s="41"/>
      <c r="G1205" s="41"/>
      <c r="H1205" s="41"/>
      <c r="I1205" s="41"/>
      <c r="J1205" s="42"/>
      <c r="K1205" s="41"/>
      <c r="L1205" s="41"/>
      <c r="M1205" s="127"/>
      <c r="N1205" s="41"/>
      <c r="O1205" s="41"/>
      <c r="P1205" s="41"/>
      <c r="Q1205" s="42"/>
      <c r="R1205" s="35"/>
      <c r="S1205" s="35"/>
      <c r="T1205" s="35"/>
      <c r="U1205" s="35"/>
      <c r="V1205" s="121"/>
      <c r="W1205" s="42"/>
      <c r="X1205" s="42"/>
      <c r="Y1205" s="42"/>
      <c r="Z1205" s="42"/>
      <c r="AA1205" s="42"/>
      <c r="AB1205" s="42"/>
      <c r="AC1205" s="42"/>
      <c r="AD1205" s="42"/>
      <c r="AE1205" s="42"/>
      <c r="AF1205" s="42"/>
      <c r="AG1205" s="42"/>
      <c r="AH1205" s="42"/>
      <c r="AI1205" s="42"/>
      <c r="AJ1205" s="42"/>
      <c r="AK1205" s="42"/>
      <c r="AL1205" s="42"/>
      <c r="AM1205" s="42"/>
    </row>
    <row r="1206" spans="1:39" x14ac:dyDescent="0.25">
      <c r="A1206" s="38" t="s">
        <v>1557</v>
      </c>
      <c r="B1206" s="42"/>
      <c r="C1206" s="42"/>
      <c r="D1206" s="42"/>
      <c r="E1206" s="41"/>
      <c r="F1206" s="41"/>
      <c r="G1206" s="41"/>
      <c r="H1206" s="41"/>
      <c r="I1206" s="41"/>
      <c r="J1206" s="42"/>
      <c r="K1206" s="41"/>
      <c r="L1206" s="41"/>
      <c r="M1206" s="127"/>
      <c r="N1206" s="41"/>
      <c r="O1206" s="41"/>
      <c r="P1206" s="41"/>
      <c r="Q1206" s="42"/>
      <c r="R1206" s="35"/>
      <c r="S1206" s="35"/>
      <c r="T1206" s="35"/>
      <c r="U1206" s="35"/>
      <c r="V1206" s="121"/>
      <c r="W1206" s="42"/>
      <c r="X1206" s="42"/>
      <c r="Y1206" s="42"/>
      <c r="Z1206" s="42"/>
      <c r="AA1206" s="42"/>
      <c r="AB1206" s="42"/>
      <c r="AC1206" s="42"/>
      <c r="AD1206" s="42"/>
      <c r="AE1206" s="42"/>
      <c r="AF1206" s="42"/>
      <c r="AG1206" s="42"/>
      <c r="AH1206" s="42"/>
      <c r="AI1206" s="42"/>
      <c r="AJ1206" s="42"/>
      <c r="AK1206" s="42"/>
      <c r="AL1206" s="42"/>
      <c r="AM1206" s="42"/>
    </row>
    <row r="1207" spans="1:39" x14ac:dyDescent="0.25">
      <c r="A1207" s="38" t="s">
        <v>1558</v>
      </c>
      <c r="B1207" s="42"/>
      <c r="C1207" s="42"/>
      <c r="D1207" s="42"/>
      <c r="E1207" s="41"/>
      <c r="F1207" s="41"/>
      <c r="G1207" s="41"/>
      <c r="H1207" s="41"/>
      <c r="I1207" s="41"/>
      <c r="J1207" s="42"/>
      <c r="K1207" s="41"/>
      <c r="L1207" s="41"/>
      <c r="M1207" s="127"/>
      <c r="N1207" s="41"/>
      <c r="O1207" s="41"/>
      <c r="P1207" s="41"/>
      <c r="Q1207" s="42"/>
      <c r="R1207" s="35"/>
      <c r="S1207" s="35"/>
      <c r="T1207" s="35"/>
      <c r="U1207" s="35"/>
      <c r="V1207" s="121"/>
      <c r="W1207" s="42"/>
      <c r="X1207" s="42"/>
      <c r="Y1207" s="42"/>
      <c r="Z1207" s="42"/>
      <c r="AA1207" s="42"/>
      <c r="AB1207" s="42"/>
      <c r="AC1207" s="42"/>
      <c r="AD1207" s="42"/>
      <c r="AE1207" s="42"/>
      <c r="AF1207" s="42"/>
      <c r="AG1207" s="42"/>
      <c r="AH1207" s="42"/>
      <c r="AI1207" s="42"/>
      <c r="AJ1207" s="42"/>
      <c r="AK1207" s="42"/>
      <c r="AL1207" s="42"/>
      <c r="AM1207" s="42"/>
    </row>
    <row r="1208" spans="1:39" x14ac:dyDescent="0.25">
      <c r="A1208" s="38" t="s">
        <v>1559</v>
      </c>
      <c r="B1208" s="42"/>
      <c r="C1208" s="42"/>
      <c r="D1208" s="42"/>
      <c r="E1208" s="41"/>
      <c r="F1208" s="41"/>
      <c r="G1208" s="41"/>
      <c r="H1208" s="41"/>
      <c r="I1208" s="41"/>
      <c r="J1208" s="42"/>
      <c r="K1208" s="41"/>
      <c r="L1208" s="41"/>
      <c r="M1208" s="127"/>
      <c r="N1208" s="41"/>
      <c r="O1208" s="41"/>
      <c r="P1208" s="41"/>
      <c r="Q1208" s="42"/>
      <c r="R1208" s="35"/>
      <c r="S1208" s="35"/>
      <c r="T1208" s="35"/>
      <c r="U1208" s="35"/>
      <c r="V1208" s="121"/>
      <c r="W1208" s="42"/>
      <c r="X1208" s="42"/>
      <c r="Y1208" s="42"/>
      <c r="Z1208" s="42"/>
      <c r="AA1208" s="42"/>
      <c r="AB1208" s="42"/>
      <c r="AC1208" s="42"/>
      <c r="AD1208" s="42"/>
      <c r="AE1208" s="42"/>
      <c r="AF1208" s="42"/>
      <c r="AG1208" s="42"/>
      <c r="AH1208" s="42"/>
      <c r="AI1208" s="42"/>
      <c r="AJ1208" s="42"/>
      <c r="AK1208" s="42"/>
      <c r="AL1208" s="42"/>
      <c r="AM1208" s="42"/>
    </row>
    <row r="1209" spans="1:39" x14ac:dyDescent="0.25">
      <c r="A1209" s="38" t="s">
        <v>1560</v>
      </c>
      <c r="B1209" s="42"/>
      <c r="C1209" s="42"/>
      <c r="D1209" s="42"/>
      <c r="E1209" s="41"/>
      <c r="F1209" s="41"/>
      <c r="G1209" s="41"/>
      <c r="H1209" s="41"/>
      <c r="I1209" s="41"/>
      <c r="J1209" s="42"/>
      <c r="K1209" s="41"/>
      <c r="L1209" s="41"/>
      <c r="M1209" s="127"/>
      <c r="N1209" s="41"/>
      <c r="O1209" s="41"/>
      <c r="P1209" s="41"/>
      <c r="Q1209" s="42"/>
      <c r="R1209" s="35"/>
      <c r="S1209" s="35"/>
      <c r="T1209" s="35"/>
      <c r="U1209" s="35"/>
      <c r="V1209" s="121"/>
      <c r="W1209" s="42"/>
      <c r="X1209" s="42"/>
      <c r="Y1209" s="42"/>
      <c r="Z1209" s="42"/>
      <c r="AA1209" s="42"/>
      <c r="AB1209" s="42"/>
      <c r="AC1209" s="42"/>
      <c r="AD1209" s="42"/>
      <c r="AE1209" s="42"/>
      <c r="AF1209" s="42"/>
      <c r="AG1209" s="42"/>
      <c r="AH1209" s="42"/>
      <c r="AI1209" s="42"/>
      <c r="AJ1209" s="42"/>
      <c r="AK1209" s="42"/>
      <c r="AL1209" s="42"/>
      <c r="AM1209" s="42"/>
    </row>
    <row r="1210" spans="1:39" x14ac:dyDescent="0.25">
      <c r="A1210" s="38" t="s">
        <v>1561</v>
      </c>
      <c r="B1210" s="42"/>
      <c r="C1210" s="42"/>
      <c r="D1210" s="42"/>
      <c r="E1210" s="41"/>
      <c r="F1210" s="41"/>
      <c r="G1210" s="41"/>
      <c r="H1210" s="41"/>
      <c r="I1210" s="41"/>
      <c r="J1210" s="42"/>
      <c r="K1210" s="41"/>
      <c r="L1210" s="41"/>
      <c r="M1210" s="127"/>
      <c r="N1210" s="41"/>
      <c r="O1210" s="41"/>
      <c r="P1210" s="41"/>
      <c r="Q1210" s="42"/>
      <c r="R1210" s="35"/>
      <c r="S1210" s="35"/>
      <c r="T1210" s="35"/>
      <c r="U1210" s="35"/>
      <c r="V1210" s="121"/>
      <c r="W1210" s="42"/>
      <c r="X1210" s="42"/>
      <c r="Y1210" s="42"/>
      <c r="Z1210" s="42"/>
      <c r="AA1210" s="42"/>
      <c r="AB1210" s="42"/>
      <c r="AC1210" s="42"/>
      <c r="AD1210" s="42"/>
      <c r="AE1210" s="42"/>
      <c r="AF1210" s="42"/>
      <c r="AG1210" s="42"/>
      <c r="AH1210" s="42"/>
      <c r="AI1210" s="42"/>
      <c r="AJ1210" s="42"/>
      <c r="AK1210" s="42"/>
      <c r="AL1210" s="42"/>
      <c r="AM1210" s="42"/>
    </row>
    <row r="1211" spans="1:39" x14ac:dyDescent="0.25">
      <c r="A1211" s="38" t="s">
        <v>1562</v>
      </c>
      <c r="B1211" s="42"/>
      <c r="C1211" s="42"/>
      <c r="D1211" s="42"/>
      <c r="E1211" s="41"/>
      <c r="F1211" s="41"/>
      <c r="G1211" s="41"/>
      <c r="H1211" s="41"/>
      <c r="I1211" s="41"/>
      <c r="J1211" s="42"/>
      <c r="K1211" s="41"/>
      <c r="L1211" s="41"/>
      <c r="M1211" s="127"/>
      <c r="N1211" s="41"/>
      <c r="O1211" s="41"/>
      <c r="P1211" s="41"/>
      <c r="Q1211" s="42"/>
      <c r="R1211" s="35"/>
      <c r="S1211" s="35"/>
      <c r="T1211" s="35"/>
      <c r="U1211" s="35"/>
      <c r="V1211" s="121"/>
      <c r="W1211" s="42"/>
      <c r="X1211" s="42"/>
      <c r="Y1211" s="42"/>
      <c r="Z1211" s="42"/>
      <c r="AA1211" s="42"/>
      <c r="AB1211" s="42"/>
      <c r="AC1211" s="42"/>
      <c r="AD1211" s="42"/>
      <c r="AE1211" s="42"/>
      <c r="AF1211" s="42"/>
      <c r="AG1211" s="42"/>
      <c r="AH1211" s="42"/>
      <c r="AI1211" s="42"/>
      <c r="AJ1211" s="42"/>
      <c r="AK1211" s="42"/>
      <c r="AL1211" s="42"/>
      <c r="AM1211" s="42"/>
    </row>
    <row r="1212" spans="1:39" x14ac:dyDescent="0.25">
      <c r="A1212" s="38" t="s">
        <v>1563</v>
      </c>
      <c r="B1212" s="42"/>
      <c r="C1212" s="42"/>
      <c r="D1212" s="42"/>
      <c r="E1212" s="41"/>
      <c r="F1212" s="41"/>
      <c r="G1212" s="41"/>
      <c r="H1212" s="41"/>
      <c r="I1212" s="41"/>
      <c r="J1212" s="42"/>
      <c r="K1212" s="41"/>
      <c r="L1212" s="41"/>
      <c r="M1212" s="127"/>
      <c r="N1212" s="41"/>
      <c r="O1212" s="41"/>
      <c r="P1212" s="41"/>
      <c r="Q1212" s="42"/>
      <c r="R1212" s="35"/>
      <c r="S1212" s="35"/>
      <c r="T1212" s="35"/>
      <c r="U1212" s="35"/>
      <c r="V1212" s="121"/>
      <c r="W1212" s="42"/>
      <c r="X1212" s="42"/>
      <c r="Y1212" s="42"/>
      <c r="Z1212" s="42"/>
      <c r="AA1212" s="42"/>
      <c r="AB1212" s="42"/>
      <c r="AC1212" s="42"/>
      <c r="AD1212" s="42"/>
      <c r="AE1212" s="42"/>
      <c r="AF1212" s="42"/>
      <c r="AG1212" s="42"/>
      <c r="AH1212" s="42"/>
      <c r="AI1212" s="42"/>
      <c r="AJ1212" s="42"/>
      <c r="AK1212" s="42"/>
      <c r="AL1212" s="42"/>
      <c r="AM1212" s="42"/>
    </row>
    <row r="1213" spans="1:39" x14ac:dyDescent="0.25">
      <c r="A1213" s="38" t="s">
        <v>1564</v>
      </c>
      <c r="B1213" s="42"/>
      <c r="C1213" s="42"/>
      <c r="D1213" s="42"/>
      <c r="E1213" s="41"/>
      <c r="F1213" s="41"/>
      <c r="G1213" s="41"/>
      <c r="H1213" s="41"/>
      <c r="I1213" s="41"/>
      <c r="J1213" s="42"/>
      <c r="K1213" s="41"/>
      <c r="L1213" s="41"/>
      <c r="M1213" s="127"/>
      <c r="N1213" s="41"/>
      <c r="O1213" s="41"/>
      <c r="P1213" s="41"/>
      <c r="Q1213" s="42"/>
      <c r="R1213" s="35"/>
      <c r="S1213" s="35"/>
      <c r="T1213" s="35"/>
      <c r="U1213" s="35"/>
      <c r="V1213" s="121"/>
      <c r="W1213" s="42"/>
      <c r="X1213" s="42"/>
      <c r="Y1213" s="42"/>
      <c r="Z1213" s="42"/>
      <c r="AA1213" s="42"/>
      <c r="AB1213" s="42"/>
      <c r="AC1213" s="42"/>
      <c r="AD1213" s="42"/>
      <c r="AE1213" s="42"/>
      <c r="AF1213" s="42"/>
      <c r="AG1213" s="42"/>
      <c r="AH1213" s="42"/>
      <c r="AI1213" s="42"/>
      <c r="AJ1213" s="42"/>
      <c r="AK1213" s="42"/>
      <c r="AL1213" s="42"/>
      <c r="AM1213" s="42"/>
    </row>
    <row r="1214" spans="1:39" x14ac:dyDescent="0.25">
      <c r="A1214" s="38" t="s">
        <v>1565</v>
      </c>
      <c r="B1214" s="42"/>
      <c r="C1214" s="42"/>
      <c r="D1214" s="42"/>
      <c r="E1214" s="41"/>
      <c r="F1214" s="41"/>
      <c r="G1214" s="41"/>
      <c r="H1214" s="41"/>
      <c r="I1214" s="41"/>
      <c r="J1214" s="42"/>
      <c r="K1214" s="41"/>
      <c r="L1214" s="41"/>
      <c r="M1214" s="127"/>
      <c r="N1214" s="41"/>
      <c r="O1214" s="41"/>
      <c r="P1214" s="41"/>
      <c r="Q1214" s="42"/>
      <c r="R1214" s="35"/>
      <c r="S1214" s="35"/>
      <c r="T1214" s="35"/>
      <c r="U1214" s="35"/>
      <c r="V1214" s="121"/>
      <c r="W1214" s="42"/>
      <c r="X1214" s="42"/>
      <c r="Y1214" s="42"/>
      <c r="Z1214" s="42"/>
      <c r="AA1214" s="42"/>
      <c r="AB1214" s="42"/>
      <c r="AC1214" s="42"/>
      <c r="AD1214" s="42"/>
      <c r="AE1214" s="42"/>
      <c r="AF1214" s="42"/>
      <c r="AG1214" s="42"/>
      <c r="AH1214" s="42"/>
      <c r="AI1214" s="42"/>
      <c r="AJ1214" s="42"/>
      <c r="AK1214" s="42"/>
      <c r="AL1214" s="42"/>
      <c r="AM1214" s="42"/>
    </row>
    <row r="1215" spans="1:39" x14ac:dyDescent="0.25">
      <c r="A1215" s="38" t="s">
        <v>1566</v>
      </c>
      <c r="B1215" s="42"/>
      <c r="C1215" s="42"/>
      <c r="D1215" s="42"/>
      <c r="E1215" s="41"/>
      <c r="F1215" s="41"/>
      <c r="G1215" s="41"/>
      <c r="H1215" s="41"/>
      <c r="I1215" s="41"/>
      <c r="J1215" s="42"/>
      <c r="K1215" s="41"/>
      <c r="L1215" s="41"/>
      <c r="M1215" s="127"/>
      <c r="N1215" s="41"/>
      <c r="O1215" s="41"/>
      <c r="P1215" s="41"/>
      <c r="Q1215" s="42"/>
      <c r="R1215" s="35"/>
      <c r="S1215" s="35"/>
      <c r="T1215" s="35"/>
      <c r="U1215" s="35"/>
      <c r="V1215" s="121"/>
      <c r="W1215" s="42"/>
      <c r="X1215" s="42"/>
      <c r="Y1215" s="42"/>
      <c r="Z1215" s="42"/>
      <c r="AA1215" s="42"/>
      <c r="AB1215" s="42"/>
      <c r="AC1215" s="42"/>
      <c r="AD1215" s="42"/>
      <c r="AE1215" s="42"/>
      <c r="AF1215" s="42"/>
      <c r="AG1215" s="42"/>
      <c r="AH1215" s="42"/>
      <c r="AI1215" s="42"/>
      <c r="AJ1215" s="42"/>
      <c r="AK1215" s="42"/>
      <c r="AL1215" s="42"/>
      <c r="AM1215" s="42"/>
    </row>
    <row r="1216" spans="1:39" x14ac:dyDescent="0.25">
      <c r="A1216" s="38" t="s">
        <v>1567</v>
      </c>
      <c r="B1216" s="42"/>
      <c r="C1216" s="42"/>
      <c r="D1216" s="42"/>
      <c r="E1216" s="41"/>
      <c r="F1216" s="41"/>
      <c r="G1216" s="41"/>
      <c r="H1216" s="41"/>
      <c r="I1216" s="41"/>
      <c r="J1216" s="42"/>
      <c r="K1216" s="41"/>
      <c r="L1216" s="41"/>
      <c r="M1216" s="127"/>
      <c r="N1216" s="41"/>
      <c r="O1216" s="41"/>
      <c r="P1216" s="41"/>
      <c r="Q1216" s="42"/>
      <c r="R1216" s="35"/>
      <c r="S1216" s="35"/>
      <c r="T1216" s="35"/>
      <c r="U1216" s="35"/>
      <c r="V1216" s="121"/>
      <c r="W1216" s="42"/>
      <c r="X1216" s="42"/>
      <c r="Y1216" s="42"/>
      <c r="Z1216" s="42"/>
      <c r="AA1216" s="42"/>
      <c r="AB1216" s="42"/>
      <c r="AC1216" s="42"/>
      <c r="AD1216" s="42"/>
      <c r="AE1216" s="42"/>
      <c r="AF1216" s="42"/>
      <c r="AG1216" s="42"/>
      <c r="AH1216" s="42"/>
      <c r="AI1216" s="42"/>
      <c r="AJ1216" s="42"/>
      <c r="AK1216" s="42"/>
      <c r="AL1216" s="42"/>
      <c r="AM1216" s="42"/>
    </row>
    <row r="1217" spans="1:39" x14ac:dyDescent="0.25">
      <c r="A1217" s="38" t="s">
        <v>1568</v>
      </c>
      <c r="B1217" s="42"/>
      <c r="C1217" s="42"/>
      <c r="D1217" s="42"/>
      <c r="E1217" s="41"/>
      <c r="F1217" s="41"/>
      <c r="G1217" s="41"/>
      <c r="H1217" s="41"/>
      <c r="I1217" s="41"/>
      <c r="J1217" s="42"/>
      <c r="K1217" s="41"/>
      <c r="L1217" s="41"/>
      <c r="M1217" s="127"/>
      <c r="N1217" s="41"/>
      <c r="O1217" s="41"/>
      <c r="P1217" s="41"/>
      <c r="Q1217" s="42"/>
      <c r="R1217" s="35"/>
      <c r="S1217" s="35"/>
      <c r="T1217" s="35"/>
      <c r="U1217" s="35"/>
      <c r="V1217" s="121"/>
      <c r="W1217" s="42"/>
      <c r="X1217" s="42"/>
      <c r="Y1217" s="42"/>
      <c r="Z1217" s="42"/>
      <c r="AA1217" s="42"/>
      <c r="AB1217" s="42"/>
      <c r="AC1217" s="42"/>
      <c r="AD1217" s="42"/>
      <c r="AE1217" s="42"/>
      <c r="AF1217" s="42"/>
      <c r="AG1217" s="42"/>
      <c r="AH1217" s="42"/>
      <c r="AI1217" s="42"/>
      <c r="AJ1217" s="42"/>
      <c r="AK1217" s="42"/>
      <c r="AL1217" s="42"/>
      <c r="AM1217" s="42"/>
    </row>
    <row r="1218" spans="1:39" x14ac:dyDescent="0.25">
      <c r="A1218" s="38" t="s">
        <v>1569</v>
      </c>
      <c r="B1218" s="42"/>
      <c r="C1218" s="42"/>
      <c r="D1218" s="42"/>
      <c r="E1218" s="41"/>
      <c r="F1218" s="41"/>
      <c r="G1218" s="41"/>
      <c r="H1218" s="41"/>
      <c r="I1218" s="41"/>
      <c r="J1218" s="42"/>
      <c r="K1218" s="41"/>
      <c r="L1218" s="41"/>
      <c r="M1218" s="127"/>
      <c r="N1218" s="41"/>
      <c r="O1218" s="41"/>
      <c r="P1218" s="41"/>
      <c r="Q1218" s="42"/>
      <c r="R1218" s="35"/>
      <c r="S1218" s="35"/>
      <c r="T1218" s="35"/>
      <c r="U1218" s="35"/>
      <c r="V1218" s="121"/>
      <c r="W1218" s="42"/>
      <c r="X1218" s="42"/>
      <c r="Y1218" s="42"/>
      <c r="Z1218" s="42"/>
      <c r="AA1218" s="42"/>
      <c r="AB1218" s="42"/>
      <c r="AC1218" s="42"/>
      <c r="AD1218" s="42"/>
      <c r="AE1218" s="42"/>
      <c r="AF1218" s="42"/>
      <c r="AG1218" s="42"/>
      <c r="AH1218" s="42"/>
      <c r="AI1218" s="42"/>
      <c r="AJ1218" s="42"/>
      <c r="AK1218" s="42"/>
      <c r="AL1218" s="42"/>
      <c r="AM1218" s="42"/>
    </row>
    <row r="1219" spans="1:39" x14ac:dyDescent="0.25">
      <c r="A1219" s="38" t="s">
        <v>1570</v>
      </c>
      <c r="B1219" s="42"/>
      <c r="C1219" s="42"/>
      <c r="D1219" s="42"/>
      <c r="E1219" s="41"/>
      <c r="F1219" s="41"/>
      <c r="G1219" s="41"/>
      <c r="H1219" s="41"/>
      <c r="I1219" s="41"/>
      <c r="J1219" s="42"/>
      <c r="K1219" s="41"/>
      <c r="L1219" s="41"/>
      <c r="M1219" s="127"/>
      <c r="N1219" s="41"/>
      <c r="O1219" s="41"/>
      <c r="P1219" s="41"/>
      <c r="Q1219" s="42"/>
      <c r="R1219" s="35"/>
      <c r="S1219" s="35"/>
      <c r="T1219" s="35"/>
      <c r="U1219" s="35"/>
      <c r="V1219" s="121"/>
      <c r="W1219" s="42"/>
      <c r="X1219" s="42"/>
      <c r="Y1219" s="42"/>
      <c r="Z1219" s="42"/>
      <c r="AA1219" s="42"/>
      <c r="AB1219" s="42"/>
      <c r="AC1219" s="42"/>
      <c r="AD1219" s="42"/>
      <c r="AE1219" s="42"/>
      <c r="AF1219" s="42"/>
      <c r="AG1219" s="42"/>
      <c r="AH1219" s="42"/>
      <c r="AI1219" s="42"/>
      <c r="AJ1219" s="42"/>
      <c r="AK1219" s="42"/>
      <c r="AL1219" s="42"/>
      <c r="AM1219" s="42"/>
    </row>
    <row r="1220" spans="1:39" x14ac:dyDescent="0.25">
      <c r="A1220" s="38" t="s">
        <v>1571</v>
      </c>
      <c r="B1220" s="42"/>
      <c r="C1220" s="42"/>
      <c r="D1220" s="42"/>
      <c r="E1220" s="41"/>
      <c r="F1220" s="41"/>
      <c r="G1220" s="41"/>
      <c r="H1220" s="41"/>
      <c r="I1220" s="41"/>
      <c r="J1220" s="42"/>
      <c r="K1220" s="41"/>
      <c r="L1220" s="41"/>
      <c r="M1220" s="127"/>
      <c r="N1220" s="41"/>
      <c r="O1220" s="41"/>
      <c r="P1220" s="41"/>
      <c r="Q1220" s="42"/>
      <c r="R1220" s="35"/>
      <c r="S1220" s="35"/>
      <c r="T1220" s="35"/>
      <c r="U1220" s="35"/>
      <c r="V1220" s="121"/>
      <c r="W1220" s="42"/>
      <c r="X1220" s="42"/>
      <c r="Y1220" s="42"/>
      <c r="Z1220" s="42"/>
      <c r="AA1220" s="42"/>
      <c r="AB1220" s="42"/>
      <c r="AC1220" s="42"/>
      <c r="AD1220" s="42"/>
      <c r="AE1220" s="42"/>
      <c r="AF1220" s="42"/>
      <c r="AG1220" s="42"/>
      <c r="AH1220" s="42"/>
      <c r="AI1220" s="42"/>
      <c r="AJ1220" s="42"/>
      <c r="AK1220" s="42"/>
      <c r="AL1220" s="42"/>
      <c r="AM1220" s="42"/>
    </row>
    <row r="1221" spans="1:39" x14ac:dyDescent="0.25">
      <c r="A1221" s="38" t="s">
        <v>1572</v>
      </c>
      <c r="B1221" s="42"/>
      <c r="C1221" s="42"/>
      <c r="D1221" s="42"/>
      <c r="E1221" s="41"/>
      <c r="F1221" s="41"/>
      <c r="G1221" s="41"/>
      <c r="H1221" s="41"/>
      <c r="I1221" s="41"/>
      <c r="J1221" s="42"/>
      <c r="K1221" s="41"/>
      <c r="L1221" s="41"/>
      <c r="M1221" s="127"/>
      <c r="N1221" s="41"/>
      <c r="O1221" s="41"/>
      <c r="P1221" s="41"/>
      <c r="Q1221" s="42"/>
      <c r="R1221" s="35"/>
      <c r="S1221" s="35"/>
      <c r="T1221" s="35"/>
      <c r="U1221" s="35"/>
      <c r="V1221" s="121"/>
      <c r="W1221" s="42"/>
      <c r="X1221" s="42"/>
      <c r="Y1221" s="42"/>
      <c r="Z1221" s="42"/>
      <c r="AA1221" s="42"/>
      <c r="AB1221" s="42"/>
      <c r="AC1221" s="42"/>
      <c r="AD1221" s="42"/>
      <c r="AE1221" s="42"/>
      <c r="AF1221" s="42"/>
      <c r="AG1221" s="42"/>
      <c r="AH1221" s="42"/>
      <c r="AI1221" s="42"/>
      <c r="AJ1221" s="42"/>
      <c r="AK1221" s="42"/>
      <c r="AL1221" s="42"/>
      <c r="AM1221" s="42"/>
    </row>
    <row r="1222" spans="1:39" x14ac:dyDescent="0.25">
      <c r="A1222" s="38" t="s">
        <v>1573</v>
      </c>
      <c r="B1222" s="42"/>
      <c r="C1222" s="42"/>
      <c r="D1222" s="42"/>
      <c r="E1222" s="41"/>
      <c r="F1222" s="41"/>
      <c r="G1222" s="41"/>
      <c r="H1222" s="41"/>
      <c r="I1222" s="41"/>
      <c r="J1222" s="42"/>
      <c r="K1222" s="41"/>
      <c r="L1222" s="41"/>
      <c r="M1222" s="127"/>
      <c r="N1222" s="41"/>
      <c r="O1222" s="41"/>
      <c r="P1222" s="41"/>
      <c r="Q1222" s="42"/>
      <c r="R1222" s="35"/>
      <c r="S1222" s="35"/>
      <c r="T1222" s="35"/>
      <c r="U1222" s="35"/>
      <c r="V1222" s="121"/>
      <c r="W1222" s="42"/>
      <c r="X1222" s="42"/>
      <c r="Y1222" s="42"/>
      <c r="Z1222" s="42"/>
      <c r="AA1222" s="42"/>
      <c r="AB1222" s="42"/>
      <c r="AC1222" s="42"/>
      <c r="AD1222" s="42"/>
      <c r="AE1222" s="42"/>
      <c r="AF1222" s="42"/>
      <c r="AG1222" s="42"/>
      <c r="AH1222" s="42"/>
      <c r="AI1222" s="42"/>
      <c r="AJ1222" s="42"/>
      <c r="AK1222" s="42"/>
      <c r="AL1222" s="42"/>
      <c r="AM1222" s="42"/>
    </row>
    <row r="1223" spans="1:39" x14ac:dyDescent="0.25">
      <c r="A1223" s="38" t="s">
        <v>1574</v>
      </c>
      <c r="B1223" s="42"/>
      <c r="C1223" s="42"/>
      <c r="D1223" s="42"/>
      <c r="E1223" s="41"/>
      <c r="F1223" s="41"/>
      <c r="G1223" s="41"/>
      <c r="H1223" s="41"/>
      <c r="I1223" s="41"/>
      <c r="J1223" s="42"/>
      <c r="K1223" s="41"/>
      <c r="L1223" s="41"/>
      <c r="M1223" s="127"/>
      <c r="N1223" s="41"/>
      <c r="O1223" s="41"/>
      <c r="P1223" s="41"/>
      <c r="Q1223" s="42"/>
      <c r="R1223" s="35"/>
      <c r="S1223" s="35"/>
      <c r="T1223" s="35"/>
      <c r="U1223" s="35"/>
      <c r="V1223" s="121"/>
      <c r="W1223" s="42"/>
      <c r="X1223" s="42"/>
      <c r="Y1223" s="42"/>
      <c r="Z1223" s="42"/>
      <c r="AA1223" s="42"/>
      <c r="AB1223" s="42"/>
      <c r="AC1223" s="42"/>
      <c r="AD1223" s="42"/>
      <c r="AE1223" s="42"/>
      <c r="AF1223" s="42"/>
      <c r="AG1223" s="42"/>
      <c r="AH1223" s="42"/>
      <c r="AI1223" s="42"/>
      <c r="AJ1223" s="42"/>
      <c r="AK1223" s="42"/>
      <c r="AL1223" s="42"/>
      <c r="AM1223" s="42"/>
    </row>
    <row r="1224" spans="1:39" x14ac:dyDescent="0.25">
      <c r="A1224" s="38" t="s">
        <v>1575</v>
      </c>
      <c r="B1224" s="42"/>
      <c r="C1224" s="42"/>
      <c r="D1224" s="42"/>
      <c r="E1224" s="41"/>
      <c r="F1224" s="41"/>
      <c r="G1224" s="41"/>
      <c r="H1224" s="41"/>
      <c r="I1224" s="41"/>
      <c r="J1224" s="42"/>
      <c r="K1224" s="41"/>
      <c r="L1224" s="41"/>
      <c r="M1224" s="127"/>
      <c r="N1224" s="41"/>
      <c r="O1224" s="41"/>
      <c r="P1224" s="41"/>
      <c r="Q1224" s="42"/>
      <c r="R1224" s="35"/>
      <c r="S1224" s="35"/>
      <c r="T1224" s="35"/>
      <c r="U1224" s="35"/>
      <c r="V1224" s="121"/>
      <c r="W1224" s="42"/>
      <c r="X1224" s="42"/>
      <c r="Y1224" s="42"/>
      <c r="Z1224" s="42"/>
      <c r="AA1224" s="42"/>
      <c r="AB1224" s="42"/>
      <c r="AC1224" s="42"/>
      <c r="AD1224" s="42"/>
      <c r="AE1224" s="42"/>
      <c r="AF1224" s="42"/>
      <c r="AG1224" s="42"/>
      <c r="AH1224" s="42"/>
      <c r="AI1224" s="42"/>
      <c r="AJ1224" s="42"/>
      <c r="AK1224" s="42"/>
      <c r="AL1224" s="42"/>
      <c r="AM1224" s="42"/>
    </row>
    <row r="1225" spans="1:39" x14ac:dyDescent="0.25">
      <c r="A1225" s="38" t="s">
        <v>1576</v>
      </c>
      <c r="B1225" s="42"/>
      <c r="C1225" s="42"/>
      <c r="D1225" s="42"/>
      <c r="E1225" s="41"/>
      <c r="F1225" s="41"/>
      <c r="G1225" s="41"/>
      <c r="H1225" s="41"/>
      <c r="I1225" s="41"/>
      <c r="J1225" s="42"/>
      <c r="K1225" s="41"/>
      <c r="L1225" s="41"/>
      <c r="M1225" s="127"/>
      <c r="N1225" s="41"/>
      <c r="O1225" s="41"/>
      <c r="P1225" s="41"/>
      <c r="Q1225" s="42"/>
      <c r="R1225" s="35"/>
      <c r="S1225" s="35"/>
      <c r="T1225" s="35"/>
      <c r="U1225" s="35"/>
      <c r="V1225" s="121"/>
      <c r="W1225" s="42"/>
      <c r="X1225" s="42"/>
      <c r="Y1225" s="42"/>
      <c r="Z1225" s="42"/>
      <c r="AA1225" s="42"/>
      <c r="AB1225" s="42"/>
      <c r="AC1225" s="42"/>
      <c r="AD1225" s="42"/>
      <c r="AE1225" s="42"/>
      <c r="AF1225" s="42"/>
      <c r="AG1225" s="42"/>
      <c r="AH1225" s="42"/>
      <c r="AI1225" s="42"/>
      <c r="AJ1225" s="42"/>
      <c r="AK1225" s="42"/>
      <c r="AL1225" s="42"/>
      <c r="AM1225" s="42"/>
    </row>
    <row r="1226" spans="1:39" x14ac:dyDescent="0.25">
      <c r="A1226" s="38" t="s">
        <v>1577</v>
      </c>
      <c r="B1226" s="42"/>
      <c r="C1226" s="42"/>
      <c r="D1226" s="42"/>
      <c r="E1226" s="41"/>
      <c r="F1226" s="41"/>
      <c r="G1226" s="41"/>
      <c r="H1226" s="41"/>
      <c r="I1226" s="41"/>
      <c r="J1226" s="42"/>
      <c r="K1226" s="41"/>
      <c r="L1226" s="41"/>
      <c r="M1226" s="127"/>
      <c r="N1226" s="41"/>
      <c r="O1226" s="41"/>
      <c r="P1226" s="41"/>
      <c r="Q1226" s="42"/>
      <c r="R1226" s="35"/>
      <c r="S1226" s="35"/>
      <c r="T1226" s="35"/>
      <c r="U1226" s="35"/>
      <c r="V1226" s="121"/>
      <c r="W1226" s="42"/>
      <c r="X1226" s="42"/>
      <c r="Y1226" s="42"/>
      <c r="Z1226" s="42"/>
      <c r="AA1226" s="42"/>
      <c r="AB1226" s="42"/>
      <c r="AC1226" s="42"/>
      <c r="AD1226" s="42"/>
      <c r="AE1226" s="42"/>
      <c r="AF1226" s="42"/>
      <c r="AG1226" s="42"/>
      <c r="AH1226" s="42"/>
      <c r="AI1226" s="42"/>
      <c r="AJ1226" s="42"/>
      <c r="AK1226" s="42"/>
      <c r="AL1226" s="42"/>
      <c r="AM1226" s="42"/>
    </row>
    <row r="1227" spans="1:39" x14ac:dyDescent="0.25">
      <c r="A1227" s="38" t="s">
        <v>1578</v>
      </c>
      <c r="B1227" s="42"/>
      <c r="C1227" s="42"/>
      <c r="D1227" s="42"/>
      <c r="E1227" s="41"/>
      <c r="F1227" s="41"/>
      <c r="G1227" s="41"/>
      <c r="H1227" s="41"/>
      <c r="I1227" s="41"/>
      <c r="J1227" s="42"/>
      <c r="K1227" s="41"/>
      <c r="L1227" s="41"/>
      <c r="M1227" s="127"/>
      <c r="N1227" s="41"/>
      <c r="O1227" s="41"/>
      <c r="P1227" s="41"/>
      <c r="Q1227" s="42"/>
      <c r="R1227" s="35"/>
      <c r="S1227" s="35"/>
      <c r="T1227" s="35"/>
      <c r="U1227" s="35"/>
      <c r="V1227" s="121"/>
      <c r="W1227" s="42"/>
      <c r="X1227" s="42"/>
      <c r="Y1227" s="42"/>
      <c r="Z1227" s="42"/>
      <c r="AA1227" s="42"/>
      <c r="AB1227" s="42"/>
      <c r="AC1227" s="42"/>
      <c r="AD1227" s="42"/>
      <c r="AE1227" s="42"/>
      <c r="AF1227" s="42"/>
      <c r="AG1227" s="42"/>
      <c r="AH1227" s="42"/>
      <c r="AI1227" s="42"/>
      <c r="AJ1227" s="42"/>
      <c r="AK1227" s="42"/>
      <c r="AL1227" s="42"/>
      <c r="AM1227" s="42"/>
    </row>
    <row r="1228" spans="1:39" x14ac:dyDescent="0.25">
      <c r="A1228" s="38" t="s">
        <v>1579</v>
      </c>
      <c r="B1228" s="42"/>
      <c r="C1228" s="42"/>
      <c r="D1228" s="42"/>
      <c r="E1228" s="41"/>
      <c r="F1228" s="41"/>
      <c r="G1228" s="41"/>
      <c r="H1228" s="41"/>
      <c r="I1228" s="41"/>
      <c r="J1228" s="42"/>
      <c r="K1228" s="41"/>
      <c r="L1228" s="41"/>
      <c r="M1228" s="127"/>
      <c r="N1228" s="41"/>
      <c r="O1228" s="41"/>
      <c r="P1228" s="41"/>
      <c r="Q1228" s="42"/>
      <c r="R1228" s="35"/>
      <c r="S1228" s="35"/>
      <c r="T1228" s="35"/>
      <c r="U1228" s="35"/>
      <c r="V1228" s="121"/>
      <c r="W1228" s="42"/>
      <c r="X1228" s="42"/>
      <c r="Y1228" s="42"/>
      <c r="Z1228" s="42"/>
      <c r="AA1228" s="42"/>
      <c r="AB1228" s="42"/>
      <c r="AC1228" s="42"/>
      <c r="AD1228" s="42"/>
      <c r="AE1228" s="42"/>
      <c r="AF1228" s="42"/>
      <c r="AG1228" s="42"/>
      <c r="AH1228" s="42"/>
      <c r="AI1228" s="42"/>
      <c r="AJ1228" s="42"/>
      <c r="AK1228" s="42"/>
      <c r="AL1228" s="42"/>
      <c r="AM1228" s="42"/>
    </row>
    <row r="1229" spans="1:39" x14ac:dyDescent="0.25">
      <c r="A1229" s="38" t="s">
        <v>1580</v>
      </c>
      <c r="B1229" s="42"/>
      <c r="C1229" s="42"/>
      <c r="D1229" s="42"/>
      <c r="E1229" s="41"/>
      <c r="F1229" s="41"/>
      <c r="G1229" s="41"/>
      <c r="H1229" s="41"/>
      <c r="I1229" s="41"/>
      <c r="J1229" s="42"/>
      <c r="K1229" s="41"/>
      <c r="L1229" s="41"/>
      <c r="M1229" s="127"/>
      <c r="N1229" s="41"/>
      <c r="O1229" s="41"/>
      <c r="P1229" s="41"/>
      <c r="Q1229" s="42"/>
      <c r="R1229" s="35"/>
      <c r="S1229" s="35"/>
      <c r="T1229" s="35"/>
      <c r="U1229" s="35"/>
      <c r="V1229" s="121"/>
      <c r="W1229" s="42"/>
      <c r="X1229" s="42"/>
      <c r="Y1229" s="42"/>
      <c r="Z1229" s="42"/>
      <c r="AA1229" s="42"/>
      <c r="AB1229" s="42"/>
      <c r="AC1229" s="42"/>
      <c r="AD1229" s="42"/>
      <c r="AE1229" s="42"/>
      <c r="AF1229" s="42"/>
      <c r="AG1229" s="42"/>
      <c r="AH1229" s="42"/>
      <c r="AI1229" s="42"/>
      <c r="AJ1229" s="42"/>
      <c r="AK1229" s="42"/>
      <c r="AL1229" s="42"/>
      <c r="AM1229" s="42"/>
    </row>
    <row r="1230" spans="1:39" x14ac:dyDescent="0.25">
      <c r="A1230" s="38" t="s">
        <v>1581</v>
      </c>
      <c r="B1230" s="42"/>
      <c r="C1230" s="42"/>
      <c r="D1230" s="42"/>
      <c r="E1230" s="41"/>
      <c r="F1230" s="41"/>
      <c r="G1230" s="41"/>
      <c r="H1230" s="41"/>
      <c r="I1230" s="41"/>
      <c r="J1230" s="42"/>
      <c r="K1230" s="41"/>
      <c r="L1230" s="41"/>
      <c r="M1230" s="127"/>
      <c r="N1230" s="41"/>
      <c r="O1230" s="41"/>
      <c r="P1230" s="41"/>
      <c r="Q1230" s="42"/>
      <c r="R1230" s="35"/>
      <c r="S1230" s="35"/>
      <c r="T1230" s="35"/>
      <c r="U1230" s="35"/>
      <c r="V1230" s="121"/>
      <c r="W1230" s="42"/>
      <c r="X1230" s="42"/>
      <c r="Y1230" s="42"/>
      <c r="Z1230" s="42"/>
      <c r="AA1230" s="42"/>
      <c r="AB1230" s="42"/>
      <c r="AC1230" s="42"/>
      <c r="AD1230" s="42"/>
      <c r="AE1230" s="42"/>
      <c r="AF1230" s="42"/>
      <c r="AG1230" s="42"/>
      <c r="AH1230" s="42"/>
      <c r="AI1230" s="42"/>
      <c r="AJ1230" s="42"/>
      <c r="AK1230" s="42"/>
      <c r="AL1230" s="42"/>
      <c r="AM1230" s="42"/>
    </row>
    <row r="1231" spans="1:39" x14ac:dyDescent="0.25">
      <c r="A1231" s="38" t="s">
        <v>1582</v>
      </c>
      <c r="B1231" s="42"/>
      <c r="C1231" s="42"/>
      <c r="D1231" s="42"/>
      <c r="E1231" s="41"/>
      <c r="F1231" s="41"/>
      <c r="G1231" s="41"/>
      <c r="H1231" s="41"/>
      <c r="I1231" s="41"/>
      <c r="J1231" s="42"/>
      <c r="K1231" s="41"/>
      <c r="L1231" s="41"/>
      <c r="M1231" s="127"/>
      <c r="N1231" s="41"/>
      <c r="O1231" s="41"/>
      <c r="P1231" s="41"/>
      <c r="Q1231" s="42"/>
      <c r="R1231" s="35"/>
      <c r="S1231" s="35"/>
      <c r="T1231" s="35"/>
      <c r="U1231" s="35"/>
      <c r="V1231" s="121"/>
      <c r="W1231" s="42"/>
      <c r="X1231" s="42"/>
      <c r="Y1231" s="42"/>
      <c r="Z1231" s="42"/>
      <c r="AA1231" s="42"/>
      <c r="AB1231" s="42"/>
      <c r="AC1231" s="42"/>
      <c r="AD1231" s="42"/>
      <c r="AE1231" s="42"/>
      <c r="AF1231" s="42"/>
      <c r="AG1231" s="42"/>
      <c r="AH1231" s="42"/>
      <c r="AI1231" s="42"/>
      <c r="AJ1231" s="42"/>
      <c r="AK1231" s="42"/>
      <c r="AL1231" s="42"/>
      <c r="AM1231" s="42"/>
    </row>
    <row r="1232" spans="1:39" x14ac:dyDescent="0.25">
      <c r="A1232" s="38" t="s">
        <v>1583</v>
      </c>
      <c r="B1232" s="42"/>
      <c r="C1232" s="42"/>
      <c r="D1232" s="42"/>
      <c r="E1232" s="41"/>
      <c r="F1232" s="41"/>
      <c r="G1232" s="41"/>
      <c r="H1232" s="41"/>
      <c r="I1232" s="41"/>
      <c r="J1232" s="42"/>
      <c r="K1232" s="41"/>
      <c r="L1232" s="41"/>
      <c r="M1232" s="127"/>
      <c r="N1232" s="41"/>
      <c r="O1232" s="41"/>
      <c r="P1232" s="41"/>
      <c r="Q1232" s="42"/>
      <c r="R1232" s="35"/>
      <c r="S1232" s="35"/>
      <c r="T1232" s="35"/>
      <c r="U1232" s="35"/>
      <c r="V1232" s="121"/>
      <c r="W1232" s="42"/>
      <c r="X1232" s="42"/>
      <c r="Y1232" s="42"/>
      <c r="Z1232" s="42"/>
      <c r="AA1232" s="42"/>
      <c r="AB1232" s="42"/>
      <c r="AC1232" s="42"/>
      <c r="AD1232" s="42"/>
      <c r="AE1232" s="42"/>
      <c r="AF1232" s="42"/>
      <c r="AG1232" s="42"/>
      <c r="AH1232" s="42"/>
      <c r="AI1232" s="42"/>
      <c r="AJ1232" s="42"/>
      <c r="AK1232" s="42"/>
      <c r="AL1232" s="42"/>
      <c r="AM1232" s="42"/>
    </row>
    <row r="1233" spans="1:39" x14ac:dyDescent="0.25">
      <c r="A1233" s="38" t="s">
        <v>1584</v>
      </c>
      <c r="B1233" s="42"/>
      <c r="C1233" s="42"/>
      <c r="D1233" s="42"/>
      <c r="E1233" s="41"/>
      <c r="F1233" s="41"/>
      <c r="G1233" s="41"/>
      <c r="H1233" s="41"/>
      <c r="I1233" s="41"/>
      <c r="J1233" s="42"/>
      <c r="K1233" s="41"/>
      <c r="L1233" s="41"/>
      <c r="M1233" s="127"/>
      <c r="N1233" s="41"/>
      <c r="O1233" s="41"/>
      <c r="P1233" s="41"/>
      <c r="Q1233" s="42"/>
      <c r="R1233" s="35"/>
      <c r="S1233" s="35"/>
      <c r="T1233" s="35"/>
      <c r="U1233" s="35"/>
      <c r="V1233" s="121"/>
      <c r="W1233" s="42"/>
      <c r="X1233" s="42"/>
      <c r="Y1233" s="42"/>
      <c r="Z1233" s="42"/>
      <c r="AA1233" s="42"/>
      <c r="AB1233" s="42"/>
      <c r="AC1233" s="42"/>
      <c r="AD1233" s="42"/>
      <c r="AE1233" s="42"/>
      <c r="AF1233" s="42"/>
      <c r="AG1233" s="42"/>
      <c r="AH1233" s="42"/>
      <c r="AI1233" s="42"/>
      <c r="AJ1233" s="42"/>
      <c r="AK1233" s="42"/>
      <c r="AL1233" s="42"/>
      <c r="AM1233" s="42"/>
    </row>
    <row r="1234" spans="1:39" x14ac:dyDescent="0.25">
      <c r="A1234" s="38" t="s">
        <v>1585</v>
      </c>
      <c r="B1234" s="42"/>
      <c r="C1234" s="42"/>
      <c r="D1234" s="42"/>
      <c r="E1234" s="41"/>
      <c r="F1234" s="41"/>
      <c r="G1234" s="41"/>
      <c r="H1234" s="41"/>
      <c r="I1234" s="41"/>
      <c r="J1234" s="42"/>
      <c r="K1234" s="41"/>
      <c r="L1234" s="41"/>
      <c r="M1234" s="127"/>
      <c r="N1234" s="41"/>
      <c r="O1234" s="41"/>
      <c r="P1234" s="41"/>
      <c r="Q1234" s="42"/>
      <c r="R1234" s="35"/>
      <c r="S1234" s="35"/>
      <c r="T1234" s="35"/>
      <c r="U1234" s="35"/>
      <c r="V1234" s="121"/>
      <c r="W1234" s="42"/>
      <c r="X1234" s="42"/>
      <c r="Y1234" s="42"/>
      <c r="Z1234" s="42"/>
      <c r="AA1234" s="42"/>
      <c r="AB1234" s="42"/>
      <c r="AC1234" s="42"/>
      <c r="AD1234" s="42"/>
      <c r="AE1234" s="42"/>
      <c r="AF1234" s="42"/>
      <c r="AG1234" s="42"/>
      <c r="AH1234" s="42"/>
      <c r="AI1234" s="42"/>
      <c r="AJ1234" s="42"/>
      <c r="AK1234" s="42"/>
      <c r="AL1234" s="42"/>
      <c r="AM1234" s="42"/>
    </row>
    <row r="1235" spans="1:39" x14ac:dyDescent="0.25">
      <c r="A1235" s="38" t="s">
        <v>1586</v>
      </c>
      <c r="B1235" s="42"/>
      <c r="C1235" s="42"/>
      <c r="D1235" s="42"/>
      <c r="E1235" s="41"/>
      <c r="F1235" s="41"/>
      <c r="G1235" s="41"/>
      <c r="H1235" s="41"/>
      <c r="I1235" s="41"/>
      <c r="J1235" s="42"/>
      <c r="K1235" s="41"/>
      <c r="L1235" s="41"/>
      <c r="M1235" s="127"/>
      <c r="N1235" s="41"/>
      <c r="O1235" s="41"/>
      <c r="P1235" s="41"/>
      <c r="Q1235" s="42"/>
      <c r="R1235" s="35"/>
      <c r="S1235" s="35"/>
      <c r="T1235" s="35"/>
      <c r="U1235" s="35"/>
      <c r="V1235" s="121"/>
      <c r="W1235" s="42"/>
      <c r="X1235" s="42"/>
      <c r="Y1235" s="42"/>
      <c r="Z1235" s="42"/>
      <c r="AA1235" s="42"/>
      <c r="AB1235" s="42"/>
      <c r="AC1235" s="42"/>
      <c r="AD1235" s="42"/>
      <c r="AE1235" s="42"/>
      <c r="AF1235" s="42"/>
      <c r="AG1235" s="42"/>
      <c r="AH1235" s="42"/>
      <c r="AI1235" s="42"/>
      <c r="AJ1235" s="42"/>
      <c r="AK1235" s="42"/>
      <c r="AL1235" s="42"/>
      <c r="AM1235" s="42"/>
    </row>
    <row r="1236" spans="1:39" x14ac:dyDescent="0.25">
      <c r="A1236" s="38" t="s">
        <v>1587</v>
      </c>
      <c r="B1236" s="42"/>
      <c r="C1236" s="42"/>
      <c r="D1236" s="42"/>
      <c r="E1236" s="41"/>
      <c r="F1236" s="41"/>
      <c r="G1236" s="41"/>
      <c r="H1236" s="41"/>
      <c r="I1236" s="41"/>
      <c r="J1236" s="42"/>
      <c r="K1236" s="41"/>
      <c r="L1236" s="41"/>
      <c r="M1236" s="127"/>
      <c r="N1236" s="41"/>
      <c r="O1236" s="41"/>
      <c r="P1236" s="41"/>
      <c r="Q1236" s="42"/>
      <c r="R1236" s="35"/>
      <c r="S1236" s="35"/>
      <c r="T1236" s="35"/>
      <c r="U1236" s="35"/>
      <c r="V1236" s="121"/>
      <c r="W1236" s="42"/>
      <c r="X1236" s="42"/>
      <c r="Y1236" s="42"/>
      <c r="Z1236" s="42"/>
      <c r="AA1236" s="42"/>
      <c r="AB1236" s="42"/>
      <c r="AC1236" s="42"/>
      <c r="AD1236" s="42"/>
      <c r="AE1236" s="42"/>
      <c r="AF1236" s="42"/>
      <c r="AG1236" s="42"/>
      <c r="AH1236" s="42"/>
      <c r="AI1236" s="42"/>
      <c r="AJ1236" s="42"/>
      <c r="AK1236" s="42"/>
      <c r="AL1236" s="42"/>
      <c r="AM1236" s="42"/>
    </row>
    <row r="1237" spans="1:39" x14ac:dyDescent="0.25">
      <c r="A1237" s="38" t="s">
        <v>1588</v>
      </c>
      <c r="B1237" s="42"/>
      <c r="C1237" s="42"/>
      <c r="D1237" s="42"/>
      <c r="E1237" s="41"/>
      <c r="F1237" s="41"/>
      <c r="G1237" s="41"/>
      <c r="H1237" s="41"/>
      <c r="I1237" s="41"/>
      <c r="J1237" s="42"/>
      <c r="K1237" s="41"/>
      <c r="L1237" s="41"/>
      <c r="M1237" s="127"/>
      <c r="N1237" s="41"/>
      <c r="O1237" s="41"/>
      <c r="P1237" s="41"/>
      <c r="Q1237" s="42"/>
      <c r="R1237" s="35"/>
      <c r="S1237" s="35"/>
      <c r="T1237" s="35"/>
      <c r="U1237" s="35"/>
      <c r="V1237" s="121"/>
      <c r="W1237" s="42"/>
      <c r="X1237" s="42"/>
      <c r="Y1237" s="42"/>
      <c r="Z1237" s="42"/>
      <c r="AA1237" s="42"/>
      <c r="AB1237" s="42"/>
      <c r="AC1237" s="42"/>
      <c r="AD1237" s="42"/>
      <c r="AE1237" s="42"/>
      <c r="AF1237" s="42"/>
      <c r="AG1237" s="42"/>
      <c r="AH1237" s="42"/>
      <c r="AI1237" s="42"/>
      <c r="AJ1237" s="42"/>
      <c r="AK1237" s="42"/>
      <c r="AL1237" s="42"/>
      <c r="AM1237" s="42"/>
    </row>
    <row r="1238" spans="1:39" x14ac:dyDescent="0.25">
      <c r="A1238" s="38" t="s">
        <v>1589</v>
      </c>
      <c r="B1238" s="42"/>
      <c r="C1238" s="42"/>
      <c r="D1238" s="42"/>
      <c r="E1238" s="41"/>
      <c r="F1238" s="41"/>
      <c r="G1238" s="41"/>
      <c r="H1238" s="41"/>
      <c r="I1238" s="41"/>
      <c r="J1238" s="42"/>
      <c r="K1238" s="41"/>
      <c r="L1238" s="41"/>
      <c r="M1238" s="127"/>
      <c r="N1238" s="41"/>
      <c r="O1238" s="41"/>
      <c r="P1238" s="41"/>
      <c r="Q1238" s="42"/>
      <c r="R1238" s="35"/>
      <c r="S1238" s="35"/>
      <c r="T1238" s="35"/>
      <c r="U1238" s="35"/>
      <c r="V1238" s="121"/>
      <c r="W1238" s="42"/>
      <c r="X1238" s="42"/>
      <c r="Y1238" s="42"/>
      <c r="Z1238" s="42"/>
      <c r="AA1238" s="42"/>
      <c r="AB1238" s="42"/>
      <c r="AC1238" s="42"/>
      <c r="AD1238" s="42"/>
      <c r="AE1238" s="42"/>
      <c r="AF1238" s="42"/>
      <c r="AG1238" s="42"/>
      <c r="AH1238" s="42"/>
      <c r="AI1238" s="42"/>
      <c r="AJ1238" s="42"/>
      <c r="AK1238" s="42"/>
      <c r="AL1238" s="42"/>
      <c r="AM1238" s="42"/>
    </row>
    <row r="1239" spans="1:39" x14ac:dyDescent="0.25">
      <c r="A1239" s="38" t="s">
        <v>1590</v>
      </c>
      <c r="B1239" s="42"/>
      <c r="C1239" s="42"/>
      <c r="D1239" s="42"/>
      <c r="E1239" s="41"/>
      <c r="F1239" s="41"/>
      <c r="G1239" s="41"/>
      <c r="H1239" s="41"/>
      <c r="I1239" s="41"/>
      <c r="J1239" s="42"/>
      <c r="K1239" s="41"/>
      <c r="L1239" s="41"/>
      <c r="M1239" s="127"/>
      <c r="N1239" s="41"/>
      <c r="O1239" s="41"/>
      <c r="P1239" s="41"/>
      <c r="Q1239" s="42"/>
      <c r="R1239" s="35"/>
      <c r="S1239" s="35"/>
      <c r="T1239" s="35"/>
      <c r="U1239" s="35"/>
      <c r="V1239" s="121"/>
      <c r="W1239" s="42"/>
      <c r="X1239" s="42"/>
      <c r="Y1239" s="42"/>
      <c r="Z1239" s="42"/>
      <c r="AA1239" s="42"/>
      <c r="AB1239" s="42"/>
      <c r="AC1239" s="42"/>
      <c r="AD1239" s="42"/>
      <c r="AE1239" s="42"/>
      <c r="AF1239" s="42"/>
      <c r="AG1239" s="42"/>
      <c r="AH1239" s="42"/>
      <c r="AI1239" s="42"/>
      <c r="AJ1239" s="42"/>
      <c r="AK1239" s="42"/>
      <c r="AL1239" s="42"/>
      <c r="AM1239" s="42"/>
    </row>
    <row r="1240" spans="1:39" x14ac:dyDescent="0.25">
      <c r="A1240" s="38" t="s">
        <v>1591</v>
      </c>
      <c r="B1240" s="42"/>
      <c r="C1240" s="42"/>
      <c r="D1240" s="42"/>
      <c r="E1240" s="41"/>
      <c r="F1240" s="41"/>
      <c r="G1240" s="41"/>
      <c r="H1240" s="41"/>
      <c r="I1240" s="41"/>
      <c r="J1240" s="42"/>
      <c r="K1240" s="41"/>
      <c r="L1240" s="41"/>
      <c r="M1240" s="127"/>
      <c r="N1240" s="41"/>
      <c r="O1240" s="41"/>
      <c r="P1240" s="41"/>
      <c r="Q1240" s="42"/>
      <c r="R1240" s="35"/>
      <c r="S1240" s="35"/>
      <c r="T1240" s="35"/>
      <c r="U1240" s="35"/>
      <c r="V1240" s="121"/>
      <c r="W1240" s="42"/>
      <c r="X1240" s="42"/>
      <c r="Y1240" s="42"/>
      <c r="Z1240" s="42"/>
      <c r="AA1240" s="42"/>
      <c r="AB1240" s="42"/>
      <c r="AC1240" s="42"/>
      <c r="AD1240" s="42"/>
      <c r="AE1240" s="42"/>
      <c r="AF1240" s="42"/>
      <c r="AG1240" s="42"/>
      <c r="AH1240" s="42"/>
      <c r="AI1240" s="42"/>
      <c r="AJ1240" s="42"/>
      <c r="AK1240" s="42"/>
      <c r="AL1240" s="42"/>
      <c r="AM1240" s="42"/>
    </row>
    <row r="1241" spans="1:39" x14ac:dyDescent="0.25">
      <c r="A1241" s="38" t="s">
        <v>1592</v>
      </c>
      <c r="B1241" s="42"/>
      <c r="C1241" s="42"/>
      <c r="D1241" s="42"/>
      <c r="E1241" s="41"/>
      <c r="F1241" s="41"/>
      <c r="G1241" s="41"/>
      <c r="H1241" s="41"/>
      <c r="I1241" s="41"/>
      <c r="J1241" s="42"/>
      <c r="K1241" s="41"/>
      <c r="L1241" s="41"/>
      <c r="M1241" s="127"/>
      <c r="N1241" s="41"/>
      <c r="O1241" s="41"/>
      <c r="P1241" s="41"/>
      <c r="Q1241" s="42"/>
      <c r="R1241" s="35"/>
      <c r="S1241" s="35"/>
      <c r="T1241" s="35"/>
      <c r="U1241" s="35"/>
      <c r="V1241" s="121"/>
      <c r="W1241" s="42"/>
      <c r="X1241" s="42"/>
      <c r="Y1241" s="42"/>
      <c r="Z1241" s="42"/>
      <c r="AA1241" s="42"/>
      <c r="AB1241" s="42"/>
      <c r="AC1241" s="42"/>
      <c r="AD1241" s="42"/>
      <c r="AE1241" s="42"/>
      <c r="AF1241" s="42"/>
      <c r="AG1241" s="42"/>
      <c r="AH1241" s="42"/>
      <c r="AI1241" s="42"/>
      <c r="AJ1241" s="42"/>
      <c r="AK1241" s="42"/>
      <c r="AL1241" s="42"/>
      <c r="AM1241" s="42"/>
    </row>
    <row r="1242" spans="1:39" x14ac:dyDescent="0.25">
      <c r="A1242" s="38" t="s">
        <v>1593</v>
      </c>
      <c r="B1242" s="42"/>
      <c r="C1242" s="42"/>
      <c r="D1242" s="42"/>
      <c r="E1242" s="41"/>
      <c r="F1242" s="41"/>
      <c r="G1242" s="41"/>
      <c r="H1242" s="41"/>
      <c r="I1242" s="41"/>
      <c r="J1242" s="42"/>
      <c r="K1242" s="41"/>
      <c r="L1242" s="41"/>
      <c r="M1242" s="127"/>
      <c r="N1242" s="41"/>
      <c r="O1242" s="41"/>
      <c r="P1242" s="41"/>
      <c r="Q1242" s="42"/>
      <c r="R1242" s="35"/>
      <c r="S1242" s="35"/>
      <c r="T1242" s="35"/>
      <c r="U1242" s="35"/>
      <c r="V1242" s="121"/>
      <c r="W1242" s="42"/>
      <c r="X1242" s="42"/>
      <c r="Y1242" s="42"/>
      <c r="Z1242" s="42"/>
      <c r="AA1242" s="42"/>
      <c r="AB1242" s="42"/>
      <c r="AC1242" s="42"/>
      <c r="AD1242" s="42"/>
      <c r="AE1242" s="42"/>
      <c r="AF1242" s="42"/>
      <c r="AG1242" s="42"/>
      <c r="AH1242" s="42"/>
      <c r="AI1242" s="42"/>
      <c r="AJ1242" s="42"/>
      <c r="AK1242" s="42"/>
      <c r="AL1242" s="42"/>
      <c r="AM1242" s="42"/>
    </row>
    <row r="1243" spans="1:39" x14ac:dyDescent="0.25">
      <c r="A1243" s="38" t="s">
        <v>1594</v>
      </c>
      <c r="B1243" s="42"/>
      <c r="C1243" s="42"/>
      <c r="D1243" s="42"/>
      <c r="E1243" s="41"/>
      <c r="F1243" s="41"/>
      <c r="G1243" s="41"/>
      <c r="H1243" s="41"/>
      <c r="I1243" s="41"/>
      <c r="J1243" s="42"/>
      <c r="K1243" s="41"/>
      <c r="L1243" s="41"/>
      <c r="M1243" s="127"/>
      <c r="N1243" s="41"/>
      <c r="O1243" s="41"/>
      <c r="P1243" s="41"/>
      <c r="Q1243" s="42"/>
      <c r="R1243" s="35"/>
      <c r="S1243" s="35"/>
      <c r="T1243" s="35"/>
      <c r="U1243" s="35"/>
      <c r="V1243" s="121"/>
      <c r="W1243" s="42"/>
      <c r="X1243" s="42"/>
      <c r="Y1243" s="42"/>
      <c r="Z1243" s="42"/>
      <c r="AA1243" s="42"/>
      <c r="AB1243" s="42"/>
      <c r="AC1243" s="42"/>
      <c r="AD1243" s="42"/>
      <c r="AE1243" s="42"/>
      <c r="AF1243" s="42"/>
      <c r="AG1243" s="42"/>
      <c r="AH1243" s="42"/>
      <c r="AI1243" s="42"/>
      <c r="AJ1243" s="42"/>
      <c r="AK1243" s="42"/>
      <c r="AL1243" s="42"/>
      <c r="AM1243" s="42"/>
    </row>
    <row r="1244" spans="1:39" x14ac:dyDescent="0.25">
      <c r="A1244" s="38" t="s">
        <v>1595</v>
      </c>
      <c r="B1244" s="42"/>
      <c r="C1244" s="42"/>
      <c r="D1244" s="42"/>
      <c r="E1244" s="41"/>
      <c r="F1244" s="41"/>
      <c r="G1244" s="41"/>
      <c r="H1244" s="41"/>
      <c r="I1244" s="41"/>
      <c r="J1244" s="42"/>
      <c r="K1244" s="41"/>
      <c r="L1244" s="41"/>
      <c r="M1244" s="127"/>
      <c r="N1244" s="41"/>
      <c r="O1244" s="41"/>
      <c r="P1244" s="41"/>
      <c r="Q1244" s="42"/>
      <c r="R1244" s="35"/>
      <c r="S1244" s="35"/>
      <c r="T1244" s="35"/>
      <c r="U1244" s="35"/>
      <c r="V1244" s="121"/>
      <c r="W1244" s="42"/>
      <c r="X1244" s="42"/>
      <c r="Y1244" s="42"/>
      <c r="Z1244" s="42"/>
      <c r="AA1244" s="42"/>
      <c r="AB1244" s="42"/>
      <c r="AC1244" s="42"/>
      <c r="AD1244" s="42"/>
      <c r="AE1244" s="42"/>
      <c r="AF1244" s="42"/>
      <c r="AG1244" s="42"/>
      <c r="AH1244" s="42"/>
      <c r="AI1244" s="42"/>
      <c r="AJ1244" s="42"/>
      <c r="AK1244" s="42"/>
      <c r="AL1244" s="42"/>
      <c r="AM1244" s="42"/>
    </row>
    <row r="1245" spans="1:39" x14ac:dyDescent="0.25">
      <c r="A1245" s="38" t="s">
        <v>1596</v>
      </c>
      <c r="B1245" s="42"/>
      <c r="C1245" s="42"/>
      <c r="D1245" s="42"/>
      <c r="E1245" s="41"/>
      <c r="F1245" s="41"/>
      <c r="G1245" s="41"/>
      <c r="H1245" s="41"/>
      <c r="I1245" s="41"/>
      <c r="J1245" s="42"/>
      <c r="K1245" s="41"/>
      <c r="L1245" s="41"/>
      <c r="M1245" s="127"/>
      <c r="N1245" s="41"/>
      <c r="O1245" s="41"/>
      <c r="P1245" s="41"/>
      <c r="Q1245" s="42"/>
      <c r="R1245" s="35"/>
      <c r="S1245" s="35"/>
      <c r="T1245" s="35"/>
      <c r="U1245" s="35"/>
      <c r="V1245" s="121"/>
      <c r="W1245" s="42"/>
      <c r="X1245" s="42"/>
      <c r="Y1245" s="42"/>
      <c r="Z1245" s="42"/>
      <c r="AA1245" s="42"/>
      <c r="AB1245" s="42"/>
      <c r="AC1245" s="42"/>
      <c r="AD1245" s="42"/>
      <c r="AE1245" s="42"/>
      <c r="AF1245" s="42"/>
      <c r="AG1245" s="42"/>
      <c r="AH1245" s="42"/>
      <c r="AI1245" s="42"/>
      <c r="AJ1245" s="42"/>
      <c r="AK1245" s="42"/>
      <c r="AL1245" s="42"/>
      <c r="AM1245" s="42"/>
    </row>
    <row r="1246" spans="1:39" x14ac:dyDescent="0.25">
      <c r="A1246" s="38" t="s">
        <v>1597</v>
      </c>
      <c r="B1246" s="42"/>
      <c r="C1246" s="42"/>
      <c r="D1246" s="42"/>
      <c r="E1246" s="41"/>
      <c r="F1246" s="41"/>
      <c r="G1246" s="41"/>
      <c r="H1246" s="41"/>
      <c r="I1246" s="41"/>
      <c r="J1246" s="42"/>
      <c r="K1246" s="41"/>
      <c r="L1246" s="41"/>
      <c r="M1246" s="127"/>
      <c r="N1246" s="41"/>
      <c r="O1246" s="41"/>
      <c r="P1246" s="41"/>
      <c r="Q1246" s="42"/>
      <c r="R1246" s="35"/>
      <c r="S1246" s="35"/>
      <c r="T1246" s="35"/>
      <c r="U1246" s="35"/>
      <c r="V1246" s="121"/>
      <c r="W1246" s="42"/>
      <c r="X1246" s="42"/>
      <c r="Y1246" s="42"/>
      <c r="Z1246" s="42"/>
      <c r="AA1246" s="42"/>
      <c r="AB1246" s="42"/>
      <c r="AC1246" s="42"/>
      <c r="AD1246" s="42"/>
      <c r="AE1246" s="42"/>
      <c r="AF1246" s="42"/>
      <c r="AG1246" s="42"/>
      <c r="AH1246" s="42"/>
      <c r="AI1246" s="42"/>
      <c r="AJ1246" s="42"/>
      <c r="AK1246" s="42"/>
      <c r="AL1246" s="42"/>
      <c r="AM1246" s="42"/>
    </row>
    <row r="1247" spans="1:39" x14ac:dyDescent="0.25">
      <c r="A1247" s="38" t="s">
        <v>1598</v>
      </c>
      <c r="B1247" s="42"/>
      <c r="C1247" s="42"/>
      <c r="D1247" s="42"/>
      <c r="E1247" s="41"/>
      <c r="F1247" s="41"/>
      <c r="G1247" s="41"/>
      <c r="H1247" s="41"/>
      <c r="I1247" s="41"/>
      <c r="J1247" s="42"/>
      <c r="K1247" s="41"/>
      <c r="L1247" s="41"/>
      <c r="M1247" s="127"/>
      <c r="N1247" s="41"/>
      <c r="O1247" s="41"/>
      <c r="P1247" s="41"/>
      <c r="Q1247" s="42"/>
      <c r="R1247" s="35"/>
      <c r="S1247" s="35"/>
      <c r="T1247" s="35"/>
      <c r="U1247" s="35"/>
      <c r="V1247" s="121"/>
      <c r="W1247" s="42"/>
      <c r="X1247" s="42"/>
      <c r="Y1247" s="42"/>
      <c r="Z1247" s="42"/>
      <c r="AA1247" s="42"/>
      <c r="AB1247" s="42"/>
      <c r="AC1247" s="42"/>
      <c r="AD1247" s="42"/>
      <c r="AE1247" s="42"/>
      <c r="AF1247" s="42"/>
      <c r="AG1247" s="42"/>
      <c r="AH1247" s="42"/>
      <c r="AI1247" s="42"/>
      <c r="AJ1247" s="42"/>
      <c r="AK1247" s="42"/>
      <c r="AL1247" s="42"/>
      <c r="AM1247" s="42"/>
    </row>
    <row r="1248" spans="1:39" x14ac:dyDescent="0.25">
      <c r="A1248" s="38" t="s">
        <v>1599</v>
      </c>
      <c r="B1248" s="42"/>
      <c r="C1248" s="42"/>
      <c r="D1248" s="42"/>
      <c r="E1248" s="41"/>
      <c r="F1248" s="41"/>
      <c r="G1248" s="41"/>
      <c r="H1248" s="41"/>
      <c r="I1248" s="41"/>
      <c r="J1248" s="42"/>
      <c r="K1248" s="41"/>
      <c r="L1248" s="41"/>
      <c r="M1248" s="127"/>
      <c r="N1248" s="41"/>
      <c r="O1248" s="41"/>
      <c r="P1248" s="41"/>
      <c r="Q1248" s="42"/>
      <c r="R1248" s="35"/>
      <c r="S1248" s="35"/>
      <c r="T1248" s="35"/>
      <c r="U1248" s="35"/>
      <c r="V1248" s="121"/>
      <c r="W1248" s="42"/>
      <c r="X1248" s="42"/>
      <c r="Y1248" s="42"/>
      <c r="Z1248" s="42"/>
      <c r="AA1248" s="42"/>
      <c r="AB1248" s="42"/>
      <c r="AC1248" s="42"/>
      <c r="AD1248" s="42"/>
      <c r="AE1248" s="42"/>
      <c r="AF1248" s="42"/>
      <c r="AG1248" s="42"/>
      <c r="AH1248" s="42"/>
      <c r="AI1248" s="42"/>
      <c r="AJ1248" s="42"/>
      <c r="AK1248" s="42"/>
      <c r="AL1248" s="42"/>
      <c r="AM1248" s="42"/>
    </row>
    <row r="1249" spans="1:39" x14ac:dyDescent="0.25">
      <c r="A1249" s="38" t="s">
        <v>1600</v>
      </c>
      <c r="B1249" s="42"/>
      <c r="C1249" s="42"/>
      <c r="D1249" s="42"/>
      <c r="E1249" s="41"/>
      <c r="F1249" s="41"/>
      <c r="G1249" s="41"/>
      <c r="H1249" s="41"/>
      <c r="I1249" s="41"/>
      <c r="J1249" s="42"/>
      <c r="K1249" s="41"/>
      <c r="L1249" s="41"/>
      <c r="M1249" s="127"/>
      <c r="N1249" s="41"/>
      <c r="O1249" s="41"/>
      <c r="P1249" s="41"/>
      <c r="Q1249" s="42"/>
      <c r="R1249" s="35"/>
      <c r="S1249" s="35"/>
      <c r="T1249" s="35"/>
      <c r="U1249" s="35"/>
      <c r="V1249" s="121"/>
      <c r="W1249" s="42"/>
      <c r="X1249" s="42"/>
      <c r="Y1249" s="42"/>
      <c r="Z1249" s="42"/>
      <c r="AA1249" s="42"/>
      <c r="AB1249" s="42"/>
      <c r="AC1249" s="42"/>
      <c r="AD1249" s="42"/>
      <c r="AE1249" s="42"/>
      <c r="AF1249" s="42"/>
      <c r="AG1249" s="42"/>
      <c r="AH1249" s="42"/>
      <c r="AI1249" s="42"/>
      <c r="AJ1249" s="42"/>
      <c r="AK1249" s="42"/>
      <c r="AL1249" s="42"/>
      <c r="AM1249" s="42"/>
    </row>
    <row r="1250" spans="1:39" x14ac:dyDescent="0.25">
      <c r="A1250" s="38" t="s">
        <v>1601</v>
      </c>
      <c r="B1250" s="42"/>
      <c r="C1250" s="42"/>
      <c r="D1250" s="42"/>
      <c r="E1250" s="41"/>
      <c r="F1250" s="41"/>
      <c r="G1250" s="41"/>
      <c r="H1250" s="41"/>
      <c r="I1250" s="41"/>
      <c r="J1250" s="42"/>
      <c r="K1250" s="41"/>
      <c r="L1250" s="41"/>
      <c r="M1250" s="127"/>
      <c r="N1250" s="41"/>
      <c r="O1250" s="41"/>
      <c r="P1250" s="41"/>
      <c r="Q1250" s="42"/>
      <c r="R1250" s="35"/>
      <c r="S1250" s="35"/>
      <c r="T1250" s="35"/>
      <c r="U1250" s="35"/>
      <c r="V1250" s="121"/>
      <c r="W1250" s="42"/>
      <c r="X1250" s="42"/>
      <c r="Y1250" s="42"/>
      <c r="Z1250" s="42"/>
      <c r="AA1250" s="42"/>
      <c r="AB1250" s="42"/>
      <c r="AC1250" s="42"/>
      <c r="AD1250" s="42"/>
      <c r="AE1250" s="42"/>
      <c r="AF1250" s="42"/>
      <c r="AG1250" s="42"/>
      <c r="AH1250" s="42"/>
      <c r="AI1250" s="42"/>
      <c r="AJ1250" s="42"/>
      <c r="AK1250" s="42"/>
      <c r="AL1250" s="42"/>
      <c r="AM1250" s="42"/>
    </row>
    <row r="1251" spans="1:39" x14ac:dyDescent="0.25">
      <c r="A1251" s="38" t="s">
        <v>1602</v>
      </c>
      <c r="B1251" s="42"/>
      <c r="C1251" s="42"/>
      <c r="D1251" s="42"/>
      <c r="E1251" s="41"/>
      <c r="F1251" s="41"/>
      <c r="G1251" s="41"/>
      <c r="H1251" s="41"/>
      <c r="I1251" s="41"/>
      <c r="J1251" s="42"/>
      <c r="K1251" s="41"/>
      <c r="L1251" s="41"/>
      <c r="M1251" s="127"/>
      <c r="N1251" s="41"/>
      <c r="O1251" s="41"/>
      <c r="P1251" s="41"/>
      <c r="Q1251" s="42"/>
      <c r="R1251" s="35"/>
      <c r="S1251" s="35"/>
      <c r="T1251" s="35"/>
      <c r="U1251" s="35"/>
      <c r="V1251" s="121"/>
      <c r="W1251" s="42"/>
      <c r="X1251" s="42"/>
      <c r="Y1251" s="42"/>
      <c r="Z1251" s="42"/>
      <c r="AA1251" s="42"/>
      <c r="AB1251" s="42"/>
      <c r="AC1251" s="42"/>
      <c r="AD1251" s="42"/>
      <c r="AE1251" s="42"/>
      <c r="AF1251" s="42"/>
      <c r="AG1251" s="42"/>
      <c r="AH1251" s="42"/>
      <c r="AI1251" s="42"/>
      <c r="AJ1251" s="42"/>
      <c r="AK1251" s="42"/>
      <c r="AL1251" s="42"/>
      <c r="AM1251" s="42"/>
    </row>
    <row r="1252" spans="1:39" x14ac:dyDescent="0.25">
      <c r="A1252" s="38" t="s">
        <v>1603</v>
      </c>
      <c r="B1252" s="42"/>
      <c r="C1252" s="42"/>
      <c r="D1252" s="42"/>
      <c r="E1252" s="41"/>
      <c r="F1252" s="41"/>
      <c r="G1252" s="41"/>
      <c r="H1252" s="41"/>
      <c r="I1252" s="41"/>
      <c r="J1252" s="42"/>
      <c r="K1252" s="41"/>
      <c r="L1252" s="41"/>
      <c r="M1252" s="127"/>
      <c r="N1252" s="41"/>
      <c r="O1252" s="41"/>
      <c r="P1252" s="41"/>
      <c r="Q1252" s="42"/>
      <c r="R1252" s="35"/>
      <c r="S1252" s="35"/>
      <c r="T1252" s="35"/>
      <c r="U1252" s="35"/>
      <c r="V1252" s="121"/>
      <c r="W1252" s="42"/>
      <c r="X1252" s="42"/>
      <c r="Y1252" s="42"/>
      <c r="Z1252" s="42"/>
      <c r="AA1252" s="42"/>
      <c r="AB1252" s="42"/>
      <c r="AC1252" s="42"/>
      <c r="AD1252" s="42"/>
      <c r="AE1252" s="42"/>
      <c r="AF1252" s="42"/>
      <c r="AG1252" s="42"/>
      <c r="AH1252" s="42"/>
      <c r="AI1252" s="42"/>
      <c r="AJ1252" s="42"/>
      <c r="AK1252" s="42"/>
      <c r="AL1252" s="42"/>
      <c r="AM1252" s="42"/>
    </row>
    <row r="1253" spans="1:39" x14ac:dyDescent="0.25">
      <c r="A1253" s="38" t="s">
        <v>1604</v>
      </c>
      <c r="B1253" s="42"/>
      <c r="C1253" s="42"/>
      <c r="D1253" s="42"/>
      <c r="E1253" s="41"/>
      <c r="F1253" s="41"/>
      <c r="G1253" s="41"/>
      <c r="H1253" s="41"/>
      <c r="I1253" s="41"/>
      <c r="J1253" s="42"/>
      <c r="K1253" s="41"/>
      <c r="L1253" s="41"/>
      <c r="M1253" s="127"/>
      <c r="N1253" s="41"/>
      <c r="O1253" s="41"/>
      <c r="P1253" s="41"/>
      <c r="Q1253" s="42"/>
      <c r="R1253" s="35"/>
      <c r="S1253" s="35"/>
      <c r="T1253" s="35"/>
      <c r="U1253" s="35"/>
      <c r="V1253" s="121"/>
      <c r="W1253" s="42"/>
      <c r="X1253" s="42"/>
      <c r="Y1253" s="42"/>
      <c r="Z1253" s="42"/>
      <c r="AA1253" s="42"/>
      <c r="AB1253" s="42"/>
      <c r="AC1253" s="42"/>
      <c r="AD1253" s="42"/>
      <c r="AE1253" s="42"/>
      <c r="AF1253" s="42"/>
      <c r="AG1253" s="42"/>
      <c r="AH1253" s="42"/>
      <c r="AI1253" s="42"/>
      <c r="AJ1253" s="42"/>
      <c r="AK1253" s="42"/>
      <c r="AL1253" s="42"/>
      <c r="AM1253" s="42"/>
    </row>
    <row r="1254" spans="1:39" x14ac:dyDescent="0.25">
      <c r="A1254" s="38" t="s">
        <v>1605</v>
      </c>
      <c r="B1254" s="42"/>
      <c r="C1254" s="42"/>
      <c r="D1254" s="42"/>
      <c r="E1254" s="41"/>
      <c r="F1254" s="41"/>
      <c r="G1254" s="41"/>
      <c r="H1254" s="41"/>
      <c r="I1254" s="41"/>
      <c r="J1254" s="42"/>
      <c r="K1254" s="41"/>
      <c r="L1254" s="41"/>
      <c r="M1254" s="127"/>
      <c r="N1254" s="41"/>
      <c r="O1254" s="41"/>
      <c r="P1254" s="41"/>
      <c r="Q1254" s="42"/>
      <c r="R1254" s="35"/>
      <c r="S1254" s="35"/>
      <c r="T1254" s="35"/>
      <c r="U1254" s="35"/>
      <c r="V1254" s="121"/>
      <c r="W1254" s="42"/>
      <c r="X1254" s="42"/>
      <c r="Y1254" s="42"/>
      <c r="Z1254" s="42"/>
      <c r="AA1254" s="42"/>
      <c r="AB1254" s="42"/>
      <c r="AC1254" s="42"/>
      <c r="AD1254" s="42"/>
      <c r="AE1254" s="42"/>
      <c r="AF1254" s="42"/>
      <c r="AG1254" s="42"/>
      <c r="AH1254" s="42"/>
      <c r="AI1254" s="42"/>
      <c r="AJ1254" s="42"/>
      <c r="AK1254" s="42"/>
      <c r="AL1254" s="42"/>
      <c r="AM1254" s="42"/>
    </row>
    <row r="1255" spans="1:39" x14ac:dyDescent="0.25">
      <c r="A1255" s="38" t="s">
        <v>1606</v>
      </c>
      <c r="B1255" s="42"/>
      <c r="C1255" s="42"/>
      <c r="D1255" s="42"/>
      <c r="E1255" s="41"/>
      <c r="F1255" s="41"/>
      <c r="G1255" s="41"/>
      <c r="H1255" s="41"/>
      <c r="I1255" s="41"/>
      <c r="J1255" s="42"/>
      <c r="K1255" s="41"/>
      <c r="L1255" s="41"/>
      <c r="M1255" s="127"/>
      <c r="N1255" s="41"/>
      <c r="O1255" s="41"/>
      <c r="P1255" s="41"/>
      <c r="Q1255" s="42"/>
      <c r="R1255" s="35"/>
      <c r="S1255" s="35"/>
      <c r="T1255" s="35"/>
      <c r="U1255" s="35"/>
      <c r="V1255" s="121"/>
      <c r="W1255" s="42"/>
      <c r="X1255" s="42"/>
      <c r="Y1255" s="42"/>
      <c r="Z1255" s="42"/>
      <c r="AA1255" s="42"/>
      <c r="AB1255" s="42"/>
      <c r="AC1255" s="42"/>
      <c r="AD1255" s="42"/>
      <c r="AE1255" s="42"/>
      <c r="AF1255" s="42"/>
      <c r="AG1255" s="42"/>
      <c r="AH1255" s="42"/>
      <c r="AI1255" s="42"/>
      <c r="AJ1255" s="42"/>
      <c r="AK1255" s="42"/>
      <c r="AL1255" s="42"/>
      <c r="AM1255" s="42"/>
    </row>
    <row r="1256" spans="1:39" x14ac:dyDescent="0.25">
      <c r="A1256" s="38" t="s">
        <v>1607</v>
      </c>
      <c r="B1256" s="42"/>
      <c r="C1256" s="42"/>
      <c r="D1256" s="42"/>
      <c r="E1256" s="41"/>
      <c r="F1256" s="41"/>
      <c r="G1256" s="41"/>
      <c r="H1256" s="41"/>
      <c r="I1256" s="41"/>
      <c r="J1256" s="42"/>
      <c r="K1256" s="41"/>
      <c r="L1256" s="41"/>
      <c r="M1256" s="127"/>
      <c r="N1256" s="41"/>
      <c r="O1256" s="41"/>
      <c r="P1256" s="41"/>
      <c r="Q1256" s="42"/>
      <c r="R1256" s="35"/>
      <c r="S1256" s="35"/>
      <c r="T1256" s="35"/>
      <c r="U1256" s="35"/>
      <c r="V1256" s="121"/>
      <c r="W1256" s="42"/>
      <c r="X1256" s="42"/>
      <c r="Y1256" s="42"/>
      <c r="Z1256" s="42"/>
      <c r="AA1256" s="42"/>
      <c r="AB1256" s="42"/>
      <c r="AC1256" s="42"/>
      <c r="AD1256" s="42"/>
      <c r="AE1256" s="42"/>
      <c r="AF1256" s="42"/>
      <c r="AG1256" s="42"/>
      <c r="AH1256" s="42"/>
      <c r="AI1256" s="42"/>
      <c r="AJ1256" s="42"/>
      <c r="AK1256" s="42"/>
      <c r="AL1256" s="42"/>
      <c r="AM1256" s="42"/>
    </row>
    <row r="1257" spans="1:39" x14ac:dyDescent="0.25">
      <c r="A1257" s="38" t="s">
        <v>1608</v>
      </c>
      <c r="B1257" s="42"/>
      <c r="C1257" s="42"/>
      <c r="D1257" s="42"/>
      <c r="E1257" s="41"/>
      <c r="F1257" s="41"/>
      <c r="G1257" s="41"/>
      <c r="H1257" s="41"/>
      <c r="I1257" s="41"/>
      <c r="J1257" s="42"/>
      <c r="K1257" s="41"/>
      <c r="L1257" s="41"/>
      <c r="M1257" s="127"/>
      <c r="N1257" s="41"/>
      <c r="O1257" s="41"/>
      <c r="P1257" s="41"/>
      <c r="Q1257" s="42"/>
      <c r="R1257" s="35"/>
      <c r="S1257" s="35"/>
      <c r="T1257" s="35"/>
      <c r="U1257" s="35"/>
      <c r="V1257" s="121"/>
      <c r="W1257" s="42"/>
      <c r="X1257" s="42"/>
      <c r="Y1257" s="42"/>
      <c r="Z1257" s="42"/>
      <c r="AA1257" s="42"/>
      <c r="AB1257" s="42"/>
      <c r="AC1257" s="42"/>
      <c r="AD1257" s="42"/>
      <c r="AE1257" s="42"/>
      <c r="AF1257" s="42"/>
      <c r="AG1257" s="42"/>
      <c r="AH1257" s="42"/>
      <c r="AI1257" s="42"/>
      <c r="AJ1257" s="42"/>
      <c r="AK1257" s="42"/>
      <c r="AL1257" s="42"/>
      <c r="AM1257" s="42"/>
    </row>
    <row r="1258" spans="1:39" x14ac:dyDescent="0.25">
      <c r="A1258" s="38" t="s">
        <v>1609</v>
      </c>
      <c r="B1258" s="42"/>
      <c r="C1258" s="42"/>
      <c r="D1258" s="42"/>
      <c r="E1258" s="41"/>
      <c r="F1258" s="41"/>
      <c r="G1258" s="41"/>
      <c r="H1258" s="41"/>
      <c r="I1258" s="41"/>
      <c r="J1258" s="42"/>
      <c r="K1258" s="41"/>
      <c r="L1258" s="41"/>
      <c r="M1258" s="127"/>
      <c r="N1258" s="41"/>
      <c r="O1258" s="41"/>
      <c r="P1258" s="41"/>
      <c r="Q1258" s="42"/>
      <c r="R1258" s="35"/>
      <c r="S1258" s="35"/>
      <c r="T1258" s="35"/>
      <c r="U1258" s="35"/>
      <c r="V1258" s="121"/>
      <c r="W1258" s="42"/>
      <c r="X1258" s="42"/>
      <c r="Y1258" s="42"/>
      <c r="Z1258" s="42"/>
      <c r="AA1258" s="42"/>
      <c r="AB1258" s="42"/>
      <c r="AC1258" s="42"/>
      <c r="AD1258" s="42"/>
      <c r="AE1258" s="42"/>
      <c r="AF1258" s="42"/>
      <c r="AG1258" s="42"/>
      <c r="AH1258" s="42"/>
      <c r="AI1258" s="42"/>
      <c r="AJ1258" s="42"/>
      <c r="AK1258" s="42"/>
      <c r="AL1258" s="42"/>
      <c r="AM1258" s="42"/>
    </row>
    <row r="1259" spans="1:39" x14ac:dyDescent="0.25">
      <c r="A1259" s="38" t="s">
        <v>1610</v>
      </c>
      <c r="B1259" s="42"/>
      <c r="C1259" s="42"/>
      <c r="D1259" s="42"/>
      <c r="E1259" s="41"/>
      <c r="F1259" s="41"/>
      <c r="G1259" s="41"/>
      <c r="H1259" s="41"/>
      <c r="I1259" s="41"/>
      <c r="J1259" s="42"/>
      <c r="K1259" s="41"/>
      <c r="L1259" s="41"/>
      <c r="M1259" s="127"/>
      <c r="N1259" s="41"/>
      <c r="O1259" s="41"/>
      <c r="P1259" s="41"/>
      <c r="Q1259" s="42"/>
      <c r="R1259" s="35"/>
      <c r="S1259" s="35"/>
      <c r="T1259" s="35"/>
      <c r="U1259" s="35"/>
      <c r="V1259" s="121"/>
      <c r="W1259" s="42"/>
      <c r="X1259" s="42"/>
      <c r="Y1259" s="42"/>
      <c r="Z1259" s="42"/>
      <c r="AA1259" s="42"/>
      <c r="AB1259" s="42"/>
      <c r="AC1259" s="42"/>
      <c r="AD1259" s="42"/>
      <c r="AE1259" s="42"/>
      <c r="AF1259" s="42"/>
      <c r="AG1259" s="42"/>
      <c r="AH1259" s="42"/>
      <c r="AI1259" s="42"/>
      <c r="AJ1259" s="42"/>
      <c r="AK1259" s="42"/>
      <c r="AL1259" s="42"/>
      <c r="AM1259" s="42"/>
    </row>
    <row r="1260" spans="1:39" x14ac:dyDescent="0.25">
      <c r="A1260" s="38" t="s">
        <v>1611</v>
      </c>
      <c r="B1260" s="42"/>
      <c r="C1260" s="42"/>
      <c r="D1260" s="42"/>
      <c r="E1260" s="41"/>
      <c r="F1260" s="41"/>
      <c r="G1260" s="41"/>
      <c r="H1260" s="41"/>
      <c r="I1260" s="41"/>
      <c r="J1260" s="42"/>
      <c r="K1260" s="41"/>
      <c r="L1260" s="41"/>
      <c r="M1260" s="127"/>
      <c r="N1260" s="41"/>
      <c r="O1260" s="41"/>
      <c r="P1260" s="41"/>
      <c r="Q1260" s="42"/>
      <c r="R1260" s="35"/>
      <c r="S1260" s="35"/>
      <c r="T1260" s="35"/>
      <c r="U1260" s="35"/>
      <c r="V1260" s="121"/>
      <c r="W1260" s="42"/>
      <c r="X1260" s="42"/>
      <c r="Y1260" s="42"/>
      <c r="Z1260" s="42"/>
      <c r="AA1260" s="42"/>
      <c r="AB1260" s="42"/>
      <c r="AC1260" s="42"/>
      <c r="AD1260" s="42"/>
      <c r="AE1260" s="42"/>
      <c r="AF1260" s="42"/>
      <c r="AG1260" s="42"/>
      <c r="AH1260" s="42"/>
      <c r="AI1260" s="42"/>
      <c r="AJ1260" s="42"/>
      <c r="AK1260" s="42"/>
      <c r="AL1260" s="42"/>
      <c r="AM1260" s="42"/>
    </row>
    <row r="1261" spans="1:39" x14ac:dyDescent="0.25">
      <c r="A1261" s="38" t="s">
        <v>1612</v>
      </c>
      <c r="B1261" s="42"/>
      <c r="C1261" s="42"/>
      <c r="D1261" s="42"/>
      <c r="E1261" s="41"/>
      <c r="F1261" s="41"/>
      <c r="G1261" s="41"/>
      <c r="H1261" s="41"/>
      <c r="I1261" s="41"/>
      <c r="J1261" s="42"/>
      <c r="K1261" s="41"/>
      <c r="L1261" s="41"/>
      <c r="M1261" s="127"/>
      <c r="N1261" s="41"/>
      <c r="O1261" s="41"/>
      <c r="P1261" s="41"/>
      <c r="Q1261" s="42"/>
      <c r="R1261" s="35"/>
      <c r="S1261" s="35"/>
      <c r="T1261" s="35"/>
      <c r="U1261" s="35"/>
      <c r="V1261" s="121"/>
      <c r="W1261" s="42"/>
      <c r="X1261" s="42"/>
      <c r="Y1261" s="42"/>
      <c r="Z1261" s="42"/>
      <c r="AA1261" s="42"/>
      <c r="AB1261" s="42"/>
      <c r="AC1261" s="42"/>
      <c r="AD1261" s="42"/>
      <c r="AE1261" s="42"/>
      <c r="AF1261" s="42"/>
      <c r="AG1261" s="42"/>
      <c r="AH1261" s="42"/>
      <c r="AI1261" s="42"/>
      <c r="AJ1261" s="42"/>
      <c r="AK1261" s="42"/>
      <c r="AL1261" s="42"/>
      <c r="AM1261" s="42"/>
    </row>
    <row r="1262" spans="1:39" x14ac:dyDescent="0.25">
      <c r="A1262" s="38" t="s">
        <v>1613</v>
      </c>
      <c r="B1262" s="42"/>
      <c r="C1262" s="42"/>
      <c r="D1262" s="42"/>
      <c r="E1262" s="41"/>
      <c r="F1262" s="41"/>
      <c r="G1262" s="41"/>
      <c r="H1262" s="41"/>
      <c r="I1262" s="41"/>
      <c r="J1262" s="42"/>
      <c r="K1262" s="41"/>
      <c r="L1262" s="41"/>
      <c r="M1262" s="127"/>
      <c r="N1262" s="41"/>
      <c r="O1262" s="41"/>
      <c r="P1262" s="41"/>
      <c r="Q1262" s="42"/>
      <c r="R1262" s="35"/>
      <c r="S1262" s="35"/>
      <c r="T1262" s="35"/>
      <c r="U1262" s="35"/>
      <c r="V1262" s="121"/>
      <c r="W1262" s="42"/>
      <c r="X1262" s="42"/>
      <c r="Y1262" s="42"/>
      <c r="Z1262" s="42"/>
      <c r="AA1262" s="42"/>
      <c r="AB1262" s="42"/>
      <c r="AC1262" s="42"/>
      <c r="AD1262" s="42"/>
      <c r="AE1262" s="42"/>
      <c r="AF1262" s="42"/>
      <c r="AG1262" s="42"/>
      <c r="AH1262" s="42"/>
      <c r="AI1262" s="42"/>
      <c r="AJ1262" s="42"/>
      <c r="AK1262" s="42"/>
      <c r="AL1262" s="42"/>
      <c r="AM1262" s="42"/>
    </row>
    <row r="1263" spans="1:39" x14ac:dyDescent="0.25">
      <c r="A1263" s="38" t="s">
        <v>1614</v>
      </c>
      <c r="B1263" s="42"/>
      <c r="C1263" s="42"/>
      <c r="D1263" s="42"/>
      <c r="E1263" s="41"/>
      <c r="F1263" s="41"/>
      <c r="G1263" s="41"/>
      <c r="H1263" s="41"/>
      <c r="I1263" s="41"/>
      <c r="J1263" s="42"/>
      <c r="K1263" s="41"/>
      <c r="L1263" s="41"/>
      <c r="M1263" s="127"/>
      <c r="N1263" s="41"/>
      <c r="O1263" s="41"/>
      <c r="P1263" s="41"/>
      <c r="Q1263" s="42"/>
      <c r="R1263" s="35"/>
      <c r="S1263" s="35"/>
      <c r="T1263" s="35"/>
      <c r="U1263" s="35"/>
      <c r="V1263" s="121"/>
      <c r="W1263" s="42"/>
      <c r="X1263" s="42"/>
      <c r="Y1263" s="42"/>
      <c r="Z1263" s="42"/>
      <c r="AA1263" s="42"/>
      <c r="AB1263" s="42"/>
      <c r="AC1263" s="42"/>
      <c r="AD1263" s="42"/>
      <c r="AE1263" s="42"/>
      <c r="AF1263" s="42"/>
      <c r="AG1263" s="42"/>
      <c r="AH1263" s="42"/>
      <c r="AI1263" s="42"/>
      <c r="AJ1263" s="42"/>
      <c r="AK1263" s="42"/>
      <c r="AL1263" s="42"/>
      <c r="AM1263" s="42"/>
    </row>
    <row r="1264" spans="1:39" x14ac:dyDescent="0.25">
      <c r="A1264" s="38" t="s">
        <v>1615</v>
      </c>
      <c r="B1264" s="42"/>
      <c r="C1264" s="42"/>
      <c r="D1264" s="42"/>
      <c r="E1264" s="41"/>
      <c r="F1264" s="41"/>
      <c r="G1264" s="41"/>
      <c r="H1264" s="41"/>
      <c r="I1264" s="41"/>
      <c r="J1264" s="42"/>
      <c r="K1264" s="41"/>
      <c r="L1264" s="41"/>
      <c r="M1264" s="127"/>
      <c r="N1264" s="41"/>
      <c r="O1264" s="41"/>
      <c r="P1264" s="41"/>
      <c r="Q1264" s="42"/>
      <c r="R1264" s="35"/>
      <c r="S1264" s="35"/>
      <c r="T1264" s="35"/>
      <c r="U1264" s="35"/>
      <c r="V1264" s="121"/>
      <c r="W1264" s="42"/>
      <c r="X1264" s="42"/>
      <c r="Y1264" s="42"/>
      <c r="Z1264" s="42"/>
      <c r="AA1264" s="42"/>
      <c r="AB1264" s="42"/>
      <c r="AC1264" s="42"/>
      <c r="AD1264" s="42"/>
      <c r="AE1264" s="42"/>
      <c r="AF1264" s="42"/>
      <c r="AG1264" s="42"/>
      <c r="AH1264" s="42"/>
      <c r="AI1264" s="42"/>
      <c r="AJ1264" s="42"/>
      <c r="AK1264" s="42"/>
      <c r="AL1264" s="42"/>
      <c r="AM1264" s="42"/>
    </row>
    <row r="1265" spans="1:39" x14ac:dyDescent="0.25">
      <c r="A1265" s="38" t="s">
        <v>1616</v>
      </c>
      <c r="B1265" s="42"/>
      <c r="C1265" s="42"/>
      <c r="D1265" s="42"/>
      <c r="E1265" s="41"/>
      <c r="F1265" s="41"/>
      <c r="G1265" s="41"/>
      <c r="H1265" s="41"/>
      <c r="I1265" s="41"/>
      <c r="J1265" s="42"/>
      <c r="K1265" s="41"/>
      <c r="L1265" s="41"/>
      <c r="M1265" s="127"/>
      <c r="N1265" s="41"/>
      <c r="O1265" s="41"/>
      <c r="P1265" s="41"/>
      <c r="Q1265" s="42"/>
      <c r="R1265" s="35"/>
      <c r="S1265" s="35"/>
      <c r="T1265" s="35"/>
      <c r="U1265" s="35"/>
      <c r="V1265" s="121"/>
      <c r="W1265" s="42"/>
      <c r="X1265" s="42"/>
      <c r="Y1265" s="42"/>
      <c r="Z1265" s="42"/>
      <c r="AA1265" s="42"/>
      <c r="AB1265" s="42"/>
      <c r="AC1265" s="42"/>
      <c r="AD1265" s="42"/>
      <c r="AE1265" s="42"/>
      <c r="AF1265" s="42"/>
      <c r="AG1265" s="42"/>
      <c r="AH1265" s="42"/>
      <c r="AI1265" s="42"/>
      <c r="AJ1265" s="42"/>
      <c r="AK1265" s="42"/>
      <c r="AL1265" s="42"/>
      <c r="AM1265" s="42"/>
    </row>
    <row r="1266" spans="1:39" x14ac:dyDescent="0.25">
      <c r="A1266" s="38" t="s">
        <v>1617</v>
      </c>
      <c r="B1266" s="42"/>
      <c r="C1266" s="42"/>
      <c r="D1266" s="42"/>
      <c r="E1266" s="41"/>
      <c r="F1266" s="41"/>
      <c r="G1266" s="41"/>
      <c r="H1266" s="41"/>
      <c r="I1266" s="41"/>
      <c r="J1266" s="42"/>
      <c r="K1266" s="41"/>
      <c r="L1266" s="41"/>
      <c r="M1266" s="127"/>
      <c r="N1266" s="41"/>
      <c r="O1266" s="41"/>
      <c r="P1266" s="41"/>
      <c r="Q1266" s="42"/>
      <c r="R1266" s="35"/>
      <c r="S1266" s="35"/>
      <c r="T1266" s="35"/>
      <c r="U1266" s="35"/>
      <c r="V1266" s="121"/>
      <c r="W1266" s="42"/>
      <c r="X1266" s="42"/>
      <c r="Y1266" s="42"/>
      <c r="Z1266" s="42"/>
      <c r="AA1266" s="42"/>
      <c r="AB1266" s="42"/>
      <c r="AC1266" s="42"/>
      <c r="AD1266" s="42"/>
      <c r="AE1266" s="42"/>
      <c r="AF1266" s="42"/>
      <c r="AG1266" s="42"/>
      <c r="AH1266" s="42"/>
      <c r="AI1266" s="42"/>
      <c r="AJ1266" s="42"/>
      <c r="AK1266" s="42"/>
      <c r="AL1266" s="42"/>
      <c r="AM1266" s="42"/>
    </row>
    <row r="1267" spans="1:39" x14ac:dyDescent="0.25">
      <c r="A1267" s="38" t="s">
        <v>1618</v>
      </c>
      <c r="B1267" s="42"/>
      <c r="C1267" s="42"/>
      <c r="D1267" s="42"/>
      <c r="E1267" s="41"/>
      <c r="F1267" s="41"/>
      <c r="G1267" s="41"/>
      <c r="H1267" s="41"/>
      <c r="I1267" s="41"/>
      <c r="J1267" s="42"/>
      <c r="K1267" s="41"/>
      <c r="L1267" s="41"/>
      <c r="M1267" s="127"/>
      <c r="N1267" s="41"/>
      <c r="O1267" s="41"/>
      <c r="P1267" s="41"/>
      <c r="Q1267" s="42"/>
      <c r="R1267" s="35"/>
      <c r="S1267" s="35"/>
      <c r="T1267" s="35"/>
      <c r="U1267" s="35"/>
      <c r="V1267" s="121"/>
      <c r="W1267" s="42"/>
      <c r="X1267" s="42"/>
      <c r="Y1267" s="42"/>
      <c r="Z1267" s="42"/>
      <c r="AA1267" s="42"/>
      <c r="AB1267" s="42"/>
      <c r="AC1267" s="42"/>
      <c r="AD1267" s="42"/>
      <c r="AE1267" s="42"/>
      <c r="AF1267" s="42"/>
      <c r="AG1267" s="42"/>
      <c r="AH1267" s="42"/>
      <c r="AI1267" s="42"/>
      <c r="AJ1267" s="42"/>
      <c r="AK1267" s="42"/>
      <c r="AL1267" s="42"/>
      <c r="AM1267" s="42"/>
    </row>
    <row r="1268" spans="1:39" x14ac:dyDescent="0.25">
      <c r="A1268" s="38" t="s">
        <v>1619</v>
      </c>
      <c r="B1268" s="42"/>
      <c r="C1268" s="42"/>
      <c r="D1268" s="42"/>
      <c r="E1268" s="41"/>
      <c r="F1268" s="41"/>
      <c r="G1268" s="41"/>
      <c r="H1268" s="41"/>
      <c r="I1268" s="41"/>
      <c r="J1268" s="42"/>
      <c r="K1268" s="41"/>
      <c r="L1268" s="41"/>
      <c r="M1268" s="127"/>
      <c r="N1268" s="41"/>
      <c r="O1268" s="41"/>
      <c r="P1268" s="41"/>
      <c r="Q1268" s="42"/>
      <c r="R1268" s="35"/>
      <c r="S1268" s="35"/>
      <c r="T1268" s="35"/>
      <c r="U1268" s="35"/>
      <c r="V1268" s="121"/>
      <c r="W1268" s="42"/>
      <c r="X1268" s="42"/>
      <c r="Y1268" s="42"/>
      <c r="Z1268" s="42"/>
      <c r="AA1268" s="42"/>
      <c r="AB1268" s="42"/>
      <c r="AC1268" s="42"/>
      <c r="AD1268" s="42"/>
      <c r="AE1268" s="42"/>
      <c r="AF1268" s="42"/>
      <c r="AG1268" s="42"/>
      <c r="AH1268" s="42"/>
      <c r="AI1268" s="42"/>
      <c r="AJ1268" s="42"/>
      <c r="AK1268" s="42"/>
      <c r="AL1268" s="42"/>
      <c r="AM1268" s="42"/>
    </row>
    <row r="1269" spans="1:39" x14ac:dyDescent="0.25">
      <c r="A1269" s="38" t="s">
        <v>1620</v>
      </c>
      <c r="B1269" s="42"/>
      <c r="C1269" s="42"/>
      <c r="D1269" s="42"/>
      <c r="E1269" s="41"/>
      <c r="F1269" s="41"/>
      <c r="G1269" s="41"/>
      <c r="H1269" s="41"/>
      <c r="I1269" s="41"/>
      <c r="J1269" s="42"/>
      <c r="K1269" s="41"/>
      <c r="L1269" s="41"/>
      <c r="M1269" s="127"/>
      <c r="N1269" s="41"/>
      <c r="O1269" s="41"/>
      <c r="P1269" s="41"/>
      <c r="Q1269" s="42"/>
      <c r="R1269" s="35"/>
      <c r="S1269" s="35"/>
      <c r="T1269" s="35"/>
      <c r="U1269" s="35"/>
      <c r="V1269" s="121"/>
      <c r="W1269" s="42"/>
      <c r="X1269" s="42"/>
      <c r="Y1269" s="42"/>
      <c r="Z1269" s="42"/>
      <c r="AA1269" s="42"/>
      <c r="AB1269" s="42"/>
      <c r="AC1269" s="42"/>
      <c r="AD1269" s="42"/>
      <c r="AE1269" s="42"/>
      <c r="AF1269" s="42"/>
      <c r="AG1269" s="42"/>
      <c r="AH1269" s="42"/>
      <c r="AI1269" s="42"/>
      <c r="AJ1269" s="42"/>
      <c r="AK1269" s="42"/>
      <c r="AL1269" s="42"/>
      <c r="AM1269" s="42"/>
    </row>
    <row r="1270" spans="1:39" x14ac:dyDescent="0.25">
      <c r="A1270" s="38" t="s">
        <v>1621</v>
      </c>
      <c r="B1270" s="42"/>
      <c r="C1270" s="42"/>
      <c r="D1270" s="42"/>
      <c r="E1270" s="41"/>
      <c r="F1270" s="41"/>
      <c r="G1270" s="41"/>
      <c r="H1270" s="41"/>
      <c r="I1270" s="41"/>
      <c r="J1270" s="42"/>
      <c r="K1270" s="41"/>
      <c r="L1270" s="41"/>
      <c r="M1270" s="127"/>
      <c r="N1270" s="41"/>
      <c r="O1270" s="41"/>
      <c r="P1270" s="41"/>
      <c r="Q1270" s="42"/>
      <c r="R1270" s="35"/>
      <c r="S1270" s="35"/>
      <c r="T1270" s="35"/>
      <c r="U1270" s="35"/>
      <c r="V1270" s="121"/>
      <c r="W1270" s="42"/>
      <c r="X1270" s="42"/>
      <c r="Y1270" s="42"/>
      <c r="Z1270" s="42"/>
      <c r="AA1270" s="42"/>
      <c r="AB1270" s="42"/>
      <c r="AC1270" s="42"/>
      <c r="AD1270" s="42"/>
      <c r="AE1270" s="42"/>
      <c r="AF1270" s="42"/>
      <c r="AG1270" s="42"/>
      <c r="AH1270" s="42"/>
      <c r="AI1270" s="42"/>
      <c r="AJ1270" s="42"/>
      <c r="AK1270" s="42"/>
      <c r="AL1270" s="42"/>
      <c r="AM1270" s="42"/>
    </row>
    <row r="1271" spans="1:39" x14ac:dyDescent="0.25">
      <c r="A1271" s="38" t="s">
        <v>1622</v>
      </c>
      <c r="B1271" s="42"/>
      <c r="C1271" s="42"/>
      <c r="D1271" s="42"/>
      <c r="E1271" s="41"/>
      <c r="F1271" s="41"/>
      <c r="G1271" s="41"/>
      <c r="H1271" s="41"/>
      <c r="I1271" s="41"/>
      <c r="J1271" s="42"/>
      <c r="K1271" s="41"/>
      <c r="L1271" s="41"/>
      <c r="M1271" s="127"/>
      <c r="N1271" s="41"/>
      <c r="O1271" s="41"/>
      <c r="P1271" s="41"/>
      <c r="Q1271" s="42"/>
      <c r="R1271" s="35"/>
      <c r="S1271" s="35"/>
      <c r="T1271" s="35"/>
      <c r="U1271" s="35"/>
      <c r="V1271" s="121"/>
      <c r="W1271" s="42"/>
      <c r="X1271" s="42"/>
      <c r="Y1271" s="42"/>
      <c r="Z1271" s="42"/>
      <c r="AA1271" s="42"/>
      <c r="AB1271" s="42"/>
      <c r="AC1271" s="42"/>
      <c r="AD1271" s="42"/>
      <c r="AE1271" s="42"/>
      <c r="AF1271" s="42"/>
      <c r="AG1271" s="42"/>
      <c r="AH1271" s="42"/>
      <c r="AI1271" s="42"/>
      <c r="AJ1271" s="42"/>
      <c r="AK1271" s="42"/>
      <c r="AL1271" s="42"/>
      <c r="AM1271" s="42"/>
    </row>
    <row r="1272" spans="1:39" x14ac:dyDescent="0.25">
      <c r="A1272" s="38" t="s">
        <v>1623</v>
      </c>
      <c r="B1272" s="42"/>
      <c r="C1272" s="42"/>
      <c r="D1272" s="42"/>
      <c r="E1272" s="41"/>
      <c r="F1272" s="41"/>
      <c r="G1272" s="41"/>
      <c r="H1272" s="41"/>
      <c r="I1272" s="41"/>
      <c r="J1272" s="42"/>
      <c r="K1272" s="41"/>
      <c r="L1272" s="41"/>
      <c r="M1272" s="127"/>
      <c r="N1272" s="41"/>
      <c r="O1272" s="41"/>
      <c r="P1272" s="41"/>
      <c r="Q1272" s="42"/>
      <c r="R1272" s="35"/>
      <c r="S1272" s="35"/>
      <c r="T1272" s="35"/>
      <c r="U1272" s="35"/>
      <c r="V1272" s="121"/>
      <c r="W1272" s="42"/>
      <c r="X1272" s="42"/>
      <c r="Y1272" s="42"/>
      <c r="Z1272" s="42"/>
      <c r="AA1272" s="42"/>
      <c r="AB1272" s="42"/>
      <c r="AC1272" s="42"/>
      <c r="AD1272" s="42"/>
      <c r="AE1272" s="42"/>
      <c r="AF1272" s="42"/>
      <c r="AG1272" s="42"/>
      <c r="AH1272" s="42"/>
      <c r="AI1272" s="42"/>
      <c r="AJ1272" s="42"/>
      <c r="AK1272" s="42"/>
      <c r="AL1272" s="42"/>
      <c r="AM1272" s="42"/>
    </row>
    <row r="1273" spans="1:39" x14ac:dyDescent="0.25">
      <c r="A1273" s="38" t="s">
        <v>1624</v>
      </c>
      <c r="B1273" s="42"/>
      <c r="C1273" s="42"/>
      <c r="D1273" s="42"/>
      <c r="E1273" s="41"/>
      <c r="F1273" s="41"/>
      <c r="G1273" s="41"/>
      <c r="H1273" s="41"/>
      <c r="I1273" s="41"/>
      <c r="J1273" s="42"/>
      <c r="K1273" s="41"/>
      <c r="L1273" s="41"/>
      <c r="M1273" s="127"/>
      <c r="N1273" s="41"/>
      <c r="O1273" s="41"/>
      <c r="P1273" s="41"/>
      <c r="Q1273" s="42"/>
      <c r="R1273" s="35"/>
      <c r="S1273" s="35"/>
      <c r="T1273" s="35"/>
      <c r="U1273" s="35"/>
      <c r="V1273" s="121"/>
      <c r="W1273" s="42"/>
      <c r="X1273" s="42"/>
      <c r="Y1273" s="42"/>
      <c r="Z1273" s="42"/>
      <c r="AA1273" s="42"/>
      <c r="AB1273" s="42"/>
      <c r="AC1273" s="42"/>
      <c r="AD1273" s="42"/>
      <c r="AE1273" s="42"/>
      <c r="AF1273" s="42"/>
      <c r="AG1273" s="42"/>
      <c r="AH1273" s="42"/>
      <c r="AI1273" s="42"/>
      <c r="AJ1273" s="42"/>
      <c r="AK1273" s="42"/>
      <c r="AL1273" s="42"/>
      <c r="AM1273" s="42"/>
    </row>
    <row r="1274" spans="1:39" x14ac:dyDescent="0.25">
      <c r="A1274" s="38" t="s">
        <v>1625</v>
      </c>
      <c r="B1274" s="42"/>
      <c r="C1274" s="42"/>
      <c r="D1274" s="42"/>
      <c r="E1274" s="41"/>
      <c r="F1274" s="41"/>
      <c r="G1274" s="41"/>
      <c r="H1274" s="41"/>
      <c r="I1274" s="41"/>
      <c r="J1274" s="42"/>
      <c r="K1274" s="41"/>
      <c r="L1274" s="41"/>
      <c r="M1274" s="127"/>
      <c r="N1274" s="41"/>
      <c r="O1274" s="41"/>
      <c r="P1274" s="41"/>
      <c r="Q1274" s="42"/>
      <c r="R1274" s="35"/>
      <c r="S1274" s="35"/>
      <c r="T1274" s="35"/>
      <c r="U1274" s="35"/>
      <c r="V1274" s="121"/>
      <c r="W1274" s="42"/>
      <c r="X1274" s="42"/>
      <c r="Y1274" s="42"/>
      <c r="Z1274" s="42"/>
      <c r="AA1274" s="42"/>
      <c r="AB1274" s="42"/>
      <c r="AC1274" s="42"/>
      <c r="AD1274" s="42"/>
      <c r="AE1274" s="42"/>
      <c r="AF1274" s="42"/>
      <c r="AG1274" s="42"/>
      <c r="AH1274" s="42"/>
      <c r="AI1274" s="42"/>
      <c r="AJ1274" s="42"/>
      <c r="AK1274" s="42"/>
      <c r="AL1274" s="42"/>
      <c r="AM1274" s="42"/>
    </row>
    <row r="1275" spans="1:39" x14ac:dyDescent="0.25">
      <c r="A1275" s="38" t="s">
        <v>1626</v>
      </c>
      <c r="B1275" s="42"/>
      <c r="C1275" s="42"/>
      <c r="D1275" s="42"/>
      <c r="E1275" s="41"/>
      <c r="F1275" s="41"/>
      <c r="G1275" s="41"/>
      <c r="H1275" s="41"/>
      <c r="I1275" s="41"/>
      <c r="J1275" s="42"/>
      <c r="K1275" s="41"/>
      <c r="L1275" s="41"/>
      <c r="M1275" s="127"/>
      <c r="N1275" s="41"/>
      <c r="O1275" s="41"/>
      <c r="P1275" s="41"/>
      <c r="Q1275" s="42"/>
      <c r="R1275" s="35"/>
      <c r="S1275" s="35"/>
      <c r="T1275" s="35"/>
      <c r="U1275" s="35"/>
      <c r="V1275" s="121"/>
      <c r="W1275" s="42"/>
      <c r="X1275" s="42"/>
      <c r="Y1275" s="42"/>
      <c r="Z1275" s="42"/>
      <c r="AA1275" s="42"/>
      <c r="AB1275" s="42"/>
      <c r="AC1275" s="42"/>
      <c r="AD1275" s="42"/>
      <c r="AE1275" s="42"/>
      <c r="AF1275" s="42"/>
      <c r="AG1275" s="42"/>
      <c r="AH1275" s="42"/>
      <c r="AI1275" s="42"/>
      <c r="AJ1275" s="42"/>
      <c r="AK1275" s="42"/>
      <c r="AL1275" s="42"/>
      <c r="AM1275" s="42"/>
    </row>
    <row r="1276" spans="1:39" x14ac:dyDescent="0.25">
      <c r="A1276" s="38" t="s">
        <v>1627</v>
      </c>
      <c r="B1276" s="42"/>
      <c r="C1276" s="42"/>
      <c r="D1276" s="42"/>
      <c r="E1276" s="41"/>
      <c r="F1276" s="41"/>
      <c r="G1276" s="41"/>
      <c r="H1276" s="41"/>
      <c r="I1276" s="41"/>
      <c r="J1276" s="42"/>
      <c r="K1276" s="41"/>
      <c r="L1276" s="41"/>
      <c r="M1276" s="127"/>
      <c r="N1276" s="41"/>
      <c r="O1276" s="41"/>
      <c r="P1276" s="41"/>
      <c r="Q1276" s="42"/>
      <c r="R1276" s="35"/>
      <c r="S1276" s="35"/>
      <c r="T1276" s="35"/>
      <c r="U1276" s="35"/>
      <c r="V1276" s="121"/>
      <c r="W1276" s="42"/>
      <c r="X1276" s="42"/>
      <c r="Y1276" s="42"/>
      <c r="Z1276" s="42"/>
      <c r="AA1276" s="42"/>
      <c r="AB1276" s="42"/>
      <c r="AC1276" s="42"/>
      <c r="AD1276" s="42"/>
      <c r="AE1276" s="42"/>
      <c r="AF1276" s="42"/>
      <c r="AG1276" s="42"/>
      <c r="AH1276" s="42"/>
      <c r="AI1276" s="42"/>
      <c r="AJ1276" s="42"/>
      <c r="AK1276" s="42"/>
      <c r="AL1276" s="42"/>
      <c r="AM1276" s="42"/>
    </row>
    <row r="1277" spans="1:39" x14ac:dyDescent="0.25">
      <c r="A1277" s="38" t="s">
        <v>1628</v>
      </c>
      <c r="B1277" s="42"/>
      <c r="C1277" s="42"/>
      <c r="D1277" s="42"/>
      <c r="E1277" s="41"/>
      <c r="F1277" s="41"/>
      <c r="G1277" s="41"/>
      <c r="H1277" s="41"/>
      <c r="I1277" s="41"/>
      <c r="J1277" s="42"/>
      <c r="K1277" s="41"/>
      <c r="L1277" s="41"/>
      <c r="M1277" s="127"/>
      <c r="N1277" s="41"/>
      <c r="O1277" s="41"/>
      <c r="P1277" s="41"/>
      <c r="Q1277" s="42"/>
      <c r="R1277" s="35"/>
      <c r="S1277" s="35"/>
      <c r="T1277" s="35"/>
      <c r="U1277" s="35"/>
      <c r="V1277" s="121"/>
      <c r="W1277" s="42"/>
      <c r="X1277" s="42"/>
      <c r="Y1277" s="42"/>
      <c r="Z1277" s="42"/>
      <c r="AA1277" s="42"/>
      <c r="AB1277" s="42"/>
      <c r="AC1277" s="42"/>
      <c r="AD1277" s="42"/>
      <c r="AE1277" s="42"/>
      <c r="AF1277" s="42"/>
      <c r="AG1277" s="42"/>
      <c r="AH1277" s="42"/>
      <c r="AI1277" s="42"/>
      <c r="AJ1277" s="42"/>
      <c r="AK1277" s="42"/>
      <c r="AL1277" s="42"/>
      <c r="AM1277" s="42"/>
    </row>
    <row r="1278" spans="1:39" x14ac:dyDescent="0.25">
      <c r="A1278" s="38" t="s">
        <v>1629</v>
      </c>
      <c r="B1278" s="42"/>
      <c r="C1278" s="42"/>
      <c r="D1278" s="42"/>
      <c r="E1278" s="41"/>
      <c r="F1278" s="41"/>
      <c r="G1278" s="41"/>
      <c r="H1278" s="41"/>
      <c r="I1278" s="41"/>
      <c r="J1278" s="42"/>
      <c r="K1278" s="41"/>
      <c r="L1278" s="41"/>
      <c r="M1278" s="127"/>
      <c r="N1278" s="41"/>
      <c r="O1278" s="41"/>
      <c r="P1278" s="41"/>
      <c r="Q1278" s="42"/>
      <c r="R1278" s="35"/>
      <c r="S1278" s="35"/>
      <c r="T1278" s="35"/>
      <c r="U1278" s="35"/>
      <c r="V1278" s="121"/>
      <c r="W1278" s="42"/>
      <c r="X1278" s="42"/>
      <c r="Y1278" s="42"/>
      <c r="Z1278" s="42"/>
      <c r="AA1278" s="42"/>
      <c r="AB1278" s="42"/>
      <c r="AC1278" s="42"/>
      <c r="AD1278" s="42"/>
      <c r="AE1278" s="42"/>
      <c r="AF1278" s="42"/>
      <c r="AG1278" s="42"/>
      <c r="AH1278" s="42"/>
      <c r="AI1278" s="42"/>
      <c r="AJ1278" s="42"/>
      <c r="AK1278" s="42"/>
      <c r="AL1278" s="42"/>
      <c r="AM1278" s="42"/>
    </row>
    <row r="1279" spans="1:39" x14ac:dyDescent="0.25">
      <c r="A1279" s="38" t="s">
        <v>1630</v>
      </c>
      <c r="B1279" s="42"/>
      <c r="C1279" s="42"/>
      <c r="D1279" s="42"/>
      <c r="E1279" s="41"/>
      <c r="F1279" s="41"/>
      <c r="G1279" s="41"/>
      <c r="H1279" s="41"/>
      <c r="I1279" s="41"/>
      <c r="J1279" s="42"/>
      <c r="K1279" s="41"/>
      <c r="L1279" s="41"/>
      <c r="M1279" s="127"/>
      <c r="N1279" s="41"/>
      <c r="O1279" s="41"/>
      <c r="P1279" s="41"/>
      <c r="Q1279" s="42"/>
      <c r="R1279" s="35"/>
      <c r="S1279" s="35"/>
      <c r="T1279" s="35"/>
      <c r="U1279" s="35"/>
      <c r="V1279" s="121"/>
      <c r="W1279" s="42"/>
      <c r="X1279" s="42"/>
      <c r="Y1279" s="42"/>
      <c r="Z1279" s="42"/>
      <c r="AA1279" s="42"/>
      <c r="AB1279" s="42"/>
      <c r="AC1279" s="42"/>
      <c r="AD1279" s="42"/>
      <c r="AE1279" s="42"/>
      <c r="AF1279" s="42"/>
      <c r="AG1279" s="42"/>
      <c r="AH1279" s="42"/>
      <c r="AI1279" s="42"/>
      <c r="AJ1279" s="42"/>
      <c r="AK1279" s="42"/>
      <c r="AL1279" s="42"/>
      <c r="AM1279" s="42"/>
    </row>
    <row r="1280" spans="1:39" x14ac:dyDescent="0.25">
      <c r="A1280" s="38" t="s">
        <v>1631</v>
      </c>
      <c r="B1280" s="42"/>
      <c r="C1280" s="42"/>
      <c r="D1280" s="42"/>
      <c r="E1280" s="41"/>
      <c r="F1280" s="41"/>
      <c r="G1280" s="41"/>
      <c r="H1280" s="41"/>
      <c r="I1280" s="41"/>
      <c r="J1280" s="42"/>
      <c r="K1280" s="41"/>
      <c r="L1280" s="41"/>
      <c r="M1280" s="127"/>
      <c r="N1280" s="41"/>
      <c r="O1280" s="41"/>
      <c r="P1280" s="41"/>
      <c r="Q1280" s="42"/>
      <c r="R1280" s="35"/>
      <c r="S1280" s="35"/>
      <c r="T1280" s="35"/>
      <c r="U1280" s="35"/>
      <c r="V1280" s="121"/>
      <c r="W1280" s="42"/>
      <c r="X1280" s="42"/>
      <c r="Y1280" s="42"/>
      <c r="Z1280" s="42"/>
      <c r="AA1280" s="42"/>
      <c r="AB1280" s="42"/>
      <c r="AC1280" s="42"/>
      <c r="AD1280" s="42"/>
      <c r="AE1280" s="42"/>
      <c r="AF1280" s="42"/>
      <c r="AG1280" s="42"/>
      <c r="AH1280" s="42"/>
      <c r="AI1280" s="42"/>
      <c r="AJ1280" s="42"/>
      <c r="AK1280" s="42"/>
      <c r="AL1280" s="42"/>
      <c r="AM1280" s="42"/>
    </row>
    <row r="1281" spans="1:39" x14ac:dyDescent="0.25">
      <c r="A1281" s="38" t="s">
        <v>1632</v>
      </c>
      <c r="B1281" s="42"/>
      <c r="C1281" s="42"/>
      <c r="D1281" s="42"/>
      <c r="E1281" s="41"/>
      <c r="F1281" s="41"/>
      <c r="G1281" s="41"/>
      <c r="H1281" s="41"/>
      <c r="I1281" s="41"/>
      <c r="J1281" s="42"/>
      <c r="K1281" s="41"/>
      <c r="L1281" s="41"/>
      <c r="M1281" s="127"/>
      <c r="N1281" s="41"/>
      <c r="O1281" s="41"/>
      <c r="P1281" s="41"/>
      <c r="Q1281" s="42"/>
      <c r="R1281" s="35"/>
      <c r="S1281" s="35"/>
      <c r="T1281" s="35"/>
      <c r="U1281" s="35"/>
      <c r="V1281" s="121"/>
      <c r="W1281" s="42"/>
      <c r="X1281" s="42"/>
      <c r="Y1281" s="42"/>
      <c r="Z1281" s="42"/>
      <c r="AA1281" s="42"/>
      <c r="AB1281" s="42"/>
      <c r="AC1281" s="42"/>
      <c r="AD1281" s="42"/>
      <c r="AE1281" s="42"/>
      <c r="AF1281" s="42"/>
      <c r="AG1281" s="42"/>
      <c r="AH1281" s="42"/>
      <c r="AI1281" s="42"/>
      <c r="AJ1281" s="42"/>
      <c r="AK1281" s="42"/>
      <c r="AL1281" s="42"/>
      <c r="AM1281" s="42"/>
    </row>
    <row r="1282" spans="1:39" x14ac:dyDescent="0.25">
      <c r="A1282" s="38" t="s">
        <v>1633</v>
      </c>
      <c r="B1282" s="42"/>
      <c r="C1282" s="42"/>
      <c r="D1282" s="42"/>
      <c r="E1282" s="41"/>
      <c r="F1282" s="41"/>
      <c r="G1282" s="41"/>
      <c r="H1282" s="41"/>
      <c r="I1282" s="41"/>
      <c r="J1282" s="42"/>
      <c r="K1282" s="41"/>
      <c r="L1282" s="41"/>
      <c r="M1282" s="127"/>
      <c r="N1282" s="41"/>
      <c r="O1282" s="41"/>
      <c r="P1282" s="41"/>
      <c r="Q1282" s="42"/>
      <c r="R1282" s="35"/>
      <c r="S1282" s="35"/>
      <c r="T1282" s="35"/>
      <c r="U1282" s="35"/>
      <c r="V1282" s="121"/>
      <c r="W1282" s="42"/>
      <c r="X1282" s="42"/>
      <c r="Y1282" s="42"/>
      <c r="Z1282" s="42"/>
      <c r="AA1282" s="42"/>
      <c r="AB1282" s="42"/>
      <c r="AC1282" s="42"/>
      <c r="AD1282" s="42"/>
      <c r="AE1282" s="42"/>
      <c r="AF1282" s="42"/>
      <c r="AG1282" s="42"/>
      <c r="AH1282" s="42"/>
      <c r="AI1282" s="42"/>
      <c r="AJ1282" s="42"/>
      <c r="AK1282" s="42"/>
      <c r="AL1282" s="42"/>
      <c r="AM1282" s="42"/>
    </row>
    <row r="1283" spans="1:39" x14ac:dyDescent="0.25">
      <c r="A1283" s="38" t="s">
        <v>1634</v>
      </c>
      <c r="B1283" s="42"/>
      <c r="C1283" s="42"/>
      <c r="D1283" s="42"/>
      <c r="E1283" s="41"/>
      <c r="F1283" s="41"/>
      <c r="G1283" s="41"/>
      <c r="H1283" s="41"/>
      <c r="I1283" s="41"/>
      <c r="J1283" s="42"/>
      <c r="K1283" s="41"/>
      <c r="L1283" s="41"/>
      <c r="M1283" s="127"/>
      <c r="N1283" s="41"/>
      <c r="O1283" s="41"/>
      <c r="P1283" s="41"/>
      <c r="Q1283" s="42"/>
      <c r="R1283" s="35"/>
      <c r="S1283" s="35"/>
      <c r="T1283" s="35"/>
      <c r="U1283" s="35"/>
      <c r="V1283" s="121"/>
      <c r="W1283" s="42"/>
      <c r="X1283" s="42"/>
      <c r="Y1283" s="42"/>
      <c r="Z1283" s="42"/>
      <c r="AA1283" s="42"/>
      <c r="AB1283" s="42"/>
      <c r="AC1283" s="42"/>
      <c r="AD1283" s="42"/>
      <c r="AE1283" s="42"/>
      <c r="AF1283" s="42"/>
      <c r="AG1283" s="42"/>
      <c r="AH1283" s="42"/>
      <c r="AI1283" s="42"/>
      <c r="AJ1283" s="42"/>
      <c r="AK1283" s="42"/>
      <c r="AL1283" s="42"/>
      <c r="AM1283" s="42"/>
    </row>
    <row r="1284" spans="1:39" x14ac:dyDescent="0.25">
      <c r="A1284" s="38" t="s">
        <v>1635</v>
      </c>
      <c r="B1284" s="42"/>
      <c r="C1284" s="42"/>
      <c r="D1284" s="42"/>
      <c r="E1284" s="41"/>
      <c r="F1284" s="41"/>
      <c r="G1284" s="41"/>
      <c r="H1284" s="41"/>
      <c r="I1284" s="41"/>
      <c r="J1284" s="42"/>
      <c r="K1284" s="41"/>
      <c r="L1284" s="41"/>
      <c r="M1284" s="127"/>
      <c r="N1284" s="41"/>
      <c r="O1284" s="41"/>
      <c r="P1284" s="41"/>
      <c r="Q1284" s="42"/>
      <c r="R1284" s="35"/>
      <c r="S1284" s="35"/>
      <c r="T1284" s="35"/>
      <c r="U1284" s="35"/>
      <c r="V1284" s="121"/>
      <c r="W1284" s="42"/>
      <c r="X1284" s="42"/>
      <c r="Y1284" s="42"/>
      <c r="Z1284" s="42"/>
      <c r="AA1284" s="42"/>
      <c r="AB1284" s="42"/>
      <c r="AC1284" s="42"/>
      <c r="AD1284" s="42"/>
      <c r="AE1284" s="42"/>
      <c r="AF1284" s="42"/>
      <c r="AG1284" s="42"/>
      <c r="AH1284" s="42"/>
      <c r="AI1284" s="42"/>
      <c r="AJ1284" s="42"/>
      <c r="AK1284" s="42"/>
      <c r="AL1284" s="42"/>
      <c r="AM1284" s="42"/>
    </row>
    <row r="1285" spans="1:39" x14ac:dyDescent="0.25">
      <c r="A1285" s="38" t="s">
        <v>1636</v>
      </c>
      <c r="B1285" s="42"/>
      <c r="C1285" s="42"/>
      <c r="D1285" s="42"/>
      <c r="E1285" s="41"/>
      <c r="F1285" s="41"/>
      <c r="G1285" s="41"/>
      <c r="H1285" s="41"/>
      <c r="I1285" s="41"/>
      <c r="J1285" s="42"/>
      <c r="K1285" s="41"/>
      <c r="L1285" s="41"/>
      <c r="M1285" s="127"/>
      <c r="N1285" s="41"/>
      <c r="O1285" s="41"/>
      <c r="P1285" s="41"/>
      <c r="Q1285" s="42"/>
      <c r="R1285" s="35"/>
      <c r="S1285" s="35"/>
      <c r="T1285" s="35"/>
      <c r="U1285" s="35"/>
      <c r="V1285" s="121"/>
      <c r="W1285" s="42"/>
      <c r="X1285" s="42"/>
      <c r="Y1285" s="42"/>
      <c r="Z1285" s="42"/>
      <c r="AA1285" s="42"/>
      <c r="AB1285" s="42"/>
      <c r="AC1285" s="42"/>
      <c r="AD1285" s="42"/>
      <c r="AE1285" s="42"/>
      <c r="AF1285" s="42"/>
      <c r="AG1285" s="42"/>
      <c r="AH1285" s="42"/>
      <c r="AI1285" s="42"/>
      <c r="AJ1285" s="42"/>
      <c r="AK1285" s="42"/>
      <c r="AL1285" s="42"/>
      <c r="AM1285" s="42"/>
    </row>
    <row r="1286" spans="1:39" x14ac:dyDescent="0.25">
      <c r="A1286" s="38" t="s">
        <v>1637</v>
      </c>
      <c r="B1286" s="42"/>
      <c r="C1286" s="42"/>
      <c r="D1286" s="42"/>
      <c r="E1286" s="41"/>
      <c r="F1286" s="41"/>
      <c r="G1286" s="41"/>
      <c r="H1286" s="41"/>
      <c r="I1286" s="41"/>
      <c r="J1286" s="42"/>
      <c r="K1286" s="41"/>
      <c r="L1286" s="41"/>
      <c r="M1286" s="127"/>
      <c r="N1286" s="41"/>
      <c r="O1286" s="41"/>
      <c r="P1286" s="41"/>
      <c r="Q1286" s="42"/>
      <c r="R1286" s="35"/>
      <c r="S1286" s="35"/>
      <c r="T1286" s="35"/>
      <c r="U1286" s="35"/>
      <c r="V1286" s="121"/>
      <c r="W1286" s="42"/>
      <c r="X1286" s="42"/>
      <c r="Y1286" s="42"/>
      <c r="Z1286" s="42"/>
      <c r="AA1286" s="42"/>
      <c r="AB1286" s="42"/>
      <c r="AC1286" s="42"/>
      <c r="AD1286" s="42"/>
      <c r="AE1286" s="42"/>
      <c r="AF1286" s="42"/>
      <c r="AG1286" s="42"/>
      <c r="AH1286" s="42"/>
      <c r="AI1286" s="42"/>
      <c r="AJ1286" s="42"/>
      <c r="AK1286" s="42"/>
      <c r="AL1286" s="42"/>
      <c r="AM1286" s="42"/>
    </row>
    <row r="1287" spans="1:39" x14ac:dyDescent="0.25">
      <c r="A1287" s="38" t="s">
        <v>1638</v>
      </c>
      <c r="B1287" s="42"/>
      <c r="C1287" s="42"/>
      <c r="D1287" s="42"/>
      <c r="E1287" s="41"/>
      <c r="F1287" s="41"/>
      <c r="G1287" s="41"/>
      <c r="H1287" s="41"/>
      <c r="I1287" s="41"/>
      <c r="J1287" s="42"/>
      <c r="K1287" s="41"/>
      <c r="L1287" s="41"/>
      <c r="M1287" s="127"/>
      <c r="N1287" s="41"/>
      <c r="O1287" s="41"/>
      <c r="P1287" s="41"/>
      <c r="Q1287" s="42"/>
      <c r="R1287" s="35"/>
      <c r="S1287" s="35"/>
      <c r="T1287" s="35"/>
      <c r="U1287" s="35"/>
      <c r="V1287" s="121"/>
      <c r="W1287" s="42"/>
      <c r="X1287" s="42"/>
      <c r="Y1287" s="42"/>
      <c r="Z1287" s="42"/>
      <c r="AA1287" s="42"/>
      <c r="AB1287" s="42"/>
      <c r="AC1287" s="42"/>
      <c r="AD1287" s="42"/>
      <c r="AE1287" s="42"/>
      <c r="AF1287" s="42"/>
      <c r="AG1287" s="42"/>
      <c r="AH1287" s="42"/>
      <c r="AI1287" s="42"/>
      <c r="AJ1287" s="42"/>
      <c r="AK1287" s="42"/>
      <c r="AL1287" s="42"/>
      <c r="AM1287" s="42"/>
    </row>
    <row r="1288" spans="1:39" x14ac:dyDescent="0.25">
      <c r="A1288" s="38" t="s">
        <v>1639</v>
      </c>
      <c r="B1288" s="42"/>
      <c r="C1288" s="42"/>
      <c r="D1288" s="42"/>
      <c r="E1288" s="41"/>
      <c r="F1288" s="41"/>
      <c r="G1288" s="41"/>
      <c r="H1288" s="41"/>
      <c r="I1288" s="41"/>
      <c r="J1288" s="42"/>
      <c r="K1288" s="41"/>
      <c r="L1288" s="41"/>
      <c r="M1288" s="127"/>
      <c r="N1288" s="41"/>
      <c r="O1288" s="41"/>
      <c r="P1288" s="41"/>
      <c r="Q1288" s="42"/>
      <c r="R1288" s="35"/>
      <c r="S1288" s="35"/>
      <c r="T1288" s="35"/>
      <c r="U1288" s="35"/>
      <c r="V1288" s="121"/>
      <c r="W1288" s="42"/>
      <c r="X1288" s="42"/>
      <c r="Y1288" s="42"/>
      <c r="Z1288" s="42"/>
      <c r="AA1288" s="42"/>
      <c r="AB1288" s="42"/>
      <c r="AC1288" s="42"/>
      <c r="AD1288" s="42"/>
      <c r="AE1288" s="42"/>
      <c r="AF1288" s="42"/>
      <c r="AG1288" s="42"/>
      <c r="AH1288" s="42"/>
      <c r="AI1288" s="42"/>
      <c r="AJ1288" s="42"/>
      <c r="AK1288" s="42"/>
      <c r="AL1288" s="42"/>
      <c r="AM1288" s="42"/>
    </row>
    <row r="1289" spans="1:39" x14ac:dyDescent="0.25">
      <c r="A1289" s="38" t="s">
        <v>1640</v>
      </c>
      <c r="B1289" s="42"/>
      <c r="C1289" s="42"/>
      <c r="D1289" s="42"/>
      <c r="E1289" s="41"/>
      <c r="F1289" s="41"/>
      <c r="G1289" s="41"/>
      <c r="H1289" s="41"/>
      <c r="I1289" s="41"/>
      <c r="J1289" s="42"/>
      <c r="K1289" s="41"/>
      <c r="L1289" s="41"/>
      <c r="M1289" s="127"/>
      <c r="N1289" s="41"/>
      <c r="O1289" s="41"/>
      <c r="P1289" s="41"/>
      <c r="Q1289" s="42"/>
      <c r="R1289" s="35"/>
      <c r="S1289" s="35"/>
      <c r="T1289" s="35"/>
      <c r="U1289" s="35"/>
      <c r="V1289" s="121"/>
      <c r="W1289" s="42"/>
      <c r="X1289" s="42"/>
      <c r="Y1289" s="42"/>
      <c r="Z1289" s="42"/>
      <c r="AA1289" s="42"/>
      <c r="AB1289" s="42"/>
      <c r="AC1289" s="42"/>
      <c r="AD1289" s="42"/>
      <c r="AE1289" s="42"/>
      <c r="AF1289" s="42"/>
      <c r="AG1289" s="42"/>
      <c r="AH1289" s="42"/>
      <c r="AI1289" s="42"/>
      <c r="AJ1289" s="42"/>
      <c r="AK1289" s="42"/>
      <c r="AL1289" s="42"/>
      <c r="AM1289" s="42"/>
    </row>
    <row r="1290" spans="1:39" x14ac:dyDescent="0.25">
      <c r="A1290" s="38" t="s">
        <v>1641</v>
      </c>
      <c r="B1290" s="42"/>
      <c r="C1290" s="42"/>
      <c r="D1290" s="42"/>
      <c r="E1290" s="41"/>
      <c r="F1290" s="41"/>
      <c r="G1290" s="41"/>
      <c r="H1290" s="41"/>
      <c r="I1290" s="41"/>
      <c r="J1290" s="42"/>
      <c r="K1290" s="41"/>
      <c r="L1290" s="41"/>
      <c r="M1290" s="127"/>
      <c r="N1290" s="41"/>
      <c r="O1290" s="41"/>
      <c r="P1290" s="41"/>
      <c r="Q1290" s="42"/>
      <c r="R1290" s="35"/>
      <c r="S1290" s="35"/>
      <c r="T1290" s="35"/>
      <c r="U1290" s="35"/>
      <c r="V1290" s="121"/>
      <c r="W1290" s="42"/>
      <c r="X1290" s="42"/>
      <c r="Y1290" s="42"/>
      <c r="Z1290" s="42"/>
      <c r="AA1290" s="42"/>
      <c r="AB1290" s="42"/>
      <c r="AC1290" s="42"/>
      <c r="AD1290" s="42"/>
      <c r="AE1290" s="42"/>
      <c r="AF1290" s="42"/>
      <c r="AG1290" s="42"/>
      <c r="AH1290" s="42"/>
      <c r="AI1290" s="42"/>
      <c r="AJ1290" s="42"/>
      <c r="AK1290" s="42"/>
      <c r="AL1290" s="42"/>
      <c r="AM1290" s="42"/>
    </row>
    <row r="1291" spans="1:39" x14ac:dyDescent="0.25">
      <c r="A1291" s="38" t="s">
        <v>1642</v>
      </c>
      <c r="B1291" s="42"/>
      <c r="C1291" s="42"/>
      <c r="D1291" s="42"/>
      <c r="E1291" s="41"/>
      <c r="F1291" s="41"/>
      <c r="G1291" s="41"/>
      <c r="H1291" s="41"/>
      <c r="I1291" s="41"/>
      <c r="J1291" s="42"/>
      <c r="K1291" s="41"/>
      <c r="L1291" s="41"/>
      <c r="M1291" s="127"/>
      <c r="N1291" s="41"/>
      <c r="O1291" s="41"/>
      <c r="P1291" s="41"/>
      <c r="Q1291" s="42"/>
      <c r="R1291" s="35"/>
      <c r="S1291" s="35"/>
      <c r="T1291" s="35"/>
      <c r="U1291" s="35"/>
      <c r="V1291" s="121"/>
      <c r="W1291" s="42"/>
      <c r="X1291" s="42"/>
      <c r="Y1291" s="42"/>
      <c r="Z1291" s="42"/>
      <c r="AA1291" s="42"/>
      <c r="AB1291" s="42"/>
      <c r="AC1291" s="42"/>
      <c r="AD1291" s="42"/>
      <c r="AE1291" s="42"/>
      <c r="AF1291" s="42"/>
      <c r="AG1291" s="42"/>
      <c r="AH1291" s="42"/>
      <c r="AI1291" s="42"/>
      <c r="AJ1291" s="42"/>
      <c r="AK1291" s="42"/>
      <c r="AL1291" s="42"/>
      <c r="AM1291" s="42"/>
    </row>
    <row r="1292" spans="1:39" x14ac:dyDescent="0.25">
      <c r="A1292" s="38" t="s">
        <v>1643</v>
      </c>
      <c r="B1292" s="42"/>
      <c r="C1292" s="42"/>
      <c r="D1292" s="42"/>
      <c r="E1292" s="41"/>
      <c r="F1292" s="41"/>
      <c r="G1292" s="41"/>
      <c r="H1292" s="41"/>
      <c r="I1292" s="41"/>
      <c r="J1292" s="42"/>
      <c r="K1292" s="41"/>
      <c r="L1292" s="41"/>
      <c r="M1292" s="127"/>
      <c r="N1292" s="41"/>
      <c r="O1292" s="41"/>
      <c r="P1292" s="41"/>
      <c r="Q1292" s="42"/>
      <c r="R1292" s="35"/>
      <c r="S1292" s="35"/>
      <c r="T1292" s="35"/>
      <c r="U1292" s="35"/>
      <c r="V1292" s="121"/>
      <c r="W1292" s="42"/>
      <c r="X1292" s="42"/>
      <c r="Y1292" s="42"/>
      <c r="Z1292" s="42"/>
      <c r="AA1292" s="42"/>
      <c r="AB1292" s="42"/>
      <c r="AC1292" s="42"/>
      <c r="AD1292" s="42"/>
      <c r="AE1292" s="42"/>
      <c r="AF1292" s="42"/>
      <c r="AG1292" s="42"/>
      <c r="AH1292" s="42"/>
      <c r="AI1292" s="42"/>
      <c r="AJ1292" s="42"/>
      <c r="AK1292" s="42"/>
      <c r="AL1292" s="42"/>
      <c r="AM1292" s="42"/>
    </row>
    <row r="1293" spans="1:39" x14ac:dyDescent="0.25">
      <c r="A1293" s="38" t="s">
        <v>1644</v>
      </c>
      <c r="B1293" s="42"/>
      <c r="C1293" s="42"/>
      <c r="D1293" s="42"/>
      <c r="E1293" s="41"/>
      <c r="F1293" s="41"/>
      <c r="G1293" s="41"/>
      <c r="H1293" s="41"/>
      <c r="I1293" s="41"/>
      <c r="J1293" s="42"/>
      <c r="K1293" s="41"/>
      <c r="L1293" s="41"/>
      <c r="M1293" s="127"/>
      <c r="N1293" s="41"/>
      <c r="O1293" s="41"/>
      <c r="P1293" s="41"/>
      <c r="Q1293" s="42"/>
      <c r="R1293" s="35"/>
      <c r="S1293" s="35"/>
      <c r="T1293" s="35"/>
      <c r="U1293" s="35"/>
      <c r="V1293" s="121"/>
      <c r="W1293" s="42"/>
      <c r="X1293" s="42"/>
      <c r="Y1293" s="42"/>
      <c r="Z1293" s="42"/>
      <c r="AA1293" s="42"/>
      <c r="AB1293" s="42"/>
      <c r="AC1293" s="42"/>
      <c r="AD1293" s="42"/>
      <c r="AE1293" s="42"/>
      <c r="AF1293" s="42"/>
      <c r="AG1293" s="42"/>
      <c r="AH1293" s="42"/>
      <c r="AI1293" s="42"/>
      <c r="AJ1293" s="42"/>
      <c r="AK1293" s="42"/>
      <c r="AL1293" s="42"/>
      <c r="AM1293" s="42"/>
    </row>
    <row r="1294" spans="1:39" x14ac:dyDescent="0.25">
      <c r="A1294" s="38" t="s">
        <v>1645</v>
      </c>
      <c r="B1294" s="42"/>
      <c r="C1294" s="42"/>
      <c r="D1294" s="42"/>
      <c r="E1294" s="41"/>
      <c r="F1294" s="41"/>
      <c r="G1294" s="41"/>
      <c r="H1294" s="41"/>
      <c r="I1294" s="41"/>
      <c r="J1294" s="42"/>
      <c r="K1294" s="41"/>
      <c r="L1294" s="41"/>
      <c r="M1294" s="127"/>
      <c r="N1294" s="41"/>
      <c r="O1294" s="41"/>
      <c r="P1294" s="41"/>
      <c r="Q1294" s="42"/>
      <c r="R1294" s="35"/>
      <c r="S1294" s="35"/>
      <c r="T1294" s="35"/>
      <c r="U1294" s="35"/>
      <c r="V1294" s="121"/>
      <c r="W1294" s="42"/>
      <c r="X1294" s="42"/>
      <c r="Y1294" s="42"/>
      <c r="Z1294" s="42"/>
      <c r="AA1294" s="42"/>
      <c r="AB1294" s="42"/>
      <c r="AC1294" s="42"/>
      <c r="AD1294" s="42"/>
      <c r="AE1294" s="42"/>
      <c r="AF1294" s="42"/>
      <c r="AG1294" s="42"/>
      <c r="AH1294" s="42"/>
      <c r="AI1294" s="42"/>
      <c r="AJ1294" s="42"/>
      <c r="AK1294" s="42"/>
      <c r="AL1294" s="42"/>
      <c r="AM1294" s="42"/>
    </row>
    <row r="1295" spans="1:39" x14ac:dyDescent="0.25">
      <c r="A1295" s="38" t="s">
        <v>1646</v>
      </c>
      <c r="B1295" s="42"/>
      <c r="C1295" s="42"/>
      <c r="D1295" s="42"/>
      <c r="E1295" s="41"/>
      <c r="F1295" s="41"/>
      <c r="G1295" s="41"/>
      <c r="H1295" s="41"/>
      <c r="I1295" s="41"/>
      <c r="J1295" s="42"/>
      <c r="K1295" s="41"/>
      <c r="L1295" s="41"/>
      <c r="M1295" s="127"/>
      <c r="N1295" s="41"/>
      <c r="O1295" s="41"/>
      <c r="P1295" s="41"/>
      <c r="Q1295" s="42"/>
      <c r="R1295" s="35"/>
      <c r="S1295" s="35"/>
      <c r="T1295" s="35"/>
      <c r="U1295" s="35"/>
      <c r="V1295" s="121"/>
      <c r="W1295" s="42"/>
      <c r="X1295" s="42"/>
      <c r="Y1295" s="42"/>
      <c r="Z1295" s="42"/>
      <c r="AA1295" s="42"/>
      <c r="AB1295" s="42"/>
      <c r="AC1295" s="42"/>
      <c r="AD1295" s="42"/>
      <c r="AE1295" s="42"/>
      <c r="AF1295" s="42"/>
      <c r="AG1295" s="42"/>
      <c r="AH1295" s="42"/>
      <c r="AI1295" s="42"/>
      <c r="AJ1295" s="42"/>
      <c r="AK1295" s="42"/>
      <c r="AL1295" s="42"/>
      <c r="AM1295" s="42"/>
    </row>
    <row r="1296" spans="1:39" x14ac:dyDescent="0.25">
      <c r="A1296" s="38" t="s">
        <v>1647</v>
      </c>
      <c r="B1296" s="42"/>
      <c r="C1296" s="42"/>
      <c r="D1296" s="42"/>
      <c r="E1296" s="41"/>
      <c r="F1296" s="41"/>
      <c r="G1296" s="41"/>
      <c r="H1296" s="41"/>
      <c r="I1296" s="41"/>
      <c r="J1296" s="42"/>
      <c r="K1296" s="41"/>
      <c r="L1296" s="41"/>
      <c r="M1296" s="127"/>
      <c r="N1296" s="41"/>
      <c r="O1296" s="41"/>
      <c r="P1296" s="41"/>
      <c r="Q1296" s="42"/>
      <c r="R1296" s="35"/>
      <c r="S1296" s="35"/>
      <c r="T1296" s="35"/>
      <c r="U1296" s="35"/>
      <c r="V1296" s="121"/>
      <c r="W1296" s="42"/>
      <c r="X1296" s="42"/>
      <c r="Y1296" s="42"/>
      <c r="Z1296" s="42"/>
      <c r="AA1296" s="42"/>
      <c r="AB1296" s="42"/>
      <c r="AC1296" s="42"/>
      <c r="AD1296" s="42"/>
      <c r="AE1296" s="42"/>
      <c r="AF1296" s="42"/>
      <c r="AG1296" s="42"/>
      <c r="AH1296" s="42"/>
      <c r="AI1296" s="42"/>
      <c r="AJ1296" s="42"/>
      <c r="AK1296" s="42"/>
      <c r="AL1296" s="42"/>
      <c r="AM1296" s="42"/>
    </row>
    <row r="1297" spans="1:39" x14ac:dyDescent="0.25">
      <c r="A1297" s="38" t="s">
        <v>1648</v>
      </c>
      <c r="B1297" s="42"/>
      <c r="C1297" s="42"/>
      <c r="D1297" s="42"/>
      <c r="E1297" s="41"/>
      <c r="F1297" s="41"/>
      <c r="G1297" s="41"/>
      <c r="H1297" s="41"/>
      <c r="I1297" s="41"/>
      <c r="J1297" s="42"/>
      <c r="K1297" s="41"/>
      <c r="L1297" s="41"/>
      <c r="M1297" s="127"/>
      <c r="N1297" s="41"/>
      <c r="O1297" s="41"/>
      <c r="P1297" s="41"/>
      <c r="Q1297" s="42"/>
      <c r="R1297" s="35"/>
      <c r="S1297" s="35"/>
      <c r="T1297" s="35"/>
      <c r="U1297" s="35"/>
      <c r="V1297" s="121"/>
      <c r="W1297" s="42"/>
      <c r="X1297" s="42"/>
      <c r="Y1297" s="42"/>
      <c r="Z1297" s="42"/>
      <c r="AA1297" s="42"/>
      <c r="AB1297" s="42"/>
      <c r="AC1297" s="42"/>
      <c r="AD1297" s="42"/>
      <c r="AE1297" s="42"/>
      <c r="AF1297" s="42"/>
      <c r="AG1297" s="42"/>
      <c r="AH1297" s="42"/>
      <c r="AI1297" s="42"/>
      <c r="AJ1297" s="42"/>
      <c r="AK1297" s="42"/>
      <c r="AL1297" s="42"/>
      <c r="AM1297" s="42"/>
    </row>
    <row r="1298" spans="1:39" x14ac:dyDescent="0.25">
      <c r="A1298" s="38" t="s">
        <v>1649</v>
      </c>
      <c r="B1298" s="42"/>
      <c r="C1298" s="42"/>
      <c r="D1298" s="42"/>
      <c r="E1298" s="41"/>
      <c r="F1298" s="41"/>
      <c r="G1298" s="41"/>
      <c r="H1298" s="41"/>
      <c r="I1298" s="41"/>
      <c r="J1298" s="42"/>
      <c r="K1298" s="41"/>
      <c r="L1298" s="41"/>
      <c r="M1298" s="127"/>
      <c r="N1298" s="41"/>
      <c r="O1298" s="41"/>
      <c r="P1298" s="41"/>
      <c r="Q1298" s="42"/>
      <c r="R1298" s="35"/>
      <c r="S1298" s="35"/>
      <c r="T1298" s="35"/>
      <c r="U1298" s="35"/>
      <c r="V1298" s="121"/>
      <c r="W1298" s="42"/>
      <c r="X1298" s="42"/>
      <c r="Y1298" s="42"/>
      <c r="Z1298" s="42"/>
      <c r="AA1298" s="42"/>
      <c r="AB1298" s="42"/>
      <c r="AC1298" s="42"/>
      <c r="AD1298" s="42"/>
      <c r="AE1298" s="42"/>
      <c r="AF1298" s="42"/>
      <c r="AG1298" s="42"/>
      <c r="AH1298" s="42"/>
      <c r="AI1298" s="42"/>
      <c r="AJ1298" s="42"/>
      <c r="AK1298" s="42"/>
      <c r="AL1298" s="42"/>
      <c r="AM1298" s="42"/>
    </row>
    <row r="1299" spans="1:39" x14ac:dyDescent="0.25">
      <c r="A1299" s="38" t="s">
        <v>1650</v>
      </c>
      <c r="B1299" s="42"/>
      <c r="C1299" s="42"/>
      <c r="D1299" s="42"/>
      <c r="E1299" s="41"/>
      <c r="F1299" s="41"/>
      <c r="G1299" s="41"/>
      <c r="H1299" s="41"/>
      <c r="I1299" s="41"/>
      <c r="J1299" s="42"/>
      <c r="K1299" s="41"/>
      <c r="L1299" s="41"/>
      <c r="M1299" s="127"/>
      <c r="N1299" s="41"/>
      <c r="O1299" s="41"/>
      <c r="P1299" s="41"/>
      <c r="Q1299" s="42"/>
      <c r="R1299" s="35"/>
      <c r="S1299" s="35"/>
      <c r="T1299" s="35"/>
      <c r="U1299" s="35"/>
      <c r="V1299" s="121"/>
      <c r="W1299" s="42"/>
      <c r="X1299" s="42"/>
      <c r="Y1299" s="42"/>
      <c r="Z1299" s="42"/>
      <c r="AA1299" s="42"/>
      <c r="AB1299" s="42"/>
      <c r="AC1299" s="42"/>
      <c r="AD1299" s="42"/>
      <c r="AE1299" s="42"/>
      <c r="AF1299" s="42"/>
      <c r="AG1299" s="42"/>
      <c r="AH1299" s="42"/>
      <c r="AI1299" s="42"/>
      <c r="AJ1299" s="42"/>
      <c r="AK1299" s="42"/>
      <c r="AL1299" s="42"/>
      <c r="AM1299" s="42"/>
    </row>
    <row r="1300" spans="1:39" x14ac:dyDescent="0.25">
      <c r="A1300" s="38" t="s">
        <v>1651</v>
      </c>
      <c r="B1300" s="42"/>
      <c r="C1300" s="42"/>
      <c r="D1300" s="42"/>
      <c r="E1300" s="41"/>
      <c r="F1300" s="41"/>
      <c r="G1300" s="41"/>
      <c r="H1300" s="41"/>
      <c r="I1300" s="41"/>
      <c r="J1300" s="42"/>
      <c r="K1300" s="41"/>
      <c r="L1300" s="41"/>
      <c r="M1300" s="127"/>
      <c r="N1300" s="41"/>
      <c r="O1300" s="41"/>
      <c r="P1300" s="41"/>
      <c r="Q1300" s="42"/>
      <c r="R1300" s="35"/>
      <c r="S1300" s="35"/>
      <c r="T1300" s="35"/>
      <c r="U1300" s="35"/>
      <c r="V1300" s="121"/>
      <c r="W1300" s="42"/>
      <c r="X1300" s="42"/>
      <c r="Y1300" s="42"/>
      <c r="Z1300" s="42"/>
      <c r="AA1300" s="42"/>
      <c r="AB1300" s="42"/>
      <c r="AC1300" s="42"/>
      <c r="AD1300" s="42"/>
      <c r="AE1300" s="42"/>
      <c r="AF1300" s="42"/>
      <c r="AG1300" s="42"/>
      <c r="AH1300" s="42"/>
      <c r="AI1300" s="42"/>
      <c r="AJ1300" s="42"/>
      <c r="AK1300" s="42"/>
      <c r="AL1300" s="42"/>
      <c r="AM1300" s="42"/>
    </row>
    <row r="1301" spans="1:39" x14ac:dyDescent="0.25">
      <c r="A1301" s="38" t="s">
        <v>1652</v>
      </c>
      <c r="B1301" s="42"/>
      <c r="C1301" s="42"/>
      <c r="D1301" s="42"/>
      <c r="E1301" s="41"/>
      <c r="F1301" s="41"/>
      <c r="G1301" s="41"/>
      <c r="H1301" s="41"/>
      <c r="I1301" s="41"/>
      <c r="J1301" s="42"/>
      <c r="K1301" s="41"/>
      <c r="L1301" s="41"/>
      <c r="M1301" s="127"/>
      <c r="N1301" s="41"/>
      <c r="O1301" s="41"/>
      <c r="P1301" s="41"/>
      <c r="Q1301" s="42"/>
      <c r="R1301" s="35"/>
      <c r="S1301" s="35"/>
      <c r="T1301" s="35"/>
      <c r="U1301" s="35"/>
      <c r="V1301" s="121"/>
      <c r="W1301" s="42"/>
      <c r="X1301" s="42"/>
      <c r="Y1301" s="42"/>
      <c r="Z1301" s="42"/>
      <c r="AA1301" s="42"/>
      <c r="AB1301" s="42"/>
      <c r="AC1301" s="42"/>
      <c r="AD1301" s="42"/>
      <c r="AE1301" s="42"/>
      <c r="AF1301" s="42"/>
      <c r="AG1301" s="42"/>
      <c r="AH1301" s="42"/>
      <c r="AI1301" s="42"/>
      <c r="AJ1301" s="42"/>
      <c r="AK1301" s="42"/>
      <c r="AL1301" s="42"/>
      <c r="AM1301" s="42"/>
    </row>
    <row r="1302" spans="1:39" x14ac:dyDescent="0.25">
      <c r="A1302" s="38" t="s">
        <v>1653</v>
      </c>
      <c r="B1302" s="42"/>
      <c r="C1302" s="42"/>
      <c r="D1302" s="42"/>
      <c r="E1302" s="41"/>
      <c r="F1302" s="41"/>
      <c r="G1302" s="41"/>
      <c r="H1302" s="41"/>
      <c r="I1302" s="41"/>
      <c r="J1302" s="42"/>
      <c r="K1302" s="41"/>
      <c r="L1302" s="41"/>
      <c r="M1302" s="127"/>
      <c r="N1302" s="41"/>
      <c r="O1302" s="41"/>
      <c r="P1302" s="41"/>
      <c r="Q1302" s="42"/>
      <c r="R1302" s="35"/>
      <c r="S1302" s="35"/>
      <c r="T1302" s="35"/>
      <c r="U1302" s="35"/>
      <c r="V1302" s="121"/>
      <c r="W1302" s="42"/>
      <c r="X1302" s="42"/>
      <c r="Y1302" s="42"/>
      <c r="Z1302" s="42"/>
      <c r="AA1302" s="42"/>
      <c r="AB1302" s="42"/>
      <c r="AC1302" s="42"/>
      <c r="AD1302" s="42"/>
      <c r="AE1302" s="42"/>
      <c r="AF1302" s="42"/>
      <c r="AG1302" s="42"/>
      <c r="AH1302" s="42"/>
      <c r="AI1302" s="42"/>
      <c r="AJ1302" s="42"/>
      <c r="AK1302" s="42"/>
      <c r="AL1302" s="42"/>
      <c r="AM1302" s="42"/>
    </row>
    <row r="1303" spans="1:39" x14ac:dyDescent="0.25">
      <c r="A1303" s="38" t="s">
        <v>1654</v>
      </c>
      <c r="B1303" s="42"/>
      <c r="C1303" s="42"/>
      <c r="D1303" s="42"/>
      <c r="E1303" s="41"/>
      <c r="F1303" s="41"/>
      <c r="G1303" s="41"/>
      <c r="H1303" s="41"/>
      <c r="I1303" s="41"/>
      <c r="J1303" s="42"/>
      <c r="K1303" s="41"/>
      <c r="L1303" s="41"/>
      <c r="M1303" s="127"/>
      <c r="N1303" s="41"/>
      <c r="O1303" s="41"/>
      <c r="P1303" s="41"/>
      <c r="Q1303" s="42"/>
      <c r="R1303" s="35"/>
      <c r="S1303" s="35"/>
      <c r="T1303" s="35"/>
      <c r="U1303" s="35"/>
      <c r="V1303" s="121"/>
      <c r="W1303" s="42"/>
      <c r="X1303" s="42"/>
      <c r="Y1303" s="42"/>
      <c r="Z1303" s="42"/>
      <c r="AA1303" s="42"/>
      <c r="AB1303" s="42"/>
      <c r="AC1303" s="42"/>
      <c r="AD1303" s="42"/>
      <c r="AE1303" s="42"/>
      <c r="AF1303" s="42"/>
      <c r="AG1303" s="42"/>
      <c r="AH1303" s="42"/>
      <c r="AI1303" s="42"/>
      <c r="AJ1303" s="42"/>
      <c r="AK1303" s="42"/>
      <c r="AL1303" s="42"/>
      <c r="AM1303" s="42"/>
    </row>
    <row r="1304" spans="1:39" x14ac:dyDescent="0.25">
      <c r="A1304" s="38" t="s">
        <v>1655</v>
      </c>
      <c r="B1304" s="42"/>
      <c r="C1304" s="42"/>
      <c r="D1304" s="42"/>
      <c r="E1304" s="41"/>
      <c r="F1304" s="41"/>
      <c r="G1304" s="41"/>
      <c r="H1304" s="41"/>
      <c r="I1304" s="41"/>
      <c r="J1304" s="42"/>
      <c r="K1304" s="41"/>
      <c r="L1304" s="41"/>
      <c r="M1304" s="127"/>
      <c r="N1304" s="41"/>
      <c r="O1304" s="41"/>
      <c r="P1304" s="41"/>
      <c r="Q1304" s="42"/>
      <c r="R1304" s="35"/>
      <c r="S1304" s="35"/>
      <c r="T1304" s="35"/>
      <c r="U1304" s="35"/>
      <c r="V1304" s="121"/>
      <c r="W1304" s="42"/>
      <c r="X1304" s="42"/>
      <c r="Y1304" s="42"/>
      <c r="Z1304" s="42"/>
      <c r="AA1304" s="42"/>
      <c r="AB1304" s="42"/>
      <c r="AC1304" s="42"/>
      <c r="AD1304" s="42"/>
      <c r="AE1304" s="42"/>
      <c r="AF1304" s="42"/>
      <c r="AG1304" s="42"/>
      <c r="AH1304" s="42"/>
      <c r="AI1304" s="42"/>
      <c r="AJ1304" s="42"/>
      <c r="AK1304" s="42"/>
      <c r="AL1304" s="42"/>
      <c r="AM1304" s="42"/>
    </row>
    <row r="1305" spans="1:39" x14ac:dyDescent="0.25">
      <c r="A1305" s="38" t="s">
        <v>1656</v>
      </c>
      <c r="B1305" s="42"/>
      <c r="C1305" s="42"/>
      <c r="D1305" s="42"/>
      <c r="E1305" s="41"/>
      <c r="F1305" s="41"/>
      <c r="G1305" s="41"/>
      <c r="H1305" s="41"/>
      <c r="I1305" s="41"/>
      <c r="J1305" s="42"/>
      <c r="K1305" s="41"/>
      <c r="L1305" s="41"/>
      <c r="M1305" s="127"/>
      <c r="N1305" s="41"/>
      <c r="O1305" s="41"/>
      <c r="P1305" s="41"/>
      <c r="Q1305" s="42"/>
      <c r="R1305" s="35"/>
      <c r="S1305" s="35"/>
      <c r="T1305" s="35"/>
      <c r="U1305" s="35"/>
      <c r="V1305" s="121"/>
      <c r="W1305" s="42"/>
      <c r="X1305" s="42"/>
      <c r="Y1305" s="42"/>
      <c r="Z1305" s="42"/>
      <c r="AA1305" s="42"/>
      <c r="AB1305" s="42"/>
      <c r="AC1305" s="42"/>
      <c r="AD1305" s="42"/>
      <c r="AE1305" s="42"/>
      <c r="AF1305" s="42"/>
      <c r="AG1305" s="42"/>
      <c r="AH1305" s="42"/>
      <c r="AI1305" s="42"/>
      <c r="AJ1305" s="42"/>
      <c r="AK1305" s="42"/>
      <c r="AL1305" s="42"/>
      <c r="AM1305" s="42"/>
    </row>
    <row r="1306" spans="1:39" x14ac:dyDescent="0.25">
      <c r="A1306" s="38" t="s">
        <v>1657</v>
      </c>
      <c r="B1306" s="42"/>
      <c r="C1306" s="42"/>
      <c r="D1306" s="42"/>
      <c r="E1306" s="41"/>
      <c r="F1306" s="41"/>
      <c r="G1306" s="41"/>
      <c r="H1306" s="41"/>
      <c r="I1306" s="41"/>
      <c r="J1306" s="42"/>
      <c r="K1306" s="41"/>
      <c r="L1306" s="41"/>
      <c r="M1306" s="127"/>
      <c r="N1306" s="41"/>
      <c r="O1306" s="41"/>
      <c r="P1306" s="41"/>
      <c r="Q1306" s="42"/>
      <c r="R1306" s="35"/>
      <c r="S1306" s="35"/>
      <c r="T1306" s="35"/>
      <c r="U1306" s="35"/>
      <c r="V1306" s="121"/>
      <c r="W1306" s="42"/>
      <c r="X1306" s="42"/>
      <c r="Y1306" s="42"/>
      <c r="Z1306" s="42"/>
      <c r="AA1306" s="42"/>
      <c r="AB1306" s="42"/>
      <c r="AC1306" s="42"/>
      <c r="AD1306" s="42"/>
      <c r="AE1306" s="42"/>
      <c r="AF1306" s="42"/>
      <c r="AG1306" s="42"/>
      <c r="AH1306" s="42"/>
      <c r="AI1306" s="42"/>
      <c r="AJ1306" s="42"/>
      <c r="AK1306" s="42"/>
      <c r="AL1306" s="42"/>
      <c r="AM1306" s="42"/>
    </row>
    <row r="1307" spans="1:39" x14ac:dyDescent="0.25">
      <c r="A1307" s="38" t="s">
        <v>1658</v>
      </c>
      <c r="B1307" s="42"/>
      <c r="C1307" s="42"/>
      <c r="D1307" s="42"/>
      <c r="E1307" s="41"/>
      <c r="F1307" s="41"/>
      <c r="G1307" s="41"/>
      <c r="H1307" s="41"/>
      <c r="I1307" s="41"/>
      <c r="J1307" s="42"/>
      <c r="K1307" s="41"/>
      <c r="L1307" s="41"/>
      <c r="M1307" s="127"/>
      <c r="N1307" s="41"/>
      <c r="O1307" s="41"/>
      <c r="P1307" s="41"/>
      <c r="Q1307" s="42"/>
      <c r="R1307" s="35"/>
      <c r="S1307" s="35"/>
      <c r="T1307" s="35"/>
      <c r="U1307" s="35"/>
      <c r="V1307" s="121"/>
      <c r="W1307" s="42"/>
      <c r="X1307" s="42"/>
      <c r="Y1307" s="42"/>
      <c r="Z1307" s="42"/>
      <c r="AA1307" s="42"/>
      <c r="AB1307" s="42"/>
      <c r="AC1307" s="42"/>
      <c r="AD1307" s="42"/>
      <c r="AE1307" s="42"/>
      <c r="AF1307" s="42"/>
      <c r="AG1307" s="42"/>
      <c r="AH1307" s="42"/>
      <c r="AI1307" s="42"/>
      <c r="AJ1307" s="42"/>
      <c r="AK1307" s="42"/>
      <c r="AL1307" s="42"/>
      <c r="AM1307" s="42"/>
    </row>
    <row r="1308" spans="1:39" x14ac:dyDescent="0.25">
      <c r="A1308" s="38" t="s">
        <v>1659</v>
      </c>
      <c r="B1308" s="42"/>
      <c r="C1308" s="42"/>
      <c r="D1308" s="42"/>
      <c r="E1308" s="41"/>
      <c r="F1308" s="41"/>
      <c r="G1308" s="41"/>
      <c r="H1308" s="41"/>
      <c r="I1308" s="41"/>
      <c r="J1308" s="42"/>
      <c r="K1308" s="41"/>
      <c r="L1308" s="41"/>
      <c r="M1308" s="127"/>
      <c r="N1308" s="41"/>
      <c r="O1308" s="41"/>
      <c r="P1308" s="41"/>
      <c r="Q1308" s="42"/>
      <c r="R1308" s="35"/>
      <c r="S1308" s="35"/>
      <c r="T1308" s="35"/>
      <c r="U1308" s="35"/>
      <c r="V1308" s="121"/>
      <c r="W1308" s="42"/>
      <c r="X1308" s="42"/>
      <c r="Y1308" s="42"/>
      <c r="Z1308" s="42"/>
      <c r="AA1308" s="42"/>
      <c r="AB1308" s="42"/>
      <c r="AC1308" s="42"/>
      <c r="AD1308" s="42"/>
      <c r="AE1308" s="42"/>
      <c r="AF1308" s="42"/>
      <c r="AG1308" s="42"/>
      <c r="AH1308" s="42"/>
      <c r="AI1308" s="42"/>
      <c r="AJ1308" s="42"/>
      <c r="AK1308" s="42"/>
      <c r="AL1308" s="42"/>
      <c r="AM1308" s="42"/>
    </row>
    <row r="1309" spans="1:39" x14ac:dyDescent="0.25">
      <c r="A1309" s="38" t="s">
        <v>1660</v>
      </c>
      <c r="B1309" s="42"/>
      <c r="C1309" s="42"/>
      <c r="D1309" s="42"/>
      <c r="E1309" s="41"/>
      <c r="F1309" s="41"/>
      <c r="G1309" s="41"/>
      <c r="H1309" s="41"/>
      <c r="I1309" s="41"/>
      <c r="J1309" s="42"/>
      <c r="K1309" s="41"/>
      <c r="L1309" s="41"/>
      <c r="M1309" s="127"/>
      <c r="N1309" s="41"/>
      <c r="O1309" s="41"/>
      <c r="P1309" s="41"/>
      <c r="Q1309" s="42"/>
      <c r="R1309" s="35"/>
      <c r="S1309" s="35"/>
      <c r="T1309" s="35"/>
      <c r="U1309" s="35"/>
      <c r="V1309" s="121"/>
      <c r="W1309" s="42"/>
      <c r="X1309" s="42"/>
      <c r="Y1309" s="42"/>
      <c r="Z1309" s="42"/>
      <c r="AA1309" s="42"/>
      <c r="AB1309" s="42"/>
      <c r="AC1309" s="42"/>
      <c r="AD1309" s="42"/>
      <c r="AE1309" s="42"/>
      <c r="AF1309" s="42"/>
      <c r="AG1309" s="42"/>
      <c r="AH1309" s="42"/>
      <c r="AI1309" s="42"/>
      <c r="AJ1309" s="42"/>
      <c r="AK1309" s="42"/>
      <c r="AL1309" s="42"/>
      <c r="AM1309" s="42"/>
    </row>
    <row r="1310" spans="1:39" x14ac:dyDescent="0.25">
      <c r="A1310" s="38" t="s">
        <v>1661</v>
      </c>
      <c r="B1310" s="42"/>
      <c r="C1310" s="42"/>
      <c r="D1310" s="42"/>
      <c r="E1310" s="41"/>
      <c r="F1310" s="41"/>
      <c r="G1310" s="41"/>
      <c r="H1310" s="41"/>
      <c r="I1310" s="41"/>
      <c r="J1310" s="42"/>
      <c r="K1310" s="41"/>
      <c r="L1310" s="41"/>
      <c r="M1310" s="127"/>
      <c r="N1310" s="41"/>
      <c r="O1310" s="41"/>
      <c r="P1310" s="41"/>
      <c r="Q1310" s="42"/>
      <c r="R1310" s="35"/>
      <c r="S1310" s="35"/>
      <c r="T1310" s="35"/>
      <c r="U1310" s="35"/>
      <c r="V1310" s="121"/>
      <c r="W1310" s="42"/>
      <c r="X1310" s="42"/>
      <c r="Y1310" s="42"/>
      <c r="Z1310" s="42"/>
      <c r="AA1310" s="42"/>
      <c r="AB1310" s="42"/>
      <c r="AC1310" s="42"/>
      <c r="AD1310" s="42"/>
      <c r="AE1310" s="42"/>
      <c r="AF1310" s="42"/>
      <c r="AG1310" s="42"/>
      <c r="AH1310" s="42"/>
      <c r="AI1310" s="42"/>
      <c r="AJ1310" s="42"/>
      <c r="AK1310" s="42"/>
      <c r="AL1310" s="42"/>
      <c r="AM1310" s="42"/>
    </row>
    <row r="1311" spans="1:39" x14ac:dyDescent="0.25">
      <c r="A1311" s="38" t="s">
        <v>1662</v>
      </c>
      <c r="B1311" s="42"/>
      <c r="C1311" s="42"/>
      <c r="D1311" s="42"/>
      <c r="E1311" s="41"/>
      <c r="F1311" s="41"/>
      <c r="G1311" s="41"/>
      <c r="H1311" s="41"/>
      <c r="I1311" s="41"/>
      <c r="J1311" s="42"/>
      <c r="K1311" s="41"/>
      <c r="L1311" s="41"/>
      <c r="M1311" s="127"/>
      <c r="N1311" s="41"/>
      <c r="O1311" s="41"/>
      <c r="P1311" s="41"/>
      <c r="Q1311" s="42"/>
      <c r="R1311" s="35"/>
      <c r="S1311" s="35"/>
      <c r="T1311" s="35"/>
      <c r="U1311" s="35"/>
      <c r="V1311" s="121"/>
      <c r="W1311" s="42"/>
      <c r="X1311" s="42"/>
      <c r="Y1311" s="42"/>
      <c r="Z1311" s="42"/>
      <c r="AA1311" s="42"/>
      <c r="AB1311" s="42"/>
      <c r="AC1311" s="42"/>
      <c r="AD1311" s="42"/>
      <c r="AE1311" s="42"/>
      <c r="AF1311" s="42"/>
      <c r="AG1311" s="42"/>
      <c r="AH1311" s="42"/>
      <c r="AI1311" s="42"/>
      <c r="AJ1311" s="42"/>
      <c r="AK1311" s="42"/>
      <c r="AL1311" s="42"/>
      <c r="AM1311" s="42"/>
    </row>
    <row r="1312" spans="1:39" x14ac:dyDescent="0.25">
      <c r="A1312" s="38" t="s">
        <v>1663</v>
      </c>
      <c r="B1312" s="42"/>
      <c r="C1312" s="42"/>
      <c r="D1312" s="42"/>
      <c r="E1312" s="41"/>
      <c r="F1312" s="41"/>
      <c r="G1312" s="41"/>
      <c r="H1312" s="41"/>
      <c r="I1312" s="41"/>
      <c r="J1312" s="42"/>
      <c r="K1312" s="41"/>
      <c r="L1312" s="41"/>
      <c r="M1312" s="127"/>
      <c r="N1312" s="41"/>
      <c r="O1312" s="41"/>
      <c r="P1312" s="41"/>
      <c r="Q1312" s="42"/>
      <c r="R1312" s="35"/>
      <c r="S1312" s="35"/>
      <c r="T1312" s="35"/>
      <c r="U1312" s="35"/>
      <c r="V1312" s="121"/>
      <c r="W1312" s="42"/>
      <c r="X1312" s="42"/>
      <c r="Y1312" s="42"/>
      <c r="Z1312" s="42"/>
      <c r="AA1312" s="42"/>
      <c r="AB1312" s="42"/>
      <c r="AC1312" s="42"/>
      <c r="AD1312" s="42"/>
      <c r="AE1312" s="42"/>
      <c r="AF1312" s="42"/>
      <c r="AG1312" s="42"/>
      <c r="AH1312" s="42"/>
      <c r="AI1312" s="42"/>
      <c r="AJ1312" s="42"/>
      <c r="AK1312" s="42"/>
      <c r="AL1312" s="42"/>
      <c r="AM1312" s="42"/>
    </row>
    <row r="1313" spans="1:39" x14ac:dyDescent="0.25">
      <c r="A1313" s="38" t="s">
        <v>1664</v>
      </c>
      <c r="B1313" s="42"/>
      <c r="C1313" s="42"/>
      <c r="D1313" s="42"/>
      <c r="E1313" s="41"/>
      <c r="F1313" s="41"/>
      <c r="G1313" s="41"/>
      <c r="H1313" s="41"/>
      <c r="I1313" s="41"/>
      <c r="J1313" s="42"/>
      <c r="K1313" s="41"/>
      <c r="L1313" s="41"/>
      <c r="M1313" s="127"/>
      <c r="N1313" s="41"/>
      <c r="O1313" s="41"/>
      <c r="P1313" s="41"/>
      <c r="Q1313" s="42"/>
      <c r="R1313" s="35"/>
      <c r="S1313" s="35"/>
      <c r="T1313" s="35"/>
      <c r="U1313" s="35"/>
      <c r="V1313" s="121"/>
      <c r="W1313" s="42"/>
      <c r="X1313" s="42"/>
      <c r="Y1313" s="42"/>
      <c r="Z1313" s="42"/>
      <c r="AA1313" s="42"/>
      <c r="AB1313" s="42"/>
      <c r="AC1313" s="42"/>
      <c r="AD1313" s="42"/>
      <c r="AE1313" s="42"/>
      <c r="AF1313" s="42"/>
      <c r="AG1313" s="42"/>
      <c r="AH1313" s="42"/>
      <c r="AI1313" s="42"/>
      <c r="AJ1313" s="42"/>
      <c r="AK1313" s="42"/>
      <c r="AL1313" s="42"/>
      <c r="AM1313" s="42"/>
    </row>
    <row r="1314" spans="1:39" x14ac:dyDescent="0.25">
      <c r="A1314" s="38" t="s">
        <v>1665</v>
      </c>
      <c r="B1314" s="42"/>
      <c r="C1314" s="42"/>
      <c r="D1314" s="42"/>
      <c r="E1314" s="41"/>
      <c r="F1314" s="41"/>
      <c r="G1314" s="41"/>
      <c r="H1314" s="41"/>
      <c r="I1314" s="41"/>
      <c r="J1314" s="42"/>
      <c r="K1314" s="41"/>
      <c r="L1314" s="41"/>
      <c r="M1314" s="127"/>
      <c r="N1314" s="41"/>
      <c r="O1314" s="41"/>
      <c r="P1314" s="41"/>
      <c r="Q1314" s="42"/>
      <c r="R1314" s="35"/>
      <c r="S1314" s="35"/>
      <c r="T1314" s="35"/>
      <c r="U1314" s="35"/>
      <c r="V1314" s="121"/>
      <c r="W1314" s="42"/>
      <c r="X1314" s="42"/>
      <c r="Y1314" s="42"/>
      <c r="Z1314" s="42"/>
      <c r="AA1314" s="42"/>
      <c r="AB1314" s="42"/>
      <c r="AC1314" s="42"/>
      <c r="AD1314" s="42"/>
      <c r="AE1314" s="42"/>
      <c r="AF1314" s="42"/>
      <c r="AG1314" s="42"/>
      <c r="AH1314" s="42"/>
      <c r="AI1314" s="42"/>
      <c r="AJ1314" s="42"/>
      <c r="AK1314" s="42"/>
      <c r="AL1314" s="42"/>
      <c r="AM1314" s="42"/>
    </row>
    <row r="1315" spans="1:39" x14ac:dyDescent="0.25">
      <c r="A1315" s="38" t="s">
        <v>1666</v>
      </c>
      <c r="B1315" s="42"/>
      <c r="C1315" s="42"/>
      <c r="D1315" s="42"/>
      <c r="E1315" s="41"/>
      <c r="F1315" s="41"/>
      <c r="G1315" s="41"/>
      <c r="H1315" s="41"/>
      <c r="I1315" s="41"/>
      <c r="J1315" s="42"/>
      <c r="K1315" s="41"/>
      <c r="L1315" s="41"/>
      <c r="M1315" s="127"/>
      <c r="N1315" s="41"/>
      <c r="O1315" s="41"/>
      <c r="P1315" s="41"/>
      <c r="Q1315" s="42"/>
      <c r="R1315" s="35"/>
      <c r="S1315" s="35"/>
      <c r="T1315" s="35"/>
      <c r="U1315" s="35"/>
      <c r="V1315" s="121"/>
      <c r="W1315" s="42"/>
      <c r="X1315" s="42"/>
      <c r="Y1315" s="42"/>
      <c r="Z1315" s="42"/>
      <c r="AA1315" s="42"/>
      <c r="AB1315" s="42"/>
      <c r="AC1315" s="42"/>
      <c r="AD1315" s="42"/>
      <c r="AE1315" s="42"/>
      <c r="AF1315" s="42"/>
      <c r="AG1315" s="42"/>
      <c r="AH1315" s="42"/>
      <c r="AI1315" s="42"/>
      <c r="AJ1315" s="42"/>
      <c r="AK1315" s="42"/>
      <c r="AL1315" s="42"/>
      <c r="AM1315" s="42"/>
    </row>
    <row r="1316" spans="1:39" x14ac:dyDescent="0.25">
      <c r="A1316" s="38" t="s">
        <v>1667</v>
      </c>
      <c r="B1316" s="42"/>
      <c r="C1316" s="42"/>
      <c r="D1316" s="42"/>
      <c r="E1316" s="41"/>
      <c r="F1316" s="41"/>
      <c r="G1316" s="41"/>
      <c r="H1316" s="41"/>
      <c r="I1316" s="41"/>
      <c r="J1316" s="42"/>
      <c r="K1316" s="41"/>
      <c r="L1316" s="41"/>
      <c r="M1316" s="127"/>
      <c r="N1316" s="41"/>
      <c r="O1316" s="41"/>
      <c r="P1316" s="41"/>
      <c r="Q1316" s="42"/>
      <c r="R1316" s="35"/>
      <c r="S1316" s="35"/>
      <c r="T1316" s="35"/>
      <c r="U1316" s="35"/>
      <c r="V1316" s="121"/>
      <c r="W1316" s="42"/>
      <c r="X1316" s="42"/>
      <c r="Y1316" s="42"/>
      <c r="Z1316" s="42"/>
      <c r="AA1316" s="42"/>
      <c r="AB1316" s="42"/>
      <c r="AC1316" s="42"/>
      <c r="AD1316" s="42"/>
      <c r="AE1316" s="42"/>
      <c r="AF1316" s="42"/>
      <c r="AG1316" s="42"/>
      <c r="AH1316" s="42"/>
      <c r="AI1316" s="42"/>
      <c r="AJ1316" s="42"/>
      <c r="AK1316" s="42"/>
      <c r="AL1316" s="42"/>
      <c r="AM1316" s="42"/>
    </row>
    <row r="1317" spans="1:39" x14ac:dyDescent="0.25">
      <c r="A1317" s="38" t="s">
        <v>1668</v>
      </c>
      <c r="B1317" s="42"/>
      <c r="C1317" s="42"/>
      <c r="D1317" s="42"/>
      <c r="E1317" s="41"/>
      <c r="F1317" s="41"/>
      <c r="G1317" s="41"/>
      <c r="H1317" s="41"/>
      <c r="I1317" s="41"/>
      <c r="J1317" s="42"/>
      <c r="K1317" s="41"/>
      <c r="L1317" s="41"/>
      <c r="M1317" s="127"/>
      <c r="N1317" s="41"/>
      <c r="O1317" s="41"/>
      <c r="P1317" s="41"/>
      <c r="Q1317" s="42"/>
      <c r="R1317" s="35"/>
      <c r="S1317" s="35"/>
      <c r="T1317" s="35"/>
      <c r="U1317" s="35"/>
      <c r="V1317" s="121"/>
      <c r="W1317" s="42"/>
      <c r="X1317" s="42"/>
      <c r="Y1317" s="42"/>
      <c r="Z1317" s="42"/>
      <c r="AA1317" s="42"/>
      <c r="AB1317" s="42"/>
      <c r="AC1317" s="42"/>
      <c r="AD1317" s="42"/>
      <c r="AE1317" s="42"/>
      <c r="AF1317" s="42"/>
      <c r="AG1317" s="42"/>
      <c r="AH1317" s="42"/>
      <c r="AI1317" s="42"/>
      <c r="AJ1317" s="42"/>
      <c r="AK1317" s="42"/>
      <c r="AL1317" s="42"/>
      <c r="AM1317" s="42"/>
    </row>
    <row r="1318" spans="1:39" x14ac:dyDescent="0.25">
      <c r="A1318" s="38" t="s">
        <v>1669</v>
      </c>
      <c r="B1318" s="42"/>
      <c r="C1318" s="42"/>
      <c r="D1318" s="42"/>
      <c r="E1318" s="41"/>
      <c r="F1318" s="41"/>
      <c r="G1318" s="41"/>
      <c r="H1318" s="41"/>
      <c r="I1318" s="41"/>
      <c r="J1318" s="42"/>
      <c r="K1318" s="41"/>
      <c r="L1318" s="41"/>
      <c r="M1318" s="127"/>
      <c r="N1318" s="41"/>
      <c r="O1318" s="41"/>
      <c r="P1318" s="41"/>
      <c r="Q1318" s="42"/>
      <c r="R1318" s="35"/>
      <c r="S1318" s="35"/>
      <c r="T1318" s="35"/>
      <c r="U1318" s="35"/>
      <c r="V1318" s="121"/>
      <c r="W1318" s="42"/>
      <c r="X1318" s="42"/>
      <c r="Y1318" s="42"/>
      <c r="Z1318" s="42"/>
      <c r="AA1318" s="42"/>
      <c r="AB1318" s="42"/>
      <c r="AC1318" s="42"/>
      <c r="AD1318" s="42"/>
      <c r="AE1318" s="42"/>
      <c r="AF1318" s="42"/>
      <c r="AG1318" s="42"/>
      <c r="AH1318" s="42"/>
      <c r="AI1318" s="42"/>
      <c r="AJ1318" s="42"/>
      <c r="AK1318" s="42"/>
      <c r="AL1318" s="42"/>
      <c r="AM1318" s="42"/>
    </row>
    <row r="1319" spans="1:39" x14ac:dyDescent="0.25">
      <c r="A1319" s="38" t="s">
        <v>1670</v>
      </c>
      <c r="B1319" s="42"/>
      <c r="C1319" s="42"/>
      <c r="D1319" s="42"/>
      <c r="E1319" s="41"/>
      <c r="F1319" s="41"/>
      <c r="G1319" s="41"/>
      <c r="H1319" s="41"/>
      <c r="I1319" s="41"/>
      <c r="J1319" s="42"/>
      <c r="K1319" s="41"/>
      <c r="L1319" s="41"/>
      <c r="M1319" s="127"/>
      <c r="N1319" s="41"/>
      <c r="O1319" s="41"/>
      <c r="P1319" s="41"/>
      <c r="Q1319" s="42"/>
      <c r="R1319" s="35"/>
      <c r="S1319" s="35"/>
      <c r="T1319" s="35"/>
      <c r="U1319" s="35"/>
      <c r="V1319" s="121"/>
      <c r="W1319" s="42"/>
      <c r="X1319" s="42"/>
      <c r="Y1319" s="42"/>
      <c r="Z1319" s="42"/>
      <c r="AA1319" s="42"/>
      <c r="AB1319" s="42"/>
      <c r="AC1319" s="42"/>
      <c r="AD1319" s="42"/>
      <c r="AE1319" s="42"/>
      <c r="AF1319" s="42"/>
      <c r="AG1319" s="42"/>
      <c r="AH1319" s="42"/>
      <c r="AI1319" s="42"/>
      <c r="AJ1319" s="42"/>
      <c r="AK1319" s="42"/>
      <c r="AL1319" s="42"/>
      <c r="AM1319" s="42"/>
    </row>
    <row r="1320" spans="1:39" x14ac:dyDescent="0.25">
      <c r="A1320" s="38" t="s">
        <v>1671</v>
      </c>
      <c r="B1320" s="42"/>
      <c r="C1320" s="42"/>
      <c r="D1320" s="42"/>
      <c r="E1320" s="41"/>
      <c r="F1320" s="41"/>
      <c r="G1320" s="41"/>
      <c r="H1320" s="41"/>
      <c r="I1320" s="41"/>
      <c r="J1320" s="42"/>
      <c r="K1320" s="41"/>
      <c r="L1320" s="41"/>
      <c r="M1320" s="127"/>
      <c r="N1320" s="41"/>
      <c r="O1320" s="41"/>
      <c r="P1320" s="41"/>
      <c r="Q1320" s="42"/>
      <c r="R1320" s="35"/>
      <c r="S1320" s="35"/>
      <c r="T1320" s="35"/>
      <c r="U1320" s="35"/>
      <c r="V1320" s="121"/>
      <c r="W1320" s="42"/>
      <c r="X1320" s="42"/>
      <c r="Y1320" s="42"/>
      <c r="Z1320" s="42"/>
      <c r="AA1320" s="42"/>
      <c r="AB1320" s="42"/>
      <c r="AC1320" s="42"/>
      <c r="AD1320" s="42"/>
      <c r="AE1320" s="42"/>
      <c r="AF1320" s="42"/>
      <c r="AG1320" s="42"/>
      <c r="AH1320" s="42"/>
      <c r="AI1320" s="42"/>
      <c r="AJ1320" s="42"/>
      <c r="AK1320" s="42"/>
      <c r="AL1320" s="42"/>
      <c r="AM1320" s="42"/>
    </row>
    <row r="1321" spans="1:39" x14ac:dyDescent="0.25">
      <c r="A1321" s="38" t="s">
        <v>1672</v>
      </c>
      <c r="B1321" s="42"/>
      <c r="C1321" s="42"/>
      <c r="D1321" s="42"/>
      <c r="E1321" s="41"/>
      <c r="F1321" s="41"/>
      <c r="G1321" s="41"/>
      <c r="H1321" s="41"/>
      <c r="I1321" s="41"/>
      <c r="J1321" s="42"/>
      <c r="K1321" s="41"/>
      <c r="L1321" s="41"/>
      <c r="M1321" s="127"/>
      <c r="N1321" s="41"/>
      <c r="O1321" s="41"/>
      <c r="P1321" s="41"/>
      <c r="Q1321" s="42"/>
      <c r="R1321" s="35"/>
      <c r="S1321" s="35"/>
      <c r="T1321" s="35"/>
      <c r="U1321" s="35"/>
      <c r="V1321" s="121"/>
      <c r="W1321" s="42"/>
      <c r="X1321" s="42"/>
      <c r="Y1321" s="42"/>
      <c r="Z1321" s="42"/>
      <c r="AA1321" s="42"/>
      <c r="AB1321" s="42"/>
      <c r="AC1321" s="42"/>
      <c r="AD1321" s="42"/>
      <c r="AE1321" s="42"/>
      <c r="AF1321" s="42"/>
      <c r="AG1321" s="42"/>
      <c r="AH1321" s="42"/>
      <c r="AI1321" s="42"/>
      <c r="AJ1321" s="42"/>
      <c r="AK1321" s="42"/>
      <c r="AL1321" s="42"/>
      <c r="AM1321" s="42"/>
    </row>
    <row r="1322" spans="1:39" x14ac:dyDescent="0.25">
      <c r="A1322" s="38" t="s">
        <v>1673</v>
      </c>
      <c r="B1322" s="42"/>
      <c r="C1322" s="42"/>
      <c r="D1322" s="42"/>
      <c r="E1322" s="41"/>
      <c r="F1322" s="41"/>
      <c r="G1322" s="41"/>
      <c r="H1322" s="41"/>
      <c r="I1322" s="41"/>
      <c r="J1322" s="42"/>
      <c r="K1322" s="41"/>
      <c r="L1322" s="41"/>
      <c r="M1322" s="127"/>
      <c r="N1322" s="41"/>
      <c r="O1322" s="41"/>
      <c r="P1322" s="41"/>
      <c r="Q1322" s="42"/>
      <c r="R1322" s="35"/>
      <c r="S1322" s="35"/>
      <c r="T1322" s="35"/>
      <c r="U1322" s="35"/>
      <c r="V1322" s="121"/>
      <c r="W1322" s="42"/>
      <c r="X1322" s="42"/>
      <c r="Y1322" s="42"/>
      <c r="Z1322" s="42"/>
      <c r="AA1322" s="42"/>
      <c r="AB1322" s="42"/>
      <c r="AC1322" s="42"/>
      <c r="AD1322" s="42"/>
      <c r="AE1322" s="42"/>
      <c r="AF1322" s="42"/>
      <c r="AG1322" s="42"/>
      <c r="AH1322" s="42"/>
      <c r="AI1322" s="42"/>
      <c r="AJ1322" s="42"/>
      <c r="AK1322" s="42"/>
      <c r="AL1322" s="42"/>
      <c r="AM1322" s="42"/>
    </row>
    <row r="1323" spans="1:39" x14ac:dyDescent="0.25">
      <c r="A1323" s="38" t="s">
        <v>1674</v>
      </c>
      <c r="B1323" s="42"/>
      <c r="C1323" s="42"/>
      <c r="D1323" s="42"/>
      <c r="E1323" s="41"/>
      <c r="F1323" s="41"/>
      <c r="G1323" s="41"/>
      <c r="H1323" s="41"/>
      <c r="I1323" s="41"/>
      <c r="J1323" s="42"/>
      <c r="K1323" s="41"/>
      <c r="L1323" s="41"/>
      <c r="M1323" s="127"/>
      <c r="N1323" s="41"/>
      <c r="O1323" s="41"/>
      <c r="P1323" s="41"/>
      <c r="Q1323" s="42"/>
      <c r="R1323" s="35"/>
      <c r="S1323" s="35"/>
      <c r="T1323" s="35"/>
      <c r="U1323" s="35"/>
      <c r="V1323" s="121"/>
      <c r="W1323" s="42"/>
      <c r="X1323" s="42"/>
      <c r="Y1323" s="42"/>
      <c r="Z1323" s="42"/>
      <c r="AA1323" s="42"/>
      <c r="AB1323" s="42"/>
      <c r="AC1323" s="42"/>
      <c r="AD1323" s="42"/>
      <c r="AE1323" s="42"/>
      <c r="AF1323" s="42"/>
      <c r="AG1323" s="42"/>
      <c r="AH1323" s="42"/>
      <c r="AI1323" s="42"/>
      <c r="AJ1323" s="42"/>
      <c r="AK1323" s="42"/>
      <c r="AL1323" s="42"/>
      <c r="AM1323" s="42"/>
    </row>
    <row r="1324" spans="1:39" x14ac:dyDescent="0.25">
      <c r="A1324" s="38" t="s">
        <v>1675</v>
      </c>
      <c r="B1324" s="42"/>
      <c r="C1324" s="42"/>
      <c r="D1324" s="42"/>
      <c r="E1324" s="41"/>
      <c r="F1324" s="41"/>
      <c r="G1324" s="41"/>
      <c r="H1324" s="41"/>
      <c r="I1324" s="41"/>
      <c r="J1324" s="42"/>
      <c r="K1324" s="41"/>
      <c r="L1324" s="41"/>
      <c r="M1324" s="127"/>
      <c r="N1324" s="41"/>
      <c r="O1324" s="41"/>
      <c r="P1324" s="41"/>
      <c r="Q1324" s="42"/>
      <c r="R1324" s="35"/>
      <c r="S1324" s="35"/>
      <c r="T1324" s="35"/>
      <c r="U1324" s="35"/>
      <c r="V1324" s="121"/>
      <c r="W1324" s="42"/>
      <c r="X1324" s="42"/>
      <c r="Y1324" s="42"/>
      <c r="Z1324" s="42"/>
      <c r="AA1324" s="42"/>
      <c r="AB1324" s="42"/>
      <c r="AC1324" s="42"/>
      <c r="AD1324" s="42"/>
      <c r="AE1324" s="42"/>
      <c r="AF1324" s="42"/>
      <c r="AG1324" s="42"/>
      <c r="AH1324" s="42"/>
      <c r="AI1324" s="42"/>
      <c r="AJ1324" s="42"/>
      <c r="AK1324" s="42"/>
      <c r="AL1324" s="42"/>
      <c r="AM1324" s="42"/>
    </row>
    <row r="1325" spans="1:39" x14ac:dyDescent="0.25">
      <c r="A1325" s="38" t="s">
        <v>1676</v>
      </c>
      <c r="B1325" s="42"/>
      <c r="C1325" s="42"/>
      <c r="D1325" s="42"/>
      <c r="E1325" s="41"/>
      <c r="F1325" s="41"/>
      <c r="G1325" s="41"/>
      <c r="H1325" s="41"/>
      <c r="I1325" s="41"/>
      <c r="J1325" s="42"/>
      <c r="K1325" s="41"/>
      <c r="L1325" s="41"/>
      <c r="M1325" s="127"/>
      <c r="N1325" s="41"/>
      <c r="O1325" s="41"/>
      <c r="P1325" s="41"/>
      <c r="Q1325" s="42"/>
      <c r="R1325" s="35"/>
      <c r="S1325" s="35"/>
      <c r="T1325" s="35"/>
      <c r="U1325" s="35"/>
      <c r="V1325" s="121"/>
      <c r="W1325" s="42"/>
      <c r="X1325" s="42"/>
      <c r="Y1325" s="42"/>
      <c r="Z1325" s="42"/>
      <c r="AA1325" s="42"/>
      <c r="AB1325" s="42"/>
      <c r="AC1325" s="42"/>
      <c r="AD1325" s="42"/>
      <c r="AE1325" s="42"/>
      <c r="AF1325" s="42"/>
      <c r="AG1325" s="42"/>
      <c r="AH1325" s="42"/>
      <c r="AI1325" s="42"/>
      <c r="AJ1325" s="42"/>
      <c r="AK1325" s="42"/>
      <c r="AL1325" s="42"/>
      <c r="AM1325" s="42"/>
    </row>
    <row r="1326" spans="1:39" x14ac:dyDescent="0.25">
      <c r="A1326" s="38" t="s">
        <v>1677</v>
      </c>
      <c r="B1326" s="42"/>
      <c r="C1326" s="42"/>
      <c r="D1326" s="42"/>
      <c r="E1326" s="41"/>
      <c r="F1326" s="41"/>
      <c r="G1326" s="41"/>
      <c r="H1326" s="41"/>
      <c r="I1326" s="41"/>
      <c r="J1326" s="42"/>
      <c r="K1326" s="41"/>
      <c r="L1326" s="41"/>
      <c r="M1326" s="127"/>
      <c r="N1326" s="41"/>
      <c r="O1326" s="41"/>
      <c r="P1326" s="41"/>
      <c r="Q1326" s="42"/>
      <c r="R1326" s="35"/>
      <c r="S1326" s="35"/>
      <c r="T1326" s="35"/>
      <c r="U1326" s="35"/>
      <c r="V1326" s="121"/>
      <c r="W1326" s="42"/>
      <c r="X1326" s="42"/>
      <c r="Y1326" s="42"/>
      <c r="Z1326" s="42"/>
      <c r="AA1326" s="42"/>
      <c r="AB1326" s="42"/>
      <c r="AC1326" s="42"/>
      <c r="AD1326" s="42"/>
      <c r="AE1326" s="42"/>
      <c r="AF1326" s="42"/>
      <c r="AG1326" s="42"/>
      <c r="AH1326" s="42"/>
      <c r="AI1326" s="42"/>
      <c r="AJ1326" s="42"/>
      <c r="AK1326" s="42"/>
      <c r="AL1326" s="42"/>
      <c r="AM1326" s="42"/>
    </row>
    <row r="1327" spans="1:39" x14ac:dyDescent="0.25">
      <c r="A1327" s="38" t="s">
        <v>1678</v>
      </c>
      <c r="B1327" s="42"/>
      <c r="C1327" s="42"/>
      <c r="D1327" s="42"/>
      <c r="E1327" s="41"/>
      <c r="F1327" s="41"/>
      <c r="G1327" s="41"/>
      <c r="H1327" s="41"/>
      <c r="I1327" s="41"/>
      <c r="J1327" s="42"/>
      <c r="K1327" s="41"/>
      <c r="L1327" s="41"/>
      <c r="M1327" s="127"/>
      <c r="N1327" s="41"/>
      <c r="O1327" s="41"/>
      <c r="P1327" s="41"/>
      <c r="Q1327" s="42"/>
      <c r="R1327" s="35"/>
      <c r="S1327" s="35"/>
      <c r="T1327" s="35"/>
      <c r="U1327" s="35"/>
      <c r="V1327" s="121"/>
      <c r="W1327" s="42"/>
      <c r="X1327" s="42"/>
      <c r="Y1327" s="42"/>
      <c r="Z1327" s="42"/>
      <c r="AA1327" s="42"/>
      <c r="AB1327" s="42"/>
      <c r="AC1327" s="42"/>
      <c r="AD1327" s="42"/>
      <c r="AE1327" s="42"/>
      <c r="AF1327" s="42"/>
      <c r="AG1327" s="42"/>
      <c r="AH1327" s="42"/>
      <c r="AI1327" s="42"/>
      <c r="AJ1327" s="42"/>
      <c r="AK1327" s="42"/>
      <c r="AL1327" s="42"/>
      <c r="AM1327" s="42"/>
    </row>
    <row r="1328" spans="1:39" x14ac:dyDescent="0.25">
      <c r="A1328" s="38" t="s">
        <v>1679</v>
      </c>
      <c r="B1328" s="42"/>
      <c r="C1328" s="42"/>
      <c r="D1328" s="42"/>
      <c r="E1328" s="41"/>
      <c r="F1328" s="41"/>
      <c r="G1328" s="41"/>
      <c r="H1328" s="41"/>
      <c r="I1328" s="41"/>
      <c r="J1328" s="42"/>
      <c r="K1328" s="41"/>
      <c r="L1328" s="41"/>
      <c r="M1328" s="127"/>
      <c r="N1328" s="41"/>
      <c r="O1328" s="41"/>
      <c r="P1328" s="41"/>
      <c r="Q1328" s="42"/>
      <c r="R1328" s="35"/>
      <c r="S1328" s="35"/>
      <c r="T1328" s="35"/>
      <c r="U1328" s="35"/>
      <c r="V1328" s="121"/>
      <c r="W1328" s="42"/>
      <c r="X1328" s="42"/>
      <c r="Y1328" s="42"/>
      <c r="Z1328" s="42"/>
      <c r="AA1328" s="42"/>
      <c r="AB1328" s="42"/>
      <c r="AC1328" s="42"/>
      <c r="AD1328" s="42"/>
      <c r="AE1328" s="42"/>
      <c r="AF1328" s="42"/>
      <c r="AG1328" s="42"/>
      <c r="AH1328" s="42"/>
      <c r="AI1328" s="42"/>
      <c r="AJ1328" s="42"/>
      <c r="AK1328" s="42"/>
      <c r="AL1328" s="42"/>
      <c r="AM1328" s="42"/>
    </row>
    <row r="1329" spans="1:39" x14ac:dyDescent="0.25">
      <c r="A1329" s="38" t="s">
        <v>1680</v>
      </c>
      <c r="B1329" s="42"/>
      <c r="C1329" s="42"/>
      <c r="D1329" s="42"/>
      <c r="E1329" s="41"/>
      <c r="F1329" s="41"/>
      <c r="G1329" s="41"/>
      <c r="H1329" s="41"/>
      <c r="I1329" s="41"/>
      <c r="J1329" s="42"/>
      <c r="K1329" s="41"/>
      <c r="L1329" s="41"/>
      <c r="M1329" s="127"/>
      <c r="N1329" s="41"/>
      <c r="O1329" s="41"/>
      <c r="P1329" s="41"/>
      <c r="Q1329" s="42"/>
      <c r="R1329" s="35"/>
      <c r="S1329" s="35"/>
      <c r="T1329" s="35"/>
      <c r="U1329" s="35"/>
      <c r="V1329" s="121"/>
      <c r="W1329" s="42"/>
      <c r="X1329" s="42"/>
      <c r="Y1329" s="42"/>
      <c r="Z1329" s="42"/>
      <c r="AA1329" s="42"/>
      <c r="AB1329" s="42"/>
      <c r="AC1329" s="42"/>
      <c r="AD1329" s="42"/>
      <c r="AE1329" s="42"/>
      <c r="AF1329" s="42"/>
      <c r="AG1329" s="42"/>
      <c r="AH1329" s="42"/>
      <c r="AI1329" s="42"/>
      <c r="AJ1329" s="42"/>
      <c r="AK1329" s="42"/>
      <c r="AL1329" s="42"/>
      <c r="AM1329" s="42"/>
    </row>
    <row r="1330" spans="1:39" x14ac:dyDescent="0.25">
      <c r="A1330" s="38" t="s">
        <v>1681</v>
      </c>
      <c r="B1330" s="42"/>
      <c r="C1330" s="42"/>
      <c r="D1330" s="42"/>
      <c r="E1330" s="41"/>
      <c r="F1330" s="41"/>
      <c r="G1330" s="41"/>
      <c r="H1330" s="41"/>
      <c r="I1330" s="41"/>
      <c r="J1330" s="42"/>
      <c r="K1330" s="41"/>
      <c r="L1330" s="41"/>
      <c r="M1330" s="127"/>
      <c r="N1330" s="41"/>
      <c r="O1330" s="41"/>
      <c r="P1330" s="41"/>
      <c r="Q1330" s="42"/>
      <c r="R1330" s="35"/>
      <c r="S1330" s="35"/>
      <c r="T1330" s="35"/>
      <c r="U1330" s="35"/>
      <c r="V1330" s="121"/>
      <c r="W1330" s="42"/>
      <c r="X1330" s="42"/>
      <c r="Y1330" s="42"/>
      <c r="Z1330" s="42"/>
      <c r="AA1330" s="42"/>
      <c r="AB1330" s="42"/>
      <c r="AC1330" s="42"/>
      <c r="AD1330" s="42"/>
      <c r="AE1330" s="42"/>
      <c r="AF1330" s="42"/>
      <c r="AG1330" s="42"/>
      <c r="AH1330" s="42"/>
      <c r="AI1330" s="42"/>
      <c r="AJ1330" s="42"/>
      <c r="AK1330" s="42"/>
      <c r="AL1330" s="42"/>
      <c r="AM1330" s="42"/>
    </row>
    <row r="1331" spans="1:39" x14ac:dyDescent="0.25">
      <c r="A1331" s="38" t="s">
        <v>1682</v>
      </c>
      <c r="B1331" s="42"/>
      <c r="C1331" s="42"/>
      <c r="D1331" s="42"/>
      <c r="E1331" s="41"/>
      <c r="F1331" s="41"/>
      <c r="G1331" s="41"/>
      <c r="H1331" s="41"/>
      <c r="I1331" s="41"/>
      <c r="J1331" s="42"/>
      <c r="K1331" s="41"/>
      <c r="L1331" s="41"/>
      <c r="M1331" s="127"/>
      <c r="N1331" s="41"/>
      <c r="O1331" s="41"/>
      <c r="P1331" s="41"/>
      <c r="Q1331" s="42"/>
      <c r="R1331" s="35"/>
      <c r="S1331" s="35"/>
      <c r="T1331" s="35"/>
      <c r="U1331" s="35"/>
      <c r="V1331" s="121"/>
      <c r="W1331" s="42"/>
      <c r="X1331" s="42"/>
      <c r="Y1331" s="42"/>
      <c r="Z1331" s="42"/>
      <c r="AA1331" s="42"/>
      <c r="AB1331" s="42"/>
      <c r="AC1331" s="42"/>
      <c r="AD1331" s="42"/>
      <c r="AE1331" s="42"/>
      <c r="AF1331" s="42"/>
      <c r="AG1331" s="42"/>
      <c r="AH1331" s="42"/>
      <c r="AI1331" s="42"/>
      <c r="AJ1331" s="42"/>
      <c r="AK1331" s="42"/>
      <c r="AL1331" s="42"/>
      <c r="AM1331" s="42"/>
    </row>
    <row r="1332" spans="1:39" x14ac:dyDescent="0.25">
      <c r="A1332" s="38" t="s">
        <v>1683</v>
      </c>
      <c r="B1332" s="42"/>
      <c r="C1332" s="42"/>
      <c r="D1332" s="42"/>
      <c r="E1332" s="41"/>
      <c r="F1332" s="41"/>
      <c r="G1332" s="41"/>
      <c r="H1332" s="41"/>
      <c r="I1332" s="41"/>
      <c r="J1332" s="42"/>
      <c r="K1332" s="41"/>
      <c r="L1332" s="41"/>
      <c r="M1332" s="127"/>
      <c r="N1332" s="41"/>
      <c r="O1332" s="41"/>
      <c r="P1332" s="41"/>
      <c r="Q1332" s="42"/>
      <c r="R1332" s="35"/>
      <c r="S1332" s="35"/>
      <c r="T1332" s="35"/>
      <c r="U1332" s="35"/>
      <c r="V1332" s="121"/>
      <c r="W1332" s="42"/>
      <c r="X1332" s="42"/>
      <c r="Y1332" s="42"/>
      <c r="Z1332" s="42"/>
      <c r="AA1332" s="42"/>
      <c r="AB1332" s="42"/>
      <c r="AC1332" s="42"/>
      <c r="AD1332" s="42"/>
      <c r="AE1332" s="42"/>
      <c r="AF1332" s="42"/>
      <c r="AG1332" s="42"/>
      <c r="AH1332" s="42"/>
      <c r="AI1332" s="42"/>
      <c r="AJ1332" s="42"/>
      <c r="AK1332" s="42"/>
      <c r="AL1332" s="42"/>
      <c r="AM1332" s="42"/>
    </row>
    <row r="1333" spans="1:39" x14ac:dyDescent="0.25">
      <c r="A1333" s="38" t="s">
        <v>1684</v>
      </c>
      <c r="B1333" s="42"/>
      <c r="C1333" s="42"/>
      <c r="D1333" s="42"/>
      <c r="E1333" s="41"/>
      <c r="F1333" s="41"/>
      <c r="G1333" s="41"/>
      <c r="H1333" s="41"/>
      <c r="I1333" s="41"/>
      <c r="J1333" s="42"/>
      <c r="K1333" s="41"/>
      <c r="L1333" s="41"/>
      <c r="M1333" s="127"/>
      <c r="N1333" s="41"/>
      <c r="O1333" s="41"/>
      <c r="P1333" s="41"/>
      <c r="Q1333" s="42"/>
      <c r="R1333" s="35"/>
      <c r="S1333" s="35"/>
      <c r="T1333" s="35"/>
      <c r="U1333" s="35"/>
      <c r="V1333" s="121"/>
      <c r="W1333" s="42"/>
      <c r="X1333" s="42"/>
      <c r="Y1333" s="42"/>
      <c r="Z1333" s="42"/>
      <c r="AA1333" s="42"/>
      <c r="AB1333" s="42"/>
      <c r="AC1333" s="42"/>
      <c r="AD1333" s="42"/>
      <c r="AE1333" s="42"/>
      <c r="AF1333" s="42"/>
      <c r="AG1333" s="42"/>
      <c r="AH1333" s="42"/>
      <c r="AI1333" s="42"/>
      <c r="AJ1333" s="42"/>
      <c r="AK1333" s="42"/>
      <c r="AL1333" s="42"/>
      <c r="AM1333" s="42"/>
    </row>
    <row r="1334" spans="1:39" x14ac:dyDescent="0.25">
      <c r="A1334" s="38" t="s">
        <v>1685</v>
      </c>
      <c r="B1334" s="42"/>
      <c r="C1334" s="42"/>
      <c r="D1334" s="42"/>
      <c r="E1334" s="41"/>
      <c r="F1334" s="41"/>
      <c r="G1334" s="41"/>
      <c r="H1334" s="41"/>
      <c r="I1334" s="41"/>
      <c r="J1334" s="42"/>
      <c r="K1334" s="41"/>
      <c r="L1334" s="41"/>
      <c r="M1334" s="127"/>
      <c r="N1334" s="41"/>
      <c r="O1334" s="41"/>
      <c r="P1334" s="41"/>
      <c r="Q1334" s="42"/>
      <c r="R1334" s="35"/>
      <c r="S1334" s="35"/>
      <c r="T1334" s="35"/>
      <c r="U1334" s="35"/>
      <c r="V1334" s="121"/>
      <c r="W1334" s="42"/>
      <c r="X1334" s="42"/>
      <c r="Y1334" s="42"/>
      <c r="Z1334" s="42"/>
      <c r="AA1334" s="42"/>
      <c r="AB1334" s="42"/>
      <c r="AC1334" s="42"/>
      <c r="AD1334" s="42"/>
      <c r="AE1334" s="42"/>
      <c r="AF1334" s="42"/>
      <c r="AG1334" s="42"/>
      <c r="AH1334" s="42"/>
      <c r="AI1334" s="42"/>
      <c r="AJ1334" s="42"/>
      <c r="AK1334" s="42"/>
      <c r="AL1334" s="42"/>
      <c r="AM1334" s="42"/>
    </row>
    <row r="1335" spans="1:39" x14ac:dyDescent="0.25">
      <c r="A1335" s="38" t="s">
        <v>1686</v>
      </c>
      <c r="B1335" s="42"/>
      <c r="C1335" s="42"/>
      <c r="D1335" s="42"/>
      <c r="E1335" s="41"/>
      <c r="F1335" s="41"/>
      <c r="G1335" s="41"/>
      <c r="H1335" s="41"/>
      <c r="I1335" s="41"/>
      <c r="J1335" s="42"/>
      <c r="K1335" s="41"/>
      <c r="L1335" s="41"/>
      <c r="M1335" s="127"/>
      <c r="N1335" s="41"/>
      <c r="O1335" s="41"/>
      <c r="P1335" s="41"/>
      <c r="Q1335" s="42"/>
      <c r="R1335" s="35"/>
      <c r="S1335" s="35"/>
      <c r="T1335" s="35"/>
      <c r="U1335" s="35"/>
      <c r="V1335" s="121"/>
      <c r="W1335" s="42"/>
      <c r="X1335" s="42"/>
      <c r="Y1335" s="42"/>
      <c r="Z1335" s="42"/>
      <c r="AA1335" s="42"/>
      <c r="AB1335" s="42"/>
      <c r="AC1335" s="42"/>
      <c r="AD1335" s="42"/>
      <c r="AE1335" s="42"/>
      <c r="AF1335" s="42"/>
      <c r="AG1335" s="42"/>
      <c r="AH1335" s="42"/>
      <c r="AI1335" s="42"/>
      <c r="AJ1335" s="42"/>
      <c r="AK1335" s="42"/>
      <c r="AL1335" s="42"/>
      <c r="AM1335" s="42"/>
    </row>
    <row r="1336" spans="1:39" x14ac:dyDescent="0.25">
      <c r="A1336" s="38" t="s">
        <v>1687</v>
      </c>
      <c r="B1336" s="42"/>
      <c r="C1336" s="42"/>
      <c r="D1336" s="42"/>
      <c r="E1336" s="41"/>
      <c r="F1336" s="41"/>
      <c r="G1336" s="41"/>
      <c r="H1336" s="41"/>
      <c r="I1336" s="41"/>
      <c r="J1336" s="42"/>
      <c r="K1336" s="41"/>
      <c r="L1336" s="41"/>
      <c r="M1336" s="127"/>
      <c r="N1336" s="41"/>
      <c r="O1336" s="41"/>
      <c r="P1336" s="41"/>
      <c r="Q1336" s="42"/>
      <c r="R1336" s="35"/>
      <c r="S1336" s="35"/>
      <c r="T1336" s="35"/>
      <c r="U1336" s="35"/>
      <c r="V1336" s="121"/>
      <c r="W1336" s="42"/>
      <c r="X1336" s="42"/>
      <c r="Y1336" s="42"/>
      <c r="Z1336" s="42"/>
      <c r="AA1336" s="42"/>
      <c r="AB1336" s="42"/>
      <c r="AC1336" s="42"/>
      <c r="AD1336" s="42"/>
      <c r="AE1336" s="42"/>
      <c r="AF1336" s="42"/>
      <c r="AG1336" s="42"/>
      <c r="AH1336" s="42"/>
      <c r="AI1336" s="42"/>
      <c r="AJ1336" s="42"/>
      <c r="AK1336" s="42"/>
      <c r="AL1336" s="42"/>
      <c r="AM1336" s="42"/>
    </row>
    <row r="1337" spans="1:39" x14ac:dyDescent="0.25">
      <c r="A1337" s="38" t="s">
        <v>1688</v>
      </c>
      <c r="B1337" s="42"/>
      <c r="C1337" s="42"/>
      <c r="D1337" s="42"/>
      <c r="E1337" s="41"/>
      <c r="F1337" s="41"/>
      <c r="G1337" s="41"/>
      <c r="H1337" s="41"/>
      <c r="I1337" s="41"/>
      <c r="J1337" s="42"/>
      <c r="K1337" s="41"/>
      <c r="L1337" s="41"/>
      <c r="M1337" s="127"/>
      <c r="N1337" s="41"/>
      <c r="O1337" s="41"/>
      <c r="P1337" s="41"/>
      <c r="Q1337" s="42"/>
      <c r="R1337" s="35"/>
      <c r="S1337" s="35"/>
      <c r="T1337" s="35"/>
      <c r="U1337" s="35"/>
      <c r="V1337" s="121"/>
      <c r="W1337" s="42"/>
      <c r="X1337" s="42"/>
      <c r="Y1337" s="42"/>
      <c r="Z1337" s="42"/>
      <c r="AA1337" s="42"/>
      <c r="AB1337" s="42"/>
      <c r="AC1337" s="42"/>
      <c r="AD1337" s="42"/>
      <c r="AE1337" s="42"/>
      <c r="AF1337" s="42"/>
      <c r="AG1337" s="42"/>
      <c r="AH1337" s="42"/>
      <c r="AI1337" s="42"/>
      <c r="AJ1337" s="42"/>
      <c r="AK1337" s="42"/>
      <c r="AL1337" s="42"/>
      <c r="AM1337" s="42"/>
    </row>
    <row r="1338" spans="1:39" x14ac:dyDescent="0.25">
      <c r="A1338" s="38" t="s">
        <v>1689</v>
      </c>
      <c r="B1338" s="42"/>
      <c r="C1338" s="42"/>
      <c r="D1338" s="42"/>
      <c r="E1338" s="41"/>
      <c r="F1338" s="41"/>
      <c r="G1338" s="41"/>
      <c r="H1338" s="41"/>
      <c r="I1338" s="41"/>
      <c r="J1338" s="42"/>
      <c r="K1338" s="41"/>
      <c r="L1338" s="41"/>
      <c r="M1338" s="127"/>
      <c r="N1338" s="41"/>
      <c r="O1338" s="41"/>
      <c r="P1338" s="41"/>
      <c r="Q1338" s="42"/>
      <c r="R1338" s="35"/>
      <c r="S1338" s="35"/>
      <c r="T1338" s="35"/>
      <c r="U1338" s="35"/>
      <c r="V1338" s="121"/>
      <c r="W1338" s="42"/>
      <c r="X1338" s="42"/>
      <c r="Y1338" s="42"/>
      <c r="Z1338" s="42"/>
      <c r="AA1338" s="42"/>
      <c r="AB1338" s="42"/>
      <c r="AC1338" s="42"/>
      <c r="AD1338" s="42"/>
      <c r="AE1338" s="42"/>
      <c r="AF1338" s="42"/>
      <c r="AG1338" s="42"/>
      <c r="AH1338" s="42"/>
      <c r="AI1338" s="42"/>
      <c r="AJ1338" s="42"/>
      <c r="AK1338" s="42"/>
      <c r="AL1338" s="42"/>
      <c r="AM1338" s="42"/>
    </row>
    <row r="1339" spans="1:39" x14ac:dyDescent="0.25">
      <c r="A1339" s="38" t="s">
        <v>1690</v>
      </c>
      <c r="B1339" s="42"/>
      <c r="C1339" s="42"/>
      <c r="D1339" s="42"/>
      <c r="E1339" s="41"/>
      <c r="F1339" s="41"/>
      <c r="G1339" s="41"/>
      <c r="H1339" s="41"/>
      <c r="I1339" s="41"/>
      <c r="J1339" s="42"/>
      <c r="K1339" s="41"/>
      <c r="L1339" s="41"/>
      <c r="M1339" s="127"/>
      <c r="N1339" s="41"/>
      <c r="O1339" s="41"/>
      <c r="P1339" s="41"/>
      <c r="Q1339" s="42"/>
      <c r="R1339" s="35"/>
      <c r="S1339" s="35"/>
      <c r="T1339" s="35"/>
      <c r="U1339" s="35"/>
      <c r="V1339" s="121"/>
      <c r="W1339" s="42"/>
      <c r="X1339" s="42"/>
      <c r="Y1339" s="42"/>
      <c r="Z1339" s="42"/>
      <c r="AA1339" s="42"/>
      <c r="AB1339" s="42"/>
      <c r="AC1339" s="42"/>
      <c r="AD1339" s="42"/>
      <c r="AE1339" s="42"/>
      <c r="AF1339" s="42"/>
      <c r="AG1339" s="42"/>
      <c r="AH1339" s="42"/>
      <c r="AI1339" s="42"/>
      <c r="AJ1339" s="42"/>
      <c r="AK1339" s="42"/>
      <c r="AL1339" s="42"/>
      <c r="AM1339" s="42"/>
    </row>
    <row r="1340" spans="1:39" x14ac:dyDescent="0.25">
      <c r="A1340" s="38" t="s">
        <v>1691</v>
      </c>
      <c r="B1340" s="42"/>
      <c r="C1340" s="42"/>
      <c r="D1340" s="42"/>
      <c r="E1340" s="41"/>
      <c r="F1340" s="41"/>
      <c r="G1340" s="41"/>
      <c r="H1340" s="41"/>
      <c r="I1340" s="41"/>
      <c r="J1340" s="42"/>
      <c r="K1340" s="41"/>
      <c r="L1340" s="41"/>
      <c r="M1340" s="127"/>
      <c r="N1340" s="41"/>
      <c r="O1340" s="41"/>
      <c r="P1340" s="41"/>
      <c r="Q1340" s="42"/>
      <c r="R1340" s="35"/>
      <c r="S1340" s="35"/>
      <c r="T1340" s="35"/>
      <c r="U1340" s="35"/>
      <c r="V1340" s="121"/>
      <c r="W1340" s="42"/>
      <c r="X1340" s="42"/>
      <c r="Y1340" s="42"/>
      <c r="Z1340" s="42"/>
      <c r="AA1340" s="42"/>
      <c r="AB1340" s="42"/>
      <c r="AC1340" s="42"/>
      <c r="AD1340" s="42"/>
      <c r="AE1340" s="42"/>
      <c r="AF1340" s="42"/>
      <c r="AG1340" s="42"/>
      <c r="AH1340" s="42"/>
      <c r="AI1340" s="42"/>
      <c r="AJ1340" s="42"/>
      <c r="AK1340" s="42"/>
      <c r="AL1340" s="42"/>
      <c r="AM1340" s="42"/>
    </row>
    <row r="1341" spans="1:39" x14ac:dyDescent="0.25">
      <c r="A1341" s="38" t="s">
        <v>1692</v>
      </c>
      <c r="B1341" s="42"/>
      <c r="C1341" s="42"/>
      <c r="D1341" s="42"/>
      <c r="E1341" s="41"/>
      <c r="F1341" s="41"/>
      <c r="G1341" s="41"/>
      <c r="H1341" s="41"/>
      <c r="I1341" s="41"/>
      <c r="J1341" s="42"/>
      <c r="K1341" s="41"/>
      <c r="L1341" s="41"/>
      <c r="M1341" s="127"/>
      <c r="N1341" s="41"/>
      <c r="O1341" s="41"/>
      <c r="P1341" s="41"/>
      <c r="Q1341" s="42"/>
      <c r="R1341" s="35"/>
      <c r="S1341" s="35"/>
      <c r="T1341" s="35"/>
      <c r="U1341" s="35"/>
      <c r="V1341" s="121"/>
      <c r="W1341" s="42"/>
      <c r="X1341" s="42"/>
      <c r="Y1341" s="42"/>
      <c r="Z1341" s="42"/>
      <c r="AA1341" s="42"/>
      <c r="AB1341" s="42"/>
      <c r="AC1341" s="42"/>
      <c r="AD1341" s="42"/>
      <c r="AE1341" s="42"/>
      <c r="AF1341" s="42"/>
      <c r="AG1341" s="42"/>
      <c r="AH1341" s="42"/>
      <c r="AI1341" s="42"/>
      <c r="AJ1341" s="42"/>
      <c r="AK1341" s="42"/>
      <c r="AL1341" s="42"/>
      <c r="AM1341" s="42"/>
    </row>
    <row r="1342" spans="1:39" x14ac:dyDescent="0.25">
      <c r="A1342" s="38" t="s">
        <v>1693</v>
      </c>
      <c r="B1342" s="42"/>
      <c r="C1342" s="42"/>
      <c r="D1342" s="42"/>
      <c r="E1342" s="41"/>
      <c r="F1342" s="41"/>
      <c r="G1342" s="41"/>
      <c r="H1342" s="41"/>
      <c r="I1342" s="41"/>
      <c r="J1342" s="42"/>
      <c r="K1342" s="41"/>
      <c r="L1342" s="41"/>
      <c r="M1342" s="127"/>
      <c r="N1342" s="41"/>
      <c r="O1342" s="41"/>
      <c r="P1342" s="41"/>
      <c r="Q1342" s="42"/>
      <c r="R1342" s="35"/>
      <c r="S1342" s="35"/>
      <c r="T1342" s="35"/>
      <c r="U1342" s="35"/>
      <c r="V1342" s="121"/>
      <c r="W1342" s="42"/>
      <c r="X1342" s="42"/>
      <c r="Y1342" s="42"/>
      <c r="Z1342" s="42"/>
      <c r="AA1342" s="42"/>
      <c r="AB1342" s="42"/>
      <c r="AC1342" s="42"/>
      <c r="AD1342" s="42"/>
      <c r="AE1342" s="42"/>
      <c r="AF1342" s="42"/>
      <c r="AG1342" s="42"/>
      <c r="AH1342" s="42"/>
      <c r="AI1342" s="42"/>
      <c r="AJ1342" s="42"/>
      <c r="AK1342" s="42"/>
      <c r="AL1342" s="42"/>
      <c r="AM1342" s="42"/>
    </row>
    <row r="1343" spans="1:39" x14ac:dyDescent="0.25">
      <c r="A1343" s="38" t="s">
        <v>1694</v>
      </c>
      <c r="B1343" s="42"/>
      <c r="C1343" s="42"/>
      <c r="D1343" s="42"/>
      <c r="E1343" s="41"/>
      <c r="F1343" s="41"/>
      <c r="G1343" s="41"/>
      <c r="H1343" s="41"/>
      <c r="I1343" s="41"/>
      <c r="J1343" s="42"/>
      <c r="K1343" s="41"/>
      <c r="L1343" s="41"/>
      <c r="M1343" s="127"/>
      <c r="N1343" s="41"/>
      <c r="O1343" s="41"/>
      <c r="P1343" s="41"/>
      <c r="Q1343" s="42"/>
      <c r="R1343" s="35"/>
      <c r="S1343" s="35"/>
      <c r="T1343" s="35"/>
      <c r="U1343" s="35"/>
      <c r="V1343" s="121"/>
      <c r="W1343" s="42"/>
      <c r="X1343" s="42"/>
      <c r="Y1343" s="42"/>
      <c r="Z1343" s="42"/>
      <c r="AA1343" s="42"/>
      <c r="AB1343" s="42"/>
      <c r="AC1343" s="42"/>
      <c r="AD1343" s="42"/>
      <c r="AE1343" s="42"/>
      <c r="AF1343" s="42"/>
      <c r="AG1343" s="42"/>
      <c r="AH1343" s="42"/>
      <c r="AI1343" s="42"/>
      <c r="AJ1343" s="42"/>
      <c r="AK1343" s="42"/>
      <c r="AL1343" s="42"/>
      <c r="AM1343" s="42"/>
    </row>
    <row r="1344" spans="1:39" x14ac:dyDescent="0.25">
      <c r="A1344" s="38" t="s">
        <v>1695</v>
      </c>
      <c r="B1344" s="42"/>
      <c r="C1344" s="42"/>
      <c r="D1344" s="42"/>
      <c r="E1344" s="41"/>
      <c r="F1344" s="41"/>
      <c r="G1344" s="41"/>
      <c r="H1344" s="41"/>
      <c r="I1344" s="41"/>
      <c r="J1344" s="42"/>
      <c r="K1344" s="41"/>
      <c r="L1344" s="41"/>
      <c r="M1344" s="127"/>
      <c r="N1344" s="41"/>
      <c r="O1344" s="41"/>
      <c r="P1344" s="41"/>
      <c r="Q1344" s="42"/>
      <c r="R1344" s="35"/>
      <c r="S1344" s="35"/>
      <c r="T1344" s="35"/>
      <c r="U1344" s="35"/>
      <c r="V1344" s="121"/>
      <c r="W1344" s="42"/>
      <c r="X1344" s="42"/>
      <c r="Y1344" s="42"/>
      <c r="Z1344" s="42"/>
      <c r="AA1344" s="42"/>
      <c r="AB1344" s="42"/>
      <c r="AC1344" s="42"/>
      <c r="AD1344" s="42"/>
      <c r="AE1344" s="42"/>
      <c r="AF1344" s="42"/>
      <c r="AG1344" s="42"/>
      <c r="AH1344" s="42"/>
      <c r="AI1344" s="42"/>
      <c r="AJ1344" s="42"/>
      <c r="AK1344" s="42"/>
      <c r="AL1344" s="42"/>
      <c r="AM1344" s="42"/>
    </row>
    <row r="1345" spans="1:39" x14ac:dyDescent="0.25">
      <c r="A1345" s="38" t="s">
        <v>1696</v>
      </c>
      <c r="B1345" s="42"/>
      <c r="C1345" s="42"/>
      <c r="D1345" s="42"/>
      <c r="E1345" s="41"/>
      <c r="F1345" s="41"/>
      <c r="G1345" s="41"/>
      <c r="H1345" s="41"/>
      <c r="I1345" s="41"/>
      <c r="J1345" s="42"/>
      <c r="K1345" s="41"/>
      <c r="L1345" s="41"/>
      <c r="M1345" s="127"/>
      <c r="N1345" s="41"/>
      <c r="O1345" s="41"/>
      <c r="P1345" s="41"/>
      <c r="Q1345" s="42"/>
      <c r="R1345" s="35"/>
      <c r="S1345" s="35"/>
      <c r="T1345" s="35"/>
      <c r="U1345" s="35"/>
      <c r="V1345" s="121"/>
      <c r="W1345" s="42"/>
      <c r="X1345" s="42"/>
      <c r="Y1345" s="42"/>
      <c r="Z1345" s="42"/>
      <c r="AA1345" s="42"/>
      <c r="AB1345" s="42"/>
      <c r="AC1345" s="42"/>
      <c r="AD1345" s="42"/>
      <c r="AE1345" s="42"/>
      <c r="AF1345" s="42"/>
      <c r="AG1345" s="42"/>
      <c r="AH1345" s="42"/>
      <c r="AI1345" s="42"/>
      <c r="AJ1345" s="42"/>
      <c r="AK1345" s="42"/>
      <c r="AL1345" s="42"/>
      <c r="AM1345" s="42"/>
    </row>
    <row r="1346" spans="1:39" x14ac:dyDescent="0.25">
      <c r="A1346" s="38" t="s">
        <v>1697</v>
      </c>
      <c r="B1346" s="42"/>
      <c r="C1346" s="42"/>
      <c r="D1346" s="42"/>
      <c r="E1346" s="41"/>
      <c r="F1346" s="41"/>
      <c r="G1346" s="41"/>
      <c r="H1346" s="41"/>
      <c r="I1346" s="41"/>
      <c r="J1346" s="42"/>
      <c r="K1346" s="41"/>
      <c r="L1346" s="41"/>
      <c r="M1346" s="127"/>
      <c r="N1346" s="41"/>
      <c r="O1346" s="41"/>
      <c r="P1346" s="41"/>
      <c r="Q1346" s="42"/>
      <c r="R1346" s="35"/>
      <c r="S1346" s="35"/>
      <c r="T1346" s="35"/>
      <c r="U1346" s="35"/>
      <c r="V1346" s="121"/>
      <c r="W1346" s="42"/>
      <c r="X1346" s="42"/>
      <c r="Y1346" s="42"/>
      <c r="Z1346" s="42"/>
      <c r="AA1346" s="42"/>
      <c r="AB1346" s="42"/>
      <c r="AC1346" s="42"/>
      <c r="AD1346" s="42"/>
      <c r="AE1346" s="42"/>
      <c r="AF1346" s="42"/>
      <c r="AG1346" s="42"/>
      <c r="AH1346" s="42"/>
      <c r="AI1346" s="42"/>
      <c r="AJ1346" s="42"/>
      <c r="AK1346" s="42"/>
      <c r="AL1346" s="42"/>
      <c r="AM1346" s="42"/>
    </row>
    <row r="1347" spans="1:39" x14ac:dyDescent="0.25">
      <c r="A1347" s="38" t="s">
        <v>1698</v>
      </c>
      <c r="B1347" s="42"/>
      <c r="C1347" s="42"/>
      <c r="D1347" s="42"/>
      <c r="E1347" s="41"/>
      <c r="F1347" s="41"/>
      <c r="G1347" s="41"/>
      <c r="H1347" s="41"/>
      <c r="I1347" s="41"/>
      <c r="J1347" s="42"/>
      <c r="K1347" s="41"/>
      <c r="L1347" s="41"/>
      <c r="M1347" s="127"/>
      <c r="N1347" s="41"/>
      <c r="O1347" s="41"/>
      <c r="P1347" s="41"/>
      <c r="Q1347" s="42"/>
      <c r="R1347" s="35"/>
      <c r="S1347" s="35"/>
      <c r="T1347" s="35"/>
      <c r="U1347" s="35"/>
      <c r="V1347" s="121"/>
      <c r="W1347" s="42"/>
      <c r="X1347" s="42"/>
      <c r="Y1347" s="42"/>
      <c r="Z1347" s="42"/>
      <c r="AA1347" s="42"/>
      <c r="AB1347" s="42"/>
      <c r="AC1347" s="42"/>
      <c r="AD1347" s="42"/>
      <c r="AE1347" s="42"/>
      <c r="AF1347" s="42"/>
      <c r="AG1347" s="42"/>
      <c r="AH1347" s="42"/>
      <c r="AI1347" s="42"/>
      <c r="AJ1347" s="42"/>
      <c r="AK1347" s="42"/>
      <c r="AL1347" s="42"/>
      <c r="AM1347" s="42"/>
    </row>
    <row r="1348" spans="1:39" x14ac:dyDescent="0.25">
      <c r="A1348" s="38" t="s">
        <v>1699</v>
      </c>
      <c r="B1348" s="42"/>
      <c r="C1348" s="42"/>
      <c r="D1348" s="42"/>
      <c r="E1348" s="41"/>
      <c r="F1348" s="41"/>
      <c r="G1348" s="41"/>
      <c r="H1348" s="41"/>
      <c r="I1348" s="41"/>
      <c r="J1348" s="42"/>
      <c r="K1348" s="41"/>
      <c r="L1348" s="41"/>
      <c r="M1348" s="127"/>
      <c r="N1348" s="41"/>
      <c r="O1348" s="41"/>
      <c r="P1348" s="41"/>
      <c r="Q1348" s="42"/>
      <c r="R1348" s="35"/>
      <c r="S1348" s="35"/>
      <c r="T1348" s="35"/>
      <c r="U1348" s="35"/>
      <c r="V1348" s="121"/>
      <c r="W1348" s="42"/>
      <c r="X1348" s="42"/>
      <c r="Y1348" s="42"/>
      <c r="Z1348" s="42"/>
      <c r="AA1348" s="42"/>
      <c r="AB1348" s="42"/>
      <c r="AC1348" s="42"/>
      <c r="AD1348" s="42"/>
      <c r="AE1348" s="42"/>
      <c r="AF1348" s="42"/>
      <c r="AG1348" s="42"/>
      <c r="AH1348" s="42"/>
      <c r="AI1348" s="42"/>
      <c r="AJ1348" s="42"/>
      <c r="AK1348" s="42"/>
      <c r="AL1348" s="42"/>
      <c r="AM1348" s="42"/>
    </row>
    <row r="1349" spans="1:39" x14ac:dyDescent="0.25">
      <c r="A1349" s="38" t="s">
        <v>1700</v>
      </c>
      <c r="B1349" s="42"/>
      <c r="C1349" s="42"/>
      <c r="D1349" s="42"/>
      <c r="E1349" s="41"/>
      <c r="F1349" s="41"/>
      <c r="G1349" s="41"/>
      <c r="H1349" s="41"/>
      <c r="I1349" s="41"/>
      <c r="J1349" s="42"/>
      <c r="K1349" s="41"/>
      <c r="L1349" s="41"/>
      <c r="M1349" s="127"/>
      <c r="N1349" s="41"/>
      <c r="O1349" s="41"/>
      <c r="P1349" s="41"/>
      <c r="Q1349" s="42"/>
      <c r="R1349" s="35"/>
      <c r="S1349" s="35"/>
      <c r="T1349" s="35"/>
      <c r="U1349" s="35"/>
      <c r="V1349" s="121"/>
      <c r="W1349" s="42"/>
      <c r="X1349" s="42"/>
      <c r="Y1349" s="42"/>
      <c r="Z1349" s="42"/>
      <c r="AA1349" s="42"/>
      <c r="AB1349" s="42"/>
      <c r="AC1349" s="42"/>
      <c r="AD1349" s="42"/>
      <c r="AE1349" s="42"/>
      <c r="AF1349" s="42"/>
      <c r="AG1349" s="42"/>
      <c r="AH1349" s="42"/>
      <c r="AI1349" s="42"/>
      <c r="AJ1349" s="42"/>
      <c r="AK1349" s="42"/>
      <c r="AL1349" s="42"/>
      <c r="AM1349" s="42"/>
    </row>
    <row r="1350" spans="1:39" x14ac:dyDescent="0.25">
      <c r="A1350" s="38" t="s">
        <v>1701</v>
      </c>
      <c r="B1350" s="42"/>
      <c r="C1350" s="42"/>
      <c r="D1350" s="42"/>
      <c r="E1350" s="41"/>
      <c r="F1350" s="41"/>
      <c r="G1350" s="41"/>
      <c r="H1350" s="41"/>
      <c r="I1350" s="41"/>
      <c r="J1350" s="42"/>
      <c r="K1350" s="41"/>
      <c r="L1350" s="41"/>
      <c r="M1350" s="127"/>
      <c r="N1350" s="41"/>
      <c r="O1350" s="41"/>
      <c r="P1350" s="41"/>
      <c r="Q1350" s="42"/>
      <c r="R1350" s="35"/>
      <c r="S1350" s="35"/>
      <c r="T1350" s="35"/>
      <c r="U1350" s="35"/>
      <c r="V1350" s="121"/>
      <c r="W1350" s="42"/>
      <c r="X1350" s="42"/>
      <c r="Y1350" s="42"/>
      <c r="Z1350" s="42"/>
      <c r="AA1350" s="42"/>
      <c r="AB1350" s="42"/>
      <c r="AC1350" s="42"/>
      <c r="AD1350" s="42"/>
      <c r="AE1350" s="42"/>
      <c r="AF1350" s="42"/>
      <c r="AG1350" s="42"/>
      <c r="AH1350" s="42"/>
      <c r="AI1350" s="42"/>
      <c r="AJ1350" s="42"/>
      <c r="AK1350" s="42"/>
      <c r="AL1350" s="42"/>
      <c r="AM1350" s="42"/>
    </row>
    <row r="1351" spans="1:39" x14ac:dyDescent="0.25">
      <c r="A1351" s="38" t="s">
        <v>1702</v>
      </c>
      <c r="B1351" s="42"/>
      <c r="C1351" s="42"/>
      <c r="D1351" s="42"/>
      <c r="E1351" s="41"/>
      <c r="F1351" s="41"/>
      <c r="G1351" s="41"/>
      <c r="H1351" s="41"/>
      <c r="I1351" s="41"/>
      <c r="J1351" s="42"/>
      <c r="K1351" s="41"/>
      <c r="L1351" s="41"/>
      <c r="M1351" s="127"/>
      <c r="N1351" s="41"/>
      <c r="O1351" s="41"/>
      <c r="P1351" s="41"/>
      <c r="Q1351" s="42"/>
      <c r="R1351" s="35"/>
      <c r="S1351" s="35"/>
      <c r="T1351" s="35"/>
      <c r="U1351" s="35"/>
      <c r="V1351" s="121"/>
      <c r="W1351" s="42"/>
      <c r="X1351" s="42"/>
      <c r="Y1351" s="42"/>
      <c r="Z1351" s="42"/>
      <c r="AA1351" s="42"/>
      <c r="AB1351" s="42"/>
      <c r="AC1351" s="42"/>
      <c r="AD1351" s="42"/>
      <c r="AE1351" s="42"/>
      <c r="AF1351" s="42"/>
      <c r="AG1351" s="42"/>
      <c r="AH1351" s="42"/>
      <c r="AI1351" s="42"/>
      <c r="AJ1351" s="42"/>
      <c r="AK1351" s="42"/>
      <c r="AL1351" s="42"/>
      <c r="AM1351" s="42"/>
    </row>
    <row r="1352" spans="1:39" x14ac:dyDescent="0.25">
      <c r="A1352" s="38" t="s">
        <v>1703</v>
      </c>
      <c r="B1352" s="42"/>
      <c r="C1352" s="42"/>
      <c r="D1352" s="42"/>
      <c r="E1352" s="41"/>
      <c r="F1352" s="41"/>
      <c r="G1352" s="41"/>
      <c r="H1352" s="41"/>
      <c r="I1352" s="41"/>
      <c r="J1352" s="42"/>
      <c r="K1352" s="41"/>
      <c r="L1352" s="41"/>
      <c r="M1352" s="127"/>
      <c r="N1352" s="41"/>
      <c r="O1352" s="41"/>
      <c r="P1352" s="41"/>
      <c r="Q1352" s="42"/>
      <c r="R1352" s="35"/>
      <c r="S1352" s="35"/>
      <c r="T1352" s="35"/>
      <c r="U1352" s="35"/>
      <c r="V1352" s="121"/>
      <c r="W1352" s="42"/>
      <c r="X1352" s="42"/>
      <c r="Y1352" s="42"/>
      <c r="Z1352" s="42"/>
      <c r="AA1352" s="42"/>
      <c r="AB1352" s="42"/>
      <c r="AC1352" s="42"/>
      <c r="AD1352" s="42"/>
      <c r="AE1352" s="42"/>
      <c r="AF1352" s="42"/>
      <c r="AG1352" s="42"/>
      <c r="AH1352" s="42"/>
      <c r="AI1352" s="42"/>
      <c r="AJ1352" s="42"/>
      <c r="AK1352" s="42"/>
      <c r="AL1352" s="42"/>
      <c r="AM1352" s="42"/>
    </row>
    <row r="1353" spans="1:39" x14ac:dyDescent="0.25">
      <c r="A1353" s="38" t="s">
        <v>1704</v>
      </c>
      <c r="B1353" s="42"/>
      <c r="C1353" s="42"/>
      <c r="D1353" s="42"/>
      <c r="E1353" s="41"/>
      <c r="F1353" s="41"/>
      <c r="G1353" s="41"/>
      <c r="H1353" s="41"/>
      <c r="I1353" s="41"/>
      <c r="J1353" s="42"/>
      <c r="K1353" s="41"/>
      <c r="L1353" s="41"/>
      <c r="M1353" s="127"/>
      <c r="N1353" s="41"/>
      <c r="O1353" s="41"/>
      <c r="P1353" s="41"/>
      <c r="Q1353" s="42"/>
      <c r="R1353" s="35"/>
      <c r="S1353" s="35"/>
      <c r="T1353" s="35"/>
      <c r="U1353" s="35"/>
      <c r="V1353" s="121"/>
      <c r="W1353" s="42"/>
      <c r="X1353" s="42"/>
      <c r="Y1353" s="42"/>
      <c r="Z1353" s="42"/>
      <c r="AA1353" s="42"/>
      <c r="AB1353" s="42"/>
      <c r="AC1353" s="42"/>
      <c r="AD1353" s="42"/>
      <c r="AE1353" s="42"/>
      <c r="AF1353" s="42"/>
      <c r="AG1353" s="42"/>
      <c r="AH1353" s="42"/>
      <c r="AI1353" s="42"/>
      <c r="AJ1353" s="42"/>
      <c r="AK1353" s="42"/>
      <c r="AL1353" s="42"/>
      <c r="AM1353" s="42"/>
    </row>
    <row r="1354" spans="1:39" x14ac:dyDescent="0.25">
      <c r="A1354" s="38" t="s">
        <v>1705</v>
      </c>
      <c r="B1354" s="42"/>
      <c r="C1354" s="42"/>
      <c r="D1354" s="42"/>
      <c r="E1354" s="41"/>
      <c r="F1354" s="41"/>
      <c r="G1354" s="41"/>
      <c r="H1354" s="41"/>
      <c r="I1354" s="41"/>
      <c r="J1354" s="42"/>
      <c r="K1354" s="41"/>
      <c r="L1354" s="41"/>
      <c r="M1354" s="127"/>
      <c r="N1354" s="41"/>
      <c r="O1354" s="41"/>
      <c r="P1354" s="41"/>
      <c r="Q1354" s="42"/>
      <c r="R1354" s="35"/>
      <c r="S1354" s="35"/>
      <c r="T1354" s="35"/>
      <c r="U1354" s="35"/>
      <c r="V1354" s="121"/>
      <c r="W1354" s="42"/>
      <c r="X1354" s="42"/>
      <c r="Y1354" s="42"/>
      <c r="Z1354" s="42"/>
      <c r="AA1354" s="42"/>
      <c r="AB1354" s="42"/>
      <c r="AC1354" s="42"/>
      <c r="AD1354" s="42"/>
      <c r="AE1354" s="42"/>
      <c r="AF1354" s="42"/>
      <c r="AG1354" s="42"/>
      <c r="AH1354" s="42"/>
      <c r="AI1354" s="42"/>
      <c r="AJ1354" s="42"/>
      <c r="AK1354" s="42"/>
      <c r="AL1354" s="42"/>
      <c r="AM1354" s="42"/>
    </row>
    <row r="1355" spans="1:39" x14ac:dyDescent="0.25">
      <c r="A1355" s="38" t="s">
        <v>1706</v>
      </c>
      <c r="B1355" s="42"/>
      <c r="C1355" s="42"/>
      <c r="D1355" s="42"/>
      <c r="E1355" s="41"/>
      <c r="F1355" s="41"/>
      <c r="G1355" s="41"/>
      <c r="H1355" s="41"/>
      <c r="I1355" s="41"/>
      <c r="J1355" s="42"/>
      <c r="K1355" s="41"/>
      <c r="L1355" s="41"/>
      <c r="M1355" s="127"/>
      <c r="N1355" s="41"/>
      <c r="O1355" s="41"/>
      <c r="P1355" s="41"/>
      <c r="Q1355" s="42"/>
      <c r="R1355" s="35"/>
      <c r="S1355" s="35"/>
      <c r="T1355" s="35"/>
      <c r="U1355" s="35"/>
      <c r="V1355" s="121"/>
      <c r="W1355" s="42"/>
      <c r="X1355" s="42"/>
      <c r="Y1355" s="42"/>
      <c r="Z1355" s="42"/>
      <c r="AA1355" s="42"/>
      <c r="AB1355" s="42"/>
      <c r="AC1355" s="42"/>
      <c r="AD1355" s="42"/>
      <c r="AE1355" s="42"/>
      <c r="AF1355" s="42"/>
      <c r="AG1355" s="42"/>
      <c r="AH1355" s="42"/>
      <c r="AI1355" s="42"/>
      <c r="AJ1355" s="42"/>
      <c r="AK1355" s="42"/>
      <c r="AL1355" s="42"/>
      <c r="AM1355" s="42"/>
    </row>
    <row r="1356" spans="1:39" x14ac:dyDescent="0.25">
      <c r="A1356" s="38" t="s">
        <v>1707</v>
      </c>
      <c r="B1356" s="42"/>
      <c r="C1356" s="42"/>
      <c r="D1356" s="42"/>
      <c r="E1356" s="41"/>
      <c r="F1356" s="41"/>
      <c r="G1356" s="41"/>
      <c r="H1356" s="41"/>
      <c r="I1356" s="41"/>
      <c r="J1356" s="42"/>
      <c r="K1356" s="41"/>
      <c r="L1356" s="41"/>
      <c r="M1356" s="127"/>
      <c r="N1356" s="41"/>
      <c r="O1356" s="41"/>
      <c r="P1356" s="41"/>
      <c r="Q1356" s="42"/>
      <c r="R1356" s="35"/>
      <c r="S1356" s="35"/>
      <c r="T1356" s="35"/>
      <c r="U1356" s="35"/>
      <c r="V1356" s="121"/>
      <c r="W1356" s="42"/>
      <c r="X1356" s="42"/>
      <c r="Y1356" s="42"/>
      <c r="Z1356" s="42"/>
      <c r="AA1356" s="42"/>
      <c r="AB1356" s="42"/>
      <c r="AC1356" s="42"/>
      <c r="AD1356" s="42"/>
      <c r="AE1356" s="42"/>
      <c r="AF1356" s="42"/>
      <c r="AG1356" s="42"/>
      <c r="AH1356" s="42"/>
      <c r="AI1356" s="42"/>
      <c r="AJ1356" s="42"/>
      <c r="AK1356" s="42"/>
      <c r="AL1356" s="42"/>
      <c r="AM1356" s="42"/>
    </row>
    <row r="1357" spans="1:39" x14ac:dyDescent="0.25">
      <c r="A1357" s="38" t="s">
        <v>1708</v>
      </c>
      <c r="B1357" s="42"/>
      <c r="C1357" s="42"/>
      <c r="D1357" s="42"/>
      <c r="E1357" s="41"/>
      <c r="F1357" s="41"/>
      <c r="G1357" s="41"/>
      <c r="H1357" s="41"/>
      <c r="I1357" s="41"/>
      <c r="J1357" s="42"/>
      <c r="K1357" s="41"/>
      <c r="L1357" s="41"/>
      <c r="M1357" s="127"/>
      <c r="N1357" s="41"/>
      <c r="O1357" s="41"/>
      <c r="P1357" s="41"/>
      <c r="Q1357" s="42"/>
      <c r="R1357" s="35"/>
      <c r="S1357" s="35"/>
      <c r="T1357" s="35"/>
      <c r="U1357" s="35"/>
      <c r="V1357" s="121"/>
      <c r="W1357" s="42"/>
      <c r="X1357" s="42"/>
      <c r="Y1357" s="42"/>
      <c r="Z1357" s="42"/>
      <c r="AA1357" s="42"/>
      <c r="AB1357" s="42"/>
      <c r="AC1357" s="42"/>
      <c r="AD1357" s="42"/>
      <c r="AE1357" s="42"/>
      <c r="AF1357" s="42"/>
      <c r="AG1357" s="42"/>
      <c r="AH1357" s="42"/>
      <c r="AI1357" s="42"/>
      <c r="AJ1357" s="42"/>
      <c r="AK1357" s="42"/>
      <c r="AL1357" s="42"/>
      <c r="AM1357" s="42"/>
    </row>
    <row r="1358" spans="1:39" x14ac:dyDescent="0.25">
      <c r="A1358" s="38" t="s">
        <v>1709</v>
      </c>
      <c r="B1358" s="42"/>
      <c r="C1358" s="42"/>
      <c r="D1358" s="42"/>
      <c r="E1358" s="41"/>
      <c r="F1358" s="41"/>
      <c r="G1358" s="41"/>
      <c r="H1358" s="41"/>
      <c r="I1358" s="41"/>
      <c r="J1358" s="42"/>
      <c r="K1358" s="41"/>
      <c r="L1358" s="41"/>
      <c r="M1358" s="127"/>
      <c r="N1358" s="41"/>
      <c r="O1358" s="41"/>
      <c r="P1358" s="41"/>
      <c r="Q1358" s="42"/>
      <c r="R1358" s="35"/>
      <c r="S1358" s="35"/>
      <c r="T1358" s="35"/>
      <c r="U1358" s="35"/>
      <c r="V1358" s="121"/>
      <c r="W1358" s="42"/>
      <c r="X1358" s="42"/>
      <c r="Y1358" s="42"/>
      <c r="Z1358" s="42"/>
      <c r="AA1358" s="42"/>
      <c r="AB1358" s="42"/>
      <c r="AC1358" s="42"/>
      <c r="AD1358" s="42"/>
      <c r="AE1358" s="42"/>
      <c r="AF1358" s="42"/>
      <c r="AG1358" s="42"/>
      <c r="AH1358" s="42"/>
      <c r="AI1358" s="42"/>
      <c r="AJ1358" s="42"/>
      <c r="AK1358" s="42"/>
      <c r="AL1358" s="42"/>
      <c r="AM1358" s="42"/>
    </row>
    <row r="1359" spans="1:39" x14ac:dyDescent="0.25">
      <c r="A1359" s="38" t="s">
        <v>1710</v>
      </c>
      <c r="B1359" s="42"/>
      <c r="C1359" s="42"/>
      <c r="D1359" s="42"/>
      <c r="E1359" s="41"/>
      <c r="F1359" s="41"/>
      <c r="G1359" s="41"/>
      <c r="H1359" s="41"/>
      <c r="I1359" s="41"/>
      <c r="J1359" s="42"/>
      <c r="K1359" s="41"/>
      <c r="L1359" s="41"/>
      <c r="M1359" s="127"/>
      <c r="N1359" s="41"/>
      <c r="O1359" s="41"/>
      <c r="P1359" s="41"/>
      <c r="Q1359" s="42"/>
      <c r="R1359" s="35"/>
      <c r="S1359" s="35"/>
      <c r="T1359" s="35"/>
      <c r="U1359" s="35"/>
      <c r="V1359" s="121"/>
      <c r="W1359" s="42"/>
      <c r="X1359" s="42"/>
      <c r="Y1359" s="42"/>
      <c r="Z1359" s="42"/>
      <c r="AA1359" s="42"/>
      <c r="AB1359" s="42"/>
      <c r="AC1359" s="42"/>
      <c r="AD1359" s="42"/>
      <c r="AE1359" s="42"/>
      <c r="AF1359" s="42"/>
      <c r="AG1359" s="42"/>
      <c r="AH1359" s="42"/>
      <c r="AI1359" s="42"/>
      <c r="AJ1359" s="42"/>
      <c r="AK1359" s="42"/>
      <c r="AL1359" s="42"/>
      <c r="AM1359" s="42"/>
    </row>
    <row r="1360" spans="1:39" x14ac:dyDescent="0.25">
      <c r="A1360" s="38" t="s">
        <v>1711</v>
      </c>
      <c r="B1360" s="42"/>
      <c r="C1360" s="42"/>
      <c r="D1360" s="42"/>
      <c r="E1360" s="41"/>
      <c r="F1360" s="41"/>
      <c r="G1360" s="41"/>
      <c r="H1360" s="41"/>
      <c r="I1360" s="41"/>
      <c r="J1360" s="42"/>
      <c r="K1360" s="41"/>
      <c r="L1360" s="41"/>
      <c r="M1360" s="127"/>
      <c r="N1360" s="41"/>
      <c r="O1360" s="41"/>
      <c r="P1360" s="41"/>
      <c r="Q1360" s="42"/>
      <c r="R1360" s="35"/>
      <c r="S1360" s="35"/>
      <c r="T1360" s="35"/>
      <c r="U1360" s="35"/>
      <c r="V1360" s="121"/>
      <c r="W1360" s="42"/>
      <c r="X1360" s="42"/>
      <c r="Y1360" s="42"/>
      <c r="Z1360" s="42"/>
      <c r="AA1360" s="42"/>
      <c r="AB1360" s="42"/>
      <c r="AC1360" s="42"/>
      <c r="AD1360" s="42"/>
      <c r="AE1360" s="42"/>
      <c r="AF1360" s="42"/>
      <c r="AG1360" s="42"/>
      <c r="AH1360" s="42"/>
      <c r="AI1360" s="42"/>
      <c r="AJ1360" s="42"/>
      <c r="AK1360" s="42"/>
      <c r="AL1360" s="42"/>
      <c r="AM1360" s="42"/>
    </row>
    <row r="1361" spans="1:39" x14ac:dyDescent="0.25">
      <c r="A1361" s="38" t="s">
        <v>1712</v>
      </c>
      <c r="B1361" s="42"/>
      <c r="C1361" s="42"/>
      <c r="D1361" s="42"/>
      <c r="E1361" s="41"/>
      <c r="F1361" s="41"/>
      <c r="G1361" s="41"/>
      <c r="H1361" s="41"/>
      <c r="I1361" s="41"/>
      <c r="J1361" s="42"/>
      <c r="K1361" s="41"/>
      <c r="L1361" s="41"/>
      <c r="M1361" s="127"/>
      <c r="N1361" s="41"/>
      <c r="O1361" s="41"/>
      <c r="P1361" s="41"/>
      <c r="Q1361" s="42"/>
      <c r="R1361" s="35"/>
      <c r="S1361" s="35"/>
      <c r="T1361" s="35"/>
      <c r="U1361" s="35"/>
      <c r="V1361" s="121"/>
      <c r="W1361" s="42"/>
      <c r="X1361" s="42"/>
      <c r="Y1361" s="42"/>
      <c r="Z1361" s="42"/>
      <c r="AA1361" s="42"/>
      <c r="AB1361" s="42"/>
      <c r="AC1361" s="42"/>
      <c r="AD1361" s="42"/>
      <c r="AE1361" s="42"/>
      <c r="AF1361" s="42"/>
      <c r="AG1361" s="42"/>
      <c r="AH1361" s="42"/>
      <c r="AI1361" s="42"/>
      <c r="AJ1361" s="42"/>
      <c r="AK1361" s="42"/>
      <c r="AL1361" s="42"/>
      <c r="AM1361" s="42"/>
    </row>
    <row r="1362" spans="1:39" x14ac:dyDescent="0.25">
      <c r="A1362" s="38" t="s">
        <v>1713</v>
      </c>
      <c r="B1362" s="42"/>
      <c r="C1362" s="42"/>
      <c r="D1362" s="42"/>
      <c r="E1362" s="41"/>
      <c r="F1362" s="41"/>
      <c r="G1362" s="41"/>
      <c r="H1362" s="41"/>
      <c r="I1362" s="41"/>
      <c r="J1362" s="42"/>
      <c r="K1362" s="41"/>
      <c r="L1362" s="41"/>
      <c r="M1362" s="127"/>
      <c r="N1362" s="41"/>
      <c r="O1362" s="41"/>
      <c r="P1362" s="41"/>
      <c r="Q1362" s="42"/>
      <c r="R1362" s="35"/>
      <c r="S1362" s="35"/>
      <c r="T1362" s="35"/>
      <c r="U1362" s="35"/>
      <c r="V1362" s="121"/>
      <c r="W1362" s="42"/>
      <c r="X1362" s="42"/>
      <c r="Y1362" s="42"/>
      <c r="Z1362" s="42"/>
      <c r="AA1362" s="42"/>
      <c r="AB1362" s="42"/>
      <c r="AC1362" s="42"/>
      <c r="AD1362" s="42"/>
      <c r="AE1362" s="42"/>
      <c r="AF1362" s="42"/>
      <c r="AG1362" s="42"/>
      <c r="AH1362" s="42"/>
      <c r="AI1362" s="42"/>
      <c r="AJ1362" s="42"/>
      <c r="AK1362" s="42"/>
      <c r="AL1362" s="42"/>
      <c r="AM1362" s="42"/>
    </row>
    <row r="1363" spans="1:39" x14ac:dyDescent="0.25">
      <c r="A1363" s="38" t="s">
        <v>1714</v>
      </c>
      <c r="B1363" s="42"/>
      <c r="C1363" s="42"/>
      <c r="D1363" s="42"/>
      <c r="E1363" s="41"/>
      <c r="F1363" s="41"/>
      <c r="G1363" s="41"/>
      <c r="H1363" s="41"/>
      <c r="I1363" s="41"/>
      <c r="J1363" s="42"/>
      <c r="K1363" s="41"/>
      <c r="L1363" s="41"/>
      <c r="M1363" s="127"/>
      <c r="N1363" s="41"/>
      <c r="O1363" s="41"/>
      <c r="P1363" s="41"/>
      <c r="Q1363" s="42"/>
      <c r="R1363" s="35"/>
      <c r="S1363" s="35"/>
      <c r="T1363" s="35"/>
      <c r="U1363" s="35"/>
      <c r="V1363" s="121"/>
      <c r="W1363" s="42"/>
      <c r="X1363" s="42"/>
      <c r="Y1363" s="42"/>
      <c r="Z1363" s="42"/>
      <c r="AA1363" s="42"/>
      <c r="AB1363" s="42"/>
      <c r="AC1363" s="42"/>
      <c r="AD1363" s="42"/>
      <c r="AE1363" s="42"/>
      <c r="AF1363" s="42"/>
      <c r="AG1363" s="42"/>
      <c r="AH1363" s="42"/>
      <c r="AI1363" s="42"/>
      <c r="AJ1363" s="42"/>
      <c r="AK1363" s="42"/>
      <c r="AL1363" s="42"/>
      <c r="AM1363" s="42"/>
    </row>
    <row r="1364" spans="1:39" x14ac:dyDescent="0.25">
      <c r="A1364" s="38" t="s">
        <v>1715</v>
      </c>
      <c r="B1364" s="42"/>
      <c r="C1364" s="42"/>
      <c r="D1364" s="42"/>
      <c r="E1364" s="41"/>
      <c r="F1364" s="41"/>
      <c r="G1364" s="41"/>
      <c r="H1364" s="41"/>
      <c r="I1364" s="41"/>
      <c r="J1364" s="42"/>
      <c r="K1364" s="41"/>
      <c r="L1364" s="41"/>
      <c r="M1364" s="127"/>
      <c r="N1364" s="41"/>
      <c r="O1364" s="41"/>
      <c r="P1364" s="41"/>
      <c r="Q1364" s="42"/>
      <c r="R1364" s="35"/>
      <c r="S1364" s="35"/>
      <c r="T1364" s="35"/>
      <c r="U1364" s="35"/>
      <c r="V1364" s="121"/>
      <c r="W1364" s="42"/>
      <c r="X1364" s="42"/>
      <c r="Y1364" s="42"/>
      <c r="Z1364" s="42"/>
      <c r="AA1364" s="42"/>
      <c r="AB1364" s="42"/>
      <c r="AC1364" s="42"/>
      <c r="AD1364" s="42"/>
      <c r="AE1364" s="42"/>
      <c r="AF1364" s="42"/>
      <c r="AG1364" s="42"/>
      <c r="AH1364" s="42"/>
      <c r="AI1364" s="42"/>
      <c r="AJ1364" s="42"/>
      <c r="AK1364" s="42"/>
      <c r="AL1364" s="42"/>
      <c r="AM1364" s="42"/>
    </row>
    <row r="1365" spans="1:39" x14ac:dyDescent="0.25">
      <c r="A1365" s="38" t="s">
        <v>1716</v>
      </c>
      <c r="B1365" s="42"/>
      <c r="C1365" s="42"/>
      <c r="D1365" s="42"/>
      <c r="E1365" s="41"/>
      <c r="F1365" s="41"/>
      <c r="G1365" s="41"/>
      <c r="H1365" s="41"/>
      <c r="I1365" s="41"/>
      <c r="J1365" s="42"/>
      <c r="K1365" s="41"/>
      <c r="L1365" s="41"/>
      <c r="M1365" s="127"/>
      <c r="N1365" s="41"/>
      <c r="O1365" s="41"/>
      <c r="P1365" s="41"/>
      <c r="Q1365" s="42"/>
      <c r="R1365" s="35"/>
      <c r="S1365" s="35"/>
      <c r="T1365" s="35"/>
      <c r="U1365" s="35"/>
      <c r="V1365" s="121"/>
      <c r="W1365" s="42"/>
      <c r="X1365" s="42"/>
      <c r="Y1365" s="42"/>
      <c r="Z1365" s="42"/>
      <c r="AA1365" s="42"/>
      <c r="AB1365" s="42"/>
      <c r="AC1365" s="42"/>
      <c r="AD1365" s="42"/>
      <c r="AE1365" s="42"/>
      <c r="AF1365" s="42"/>
      <c r="AG1365" s="42"/>
      <c r="AH1365" s="42"/>
      <c r="AI1365" s="42"/>
      <c r="AJ1365" s="42"/>
      <c r="AK1365" s="42"/>
      <c r="AL1365" s="42"/>
      <c r="AM1365" s="42"/>
    </row>
    <row r="1366" spans="1:39" x14ac:dyDescent="0.25">
      <c r="A1366" s="38" t="s">
        <v>1717</v>
      </c>
      <c r="B1366" s="42"/>
      <c r="C1366" s="42"/>
      <c r="D1366" s="42"/>
      <c r="E1366" s="41"/>
      <c r="F1366" s="41"/>
      <c r="G1366" s="41"/>
      <c r="H1366" s="41"/>
      <c r="I1366" s="41"/>
      <c r="J1366" s="42"/>
      <c r="K1366" s="41"/>
      <c r="L1366" s="41"/>
      <c r="M1366" s="127"/>
      <c r="N1366" s="41"/>
      <c r="O1366" s="41"/>
      <c r="P1366" s="41"/>
      <c r="Q1366" s="42"/>
      <c r="R1366" s="35"/>
      <c r="S1366" s="35"/>
      <c r="T1366" s="35"/>
      <c r="U1366" s="35"/>
      <c r="V1366" s="121"/>
      <c r="W1366" s="42"/>
      <c r="X1366" s="42"/>
      <c r="Y1366" s="42"/>
      <c r="Z1366" s="42"/>
      <c r="AA1366" s="42"/>
      <c r="AB1366" s="42"/>
      <c r="AC1366" s="42"/>
      <c r="AD1366" s="42"/>
      <c r="AE1366" s="42"/>
      <c r="AF1366" s="42"/>
      <c r="AG1366" s="42"/>
      <c r="AH1366" s="42"/>
      <c r="AI1366" s="42"/>
      <c r="AJ1366" s="42"/>
      <c r="AK1366" s="42"/>
      <c r="AL1366" s="42"/>
      <c r="AM1366" s="42"/>
    </row>
    <row r="1367" spans="1:39" x14ac:dyDescent="0.25">
      <c r="A1367" s="38" t="s">
        <v>1718</v>
      </c>
      <c r="B1367" s="42"/>
      <c r="C1367" s="42"/>
      <c r="D1367" s="42"/>
      <c r="E1367" s="41"/>
      <c r="F1367" s="41"/>
      <c r="G1367" s="41"/>
      <c r="H1367" s="41"/>
      <c r="I1367" s="41"/>
      <c r="J1367" s="42"/>
      <c r="K1367" s="41"/>
      <c r="L1367" s="41"/>
      <c r="M1367" s="127"/>
      <c r="N1367" s="41"/>
      <c r="O1367" s="41"/>
      <c r="P1367" s="41"/>
      <c r="Q1367" s="42"/>
      <c r="R1367" s="35"/>
      <c r="S1367" s="35"/>
      <c r="T1367" s="35"/>
      <c r="U1367" s="35"/>
      <c r="V1367" s="121"/>
      <c r="W1367" s="42"/>
      <c r="X1367" s="42"/>
      <c r="Y1367" s="42"/>
      <c r="Z1367" s="42"/>
      <c r="AA1367" s="42"/>
      <c r="AB1367" s="42"/>
      <c r="AC1367" s="42"/>
      <c r="AD1367" s="42"/>
      <c r="AE1367" s="42"/>
      <c r="AF1367" s="42"/>
      <c r="AG1367" s="42"/>
      <c r="AH1367" s="42"/>
      <c r="AI1367" s="42"/>
      <c r="AJ1367" s="42"/>
      <c r="AK1367" s="42"/>
      <c r="AL1367" s="42"/>
      <c r="AM1367" s="42"/>
    </row>
    <row r="1368" spans="1:39" x14ac:dyDescent="0.25">
      <c r="A1368" s="38" t="s">
        <v>1719</v>
      </c>
      <c r="B1368" s="42"/>
      <c r="C1368" s="42"/>
      <c r="D1368" s="42"/>
      <c r="E1368" s="41"/>
      <c r="F1368" s="41"/>
      <c r="G1368" s="41"/>
      <c r="H1368" s="41"/>
      <c r="I1368" s="41"/>
      <c r="J1368" s="42"/>
      <c r="K1368" s="41"/>
      <c r="L1368" s="41"/>
      <c r="M1368" s="127"/>
      <c r="N1368" s="41"/>
      <c r="O1368" s="41"/>
      <c r="P1368" s="41"/>
      <c r="Q1368" s="42"/>
      <c r="R1368" s="35"/>
      <c r="S1368" s="35"/>
      <c r="T1368" s="35"/>
      <c r="U1368" s="35"/>
      <c r="V1368" s="121"/>
      <c r="W1368" s="42"/>
      <c r="X1368" s="42"/>
      <c r="Y1368" s="42"/>
      <c r="Z1368" s="42"/>
      <c r="AA1368" s="42"/>
      <c r="AB1368" s="42"/>
      <c r="AC1368" s="42"/>
      <c r="AD1368" s="42"/>
      <c r="AE1368" s="42"/>
      <c r="AF1368" s="42"/>
      <c r="AG1368" s="42"/>
      <c r="AH1368" s="42"/>
      <c r="AI1368" s="42"/>
      <c r="AJ1368" s="42"/>
      <c r="AK1368" s="42"/>
      <c r="AL1368" s="42"/>
      <c r="AM1368" s="42"/>
    </row>
    <row r="1369" spans="1:39" x14ac:dyDescent="0.25">
      <c r="A1369" s="38" t="s">
        <v>1720</v>
      </c>
      <c r="B1369" s="42"/>
      <c r="C1369" s="42"/>
      <c r="D1369" s="42"/>
      <c r="E1369" s="41"/>
      <c r="F1369" s="41"/>
      <c r="G1369" s="41"/>
      <c r="H1369" s="41"/>
      <c r="I1369" s="41"/>
      <c r="J1369" s="42"/>
      <c r="K1369" s="41"/>
      <c r="L1369" s="41"/>
      <c r="M1369" s="127"/>
      <c r="N1369" s="41"/>
      <c r="O1369" s="41"/>
      <c r="P1369" s="41"/>
      <c r="Q1369" s="42"/>
      <c r="R1369" s="35"/>
      <c r="S1369" s="35"/>
      <c r="T1369" s="35"/>
      <c r="U1369" s="35"/>
      <c r="V1369" s="121"/>
      <c r="W1369" s="42"/>
      <c r="X1369" s="42"/>
      <c r="Y1369" s="42"/>
      <c r="Z1369" s="42"/>
      <c r="AA1369" s="42"/>
      <c r="AB1369" s="42"/>
      <c r="AC1369" s="42"/>
      <c r="AD1369" s="42"/>
      <c r="AE1369" s="42"/>
      <c r="AF1369" s="42"/>
      <c r="AG1369" s="42"/>
      <c r="AH1369" s="42"/>
      <c r="AI1369" s="42"/>
      <c r="AJ1369" s="42"/>
      <c r="AK1369" s="42"/>
      <c r="AL1369" s="42"/>
      <c r="AM1369" s="42"/>
    </row>
    <row r="1370" spans="1:39" x14ac:dyDescent="0.25">
      <c r="A1370" s="38" t="s">
        <v>1721</v>
      </c>
      <c r="B1370" s="42"/>
      <c r="C1370" s="42"/>
      <c r="D1370" s="42"/>
      <c r="E1370" s="41"/>
      <c r="F1370" s="41"/>
      <c r="G1370" s="41"/>
      <c r="H1370" s="41"/>
      <c r="I1370" s="41"/>
      <c r="J1370" s="42"/>
      <c r="K1370" s="41"/>
      <c r="L1370" s="41"/>
      <c r="M1370" s="127"/>
      <c r="N1370" s="41"/>
      <c r="O1370" s="41"/>
      <c r="P1370" s="41"/>
      <c r="Q1370" s="42"/>
      <c r="R1370" s="35"/>
      <c r="S1370" s="35"/>
      <c r="T1370" s="35"/>
      <c r="U1370" s="35"/>
      <c r="V1370" s="121"/>
      <c r="W1370" s="42"/>
      <c r="X1370" s="42"/>
      <c r="Y1370" s="42"/>
      <c r="Z1370" s="42"/>
      <c r="AA1370" s="42"/>
      <c r="AB1370" s="42"/>
      <c r="AC1370" s="42"/>
      <c r="AD1370" s="42"/>
      <c r="AE1370" s="42"/>
      <c r="AF1370" s="42"/>
      <c r="AG1370" s="42"/>
      <c r="AH1370" s="42"/>
      <c r="AI1370" s="42"/>
      <c r="AJ1370" s="42"/>
      <c r="AK1370" s="42"/>
      <c r="AL1370" s="42"/>
      <c r="AM1370" s="42"/>
    </row>
    <row r="1371" spans="1:39" x14ac:dyDescent="0.25">
      <c r="A1371" s="38" t="s">
        <v>1722</v>
      </c>
      <c r="B1371" s="42"/>
      <c r="C1371" s="42"/>
      <c r="D1371" s="42"/>
      <c r="E1371" s="41"/>
      <c r="F1371" s="41"/>
      <c r="G1371" s="41"/>
      <c r="H1371" s="41"/>
      <c r="I1371" s="41"/>
      <c r="J1371" s="42"/>
      <c r="K1371" s="41"/>
      <c r="L1371" s="41"/>
      <c r="M1371" s="127"/>
      <c r="N1371" s="41"/>
      <c r="O1371" s="41"/>
      <c r="P1371" s="41"/>
      <c r="Q1371" s="42"/>
      <c r="R1371" s="35"/>
      <c r="S1371" s="35"/>
      <c r="T1371" s="35"/>
      <c r="U1371" s="35"/>
      <c r="V1371" s="121"/>
      <c r="W1371" s="42"/>
      <c r="X1371" s="42"/>
      <c r="Y1371" s="42"/>
      <c r="Z1371" s="42"/>
      <c r="AA1371" s="42"/>
      <c r="AB1371" s="42"/>
      <c r="AC1371" s="42"/>
      <c r="AD1371" s="42"/>
      <c r="AE1371" s="42"/>
      <c r="AF1371" s="42"/>
      <c r="AG1371" s="42"/>
      <c r="AH1371" s="42"/>
      <c r="AI1371" s="42"/>
      <c r="AJ1371" s="42"/>
      <c r="AK1371" s="42"/>
      <c r="AL1371" s="42"/>
      <c r="AM1371" s="42"/>
    </row>
    <row r="1372" spans="1:39" x14ac:dyDescent="0.25">
      <c r="A1372" s="38" t="s">
        <v>1723</v>
      </c>
      <c r="B1372" s="42"/>
      <c r="C1372" s="42"/>
      <c r="D1372" s="42"/>
      <c r="E1372" s="41"/>
      <c r="F1372" s="41"/>
      <c r="G1372" s="41"/>
      <c r="H1372" s="41"/>
      <c r="I1372" s="41"/>
      <c r="J1372" s="42"/>
      <c r="K1372" s="41"/>
      <c r="L1372" s="41"/>
      <c r="M1372" s="127"/>
      <c r="N1372" s="41"/>
      <c r="O1372" s="41"/>
      <c r="P1372" s="41"/>
      <c r="Q1372" s="42"/>
      <c r="R1372" s="35"/>
      <c r="S1372" s="35"/>
      <c r="T1372" s="35"/>
      <c r="U1372" s="35"/>
      <c r="V1372" s="121"/>
      <c r="W1372" s="42"/>
      <c r="X1372" s="42"/>
      <c r="Y1372" s="42"/>
      <c r="Z1372" s="42"/>
      <c r="AA1372" s="42"/>
      <c r="AB1372" s="42"/>
      <c r="AC1372" s="42"/>
      <c r="AD1372" s="42"/>
      <c r="AE1372" s="42"/>
      <c r="AF1372" s="42"/>
      <c r="AG1372" s="42"/>
      <c r="AH1372" s="42"/>
      <c r="AI1372" s="42"/>
      <c r="AJ1372" s="42"/>
      <c r="AK1372" s="42"/>
      <c r="AL1372" s="42"/>
      <c r="AM1372" s="42"/>
    </row>
    <row r="1373" spans="1:39" x14ac:dyDescent="0.25">
      <c r="A1373" s="38" t="s">
        <v>1724</v>
      </c>
      <c r="B1373" s="42"/>
      <c r="C1373" s="42"/>
      <c r="D1373" s="42"/>
      <c r="E1373" s="41"/>
      <c r="F1373" s="41"/>
      <c r="G1373" s="41"/>
      <c r="H1373" s="41"/>
      <c r="I1373" s="41"/>
      <c r="J1373" s="42"/>
      <c r="K1373" s="41"/>
      <c r="L1373" s="41"/>
      <c r="M1373" s="127"/>
      <c r="N1373" s="41"/>
      <c r="O1373" s="41"/>
      <c r="P1373" s="41"/>
      <c r="Q1373" s="42"/>
      <c r="R1373" s="35"/>
      <c r="S1373" s="35"/>
      <c r="T1373" s="35"/>
      <c r="U1373" s="35"/>
      <c r="V1373" s="121"/>
      <c r="W1373" s="42"/>
      <c r="X1373" s="42"/>
      <c r="Y1373" s="42"/>
      <c r="Z1373" s="42"/>
      <c r="AA1373" s="42"/>
      <c r="AB1373" s="42"/>
      <c r="AC1373" s="42"/>
      <c r="AD1373" s="42"/>
      <c r="AE1373" s="42"/>
      <c r="AF1373" s="42"/>
      <c r="AG1373" s="42"/>
      <c r="AH1373" s="42"/>
      <c r="AI1373" s="42"/>
      <c r="AJ1373" s="42"/>
      <c r="AK1373" s="42"/>
      <c r="AL1373" s="42"/>
      <c r="AM1373" s="42"/>
    </row>
    <row r="1374" spans="1:39" x14ac:dyDescent="0.25">
      <c r="A1374" s="38" t="s">
        <v>1725</v>
      </c>
      <c r="B1374" s="42"/>
      <c r="C1374" s="42"/>
      <c r="D1374" s="42"/>
      <c r="E1374" s="41"/>
      <c r="F1374" s="41"/>
      <c r="G1374" s="41"/>
      <c r="H1374" s="41"/>
      <c r="I1374" s="41"/>
      <c r="J1374" s="42"/>
      <c r="K1374" s="41"/>
      <c r="L1374" s="41"/>
      <c r="M1374" s="127"/>
      <c r="N1374" s="41"/>
      <c r="O1374" s="41"/>
      <c r="P1374" s="41"/>
      <c r="Q1374" s="42"/>
      <c r="R1374" s="35"/>
      <c r="S1374" s="35"/>
      <c r="T1374" s="35"/>
      <c r="U1374" s="35"/>
      <c r="V1374" s="121"/>
      <c r="W1374" s="42"/>
      <c r="X1374" s="42"/>
      <c r="Y1374" s="42"/>
      <c r="Z1374" s="42"/>
      <c r="AA1374" s="42"/>
      <c r="AB1374" s="42"/>
      <c r="AC1374" s="42"/>
      <c r="AD1374" s="42"/>
      <c r="AE1374" s="42"/>
      <c r="AF1374" s="42"/>
      <c r="AG1374" s="42"/>
      <c r="AH1374" s="42"/>
      <c r="AI1374" s="42"/>
      <c r="AJ1374" s="42"/>
      <c r="AK1374" s="42"/>
      <c r="AL1374" s="42"/>
      <c r="AM1374" s="42"/>
    </row>
    <row r="1375" spans="1:39" x14ac:dyDescent="0.25">
      <c r="A1375" s="38" t="s">
        <v>1726</v>
      </c>
      <c r="B1375" s="42"/>
      <c r="C1375" s="42"/>
      <c r="D1375" s="42"/>
      <c r="E1375" s="41"/>
      <c r="F1375" s="41"/>
      <c r="G1375" s="41"/>
      <c r="H1375" s="41"/>
      <c r="I1375" s="41"/>
      <c r="J1375" s="42"/>
      <c r="K1375" s="41"/>
      <c r="L1375" s="41"/>
      <c r="M1375" s="127"/>
      <c r="N1375" s="41"/>
      <c r="O1375" s="41"/>
      <c r="P1375" s="41"/>
      <c r="Q1375" s="42"/>
      <c r="R1375" s="35"/>
      <c r="S1375" s="35"/>
      <c r="T1375" s="35"/>
      <c r="U1375" s="35"/>
      <c r="V1375" s="121"/>
      <c r="W1375" s="42"/>
      <c r="X1375" s="42"/>
      <c r="Y1375" s="42"/>
      <c r="Z1375" s="42"/>
      <c r="AA1375" s="42"/>
      <c r="AB1375" s="42"/>
      <c r="AC1375" s="42"/>
      <c r="AD1375" s="42"/>
      <c r="AE1375" s="42"/>
      <c r="AF1375" s="42"/>
      <c r="AG1375" s="42"/>
      <c r="AH1375" s="42"/>
      <c r="AI1375" s="42"/>
      <c r="AJ1375" s="42"/>
      <c r="AK1375" s="42"/>
      <c r="AL1375" s="42"/>
      <c r="AM1375" s="42"/>
    </row>
    <row r="1376" spans="1:39" x14ac:dyDescent="0.25">
      <c r="A1376" s="38" t="s">
        <v>1727</v>
      </c>
      <c r="B1376" s="42"/>
      <c r="C1376" s="42"/>
      <c r="D1376" s="42"/>
      <c r="E1376" s="41"/>
      <c r="F1376" s="41"/>
      <c r="G1376" s="41"/>
      <c r="H1376" s="41"/>
      <c r="I1376" s="41"/>
      <c r="J1376" s="42"/>
      <c r="K1376" s="41"/>
      <c r="L1376" s="41"/>
      <c r="M1376" s="127"/>
      <c r="N1376" s="41"/>
      <c r="O1376" s="41"/>
      <c r="P1376" s="41"/>
      <c r="Q1376" s="42"/>
      <c r="R1376" s="35"/>
      <c r="S1376" s="35"/>
      <c r="T1376" s="35"/>
      <c r="U1376" s="35"/>
      <c r="V1376" s="121"/>
      <c r="W1376" s="42"/>
      <c r="X1376" s="42"/>
      <c r="Y1376" s="42"/>
      <c r="Z1376" s="42"/>
      <c r="AA1376" s="42"/>
      <c r="AB1376" s="42"/>
      <c r="AC1376" s="42"/>
      <c r="AD1376" s="42"/>
      <c r="AE1376" s="42"/>
      <c r="AF1376" s="42"/>
      <c r="AG1376" s="42"/>
      <c r="AH1376" s="42"/>
      <c r="AI1376" s="42"/>
      <c r="AJ1376" s="42"/>
      <c r="AK1376" s="42"/>
      <c r="AL1376" s="42"/>
      <c r="AM1376" s="42"/>
    </row>
    <row r="1377" spans="1:39" x14ac:dyDescent="0.25">
      <c r="A1377" s="38" t="s">
        <v>1728</v>
      </c>
      <c r="B1377" s="42"/>
      <c r="C1377" s="42"/>
      <c r="D1377" s="42"/>
      <c r="E1377" s="41"/>
      <c r="F1377" s="41"/>
      <c r="G1377" s="41"/>
      <c r="H1377" s="41"/>
      <c r="I1377" s="41"/>
      <c r="J1377" s="42"/>
      <c r="K1377" s="41"/>
      <c r="L1377" s="41"/>
      <c r="M1377" s="127"/>
      <c r="N1377" s="41"/>
      <c r="O1377" s="41"/>
      <c r="P1377" s="41"/>
      <c r="Q1377" s="42"/>
      <c r="R1377" s="35"/>
      <c r="S1377" s="35"/>
      <c r="T1377" s="35"/>
      <c r="U1377" s="35"/>
      <c r="V1377" s="121"/>
      <c r="W1377" s="42"/>
      <c r="X1377" s="42"/>
      <c r="Y1377" s="42"/>
      <c r="Z1377" s="42"/>
      <c r="AA1377" s="42"/>
      <c r="AB1377" s="42"/>
      <c r="AC1377" s="42"/>
      <c r="AD1377" s="42"/>
      <c r="AE1377" s="42"/>
      <c r="AF1377" s="42"/>
      <c r="AG1377" s="42"/>
      <c r="AH1377" s="42"/>
      <c r="AI1377" s="42"/>
      <c r="AJ1377" s="42"/>
      <c r="AK1377" s="42"/>
      <c r="AL1377" s="42"/>
      <c r="AM1377" s="42"/>
    </row>
    <row r="1378" spans="1:39" x14ac:dyDescent="0.25">
      <c r="A1378" s="38" t="s">
        <v>1729</v>
      </c>
      <c r="B1378" s="42"/>
      <c r="C1378" s="42"/>
      <c r="D1378" s="42"/>
      <c r="E1378" s="41"/>
      <c r="F1378" s="41"/>
      <c r="G1378" s="41"/>
      <c r="H1378" s="41"/>
      <c r="I1378" s="41"/>
      <c r="J1378" s="42"/>
      <c r="K1378" s="41"/>
      <c r="L1378" s="41"/>
      <c r="M1378" s="127"/>
      <c r="N1378" s="41"/>
      <c r="O1378" s="41"/>
      <c r="P1378" s="41"/>
      <c r="Q1378" s="42"/>
      <c r="R1378" s="35"/>
      <c r="S1378" s="35"/>
      <c r="T1378" s="35"/>
      <c r="U1378" s="35"/>
      <c r="V1378" s="121"/>
      <c r="W1378" s="42"/>
      <c r="X1378" s="42"/>
      <c r="Y1378" s="42"/>
      <c r="Z1378" s="42"/>
      <c r="AA1378" s="42"/>
      <c r="AB1378" s="42"/>
      <c r="AC1378" s="42"/>
      <c r="AD1378" s="42"/>
      <c r="AE1378" s="42"/>
      <c r="AF1378" s="42"/>
      <c r="AG1378" s="42"/>
      <c r="AH1378" s="42"/>
      <c r="AI1378" s="42"/>
      <c r="AJ1378" s="42"/>
      <c r="AK1378" s="42"/>
      <c r="AL1378" s="42"/>
      <c r="AM1378" s="42"/>
    </row>
    <row r="1379" spans="1:39" x14ac:dyDescent="0.25">
      <c r="A1379" s="38" t="s">
        <v>1730</v>
      </c>
      <c r="B1379" s="42"/>
      <c r="C1379" s="42"/>
      <c r="D1379" s="42"/>
      <c r="E1379" s="41"/>
      <c r="F1379" s="41"/>
      <c r="G1379" s="41"/>
      <c r="H1379" s="41"/>
      <c r="I1379" s="41"/>
      <c r="J1379" s="42"/>
      <c r="K1379" s="41"/>
      <c r="L1379" s="41"/>
      <c r="M1379" s="127"/>
      <c r="N1379" s="41"/>
      <c r="O1379" s="41"/>
      <c r="P1379" s="41"/>
      <c r="Q1379" s="42"/>
      <c r="R1379" s="35"/>
      <c r="S1379" s="35"/>
      <c r="T1379" s="35"/>
      <c r="U1379" s="35"/>
      <c r="V1379" s="121"/>
      <c r="W1379" s="42"/>
      <c r="X1379" s="42"/>
      <c r="Y1379" s="42"/>
      <c r="Z1379" s="42"/>
      <c r="AA1379" s="42"/>
      <c r="AB1379" s="42"/>
      <c r="AC1379" s="42"/>
      <c r="AD1379" s="42"/>
      <c r="AE1379" s="42"/>
      <c r="AF1379" s="42"/>
      <c r="AG1379" s="42"/>
      <c r="AH1379" s="42"/>
      <c r="AI1379" s="42"/>
      <c r="AJ1379" s="42"/>
      <c r="AK1379" s="42"/>
      <c r="AL1379" s="42"/>
      <c r="AM1379" s="42"/>
    </row>
    <row r="1380" spans="1:39" x14ac:dyDescent="0.25">
      <c r="A1380" s="38" t="s">
        <v>1731</v>
      </c>
      <c r="B1380" s="42"/>
      <c r="C1380" s="42"/>
      <c r="D1380" s="42"/>
      <c r="E1380" s="41"/>
      <c r="F1380" s="41"/>
      <c r="G1380" s="41"/>
      <c r="H1380" s="41"/>
      <c r="I1380" s="41"/>
      <c r="J1380" s="42"/>
      <c r="K1380" s="41"/>
      <c r="L1380" s="41"/>
      <c r="M1380" s="127"/>
      <c r="N1380" s="41"/>
      <c r="O1380" s="41"/>
      <c r="P1380" s="41"/>
      <c r="Q1380" s="42"/>
      <c r="R1380" s="35"/>
      <c r="S1380" s="35"/>
      <c r="T1380" s="35"/>
      <c r="U1380" s="35"/>
      <c r="V1380" s="121"/>
      <c r="W1380" s="42"/>
      <c r="X1380" s="42"/>
      <c r="Y1380" s="42"/>
      <c r="Z1380" s="42"/>
      <c r="AA1380" s="42"/>
      <c r="AB1380" s="42"/>
      <c r="AC1380" s="42"/>
      <c r="AD1380" s="42"/>
      <c r="AE1380" s="42"/>
      <c r="AF1380" s="42"/>
      <c r="AG1380" s="42"/>
      <c r="AH1380" s="42"/>
      <c r="AI1380" s="42"/>
      <c r="AJ1380" s="42"/>
      <c r="AK1380" s="42"/>
      <c r="AL1380" s="42"/>
      <c r="AM1380" s="42"/>
    </row>
    <row r="1381" spans="1:39" x14ac:dyDescent="0.25">
      <c r="A1381" s="38" t="s">
        <v>1732</v>
      </c>
      <c r="B1381" s="42"/>
      <c r="C1381" s="42"/>
      <c r="D1381" s="42"/>
      <c r="E1381" s="41"/>
      <c r="F1381" s="41"/>
      <c r="G1381" s="41"/>
      <c r="H1381" s="41"/>
      <c r="I1381" s="41"/>
      <c r="J1381" s="42"/>
      <c r="K1381" s="41"/>
      <c r="L1381" s="41"/>
      <c r="M1381" s="127"/>
      <c r="N1381" s="41"/>
      <c r="O1381" s="41"/>
      <c r="P1381" s="41"/>
      <c r="Q1381" s="42"/>
      <c r="R1381" s="35"/>
      <c r="S1381" s="35"/>
      <c r="T1381" s="35"/>
      <c r="U1381" s="35"/>
      <c r="V1381" s="121"/>
      <c r="W1381" s="42"/>
      <c r="X1381" s="42"/>
      <c r="Y1381" s="42"/>
      <c r="Z1381" s="42"/>
      <c r="AA1381" s="42"/>
      <c r="AB1381" s="42"/>
      <c r="AC1381" s="42"/>
      <c r="AD1381" s="42"/>
      <c r="AE1381" s="42"/>
      <c r="AF1381" s="42"/>
      <c r="AG1381" s="42"/>
      <c r="AH1381" s="42"/>
      <c r="AI1381" s="42"/>
      <c r="AJ1381" s="42"/>
      <c r="AK1381" s="42"/>
      <c r="AL1381" s="42"/>
      <c r="AM1381" s="42"/>
    </row>
    <row r="1382" spans="1:39" x14ac:dyDescent="0.25">
      <c r="A1382" s="38" t="s">
        <v>1733</v>
      </c>
      <c r="B1382" s="42"/>
      <c r="C1382" s="42"/>
      <c r="D1382" s="42"/>
      <c r="E1382" s="41"/>
      <c r="F1382" s="41"/>
      <c r="G1382" s="41"/>
      <c r="H1382" s="41"/>
      <c r="I1382" s="41"/>
      <c r="J1382" s="42"/>
      <c r="K1382" s="41"/>
      <c r="L1382" s="41"/>
      <c r="M1382" s="127"/>
      <c r="N1382" s="41"/>
      <c r="O1382" s="41"/>
      <c r="P1382" s="41"/>
      <c r="Q1382" s="42"/>
      <c r="R1382" s="35"/>
      <c r="S1382" s="35"/>
      <c r="T1382" s="35"/>
      <c r="U1382" s="35"/>
      <c r="V1382" s="121"/>
      <c r="W1382" s="42"/>
      <c r="X1382" s="42"/>
      <c r="Y1382" s="42"/>
      <c r="Z1382" s="42"/>
      <c r="AA1382" s="42"/>
      <c r="AB1382" s="42"/>
      <c r="AC1382" s="42"/>
      <c r="AD1382" s="42"/>
      <c r="AE1382" s="42"/>
      <c r="AF1382" s="42"/>
      <c r="AG1382" s="42"/>
      <c r="AH1382" s="42"/>
      <c r="AI1382" s="42"/>
      <c r="AJ1382" s="42"/>
      <c r="AK1382" s="42"/>
      <c r="AL1382" s="42"/>
      <c r="AM1382" s="42"/>
    </row>
    <row r="1383" spans="1:39" x14ac:dyDescent="0.25">
      <c r="A1383" s="38" t="s">
        <v>1734</v>
      </c>
      <c r="B1383" s="42"/>
      <c r="C1383" s="42"/>
      <c r="D1383" s="42"/>
      <c r="E1383" s="41"/>
      <c r="F1383" s="41"/>
      <c r="G1383" s="41"/>
      <c r="H1383" s="41"/>
      <c r="I1383" s="41"/>
      <c r="J1383" s="42"/>
      <c r="K1383" s="41"/>
      <c r="L1383" s="41"/>
      <c r="M1383" s="127"/>
      <c r="N1383" s="41"/>
      <c r="O1383" s="41"/>
      <c r="P1383" s="41"/>
      <c r="Q1383" s="42"/>
      <c r="R1383" s="35"/>
      <c r="S1383" s="35"/>
      <c r="T1383" s="35"/>
      <c r="U1383" s="35"/>
      <c r="V1383" s="121"/>
      <c r="W1383" s="42"/>
      <c r="X1383" s="42"/>
      <c r="Y1383" s="42"/>
      <c r="Z1383" s="42"/>
      <c r="AA1383" s="42"/>
      <c r="AB1383" s="42"/>
      <c r="AC1383" s="42"/>
      <c r="AD1383" s="42"/>
      <c r="AE1383" s="42"/>
      <c r="AF1383" s="42"/>
      <c r="AG1383" s="42"/>
      <c r="AH1383" s="42"/>
      <c r="AI1383" s="42"/>
      <c r="AJ1383" s="42"/>
      <c r="AK1383" s="42"/>
      <c r="AL1383" s="42"/>
      <c r="AM1383" s="42"/>
    </row>
    <row r="1384" spans="1:39" x14ac:dyDescent="0.25">
      <c r="A1384" s="38" t="s">
        <v>1735</v>
      </c>
      <c r="B1384" s="42"/>
      <c r="C1384" s="42"/>
      <c r="D1384" s="42"/>
      <c r="E1384" s="41"/>
      <c r="F1384" s="41"/>
      <c r="G1384" s="41"/>
      <c r="H1384" s="41"/>
      <c r="I1384" s="41"/>
      <c r="J1384" s="42"/>
      <c r="K1384" s="41"/>
      <c r="L1384" s="41"/>
      <c r="M1384" s="127"/>
      <c r="N1384" s="41"/>
      <c r="O1384" s="41"/>
      <c r="P1384" s="41"/>
      <c r="Q1384" s="42"/>
      <c r="R1384" s="35"/>
      <c r="S1384" s="35"/>
      <c r="T1384" s="35"/>
      <c r="U1384" s="35"/>
      <c r="V1384" s="121"/>
      <c r="W1384" s="42"/>
      <c r="X1384" s="42"/>
      <c r="Y1384" s="42"/>
      <c r="Z1384" s="42"/>
      <c r="AA1384" s="42"/>
      <c r="AB1384" s="42"/>
      <c r="AC1384" s="42"/>
      <c r="AD1384" s="42"/>
      <c r="AE1384" s="42"/>
      <c r="AF1384" s="42"/>
      <c r="AG1384" s="42"/>
      <c r="AH1384" s="42"/>
      <c r="AI1384" s="42"/>
      <c r="AJ1384" s="42"/>
      <c r="AK1384" s="42"/>
      <c r="AL1384" s="42"/>
      <c r="AM1384" s="42"/>
    </row>
    <row r="1385" spans="1:39" x14ac:dyDescent="0.25">
      <c r="A1385" s="38" t="s">
        <v>1736</v>
      </c>
      <c r="B1385" s="42"/>
      <c r="C1385" s="42"/>
      <c r="D1385" s="42"/>
      <c r="E1385" s="41"/>
      <c r="F1385" s="41"/>
      <c r="G1385" s="41"/>
      <c r="H1385" s="41"/>
      <c r="I1385" s="41"/>
      <c r="J1385" s="42"/>
      <c r="K1385" s="41"/>
      <c r="L1385" s="41"/>
      <c r="M1385" s="127"/>
      <c r="N1385" s="41"/>
      <c r="O1385" s="41"/>
      <c r="P1385" s="41"/>
      <c r="Q1385" s="42"/>
      <c r="R1385" s="35"/>
      <c r="S1385" s="35"/>
      <c r="T1385" s="35"/>
      <c r="U1385" s="35"/>
      <c r="V1385" s="121"/>
      <c r="W1385" s="42"/>
      <c r="X1385" s="42"/>
      <c r="Y1385" s="42"/>
      <c r="Z1385" s="42"/>
      <c r="AA1385" s="42"/>
      <c r="AB1385" s="42"/>
      <c r="AC1385" s="42"/>
      <c r="AD1385" s="42"/>
      <c r="AE1385" s="42"/>
      <c r="AF1385" s="42"/>
      <c r="AG1385" s="42"/>
      <c r="AH1385" s="42"/>
      <c r="AI1385" s="42"/>
      <c r="AJ1385" s="42"/>
      <c r="AK1385" s="42"/>
      <c r="AL1385" s="42"/>
      <c r="AM1385" s="42"/>
    </row>
    <row r="1386" spans="1:39" x14ac:dyDescent="0.25">
      <c r="A1386" s="38" t="s">
        <v>1737</v>
      </c>
      <c r="B1386" s="42"/>
      <c r="C1386" s="42"/>
      <c r="D1386" s="42"/>
      <c r="E1386" s="41"/>
      <c r="F1386" s="41"/>
      <c r="G1386" s="41"/>
      <c r="H1386" s="41"/>
      <c r="I1386" s="41"/>
      <c r="J1386" s="42"/>
      <c r="K1386" s="41"/>
      <c r="L1386" s="41"/>
      <c r="M1386" s="127"/>
      <c r="N1386" s="41"/>
      <c r="O1386" s="41"/>
      <c r="P1386" s="41"/>
      <c r="Q1386" s="42"/>
      <c r="R1386" s="35"/>
      <c r="S1386" s="35"/>
      <c r="T1386" s="35"/>
      <c r="U1386" s="35"/>
      <c r="V1386" s="121"/>
      <c r="W1386" s="42"/>
      <c r="X1386" s="42"/>
      <c r="Y1386" s="42"/>
      <c r="Z1386" s="42"/>
      <c r="AA1386" s="42"/>
      <c r="AB1386" s="42"/>
      <c r="AC1386" s="42"/>
      <c r="AD1386" s="42"/>
      <c r="AE1386" s="42"/>
      <c r="AF1386" s="42"/>
      <c r="AG1386" s="42"/>
      <c r="AH1386" s="42"/>
      <c r="AI1386" s="42"/>
      <c r="AJ1386" s="42"/>
      <c r="AK1386" s="42"/>
      <c r="AL1386" s="42"/>
      <c r="AM1386" s="42"/>
    </row>
    <row r="1387" spans="1:39" x14ac:dyDescent="0.25">
      <c r="A1387" s="38" t="s">
        <v>1738</v>
      </c>
      <c r="B1387" s="42"/>
      <c r="C1387" s="42"/>
      <c r="D1387" s="42"/>
      <c r="E1387" s="41"/>
      <c r="F1387" s="41"/>
      <c r="G1387" s="41"/>
      <c r="H1387" s="41"/>
      <c r="I1387" s="41"/>
      <c r="J1387" s="42"/>
      <c r="K1387" s="41"/>
      <c r="L1387" s="41"/>
      <c r="M1387" s="127"/>
      <c r="N1387" s="41"/>
      <c r="O1387" s="41"/>
      <c r="P1387" s="41"/>
      <c r="Q1387" s="42"/>
      <c r="R1387" s="35"/>
      <c r="S1387" s="35"/>
      <c r="T1387" s="35"/>
      <c r="U1387" s="35"/>
      <c r="V1387" s="121"/>
      <c r="W1387" s="42"/>
      <c r="X1387" s="42"/>
      <c r="Y1387" s="42"/>
      <c r="Z1387" s="42"/>
      <c r="AA1387" s="42"/>
      <c r="AB1387" s="42"/>
      <c r="AC1387" s="42"/>
      <c r="AD1387" s="42"/>
      <c r="AE1387" s="42"/>
      <c r="AF1387" s="42"/>
      <c r="AG1387" s="42"/>
      <c r="AH1387" s="42"/>
      <c r="AI1387" s="42"/>
      <c r="AJ1387" s="42"/>
      <c r="AK1387" s="42"/>
      <c r="AL1387" s="42"/>
      <c r="AM1387" s="42"/>
    </row>
    <row r="1388" spans="1:39" x14ac:dyDescent="0.25">
      <c r="A1388" s="38" t="s">
        <v>1739</v>
      </c>
      <c r="B1388" s="42"/>
      <c r="C1388" s="42"/>
      <c r="D1388" s="42"/>
      <c r="E1388" s="41"/>
      <c r="F1388" s="41"/>
      <c r="G1388" s="41"/>
      <c r="H1388" s="41"/>
      <c r="I1388" s="41"/>
      <c r="J1388" s="42"/>
      <c r="K1388" s="41"/>
      <c r="L1388" s="41"/>
      <c r="M1388" s="127"/>
      <c r="N1388" s="41"/>
      <c r="O1388" s="41"/>
      <c r="P1388" s="41"/>
      <c r="Q1388" s="42"/>
      <c r="R1388" s="35"/>
      <c r="S1388" s="35"/>
      <c r="T1388" s="35"/>
      <c r="U1388" s="35"/>
      <c r="V1388" s="121"/>
      <c r="W1388" s="42"/>
      <c r="X1388" s="42"/>
      <c r="Y1388" s="42"/>
      <c r="Z1388" s="42"/>
      <c r="AA1388" s="42"/>
      <c r="AB1388" s="42"/>
      <c r="AC1388" s="42"/>
      <c r="AD1388" s="42"/>
      <c r="AE1388" s="42"/>
      <c r="AF1388" s="42"/>
      <c r="AG1388" s="42"/>
      <c r="AH1388" s="42"/>
      <c r="AI1388" s="42"/>
      <c r="AJ1388" s="42"/>
      <c r="AK1388" s="42"/>
      <c r="AL1388" s="42"/>
      <c r="AM1388" s="42"/>
    </row>
    <row r="1389" spans="1:39" x14ac:dyDescent="0.25">
      <c r="A1389" s="38" t="s">
        <v>1740</v>
      </c>
      <c r="B1389" s="42"/>
      <c r="C1389" s="42"/>
      <c r="D1389" s="42"/>
      <c r="E1389" s="41"/>
      <c r="F1389" s="41"/>
      <c r="G1389" s="41"/>
      <c r="H1389" s="41"/>
      <c r="I1389" s="41"/>
      <c r="J1389" s="42"/>
      <c r="K1389" s="41"/>
      <c r="L1389" s="41"/>
      <c r="M1389" s="127"/>
      <c r="N1389" s="41"/>
      <c r="O1389" s="41"/>
      <c r="P1389" s="41"/>
      <c r="Q1389" s="42"/>
      <c r="R1389" s="35"/>
      <c r="S1389" s="35"/>
      <c r="T1389" s="35"/>
      <c r="U1389" s="35"/>
      <c r="V1389" s="121"/>
      <c r="W1389" s="42"/>
      <c r="X1389" s="42"/>
      <c r="Y1389" s="42"/>
      <c r="Z1389" s="42"/>
      <c r="AA1389" s="42"/>
      <c r="AB1389" s="42"/>
      <c r="AC1389" s="42"/>
      <c r="AD1389" s="42"/>
      <c r="AE1389" s="42"/>
      <c r="AF1389" s="42"/>
      <c r="AG1389" s="42"/>
      <c r="AH1389" s="42"/>
      <c r="AI1389" s="42"/>
      <c r="AJ1389" s="42"/>
      <c r="AK1389" s="42"/>
      <c r="AL1389" s="42"/>
      <c r="AM1389" s="42"/>
    </row>
    <row r="1390" spans="1:39" x14ac:dyDescent="0.25">
      <c r="A1390" s="38" t="s">
        <v>1741</v>
      </c>
      <c r="B1390" s="42"/>
      <c r="C1390" s="42"/>
      <c r="D1390" s="42"/>
      <c r="E1390" s="41"/>
      <c r="F1390" s="41"/>
      <c r="G1390" s="41"/>
      <c r="H1390" s="41"/>
      <c r="I1390" s="41"/>
      <c r="J1390" s="42"/>
      <c r="K1390" s="41"/>
      <c r="L1390" s="41"/>
      <c r="M1390" s="127"/>
      <c r="N1390" s="41"/>
      <c r="O1390" s="41"/>
      <c r="P1390" s="41"/>
      <c r="Q1390" s="42"/>
      <c r="R1390" s="35"/>
      <c r="S1390" s="35"/>
      <c r="T1390" s="35"/>
      <c r="U1390" s="35"/>
      <c r="V1390" s="121"/>
      <c r="W1390" s="42"/>
      <c r="X1390" s="42"/>
      <c r="Y1390" s="42"/>
      <c r="Z1390" s="42"/>
      <c r="AA1390" s="42"/>
      <c r="AB1390" s="42"/>
      <c r="AC1390" s="42"/>
      <c r="AD1390" s="42"/>
      <c r="AE1390" s="42"/>
      <c r="AF1390" s="42"/>
      <c r="AG1390" s="42"/>
      <c r="AH1390" s="42"/>
      <c r="AI1390" s="42"/>
      <c r="AJ1390" s="42"/>
      <c r="AK1390" s="42"/>
      <c r="AL1390" s="42"/>
      <c r="AM1390" s="42"/>
    </row>
    <row r="1391" spans="1:39" x14ac:dyDescent="0.25">
      <c r="A1391" s="38" t="s">
        <v>1742</v>
      </c>
      <c r="B1391" s="42"/>
      <c r="C1391" s="42"/>
      <c r="D1391" s="42"/>
      <c r="E1391" s="41"/>
      <c r="F1391" s="41"/>
      <c r="G1391" s="41"/>
      <c r="H1391" s="41"/>
      <c r="I1391" s="41"/>
      <c r="J1391" s="42"/>
      <c r="K1391" s="41"/>
      <c r="L1391" s="41"/>
      <c r="M1391" s="127"/>
      <c r="N1391" s="41"/>
      <c r="O1391" s="41"/>
      <c r="P1391" s="41"/>
      <c r="Q1391" s="42"/>
      <c r="R1391" s="35"/>
      <c r="S1391" s="35"/>
      <c r="T1391" s="35"/>
      <c r="U1391" s="35"/>
      <c r="V1391" s="121"/>
      <c r="W1391" s="42"/>
      <c r="X1391" s="42"/>
      <c r="Y1391" s="42"/>
      <c r="Z1391" s="42"/>
      <c r="AA1391" s="42"/>
      <c r="AB1391" s="42"/>
      <c r="AC1391" s="42"/>
      <c r="AD1391" s="42"/>
      <c r="AE1391" s="42"/>
      <c r="AF1391" s="42"/>
      <c r="AG1391" s="42"/>
      <c r="AH1391" s="42"/>
      <c r="AI1391" s="42"/>
      <c r="AJ1391" s="42"/>
      <c r="AK1391" s="42"/>
      <c r="AL1391" s="42"/>
      <c r="AM1391" s="42"/>
    </row>
    <row r="1392" spans="1:39" x14ac:dyDescent="0.25">
      <c r="A1392" s="38" t="s">
        <v>1743</v>
      </c>
      <c r="B1392" s="42"/>
      <c r="C1392" s="42"/>
      <c r="D1392" s="42"/>
      <c r="E1392" s="41"/>
      <c r="F1392" s="41"/>
      <c r="G1392" s="41"/>
      <c r="H1392" s="41"/>
      <c r="I1392" s="41"/>
      <c r="J1392" s="42"/>
      <c r="K1392" s="41"/>
      <c r="L1392" s="41"/>
      <c r="M1392" s="127"/>
      <c r="N1392" s="41"/>
      <c r="O1392" s="41"/>
      <c r="P1392" s="41"/>
      <c r="Q1392" s="42"/>
      <c r="R1392" s="35"/>
      <c r="S1392" s="35"/>
      <c r="T1392" s="35"/>
      <c r="U1392" s="35"/>
      <c r="V1392" s="121"/>
      <c r="W1392" s="42"/>
      <c r="X1392" s="42"/>
      <c r="Y1392" s="42"/>
      <c r="Z1392" s="42"/>
      <c r="AA1392" s="42"/>
      <c r="AB1392" s="42"/>
      <c r="AC1392" s="42"/>
      <c r="AD1392" s="42"/>
      <c r="AE1392" s="42"/>
      <c r="AF1392" s="42"/>
      <c r="AG1392" s="42"/>
      <c r="AH1392" s="42"/>
      <c r="AI1392" s="42"/>
      <c r="AJ1392" s="42"/>
      <c r="AK1392" s="42"/>
      <c r="AL1392" s="42"/>
      <c r="AM1392" s="42"/>
    </row>
    <row r="1393" spans="1:39" x14ac:dyDescent="0.25">
      <c r="A1393" s="38" t="s">
        <v>1744</v>
      </c>
      <c r="B1393" s="42"/>
      <c r="C1393" s="42"/>
      <c r="D1393" s="42"/>
      <c r="E1393" s="41"/>
      <c r="F1393" s="41"/>
      <c r="G1393" s="41"/>
      <c r="H1393" s="41"/>
      <c r="I1393" s="41"/>
      <c r="J1393" s="42"/>
      <c r="K1393" s="41"/>
      <c r="L1393" s="41"/>
      <c r="M1393" s="127"/>
      <c r="N1393" s="41"/>
      <c r="O1393" s="41"/>
      <c r="P1393" s="41"/>
      <c r="Q1393" s="42"/>
      <c r="R1393" s="35"/>
      <c r="S1393" s="35"/>
      <c r="T1393" s="35"/>
      <c r="U1393" s="35"/>
      <c r="V1393" s="121"/>
      <c r="W1393" s="42"/>
      <c r="X1393" s="42"/>
      <c r="Y1393" s="42"/>
      <c r="Z1393" s="42"/>
      <c r="AA1393" s="42"/>
      <c r="AB1393" s="42"/>
      <c r="AC1393" s="42"/>
      <c r="AD1393" s="42"/>
      <c r="AE1393" s="42"/>
      <c r="AF1393" s="42"/>
      <c r="AG1393" s="42"/>
      <c r="AH1393" s="42"/>
      <c r="AI1393" s="42"/>
      <c r="AJ1393" s="42"/>
      <c r="AK1393" s="42"/>
      <c r="AL1393" s="42"/>
      <c r="AM1393" s="42"/>
    </row>
    <row r="1394" spans="1:39" x14ac:dyDescent="0.25">
      <c r="A1394" s="38" t="s">
        <v>1745</v>
      </c>
      <c r="B1394" s="42"/>
      <c r="C1394" s="42"/>
      <c r="D1394" s="42"/>
      <c r="E1394" s="41"/>
      <c r="F1394" s="41"/>
      <c r="G1394" s="41"/>
      <c r="H1394" s="41"/>
      <c r="I1394" s="41"/>
      <c r="J1394" s="42"/>
      <c r="K1394" s="41"/>
      <c r="L1394" s="41"/>
      <c r="M1394" s="127"/>
      <c r="N1394" s="41"/>
      <c r="O1394" s="41"/>
      <c r="P1394" s="41"/>
      <c r="Q1394" s="42"/>
      <c r="R1394" s="35"/>
      <c r="S1394" s="35"/>
      <c r="T1394" s="35"/>
      <c r="U1394" s="35"/>
      <c r="V1394" s="121"/>
      <c r="W1394" s="42"/>
      <c r="X1394" s="42"/>
      <c r="Y1394" s="42"/>
      <c r="Z1394" s="42"/>
      <c r="AA1394" s="42"/>
      <c r="AB1394" s="42"/>
      <c r="AC1394" s="42"/>
      <c r="AD1394" s="42"/>
      <c r="AE1394" s="42"/>
      <c r="AF1394" s="42"/>
      <c r="AG1394" s="42"/>
      <c r="AH1394" s="42"/>
      <c r="AI1394" s="42"/>
      <c r="AJ1394" s="42"/>
      <c r="AK1394" s="42"/>
      <c r="AL1394" s="42"/>
      <c r="AM1394" s="42"/>
    </row>
    <row r="1395" spans="1:39" x14ac:dyDescent="0.25">
      <c r="A1395" s="38" t="s">
        <v>1746</v>
      </c>
      <c r="B1395" s="42"/>
      <c r="C1395" s="42"/>
      <c r="D1395" s="42"/>
      <c r="E1395" s="41"/>
      <c r="F1395" s="41"/>
      <c r="G1395" s="41"/>
      <c r="H1395" s="41"/>
      <c r="I1395" s="41"/>
      <c r="J1395" s="42"/>
      <c r="K1395" s="41"/>
      <c r="L1395" s="41"/>
      <c r="M1395" s="127"/>
      <c r="N1395" s="41"/>
      <c r="O1395" s="41"/>
      <c r="P1395" s="41"/>
      <c r="Q1395" s="42"/>
      <c r="R1395" s="35"/>
      <c r="S1395" s="35"/>
      <c r="T1395" s="35"/>
      <c r="U1395" s="35"/>
      <c r="V1395" s="121"/>
      <c r="W1395" s="42"/>
      <c r="X1395" s="42"/>
      <c r="Y1395" s="42"/>
      <c r="Z1395" s="42"/>
      <c r="AA1395" s="42"/>
      <c r="AB1395" s="42"/>
      <c r="AC1395" s="42"/>
      <c r="AD1395" s="42"/>
      <c r="AE1395" s="42"/>
      <c r="AF1395" s="42"/>
      <c r="AG1395" s="42"/>
      <c r="AH1395" s="42"/>
      <c r="AI1395" s="42"/>
      <c r="AJ1395" s="42"/>
      <c r="AK1395" s="42"/>
      <c r="AL1395" s="42"/>
      <c r="AM1395" s="42"/>
    </row>
    <row r="1396" spans="1:39" x14ac:dyDescent="0.25">
      <c r="A1396" s="38" t="s">
        <v>1747</v>
      </c>
      <c r="B1396" s="42"/>
      <c r="C1396" s="42"/>
      <c r="D1396" s="42"/>
      <c r="E1396" s="41"/>
      <c r="F1396" s="41"/>
      <c r="G1396" s="41"/>
      <c r="H1396" s="41"/>
      <c r="I1396" s="41"/>
      <c r="J1396" s="42"/>
      <c r="K1396" s="41"/>
      <c r="L1396" s="41"/>
      <c r="M1396" s="127"/>
      <c r="N1396" s="41"/>
      <c r="O1396" s="41"/>
      <c r="P1396" s="41"/>
      <c r="Q1396" s="42"/>
      <c r="R1396" s="35"/>
      <c r="S1396" s="35"/>
      <c r="T1396" s="35"/>
      <c r="U1396" s="35"/>
      <c r="V1396" s="121"/>
      <c r="W1396" s="42"/>
      <c r="X1396" s="42"/>
      <c r="Y1396" s="42"/>
      <c r="Z1396" s="42"/>
      <c r="AA1396" s="42"/>
      <c r="AB1396" s="42"/>
      <c r="AC1396" s="42"/>
      <c r="AD1396" s="42"/>
      <c r="AE1396" s="42"/>
      <c r="AF1396" s="42"/>
      <c r="AG1396" s="42"/>
      <c r="AH1396" s="42"/>
      <c r="AI1396" s="42"/>
      <c r="AJ1396" s="42"/>
      <c r="AK1396" s="42"/>
      <c r="AL1396" s="42"/>
      <c r="AM1396" s="42"/>
    </row>
    <row r="1397" spans="1:39" x14ac:dyDescent="0.25">
      <c r="A1397" s="38" t="s">
        <v>1748</v>
      </c>
      <c r="B1397" s="42"/>
      <c r="C1397" s="42"/>
      <c r="D1397" s="42"/>
      <c r="E1397" s="41"/>
      <c r="F1397" s="41"/>
      <c r="G1397" s="41"/>
      <c r="H1397" s="41"/>
      <c r="I1397" s="41"/>
      <c r="J1397" s="42"/>
      <c r="K1397" s="41"/>
      <c r="L1397" s="41"/>
      <c r="M1397" s="127"/>
      <c r="N1397" s="41"/>
      <c r="O1397" s="41"/>
      <c r="P1397" s="41"/>
      <c r="Q1397" s="42"/>
      <c r="R1397" s="35"/>
      <c r="S1397" s="35"/>
      <c r="T1397" s="35"/>
      <c r="U1397" s="35"/>
      <c r="V1397" s="121"/>
      <c r="W1397" s="42"/>
      <c r="X1397" s="42"/>
      <c r="Y1397" s="42"/>
      <c r="Z1397" s="42"/>
      <c r="AA1397" s="42"/>
      <c r="AB1397" s="42"/>
      <c r="AC1397" s="42"/>
      <c r="AD1397" s="42"/>
      <c r="AE1397" s="42"/>
      <c r="AF1397" s="42"/>
      <c r="AG1397" s="42"/>
      <c r="AH1397" s="42"/>
      <c r="AI1397" s="42"/>
      <c r="AJ1397" s="42"/>
      <c r="AK1397" s="42"/>
      <c r="AL1397" s="42"/>
      <c r="AM1397" s="42"/>
    </row>
    <row r="1398" spans="1:39" x14ac:dyDescent="0.25">
      <c r="A1398" s="38" t="s">
        <v>1749</v>
      </c>
      <c r="B1398" s="42"/>
      <c r="C1398" s="42"/>
      <c r="D1398" s="42"/>
      <c r="E1398" s="41"/>
      <c r="F1398" s="41"/>
      <c r="G1398" s="41"/>
      <c r="H1398" s="41"/>
      <c r="I1398" s="41"/>
      <c r="J1398" s="42"/>
      <c r="K1398" s="41"/>
      <c r="L1398" s="41"/>
      <c r="M1398" s="127"/>
      <c r="N1398" s="41"/>
      <c r="O1398" s="41"/>
      <c r="P1398" s="41"/>
      <c r="Q1398" s="42"/>
      <c r="R1398" s="35"/>
      <c r="S1398" s="35"/>
      <c r="T1398" s="35"/>
      <c r="U1398" s="35"/>
      <c r="V1398" s="121"/>
      <c r="W1398" s="42"/>
      <c r="X1398" s="42"/>
      <c r="Y1398" s="42"/>
      <c r="Z1398" s="42"/>
      <c r="AA1398" s="42"/>
      <c r="AB1398" s="42"/>
      <c r="AC1398" s="42"/>
      <c r="AD1398" s="42"/>
      <c r="AE1398" s="42"/>
      <c r="AF1398" s="42"/>
      <c r="AG1398" s="42"/>
      <c r="AH1398" s="42"/>
      <c r="AI1398" s="42"/>
      <c r="AJ1398" s="42"/>
      <c r="AK1398" s="42"/>
      <c r="AL1398" s="42"/>
      <c r="AM1398" s="42"/>
    </row>
    <row r="1399" spans="1:39" x14ac:dyDescent="0.25">
      <c r="A1399" s="38" t="s">
        <v>1750</v>
      </c>
      <c r="B1399" s="42"/>
      <c r="C1399" s="42"/>
      <c r="D1399" s="42"/>
      <c r="E1399" s="41"/>
      <c r="F1399" s="41"/>
      <c r="G1399" s="41"/>
      <c r="H1399" s="41"/>
      <c r="I1399" s="41"/>
      <c r="J1399" s="42"/>
      <c r="K1399" s="41"/>
      <c r="L1399" s="41"/>
      <c r="M1399" s="127"/>
      <c r="N1399" s="41"/>
      <c r="O1399" s="41"/>
      <c r="P1399" s="41"/>
      <c r="Q1399" s="42"/>
      <c r="R1399" s="35"/>
      <c r="S1399" s="35"/>
      <c r="T1399" s="35"/>
      <c r="U1399" s="35"/>
      <c r="V1399" s="121"/>
      <c r="W1399" s="42"/>
      <c r="X1399" s="42"/>
      <c r="Y1399" s="42"/>
      <c r="Z1399" s="42"/>
      <c r="AA1399" s="42"/>
      <c r="AB1399" s="42"/>
      <c r="AC1399" s="42"/>
      <c r="AD1399" s="42"/>
      <c r="AE1399" s="42"/>
      <c r="AF1399" s="42"/>
      <c r="AG1399" s="42"/>
      <c r="AH1399" s="42"/>
      <c r="AI1399" s="42"/>
      <c r="AJ1399" s="42"/>
      <c r="AK1399" s="42"/>
      <c r="AL1399" s="42"/>
      <c r="AM1399" s="42"/>
    </row>
    <row r="1400" spans="1:39" x14ac:dyDescent="0.25">
      <c r="A1400" s="38" t="s">
        <v>1751</v>
      </c>
      <c r="B1400" s="42"/>
      <c r="C1400" s="42"/>
      <c r="D1400" s="42"/>
      <c r="E1400" s="41"/>
      <c r="F1400" s="41"/>
      <c r="G1400" s="41"/>
      <c r="H1400" s="41"/>
      <c r="I1400" s="41"/>
      <c r="J1400" s="42"/>
      <c r="K1400" s="41"/>
      <c r="L1400" s="41"/>
      <c r="M1400" s="127"/>
      <c r="N1400" s="41"/>
      <c r="O1400" s="41"/>
      <c r="P1400" s="41"/>
      <c r="Q1400" s="42"/>
      <c r="R1400" s="35"/>
      <c r="S1400" s="35"/>
      <c r="T1400" s="35"/>
      <c r="U1400" s="35"/>
      <c r="V1400" s="121"/>
      <c r="W1400" s="42"/>
      <c r="X1400" s="42"/>
      <c r="Y1400" s="42"/>
      <c r="Z1400" s="42"/>
      <c r="AA1400" s="42"/>
      <c r="AB1400" s="42"/>
      <c r="AC1400" s="42"/>
      <c r="AD1400" s="42"/>
      <c r="AE1400" s="42"/>
      <c r="AF1400" s="42"/>
      <c r="AG1400" s="42"/>
      <c r="AH1400" s="42"/>
      <c r="AI1400" s="42"/>
      <c r="AJ1400" s="42"/>
      <c r="AK1400" s="42"/>
      <c r="AL1400" s="42"/>
      <c r="AM1400" s="42"/>
    </row>
    <row r="1401" spans="1:39" x14ac:dyDescent="0.25">
      <c r="A1401" s="38" t="s">
        <v>1752</v>
      </c>
      <c r="B1401" s="42"/>
      <c r="C1401" s="42"/>
      <c r="D1401" s="42"/>
      <c r="E1401" s="41"/>
      <c r="F1401" s="41"/>
      <c r="G1401" s="41"/>
      <c r="H1401" s="41"/>
      <c r="I1401" s="41"/>
      <c r="J1401" s="42"/>
      <c r="K1401" s="41"/>
      <c r="L1401" s="41"/>
      <c r="M1401" s="127"/>
      <c r="N1401" s="41"/>
      <c r="O1401" s="41"/>
      <c r="P1401" s="41"/>
      <c r="Q1401" s="42"/>
      <c r="R1401" s="35"/>
      <c r="S1401" s="35"/>
      <c r="T1401" s="35"/>
      <c r="U1401" s="35"/>
      <c r="V1401" s="121"/>
      <c r="W1401" s="42"/>
      <c r="X1401" s="42"/>
      <c r="Y1401" s="42"/>
      <c r="Z1401" s="42"/>
      <c r="AA1401" s="42"/>
      <c r="AB1401" s="42"/>
      <c r="AC1401" s="42"/>
      <c r="AD1401" s="42"/>
      <c r="AE1401" s="42"/>
      <c r="AF1401" s="42"/>
      <c r="AG1401" s="42"/>
      <c r="AH1401" s="42"/>
      <c r="AI1401" s="42"/>
      <c r="AJ1401" s="42"/>
      <c r="AK1401" s="42"/>
      <c r="AL1401" s="42"/>
      <c r="AM1401" s="42"/>
    </row>
    <row r="1402" spans="1:39" x14ac:dyDescent="0.25">
      <c r="A1402" s="38" t="s">
        <v>1753</v>
      </c>
      <c r="B1402" s="42"/>
      <c r="C1402" s="42"/>
      <c r="D1402" s="42"/>
      <c r="E1402" s="41"/>
      <c r="F1402" s="41"/>
      <c r="G1402" s="41"/>
      <c r="H1402" s="41"/>
      <c r="I1402" s="41"/>
      <c r="J1402" s="42"/>
      <c r="K1402" s="41"/>
      <c r="L1402" s="41"/>
      <c r="M1402" s="127"/>
      <c r="N1402" s="41"/>
      <c r="O1402" s="41"/>
      <c r="P1402" s="41"/>
      <c r="Q1402" s="42"/>
      <c r="R1402" s="35"/>
      <c r="S1402" s="35"/>
      <c r="T1402" s="35"/>
      <c r="U1402" s="35"/>
      <c r="V1402" s="121"/>
      <c r="W1402" s="42"/>
      <c r="X1402" s="42"/>
      <c r="Y1402" s="42"/>
      <c r="Z1402" s="42"/>
      <c r="AA1402" s="42"/>
      <c r="AB1402" s="42"/>
      <c r="AC1402" s="42"/>
      <c r="AD1402" s="42"/>
      <c r="AE1402" s="42"/>
      <c r="AF1402" s="42"/>
      <c r="AG1402" s="42"/>
      <c r="AH1402" s="42"/>
      <c r="AI1402" s="42"/>
      <c r="AJ1402" s="42"/>
      <c r="AK1402" s="42"/>
      <c r="AL1402" s="42"/>
      <c r="AM1402" s="42"/>
    </row>
    <row r="1403" spans="1:39" x14ac:dyDescent="0.25">
      <c r="A1403" s="38" t="s">
        <v>1754</v>
      </c>
      <c r="B1403" s="42"/>
      <c r="C1403" s="42"/>
      <c r="D1403" s="42"/>
      <c r="E1403" s="41"/>
      <c r="F1403" s="41"/>
      <c r="G1403" s="41"/>
      <c r="H1403" s="41"/>
      <c r="I1403" s="41"/>
      <c r="J1403" s="42"/>
      <c r="K1403" s="41"/>
      <c r="L1403" s="41"/>
      <c r="M1403" s="127"/>
      <c r="N1403" s="41"/>
      <c r="O1403" s="41"/>
      <c r="P1403" s="41"/>
      <c r="Q1403" s="42"/>
      <c r="R1403" s="35"/>
      <c r="S1403" s="35"/>
      <c r="T1403" s="35"/>
      <c r="U1403" s="35"/>
      <c r="V1403" s="121"/>
      <c r="W1403" s="42"/>
      <c r="X1403" s="42"/>
      <c r="Y1403" s="42"/>
      <c r="Z1403" s="42"/>
      <c r="AA1403" s="42"/>
      <c r="AB1403" s="42"/>
      <c r="AC1403" s="42"/>
      <c r="AD1403" s="42"/>
      <c r="AE1403" s="42"/>
      <c r="AF1403" s="42"/>
      <c r="AG1403" s="42"/>
      <c r="AH1403" s="42"/>
      <c r="AI1403" s="42"/>
      <c r="AJ1403" s="42"/>
      <c r="AK1403" s="42"/>
      <c r="AL1403" s="42"/>
      <c r="AM1403" s="42"/>
    </row>
    <row r="1404" spans="1:39" x14ac:dyDescent="0.25">
      <c r="A1404" s="38" t="s">
        <v>1755</v>
      </c>
      <c r="B1404" s="42"/>
      <c r="C1404" s="42"/>
      <c r="D1404" s="42"/>
      <c r="E1404" s="41"/>
      <c r="F1404" s="41"/>
      <c r="G1404" s="41"/>
      <c r="H1404" s="41"/>
      <c r="I1404" s="41"/>
      <c r="J1404" s="42"/>
      <c r="K1404" s="41"/>
      <c r="L1404" s="41"/>
      <c r="M1404" s="127"/>
      <c r="N1404" s="41"/>
      <c r="O1404" s="41"/>
      <c r="P1404" s="41"/>
      <c r="Q1404" s="42"/>
      <c r="R1404" s="35"/>
      <c r="S1404" s="35"/>
      <c r="T1404" s="35"/>
      <c r="U1404" s="35"/>
      <c r="V1404" s="121"/>
      <c r="W1404" s="42"/>
      <c r="X1404" s="42"/>
      <c r="Y1404" s="42"/>
      <c r="Z1404" s="42"/>
      <c r="AA1404" s="42"/>
      <c r="AB1404" s="42"/>
      <c r="AC1404" s="42"/>
      <c r="AD1404" s="42"/>
      <c r="AE1404" s="42"/>
      <c r="AF1404" s="42"/>
      <c r="AG1404" s="42"/>
      <c r="AH1404" s="42"/>
      <c r="AI1404" s="42"/>
      <c r="AJ1404" s="42"/>
      <c r="AK1404" s="42"/>
      <c r="AL1404" s="42"/>
      <c r="AM1404" s="42"/>
    </row>
    <row r="1405" spans="1:39" x14ac:dyDescent="0.25">
      <c r="A1405" s="38" t="s">
        <v>1756</v>
      </c>
      <c r="B1405" s="42"/>
      <c r="C1405" s="42"/>
      <c r="D1405" s="42"/>
      <c r="E1405" s="41"/>
      <c r="F1405" s="41"/>
      <c r="G1405" s="41"/>
      <c r="H1405" s="41"/>
      <c r="I1405" s="41"/>
      <c r="J1405" s="42"/>
      <c r="K1405" s="41"/>
      <c r="L1405" s="41"/>
      <c r="M1405" s="127"/>
      <c r="N1405" s="41"/>
      <c r="O1405" s="41"/>
      <c r="P1405" s="41"/>
      <c r="Q1405" s="42"/>
      <c r="R1405" s="35"/>
      <c r="S1405" s="35"/>
      <c r="T1405" s="35"/>
      <c r="U1405" s="35"/>
      <c r="V1405" s="121"/>
      <c r="W1405" s="42"/>
      <c r="X1405" s="42"/>
      <c r="Y1405" s="42"/>
      <c r="Z1405" s="42"/>
      <c r="AA1405" s="42"/>
      <c r="AB1405" s="42"/>
      <c r="AC1405" s="42"/>
      <c r="AD1405" s="42"/>
      <c r="AE1405" s="42"/>
      <c r="AF1405" s="42"/>
      <c r="AG1405" s="42"/>
      <c r="AH1405" s="42"/>
      <c r="AI1405" s="42"/>
      <c r="AJ1405" s="42"/>
      <c r="AK1405" s="42"/>
      <c r="AL1405" s="42"/>
      <c r="AM1405" s="42"/>
    </row>
    <row r="1406" spans="1:39" x14ac:dyDescent="0.25">
      <c r="A1406" s="38" t="s">
        <v>1757</v>
      </c>
      <c r="B1406" s="42"/>
      <c r="C1406" s="42"/>
      <c r="D1406" s="42"/>
      <c r="E1406" s="41"/>
      <c r="F1406" s="41"/>
      <c r="G1406" s="41"/>
      <c r="H1406" s="41"/>
      <c r="I1406" s="41"/>
      <c r="J1406" s="42"/>
      <c r="K1406" s="41"/>
      <c r="L1406" s="41"/>
      <c r="M1406" s="127"/>
      <c r="N1406" s="41"/>
      <c r="O1406" s="41"/>
      <c r="P1406" s="41"/>
      <c r="Q1406" s="42"/>
      <c r="R1406" s="35"/>
      <c r="S1406" s="35"/>
      <c r="T1406" s="35"/>
      <c r="U1406" s="35"/>
      <c r="V1406" s="121"/>
      <c r="W1406" s="42"/>
      <c r="X1406" s="42"/>
      <c r="Y1406" s="42"/>
      <c r="Z1406" s="42"/>
      <c r="AA1406" s="42"/>
      <c r="AB1406" s="42"/>
      <c r="AC1406" s="42"/>
      <c r="AD1406" s="42"/>
      <c r="AE1406" s="42"/>
      <c r="AF1406" s="42"/>
      <c r="AG1406" s="42"/>
      <c r="AH1406" s="42"/>
      <c r="AI1406" s="42"/>
      <c r="AJ1406" s="42"/>
      <c r="AK1406" s="42"/>
      <c r="AL1406" s="42"/>
      <c r="AM1406" s="42"/>
    </row>
    <row r="1407" spans="1:39" x14ac:dyDescent="0.25">
      <c r="A1407" s="38" t="s">
        <v>1758</v>
      </c>
      <c r="B1407" s="42"/>
      <c r="C1407" s="42"/>
      <c r="D1407" s="42"/>
      <c r="E1407" s="41"/>
      <c r="F1407" s="41"/>
      <c r="G1407" s="41"/>
      <c r="H1407" s="41"/>
      <c r="I1407" s="41"/>
      <c r="J1407" s="42"/>
      <c r="K1407" s="41"/>
      <c r="L1407" s="41"/>
      <c r="M1407" s="127"/>
      <c r="N1407" s="41"/>
      <c r="O1407" s="41"/>
      <c r="P1407" s="41"/>
      <c r="Q1407" s="42"/>
      <c r="R1407" s="35"/>
      <c r="S1407" s="35"/>
      <c r="T1407" s="35"/>
      <c r="U1407" s="35"/>
      <c r="V1407" s="121"/>
      <c r="W1407" s="42"/>
      <c r="X1407" s="42"/>
      <c r="Y1407" s="42"/>
      <c r="Z1407" s="42"/>
      <c r="AA1407" s="42"/>
      <c r="AB1407" s="42"/>
      <c r="AC1407" s="42"/>
      <c r="AD1407" s="42"/>
      <c r="AE1407" s="42"/>
      <c r="AF1407" s="42"/>
      <c r="AG1407" s="42"/>
      <c r="AH1407" s="42"/>
      <c r="AI1407" s="42"/>
      <c r="AJ1407" s="42"/>
      <c r="AK1407" s="42"/>
      <c r="AL1407" s="42"/>
      <c r="AM1407" s="42"/>
    </row>
    <row r="1408" spans="1:39" x14ac:dyDescent="0.25">
      <c r="A1408" s="38" t="s">
        <v>1759</v>
      </c>
      <c r="B1408" s="42"/>
      <c r="C1408" s="42"/>
      <c r="D1408" s="42"/>
      <c r="E1408" s="41"/>
      <c r="F1408" s="41"/>
      <c r="G1408" s="41"/>
      <c r="H1408" s="41"/>
      <c r="I1408" s="41"/>
      <c r="J1408" s="42"/>
      <c r="K1408" s="41"/>
      <c r="L1408" s="41"/>
      <c r="M1408" s="127"/>
      <c r="N1408" s="41"/>
      <c r="O1408" s="41"/>
      <c r="P1408" s="41"/>
      <c r="Q1408" s="42"/>
      <c r="R1408" s="35"/>
      <c r="S1408" s="35"/>
      <c r="T1408" s="35"/>
      <c r="U1408" s="35"/>
      <c r="V1408" s="121"/>
      <c r="W1408" s="42"/>
      <c r="X1408" s="42"/>
      <c r="Y1408" s="42"/>
      <c r="Z1408" s="42"/>
      <c r="AA1408" s="42"/>
      <c r="AB1408" s="42"/>
      <c r="AC1408" s="42"/>
      <c r="AD1408" s="42"/>
      <c r="AE1408" s="42"/>
      <c r="AF1408" s="42"/>
      <c r="AG1408" s="42"/>
      <c r="AH1408" s="42"/>
      <c r="AI1408" s="42"/>
      <c r="AJ1408" s="42"/>
      <c r="AK1408" s="42"/>
      <c r="AL1408" s="42"/>
      <c r="AM1408" s="42"/>
    </row>
    <row r="1409" spans="1:39" x14ac:dyDescent="0.25">
      <c r="A1409" s="38" t="s">
        <v>1760</v>
      </c>
      <c r="B1409" s="42"/>
      <c r="C1409" s="42"/>
      <c r="D1409" s="42"/>
      <c r="E1409" s="41"/>
      <c r="F1409" s="41"/>
      <c r="G1409" s="41"/>
      <c r="H1409" s="41"/>
      <c r="I1409" s="41"/>
      <c r="J1409" s="42"/>
      <c r="K1409" s="41"/>
      <c r="L1409" s="41"/>
      <c r="M1409" s="127"/>
      <c r="N1409" s="41"/>
      <c r="O1409" s="41"/>
      <c r="P1409" s="41"/>
      <c r="Q1409" s="42"/>
      <c r="R1409" s="35"/>
      <c r="S1409" s="35"/>
      <c r="T1409" s="35"/>
      <c r="U1409" s="35"/>
      <c r="V1409" s="121"/>
      <c r="W1409" s="42"/>
      <c r="X1409" s="42"/>
      <c r="Y1409" s="42"/>
      <c r="Z1409" s="42"/>
      <c r="AA1409" s="42"/>
      <c r="AB1409" s="42"/>
      <c r="AC1409" s="42"/>
      <c r="AD1409" s="42"/>
      <c r="AE1409" s="42"/>
      <c r="AF1409" s="42"/>
      <c r="AG1409" s="42"/>
      <c r="AH1409" s="42"/>
      <c r="AI1409" s="42"/>
      <c r="AJ1409" s="42"/>
      <c r="AK1409" s="42"/>
      <c r="AL1409" s="42"/>
      <c r="AM1409" s="42"/>
    </row>
    <row r="1410" spans="1:39" x14ac:dyDescent="0.25">
      <c r="A1410" s="38" t="s">
        <v>1761</v>
      </c>
      <c r="B1410" s="42"/>
      <c r="C1410" s="42"/>
      <c r="D1410" s="42"/>
      <c r="E1410" s="41"/>
      <c r="F1410" s="41"/>
      <c r="G1410" s="41"/>
      <c r="H1410" s="41"/>
      <c r="I1410" s="41"/>
      <c r="J1410" s="42"/>
      <c r="K1410" s="41"/>
      <c r="L1410" s="41"/>
      <c r="M1410" s="127"/>
      <c r="N1410" s="41"/>
      <c r="O1410" s="41"/>
      <c r="P1410" s="41"/>
      <c r="Q1410" s="42"/>
      <c r="R1410" s="35"/>
      <c r="S1410" s="35"/>
      <c r="T1410" s="35"/>
      <c r="U1410" s="35"/>
      <c r="V1410" s="121"/>
      <c r="W1410" s="42"/>
      <c r="X1410" s="42"/>
      <c r="Y1410" s="42"/>
      <c r="Z1410" s="42"/>
      <c r="AA1410" s="42"/>
      <c r="AB1410" s="42"/>
      <c r="AC1410" s="42"/>
      <c r="AD1410" s="42"/>
      <c r="AE1410" s="42"/>
      <c r="AF1410" s="42"/>
      <c r="AG1410" s="42"/>
      <c r="AH1410" s="42"/>
      <c r="AI1410" s="42"/>
      <c r="AJ1410" s="42"/>
      <c r="AK1410" s="42"/>
      <c r="AL1410" s="42"/>
      <c r="AM1410" s="42"/>
    </row>
    <row r="1411" spans="1:39" x14ac:dyDescent="0.25">
      <c r="A1411" s="38" t="s">
        <v>1762</v>
      </c>
      <c r="B1411" s="42"/>
      <c r="C1411" s="42"/>
      <c r="D1411" s="42"/>
      <c r="E1411" s="41"/>
      <c r="F1411" s="41"/>
      <c r="G1411" s="41"/>
      <c r="H1411" s="41"/>
      <c r="I1411" s="41"/>
      <c r="J1411" s="42"/>
      <c r="K1411" s="41"/>
      <c r="L1411" s="41"/>
      <c r="M1411" s="127"/>
      <c r="N1411" s="41"/>
      <c r="O1411" s="41"/>
      <c r="P1411" s="41"/>
      <c r="Q1411" s="42"/>
      <c r="R1411" s="35"/>
      <c r="S1411" s="35"/>
      <c r="T1411" s="35"/>
      <c r="U1411" s="35"/>
      <c r="V1411" s="121"/>
      <c r="W1411" s="42"/>
      <c r="X1411" s="42"/>
      <c r="Y1411" s="42"/>
      <c r="Z1411" s="42"/>
      <c r="AA1411" s="42"/>
      <c r="AB1411" s="42"/>
      <c r="AC1411" s="42"/>
      <c r="AD1411" s="42"/>
      <c r="AE1411" s="42"/>
      <c r="AF1411" s="42"/>
      <c r="AG1411" s="42"/>
      <c r="AH1411" s="42"/>
      <c r="AI1411" s="42"/>
      <c r="AJ1411" s="42"/>
      <c r="AK1411" s="42"/>
      <c r="AL1411" s="42"/>
      <c r="AM1411" s="42"/>
    </row>
    <row r="1412" spans="1:39" x14ac:dyDescent="0.25">
      <c r="A1412" s="38" t="s">
        <v>1763</v>
      </c>
      <c r="B1412" s="42"/>
      <c r="C1412" s="42"/>
      <c r="D1412" s="42"/>
      <c r="E1412" s="41"/>
      <c r="F1412" s="41"/>
      <c r="G1412" s="41"/>
      <c r="H1412" s="41"/>
      <c r="I1412" s="41"/>
      <c r="J1412" s="42"/>
      <c r="K1412" s="41"/>
      <c r="L1412" s="41"/>
      <c r="M1412" s="127"/>
      <c r="N1412" s="41"/>
      <c r="O1412" s="41"/>
      <c r="P1412" s="41"/>
      <c r="Q1412" s="42"/>
      <c r="R1412" s="35"/>
      <c r="S1412" s="35"/>
      <c r="T1412" s="35"/>
      <c r="U1412" s="35"/>
      <c r="V1412" s="121"/>
      <c r="W1412" s="42"/>
      <c r="X1412" s="42"/>
      <c r="Y1412" s="42"/>
      <c r="Z1412" s="42"/>
      <c r="AA1412" s="42"/>
      <c r="AB1412" s="42"/>
      <c r="AC1412" s="42"/>
      <c r="AD1412" s="42"/>
      <c r="AE1412" s="42"/>
      <c r="AF1412" s="42"/>
      <c r="AG1412" s="42"/>
      <c r="AH1412" s="42"/>
      <c r="AI1412" s="42"/>
      <c r="AJ1412" s="42"/>
      <c r="AK1412" s="42"/>
      <c r="AL1412" s="42"/>
      <c r="AM1412" s="42"/>
    </row>
    <row r="1413" spans="1:39" x14ac:dyDescent="0.25">
      <c r="A1413" s="38" t="s">
        <v>1764</v>
      </c>
      <c r="B1413" s="42"/>
      <c r="C1413" s="42"/>
      <c r="D1413" s="42"/>
      <c r="E1413" s="41"/>
      <c r="F1413" s="41"/>
      <c r="G1413" s="41"/>
      <c r="H1413" s="41"/>
      <c r="I1413" s="41"/>
      <c r="J1413" s="42"/>
      <c r="K1413" s="41"/>
      <c r="L1413" s="41"/>
      <c r="M1413" s="127"/>
      <c r="N1413" s="41"/>
      <c r="O1413" s="41"/>
      <c r="P1413" s="41"/>
      <c r="Q1413" s="42"/>
      <c r="R1413" s="35"/>
      <c r="S1413" s="35"/>
      <c r="T1413" s="35"/>
      <c r="U1413" s="35"/>
      <c r="V1413" s="121"/>
      <c r="W1413" s="42"/>
      <c r="X1413" s="42"/>
      <c r="Y1413" s="42"/>
      <c r="Z1413" s="42"/>
      <c r="AA1413" s="42"/>
      <c r="AB1413" s="42"/>
      <c r="AC1413" s="42"/>
      <c r="AD1413" s="42"/>
      <c r="AE1413" s="42"/>
      <c r="AF1413" s="42"/>
      <c r="AG1413" s="42"/>
      <c r="AH1413" s="42"/>
      <c r="AI1413" s="42"/>
      <c r="AJ1413" s="42"/>
      <c r="AK1413" s="42"/>
      <c r="AL1413" s="42"/>
      <c r="AM1413" s="42"/>
    </row>
    <row r="1414" spans="1:39" x14ac:dyDescent="0.25">
      <c r="A1414" s="38" t="s">
        <v>1765</v>
      </c>
      <c r="B1414" s="42"/>
      <c r="C1414" s="42"/>
      <c r="D1414" s="42"/>
      <c r="E1414" s="41"/>
      <c r="F1414" s="41"/>
      <c r="G1414" s="41"/>
      <c r="H1414" s="41"/>
      <c r="I1414" s="41"/>
      <c r="J1414" s="42"/>
      <c r="K1414" s="41"/>
      <c r="L1414" s="41"/>
      <c r="M1414" s="127"/>
      <c r="N1414" s="41"/>
      <c r="O1414" s="41"/>
      <c r="P1414" s="41"/>
      <c r="Q1414" s="42"/>
      <c r="R1414" s="35"/>
      <c r="S1414" s="35"/>
      <c r="T1414" s="35"/>
      <c r="U1414" s="35"/>
      <c r="V1414" s="121"/>
      <c r="W1414" s="42"/>
      <c r="X1414" s="42"/>
      <c r="Y1414" s="42"/>
      <c r="Z1414" s="42"/>
      <c r="AA1414" s="42"/>
      <c r="AB1414" s="42"/>
      <c r="AC1414" s="42"/>
      <c r="AD1414" s="42"/>
      <c r="AE1414" s="42"/>
      <c r="AF1414" s="42"/>
      <c r="AG1414" s="42"/>
      <c r="AH1414" s="42"/>
      <c r="AI1414" s="42"/>
      <c r="AJ1414" s="42"/>
      <c r="AK1414" s="42"/>
      <c r="AL1414" s="42"/>
      <c r="AM1414" s="42"/>
    </row>
    <row r="1415" spans="1:39" x14ac:dyDescent="0.25">
      <c r="A1415" s="38" t="s">
        <v>1766</v>
      </c>
      <c r="B1415" s="42"/>
      <c r="C1415" s="42"/>
      <c r="D1415" s="42"/>
      <c r="E1415" s="41"/>
      <c r="F1415" s="41"/>
      <c r="G1415" s="41"/>
      <c r="H1415" s="41"/>
      <c r="I1415" s="41"/>
      <c r="J1415" s="42"/>
      <c r="K1415" s="41"/>
      <c r="L1415" s="41"/>
      <c r="M1415" s="127"/>
      <c r="N1415" s="41"/>
      <c r="O1415" s="41"/>
      <c r="P1415" s="41"/>
      <c r="Q1415" s="42"/>
      <c r="R1415" s="35"/>
      <c r="S1415" s="35"/>
      <c r="T1415" s="35"/>
      <c r="U1415" s="35"/>
      <c r="V1415" s="121"/>
      <c r="W1415" s="42"/>
      <c r="X1415" s="42"/>
      <c r="Y1415" s="42"/>
      <c r="Z1415" s="42"/>
      <c r="AA1415" s="42"/>
      <c r="AB1415" s="42"/>
      <c r="AC1415" s="42"/>
      <c r="AD1415" s="42"/>
      <c r="AE1415" s="42"/>
      <c r="AF1415" s="42"/>
      <c r="AG1415" s="42"/>
      <c r="AH1415" s="42"/>
      <c r="AI1415" s="42"/>
      <c r="AJ1415" s="42"/>
      <c r="AK1415" s="42"/>
      <c r="AL1415" s="42"/>
      <c r="AM1415" s="42"/>
    </row>
    <row r="1416" spans="1:39" x14ac:dyDescent="0.25">
      <c r="A1416" s="38" t="s">
        <v>1767</v>
      </c>
      <c r="B1416" s="42"/>
      <c r="C1416" s="42"/>
      <c r="D1416" s="42"/>
      <c r="E1416" s="41"/>
      <c r="F1416" s="41"/>
      <c r="G1416" s="41"/>
      <c r="H1416" s="41"/>
      <c r="I1416" s="41"/>
      <c r="J1416" s="42"/>
      <c r="K1416" s="41"/>
      <c r="L1416" s="41"/>
      <c r="M1416" s="127"/>
      <c r="N1416" s="41"/>
      <c r="O1416" s="41"/>
      <c r="P1416" s="41"/>
      <c r="Q1416" s="42"/>
      <c r="R1416" s="35"/>
      <c r="S1416" s="35"/>
      <c r="T1416" s="35"/>
      <c r="U1416" s="35"/>
      <c r="V1416" s="121"/>
      <c r="W1416" s="42"/>
      <c r="X1416" s="42"/>
      <c r="Y1416" s="42"/>
      <c r="Z1416" s="42"/>
      <c r="AA1416" s="42"/>
      <c r="AB1416" s="42"/>
      <c r="AC1416" s="42"/>
      <c r="AD1416" s="42"/>
      <c r="AE1416" s="42"/>
      <c r="AF1416" s="42"/>
      <c r="AG1416" s="42"/>
      <c r="AH1416" s="42"/>
      <c r="AI1416" s="42"/>
      <c r="AJ1416" s="42"/>
      <c r="AK1416" s="42"/>
      <c r="AL1416" s="42"/>
      <c r="AM1416" s="42"/>
    </row>
    <row r="1417" spans="1:39" x14ac:dyDescent="0.25">
      <c r="A1417" s="38" t="s">
        <v>1768</v>
      </c>
      <c r="B1417" s="42"/>
      <c r="C1417" s="42"/>
      <c r="D1417" s="42"/>
      <c r="E1417" s="41"/>
      <c r="F1417" s="41"/>
      <c r="G1417" s="41"/>
      <c r="H1417" s="41"/>
      <c r="I1417" s="41"/>
      <c r="J1417" s="42"/>
      <c r="K1417" s="41"/>
      <c r="L1417" s="41"/>
      <c r="M1417" s="127"/>
      <c r="N1417" s="41"/>
      <c r="O1417" s="41"/>
      <c r="P1417" s="41"/>
      <c r="Q1417" s="42"/>
      <c r="R1417" s="35"/>
      <c r="S1417" s="35"/>
      <c r="T1417" s="35"/>
      <c r="U1417" s="35"/>
      <c r="V1417" s="121"/>
      <c r="W1417" s="42"/>
      <c r="X1417" s="42"/>
      <c r="Y1417" s="42"/>
      <c r="Z1417" s="42"/>
      <c r="AA1417" s="42"/>
      <c r="AB1417" s="42"/>
      <c r="AC1417" s="42"/>
      <c r="AD1417" s="42"/>
      <c r="AE1417" s="42"/>
      <c r="AF1417" s="42"/>
      <c r="AG1417" s="42"/>
      <c r="AH1417" s="42"/>
      <c r="AI1417" s="42"/>
      <c r="AJ1417" s="42"/>
      <c r="AK1417" s="42"/>
      <c r="AL1417" s="42"/>
      <c r="AM1417" s="42"/>
    </row>
    <row r="1418" spans="1:39" x14ac:dyDescent="0.25">
      <c r="A1418" s="38" t="s">
        <v>1769</v>
      </c>
      <c r="B1418" s="42"/>
      <c r="C1418" s="42"/>
      <c r="D1418" s="42"/>
      <c r="E1418" s="41"/>
      <c r="F1418" s="41"/>
      <c r="G1418" s="41"/>
      <c r="H1418" s="41"/>
      <c r="I1418" s="41"/>
      <c r="J1418" s="42"/>
      <c r="K1418" s="41"/>
      <c r="L1418" s="41"/>
      <c r="M1418" s="127"/>
      <c r="N1418" s="41"/>
      <c r="O1418" s="41"/>
      <c r="P1418" s="41"/>
      <c r="Q1418" s="42"/>
      <c r="R1418" s="35"/>
      <c r="S1418" s="35"/>
      <c r="T1418" s="35"/>
      <c r="U1418" s="35"/>
      <c r="V1418" s="121"/>
      <c r="W1418" s="42"/>
      <c r="X1418" s="42"/>
      <c r="Y1418" s="42"/>
      <c r="Z1418" s="42"/>
      <c r="AA1418" s="42"/>
      <c r="AB1418" s="42"/>
      <c r="AC1418" s="42"/>
      <c r="AD1418" s="42"/>
      <c r="AE1418" s="42"/>
      <c r="AF1418" s="42"/>
      <c r="AG1418" s="42"/>
      <c r="AH1418" s="42"/>
      <c r="AI1418" s="42"/>
      <c r="AJ1418" s="42"/>
      <c r="AK1418" s="42"/>
      <c r="AL1418" s="42"/>
      <c r="AM1418" s="42"/>
    </row>
    <row r="1419" spans="1:39" x14ac:dyDescent="0.25">
      <c r="A1419" s="38" t="s">
        <v>1770</v>
      </c>
      <c r="B1419" s="42"/>
      <c r="C1419" s="42"/>
      <c r="D1419" s="42"/>
      <c r="E1419" s="41"/>
      <c r="F1419" s="41"/>
      <c r="G1419" s="41"/>
      <c r="H1419" s="41"/>
      <c r="I1419" s="41"/>
      <c r="J1419" s="42"/>
      <c r="K1419" s="41"/>
      <c r="L1419" s="41"/>
      <c r="M1419" s="127"/>
      <c r="N1419" s="41"/>
      <c r="O1419" s="41"/>
      <c r="P1419" s="41"/>
      <c r="Q1419" s="42"/>
      <c r="R1419" s="35"/>
      <c r="S1419" s="35"/>
      <c r="T1419" s="35"/>
      <c r="U1419" s="35"/>
      <c r="V1419" s="121"/>
      <c r="W1419" s="42"/>
      <c r="X1419" s="42"/>
      <c r="Y1419" s="42"/>
      <c r="Z1419" s="42"/>
      <c r="AA1419" s="42"/>
      <c r="AB1419" s="42"/>
      <c r="AC1419" s="42"/>
      <c r="AD1419" s="42"/>
      <c r="AE1419" s="42"/>
      <c r="AF1419" s="42"/>
      <c r="AG1419" s="42"/>
      <c r="AH1419" s="42"/>
      <c r="AI1419" s="42"/>
      <c r="AJ1419" s="42"/>
      <c r="AK1419" s="42"/>
      <c r="AL1419" s="42"/>
      <c r="AM1419" s="42"/>
    </row>
    <row r="1420" spans="1:39" x14ac:dyDescent="0.25">
      <c r="A1420" s="38" t="s">
        <v>1771</v>
      </c>
      <c r="B1420" s="42"/>
      <c r="C1420" s="42"/>
      <c r="D1420" s="42"/>
      <c r="E1420" s="41"/>
      <c r="F1420" s="41"/>
      <c r="G1420" s="41"/>
      <c r="H1420" s="41"/>
      <c r="I1420" s="41"/>
      <c r="J1420" s="42"/>
      <c r="K1420" s="41"/>
      <c r="L1420" s="41"/>
      <c r="M1420" s="127"/>
      <c r="N1420" s="41"/>
      <c r="O1420" s="41"/>
      <c r="P1420" s="41"/>
      <c r="Q1420" s="42"/>
      <c r="R1420" s="35"/>
      <c r="S1420" s="35"/>
      <c r="T1420" s="35"/>
      <c r="U1420" s="35"/>
      <c r="V1420" s="121"/>
      <c r="W1420" s="42"/>
      <c r="X1420" s="42"/>
      <c r="Y1420" s="42"/>
      <c r="Z1420" s="42"/>
      <c r="AA1420" s="42"/>
      <c r="AB1420" s="42"/>
      <c r="AC1420" s="42"/>
      <c r="AD1420" s="42"/>
      <c r="AE1420" s="42"/>
      <c r="AF1420" s="42"/>
      <c r="AG1420" s="42"/>
      <c r="AH1420" s="42"/>
      <c r="AI1420" s="42"/>
      <c r="AJ1420" s="42"/>
      <c r="AK1420" s="42"/>
      <c r="AL1420" s="42"/>
      <c r="AM1420" s="42"/>
    </row>
    <row r="1421" spans="1:39" x14ac:dyDescent="0.25">
      <c r="A1421" s="38" t="s">
        <v>1772</v>
      </c>
      <c r="B1421" s="42"/>
      <c r="C1421" s="42"/>
      <c r="D1421" s="42"/>
      <c r="E1421" s="41"/>
      <c r="F1421" s="41"/>
      <c r="G1421" s="41"/>
      <c r="H1421" s="41"/>
      <c r="I1421" s="41"/>
      <c r="J1421" s="42"/>
      <c r="K1421" s="41"/>
      <c r="L1421" s="41"/>
      <c r="M1421" s="127"/>
      <c r="N1421" s="41"/>
      <c r="O1421" s="41"/>
      <c r="P1421" s="41"/>
      <c r="Q1421" s="42"/>
      <c r="R1421" s="35"/>
      <c r="S1421" s="35"/>
      <c r="T1421" s="35"/>
      <c r="U1421" s="35"/>
      <c r="V1421" s="121"/>
      <c r="W1421" s="42"/>
      <c r="X1421" s="42"/>
      <c r="Y1421" s="42"/>
      <c r="Z1421" s="42"/>
      <c r="AA1421" s="42"/>
      <c r="AB1421" s="42"/>
      <c r="AC1421" s="42"/>
      <c r="AD1421" s="42"/>
      <c r="AE1421" s="42"/>
      <c r="AF1421" s="42"/>
      <c r="AG1421" s="42"/>
      <c r="AH1421" s="42"/>
      <c r="AI1421" s="42"/>
      <c r="AJ1421" s="42"/>
      <c r="AK1421" s="42"/>
      <c r="AL1421" s="42"/>
      <c r="AM1421" s="42"/>
    </row>
    <row r="1422" spans="1:39" x14ac:dyDescent="0.25">
      <c r="A1422" s="38" t="s">
        <v>1773</v>
      </c>
      <c r="B1422" s="42"/>
      <c r="C1422" s="42"/>
      <c r="D1422" s="42"/>
      <c r="E1422" s="41"/>
      <c r="F1422" s="41"/>
      <c r="G1422" s="41"/>
      <c r="H1422" s="41"/>
      <c r="I1422" s="41"/>
      <c r="J1422" s="42"/>
      <c r="K1422" s="41"/>
      <c r="L1422" s="41"/>
      <c r="M1422" s="127"/>
      <c r="N1422" s="41"/>
      <c r="O1422" s="41"/>
      <c r="P1422" s="41"/>
      <c r="Q1422" s="42"/>
      <c r="R1422" s="35"/>
      <c r="S1422" s="35"/>
      <c r="T1422" s="35"/>
      <c r="U1422" s="35"/>
      <c r="V1422" s="121"/>
      <c r="W1422" s="42"/>
      <c r="X1422" s="42"/>
      <c r="Y1422" s="42"/>
      <c r="Z1422" s="42"/>
      <c r="AA1422" s="42"/>
      <c r="AB1422" s="42"/>
      <c r="AC1422" s="42"/>
      <c r="AD1422" s="42"/>
      <c r="AE1422" s="42"/>
      <c r="AF1422" s="42"/>
      <c r="AG1422" s="42"/>
      <c r="AH1422" s="42"/>
      <c r="AI1422" s="42"/>
      <c r="AJ1422" s="42"/>
      <c r="AK1422" s="42"/>
      <c r="AL1422" s="42"/>
      <c r="AM1422" s="42"/>
    </row>
    <row r="1423" spans="1:39" x14ac:dyDescent="0.25">
      <c r="A1423" s="38" t="s">
        <v>1774</v>
      </c>
      <c r="B1423" s="42"/>
      <c r="C1423" s="42"/>
      <c r="D1423" s="42"/>
      <c r="E1423" s="41"/>
      <c r="F1423" s="41"/>
      <c r="G1423" s="41"/>
      <c r="H1423" s="41"/>
      <c r="I1423" s="41"/>
      <c r="J1423" s="42"/>
      <c r="K1423" s="41"/>
      <c r="L1423" s="41"/>
      <c r="M1423" s="127"/>
      <c r="N1423" s="41"/>
      <c r="O1423" s="41"/>
      <c r="P1423" s="41"/>
      <c r="Q1423" s="42"/>
      <c r="R1423" s="35"/>
      <c r="S1423" s="35"/>
      <c r="T1423" s="35"/>
      <c r="U1423" s="35"/>
      <c r="V1423" s="121"/>
      <c r="W1423" s="42"/>
      <c r="X1423" s="42"/>
      <c r="Y1423" s="42"/>
      <c r="Z1423" s="42"/>
      <c r="AA1423" s="42"/>
      <c r="AB1423" s="42"/>
      <c r="AC1423" s="42"/>
      <c r="AD1423" s="42"/>
      <c r="AE1423" s="42"/>
      <c r="AF1423" s="42"/>
      <c r="AG1423" s="42"/>
      <c r="AH1423" s="42"/>
      <c r="AI1423" s="42"/>
      <c r="AJ1423" s="42"/>
      <c r="AK1423" s="42"/>
      <c r="AL1423" s="42"/>
      <c r="AM1423" s="42"/>
    </row>
    <row r="1424" spans="1:39" x14ac:dyDescent="0.25">
      <c r="A1424" s="38" t="s">
        <v>1775</v>
      </c>
      <c r="B1424" s="42"/>
      <c r="C1424" s="42"/>
      <c r="D1424" s="42"/>
      <c r="E1424" s="41"/>
      <c r="F1424" s="41"/>
      <c r="G1424" s="41"/>
      <c r="H1424" s="41"/>
      <c r="I1424" s="41"/>
      <c r="J1424" s="42"/>
      <c r="K1424" s="41"/>
      <c r="L1424" s="41"/>
      <c r="M1424" s="127"/>
      <c r="N1424" s="41"/>
      <c r="O1424" s="41"/>
      <c r="P1424" s="41"/>
      <c r="Q1424" s="42"/>
      <c r="R1424" s="35"/>
      <c r="S1424" s="35"/>
      <c r="T1424" s="35"/>
      <c r="U1424" s="35"/>
      <c r="V1424" s="121"/>
      <c r="W1424" s="42"/>
      <c r="X1424" s="42"/>
      <c r="Y1424" s="42"/>
      <c r="Z1424" s="42"/>
      <c r="AA1424" s="42"/>
      <c r="AB1424" s="42"/>
      <c r="AC1424" s="42"/>
      <c r="AD1424" s="42"/>
      <c r="AE1424" s="42"/>
      <c r="AF1424" s="42"/>
      <c r="AG1424" s="42"/>
      <c r="AH1424" s="42"/>
      <c r="AI1424" s="42"/>
      <c r="AJ1424" s="42"/>
      <c r="AK1424" s="42"/>
      <c r="AL1424" s="42"/>
      <c r="AM1424" s="42"/>
    </row>
    <row r="1425" spans="1:39" x14ac:dyDescent="0.25">
      <c r="A1425" s="38" t="s">
        <v>1776</v>
      </c>
      <c r="B1425" s="42"/>
      <c r="C1425" s="42"/>
      <c r="D1425" s="42"/>
      <c r="E1425" s="41"/>
      <c r="F1425" s="41"/>
      <c r="G1425" s="41"/>
      <c r="H1425" s="41"/>
      <c r="I1425" s="41"/>
      <c r="J1425" s="42"/>
      <c r="K1425" s="41"/>
      <c r="L1425" s="41"/>
      <c r="M1425" s="127"/>
      <c r="N1425" s="41"/>
      <c r="O1425" s="41"/>
      <c r="P1425" s="41"/>
      <c r="Q1425" s="42"/>
      <c r="R1425" s="35"/>
      <c r="S1425" s="35"/>
      <c r="T1425" s="35"/>
      <c r="U1425" s="35"/>
      <c r="V1425" s="121"/>
      <c r="W1425" s="42"/>
      <c r="X1425" s="42"/>
      <c r="Y1425" s="42"/>
      <c r="Z1425" s="42"/>
      <c r="AA1425" s="42"/>
      <c r="AB1425" s="42"/>
      <c r="AC1425" s="42"/>
      <c r="AD1425" s="42"/>
      <c r="AE1425" s="42"/>
      <c r="AF1425" s="42"/>
      <c r="AG1425" s="42"/>
      <c r="AH1425" s="42"/>
      <c r="AI1425" s="42"/>
      <c r="AJ1425" s="42"/>
      <c r="AK1425" s="42"/>
      <c r="AL1425" s="42"/>
      <c r="AM1425" s="42"/>
    </row>
    <row r="1426" spans="1:39" x14ac:dyDescent="0.25">
      <c r="A1426" s="38" t="s">
        <v>1777</v>
      </c>
      <c r="B1426" s="42"/>
      <c r="C1426" s="42"/>
      <c r="D1426" s="42"/>
      <c r="E1426" s="41"/>
      <c r="F1426" s="41"/>
      <c r="G1426" s="41"/>
      <c r="H1426" s="41"/>
      <c r="I1426" s="41"/>
      <c r="J1426" s="42"/>
      <c r="K1426" s="41"/>
      <c r="L1426" s="41"/>
      <c r="M1426" s="127"/>
      <c r="N1426" s="41"/>
      <c r="O1426" s="41"/>
      <c r="P1426" s="41"/>
      <c r="Q1426" s="42"/>
      <c r="R1426" s="35"/>
      <c r="S1426" s="35"/>
      <c r="T1426" s="35"/>
      <c r="U1426" s="35"/>
      <c r="V1426" s="121"/>
      <c r="W1426" s="42"/>
      <c r="X1426" s="42"/>
      <c r="Y1426" s="42"/>
      <c r="Z1426" s="42"/>
      <c r="AA1426" s="42"/>
      <c r="AB1426" s="42"/>
      <c r="AC1426" s="42"/>
      <c r="AD1426" s="42"/>
      <c r="AE1426" s="42"/>
      <c r="AF1426" s="42"/>
      <c r="AG1426" s="42"/>
      <c r="AH1426" s="42"/>
      <c r="AI1426" s="42"/>
      <c r="AJ1426" s="42"/>
      <c r="AK1426" s="42"/>
      <c r="AL1426" s="42"/>
      <c r="AM1426" s="42"/>
    </row>
    <row r="1427" spans="1:39" x14ac:dyDescent="0.25">
      <c r="A1427" s="38" t="s">
        <v>1778</v>
      </c>
      <c r="B1427" s="42"/>
      <c r="C1427" s="42"/>
      <c r="D1427" s="42"/>
      <c r="E1427" s="41"/>
      <c r="F1427" s="41"/>
      <c r="G1427" s="41"/>
      <c r="H1427" s="41"/>
      <c r="I1427" s="41"/>
      <c r="J1427" s="42"/>
      <c r="K1427" s="41"/>
      <c r="L1427" s="41"/>
      <c r="M1427" s="127"/>
      <c r="N1427" s="41"/>
      <c r="O1427" s="41"/>
      <c r="P1427" s="41"/>
      <c r="Q1427" s="42"/>
      <c r="R1427" s="35"/>
      <c r="S1427" s="35"/>
      <c r="T1427" s="35"/>
      <c r="U1427" s="35"/>
      <c r="V1427" s="121"/>
      <c r="W1427" s="42"/>
      <c r="X1427" s="42"/>
      <c r="Y1427" s="42"/>
      <c r="Z1427" s="42"/>
      <c r="AA1427" s="42"/>
      <c r="AB1427" s="42"/>
      <c r="AC1427" s="42"/>
      <c r="AD1427" s="42"/>
      <c r="AE1427" s="42"/>
      <c r="AF1427" s="42"/>
      <c r="AG1427" s="42"/>
      <c r="AH1427" s="42"/>
      <c r="AI1427" s="42"/>
      <c r="AJ1427" s="42"/>
      <c r="AK1427" s="42"/>
      <c r="AL1427" s="42"/>
      <c r="AM1427" s="42"/>
    </row>
    <row r="1428" spans="1:39" x14ac:dyDescent="0.25">
      <c r="A1428" s="38" t="s">
        <v>1779</v>
      </c>
      <c r="B1428" s="42"/>
      <c r="C1428" s="42"/>
      <c r="D1428" s="42"/>
      <c r="E1428" s="41"/>
      <c r="F1428" s="41"/>
      <c r="G1428" s="41"/>
      <c r="H1428" s="41"/>
      <c r="I1428" s="41"/>
      <c r="J1428" s="42"/>
      <c r="K1428" s="41"/>
      <c r="L1428" s="41"/>
      <c r="M1428" s="127"/>
      <c r="N1428" s="41"/>
      <c r="O1428" s="41"/>
      <c r="P1428" s="41"/>
      <c r="Q1428" s="42"/>
      <c r="R1428" s="35"/>
      <c r="S1428" s="35"/>
      <c r="T1428" s="35"/>
      <c r="U1428" s="35"/>
      <c r="V1428" s="121"/>
      <c r="W1428" s="42"/>
      <c r="X1428" s="42"/>
      <c r="Y1428" s="42"/>
      <c r="Z1428" s="42"/>
      <c r="AA1428" s="42"/>
      <c r="AB1428" s="42"/>
      <c r="AC1428" s="42"/>
      <c r="AD1428" s="42"/>
      <c r="AE1428" s="42"/>
      <c r="AF1428" s="42"/>
      <c r="AG1428" s="42"/>
      <c r="AH1428" s="42"/>
      <c r="AI1428" s="42"/>
      <c r="AJ1428" s="42"/>
      <c r="AK1428" s="42"/>
      <c r="AL1428" s="42"/>
      <c r="AM1428" s="42"/>
    </row>
    <row r="1429" spans="1:39" x14ac:dyDescent="0.25">
      <c r="A1429" s="38" t="s">
        <v>1780</v>
      </c>
      <c r="B1429" s="42"/>
      <c r="C1429" s="42"/>
      <c r="D1429" s="42"/>
      <c r="E1429" s="41"/>
      <c r="F1429" s="41"/>
      <c r="G1429" s="41"/>
      <c r="H1429" s="41"/>
      <c r="I1429" s="41"/>
      <c r="J1429" s="42"/>
      <c r="K1429" s="41"/>
      <c r="L1429" s="41"/>
      <c r="M1429" s="127"/>
      <c r="N1429" s="41"/>
      <c r="O1429" s="41"/>
      <c r="P1429" s="41"/>
      <c r="Q1429" s="42"/>
      <c r="R1429" s="35"/>
      <c r="S1429" s="35"/>
      <c r="T1429" s="35"/>
      <c r="U1429" s="35"/>
      <c r="V1429" s="121"/>
      <c r="W1429" s="42"/>
      <c r="X1429" s="42"/>
      <c r="Y1429" s="42"/>
      <c r="Z1429" s="42"/>
      <c r="AA1429" s="42"/>
      <c r="AB1429" s="42"/>
      <c r="AC1429" s="42"/>
      <c r="AD1429" s="42"/>
      <c r="AE1429" s="42"/>
      <c r="AF1429" s="42"/>
      <c r="AG1429" s="42"/>
      <c r="AH1429" s="42"/>
      <c r="AI1429" s="42"/>
      <c r="AJ1429" s="42"/>
      <c r="AK1429" s="42"/>
      <c r="AL1429" s="42"/>
      <c r="AM1429" s="42"/>
    </row>
    <row r="1430" spans="1:39" x14ac:dyDescent="0.25">
      <c r="A1430" s="38" t="s">
        <v>1781</v>
      </c>
      <c r="B1430" s="42"/>
      <c r="C1430" s="42"/>
      <c r="D1430" s="42"/>
      <c r="E1430" s="41"/>
      <c r="F1430" s="41"/>
      <c r="G1430" s="41"/>
      <c r="H1430" s="41"/>
      <c r="I1430" s="41"/>
      <c r="J1430" s="42"/>
      <c r="K1430" s="41"/>
      <c r="L1430" s="41"/>
      <c r="M1430" s="127"/>
      <c r="N1430" s="41"/>
      <c r="O1430" s="41"/>
      <c r="P1430" s="41"/>
      <c r="Q1430" s="42"/>
      <c r="R1430" s="35"/>
      <c r="S1430" s="35"/>
      <c r="T1430" s="35"/>
      <c r="U1430" s="35"/>
      <c r="V1430" s="121"/>
      <c r="W1430" s="42"/>
      <c r="X1430" s="42"/>
      <c r="Y1430" s="42"/>
      <c r="Z1430" s="42"/>
      <c r="AA1430" s="42"/>
      <c r="AB1430" s="42"/>
      <c r="AC1430" s="42"/>
      <c r="AD1430" s="42"/>
      <c r="AE1430" s="42"/>
      <c r="AF1430" s="42"/>
      <c r="AG1430" s="42"/>
      <c r="AH1430" s="42"/>
      <c r="AI1430" s="42"/>
      <c r="AJ1430" s="42"/>
      <c r="AK1430" s="42"/>
      <c r="AL1430" s="42"/>
      <c r="AM1430" s="42"/>
    </row>
    <row r="1431" spans="1:39" x14ac:dyDescent="0.25">
      <c r="A1431" s="38" t="s">
        <v>1782</v>
      </c>
      <c r="B1431" s="42"/>
      <c r="C1431" s="42"/>
      <c r="D1431" s="42"/>
      <c r="E1431" s="41"/>
      <c r="F1431" s="41"/>
      <c r="G1431" s="41"/>
      <c r="H1431" s="41"/>
      <c r="I1431" s="41"/>
      <c r="J1431" s="42"/>
      <c r="K1431" s="41"/>
      <c r="L1431" s="41"/>
      <c r="M1431" s="127"/>
      <c r="N1431" s="41"/>
      <c r="O1431" s="41"/>
      <c r="P1431" s="41"/>
      <c r="Q1431" s="42"/>
      <c r="R1431" s="35"/>
      <c r="S1431" s="35"/>
      <c r="T1431" s="35"/>
      <c r="U1431" s="35"/>
      <c r="V1431" s="121"/>
      <c r="W1431" s="42"/>
      <c r="X1431" s="42"/>
      <c r="Y1431" s="42"/>
      <c r="Z1431" s="42"/>
      <c r="AA1431" s="42"/>
      <c r="AB1431" s="42"/>
      <c r="AC1431" s="42"/>
      <c r="AD1431" s="42"/>
      <c r="AE1431" s="42"/>
      <c r="AF1431" s="42"/>
      <c r="AG1431" s="42"/>
      <c r="AH1431" s="42"/>
      <c r="AI1431" s="42"/>
      <c r="AJ1431" s="42"/>
      <c r="AK1431" s="42"/>
      <c r="AL1431" s="42"/>
      <c r="AM1431" s="42"/>
    </row>
    <row r="1432" spans="1:39" x14ac:dyDescent="0.25">
      <c r="A1432" s="38" t="s">
        <v>1783</v>
      </c>
      <c r="B1432" s="42"/>
      <c r="C1432" s="42"/>
      <c r="D1432" s="42"/>
      <c r="E1432" s="41"/>
      <c r="F1432" s="41"/>
      <c r="G1432" s="41"/>
      <c r="H1432" s="41"/>
      <c r="I1432" s="41"/>
      <c r="J1432" s="42"/>
      <c r="K1432" s="41"/>
      <c r="L1432" s="41"/>
      <c r="M1432" s="127"/>
      <c r="N1432" s="41"/>
      <c r="O1432" s="41"/>
      <c r="P1432" s="41"/>
      <c r="Q1432" s="42"/>
      <c r="R1432" s="35"/>
      <c r="S1432" s="35"/>
      <c r="T1432" s="35"/>
      <c r="U1432" s="35"/>
      <c r="V1432" s="121"/>
      <c r="W1432" s="42"/>
      <c r="X1432" s="42"/>
      <c r="Y1432" s="42"/>
      <c r="Z1432" s="42"/>
      <c r="AA1432" s="42"/>
      <c r="AB1432" s="42"/>
      <c r="AC1432" s="42"/>
      <c r="AD1432" s="42"/>
      <c r="AE1432" s="42"/>
      <c r="AF1432" s="42"/>
      <c r="AG1432" s="42"/>
      <c r="AH1432" s="42"/>
      <c r="AI1432" s="42"/>
      <c r="AJ1432" s="42"/>
      <c r="AK1432" s="42"/>
      <c r="AL1432" s="42"/>
      <c r="AM1432" s="42"/>
    </row>
    <row r="1433" spans="1:39" x14ac:dyDescent="0.25">
      <c r="A1433" s="38" t="s">
        <v>1784</v>
      </c>
      <c r="B1433" s="42"/>
      <c r="C1433" s="42"/>
      <c r="D1433" s="42"/>
      <c r="E1433" s="41"/>
      <c r="F1433" s="41"/>
      <c r="G1433" s="41"/>
      <c r="H1433" s="41"/>
      <c r="I1433" s="41"/>
      <c r="J1433" s="42"/>
      <c r="K1433" s="41"/>
      <c r="L1433" s="41"/>
      <c r="M1433" s="127"/>
      <c r="N1433" s="41"/>
      <c r="O1433" s="41"/>
      <c r="P1433" s="41"/>
      <c r="Q1433" s="42"/>
      <c r="R1433" s="35"/>
      <c r="S1433" s="35"/>
      <c r="T1433" s="35"/>
      <c r="U1433" s="35"/>
      <c r="V1433" s="121"/>
      <c r="W1433" s="42"/>
      <c r="X1433" s="42"/>
      <c r="Y1433" s="42"/>
      <c r="Z1433" s="42"/>
      <c r="AA1433" s="42"/>
      <c r="AB1433" s="42"/>
      <c r="AC1433" s="42"/>
      <c r="AD1433" s="42"/>
      <c r="AE1433" s="42"/>
      <c r="AF1433" s="42"/>
      <c r="AG1433" s="42"/>
      <c r="AH1433" s="42"/>
      <c r="AI1433" s="42"/>
      <c r="AJ1433" s="42"/>
      <c r="AK1433" s="42"/>
      <c r="AL1433" s="42"/>
      <c r="AM1433" s="42"/>
    </row>
    <row r="1434" spans="1:39" x14ac:dyDescent="0.25">
      <c r="A1434" s="38" t="s">
        <v>1785</v>
      </c>
      <c r="B1434" s="42"/>
      <c r="C1434" s="42"/>
      <c r="D1434" s="42"/>
      <c r="E1434" s="41"/>
      <c r="F1434" s="41"/>
      <c r="G1434" s="41"/>
      <c r="H1434" s="41"/>
      <c r="I1434" s="41"/>
      <c r="J1434" s="42"/>
      <c r="K1434" s="41"/>
      <c r="L1434" s="41"/>
      <c r="M1434" s="127"/>
      <c r="N1434" s="41"/>
      <c r="O1434" s="41"/>
      <c r="P1434" s="41"/>
      <c r="Q1434" s="42"/>
      <c r="R1434" s="35"/>
      <c r="S1434" s="35"/>
      <c r="T1434" s="35"/>
      <c r="U1434" s="35"/>
      <c r="V1434" s="121"/>
      <c r="W1434" s="42"/>
      <c r="X1434" s="42"/>
      <c r="Y1434" s="42"/>
      <c r="Z1434" s="42"/>
      <c r="AA1434" s="42"/>
      <c r="AB1434" s="42"/>
      <c r="AC1434" s="42"/>
      <c r="AD1434" s="42"/>
      <c r="AE1434" s="42"/>
      <c r="AF1434" s="42"/>
      <c r="AG1434" s="42"/>
      <c r="AH1434" s="42"/>
      <c r="AI1434" s="42"/>
      <c r="AJ1434" s="42"/>
      <c r="AK1434" s="42"/>
      <c r="AL1434" s="42"/>
      <c r="AM1434" s="42"/>
    </row>
    <row r="1435" spans="1:39" x14ac:dyDescent="0.25">
      <c r="A1435" s="38" t="s">
        <v>1786</v>
      </c>
      <c r="B1435" s="42"/>
      <c r="C1435" s="42"/>
      <c r="D1435" s="42"/>
      <c r="E1435" s="41"/>
      <c r="F1435" s="41"/>
      <c r="G1435" s="41"/>
      <c r="H1435" s="41"/>
      <c r="I1435" s="41"/>
      <c r="J1435" s="42"/>
      <c r="K1435" s="41"/>
      <c r="L1435" s="41"/>
      <c r="M1435" s="127"/>
      <c r="N1435" s="41"/>
      <c r="O1435" s="41"/>
      <c r="P1435" s="41"/>
      <c r="Q1435" s="42"/>
      <c r="R1435" s="35"/>
      <c r="S1435" s="35"/>
      <c r="T1435" s="35"/>
      <c r="U1435" s="35"/>
      <c r="V1435" s="121"/>
      <c r="W1435" s="42"/>
      <c r="X1435" s="42"/>
      <c r="Y1435" s="42"/>
      <c r="Z1435" s="42"/>
      <c r="AA1435" s="42"/>
      <c r="AB1435" s="42"/>
      <c r="AC1435" s="42"/>
      <c r="AD1435" s="42"/>
      <c r="AE1435" s="42"/>
      <c r="AF1435" s="42"/>
      <c r="AG1435" s="42"/>
      <c r="AH1435" s="42"/>
      <c r="AI1435" s="42"/>
      <c r="AJ1435" s="42"/>
      <c r="AK1435" s="42"/>
      <c r="AL1435" s="42"/>
      <c r="AM1435" s="42"/>
    </row>
    <row r="1436" spans="1:39" x14ac:dyDescent="0.25">
      <c r="A1436" s="38" t="s">
        <v>1787</v>
      </c>
      <c r="B1436" s="42"/>
      <c r="C1436" s="42"/>
      <c r="D1436" s="42"/>
      <c r="E1436" s="41"/>
      <c r="F1436" s="41"/>
      <c r="G1436" s="41"/>
      <c r="H1436" s="41"/>
      <c r="I1436" s="41"/>
      <c r="J1436" s="42"/>
      <c r="K1436" s="41"/>
      <c r="L1436" s="41"/>
      <c r="M1436" s="127"/>
      <c r="N1436" s="41"/>
      <c r="O1436" s="41"/>
      <c r="P1436" s="41"/>
      <c r="Q1436" s="42"/>
      <c r="R1436" s="35"/>
      <c r="S1436" s="35"/>
      <c r="T1436" s="35"/>
      <c r="U1436" s="35"/>
      <c r="V1436" s="121"/>
      <c r="W1436" s="42"/>
      <c r="X1436" s="42"/>
      <c r="Y1436" s="42"/>
      <c r="Z1436" s="42"/>
      <c r="AA1436" s="42"/>
      <c r="AB1436" s="42"/>
      <c r="AC1436" s="42"/>
      <c r="AD1436" s="42"/>
      <c r="AE1436" s="42"/>
      <c r="AF1436" s="42"/>
      <c r="AG1436" s="42"/>
      <c r="AH1436" s="42"/>
      <c r="AI1436" s="42"/>
      <c r="AJ1436" s="42"/>
      <c r="AK1436" s="42"/>
      <c r="AL1436" s="42"/>
      <c r="AM1436" s="42"/>
    </row>
    <row r="1437" spans="1:39" x14ac:dyDescent="0.25">
      <c r="A1437" s="38" t="s">
        <v>1788</v>
      </c>
      <c r="B1437" s="42"/>
      <c r="C1437" s="42"/>
      <c r="D1437" s="42"/>
      <c r="E1437" s="41"/>
      <c r="F1437" s="41"/>
      <c r="G1437" s="41"/>
      <c r="H1437" s="41"/>
      <c r="I1437" s="41"/>
      <c r="J1437" s="42"/>
      <c r="K1437" s="41"/>
      <c r="L1437" s="41"/>
      <c r="M1437" s="127"/>
      <c r="N1437" s="41"/>
      <c r="O1437" s="41"/>
      <c r="P1437" s="41"/>
      <c r="Q1437" s="42"/>
      <c r="R1437" s="35"/>
      <c r="S1437" s="35"/>
      <c r="T1437" s="35"/>
      <c r="U1437" s="35"/>
      <c r="V1437" s="121"/>
      <c r="W1437" s="42"/>
      <c r="X1437" s="42"/>
      <c r="Y1437" s="42"/>
      <c r="Z1437" s="42"/>
      <c r="AA1437" s="42"/>
      <c r="AB1437" s="42"/>
      <c r="AC1437" s="42"/>
      <c r="AD1437" s="42"/>
      <c r="AE1437" s="42"/>
      <c r="AF1437" s="42"/>
      <c r="AG1437" s="42"/>
      <c r="AH1437" s="42"/>
      <c r="AI1437" s="42"/>
      <c r="AJ1437" s="42"/>
      <c r="AK1437" s="42"/>
      <c r="AL1437" s="42"/>
      <c r="AM1437" s="42"/>
    </row>
    <row r="1438" spans="1:39" x14ac:dyDescent="0.25">
      <c r="A1438" s="38" t="s">
        <v>1789</v>
      </c>
      <c r="B1438" s="42"/>
      <c r="C1438" s="42"/>
      <c r="D1438" s="42"/>
      <c r="E1438" s="41"/>
      <c r="F1438" s="41"/>
      <c r="G1438" s="41"/>
      <c r="H1438" s="41"/>
      <c r="I1438" s="41"/>
      <c r="J1438" s="42"/>
      <c r="K1438" s="41"/>
      <c r="L1438" s="41"/>
      <c r="M1438" s="127"/>
      <c r="N1438" s="41"/>
      <c r="O1438" s="41"/>
      <c r="P1438" s="41"/>
      <c r="Q1438" s="42"/>
      <c r="R1438" s="35"/>
      <c r="S1438" s="35"/>
      <c r="T1438" s="35"/>
      <c r="U1438" s="35"/>
      <c r="V1438" s="121"/>
      <c r="W1438" s="42"/>
      <c r="X1438" s="42"/>
      <c r="Y1438" s="42"/>
      <c r="Z1438" s="42"/>
      <c r="AA1438" s="42"/>
      <c r="AB1438" s="42"/>
      <c r="AC1438" s="42"/>
      <c r="AD1438" s="42"/>
      <c r="AE1438" s="42"/>
      <c r="AF1438" s="42"/>
      <c r="AG1438" s="42"/>
      <c r="AH1438" s="42"/>
      <c r="AI1438" s="42"/>
      <c r="AJ1438" s="42"/>
      <c r="AK1438" s="42"/>
      <c r="AL1438" s="42"/>
      <c r="AM1438" s="42"/>
    </row>
    <row r="1439" spans="1:39" x14ac:dyDescent="0.25">
      <c r="A1439" s="38" t="s">
        <v>1790</v>
      </c>
      <c r="B1439" s="42"/>
      <c r="C1439" s="42"/>
      <c r="D1439" s="42"/>
      <c r="E1439" s="41"/>
      <c r="F1439" s="41"/>
      <c r="G1439" s="41"/>
      <c r="H1439" s="41"/>
      <c r="I1439" s="41"/>
      <c r="J1439" s="42"/>
      <c r="K1439" s="41"/>
      <c r="L1439" s="41"/>
      <c r="M1439" s="127"/>
      <c r="N1439" s="41"/>
      <c r="O1439" s="41"/>
      <c r="P1439" s="41"/>
      <c r="Q1439" s="42"/>
      <c r="R1439" s="35"/>
      <c r="S1439" s="35"/>
      <c r="T1439" s="35"/>
      <c r="U1439" s="35"/>
      <c r="V1439" s="121"/>
      <c r="W1439" s="42"/>
      <c r="X1439" s="42"/>
      <c r="Y1439" s="42"/>
      <c r="Z1439" s="42"/>
      <c r="AA1439" s="42"/>
      <c r="AB1439" s="42"/>
      <c r="AC1439" s="42"/>
      <c r="AD1439" s="42"/>
      <c r="AE1439" s="42"/>
      <c r="AF1439" s="42"/>
      <c r="AG1439" s="42"/>
      <c r="AH1439" s="42"/>
      <c r="AI1439" s="42"/>
      <c r="AJ1439" s="42"/>
      <c r="AK1439" s="42"/>
      <c r="AL1439" s="42"/>
      <c r="AM1439" s="42"/>
    </row>
    <row r="1440" spans="1:39" x14ac:dyDescent="0.25">
      <c r="A1440" s="38" t="s">
        <v>1791</v>
      </c>
      <c r="B1440" s="42"/>
      <c r="C1440" s="42"/>
      <c r="D1440" s="42"/>
      <c r="E1440" s="41"/>
      <c r="F1440" s="41"/>
      <c r="G1440" s="41"/>
      <c r="H1440" s="41"/>
      <c r="I1440" s="41"/>
      <c r="J1440" s="42"/>
      <c r="K1440" s="41"/>
      <c r="L1440" s="41"/>
      <c r="M1440" s="127"/>
      <c r="N1440" s="41"/>
      <c r="O1440" s="41"/>
      <c r="P1440" s="41"/>
      <c r="Q1440" s="42"/>
      <c r="R1440" s="35"/>
      <c r="S1440" s="35"/>
      <c r="T1440" s="35"/>
      <c r="U1440" s="35"/>
      <c r="V1440" s="121"/>
      <c r="W1440" s="42"/>
      <c r="X1440" s="42"/>
      <c r="Y1440" s="42"/>
      <c r="Z1440" s="42"/>
      <c r="AA1440" s="42"/>
      <c r="AB1440" s="42"/>
      <c r="AC1440" s="42"/>
      <c r="AD1440" s="42"/>
      <c r="AE1440" s="42"/>
      <c r="AF1440" s="42"/>
      <c r="AG1440" s="42"/>
      <c r="AH1440" s="42"/>
      <c r="AI1440" s="42"/>
      <c r="AJ1440" s="42"/>
      <c r="AK1440" s="42"/>
      <c r="AL1440" s="42"/>
      <c r="AM1440" s="42"/>
    </row>
    <row r="1441" spans="1:39" x14ac:dyDescent="0.25">
      <c r="A1441" s="38" t="s">
        <v>1792</v>
      </c>
      <c r="B1441" s="42"/>
      <c r="C1441" s="42"/>
      <c r="D1441" s="42"/>
      <c r="E1441" s="41"/>
      <c r="F1441" s="41"/>
      <c r="G1441" s="41"/>
      <c r="H1441" s="41"/>
      <c r="I1441" s="41"/>
      <c r="J1441" s="42"/>
      <c r="K1441" s="41"/>
      <c r="L1441" s="41"/>
      <c r="M1441" s="127"/>
      <c r="N1441" s="41"/>
      <c r="O1441" s="41"/>
      <c r="P1441" s="41"/>
      <c r="Q1441" s="42"/>
      <c r="R1441" s="35"/>
      <c r="S1441" s="35"/>
      <c r="T1441" s="35"/>
      <c r="U1441" s="35"/>
      <c r="V1441" s="121"/>
      <c r="W1441" s="42"/>
      <c r="X1441" s="42"/>
      <c r="Y1441" s="42"/>
      <c r="Z1441" s="42"/>
      <c r="AA1441" s="42"/>
      <c r="AB1441" s="42"/>
      <c r="AC1441" s="42"/>
      <c r="AD1441" s="42"/>
      <c r="AE1441" s="42"/>
      <c r="AF1441" s="42"/>
      <c r="AG1441" s="42"/>
      <c r="AH1441" s="42"/>
      <c r="AI1441" s="42"/>
      <c r="AJ1441" s="42"/>
      <c r="AK1441" s="42"/>
      <c r="AL1441" s="42"/>
      <c r="AM1441" s="42"/>
    </row>
    <row r="1442" spans="1:39" x14ac:dyDescent="0.25">
      <c r="A1442" s="38" t="s">
        <v>1793</v>
      </c>
      <c r="B1442" s="42"/>
      <c r="C1442" s="42"/>
      <c r="D1442" s="42"/>
      <c r="E1442" s="41"/>
      <c r="F1442" s="41"/>
      <c r="G1442" s="41"/>
      <c r="H1442" s="41"/>
      <c r="I1442" s="41"/>
      <c r="J1442" s="42"/>
      <c r="K1442" s="41"/>
      <c r="L1442" s="41"/>
      <c r="M1442" s="127"/>
      <c r="N1442" s="41"/>
      <c r="O1442" s="41"/>
      <c r="P1442" s="41"/>
      <c r="Q1442" s="42"/>
      <c r="R1442" s="35"/>
      <c r="S1442" s="35"/>
      <c r="T1442" s="35"/>
      <c r="U1442" s="35"/>
      <c r="V1442" s="121"/>
      <c r="W1442" s="42"/>
      <c r="X1442" s="42"/>
      <c r="Y1442" s="42"/>
      <c r="Z1442" s="42"/>
      <c r="AA1442" s="42"/>
      <c r="AB1442" s="42"/>
      <c r="AC1442" s="42"/>
      <c r="AD1442" s="42"/>
      <c r="AE1442" s="42"/>
      <c r="AF1442" s="42"/>
      <c r="AG1442" s="42"/>
      <c r="AH1442" s="42"/>
      <c r="AI1442" s="42"/>
      <c r="AJ1442" s="42"/>
      <c r="AK1442" s="42"/>
      <c r="AL1442" s="42"/>
      <c r="AM1442" s="42"/>
    </row>
    <row r="1443" spans="1:39" x14ac:dyDescent="0.25">
      <c r="A1443" s="38" t="s">
        <v>1794</v>
      </c>
      <c r="B1443" s="42"/>
      <c r="C1443" s="42"/>
      <c r="D1443" s="42"/>
      <c r="E1443" s="41"/>
      <c r="F1443" s="41"/>
      <c r="G1443" s="41"/>
      <c r="H1443" s="41"/>
      <c r="I1443" s="41"/>
      <c r="J1443" s="42"/>
      <c r="K1443" s="41"/>
      <c r="L1443" s="41"/>
      <c r="M1443" s="127"/>
      <c r="N1443" s="41"/>
      <c r="O1443" s="41"/>
      <c r="P1443" s="41"/>
      <c r="Q1443" s="42"/>
      <c r="R1443" s="35"/>
      <c r="S1443" s="35"/>
      <c r="T1443" s="35"/>
      <c r="U1443" s="35"/>
      <c r="V1443" s="121"/>
      <c r="W1443" s="42"/>
      <c r="X1443" s="42"/>
      <c r="Y1443" s="42"/>
      <c r="Z1443" s="42"/>
      <c r="AA1443" s="42"/>
      <c r="AB1443" s="42"/>
      <c r="AC1443" s="42"/>
      <c r="AD1443" s="42"/>
      <c r="AE1443" s="42"/>
      <c r="AF1443" s="42"/>
      <c r="AG1443" s="42"/>
      <c r="AH1443" s="42"/>
      <c r="AI1443" s="42"/>
      <c r="AJ1443" s="42"/>
      <c r="AK1443" s="42"/>
      <c r="AL1443" s="42"/>
      <c r="AM1443" s="42"/>
    </row>
    <row r="1444" spans="1:39" x14ac:dyDescent="0.25">
      <c r="A1444" s="38" t="s">
        <v>1795</v>
      </c>
      <c r="B1444" s="42"/>
      <c r="C1444" s="42"/>
      <c r="D1444" s="42"/>
      <c r="E1444" s="41"/>
      <c r="F1444" s="41"/>
      <c r="G1444" s="41"/>
      <c r="H1444" s="41"/>
      <c r="I1444" s="41"/>
      <c r="J1444" s="42"/>
      <c r="K1444" s="41"/>
      <c r="L1444" s="41"/>
      <c r="M1444" s="127"/>
      <c r="N1444" s="41"/>
      <c r="O1444" s="41"/>
      <c r="P1444" s="41"/>
      <c r="Q1444" s="42"/>
      <c r="R1444" s="35"/>
      <c r="S1444" s="35"/>
      <c r="T1444" s="35"/>
      <c r="U1444" s="35"/>
      <c r="V1444" s="121"/>
      <c r="W1444" s="42"/>
      <c r="X1444" s="42"/>
      <c r="Y1444" s="42"/>
      <c r="Z1444" s="42"/>
      <c r="AA1444" s="42"/>
      <c r="AB1444" s="42"/>
      <c r="AC1444" s="42"/>
      <c r="AD1444" s="42"/>
      <c r="AE1444" s="42"/>
      <c r="AF1444" s="42"/>
      <c r="AG1444" s="42"/>
      <c r="AH1444" s="42"/>
      <c r="AI1444" s="42"/>
      <c r="AJ1444" s="42"/>
      <c r="AK1444" s="42"/>
      <c r="AL1444" s="42"/>
      <c r="AM1444" s="42"/>
    </row>
    <row r="1445" spans="1:39" x14ac:dyDescent="0.25">
      <c r="A1445" s="38" t="s">
        <v>1796</v>
      </c>
      <c r="B1445" s="42"/>
      <c r="C1445" s="42"/>
      <c r="D1445" s="42"/>
      <c r="E1445" s="41"/>
      <c r="F1445" s="41"/>
      <c r="G1445" s="41"/>
      <c r="H1445" s="41"/>
      <c r="I1445" s="41"/>
      <c r="J1445" s="42"/>
      <c r="K1445" s="41"/>
      <c r="L1445" s="41"/>
      <c r="M1445" s="127"/>
      <c r="N1445" s="41"/>
      <c r="O1445" s="41"/>
      <c r="P1445" s="41"/>
      <c r="Q1445" s="42"/>
      <c r="R1445" s="35"/>
      <c r="S1445" s="35"/>
      <c r="T1445" s="35"/>
      <c r="U1445" s="35"/>
      <c r="V1445" s="121"/>
      <c r="W1445" s="42"/>
      <c r="X1445" s="42"/>
      <c r="Y1445" s="42"/>
      <c r="Z1445" s="42"/>
      <c r="AA1445" s="42"/>
      <c r="AB1445" s="42"/>
      <c r="AC1445" s="42"/>
      <c r="AD1445" s="42"/>
      <c r="AE1445" s="42"/>
      <c r="AF1445" s="42"/>
      <c r="AG1445" s="42"/>
      <c r="AH1445" s="42"/>
      <c r="AI1445" s="42"/>
      <c r="AJ1445" s="42"/>
      <c r="AK1445" s="42"/>
      <c r="AL1445" s="42"/>
      <c r="AM1445" s="42"/>
    </row>
    <row r="1446" spans="1:39" x14ac:dyDescent="0.25">
      <c r="A1446" s="38" t="s">
        <v>1797</v>
      </c>
      <c r="B1446" s="42"/>
      <c r="C1446" s="42"/>
      <c r="D1446" s="42"/>
      <c r="E1446" s="41"/>
      <c r="F1446" s="41"/>
      <c r="G1446" s="41"/>
      <c r="H1446" s="41"/>
      <c r="I1446" s="41"/>
      <c r="J1446" s="42"/>
      <c r="K1446" s="41"/>
      <c r="L1446" s="41"/>
      <c r="M1446" s="127"/>
      <c r="N1446" s="41"/>
      <c r="O1446" s="41"/>
      <c r="P1446" s="41"/>
      <c r="Q1446" s="42"/>
      <c r="R1446" s="35"/>
      <c r="S1446" s="35"/>
      <c r="T1446" s="35"/>
      <c r="U1446" s="35"/>
      <c r="V1446" s="121"/>
      <c r="W1446" s="42"/>
      <c r="X1446" s="42"/>
      <c r="Y1446" s="42"/>
      <c r="Z1446" s="42"/>
      <c r="AA1446" s="42"/>
      <c r="AB1446" s="42"/>
      <c r="AC1446" s="42"/>
      <c r="AD1446" s="42"/>
      <c r="AE1446" s="42"/>
      <c r="AF1446" s="42"/>
      <c r="AG1446" s="42"/>
      <c r="AH1446" s="42"/>
      <c r="AI1446" s="42"/>
      <c r="AJ1446" s="42"/>
      <c r="AK1446" s="42"/>
      <c r="AL1446" s="42"/>
      <c r="AM1446" s="42"/>
    </row>
    <row r="1447" spans="1:39" x14ac:dyDescent="0.25">
      <c r="A1447" s="38" t="s">
        <v>1798</v>
      </c>
      <c r="B1447" s="42"/>
      <c r="C1447" s="42"/>
      <c r="D1447" s="42"/>
      <c r="E1447" s="41"/>
      <c r="F1447" s="41"/>
      <c r="G1447" s="41"/>
      <c r="H1447" s="41"/>
      <c r="I1447" s="41"/>
      <c r="J1447" s="42"/>
      <c r="K1447" s="41"/>
      <c r="L1447" s="41"/>
      <c r="M1447" s="127"/>
      <c r="N1447" s="41"/>
      <c r="O1447" s="41"/>
      <c r="P1447" s="41"/>
      <c r="Q1447" s="42"/>
      <c r="R1447" s="35"/>
      <c r="S1447" s="35"/>
      <c r="T1447" s="35"/>
      <c r="U1447" s="35"/>
      <c r="V1447" s="121"/>
      <c r="W1447" s="42"/>
      <c r="X1447" s="42"/>
      <c r="Y1447" s="42"/>
      <c r="Z1447" s="42"/>
      <c r="AA1447" s="42"/>
      <c r="AB1447" s="42"/>
      <c r="AC1447" s="42"/>
      <c r="AD1447" s="42"/>
      <c r="AE1447" s="42"/>
      <c r="AF1447" s="42"/>
      <c r="AG1447" s="42"/>
      <c r="AH1447" s="42"/>
      <c r="AI1447" s="42"/>
      <c r="AJ1447" s="42"/>
      <c r="AK1447" s="42"/>
      <c r="AL1447" s="42"/>
      <c r="AM1447" s="42"/>
    </row>
    <row r="1448" spans="1:39" x14ac:dyDescent="0.25">
      <c r="A1448" s="38" t="s">
        <v>1799</v>
      </c>
      <c r="B1448" s="42"/>
      <c r="C1448" s="42"/>
      <c r="D1448" s="42"/>
      <c r="E1448" s="41"/>
      <c r="F1448" s="41"/>
      <c r="G1448" s="41"/>
      <c r="H1448" s="41"/>
      <c r="I1448" s="41"/>
      <c r="J1448" s="42"/>
      <c r="K1448" s="41"/>
      <c r="L1448" s="41"/>
      <c r="M1448" s="127"/>
      <c r="N1448" s="41"/>
      <c r="O1448" s="41"/>
      <c r="P1448" s="41"/>
      <c r="Q1448" s="42"/>
      <c r="R1448" s="35"/>
      <c r="S1448" s="35"/>
      <c r="T1448" s="35"/>
      <c r="U1448" s="35"/>
      <c r="V1448" s="121"/>
      <c r="W1448" s="42"/>
      <c r="X1448" s="42"/>
      <c r="Y1448" s="42"/>
      <c r="Z1448" s="42"/>
      <c r="AA1448" s="42"/>
      <c r="AB1448" s="42"/>
      <c r="AC1448" s="42"/>
      <c r="AD1448" s="42"/>
      <c r="AE1448" s="42"/>
      <c r="AF1448" s="42"/>
      <c r="AG1448" s="42"/>
      <c r="AH1448" s="42"/>
      <c r="AI1448" s="42"/>
      <c r="AJ1448" s="42"/>
      <c r="AK1448" s="42"/>
      <c r="AL1448" s="42"/>
      <c r="AM1448" s="42"/>
    </row>
    <row r="1449" spans="1:39" x14ac:dyDescent="0.25">
      <c r="A1449" s="38" t="s">
        <v>1800</v>
      </c>
      <c r="B1449" s="42"/>
      <c r="C1449" s="42"/>
      <c r="D1449" s="42"/>
      <c r="E1449" s="41"/>
      <c r="F1449" s="41"/>
      <c r="G1449" s="41"/>
      <c r="H1449" s="41"/>
      <c r="I1449" s="41"/>
      <c r="J1449" s="42"/>
      <c r="K1449" s="41"/>
      <c r="L1449" s="41"/>
      <c r="M1449" s="127"/>
      <c r="N1449" s="41"/>
      <c r="O1449" s="41"/>
      <c r="P1449" s="41"/>
      <c r="Q1449" s="42"/>
      <c r="R1449" s="35"/>
      <c r="S1449" s="35"/>
      <c r="T1449" s="35"/>
      <c r="U1449" s="35"/>
      <c r="V1449" s="121"/>
      <c r="W1449" s="42"/>
      <c r="X1449" s="42"/>
      <c r="Y1449" s="42"/>
      <c r="Z1449" s="42"/>
      <c r="AA1449" s="42"/>
      <c r="AB1449" s="42"/>
      <c r="AC1449" s="42"/>
      <c r="AD1449" s="42"/>
      <c r="AE1449" s="42"/>
      <c r="AF1449" s="42"/>
      <c r="AG1449" s="42"/>
      <c r="AH1449" s="42"/>
      <c r="AI1449" s="42"/>
      <c r="AJ1449" s="42"/>
      <c r="AK1449" s="42"/>
      <c r="AL1449" s="42"/>
      <c r="AM1449" s="42"/>
    </row>
    <row r="1450" spans="1:39" x14ac:dyDescent="0.25">
      <c r="A1450" s="38" t="s">
        <v>1801</v>
      </c>
      <c r="B1450" s="42"/>
      <c r="C1450" s="42"/>
      <c r="D1450" s="42"/>
      <c r="E1450" s="41"/>
      <c r="F1450" s="41"/>
      <c r="G1450" s="41"/>
      <c r="H1450" s="41"/>
      <c r="I1450" s="41"/>
      <c r="J1450" s="42"/>
      <c r="K1450" s="41"/>
      <c r="L1450" s="41"/>
      <c r="M1450" s="127"/>
      <c r="N1450" s="41"/>
      <c r="O1450" s="41"/>
      <c r="P1450" s="41"/>
      <c r="Q1450" s="42"/>
      <c r="R1450" s="35"/>
      <c r="S1450" s="35"/>
      <c r="T1450" s="35"/>
      <c r="U1450" s="35"/>
      <c r="V1450" s="121"/>
      <c r="W1450" s="42"/>
      <c r="X1450" s="42"/>
      <c r="Y1450" s="42"/>
      <c r="Z1450" s="42"/>
      <c r="AA1450" s="42"/>
      <c r="AB1450" s="42"/>
      <c r="AC1450" s="42"/>
      <c r="AD1450" s="42"/>
      <c r="AE1450" s="42"/>
      <c r="AF1450" s="42"/>
      <c r="AG1450" s="42"/>
      <c r="AH1450" s="42"/>
      <c r="AI1450" s="42"/>
      <c r="AJ1450" s="42"/>
      <c r="AK1450" s="42"/>
      <c r="AL1450" s="42"/>
      <c r="AM1450" s="42"/>
    </row>
    <row r="1451" spans="1:39" x14ac:dyDescent="0.25">
      <c r="A1451" s="38" t="s">
        <v>1802</v>
      </c>
      <c r="B1451" s="42"/>
      <c r="C1451" s="42"/>
      <c r="D1451" s="42"/>
      <c r="E1451" s="41"/>
      <c r="F1451" s="41"/>
      <c r="G1451" s="41"/>
      <c r="H1451" s="41"/>
      <c r="I1451" s="41"/>
      <c r="J1451" s="42"/>
      <c r="K1451" s="41"/>
      <c r="L1451" s="41"/>
      <c r="M1451" s="127"/>
      <c r="N1451" s="41"/>
      <c r="O1451" s="41"/>
      <c r="P1451" s="41"/>
      <c r="Q1451" s="42"/>
      <c r="R1451" s="35"/>
      <c r="S1451" s="35"/>
      <c r="T1451" s="35"/>
      <c r="U1451" s="35"/>
      <c r="V1451" s="121"/>
      <c r="W1451" s="42"/>
      <c r="X1451" s="42"/>
      <c r="Y1451" s="42"/>
      <c r="Z1451" s="42"/>
      <c r="AA1451" s="42"/>
      <c r="AB1451" s="42"/>
      <c r="AC1451" s="42"/>
      <c r="AD1451" s="42"/>
      <c r="AE1451" s="42"/>
      <c r="AF1451" s="42"/>
      <c r="AG1451" s="42"/>
      <c r="AH1451" s="42"/>
      <c r="AI1451" s="42"/>
      <c r="AJ1451" s="42"/>
      <c r="AK1451" s="42"/>
      <c r="AL1451" s="42"/>
      <c r="AM1451" s="42"/>
    </row>
    <row r="1452" spans="1:39" x14ac:dyDescent="0.25">
      <c r="A1452" s="38" t="s">
        <v>1803</v>
      </c>
      <c r="B1452" s="42"/>
      <c r="C1452" s="42"/>
      <c r="D1452" s="42"/>
      <c r="E1452" s="41"/>
      <c r="F1452" s="41"/>
      <c r="G1452" s="41"/>
      <c r="H1452" s="41"/>
      <c r="I1452" s="41"/>
      <c r="J1452" s="42"/>
      <c r="K1452" s="41"/>
      <c r="L1452" s="41"/>
      <c r="M1452" s="127"/>
      <c r="N1452" s="41"/>
      <c r="O1452" s="41"/>
      <c r="P1452" s="41"/>
      <c r="Q1452" s="42"/>
      <c r="R1452" s="35"/>
      <c r="S1452" s="35"/>
      <c r="T1452" s="35"/>
      <c r="U1452" s="35"/>
      <c r="V1452" s="121"/>
      <c r="W1452" s="42"/>
      <c r="X1452" s="42"/>
      <c r="Y1452" s="42"/>
      <c r="Z1452" s="42"/>
      <c r="AA1452" s="42"/>
      <c r="AB1452" s="42"/>
      <c r="AC1452" s="42"/>
      <c r="AD1452" s="42"/>
      <c r="AE1452" s="42"/>
      <c r="AF1452" s="42"/>
      <c r="AG1452" s="42"/>
      <c r="AH1452" s="42"/>
      <c r="AI1452" s="42"/>
      <c r="AJ1452" s="42"/>
      <c r="AK1452" s="42"/>
      <c r="AL1452" s="42"/>
      <c r="AM1452" s="42"/>
    </row>
    <row r="1453" spans="1:39" x14ac:dyDescent="0.25">
      <c r="A1453" s="38" t="s">
        <v>1804</v>
      </c>
      <c r="B1453" s="42"/>
      <c r="C1453" s="42"/>
      <c r="D1453" s="42"/>
      <c r="E1453" s="41"/>
      <c r="F1453" s="41"/>
      <c r="G1453" s="41"/>
      <c r="H1453" s="41"/>
      <c r="I1453" s="41"/>
      <c r="J1453" s="42"/>
      <c r="K1453" s="41"/>
      <c r="L1453" s="41"/>
      <c r="M1453" s="127"/>
      <c r="N1453" s="41"/>
      <c r="O1453" s="41"/>
      <c r="P1453" s="41"/>
      <c r="Q1453" s="42"/>
      <c r="R1453" s="35"/>
      <c r="S1453" s="35"/>
      <c r="T1453" s="35"/>
      <c r="U1453" s="35"/>
      <c r="V1453" s="121"/>
      <c r="W1453" s="42"/>
      <c r="X1453" s="42"/>
      <c r="Y1453" s="42"/>
      <c r="Z1453" s="42"/>
      <c r="AA1453" s="42"/>
      <c r="AB1453" s="42"/>
      <c r="AC1453" s="42"/>
      <c r="AD1453" s="42"/>
      <c r="AE1453" s="42"/>
      <c r="AF1453" s="42"/>
      <c r="AG1453" s="42"/>
      <c r="AH1453" s="42"/>
      <c r="AI1453" s="42"/>
      <c r="AJ1453" s="42"/>
      <c r="AK1453" s="42"/>
      <c r="AL1453" s="42"/>
      <c r="AM1453" s="42"/>
    </row>
    <row r="1454" spans="1:39" x14ac:dyDescent="0.25">
      <c r="A1454" s="38" t="s">
        <v>1805</v>
      </c>
      <c r="B1454" s="42"/>
      <c r="C1454" s="42"/>
      <c r="D1454" s="42"/>
      <c r="E1454" s="41"/>
      <c r="F1454" s="41"/>
      <c r="G1454" s="41"/>
      <c r="H1454" s="41"/>
      <c r="I1454" s="41"/>
      <c r="J1454" s="42"/>
      <c r="K1454" s="41"/>
      <c r="L1454" s="41"/>
      <c r="M1454" s="127"/>
      <c r="N1454" s="41"/>
      <c r="O1454" s="41"/>
      <c r="P1454" s="41"/>
      <c r="Q1454" s="42"/>
      <c r="R1454" s="35"/>
      <c r="S1454" s="35"/>
      <c r="T1454" s="35"/>
      <c r="U1454" s="35"/>
      <c r="V1454" s="121"/>
      <c r="W1454" s="42"/>
      <c r="X1454" s="42"/>
      <c r="Y1454" s="42"/>
      <c r="Z1454" s="42"/>
      <c r="AA1454" s="42"/>
      <c r="AB1454" s="42"/>
      <c r="AC1454" s="42"/>
      <c r="AD1454" s="42"/>
      <c r="AE1454" s="42"/>
      <c r="AF1454" s="42"/>
      <c r="AG1454" s="42"/>
      <c r="AH1454" s="42"/>
      <c r="AI1454" s="42"/>
      <c r="AJ1454" s="42"/>
      <c r="AK1454" s="42"/>
      <c r="AL1454" s="42"/>
      <c r="AM1454" s="42"/>
    </row>
    <row r="1455" spans="1:39" x14ac:dyDescent="0.25">
      <c r="A1455" s="38" t="s">
        <v>1806</v>
      </c>
      <c r="B1455" s="42"/>
      <c r="C1455" s="42"/>
      <c r="D1455" s="42"/>
      <c r="E1455" s="41"/>
      <c r="F1455" s="41"/>
      <c r="G1455" s="41"/>
      <c r="H1455" s="41"/>
      <c r="I1455" s="41"/>
      <c r="J1455" s="42"/>
      <c r="K1455" s="41"/>
      <c r="L1455" s="41"/>
      <c r="M1455" s="127"/>
      <c r="N1455" s="41"/>
      <c r="O1455" s="41"/>
      <c r="P1455" s="41"/>
      <c r="Q1455" s="42"/>
      <c r="R1455" s="35"/>
      <c r="S1455" s="35"/>
      <c r="T1455" s="35"/>
      <c r="U1455" s="35"/>
      <c r="V1455" s="121"/>
      <c r="W1455" s="42"/>
      <c r="X1455" s="42"/>
      <c r="Y1455" s="42"/>
      <c r="Z1455" s="42"/>
      <c r="AA1455" s="42"/>
      <c r="AB1455" s="42"/>
      <c r="AC1455" s="42"/>
      <c r="AD1455" s="42"/>
      <c r="AE1455" s="42"/>
      <c r="AF1455" s="42"/>
      <c r="AG1455" s="42"/>
      <c r="AH1455" s="42"/>
      <c r="AI1455" s="42"/>
      <c r="AJ1455" s="42"/>
      <c r="AK1455" s="42"/>
      <c r="AL1455" s="42"/>
      <c r="AM1455" s="42"/>
    </row>
    <row r="1456" spans="1:39" x14ac:dyDescent="0.25">
      <c r="A1456" s="38" t="s">
        <v>1807</v>
      </c>
      <c r="B1456" s="42"/>
      <c r="C1456" s="42"/>
      <c r="D1456" s="42"/>
      <c r="E1456" s="41"/>
      <c r="F1456" s="41"/>
      <c r="G1456" s="41"/>
      <c r="H1456" s="41"/>
      <c r="I1456" s="41"/>
      <c r="J1456" s="42"/>
      <c r="K1456" s="41"/>
      <c r="L1456" s="41"/>
      <c r="M1456" s="127"/>
      <c r="N1456" s="41"/>
      <c r="O1456" s="41"/>
      <c r="P1456" s="41"/>
      <c r="Q1456" s="42"/>
      <c r="R1456" s="35"/>
      <c r="S1456" s="35"/>
      <c r="T1456" s="35"/>
      <c r="U1456" s="35"/>
      <c r="V1456" s="121"/>
      <c r="W1456" s="42"/>
      <c r="X1456" s="42"/>
      <c r="Y1456" s="42"/>
      <c r="Z1456" s="42"/>
      <c r="AA1456" s="42"/>
      <c r="AB1456" s="42"/>
      <c r="AC1456" s="42"/>
      <c r="AD1456" s="42"/>
      <c r="AE1456" s="42"/>
      <c r="AF1456" s="42"/>
      <c r="AG1456" s="42"/>
      <c r="AH1456" s="42"/>
      <c r="AI1456" s="42"/>
      <c r="AJ1456" s="42"/>
      <c r="AK1456" s="42"/>
      <c r="AL1456" s="42"/>
      <c r="AM1456" s="42"/>
    </row>
    <row r="1457" spans="1:39" x14ac:dyDescent="0.25">
      <c r="A1457" s="38" t="s">
        <v>1808</v>
      </c>
      <c r="B1457" s="42"/>
      <c r="C1457" s="42"/>
      <c r="D1457" s="42"/>
      <c r="E1457" s="41"/>
      <c r="F1457" s="41"/>
      <c r="G1457" s="41"/>
      <c r="H1457" s="41"/>
      <c r="I1457" s="41"/>
      <c r="J1457" s="42"/>
      <c r="K1457" s="41"/>
      <c r="L1457" s="41"/>
      <c r="M1457" s="127"/>
      <c r="N1457" s="41"/>
      <c r="O1457" s="41"/>
      <c r="P1457" s="41"/>
      <c r="Q1457" s="42"/>
      <c r="R1457" s="35"/>
      <c r="S1457" s="35"/>
      <c r="T1457" s="35"/>
      <c r="U1457" s="35"/>
      <c r="V1457" s="121"/>
      <c r="W1457" s="42"/>
      <c r="X1457" s="42"/>
      <c r="Y1457" s="42"/>
      <c r="Z1457" s="42"/>
      <c r="AA1457" s="42"/>
      <c r="AB1457" s="42"/>
      <c r="AC1457" s="42"/>
      <c r="AD1457" s="42"/>
      <c r="AE1457" s="42"/>
      <c r="AF1457" s="42"/>
      <c r="AG1457" s="42"/>
      <c r="AH1457" s="42"/>
      <c r="AI1457" s="42"/>
      <c r="AJ1457" s="42"/>
      <c r="AK1457" s="42"/>
      <c r="AL1457" s="42"/>
      <c r="AM1457" s="42"/>
    </row>
    <row r="1458" spans="1:39" x14ac:dyDescent="0.25">
      <c r="A1458" s="38" t="s">
        <v>1809</v>
      </c>
      <c r="B1458" s="42"/>
      <c r="C1458" s="42"/>
      <c r="D1458" s="42"/>
      <c r="E1458" s="41"/>
      <c r="F1458" s="41"/>
      <c r="G1458" s="41"/>
      <c r="H1458" s="41"/>
      <c r="I1458" s="41"/>
      <c r="J1458" s="42"/>
      <c r="K1458" s="41"/>
      <c r="L1458" s="41"/>
      <c r="M1458" s="127"/>
      <c r="N1458" s="41"/>
      <c r="O1458" s="41"/>
      <c r="P1458" s="41"/>
      <c r="Q1458" s="42"/>
      <c r="R1458" s="35"/>
      <c r="S1458" s="35"/>
      <c r="T1458" s="35"/>
      <c r="U1458" s="35"/>
      <c r="V1458" s="121"/>
      <c r="W1458" s="42"/>
      <c r="X1458" s="42"/>
      <c r="Y1458" s="42"/>
      <c r="Z1458" s="42"/>
      <c r="AA1458" s="42"/>
      <c r="AB1458" s="42"/>
      <c r="AC1458" s="42"/>
      <c r="AD1458" s="42"/>
      <c r="AE1458" s="42"/>
      <c r="AF1458" s="42"/>
      <c r="AG1458" s="42"/>
      <c r="AH1458" s="42"/>
      <c r="AI1458" s="42"/>
      <c r="AJ1458" s="42"/>
      <c r="AK1458" s="42"/>
      <c r="AL1458" s="42"/>
      <c r="AM1458" s="42"/>
    </row>
    <row r="1459" spans="1:39" x14ac:dyDescent="0.25">
      <c r="A1459" s="38" t="s">
        <v>1810</v>
      </c>
      <c r="B1459" s="42"/>
      <c r="C1459" s="42"/>
      <c r="D1459" s="42"/>
      <c r="E1459" s="41"/>
      <c r="F1459" s="41"/>
      <c r="G1459" s="41"/>
      <c r="H1459" s="41"/>
      <c r="I1459" s="41"/>
      <c r="J1459" s="42"/>
      <c r="K1459" s="41"/>
      <c r="L1459" s="41"/>
      <c r="M1459" s="127"/>
      <c r="N1459" s="41"/>
      <c r="O1459" s="41"/>
      <c r="P1459" s="41"/>
      <c r="Q1459" s="42"/>
      <c r="R1459" s="35"/>
      <c r="S1459" s="35"/>
      <c r="T1459" s="35"/>
      <c r="U1459" s="35"/>
      <c r="V1459" s="121"/>
      <c r="W1459" s="42"/>
      <c r="X1459" s="42"/>
      <c r="Y1459" s="42"/>
      <c r="Z1459" s="42"/>
      <c r="AA1459" s="42"/>
      <c r="AB1459" s="42"/>
      <c r="AC1459" s="42"/>
      <c r="AD1459" s="42"/>
      <c r="AE1459" s="42"/>
      <c r="AF1459" s="42"/>
      <c r="AG1459" s="42"/>
      <c r="AH1459" s="42"/>
      <c r="AI1459" s="42"/>
      <c r="AJ1459" s="42"/>
      <c r="AK1459" s="42"/>
      <c r="AL1459" s="42"/>
      <c r="AM1459" s="42"/>
    </row>
    <row r="1460" spans="1:39" x14ac:dyDescent="0.25">
      <c r="A1460" s="38" t="s">
        <v>1811</v>
      </c>
      <c r="B1460" s="42"/>
      <c r="C1460" s="42"/>
      <c r="D1460" s="42"/>
      <c r="E1460" s="41"/>
      <c r="F1460" s="41"/>
      <c r="G1460" s="41"/>
      <c r="H1460" s="41"/>
      <c r="I1460" s="41"/>
      <c r="J1460" s="42"/>
      <c r="K1460" s="41"/>
      <c r="L1460" s="41"/>
      <c r="M1460" s="127"/>
      <c r="N1460" s="41"/>
      <c r="O1460" s="41"/>
      <c r="P1460" s="41"/>
      <c r="Q1460" s="42"/>
      <c r="R1460" s="35"/>
      <c r="S1460" s="35"/>
      <c r="T1460" s="35"/>
      <c r="U1460" s="35"/>
      <c r="V1460" s="121"/>
      <c r="W1460" s="42"/>
      <c r="X1460" s="42"/>
      <c r="Y1460" s="42"/>
      <c r="Z1460" s="42"/>
      <c r="AA1460" s="42"/>
      <c r="AB1460" s="42"/>
      <c r="AC1460" s="42"/>
      <c r="AD1460" s="42"/>
      <c r="AE1460" s="42"/>
      <c r="AF1460" s="42"/>
      <c r="AG1460" s="42"/>
      <c r="AH1460" s="42"/>
      <c r="AI1460" s="42"/>
      <c r="AJ1460" s="42"/>
      <c r="AK1460" s="42"/>
      <c r="AL1460" s="42"/>
      <c r="AM1460" s="42"/>
    </row>
    <row r="1461" spans="1:39" x14ac:dyDescent="0.25">
      <c r="A1461" s="38" t="s">
        <v>1812</v>
      </c>
      <c r="B1461" s="42"/>
      <c r="C1461" s="42"/>
      <c r="D1461" s="42"/>
      <c r="E1461" s="41"/>
      <c r="F1461" s="41"/>
      <c r="G1461" s="41"/>
      <c r="H1461" s="41"/>
      <c r="I1461" s="41"/>
      <c r="J1461" s="42"/>
      <c r="K1461" s="41"/>
      <c r="L1461" s="41"/>
      <c r="M1461" s="127"/>
      <c r="N1461" s="41"/>
      <c r="O1461" s="41"/>
      <c r="P1461" s="41"/>
      <c r="Q1461" s="42"/>
      <c r="R1461" s="35"/>
      <c r="S1461" s="35"/>
      <c r="T1461" s="35"/>
      <c r="U1461" s="35"/>
      <c r="V1461" s="121"/>
      <c r="W1461" s="42"/>
      <c r="X1461" s="42"/>
      <c r="Y1461" s="42"/>
      <c r="Z1461" s="42"/>
      <c r="AA1461" s="42"/>
      <c r="AB1461" s="42"/>
      <c r="AC1461" s="42"/>
      <c r="AD1461" s="42"/>
      <c r="AE1461" s="42"/>
      <c r="AF1461" s="42"/>
      <c r="AG1461" s="42"/>
      <c r="AH1461" s="42"/>
      <c r="AI1461" s="42"/>
      <c r="AJ1461" s="42"/>
      <c r="AK1461" s="42"/>
      <c r="AL1461" s="42"/>
      <c r="AM1461" s="42"/>
    </row>
    <row r="1462" spans="1:39" x14ac:dyDescent="0.25">
      <c r="A1462" s="38" t="s">
        <v>1813</v>
      </c>
      <c r="B1462" s="42"/>
      <c r="C1462" s="42"/>
      <c r="D1462" s="42"/>
      <c r="E1462" s="41"/>
      <c r="F1462" s="41"/>
      <c r="G1462" s="41"/>
      <c r="H1462" s="41"/>
      <c r="I1462" s="41"/>
      <c r="J1462" s="42"/>
      <c r="K1462" s="41"/>
      <c r="L1462" s="41"/>
      <c r="M1462" s="127"/>
      <c r="N1462" s="41"/>
      <c r="O1462" s="41"/>
      <c r="P1462" s="41"/>
      <c r="Q1462" s="42"/>
      <c r="R1462" s="35"/>
      <c r="S1462" s="35"/>
      <c r="T1462" s="35"/>
      <c r="U1462" s="35"/>
      <c r="V1462" s="121"/>
      <c r="W1462" s="42"/>
      <c r="X1462" s="42"/>
      <c r="Y1462" s="42"/>
      <c r="Z1462" s="42"/>
      <c r="AA1462" s="42"/>
      <c r="AB1462" s="42"/>
      <c r="AC1462" s="42"/>
      <c r="AD1462" s="42"/>
      <c r="AE1462" s="42"/>
      <c r="AF1462" s="42"/>
      <c r="AG1462" s="42"/>
      <c r="AH1462" s="42"/>
      <c r="AI1462" s="42"/>
      <c r="AJ1462" s="42"/>
      <c r="AK1462" s="42"/>
      <c r="AL1462" s="42"/>
      <c r="AM1462" s="42"/>
    </row>
    <row r="1463" spans="1:39" x14ac:dyDescent="0.25">
      <c r="A1463" s="38" t="s">
        <v>1814</v>
      </c>
      <c r="B1463" s="42"/>
      <c r="C1463" s="42"/>
      <c r="D1463" s="42"/>
      <c r="E1463" s="41"/>
      <c r="F1463" s="41"/>
      <c r="G1463" s="41"/>
      <c r="H1463" s="41"/>
      <c r="I1463" s="41"/>
      <c r="J1463" s="42"/>
      <c r="K1463" s="41"/>
      <c r="L1463" s="41"/>
      <c r="M1463" s="127"/>
      <c r="N1463" s="41"/>
      <c r="O1463" s="41"/>
      <c r="P1463" s="41"/>
      <c r="Q1463" s="42"/>
      <c r="R1463" s="35"/>
      <c r="S1463" s="35"/>
      <c r="T1463" s="35"/>
      <c r="U1463" s="35"/>
      <c r="V1463" s="121"/>
      <c r="W1463" s="42"/>
      <c r="X1463" s="42"/>
      <c r="Y1463" s="42"/>
      <c r="Z1463" s="42"/>
      <c r="AA1463" s="42"/>
      <c r="AB1463" s="42"/>
      <c r="AC1463" s="42"/>
      <c r="AD1463" s="42"/>
      <c r="AE1463" s="42"/>
      <c r="AF1463" s="42"/>
      <c r="AG1463" s="42"/>
      <c r="AH1463" s="42"/>
      <c r="AI1463" s="42"/>
      <c r="AJ1463" s="42"/>
      <c r="AK1463" s="42"/>
      <c r="AL1463" s="42"/>
      <c r="AM1463" s="42"/>
    </row>
    <row r="1464" spans="1:39" x14ac:dyDescent="0.25">
      <c r="A1464" s="38" t="s">
        <v>1815</v>
      </c>
      <c r="B1464" s="42"/>
      <c r="C1464" s="42"/>
      <c r="D1464" s="42"/>
      <c r="E1464" s="41"/>
      <c r="F1464" s="41"/>
      <c r="G1464" s="41"/>
      <c r="H1464" s="41"/>
      <c r="I1464" s="41"/>
      <c r="J1464" s="42"/>
      <c r="K1464" s="41"/>
      <c r="L1464" s="41"/>
      <c r="M1464" s="127"/>
      <c r="N1464" s="41"/>
      <c r="O1464" s="41"/>
      <c r="P1464" s="41"/>
      <c r="Q1464" s="42"/>
      <c r="R1464" s="35"/>
      <c r="S1464" s="35"/>
      <c r="T1464" s="35"/>
      <c r="U1464" s="35"/>
      <c r="V1464" s="121"/>
      <c r="W1464" s="42"/>
      <c r="X1464" s="42"/>
      <c r="Y1464" s="42"/>
      <c r="Z1464" s="42"/>
      <c r="AA1464" s="42"/>
      <c r="AB1464" s="42"/>
      <c r="AC1464" s="42"/>
      <c r="AD1464" s="42"/>
      <c r="AE1464" s="42"/>
      <c r="AF1464" s="42"/>
      <c r="AG1464" s="42"/>
      <c r="AH1464" s="42"/>
      <c r="AI1464" s="42"/>
      <c r="AJ1464" s="42"/>
      <c r="AK1464" s="42"/>
      <c r="AL1464" s="42"/>
      <c r="AM1464" s="42"/>
    </row>
    <row r="1465" spans="1:39" x14ac:dyDescent="0.25">
      <c r="A1465" s="38" t="s">
        <v>1816</v>
      </c>
      <c r="B1465" s="42"/>
      <c r="C1465" s="42"/>
      <c r="D1465" s="42"/>
      <c r="E1465" s="41"/>
      <c r="F1465" s="41"/>
      <c r="G1465" s="41"/>
      <c r="H1465" s="41"/>
      <c r="I1465" s="41"/>
      <c r="J1465" s="42"/>
      <c r="K1465" s="41"/>
      <c r="L1465" s="41"/>
      <c r="M1465" s="127"/>
      <c r="N1465" s="41"/>
      <c r="O1465" s="41"/>
      <c r="P1465" s="41"/>
      <c r="Q1465" s="42"/>
      <c r="R1465" s="35"/>
      <c r="S1465" s="35"/>
      <c r="T1465" s="35"/>
      <c r="U1465" s="35"/>
      <c r="V1465" s="121"/>
      <c r="W1465" s="42"/>
      <c r="X1465" s="42"/>
      <c r="Y1465" s="42"/>
      <c r="Z1465" s="42"/>
      <c r="AA1465" s="42"/>
      <c r="AB1465" s="42"/>
      <c r="AC1465" s="42"/>
      <c r="AD1465" s="42"/>
      <c r="AE1465" s="42"/>
      <c r="AF1465" s="42"/>
      <c r="AG1465" s="42"/>
      <c r="AH1465" s="42"/>
      <c r="AI1465" s="42"/>
      <c r="AJ1465" s="42"/>
      <c r="AK1465" s="42"/>
      <c r="AL1465" s="42"/>
      <c r="AM1465" s="42"/>
    </row>
    <row r="1466" spans="1:39" x14ac:dyDescent="0.25">
      <c r="A1466" s="38" t="s">
        <v>1817</v>
      </c>
      <c r="B1466" s="42"/>
      <c r="C1466" s="42"/>
      <c r="D1466" s="42"/>
      <c r="E1466" s="41"/>
      <c r="F1466" s="41"/>
      <c r="G1466" s="41"/>
      <c r="H1466" s="41"/>
      <c r="I1466" s="41"/>
      <c r="J1466" s="42"/>
      <c r="K1466" s="41"/>
      <c r="L1466" s="41"/>
      <c r="M1466" s="127"/>
      <c r="N1466" s="41"/>
      <c r="O1466" s="41"/>
      <c r="P1466" s="41"/>
      <c r="Q1466" s="42"/>
      <c r="R1466" s="35"/>
      <c r="S1466" s="35"/>
      <c r="T1466" s="35"/>
      <c r="U1466" s="35"/>
      <c r="V1466" s="121"/>
      <c r="W1466" s="42"/>
      <c r="X1466" s="42"/>
      <c r="Y1466" s="42"/>
      <c r="Z1466" s="42"/>
      <c r="AA1466" s="42"/>
      <c r="AB1466" s="42"/>
      <c r="AC1466" s="42"/>
      <c r="AD1466" s="42"/>
      <c r="AE1466" s="42"/>
      <c r="AF1466" s="42"/>
      <c r="AG1466" s="42"/>
      <c r="AH1466" s="42"/>
      <c r="AI1466" s="42"/>
      <c r="AJ1466" s="42"/>
      <c r="AK1466" s="42"/>
      <c r="AL1466" s="42"/>
      <c r="AM1466" s="42"/>
    </row>
    <row r="1467" spans="1:39" x14ac:dyDescent="0.25">
      <c r="A1467" s="38" t="s">
        <v>1818</v>
      </c>
      <c r="B1467" s="42"/>
      <c r="C1467" s="42"/>
      <c r="D1467" s="42"/>
      <c r="E1467" s="41"/>
      <c r="F1467" s="41"/>
      <c r="G1467" s="41"/>
      <c r="H1467" s="41"/>
      <c r="I1467" s="41"/>
      <c r="J1467" s="42"/>
      <c r="K1467" s="41"/>
      <c r="L1467" s="41"/>
      <c r="M1467" s="127"/>
      <c r="N1467" s="41"/>
      <c r="O1467" s="41"/>
      <c r="P1467" s="41"/>
      <c r="Q1467" s="42"/>
      <c r="R1467" s="35"/>
      <c r="S1467" s="35"/>
      <c r="T1467" s="35"/>
      <c r="U1467" s="35"/>
      <c r="V1467" s="121"/>
      <c r="W1467" s="42"/>
      <c r="X1467" s="42"/>
      <c r="Y1467" s="42"/>
      <c r="Z1467" s="42"/>
      <c r="AA1467" s="42"/>
      <c r="AB1467" s="42"/>
      <c r="AC1467" s="42"/>
      <c r="AD1467" s="42"/>
      <c r="AE1467" s="42"/>
      <c r="AF1467" s="42"/>
      <c r="AG1467" s="42"/>
      <c r="AH1467" s="42"/>
      <c r="AI1467" s="42"/>
      <c r="AJ1467" s="42"/>
      <c r="AK1467" s="42"/>
      <c r="AL1467" s="42"/>
      <c r="AM1467" s="42"/>
    </row>
    <row r="1468" spans="1:39" x14ac:dyDescent="0.25">
      <c r="A1468" s="38" t="s">
        <v>1819</v>
      </c>
      <c r="B1468" s="42"/>
      <c r="C1468" s="42"/>
      <c r="D1468" s="42"/>
      <c r="E1468" s="41"/>
      <c r="F1468" s="41"/>
      <c r="G1468" s="41"/>
      <c r="H1468" s="41"/>
      <c r="I1468" s="41"/>
      <c r="J1468" s="42"/>
      <c r="K1468" s="41"/>
      <c r="L1468" s="41"/>
      <c r="M1468" s="127"/>
      <c r="N1468" s="41"/>
      <c r="O1468" s="41"/>
      <c r="P1468" s="41"/>
      <c r="Q1468" s="42"/>
      <c r="R1468" s="35"/>
      <c r="S1468" s="35"/>
      <c r="T1468" s="35"/>
      <c r="U1468" s="35"/>
      <c r="V1468" s="121"/>
      <c r="W1468" s="42"/>
      <c r="X1468" s="42"/>
      <c r="Y1468" s="42"/>
      <c r="Z1468" s="42"/>
      <c r="AA1468" s="42"/>
      <c r="AB1468" s="42"/>
      <c r="AC1468" s="42"/>
      <c r="AD1468" s="42"/>
      <c r="AE1468" s="42"/>
      <c r="AF1468" s="42"/>
      <c r="AG1468" s="42"/>
      <c r="AH1468" s="42"/>
      <c r="AI1468" s="42"/>
      <c r="AJ1468" s="42"/>
      <c r="AK1468" s="42"/>
      <c r="AL1468" s="42"/>
      <c r="AM1468" s="42"/>
    </row>
    <row r="1469" spans="1:39" x14ac:dyDescent="0.25">
      <c r="A1469" s="38" t="s">
        <v>1820</v>
      </c>
      <c r="B1469" s="42"/>
      <c r="C1469" s="42"/>
      <c r="D1469" s="42"/>
      <c r="E1469" s="41"/>
      <c r="F1469" s="41"/>
      <c r="G1469" s="41"/>
      <c r="H1469" s="41"/>
      <c r="I1469" s="41"/>
      <c r="J1469" s="42"/>
      <c r="K1469" s="41"/>
      <c r="L1469" s="41"/>
      <c r="M1469" s="127"/>
      <c r="N1469" s="41"/>
      <c r="O1469" s="41"/>
      <c r="P1469" s="41"/>
      <c r="Q1469" s="42"/>
      <c r="R1469" s="35"/>
      <c r="S1469" s="35"/>
      <c r="T1469" s="35"/>
      <c r="U1469" s="35"/>
      <c r="V1469" s="121"/>
      <c r="W1469" s="42"/>
      <c r="X1469" s="42"/>
      <c r="Y1469" s="42"/>
      <c r="Z1469" s="42"/>
      <c r="AA1469" s="42"/>
      <c r="AB1469" s="42"/>
      <c r="AC1469" s="42"/>
      <c r="AD1469" s="42"/>
      <c r="AE1469" s="42"/>
      <c r="AF1469" s="42"/>
      <c r="AG1469" s="42"/>
      <c r="AH1469" s="42"/>
      <c r="AI1469" s="42"/>
      <c r="AJ1469" s="42"/>
      <c r="AK1469" s="42"/>
      <c r="AL1469" s="42"/>
      <c r="AM1469" s="42"/>
    </row>
    <row r="1470" spans="1:39" x14ac:dyDescent="0.25">
      <c r="A1470" s="38" t="s">
        <v>1821</v>
      </c>
      <c r="B1470" s="42"/>
      <c r="C1470" s="42"/>
      <c r="D1470" s="42"/>
      <c r="E1470" s="41"/>
      <c r="F1470" s="41"/>
      <c r="G1470" s="41"/>
      <c r="H1470" s="41"/>
      <c r="I1470" s="41"/>
      <c r="J1470" s="42"/>
      <c r="K1470" s="41"/>
      <c r="L1470" s="41"/>
      <c r="M1470" s="127"/>
      <c r="N1470" s="41"/>
      <c r="O1470" s="41"/>
      <c r="P1470" s="41"/>
      <c r="Q1470" s="42"/>
      <c r="R1470" s="35"/>
      <c r="S1470" s="35"/>
      <c r="T1470" s="35"/>
      <c r="U1470" s="35"/>
      <c r="V1470" s="121"/>
      <c r="W1470" s="42"/>
      <c r="X1470" s="42"/>
      <c r="Y1470" s="42"/>
      <c r="Z1470" s="42"/>
      <c r="AA1470" s="42"/>
      <c r="AB1470" s="42"/>
      <c r="AC1470" s="42"/>
      <c r="AD1470" s="42"/>
      <c r="AE1470" s="42"/>
      <c r="AF1470" s="42"/>
      <c r="AG1470" s="42"/>
      <c r="AH1470" s="42"/>
      <c r="AI1470" s="42"/>
      <c r="AJ1470" s="42"/>
      <c r="AK1470" s="42"/>
      <c r="AL1470" s="42"/>
      <c r="AM1470" s="42"/>
    </row>
    <row r="1471" spans="1:39" x14ac:dyDescent="0.25">
      <c r="A1471" s="38" t="s">
        <v>1822</v>
      </c>
      <c r="B1471" s="42"/>
      <c r="C1471" s="42"/>
      <c r="D1471" s="42"/>
      <c r="E1471" s="41"/>
      <c r="F1471" s="41"/>
      <c r="G1471" s="41"/>
      <c r="H1471" s="41"/>
      <c r="I1471" s="41"/>
      <c r="J1471" s="42"/>
      <c r="K1471" s="41"/>
      <c r="L1471" s="41"/>
      <c r="M1471" s="127"/>
      <c r="N1471" s="41"/>
      <c r="O1471" s="41"/>
      <c r="P1471" s="41"/>
      <c r="Q1471" s="42"/>
      <c r="R1471" s="35"/>
      <c r="S1471" s="35"/>
      <c r="T1471" s="35"/>
      <c r="U1471" s="35"/>
      <c r="V1471" s="121"/>
      <c r="W1471" s="42"/>
      <c r="X1471" s="42"/>
      <c r="Y1471" s="42"/>
      <c r="Z1471" s="42"/>
      <c r="AA1471" s="42"/>
      <c r="AB1471" s="42"/>
      <c r="AC1471" s="42"/>
      <c r="AD1471" s="42"/>
      <c r="AE1471" s="42"/>
      <c r="AF1471" s="42"/>
      <c r="AG1471" s="42"/>
      <c r="AH1471" s="42"/>
      <c r="AI1471" s="42"/>
      <c r="AJ1471" s="42"/>
      <c r="AK1471" s="42"/>
      <c r="AL1471" s="42"/>
      <c r="AM1471" s="42"/>
    </row>
    <row r="1472" spans="1:39" x14ac:dyDescent="0.25">
      <c r="A1472" s="38" t="s">
        <v>1823</v>
      </c>
      <c r="B1472" s="42"/>
      <c r="C1472" s="42"/>
      <c r="D1472" s="42"/>
      <c r="E1472" s="41"/>
      <c r="F1472" s="41"/>
      <c r="G1472" s="41"/>
      <c r="H1472" s="41"/>
      <c r="I1472" s="41"/>
      <c r="J1472" s="42"/>
      <c r="K1472" s="41"/>
      <c r="L1472" s="41"/>
      <c r="M1472" s="127"/>
      <c r="N1472" s="41"/>
      <c r="O1472" s="41"/>
      <c r="P1472" s="41"/>
      <c r="Q1472" s="42"/>
      <c r="R1472" s="35"/>
      <c r="S1472" s="35"/>
      <c r="T1472" s="35"/>
      <c r="U1472" s="35"/>
      <c r="V1472" s="121"/>
      <c r="W1472" s="42"/>
      <c r="X1472" s="42"/>
      <c r="Y1472" s="42"/>
      <c r="Z1472" s="42"/>
      <c r="AA1472" s="42"/>
      <c r="AB1472" s="42"/>
      <c r="AC1472" s="42"/>
      <c r="AD1472" s="42"/>
      <c r="AE1472" s="42"/>
      <c r="AF1472" s="42"/>
      <c r="AG1472" s="42"/>
      <c r="AH1472" s="42"/>
      <c r="AI1472" s="42"/>
      <c r="AJ1472" s="42"/>
      <c r="AK1472" s="42"/>
      <c r="AL1472" s="42"/>
      <c r="AM1472" s="42"/>
    </row>
    <row r="1473" spans="1:39" x14ac:dyDescent="0.25">
      <c r="A1473" s="38" t="s">
        <v>1824</v>
      </c>
      <c r="B1473" s="42"/>
      <c r="C1473" s="42"/>
      <c r="D1473" s="42"/>
      <c r="E1473" s="41"/>
      <c r="F1473" s="41"/>
      <c r="G1473" s="41"/>
      <c r="H1473" s="41"/>
      <c r="I1473" s="41"/>
      <c r="J1473" s="42"/>
      <c r="K1473" s="41"/>
      <c r="L1473" s="41"/>
      <c r="M1473" s="127"/>
      <c r="N1473" s="41"/>
      <c r="O1473" s="41"/>
      <c r="P1473" s="41"/>
      <c r="Q1473" s="42"/>
      <c r="R1473" s="35"/>
      <c r="S1473" s="35"/>
      <c r="T1473" s="35"/>
      <c r="U1473" s="35"/>
      <c r="V1473" s="121"/>
      <c r="W1473" s="42"/>
      <c r="X1473" s="42"/>
      <c r="Y1473" s="42"/>
      <c r="Z1473" s="42"/>
      <c r="AA1473" s="42"/>
      <c r="AB1473" s="42"/>
      <c r="AC1473" s="42"/>
      <c r="AD1473" s="42"/>
      <c r="AE1473" s="42"/>
      <c r="AF1473" s="42"/>
      <c r="AG1473" s="42"/>
      <c r="AH1473" s="42"/>
      <c r="AI1473" s="42"/>
      <c r="AJ1473" s="42"/>
      <c r="AK1473" s="42"/>
      <c r="AL1473" s="42"/>
      <c r="AM1473" s="42"/>
    </row>
    <row r="1474" spans="1:39" x14ac:dyDescent="0.25">
      <c r="A1474" s="38" t="s">
        <v>1825</v>
      </c>
      <c r="B1474" s="42"/>
      <c r="C1474" s="42"/>
      <c r="D1474" s="42"/>
      <c r="E1474" s="41"/>
      <c r="F1474" s="41"/>
      <c r="G1474" s="41"/>
      <c r="H1474" s="41"/>
      <c r="I1474" s="41"/>
      <c r="J1474" s="42"/>
      <c r="K1474" s="41"/>
      <c r="L1474" s="41"/>
      <c r="M1474" s="127"/>
      <c r="N1474" s="41"/>
      <c r="O1474" s="41"/>
      <c r="P1474" s="41"/>
      <c r="Q1474" s="42"/>
      <c r="R1474" s="35"/>
      <c r="S1474" s="35"/>
      <c r="T1474" s="35"/>
      <c r="U1474" s="35"/>
      <c r="V1474" s="121"/>
      <c r="W1474" s="42"/>
      <c r="X1474" s="42"/>
      <c r="Y1474" s="42"/>
      <c r="Z1474" s="42"/>
      <c r="AA1474" s="42"/>
      <c r="AB1474" s="42"/>
      <c r="AC1474" s="42"/>
      <c r="AD1474" s="42"/>
      <c r="AE1474" s="42"/>
      <c r="AF1474" s="42"/>
      <c r="AG1474" s="42"/>
      <c r="AH1474" s="42"/>
      <c r="AI1474" s="42"/>
      <c r="AJ1474" s="42"/>
      <c r="AK1474" s="42"/>
      <c r="AL1474" s="42"/>
      <c r="AM1474" s="42"/>
    </row>
    <row r="1475" spans="1:39" x14ac:dyDescent="0.25">
      <c r="A1475" s="38" t="s">
        <v>1826</v>
      </c>
      <c r="B1475" s="42"/>
      <c r="C1475" s="42"/>
      <c r="D1475" s="42"/>
      <c r="E1475" s="41"/>
      <c r="F1475" s="41"/>
      <c r="G1475" s="41"/>
      <c r="H1475" s="41"/>
      <c r="I1475" s="41"/>
      <c r="J1475" s="42"/>
      <c r="K1475" s="41"/>
      <c r="L1475" s="41"/>
      <c r="M1475" s="127"/>
      <c r="N1475" s="41"/>
      <c r="O1475" s="41"/>
      <c r="P1475" s="41"/>
      <c r="Q1475" s="42"/>
      <c r="R1475" s="35"/>
      <c r="S1475" s="35"/>
      <c r="T1475" s="35"/>
      <c r="U1475" s="35"/>
      <c r="V1475" s="121"/>
      <c r="W1475" s="42"/>
      <c r="X1475" s="42"/>
      <c r="Y1475" s="42"/>
      <c r="Z1475" s="42"/>
      <c r="AA1475" s="42"/>
      <c r="AB1475" s="42"/>
      <c r="AC1475" s="42"/>
      <c r="AD1475" s="42"/>
      <c r="AE1475" s="42"/>
      <c r="AF1475" s="42"/>
      <c r="AG1475" s="42"/>
      <c r="AH1475" s="42"/>
      <c r="AI1475" s="42"/>
      <c r="AJ1475" s="42"/>
      <c r="AK1475" s="42"/>
      <c r="AL1475" s="42"/>
      <c r="AM1475" s="42"/>
    </row>
    <row r="1476" spans="1:39" x14ac:dyDescent="0.25">
      <c r="A1476" s="38" t="s">
        <v>1827</v>
      </c>
      <c r="B1476" s="42"/>
      <c r="C1476" s="42"/>
      <c r="D1476" s="42"/>
      <c r="E1476" s="41"/>
      <c r="F1476" s="41"/>
      <c r="G1476" s="41"/>
      <c r="H1476" s="41"/>
      <c r="I1476" s="41"/>
      <c r="J1476" s="42"/>
      <c r="K1476" s="41"/>
      <c r="L1476" s="41"/>
      <c r="M1476" s="127"/>
      <c r="N1476" s="41"/>
      <c r="O1476" s="41"/>
      <c r="P1476" s="41"/>
      <c r="Q1476" s="42"/>
      <c r="R1476" s="35"/>
      <c r="S1476" s="35"/>
      <c r="T1476" s="35"/>
      <c r="U1476" s="35"/>
      <c r="V1476" s="121"/>
      <c r="W1476" s="42"/>
      <c r="X1476" s="42"/>
      <c r="Y1476" s="42"/>
      <c r="Z1476" s="42"/>
      <c r="AA1476" s="42"/>
      <c r="AB1476" s="42"/>
      <c r="AC1476" s="42"/>
      <c r="AD1476" s="42"/>
      <c r="AE1476" s="42"/>
      <c r="AF1476" s="42"/>
      <c r="AG1476" s="42"/>
      <c r="AH1476" s="42"/>
      <c r="AI1476" s="42"/>
      <c r="AJ1476" s="42"/>
      <c r="AK1476" s="42"/>
      <c r="AL1476" s="42"/>
      <c r="AM1476" s="42"/>
    </row>
    <row r="1477" spans="1:39" x14ac:dyDescent="0.25">
      <c r="A1477" s="38" t="s">
        <v>1828</v>
      </c>
      <c r="B1477" s="42"/>
      <c r="C1477" s="42"/>
      <c r="D1477" s="42"/>
      <c r="E1477" s="41"/>
      <c r="F1477" s="41"/>
      <c r="G1477" s="41"/>
      <c r="H1477" s="41"/>
      <c r="I1477" s="41"/>
      <c r="J1477" s="42"/>
      <c r="K1477" s="41"/>
      <c r="L1477" s="41"/>
      <c r="M1477" s="127"/>
      <c r="N1477" s="41"/>
      <c r="O1477" s="41"/>
      <c r="P1477" s="41"/>
      <c r="Q1477" s="42"/>
      <c r="R1477" s="35"/>
      <c r="S1477" s="35"/>
      <c r="T1477" s="35"/>
      <c r="U1477" s="35"/>
      <c r="V1477" s="121"/>
      <c r="W1477" s="42"/>
      <c r="X1477" s="42"/>
      <c r="Y1477" s="42"/>
      <c r="Z1477" s="42"/>
      <c r="AA1477" s="42"/>
      <c r="AB1477" s="42"/>
      <c r="AC1477" s="42"/>
      <c r="AD1477" s="42"/>
      <c r="AE1477" s="42"/>
      <c r="AF1477" s="42"/>
      <c r="AG1477" s="42"/>
      <c r="AH1477" s="42"/>
      <c r="AI1477" s="42"/>
      <c r="AJ1477" s="42"/>
      <c r="AK1477" s="42"/>
      <c r="AL1477" s="42"/>
      <c r="AM1477" s="42"/>
    </row>
    <row r="1478" spans="1:39" x14ac:dyDescent="0.25">
      <c r="A1478" s="38" t="s">
        <v>1829</v>
      </c>
      <c r="B1478" s="42"/>
      <c r="C1478" s="42"/>
      <c r="D1478" s="42"/>
      <c r="E1478" s="41"/>
      <c r="F1478" s="41"/>
      <c r="G1478" s="41"/>
      <c r="H1478" s="41"/>
      <c r="I1478" s="41"/>
      <c r="J1478" s="42"/>
      <c r="K1478" s="41"/>
      <c r="L1478" s="41"/>
      <c r="M1478" s="127"/>
      <c r="N1478" s="41"/>
      <c r="O1478" s="41"/>
      <c r="P1478" s="41"/>
      <c r="Q1478" s="42"/>
      <c r="R1478" s="35"/>
      <c r="S1478" s="35"/>
      <c r="T1478" s="35"/>
      <c r="U1478" s="35"/>
      <c r="V1478" s="121"/>
      <c r="W1478" s="42"/>
      <c r="X1478" s="42"/>
      <c r="Y1478" s="42"/>
      <c r="Z1478" s="42"/>
      <c r="AA1478" s="42"/>
      <c r="AB1478" s="42"/>
      <c r="AC1478" s="42"/>
      <c r="AD1478" s="42"/>
      <c r="AE1478" s="42"/>
      <c r="AF1478" s="42"/>
      <c r="AG1478" s="42"/>
      <c r="AH1478" s="42"/>
      <c r="AI1478" s="42"/>
      <c r="AJ1478" s="42"/>
      <c r="AK1478" s="42"/>
      <c r="AL1478" s="42"/>
      <c r="AM1478" s="42"/>
    </row>
    <row r="1479" spans="1:39" x14ac:dyDescent="0.25">
      <c r="A1479" s="38" t="s">
        <v>1830</v>
      </c>
      <c r="B1479" s="42"/>
      <c r="C1479" s="42"/>
      <c r="D1479" s="42"/>
      <c r="E1479" s="41"/>
      <c r="F1479" s="41"/>
      <c r="G1479" s="41"/>
      <c r="H1479" s="41"/>
      <c r="I1479" s="41"/>
      <c r="J1479" s="42"/>
      <c r="K1479" s="41"/>
      <c r="L1479" s="41"/>
      <c r="M1479" s="127"/>
      <c r="N1479" s="41"/>
      <c r="O1479" s="41"/>
      <c r="P1479" s="41"/>
      <c r="Q1479" s="42"/>
      <c r="R1479" s="35"/>
      <c r="S1479" s="35"/>
      <c r="T1479" s="35"/>
      <c r="U1479" s="35"/>
      <c r="V1479" s="121"/>
      <c r="W1479" s="42"/>
      <c r="X1479" s="42"/>
      <c r="Y1479" s="42"/>
      <c r="Z1479" s="42"/>
      <c r="AA1479" s="42"/>
      <c r="AB1479" s="42"/>
      <c r="AC1479" s="42"/>
      <c r="AD1479" s="42"/>
      <c r="AE1479" s="42"/>
      <c r="AF1479" s="42"/>
      <c r="AG1479" s="42"/>
      <c r="AH1479" s="42"/>
      <c r="AI1479" s="42"/>
      <c r="AJ1479" s="42"/>
      <c r="AK1479" s="42"/>
      <c r="AL1479" s="42"/>
      <c r="AM1479" s="42"/>
    </row>
    <row r="1480" spans="1:39" x14ac:dyDescent="0.25">
      <c r="A1480" s="38" t="s">
        <v>1831</v>
      </c>
      <c r="B1480" s="42"/>
      <c r="C1480" s="42"/>
      <c r="D1480" s="42"/>
      <c r="E1480" s="41"/>
      <c r="F1480" s="41"/>
      <c r="G1480" s="41"/>
      <c r="H1480" s="41"/>
      <c r="I1480" s="41"/>
      <c r="J1480" s="42"/>
      <c r="K1480" s="41"/>
      <c r="L1480" s="41"/>
      <c r="M1480" s="127"/>
      <c r="N1480" s="41"/>
      <c r="O1480" s="41"/>
      <c r="P1480" s="41"/>
      <c r="Q1480" s="42"/>
      <c r="R1480" s="35"/>
      <c r="S1480" s="35"/>
      <c r="T1480" s="35"/>
      <c r="U1480" s="35"/>
      <c r="V1480" s="121"/>
      <c r="W1480" s="42"/>
      <c r="X1480" s="42"/>
      <c r="Y1480" s="42"/>
      <c r="Z1480" s="42"/>
      <c r="AA1480" s="42"/>
      <c r="AB1480" s="42"/>
      <c r="AC1480" s="42"/>
      <c r="AD1480" s="42"/>
      <c r="AE1480" s="42"/>
      <c r="AF1480" s="42"/>
      <c r="AG1480" s="42"/>
      <c r="AH1480" s="42"/>
      <c r="AI1480" s="42"/>
      <c r="AJ1480" s="42"/>
      <c r="AK1480" s="42"/>
      <c r="AL1480" s="42"/>
      <c r="AM1480" s="42"/>
    </row>
    <row r="1481" spans="1:39" x14ac:dyDescent="0.25">
      <c r="A1481" s="38" t="s">
        <v>1832</v>
      </c>
      <c r="B1481" s="42"/>
      <c r="C1481" s="42"/>
      <c r="D1481" s="42"/>
      <c r="E1481" s="41"/>
      <c r="F1481" s="41"/>
      <c r="G1481" s="41"/>
      <c r="H1481" s="41"/>
      <c r="I1481" s="41"/>
      <c r="J1481" s="42"/>
      <c r="K1481" s="41"/>
      <c r="L1481" s="41"/>
      <c r="M1481" s="127"/>
      <c r="N1481" s="41"/>
      <c r="O1481" s="41"/>
      <c r="P1481" s="41"/>
      <c r="Q1481" s="42"/>
      <c r="R1481" s="35"/>
      <c r="S1481" s="35"/>
      <c r="T1481" s="35"/>
      <c r="U1481" s="35"/>
      <c r="V1481" s="121"/>
      <c r="W1481" s="42"/>
      <c r="X1481" s="42"/>
      <c r="Y1481" s="42"/>
      <c r="Z1481" s="42"/>
      <c r="AA1481" s="42"/>
      <c r="AB1481" s="42"/>
      <c r="AC1481" s="42"/>
      <c r="AD1481" s="42"/>
      <c r="AE1481" s="42"/>
      <c r="AF1481" s="42"/>
      <c r="AG1481" s="42"/>
      <c r="AH1481" s="42"/>
      <c r="AI1481" s="42"/>
      <c r="AJ1481" s="42"/>
      <c r="AK1481" s="42"/>
      <c r="AL1481" s="42"/>
      <c r="AM1481" s="42"/>
    </row>
    <row r="1482" spans="1:39" x14ac:dyDescent="0.25">
      <c r="A1482" s="38" t="s">
        <v>1833</v>
      </c>
      <c r="B1482" s="42"/>
      <c r="C1482" s="42"/>
      <c r="D1482" s="42"/>
      <c r="E1482" s="41"/>
      <c r="F1482" s="41"/>
      <c r="G1482" s="41"/>
      <c r="H1482" s="41"/>
      <c r="I1482" s="41"/>
      <c r="J1482" s="42"/>
      <c r="K1482" s="41"/>
      <c r="L1482" s="41"/>
      <c r="M1482" s="127"/>
      <c r="N1482" s="41"/>
      <c r="O1482" s="41"/>
      <c r="P1482" s="41"/>
      <c r="Q1482" s="42"/>
      <c r="R1482" s="35"/>
      <c r="S1482" s="35"/>
      <c r="T1482" s="35"/>
      <c r="U1482" s="35"/>
      <c r="V1482" s="121"/>
      <c r="W1482" s="42"/>
      <c r="X1482" s="42"/>
      <c r="Y1482" s="42"/>
      <c r="Z1482" s="42"/>
      <c r="AA1482" s="42"/>
      <c r="AB1482" s="42"/>
      <c r="AC1482" s="42"/>
      <c r="AD1482" s="42"/>
      <c r="AE1482" s="42"/>
      <c r="AF1482" s="42"/>
      <c r="AG1482" s="42"/>
      <c r="AH1482" s="42"/>
      <c r="AI1482" s="42"/>
      <c r="AJ1482" s="42"/>
      <c r="AK1482" s="42"/>
      <c r="AL1482" s="42"/>
      <c r="AM1482" s="42"/>
    </row>
    <row r="1483" spans="1:39" x14ac:dyDescent="0.25">
      <c r="A1483" s="38" t="s">
        <v>1834</v>
      </c>
      <c r="B1483" s="42"/>
      <c r="C1483" s="42"/>
      <c r="D1483" s="42"/>
      <c r="E1483" s="41"/>
      <c r="F1483" s="41"/>
      <c r="G1483" s="41"/>
      <c r="H1483" s="41"/>
      <c r="I1483" s="41"/>
      <c r="J1483" s="42"/>
      <c r="K1483" s="41"/>
      <c r="L1483" s="41"/>
      <c r="M1483" s="127"/>
      <c r="N1483" s="41"/>
      <c r="O1483" s="41"/>
      <c r="P1483" s="41"/>
      <c r="Q1483" s="42"/>
      <c r="R1483" s="35"/>
      <c r="S1483" s="35"/>
      <c r="T1483" s="35"/>
      <c r="U1483" s="35"/>
      <c r="V1483" s="121"/>
      <c r="W1483" s="42"/>
      <c r="X1483" s="42"/>
      <c r="Y1483" s="42"/>
      <c r="Z1483" s="42"/>
      <c r="AA1483" s="42"/>
      <c r="AB1483" s="42"/>
      <c r="AC1483" s="42"/>
      <c r="AD1483" s="42"/>
      <c r="AE1483" s="42"/>
      <c r="AF1483" s="42"/>
      <c r="AG1483" s="42"/>
      <c r="AH1483" s="42"/>
      <c r="AI1483" s="42"/>
      <c r="AJ1483" s="42"/>
      <c r="AK1483" s="42"/>
      <c r="AL1483" s="42"/>
      <c r="AM1483" s="42"/>
    </row>
    <row r="1484" spans="1:39" x14ac:dyDescent="0.25">
      <c r="A1484" s="38" t="s">
        <v>1835</v>
      </c>
      <c r="B1484" s="42"/>
      <c r="C1484" s="42"/>
      <c r="D1484" s="42"/>
      <c r="E1484" s="41"/>
      <c r="F1484" s="41"/>
      <c r="G1484" s="41"/>
      <c r="H1484" s="41"/>
      <c r="I1484" s="41"/>
      <c r="J1484" s="42"/>
      <c r="K1484" s="41"/>
      <c r="L1484" s="41"/>
      <c r="M1484" s="127"/>
      <c r="N1484" s="41"/>
      <c r="O1484" s="41"/>
      <c r="P1484" s="41"/>
      <c r="Q1484" s="42"/>
      <c r="R1484" s="35"/>
      <c r="S1484" s="35"/>
      <c r="T1484" s="35"/>
      <c r="U1484" s="35"/>
      <c r="V1484" s="121"/>
      <c r="W1484" s="42"/>
      <c r="X1484" s="42"/>
      <c r="Y1484" s="42"/>
      <c r="Z1484" s="42"/>
      <c r="AA1484" s="42"/>
      <c r="AB1484" s="42"/>
      <c r="AC1484" s="42"/>
      <c r="AD1484" s="42"/>
      <c r="AE1484" s="42"/>
      <c r="AF1484" s="42"/>
      <c r="AG1484" s="42"/>
      <c r="AH1484" s="42"/>
      <c r="AI1484" s="42"/>
      <c r="AJ1484" s="42"/>
      <c r="AK1484" s="42"/>
      <c r="AL1484" s="42"/>
      <c r="AM1484" s="42"/>
    </row>
    <row r="1485" spans="1:39" x14ac:dyDescent="0.25">
      <c r="A1485" s="38" t="s">
        <v>1836</v>
      </c>
      <c r="B1485" s="42"/>
      <c r="C1485" s="42"/>
      <c r="D1485" s="42"/>
      <c r="E1485" s="41"/>
      <c r="F1485" s="41"/>
      <c r="G1485" s="41"/>
      <c r="H1485" s="41"/>
      <c r="I1485" s="41"/>
      <c r="J1485" s="42"/>
      <c r="K1485" s="41"/>
      <c r="L1485" s="41"/>
      <c r="M1485" s="127"/>
      <c r="N1485" s="41"/>
      <c r="O1485" s="41"/>
      <c r="P1485" s="41"/>
      <c r="Q1485" s="42"/>
      <c r="R1485" s="35"/>
      <c r="S1485" s="35"/>
      <c r="T1485" s="35"/>
      <c r="U1485" s="35"/>
      <c r="V1485" s="121"/>
      <c r="W1485" s="42"/>
      <c r="X1485" s="42"/>
      <c r="Y1485" s="42"/>
      <c r="Z1485" s="42"/>
      <c r="AA1485" s="42"/>
      <c r="AB1485" s="42"/>
      <c r="AC1485" s="42"/>
      <c r="AD1485" s="42"/>
      <c r="AE1485" s="42"/>
      <c r="AF1485" s="42"/>
      <c r="AG1485" s="42"/>
      <c r="AH1485" s="42"/>
      <c r="AI1485" s="42"/>
      <c r="AJ1485" s="42"/>
      <c r="AK1485" s="42"/>
      <c r="AL1485" s="42"/>
      <c r="AM1485" s="42"/>
    </row>
    <row r="1486" spans="1:39" x14ac:dyDescent="0.25">
      <c r="A1486" s="38" t="s">
        <v>1837</v>
      </c>
      <c r="B1486" s="42"/>
      <c r="C1486" s="42"/>
      <c r="D1486" s="42"/>
      <c r="E1486" s="41"/>
      <c r="F1486" s="41"/>
      <c r="G1486" s="41"/>
      <c r="H1486" s="41"/>
      <c r="I1486" s="41"/>
      <c r="J1486" s="42"/>
      <c r="K1486" s="41"/>
      <c r="L1486" s="41"/>
      <c r="M1486" s="127"/>
      <c r="N1486" s="41"/>
      <c r="O1486" s="41"/>
      <c r="P1486" s="41"/>
      <c r="Q1486" s="42"/>
      <c r="R1486" s="35"/>
      <c r="S1486" s="35"/>
      <c r="T1486" s="35"/>
      <c r="U1486" s="35"/>
      <c r="V1486" s="121"/>
      <c r="W1486" s="42"/>
      <c r="X1486" s="42"/>
      <c r="Y1486" s="42"/>
      <c r="Z1486" s="42"/>
      <c r="AA1486" s="42"/>
      <c r="AB1486" s="42"/>
      <c r="AC1486" s="42"/>
      <c r="AD1486" s="42"/>
      <c r="AE1486" s="42"/>
      <c r="AF1486" s="42"/>
      <c r="AG1486" s="42"/>
      <c r="AH1486" s="42"/>
      <c r="AI1486" s="42"/>
      <c r="AJ1486" s="42"/>
      <c r="AK1486" s="42"/>
      <c r="AL1486" s="42"/>
      <c r="AM1486" s="42"/>
    </row>
    <row r="1487" spans="1:39" x14ac:dyDescent="0.25">
      <c r="A1487" s="38" t="s">
        <v>1838</v>
      </c>
      <c r="B1487" s="42"/>
      <c r="C1487" s="42"/>
      <c r="D1487" s="42"/>
      <c r="E1487" s="41"/>
      <c r="F1487" s="41"/>
      <c r="G1487" s="41"/>
      <c r="H1487" s="41"/>
      <c r="I1487" s="41"/>
      <c r="J1487" s="42"/>
      <c r="K1487" s="41"/>
      <c r="L1487" s="41"/>
      <c r="M1487" s="127"/>
      <c r="N1487" s="41"/>
      <c r="O1487" s="41"/>
      <c r="P1487" s="41"/>
      <c r="Q1487" s="42"/>
      <c r="R1487" s="35"/>
      <c r="S1487" s="35"/>
      <c r="T1487" s="35"/>
      <c r="U1487" s="35"/>
      <c r="V1487" s="121"/>
      <c r="W1487" s="42"/>
      <c r="X1487" s="42"/>
      <c r="Y1487" s="42"/>
      <c r="Z1487" s="42"/>
      <c r="AA1487" s="42"/>
      <c r="AB1487" s="42"/>
      <c r="AC1487" s="42"/>
      <c r="AD1487" s="42"/>
      <c r="AE1487" s="42"/>
      <c r="AF1487" s="42"/>
      <c r="AG1487" s="42"/>
      <c r="AH1487" s="42"/>
      <c r="AI1487" s="42"/>
      <c r="AJ1487" s="42"/>
      <c r="AK1487" s="42"/>
      <c r="AL1487" s="42"/>
      <c r="AM1487" s="42"/>
    </row>
    <row r="1488" spans="1:39" x14ac:dyDescent="0.25">
      <c r="A1488" s="38" t="s">
        <v>1839</v>
      </c>
      <c r="B1488" s="42"/>
      <c r="C1488" s="42"/>
      <c r="D1488" s="42"/>
      <c r="E1488" s="41"/>
      <c r="F1488" s="41"/>
      <c r="G1488" s="41"/>
      <c r="H1488" s="41"/>
      <c r="I1488" s="41"/>
      <c r="J1488" s="42"/>
      <c r="K1488" s="41"/>
      <c r="L1488" s="41"/>
      <c r="M1488" s="127"/>
      <c r="N1488" s="41"/>
      <c r="O1488" s="41"/>
      <c r="P1488" s="41"/>
      <c r="Q1488" s="42"/>
      <c r="R1488" s="35"/>
      <c r="S1488" s="35"/>
      <c r="T1488" s="35"/>
      <c r="U1488" s="35"/>
      <c r="V1488" s="121"/>
      <c r="W1488" s="42"/>
      <c r="X1488" s="42"/>
      <c r="Y1488" s="42"/>
      <c r="Z1488" s="42"/>
      <c r="AA1488" s="42"/>
      <c r="AB1488" s="42"/>
      <c r="AC1488" s="42"/>
      <c r="AD1488" s="42"/>
      <c r="AE1488" s="42"/>
      <c r="AF1488" s="42"/>
      <c r="AG1488" s="42"/>
      <c r="AH1488" s="42"/>
      <c r="AI1488" s="42"/>
      <c r="AJ1488" s="42"/>
      <c r="AK1488" s="42"/>
      <c r="AL1488" s="42"/>
      <c r="AM1488" s="42"/>
    </row>
    <row r="1489" spans="1:39" x14ac:dyDescent="0.25">
      <c r="A1489" s="38" t="s">
        <v>1840</v>
      </c>
      <c r="B1489" s="42"/>
      <c r="C1489" s="42"/>
      <c r="D1489" s="42"/>
      <c r="E1489" s="41"/>
      <c r="F1489" s="41"/>
      <c r="G1489" s="41"/>
      <c r="H1489" s="41"/>
      <c r="I1489" s="41"/>
      <c r="J1489" s="42"/>
      <c r="K1489" s="41"/>
      <c r="L1489" s="41"/>
      <c r="M1489" s="127"/>
      <c r="N1489" s="41"/>
      <c r="O1489" s="41"/>
      <c r="P1489" s="41"/>
      <c r="Q1489" s="42"/>
      <c r="R1489" s="35"/>
      <c r="S1489" s="35"/>
      <c r="T1489" s="35"/>
      <c r="U1489" s="35"/>
      <c r="V1489" s="121"/>
      <c r="W1489" s="42"/>
      <c r="X1489" s="42"/>
      <c r="Y1489" s="42"/>
      <c r="Z1489" s="42"/>
      <c r="AA1489" s="42"/>
      <c r="AB1489" s="42"/>
      <c r="AC1489" s="42"/>
      <c r="AD1489" s="42"/>
      <c r="AE1489" s="42"/>
      <c r="AF1489" s="42"/>
      <c r="AG1489" s="42"/>
      <c r="AH1489" s="42"/>
      <c r="AI1489" s="42"/>
      <c r="AJ1489" s="42"/>
      <c r="AK1489" s="42"/>
      <c r="AL1489" s="42"/>
      <c r="AM1489" s="42"/>
    </row>
    <row r="1490" spans="1:39" x14ac:dyDescent="0.25">
      <c r="A1490" s="38" t="s">
        <v>1841</v>
      </c>
      <c r="B1490" s="42"/>
      <c r="C1490" s="42"/>
      <c r="D1490" s="42"/>
      <c r="E1490" s="41"/>
      <c r="F1490" s="41"/>
      <c r="G1490" s="41"/>
      <c r="H1490" s="41"/>
      <c r="I1490" s="41"/>
      <c r="J1490" s="42"/>
      <c r="K1490" s="41"/>
      <c r="L1490" s="41"/>
      <c r="M1490" s="127"/>
      <c r="N1490" s="41"/>
      <c r="O1490" s="41"/>
      <c r="P1490" s="41"/>
      <c r="Q1490" s="42"/>
      <c r="R1490" s="35"/>
      <c r="S1490" s="35"/>
      <c r="T1490" s="35"/>
      <c r="U1490" s="35"/>
      <c r="V1490" s="121"/>
      <c r="W1490" s="42"/>
      <c r="X1490" s="42"/>
      <c r="Y1490" s="42"/>
      <c r="Z1490" s="42"/>
      <c r="AA1490" s="42"/>
      <c r="AB1490" s="42"/>
      <c r="AC1490" s="42"/>
      <c r="AD1490" s="42"/>
      <c r="AE1490" s="42"/>
      <c r="AF1490" s="42"/>
      <c r="AG1490" s="42"/>
      <c r="AH1490" s="42"/>
      <c r="AI1490" s="42"/>
      <c r="AJ1490" s="42"/>
      <c r="AK1490" s="42"/>
      <c r="AL1490" s="42"/>
      <c r="AM1490" s="42"/>
    </row>
    <row r="1491" spans="1:39" x14ac:dyDescent="0.25">
      <c r="A1491" s="38" t="s">
        <v>1842</v>
      </c>
      <c r="B1491" s="42"/>
      <c r="C1491" s="42"/>
      <c r="D1491" s="42"/>
      <c r="E1491" s="41"/>
      <c r="F1491" s="41"/>
      <c r="G1491" s="41"/>
      <c r="H1491" s="41"/>
      <c r="I1491" s="41"/>
      <c r="J1491" s="42"/>
      <c r="K1491" s="41"/>
      <c r="L1491" s="41"/>
      <c r="M1491" s="127"/>
      <c r="N1491" s="41"/>
      <c r="O1491" s="41"/>
      <c r="P1491" s="41"/>
      <c r="Q1491" s="42"/>
      <c r="R1491" s="35"/>
      <c r="S1491" s="35"/>
      <c r="T1491" s="35"/>
      <c r="U1491" s="35"/>
      <c r="V1491" s="121"/>
      <c r="W1491" s="42"/>
      <c r="X1491" s="42"/>
      <c r="Y1491" s="42"/>
      <c r="Z1491" s="42"/>
      <c r="AA1491" s="42"/>
      <c r="AB1491" s="42"/>
      <c r="AC1491" s="42"/>
      <c r="AD1491" s="42"/>
      <c r="AE1491" s="42"/>
      <c r="AF1491" s="42"/>
      <c r="AG1491" s="42"/>
      <c r="AH1491" s="42"/>
      <c r="AI1491" s="42"/>
      <c r="AJ1491" s="42"/>
      <c r="AK1491" s="42"/>
      <c r="AL1491" s="42"/>
      <c r="AM1491" s="42"/>
    </row>
    <row r="1492" spans="1:39" x14ac:dyDescent="0.25">
      <c r="A1492" s="38" t="s">
        <v>1843</v>
      </c>
      <c r="B1492" s="42"/>
      <c r="C1492" s="42"/>
      <c r="D1492" s="42"/>
      <c r="E1492" s="41"/>
      <c r="F1492" s="41"/>
      <c r="G1492" s="41"/>
      <c r="H1492" s="41"/>
      <c r="I1492" s="41"/>
      <c r="J1492" s="42"/>
      <c r="K1492" s="41"/>
      <c r="L1492" s="41"/>
      <c r="M1492" s="127"/>
      <c r="N1492" s="41"/>
      <c r="O1492" s="41"/>
      <c r="P1492" s="41"/>
      <c r="Q1492" s="42"/>
      <c r="R1492" s="35"/>
      <c r="S1492" s="35"/>
      <c r="T1492" s="35"/>
      <c r="U1492" s="35"/>
      <c r="V1492" s="121"/>
      <c r="W1492" s="42"/>
      <c r="X1492" s="42"/>
      <c r="Y1492" s="42"/>
      <c r="Z1492" s="42"/>
      <c r="AA1492" s="42"/>
      <c r="AB1492" s="42"/>
      <c r="AC1492" s="42"/>
      <c r="AD1492" s="42"/>
      <c r="AE1492" s="42"/>
      <c r="AF1492" s="42"/>
      <c r="AG1492" s="42"/>
      <c r="AH1492" s="42"/>
      <c r="AI1492" s="42"/>
      <c r="AJ1492" s="42"/>
      <c r="AK1492" s="42"/>
      <c r="AL1492" s="42"/>
      <c r="AM1492" s="42"/>
    </row>
    <row r="1493" spans="1:39" x14ac:dyDescent="0.25">
      <c r="A1493" s="38" t="s">
        <v>1844</v>
      </c>
      <c r="B1493" s="42"/>
      <c r="C1493" s="42"/>
      <c r="D1493" s="42"/>
      <c r="E1493" s="41"/>
      <c r="F1493" s="41"/>
      <c r="G1493" s="41"/>
      <c r="H1493" s="41"/>
      <c r="I1493" s="41"/>
      <c r="J1493" s="42"/>
      <c r="K1493" s="41"/>
      <c r="L1493" s="41"/>
      <c r="M1493" s="127"/>
      <c r="N1493" s="41"/>
      <c r="O1493" s="41"/>
      <c r="P1493" s="41"/>
      <c r="Q1493" s="42"/>
      <c r="R1493" s="35"/>
      <c r="S1493" s="35"/>
      <c r="T1493" s="35"/>
      <c r="U1493" s="35"/>
      <c r="V1493" s="121"/>
      <c r="W1493" s="42"/>
      <c r="X1493" s="42"/>
      <c r="Y1493" s="42"/>
      <c r="Z1493" s="42"/>
      <c r="AA1493" s="42"/>
      <c r="AB1493" s="42"/>
      <c r="AC1493" s="42"/>
      <c r="AD1493" s="42"/>
      <c r="AE1493" s="42"/>
      <c r="AF1493" s="42"/>
      <c r="AG1493" s="42"/>
      <c r="AH1493" s="42"/>
      <c r="AI1493" s="42"/>
      <c r="AJ1493" s="42"/>
      <c r="AK1493" s="42"/>
      <c r="AL1493" s="42"/>
      <c r="AM1493" s="42"/>
    </row>
    <row r="1494" spans="1:39" x14ac:dyDescent="0.25">
      <c r="A1494" s="38" t="s">
        <v>1845</v>
      </c>
      <c r="B1494" s="42"/>
      <c r="C1494" s="42"/>
      <c r="D1494" s="42"/>
      <c r="E1494" s="41"/>
      <c r="F1494" s="41"/>
      <c r="G1494" s="41"/>
      <c r="H1494" s="41"/>
      <c r="I1494" s="41"/>
      <c r="J1494" s="42"/>
      <c r="K1494" s="41"/>
      <c r="L1494" s="41"/>
      <c r="M1494" s="127"/>
      <c r="N1494" s="41"/>
      <c r="O1494" s="41"/>
      <c r="P1494" s="41"/>
      <c r="Q1494" s="42"/>
      <c r="R1494" s="35"/>
      <c r="S1494" s="35"/>
      <c r="T1494" s="35"/>
      <c r="U1494" s="35"/>
      <c r="V1494" s="121"/>
      <c r="W1494" s="42"/>
      <c r="X1494" s="42"/>
      <c r="Y1494" s="42"/>
      <c r="Z1494" s="42"/>
      <c r="AA1494" s="42"/>
      <c r="AB1494" s="42"/>
      <c r="AC1494" s="42"/>
      <c r="AD1494" s="42"/>
      <c r="AE1494" s="42"/>
      <c r="AF1494" s="42"/>
      <c r="AG1494" s="42"/>
      <c r="AH1494" s="42"/>
      <c r="AI1494" s="42"/>
      <c r="AJ1494" s="42"/>
      <c r="AK1494" s="42"/>
      <c r="AL1494" s="42"/>
      <c r="AM1494" s="42"/>
    </row>
    <row r="1495" spans="1:39" x14ac:dyDescent="0.25">
      <c r="A1495" s="38" t="s">
        <v>1846</v>
      </c>
      <c r="B1495" s="42"/>
      <c r="C1495" s="42"/>
      <c r="D1495" s="42"/>
      <c r="E1495" s="41"/>
      <c r="F1495" s="41"/>
      <c r="G1495" s="41"/>
      <c r="H1495" s="41"/>
      <c r="I1495" s="41"/>
      <c r="J1495" s="42"/>
      <c r="K1495" s="41"/>
      <c r="L1495" s="41"/>
      <c r="M1495" s="127"/>
      <c r="N1495" s="41"/>
      <c r="O1495" s="41"/>
      <c r="P1495" s="41"/>
      <c r="Q1495" s="42"/>
      <c r="R1495" s="35"/>
      <c r="S1495" s="35"/>
      <c r="T1495" s="35"/>
      <c r="U1495" s="35"/>
      <c r="V1495" s="121"/>
      <c r="W1495" s="42"/>
      <c r="X1495" s="42"/>
      <c r="Y1495" s="42"/>
      <c r="Z1495" s="42"/>
      <c r="AA1495" s="42"/>
      <c r="AB1495" s="42"/>
      <c r="AC1495" s="42"/>
      <c r="AD1495" s="42"/>
      <c r="AE1495" s="42"/>
      <c r="AF1495" s="42"/>
      <c r="AG1495" s="42"/>
      <c r="AH1495" s="42"/>
      <c r="AI1495" s="42"/>
      <c r="AJ1495" s="42"/>
      <c r="AK1495" s="42"/>
      <c r="AL1495" s="42"/>
      <c r="AM1495" s="42"/>
    </row>
    <row r="1496" spans="1:39" x14ac:dyDescent="0.25">
      <c r="A1496" s="38" t="s">
        <v>1847</v>
      </c>
      <c r="B1496" s="42"/>
      <c r="C1496" s="42"/>
      <c r="D1496" s="42"/>
      <c r="E1496" s="41"/>
      <c r="F1496" s="41"/>
      <c r="G1496" s="41"/>
      <c r="H1496" s="41"/>
      <c r="I1496" s="41"/>
      <c r="J1496" s="42"/>
      <c r="K1496" s="41"/>
      <c r="L1496" s="41"/>
      <c r="M1496" s="127"/>
      <c r="N1496" s="41"/>
      <c r="O1496" s="41"/>
      <c r="P1496" s="41"/>
      <c r="Q1496" s="42"/>
      <c r="R1496" s="35"/>
      <c r="S1496" s="35"/>
      <c r="T1496" s="35"/>
      <c r="U1496" s="35"/>
      <c r="V1496" s="121"/>
      <c r="W1496" s="42"/>
      <c r="X1496" s="42"/>
      <c r="Y1496" s="42"/>
      <c r="Z1496" s="42"/>
      <c r="AA1496" s="42"/>
      <c r="AB1496" s="42"/>
      <c r="AC1496" s="42"/>
      <c r="AD1496" s="42"/>
      <c r="AE1496" s="42"/>
      <c r="AF1496" s="42"/>
      <c r="AG1496" s="42"/>
      <c r="AH1496" s="42"/>
      <c r="AI1496" s="42"/>
      <c r="AJ1496" s="42"/>
      <c r="AK1496" s="42"/>
      <c r="AL1496" s="42"/>
      <c r="AM1496" s="42"/>
    </row>
    <row r="1497" spans="1:39" x14ac:dyDescent="0.25">
      <c r="A1497" s="38" t="s">
        <v>1848</v>
      </c>
      <c r="B1497" s="42"/>
      <c r="C1497" s="42"/>
      <c r="D1497" s="42"/>
      <c r="E1497" s="41"/>
      <c r="F1497" s="41"/>
      <c r="G1497" s="41"/>
      <c r="H1497" s="41"/>
      <c r="I1497" s="41"/>
      <c r="J1497" s="42"/>
      <c r="K1497" s="41"/>
      <c r="L1497" s="41"/>
      <c r="M1497" s="127"/>
      <c r="N1497" s="41"/>
      <c r="O1497" s="41"/>
      <c r="P1497" s="41"/>
      <c r="Q1497" s="42"/>
      <c r="R1497" s="35"/>
      <c r="S1497" s="35"/>
      <c r="T1497" s="35"/>
      <c r="U1497" s="35"/>
      <c r="V1497" s="121"/>
      <c r="W1497" s="42"/>
      <c r="X1497" s="42"/>
      <c r="Y1497" s="42"/>
      <c r="Z1497" s="42"/>
      <c r="AA1497" s="42"/>
      <c r="AB1497" s="42"/>
      <c r="AC1497" s="42"/>
      <c r="AD1497" s="42"/>
      <c r="AE1497" s="42"/>
      <c r="AF1497" s="42"/>
      <c r="AG1497" s="42"/>
      <c r="AH1497" s="42"/>
      <c r="AI1497" s="42"/>
      <c r="AJ1497" s="42"/>
      <c r="AK1497" s="42"/>
      <c r="AL1497" s="42"/>
      <c r="AM1497" s="42"/>
    </row>
    <row r="1498" spans="1:39" x14ac:dyDescent="0.25">
      <c r="A1498" s="38" t="s">
        <v>1849</v>
      </c>
      <c r="B1498" s="42"/>
      <c r="C1498" s="42"/>
      <c r="D1498" s="42"/>
      <c r="E1498" s="41"/>
      <c r="F1498" s="41"/>
      <c r="G1498" s="41"/>
      <c r="H1498" s="41"/>
      <c r="I1498" s="41"/>
      <c r="J1498" s="42"/>
      <c r="K1498" s="41"/>
      <c r="L1498" s="41"/>
      <c r="M1498" s="127"/>
      <c r="N1498" s="41"/>
      <c r="O1498" s="41"/>
      <c r="P1498" s="41"/>
      <c r="Q1498" s="42"/>
      <c r="R1498" s="35"/>
      <c r="S1498" s="35"/>
      <c r="T1498" s="35"/>
      <c r="U1498" s="35"/>
      <c r="V1498" s="121"/>
      <c r="W1498" s="42"/>
      <c r="X1498" s="42"/>
      <c r="Y1498" s="42"/>
      <c r="Z1498" s="42"/>
      <c r="AA1498" s="42"/>
      <c r="AB1498" s="42"/>
      <c r="AC1498" s="42"/>
      <c r="AD1498" s="42"/>
      <c r="AE1498" s="42"/>
      <c r="AF1498" s="42"/>
      <c r="AG1498" s="42"/>
      <c r="AH1498" s="42"/>
      <c r="AI1498" s="42"/>
      <c r="AJ1498" s="42"/>
      <c r="AK1498" s="42"/>
      <c r="AL1498" s="42"/>
      <c r="AM1498" s="42"/>
    </row>
    <row r="1499" spans="1:39" x14ac:dyDescent="0.25">
      <c r="A1499" s="38" t="s">
        <v>1850</v>
      </c>
      <c r="B1499" s="42"/>
      <c r="C1499" s="42"/>
      <c r="D1499" s="42"/>
      <c r="E1499" s="41"/>
      <c r="F1499" s="41"/>
      <c r="G1499" s="41"/>
      <c r="H1499" s="41"/>
      <c r="I1499" s="41"/>
      <c r="J1499" s="42"/>
      <c r="K1499" s="41"/>
      <c r="L1499" s="41"/>
      <c r="M1499" s="127"/>
      <c r="N1499" s="41"/>
      <c r="O1499" s="41"/>
      <c r="P1499" s="41"/>
      <c r="Q1499" s="42"/>
      <c r="R1499" s="35"/>
      <c r="S1499" s="35"/>
      <c r="T1499" s="35"/>
      <c r="U1499" s="35"/>
      <c r="V1499" s="121"/>
      <c r="W1499" s="42"/>
      <c r="X1499" s="42"/>
      <c r="Y1499" s="42"/>
      <c r="Z1499" s="42"/>
      <c r="AA1499" s="42"/>
      <c r="AB1499" s="42"/>
      <c r="AC1499" s="42"/>
      <c r="AD1499" s="42"/>
      <c r="AE1499" s="42"/>
      <c r="AF1499" s="42"/>
      <c r="AG1499" s="42"/>
      <c r="AH1499" s="42"/>
      <c r="AI1499" s="42"/>
      <c r="AJ1499" s="42"/>
      <c r="AK1499" s="42"/>
      <c r="AL1499" s="42"/>
      <c r="AM1499" s="42"/>
    </row>
    <row r="1500" spans="1:39" x14ac:dyDescent="0.25">
      <c r="A1500" s="38" t="s">
        <v>1851</v>
      </c>
      <c r="B1500" s="42"/>
      <c r="C1500" s="42"/>
      <c r="D1500" s="42"/>
      <c r="E1500" s="41"/>
      <c r="F1500" s="41"/>
      <c r="G1500" s="41"/>
      <c r="H1500" s="41"/>
      <c r="I1500" s="41"/>
      <c r="J1500" s="42"/>
      <c r="K1500" s="41"/>
      <c r="L1500" s="41"/>
      <c r="M1500" s="127"/>
      <c r="N1500" s="41"/>
      <c r="O1500" s="41"/>
      <c r="P1500" s="41"/>
      <c r="Q1500" s="42"/>
      <c r="R1500" s="35"/>
      <c r="S1500" s="35"/>
      <c r="T1500" s="35"/>
      <c r="U1500" s="35"/>
      <c r="V1500" s="121"/>
      <c r="W1500" s="42"/>
      <c r="X1500" s="42"/>
      <c r="Y1500" s="42"/>
      <c r="Z1500" s="42"/>
      <c r="AA1500" s="42"/>
      <c r="AB1500" s="42"/>
      <c r="AC1500" s="42"/>
      <c r="AD1500" s="42"/>
      <c r="AE1500" s="42"/>
      <c r="AF1500" s="42"/>
      <c r="AG1500" s="42"/>
      <c r="AH1500" s="42"/>
      <c r="AI1500" s="42"/>
      <c r="AJ1500" s="42"/>
      <c r="AK1500" s="42"/>
      <c r="AL1500" s="42"/>
      <c r="AM1500" s="42"/>
    </row>
    <row r="1501" spans="1:39" x14ac:dyDescent="0.25">
      <c r="A1501" s="38" t="s">
        <v>1852</v>
      </c>
      <c r="B1501" s="42"/>
      <c r="C1501" s="42"/>
      <c r="D1501" s="42"/>
      <c r="E1501" s="41"/>
      <c r="F1501" s="41"/>
      <c r="G1501" s="41"/>
      <c r="H1501" s="41"/>
      <c r="I1501" s="41"/>
      <c r="J1501" s="42"/>
      <c r="K1501" s="41"/>
      <c r="L1501" s="41"/>
      <c r="M1501" s="127"/>
      <c r="N1501" s="41"/>
      <c r="O1501" s="41"/>
      <c r="P1501" s="41"/>
      <c r="Q1501" s="42"/>
      <c r="R1501" s="35"/>
      <c r="S1501" s="35"/>
      <c r="T1501" s="35"/>
      <c r="U1501" s="35"/>
      <c r="V1501" s="121"/>
      <c r="W1501" s="42"/>
      <c r="X1501" s="42"/>
      <c r="Y1501" s="42"/>
      <c r="Z1501" s="42"/>
      <c r="AA1501" s="42"/>
      <c r="AB1501" s="42"/>
      <c r="AC1501" s="42"/>
      <c r="AD1501" s="42"/>
      <c r="AE1501" s="42"/>
      <c r="AF1501" s="42"/>
      <c r="AG1501" s="42"/>
      <c r="AH1501" s="42"/>
      <c r="AI1501" s="42"/>
      <c r="AJ1501" s="42"/>
      <c r="AK1501" s="42"/>
      <c r="AL1501" s="42"/>
      <c r="AM1501" s="42"/>
    </row>
    <row r="1502" spans="1:39" x14ac:dyDescent="0.25">
      <c r="A1502" s="38" t="s">
        <v>1853</v>
      </c>
      <c r="B1502" s="42"/>
      <c r="C1502" s="42"/>
      <c r="D1502" s="42"/>
      <c r="E1502" s="41"/>
      <c r="F1502" s="41"/>
      <c r="G1502" s="41"/>
      <c r="H1502" s="41"/>
      <c r="I1502" s="41"/>
      <c r="J1502" s="42"/>
      <c r="K1502" s="41"/>
      <c r="L1502" s="41"/>
      <c r="M1502" s="127"/>
      <c r="N1502" s="41"/>
      <c r="O1502" s="41"/>
      <c r="P1502" s="41"/>
      <c r="Q1502" s="42"/>
      <c r="R1502" s="35"/>
      <c r="S1502" s="35"/>
      <c r="T1502" s="35"/>
      <c r="U1502" s="35"/>
      <c r="V1502" s="121"/>
      <c r="W1502" s="42"/>
      <c r="X1502" s="42"/>
      <c r="Y1502" s="42"/>
      <c r="Z1502" s="42"/>
      <c r="AA1502" s="42"/>
      <c r="AB1502" s="42"/>
      <c r="AC1502" s="42"/>
      <c r="AD1502" s="42"/>
      <c r="AE1502" s="42"/>
      <c r="AF1502" s="42"/>
      <c r="AG1502" s="42"/>
      <c r="AH1502" s="42"/>
      <c r="AI1502" s="42"/>
      <c r="AJ1502" s="42"/>
      <c r="AK1502" s="42"/>
      <c r="AL1502" s="42"/>
      <c r="AM1502" s="42"/>
    </row>
    <row r="1503" spans="1:39" x14ac:dyDescent="0.25">
      <c r="A1503" s="38" t="s">
        <v>1854</v>
      </c>
      <c r="B1503" s="42"/>
      <c r="C1503" s="42"/>
      <c r="D1503" s="42"/>
      <c r="E1503" s="41"/>
      <c r="F1503" s="41"/>
      <c r="G1503" s="41"/>
      <c r="H1503" s="41"/>
      <c r="I1503" s="41"/>
      <c r="J1503" s="42"/>
      <c r="K1503" s="41"/>
      <c r="L1503" s="41"/>
      <c r="M1503" s="127"/>
      <c r="N1503" s="41"/>
      <c r="O1503" s="41"/>
      <c r="P1503" s="41"/>
      <c r="Q1503" s="42"/>
      <c r="R1503" s="35"/>
      <c r="S1503" s="35"/>
      <c r="T1503" s="35"/>
      <c r="U1503" s="35"/>
      <c r="V1503" s="121"/>
      <c r="W1503" s="42"/>
      <c r="X1503" s="42"/>
      <c r="Y1503" s="42"/>
      <c r="Z1503" s="42"/>
      <c r="AA1503" s="42"/>
      <c r="AB1503" s="42"/>
      <c r="AC1503" s="42"/>
      <c r="AD1503" s="42"/>
      <c r="AE1503" s="42"/>
      <c r="AF1503" s="42"/>
      <c r="AG1503" s="42"/>
      <c r="AH1503" s="42"/>
      <c r="AI1503" s="42"/>
      <c r="AJ1503" s="42"/>
      <c r="AK1503" s="42"/>
      <c r="AL1503" s="42"/>
      <c r="AM1503" s="42"/>
    </row>
    <row r="1504" spans="1:39" x14ac:dyDescent="0.25">
      <c r="A1504" s="38" t="s">
        <v>1855</v>
      </c>
      <c r="B1504" s="42"/>
      <c r="C1504" s="42"/>
      <c r="D1504" s="42"/>
      <c r="E1504" s="41"/>
      <c r="F1504" s="41"/>
      <c r="G1504" s="41"/>
      <c r="H1504" s="41"/>
      <c r="I1504" s="41"/>
      <c r="J1504" s="42"/>
      <c r="K1504" s="41"/>
      <c r="L1504" s="41"/>
      <c r="M1504" s="127"/>
      <c r="N1504" s="41"/>
      <c r="O1504" s="41"/>
      <c r="P1504" s="41"/>
      <c r="Q1504" s="42"/>
      <c r="R1504" s="35"/>
      <c r="S1504" s="35"/>
      <c r="T1504" s="35"/>
      <c r="U1504" s="35"/>
      <c r="V1504" s="121"/>
      <c r="W1504" s="42"/>
      <c r="X1504" s="42"/>
      <c r="Y1504" s="42"/>
      <c r="Z1504" s="42"/>
      <c r="AA1504" s="42"/>
      <c r="AB1504" s="42"/>
      <c r="AC1504" s="42"/>
      <c r="AD1504" s="42"/>
      <c r="AE1504" s="42"/>
      <c r="AF1504" s="42"/>
      <c r="AG1504" s="42"/>
      <c r="AH1504" s="42"/>
      <c r="AI1504" s="42"/>
      <c r="AJ1504" s="42"/>
      <c r="AK1504" s="42"/>
      <c r="AL1504" s="42"/>
      <c r="AM1504" s="42"/>
    </row>
    <row r="1505" spans="1:39" x14ac:dyDescent="0.25">
      <c r="A1505" s="38" t="s">
        <v>1856</v>
      </c>
      <c r="B1505" s="42"/>
      <c r="C1505" s="42"/>
      <c r="D1505" s="42"/>
      <c r="E1505" s="41"/>
      <c r="F1505" s="41"/>
      <c r="G1505" s="41"/>
      <c r="H1505" s="41"/>
      <c r="I1505" s="41"/>
      <c r="J1505" s="42"/>
      <c r="K1505" s="41"/>
      <c r="L1505" s="41"/>
      <c r="M1505" s="127"/>
      <c r="N1505" s="41"/>
      <c r="O1505" s="41"/>
      <c r="P1505" s="41"/>
      <c r="Q1505" s="42"/>
      <c r="R1505" s="35"/>
      <c r="S1505" s="35"/>
      <c r="T1505" s="35"/>
      <c r="U1505" s="35"/>
      <c r="V1505" s="121"/>
      <c r="W1505" s="42"/>
      <c r="X1505" s="42"/>
      <c r="Y1505" s="42"/>
      <c r="Z1505" s="42"/>
      <c r="AA1505" s="42"/>
      <c r="AB1505" s="42"/>
      <c r="AC1505" s="42"/>
      <c r="AD1505" s="42"/>
      <c r="AE1505" s="42"/>
      <c r="AF1505" s="42"/>
      <c r="AG1505" s="42"/>
      <c r="AH1505" s="42"/>
      <c r="AI1505" s="42"/>
      <c r="AJ1505" s="42"/>
      <c r="AK1505" s="42"/>
      <c r="AL1505" s="42"/>
      <c r="AM1505" s="42"/>
    </row>
    <row r="1506" spans="1:39" x14ac:dyDescent="0.25">
      <c r="A1506" s="38" t="s">
        <v>1857</v>
      </c>
      <c r="B1506" s="42"/>
      <c r="C1506" s="42"/>
      <c r="D1506" s="42"/>
      <c r="E1506" s="41"/>
      <c r="F1506" s="41"/>
      <c r="G1506" s="41"/>
      <c r="H1506" s="41"/>
      <c r="I1506" s="41"/>
      <c r="J1506" s="42"/>
      <c r="K1506" s="41"/>
      <c r="L1506" s="41"/>
      <c r="M1506" s="127"/>
      <c r="N1506" s="41"/>
      <c r="O1506" s="41"/>
      <c r="P1506" s="41"/>
      <c r="Q1506" s="42"/>
      <c r="R1506" s="35"/>
      <c r="S1506" s="35"/>
      <c r="T1506" s="35"/>
      <c r="U1506" s="35"/>
      <c r="V1506" s="121"/>
      <c r="W1506" s="42"/>
      <c r="X1506" s="42"/>
      <c r="Y1506" s="42"/>
      <c r="Z1506" s="42"/>
      <c r="AA1506" s="42"/>
      <c r="AB1506" s="42"/>
      <c r="AC1506" s="42"/>
      <c r="AD1506" s="42"/>
      <c r="AE1506" s="42"/>
      <c r="AF1506" s="42"/>
      <c r="AG1506" s="42"/>
      <c r="AH1506" s="42"/>
      <c r="AI1506" s="42"/>
      <c r="AJ1506" s="42"/>
      <c r="AK1506" s="42"/>
      <c r="AL1506" s="42"/>
      <c r="AM1506" s="42"/>
    </row>
    <row r="1507" spans="1:39" x14ac:dyDescent="0.25">
      <c r="A1507" s="38" t="s">
        <v>1858</v>
      </c>
      <c r="B1507" s="42"/>
      <c r="C1507" s="42"/>
      <c r="D1507" s="42"/>
      <c r="E1507" s="41"/>
      <c r="F1507" s="41"/>
      <c r="G1507" s="41"/>
      <c r="H1507" s="41"/>
      <c r="I1507" s="41"/>
      <c r="J1507" s="42"/>
      <c r="K1507" s="41"/>
      <c r="L1507" s="41"/>
      <c r="M1507" s="127"/>
      <c r="N1507" s="41"/>
      <c r="O1507" s="41"/>
      <c r="P1507" s="41"/>
      <c r="Q1507" s="42"/>
      <c r="R1507" s="35"/>
      <c r="S1507" s="35"/>
      <c r="T1507" s="35"/>
      <c r="U1507" s="35"/>
      <c r="V1507" s="121"/>
      <c r="W1507" s="42"/>
      <c r="X1507" s="42"/>
      <c r="Y1507" s="42"/>
      <c r="Z1507" s="42"/>
      <c r="AA1507" s="42"/>
      <c r="AB1507" s="42"/>
      <c r="AC1507" s="42"/>
      <c r="AD1507" s="42"/>
      <c r="AE1507" s="42"/>
      <c r="AF1507" s="42"/>
      <c r="AG1507" s="42"/>
      <c r="AH1507" s="42"/>
      <c r="AI1507" s="42"/>
      <c r="AJ1507" s="42"/>
      <c r="AK1507" s="42"/>
      <c r="AL1507" s="42"/>
      <c r="AM1507" s="42"/>
    </row>
    <row r="1508" spans="1:39" x14ac:dyDescent="0.25">
      <c r="A1508" s="38" t="s">
        <v>1859</v>
      </c>
      <c r="B1508" s="42"/>
      <c r="C1508" s="42"/>
      <c r="D1508" s="42"/>
      <c r="E1508" s="41"/>
      <c r="F1508" s="41"/>
      <c r="G1508" s="41"/>
      <c r="H1508" s="41"/>
      <c r="I1508" s="41"/>
      <c r="J1508" s="42"/>
      <c r="K1508" s="41"/>
      <c r="L1508" s="41"/>
      <c r="M1508" s="127"/>
      <c r="N1508" s="41"/>
      <c r="O1508" s="41"/>
      <c r="P1508" s="41"/>
      <c r="Q1508" s="42"/>
      <c r="R1508" s="35"/>
      <c r="S1508" s="35"/>
      <c r="T1508" s="35"/>
      <c r="U1508" s="35"/>
      <c r="V1508" s="121"/>
      <c r="W1508" s="42"/>
      <c r="X1508" s="42"/>
      <c r="Y1508" s="42"/>
      <c r="Z1508" s="42"/>
      <c r="AA1508" s="42"/>
      <c r="AB1508" s="42"/>
      <c r="AC1508" s="42"/>
      <c r="AD1508" s="42"/>
      <c r="AE1508" s="42"/>
      <c r="AF1508" s="42"/>
      <c r="AG1508" s="42"/>
      <c r="AH1508" s="42"/>
      <c r="AI1508" s="42"/>
      <c r="AJ1508" s="42"/>
      <c r="AK1508" s="42"/>
      <c r="AL1508" s="42"/>
      <c r="AM1508" s="42"/>
    </row>
    <row r="1509" spans="1:39" x14ac:dyDescent="0.25">
      <c r="A1509" s="38" t="s">
        <v>1860</v>
      </c>
      <c r="B1509" s="42"/>
      <c r="C1509" s="42"/>
      <c r="D1509" s="42"/>
      <c r="E1509" s="41"/>
      <c r="F1509" s="41"/>
      <c r="G1509" s="41"/>
      <c r="H1509" s="41"/>
      <c r="I1509" s="41"/>
      <c r="J1509" s="42"/>
      <c r="K1509" s="41"/>
      <c r="L1509" s="41"/>
      <c r="M1509" s="127"/>
      <c r="N1509" s="41"/>
      <c r="O1509" s="41"/>
      <c r="P1509" s="41"/>
      <c r="Q1509" s="42"/>
      <c r="R1509" s="35"/>
      <c r="S1509" s="35"/>
      <c r="T1509" s="35"/>
      <c r="U1509" s="35"/>
      <c r="V1509" s="121"/>
      <c r="W1509" s="42"/>
      <c r="X1509" s="42"/>
      <c r="Y1509" s="42"/>
      <c r="Z1509" s="42"/>
      <c r="AA1509" s="42"/>
      <c r="AB1509" s="42"/>
      <c r="AC1509" s="42"/>
      <c r="AD1509" s="42"/>
      <c r="AE1509" s="42"/>
      <c r="AF1509" s="42"/>
      <c r="AG1509" s="42"/>
      <c r="AH1509" s="42"/>
      <c r="AI1509" s="42"/>
      <c r="AJ1509" s="42"/>
      <c r="AK1509" s="42"/>
      <c r="AL1509" s="42"/>
      <c r="AM1509" s="42"/>
    </row>
    <row r="1510" spans="1:39" x14ac:dyDescent="0.25">
      <c r="A1510" s="38" t="s">
        <v>1861</v>
      </c>
      <c r="B1510" s="42"/>
      <c r="C1510" s="42"/>
      <c r="D1510" s="42"/>
      <c r="E1510" s="41"/>
      <c r="F1510" s="41"/>
      <c r="G1510" s="41"/>
      <c r="H1510" s="41"/>
      <c r="I1510" s="41"/>
      <c r="J1510" s="42"/>
      <c r="K1510" s="41"/>
      <c r="L1510" s="41"/>
      <c r="M1510" s="127"/>
      <c r="N1510" s="41"/>
      <c r="O1510" s="41"/>
      <c r="P1510" s="41"/>
      <c r="Q1510" s="42"/>
      <c r="R1510" s="35"/>
      <c r="S1510" s="35"/>
      <c r="T1510" s="35"/>
      <c r="U1510" s="35"/>
      <c r="V1510" s="121"/>
      <c r="W1510" s="42"/>
      <c r="X1510" s="42"/>
      <c r="Y1510" s="42"/>
      <c r="Z1510" s="42"/>
      <c r="AA1510" s="42"/>
      <c r="AB1510" s="42"/>
      <c r="AC1510" s="42"/>
      <c r="AD1510" s="42"/>
      <c r="AE1510" s="42"/>
      <c r="AF1510" s="42"/>
      <c r="AG1510" s="42"/>
      <c r="AH1510" s="42"/>
      <c r="AI1510" s="42"/>
      <c r="AJ1510" s="42"/>
      <c r="AK1510" s="42"/>
      <c r="AL1510" s="42"/>
      <c r="AM1510" s="42"/>
    </row>
    <row r="1511" spans="1:39" x14ac:dyDescent="0.25">
      <c r="A1511" s="38" t="s">
        <v>1862</v>
      </c>
      <c r="B1511" s="42"/>
      <c r="C1511" s="42"/>
      <c r="D1511" s="42"/>
      <c r="E1511" s="41"/>
      <c r="F1511" s="41"/>
      <c r="G1511" s="41"/>
      <c r="H1511" s="41"/>
      <c r="I1511" s="41"/>
      <c r="J1511" s="42"/>
      <c r="K1511" s="41"/>
      <c r="L1511" s="41"/>
      <c r="M1511" s="127"/>
      <c r="N1511" s="41"/>
      <c r="O1511" s="41"/>
      <c r="P1511" s="41"/>
      <c r="Q1511" s="42"/>
      <c r="R1511" s="35"/>
      <c r="S1511" s="35"/>
      <c r="T1511" s="35"/>
      <c r="U1511" s="35"/>
      <c r="V1511" s="121"/>
      <c r="W1511" s="42"/>
      <c r="X1511" s="42"/>
      <c r="Y1511" s="42"/>
      <c r="Z1511" s="42"/>
      <c r="AA1511" s="42"/>
      <c r="AB1511" s="42"/>
      <c r="AC1511" s="42"/>
      <c r="AD1511" s="42"/>
      <c r="AE1511" s="42"/>
      <c r="AF1511" s="42"/>
      <c r="AG1511" s="42"/>
      <c r="AH1511" s="42"/>
      <c r="AI1511" s="42"/>
      <c r="AJ1511" s="42"/>
      <c r="AK1511" s="42"/>
      <c r="AL1511" s="42"/>
      <c r="AM1511" s="42"/>
    </row>
    <row r="1512" spans="1:39" x14ac:dyDescent="0.25">
      <c r="A1512" s="38" t="s">
        <v>1863</v>
      </c>
      <c r="B1512" s="42"/>
      <c r="C1512" s="42"/>
      <c r="D1512" s="42"/>
      <c r="E1512" s="41"/>
      <c r="F1512" s="41"/>
      <c r="G1512" s="41"/>
      <c r="H1512" s="41"/>
      <c r="I1512" s="41"/>
      <c r="J1512" s="42"/>
      <c r="K1512" s="41"/>
      <c r="L1512" s="41"/>
      <c r="M1512" s="127"/>
      <c r="N1512" s="41"/>
      <c r="O1512" s="41"/>
      <c r="P1512" s="41"/>
      <c r="Q1512" s="42"/>
      <c r="R1512" s="35"/>
      <c r="S1512" s="35"/>
      <c r="T1512" s="35"/>
      <c r="U1512" s="35"/>
      <c r="V1512" s="121"/>
      <c r="W1512" s="42"/>
      <c r="X1512" s="42"/>
      <c r="Y1512" s="42"/>
      <c r="Z1512" s="42"/>
      <c r="AA1512" s="42"/>
      <c r="AB1512" s="42"/>
      <c r="AC1512" s="42"/>
      <c r="AD1512" s="42"/>
      <c r="AE1512" s="42"/>
      <c r="AF1512" s="42"/>
      <c r="AG1512" s="42"/>
      <c r="AH1512" s="42"/>
      <c r="AI1512" s="42"/>
      <c r="AJ1512" s="42"/>
      <c r="AK1512" s="42"/>
      <c r="AL1512" s="42"/>
      <c r="AM1512" s="42"/>
    </row>
    <row r="1513" spans="1:39" x14ac:dyDescent="0.25">
      <c r="A1513" s="38" t="s">
        <v>1864</v>
      </c>
      <c r="B1513" s="42"/>
      <c r="C1513" s="42"/>
      <c r="D1513" s="42"/>
      <c r="E1513" s="41"/>
      <c r="F1513" s="41"/>
      <c r="G1513" s="41"/>
      <c r="H1513" s="41"/>
      <c r="I1513" s="41"/>
      <c r="J1513" s="42"/>
      <c r="K1513" s="41"/>
      <c r="L1513" s="41"/>
      <c r="M1513" s="127"/>
      <c r="N1513" s="41"/>
      <c r="O1513" s="41"/>
      <c r="P1513" s="41"/>
      <c r="Q1513" s="42"/>
      <c r="R1513" s="35"/>
      <c r="S1513" s="35"/>
      <c r="T1513" s="35"/>
      <c r="U1513" s="35"/>
      <c r="V1513" s="121"/>
      <c r="W1513" s="42"/>
      <c r="X1513" s="42"/>
      <c r="Y1513" s="42"/>
      <c r="Z1513" s="42"/>
      <c r="AA1513" s="42"/>
      <c r="AB1513" s="42"/>
      <c r="AC1513" s="42"/>
      <c r="AD1513" s="42"/>
      <c r="AE1513" s="42"/>
      <c r="AF1513" s="42"/>
      <c r="AG1513" s="42"/>
      <c r="AH1513" s="42"/>
      <c r="AI1513" s="42"/>
      <c r="AJ1513" s="42"/>
      <c r="AK1513" s="42"/>
      <c r="AL1513" s="42"/>
      <c r="AM1513" s="42"/>
    </row>
    <row r="1514" spans="1:39" x14ac:dyDescent="0.25">
      <c r="A1514" s="38" t="s">
        <v>1865</v>
      </c>
      <c r="B1514" s="42"/>
      <c r="C1514" s="42"/>
      <c r="D1514" s="42"/>
      <c r="E1514" s="41"/>
      <c r="F1514" s="41"/>
      <c r="G1514" s="41"/>
      <c r="H1514" s="41"/>
      <c r="I1514" s="41"/>
      <c r="J1514" s="42"/>
      <c r="K1514" s="41"/>
      <c r="L1514" s="41"/>
      <c r="M1514" s="127"/>
      <c r="N1514" s="41"/>
      <c r="O1514" s="41"/>
      <c r="P1514" s="41"/>
      <c r="Q1514" s="42"/>
      <c r="R1514" s="35"/>
      <c r="S1514" s="35"/>
      <c r="T1514" s="35"/>
      <c r="U1514" s="35"/>
      <c r="V1514" s="121"/>
      <c r="W1514" s="42"/>
      <c r="X1514" s="42"/>
      <c r="Y1514" s="42"/>
      <c r="Z1514" s="42"/>
      <c r="AA1514" s="42"/>
      <c r="AB1514" s="42"/>
      <c r="AC1514" s="42"/>
      <c r="AD1514" s="42"/>
      <c r="AE1514" s="42"/>
      <c r="AF1514" s="42"/>
      <c r="AG1514" s="42"/>
      <c r="AH1514" s="42"/>
      <c r="AI1514" s="42"/>
      <c r="AJ1514" s="42"/>
      <c r="AK1514" s="42"/>
      <c r="AL1514" s="42"/>
      <c r="AM1514" s="42"/>
    </row>
    <row r="1515" spans="1:39" x14ac:dyDescent="0.25">
      <c r="A1515" s="38" t="s">
        <v>1866</v>
      </c>
      <c r="B1515" s="42"/>
      <c r="C1515" s="42"/>
      <c r="D1515" s="42"/>
      <c r="E1515" s="41"/>
      <c r="F1515" s="41"/>
      <c r="G1515" s="41"/>
      <c r="H1515" s="41"/>
      <c r="I1515" s="41"/>
      <c r="J1515" s="42"/>
      <c r="K1515" s="41"/>
      <c r="L1515" s="41"/>
      <c r="M1515" s="127"/>
      <c r="N1515" s="41"/>
      <c r="O1515" s="41"/>
      <c r="P1515" s="41"/>
      <c r="Q1515" s="42"/>
      <c r="R1515" s="35"/>
      <c r="S1515" s="35"/>
      <c r="T1515" s="35"/>
      <c r="U1515" s="35"/>
      <c r="V1515" s="121"/>
      <c r="W1515" s="42"/>
      <c r="X1515" s="42"/>
      <c r="Y1515" s="42"/>
      <c r="Z1515" s="42"/>
      <c r="AA1515" s="42"/>
      <c r="AB1515" s="42"/>
      <c r="AC1515" s="42"/>
      <c r="AD1515" s="42"/>
      <c r="AE1515" s="42"/>
      <c r="AF1515" s="42"/>
      <c r="AG1515" s="42"/>
      <c r="AH1515" s="42"/>
      <c r="AI1515" s="42"/>
      <c r="AJ1515" s="42"/>
      <c r="AK1515" s="42"/>
      <c r="AL1515" s="42"/>
      <c r="AM1515" s="42"/>
    </row>
    <row r="1516" spans="1:39" x14ac:dyDescent="0.25">
      <c r="A1516" s="38" t="s">
        <v>1867</v>
      </c>
      <c r="B1516" s="42"/>
      <c r="C1516" s="42"/>
      <c r="D1516" s="42"/>
      <c r="E1516" s="41"/>
      <c r="F1516" s="41"/>
      <c r="G1516" s="41"/>
      <c r="H1516" s="41"/>
      <c r="I1516" s="41"/>
      <c r="J1516" s="42"/>
      <c r="K1516" s="41"/>
      <c r="L1516" s="41"/>
      <c r="M1516" s="127"/>
      <c r="N1516" s="41"/>
      <c r="O1516" s="41"/>
      <c r="P1516" s="41"/>
      <c r="Q1516" s="42"/>
      <c r="R1516" s="35"/>
      <c r="S1516" s="35"/>
      <c r="T1516" s="35"/>
      <c r="U1516" s="35"/>
      <c r="V1516" s="121"/>
      <c r="W1516" s="42"/>
      <c r="X1516" s="42"/>
      <c r="Y1516" s="42"/>
      <c r="Z1516" s="42"/>
      <c r="AA1516" s="42"/>
      <c r="AB1516" s="42"/>
      <c r="AC1516" s="42"/>
      <c r="AD1516" s="42"/>
      <c r="AE1516" s="42"/>
      <c r="AF1516" s="42"/>
      <c r="AG1516" s="42"/>
      <c r="AH1516" s="42"/>
      <c r="AI1516" s="42"/>
      <c r="AJ1516" s="42"/>
      <c r="AK1516" s="42"/>
      <c r="AL1516" s="42"/>
      <c r="AM1516" s="42"/>
    </row>
    <row r="1517" spans="1:39" x14ac:dyDescent="0.25">
      <c r="A1517" s="38" t="s">
        <v>1868</v>
      </c>
      <c r="B1517" s="42"/>
      <c r="C1517" s="42"/>
      <c r="D1517" s="42"/>
      <c r="E1517" s="41"/>
      <c r="F1517" s="41"/>
      <c r="G1517" s="41"/>
      <c r="H1517" s="41"/>
      <c r="I1517" s="41"/>
      <c r="J1517" s="42"/>
      <c r="K1517" s="41"/>
      <c r="L1517" s="41"/>
      <c r="M1517" s="127"/>
      <c r="N1517" s="41"/>
      <c r="O1517" s="41"/>
      <c r="P1517" s="41"/>
      <c r="Q1517" s="42"/>
      <c r="R1517" s="35"/>
      <c r="S1517" s="35"/>
      <c r="T1517" s="35"/>
      <c r="U1517" s="35"/>
      <c r="V1517" s="121"/>
      <c r="W1517" s="42"/>
      <c r="X1517" s="42"/>
      <c r="Y1517" s="42"/>
      <c r="Z1517" s="42"/>
      <c r="AA1517" s="42"/>
      <c r="AB1517" s="42"/>
      <c r="AC1517" s="42"/>
      <c r="AD1517" s="42"/>
      <c r="AE1517" s="42"/>
      <c r="AF1517" s="42"/>
      <c r="AG1517" s="42"/>
      <c r="AH1517" s="42"/>
      <c r="AI1517" s="42"/>
      <c r="AJ1517" s="42"/>
      <c r="AK1517" s="42"/>
      <c r="AL1517" s="42"/>
      <c r="AM1517" s="42"/>
    </row>
    <row r="1518" spans="1:39" x14ac:dyDescent="0.25">
      <c r="A1518" s="38" t="s">
        <v>1869</v>
      </c>
      <c r="B1518" s="42"/>
      <c r="C1518" s="42"/>
      <c r="D1518" s="42"/>
      <c r="E1518" s="41"/>
      <c r="F1518" s="41"/>
      <c r="G1518" s="41"/>
      <c r="H1518" s="41"/>
      <c r="I1518" s="41"/>
      <c r="J1518" s="42"/>
      <c r="K1518" s="41"/>
      <c r="L1518" s="41"/>
      <c r="M1518" s="127"/>
      <c r="N1518" s="41"/>
      <c r="O1518" s="41"/>
      <c r="P1518" s="41"/>
      <c r="Q1518" s="42"/>
      <c r="R1518" s="35"/>
      <c r="S1518" s="35"/>
      <c r="T1518" s="35"/>
      <c r="U1518" s="35"/>
      <c r="V1518" s="121"/>
      <c r="W1518" s="42"/>
      <c r="X1518" s="42"/>
      <c r="Y1518" s="42"/>
      <c r="Z1518" s="42"/>
      <c r="AA1518" s="42"/>
      <c r="AB1518" s="42"/>
      <c r="AC1518" s="42"/>
      <c r="AD1518" s="42"/>
      <c r="AE1518" s="42"/>
      <c r="AF1518" s="42"/>
      <c r="AG1518" s="42"/>
      <c r="AH1518" s="42"/>
      <c r="AI1518" s="42"/>
      <c r="AJ1518" s="42"/>
      <c r="AK1518" s="42"/>
      <c r="AL1518" s="42"/>
      <c r="AM1518" s="42"/>
    </row>
    <row r="1519" spans="1:39" x14ac:dyDescent="0.25">
      <c r="A1519" s="38" t="s">
        <v>1870</v>
      </c>
      <c r="B1519" s="42"/>
      <c r="C1519" s="42"/>
      <c r="D1519" s="42"/>
      <c r="E1519" s="41"/>
      <c r="F1519" s="41"/>
      <c r="G1519" s="41"/>
      <c r="H1519" s="41"/>
      <c r="I1519" s="41"/>
      <c r="J1519" s="42"/>
      <c r="K1519" s="41"/>
      <c r="L1519" s="41"/>
      <c r="M1519" s="127"/>
      <c r="N1519" s="41"/>
      <c r="O1519" s="41"/>
      <c r="P1519" s="41"/>
      <c r="Q1519" s="42"/>
      <c r="R1519" s="35"/>
      <c r="S1519" s="35"/>
      <c r="T1519" s="35"/>
      <c r="U1519" s="35"/>
      <c r="V1519" s="121"/>
      <c r="W1519" s="42"/>
      <c r="X1519" s="42"/>
      <c r="Y1519" s="42"/>
      <c r="Z1519" s="42"/>
      <c r="AA1519" s="42"/>
      <c r="AB1519" s="42"/>
      <c r="AC1519" s="42"/>
      <c r="AD1519" s="42"/>
      <c r="AE1519" s="42"/>
      <c r="AF1519" s="42"/>
      <c r="AG1519" s="42"/>
      <c r="AH1519" s="42"/>
      <c r="AI1519" s="42"/>
      <c r="AJ1519" s="42"/>
      <c r="AK1519" s="42"/>
      <c r="AL1519" s="42"/>
      <c r="AM1519" s="42"/>
    </row>
    <row r="1520" spans="1:39" x14ac:dyDescent="0.25">
      <c r="A1520" s="38" t="s">
        <v>1871</v>
      </c>
      <c r="B1520" s="42"/>
      <c r="C1520" s="42"/>
      <c r="D1520" s="42"/>
      <c r="E1520" s="41"/>
      <c r="F1520" s="41"/>
      <c r="G1520" s="41"/>
      <c r="H1520" s="41"/>
      <c r="I1520" s="41"/>
      <c r="J1520" s="42"/>
      <c r="K1520" s="41"/>
      <c r="L1520" s="41"/>
      <c r="M1520" s="127"/>
      <c r="N1520" s="41"/>
      <c r="O1520" s="41"/>
      <c r="P1520" s="41"/>
      <c r="Q1520" s="42"/>
      <c r="R1520" s="35"/>
      <c r="S1520" s="35"/>
      <c r="T1520" s="35"/>
      <c r="U1520" s="35"/>
      <c r="V1520" s="121"/>
      <c r="W1520" s="42"/>
      <c r="X1520" s="42"/>
      <c r="Y1520" s="42"/>
      <c r="Z1520" s="42"/>
      <c r="AA1520" s="42"/>
      <c r="AB1520" s="42"/>
      <c r="AC1520" s="42"/>
      <c r="AD1520" s="42"/>
      <c r="AE1520" s="42"/>
      <c r="AF1520" s="42"/>
      <c r="AG1520" s="42"/>
      <c r="AH1520" s="42"/>
      <c r="AI1520" s="42"/>
      <c r="AJ1520" s="42"/>
      <c r="AK1520" s="42"/>
      <c r="AL1520" s="42"/>
      <c r="AM1520" s="42"/>
    </row>
    <row r="1521" spans="1:39" x14ac:dyDescent="0.25">
      <c r="A1521" s="38" t="s">
        <v>1872</v>
      </c>
      <c r="B1521" s="42"/>
      <c r="C1521" s="42"/>
      <c r="D1521" s="42"/>
      <c r="E1521" s="41"/>
      <c r="F1521" s="41"/>
      <c r="G1521" s="41"/>
      <c r="H1521" s="41"/>
      <c r="I1521" s="41"/>
      <c r="J1521" s="42"/>
      <c r="K1521" s="41"/>
      <c r="L1521" s="41"/>
      <c r="M1521" s="127"/>
      <c r="N1521" s="41"/>
      <c r="O1521" s="41"/>
      <c r="P1521" s="41"/>
      <c r="Q1521" s="42"/>
      <c r="R1521" s="35"/>
      <c r="S1521" s="35"/>
      <c r="T1521" s="35"/>
      <c r="U1521" s="35"/>
      <c r="V1521" s="121"/>
      <c r="W1521" s="42"/>
      <c r="X1521" s="42"/>
      <c r="Y1521" s="42"/>
      <c r="Z1521" s="42"/>
      <c r="AA1521" s="42"/>
      <c r="AB1521" s="42"/>
      <c r="AC1521" s="42"/>
      <c r="AD1521" s="42"/>
      <c r="AE1521" s="42"/>
      <c r="AF1521" s="42"/>
      <c r="AG1521" s="42"/>
      <c r="AH1521" s="42"/>
      <c r="AI1521" s="42"/>
      <c r="AJ1521" s="42"/>
      <c r="AK1521" s="42"/>
      <c r="AL1521" s="42"/>
      <c r="AM1521" s="42"/>
    </row>
    <row r="1522" spans="1:39" x14ac:dyDescent="0.25">
      <c r="A1522" s="38" t="s">
        <v>1873</v>
      </c>
      <c r="B1522" s="42"/>
      <c r="C1522" s="42"/>
      <c r="D1522" s="42"/>
      <c r="E1522" s="41"/>
      <c r="F1522" s="41"/>
      <c r="G1522" s="41"/>
      <c r="H1522" s="41"/>
      <c r="I1522" s="41"/>
      <c r="J1522" s="42"/>
      <c r="K1522" s="41"/>
      <c r="L1522" s="41"/>
      <c r="M1522" s="127"/>
      <c r="N1522" s="41"/>
      <c r="O1522" s="41"/>
      <c r="P1522" s="41"/>
      <c r="Q1522" s="42"/>
      <c r="R1522" s="35"/>
      <c r="S1522" s="35"/>
      <c r="T1522" s="35"/>
      <c r="U1522" s="35"/>
      <c r="V1522" s="121"/>
      <c r="W1522" s="42"/>
      <c r="X1522" s="42"/>
      <c r="Y1522" s="42"/>
      <c r="Z1522" s="42"/>
      <c r="AA1522" s="42"/>
      <c r="AB1522" s="42"/>
      <c r="AC1522" s="42"/>
      <c r="AD1522" s="42"/>
      <c r="AE1522" s="42"/>
      <c r="AF1522" s="42"/>
      <c r="AG1522" s="42"/>
      <c r="AH1522" s="42"/>
      <c r="AI1522" s="42"/>
      <c r="AJ1522" s="42"/>
      <c r="AK1522" s="42"/>
      <c r="AL1522" s="42"/>
      <c r="AM1522" s="42"/>
    </row>
    <row r="1523" spans="1:39" x14ac:dyDescent="0.25">
      <c r="A1523" s="38" t="s">
        <v>1874</v>
      </c>
      <c r="B1523" s="42"/>
      <c r="C1523" s="42"/>
      <c r="D1523" s="42"/>
      <c r="E1523" s="41"/>
      <c r="F1523" s="41"/>
      <c r="G1523" s="41"/>
      <c r="H1523" s="41"/>
      <c r="I1523" s="41"/>
      <c r="J1523" s="42"/>
      <c r="K1523" s="41"/>
      <c r="L1523" s="41"/>
      <c r="M1523" s="127"/>
      <c r="N1523" s="41"/>
      <c r="O1523" s="41"/>
      <c r="P1523" s="41"/>
      <c r="Q1523" s="42"/>
      <c r="R1523" s="35"/>
      <c r="S1523" s="35"/>
      <c r="T1523" s="35"/>
      <c r="U1523" s="35"/>
      <c r="V1523" s="121"/>
      <c r="W1523" s="42"/>
      <c r="X1523" s="42"/>
      <c r="Y1523" s="42"/>
      <c r="Z1523" s="42"/>
      <c r="AA1523" s="42"/>
      <c r="AB1523" s="42"/>
      <c r="AC1523" s="42"/>
      <c r="AD1523" s="42"/>
      <c r="AE1523" s="42"/>
      <c r="AF1523" s="42"/>
      <c r="AG1523" s="42"/>
      <c r="AH1523" s="42"/>
      <c r="AI1523" s="42"/>
      <c r="AJ1523" s="42"/>
      <c r="AK1523" s="42"/>
      <c r="AL1523" s="42"/>
      <c r="AM1523" s="42"/>
    </row>
    <row r="1524" spans="1:39" x14ac:dyDescent="0.25">
      <c r="A1524" s="38" t="s">
        <v>1875</v>
      </c>
      <c r="B1524" s="42"/>
      <c r="C1524" s="42"/>
      <c r="D1524" s="42"/>
      <c r="E1524" s="41"/>
      <c r="F1524" s="41"/>
      <c r="G1524" s="41"/>
      <c r="H1524" s="41"/>
      <c r="I1524" s="41"/>
      <c r="J1524" s="42"/>
      <c r="K1524" s="41"/>
      <c r="L1524" s="41"/>
      <c r="M1524" s="127"/>
      <c r="N1524" s="41"/>
      <c r="O1524" s="41"/>
      <c r="P1524" s="41"/>
      <c r="Q1524" s="42"/>
      <c r="R1524" s="35"/>
      <c r="S1524" s="35"/>
      <c r="T1524" s="35"/>
      <c r="U1524" s="35"/>
      <c r="V1524" s="121"/>
      <c r="W1524" s="42"/>
      <c r="X1524" s="42"/>
      <c r="Y1524" s="42"/>
      <c r="Z1524" s="42"/>
      <c r="AA1524" s="42"/>
      <c r="AB1524" s="42"/>
      <c r="AC1524" s="42"/>
      <c r="AD1524" s="42"/>
      <c r="AE1524" s="42"/>
      <c r="AF1524" s="42"/>
      <c r="AG1524" s="42"/>
      <c r="AH1524" s="42"/>
      <c r="AI1524" s="42"/>
      <c r="AJ1524" s="42"/>
      <c r="AK1524" s="42"/>
      <c r="AL1524" s="42"/>
      <c r="AM1524" s="42"/>
    </row>
    <row r="1525" spans="1:39" x14ac:dyDescent="0.25">
      <c r="A1525" s="38" t="s">
        <v>1876</v>
      </c>
      <c r="B1525" s="42"/>
      <c r="C1525" s="42"/>
      <c r="D1525" s="42"/>
      <c r="E1525" s="41"/>
      <c r="F1525" s="41"/>
      <c r="G1525" s="41"/>
      <c r="H1525" s="41"/>
      <c r="I1525" s="41"/>
      <c r="J1525" s="42"/>
      <c r="K1525" s="41"/>
      <c r="L1525" s="41"/>
      <c r="M1525" s="127"/>
      <c r="N1525" s="41"/>
      <c r="O1525" s="41"/>
      <c r="P1525" s="41"/>
      <c r="Q1525" s="42"/>
      <c r="R1525" s="35"/>
      <c r="S1525" s="35"/>
      <c r="T1525" s="35"/>
      <c r="U1525" s="35"/>
      <c r="V1525" s="121"/>
      <c r="W1525" s="42"/>
      <c r="X1525" s="42"/>
      <c r="Y1525" s="42"/>
      <c r="Z1525" s="42"/>
      <c r="AA1525" s="42"/>
      <c r="AB1525" s="42"/>
      <c r="AC1525" s="42"/>
      <c r="AD1525" s="42"/>
      <c r="AE1525" s="42"/>
      <c r="AF1525" s="42"/>
      <c r="AG1525" s="42"/>
      <c r="AH1525" s="42"/>
      <c r="AI1525" s="42"/>
      <c r="AJ1525" s="42"/>
      <c r="AK1525" s="42"/>
      <c r="AL1525" s="42"/>
      <c r="AM1525" s="42"/>
    </row>
    <row r="1526" spans="1:39" x14ac:dyDescent="0.25">
      <c r="A1526" s="38" t="s">
        <v>1877</v>
      </c>
      <c r="B1526" s="42"/>
      <c r="C1526" s="42"/>
      <c r="D1526" s="42"/>
      <c r="E1526" s="41"/>
      <c r="F1526" s="41"/>
      <c r="G1526" s="41"/>
      <c r="H1526" s="41"/>
      <c r="I1526" s="41"/>
      <c r="J1526" s="42"/>
      <c r="K1526" s="41"/>
      <c r="L1526" s="41"/>
      <c r="M1526" s="127"/>
      <c r="N1526" s="41"/>
      <c r="O1526" s="41"/>
      <c r="P1526" s="41"/>
      <c r="Q1526" s="42"/>
      <c r="R1526" s="35"/>
      <c r="S1526" s="35"/>
      <c r="T1526" s="35"/>
      <c r="U1526" s="35"/>
      <c r="V1526" s="121"/>
      <c r="W1526" s="42"/>
      <c r="X1526" s="42"/>
      <c r="Y1526" s="42"/>
      <c r="Z1526" s="42"/>
      <c r="AA1526" s="42"/>
      <c r="AB1526" s="42"/>
      <c r="AC1526" s="42"/>
      <c r="AD1526" s="42"/>
      <c r="AE1526" s="42"/>
      <c r="AF1526" s="42"/>
      <c r="AG1526" s="42"/>
      <c r="AH1526" s="42"/>
      <c r="AI1526" s="42"/>
      <c r="AJ1526" s="42"/>
      <c r="AK1526" s="42"/>
      <c r="AL1526" s="42"/>
      <c r="AM1526" s="42"/>
    </row>
    <row r="1527" spans="1:39" x14ac:dyDescent="0.25">
      <c r="A1527" s="38" t="s">
        <v>1878</v>
      </c>
      <c r="B1527" s="42"/>
      <c r="C1527" s="42"/>
      <c r="D1527" s="42"/>
      <c r="E1527" s="41"/>
      <c r="F1527" s="41"/>
      <c r="G1527" s="41"/>
      <c r="H1527" s="41"/>
      <c r="I1527" s="41"/>
      <c r="J1527" s="42"/>
      <c r="K1527" s="41"/>
      <c r="L1527" s="41"/>
      <c r="M1527" s="127"/>
      <c r="N1527" s="41"/>
      <c r="O1527" s="41"/>
      <c r="P1527" s="41"/>
      <c r="Q1527" s="42"/>
      <c r="R1527" s="35"/>
      <c r="S1527" s="35"/>
      <c r="T1527" s="35"/>
      <c r="U1527" s="35"/>
      <c r="V1527" s="121"/>
      <c r="W1527" s="42"/>
      <c r="X1527" s="42"/>
      <c r="Y1527" s="42"/>
      <c r="Z1527" s="42"/>
      <c r="AA1527" s="42"/>
      <c r="AB1527" s="42"/>
      <c r="AC1527" s="42"/>
      <c r="AD1527" s="42"/>
      <c r="AE1527" s="42"/>
      <c r="AF1527" s="42"/>
      <c r="AG1527" s="42"/>
      <c r="AH1527" s="42"/>
      <c r="AI1527" s="42"/>
      <c r="AJ1527" s="42"/>
      <c r="AK1527" s="42"/>
      <c r="AL1527" s="42"/>
      <c r="AM1527" s="42"/>
    </row>
    <row r="1528" spans="1:39" x14ac:dyDescent="0.25">
      <c r="A1528" s="38" t="s">
        <v>1879</v>
      </c>
      <c r="B1528" s="42"/>
      <c r="C1528" s="42"/>
      <c r="D1528" s="42"/>
      <c r="E1528" s="41"/>
      <c r="F1528" s="41"/>
      <c r="G1528" s="41"/>
      <c r="H1528" s="41"/>
      <c r="I1528" s="41"/>
      <c r="J1528" s="42"/>
      <c r="K1528" s="41"/>
      <c r="L1528" s="41"/>
      <c r="M1528" s="127"/>
      <c r="N1528" s="41"/>
      <c r="O1528" s="41"/>
      <c r="P1528" s="41"/>
      <c r="Q1528" s="42"/>
      <c r="R1528" s="35"/>
      <c r="S1528" s="35"/>
      <c r="T1528" s="35"/>
      <c r="U1528" s="35"/>
      <c r="V1528" s="121"/>
      <c r="W1528" s="42"/>
      <c r="X1528" s="42"/>
      <c r="Y1528" s="42"/>
      <c r="Z1528" s="42"/>
      <c r="AA1528" s="42"/>
      <c r="AB1528" s="42"/>
      <c r="AC1528" s="42"/>
      <c r="AD1528" s="42"/>
      <c r="AE1528" s="42"/>
      <c r="AF1528" s="42"/>
      <c r="AG1528" s="42"/>
      <c r="AH1528" s="42"/>
      <c r="AI1528" s="42"/>
      <c r="AJ1528" s="42"/>
      <c r="AK1528" s="42"/>
      <c r="AL1528" s="42"/>
      <c r="AM1528" s="42"/>
    </row>
    <row r="1529" spans="1:39" x14ac:dyDescent="0.25">
      <c r="A1529" s="38" t="s">
        <v>1880</v>
      </c>
      <c r="B1529" s="42"/>
      <c r="C1529" s="42"/>
      <c r="D1529" s="42"/>
      <c r="E1529" s="41"/>
      <c r="F1529" s="41"/>
      <c r="G1529" s="41"/>
      <c r="H1529" s="41"/>
      <c r="I1529" s="41"/>
      <c r="J1529" s="42"/>
      <c r="K1529" s="41"/>
      <c r="L1529" s="41"/>
      <c r="M1529" s="127"/>
      <c r="N1529" s="41"/>
      <c r="O1529" s="41"/>
      <c r="P1529" s="41"/>
      <c r="Q1529" s="42"/>
      <c r="R1529" s="35"/>
      <c r="S1529" s="35"/>
      <c r="T1529" s="35"/>
      <c r="U1529" s="35"/>
      <c r="V1529" s="121"/>
      <c r="W1529" s="42"/>
      <c r="X1529" s="42"/>
      <c r="Y1529" s="42"/>
      <c r="Z1529" s="42"/>
      <c r="AA1529" s="42"/>
      <c r="AB1529" s="42"/>
      <c r="AC1529" s="42"/>
      <c r="AD1529" s="42"/>
      <c r="AE1529" s="42"/>
      <c r="AF1529" s="42"/>
      <c r="AG1529" s="42"/>
      <c r="AH1529" s="42"/>
      <c r="AI1529" s="42"/>
      <c r="AJ1529" s="42"/>
      <c r="AK1529" s="42"/>
      <c r="AL1529" s="42"/>
      <c r="AM1529" s="42"/>
    </row>
    <row r="1530" spans="1:39" x14ac:dyDescent="0.25">
      <c r="A1530" s="38" t="s">
        <v>1881</v>
      </c>
      <c r="B1530" s="42"/>
      <c r="C1530" s="42"/>
      <c r="D1530" s="42"/>
      <c r="E1530" s="41"/>
      <c r="F1530" s="41"/>
      <c r="G1530" s="41"/>
      <c r="H1530" s="41"/>
      <c r="I1530" s="41"/>
      <c r="J1530" s="42"/>
      <c r="K1530" s="41"/>
      <c r="L1530" s="41"/>
      <c r="M1530" s="127"/>
      <c r="N1530" s="41"/>
      <c r="O1530" s="41"/>
      <c r="P1530" s="41"/>
      <c r="Q1530" s="42"/>
      <c r="R1530" s="35"/>
      <c r="S1530" s="35"/>
      <c r="T1530" s="35"/>
      <c r="U1530" s="35"/>
      <c r="V1530" s="121"/>
      <c r="W1530" s="42"/>
      <c r="X1530" s="42"/>
      <c r="Y1530" s="42"/>
      <c r="Z1530" s="42"/>
      <c r="AA1530" s="42"/>
      <c r="AB1530" s="42"/>
      <c r="AC1530" s="42"/>
      <c r="AD1530" s="42"/>
      <c r="AE1530" s="42"/>
      <c r="AF1530" s="42"/>
      <c r="AG1530" s="42"/>
      <c r="AH1530" s="42"/>
      <c r="AI1530" s="42"/>
      <c r="AJ1530" s="42"/>
      <c r="AK1530" s="42"/>
      <c r="AL1530" s="42"/>
      <c r="AM1530" s="42"/>
    </row>
    <row r="1531" spans="1:39" x14ac:dyDescent="0.25">
      <c r="A1531" s="38" t="s">
        <v>1882</v>
      </c>
      <c r="B1531" s="42"/>
      <c r="C1531" s="42"/>
      <c r="D1531" s="42"/>
      <c r="E1531" s="41"/>
      <c r="F1531" s="41"/>
      <c r="G1531" s="41"/>
      <c r="H1531" s="41"/>
      <c r="I1531" s="41"/>
      <c r="J1531" s="42"/>
      <c r="K1531" s="41"/>
      <c r="L1531" s="41"/>
      <c r="M1531" s="127"/>
      <c r="N1531" s="41"/>
      <c r="O1531" s="41"/>
      <c r="P1531" s="41"/>
      <c r="Q1531" s="42"/>
      <c r="R1531" s="35"/>
      <c r="S1531" s="35"/>
      <c r="T1531" s="35"/>
      <c r="U1531" s="35"/>
      <c r="V1531" s="121"/>
      <c r="W1531" s="42"/>
      <c r="X1531" s="42"/>
      <c r="Y1531" s="42"/>
      <c r="Z1531" s="42"/>
      <c r="AA1531" s="42"/>
      <c r="AB1531" s="42"/>
      <c r="AC1531" s="42"/>
      <c r="AD1531" s="42"/>
      <c r="AE1531" s="42"/>
      <c r="AF1531" s="42"/>
      <c r="AG1531" s="42"/>
      <c r="AH1531" s="42"/>
      <c r="AI1531" s="42"/>
      <c r="AJ1531" s="42"/>
      <c r="AK1531" s="42"/>
      <c r="AL1531" s="42"/>
      <c r="AM1531" s="42"/>
    </row>
    <row r="1532" spans="1:39" x14ac:dyDescent="0.25">
      <c r="A1532" s="38" t="s">
        <v>1883</v>
      </c>
      <c r="B1532" s="42"/>
      <c r="C1532" s="42"/>
      <c r="D1532" s="42"/>
      <c r="E1532" s="41"/>
      <c r="F1532" s="41"/>
      <c r="G1532" s="41"/>
      <c r="H1532" s="41"/>
      <c r="I1532" s="41"/>
      <c r="J1532" s="42"/>
      <c r="K1532" s="41"/>
      <c r="L1532" s="41"/>
      <c r="M1532" s="127"/>
      <c r="N1532" s="41"/>
      <c r="O1532" s="41"/>
      <c r="P1532" s="41"/>
      <c r="Q1532" s="42"/>
      <c r="R1532" s="35"/>
      <c r="S1532" s="35"/>
      <c r="T1532" s="35"/>
      <c r="U1532" s="35"/>
      <c r="V1532" s="121"/>
      <c r="W1532" s="42"/>
      <c r="X1532" s="42"/>
      <c r="Y1532" s="42"/>
      <c r="Z1532" s="42"/>
      <c r="AA1532" s="42"/>
      <c r="AB1532" s="42"/>
      <c r="AC1532" s="42"/>
      <c r="AD1532" s="42"/>
      <c r="AE1532" s="42"/>
      <c r="AF1532" s="42"/>
      <c r="AG1532" s="42"/>
      <c r="AH1532" s="42"/>
      <c r="AI1532" s="42"/>
      <c r="AJ1532" s="42"/>
      <c r="AK1532" s="42"/>
      <c r="AL1532" s="42"/>
      <c r="AM1532" s="42"/>
    </row>
    <row r="1533" spans="1:39" x14ac:dyDescent="0.25">
      <c r="A1533" s="38" t="s">
        <v>1884</v>
      </c>
      <c r="B1533" s="42"/>
      <c r="C1533" s="42"/>
      <c r="D1533" s="42"/>
      <c r="E1533" s="41"/>
      <c r="F1533" s="41"/>
      <c r="G1533" s="41"/>
      <c r="H1533" s="41"/>
      <c r="I1533" s="41"/>
      <c r="J1533" s="42"/>
      <c r="K1533" s="41"/>
      <c r="L1533" s="41"/>
      <c r="M1533" s="127"/>
      <c r="N1533" s="41"/>
      <c r="O1533" s="41"/>
      <c r="P1533" s="41"/>
      <c r="Q1533" s="42"/>
      <c r="R1533" s="35"/>
      <c r="S1533" s="35"/>
      <c r="T1533" s="35"/>
      <c r="U1533" s="35"/>
      <c r="V1533" s="121"/>
      <c r="W1533" s="42"/>
      <c r="X1533" s="42"/>
      <c r="Y1533" s="42"/>
      <c r="Z1533" s="42"/>
      <c r="AA1533" s="42"/>
      <c r="AB1533" s="42"/>
      <c r="AC1533" s="42"/>
      <c r="AD1533" s="42"/>
      <c r="AE1533" s="42"/>
      <c r="AF1533" s="42"/>
      <c r="AG1533" s="42"/>
      <c r="AH1533" s="42"/>
      <c r="AI1533" s="42"/>
      <c r="AJ1533" s="42"/>
      <c r="AK1533" s="42"/>
      <c r="AL1533" s="42"/>
      <c r="AM1533" s="42"/>
    </row>
    <row r="1534" spans="1:39" x14ac:dyDescent="0.25">
      <c r="A1534" s="38" t="s">
        <v>1885</v>
      </c>
      <c r="B1534" s="42"/>
      <c r="C1534" s="42"/>
      <c r="D1534" s="42"/>
      <c r="E1534" s="41"/>
      <c r="F1534" s="41"/>
      <c r="G1534" s="41"/>
      <c r="H1534" s="41"/>
      <c r="I1534" s="41"/>
      <c r="J1534" s="42"/>
      <c r="K1534" s="41"/>
      <c r="L1534" s="41"/>
      <c r="M1534" s="127"/>
      <c r="N1534" s="41"/>
      <c r="O1534" s="41"/>
      <c r="P1534" s="41"/>
      <c r="Q1534" s="42"/>
      <c r="R1534" s="35"/>
      <c r="S1534" s="35"/>
      <c r="T1534" s="35"/>
      <c r="U1534" s="35"/>
      <c r="V1534" s="121"/>
      <c r="W1534" s="42"/>
      <c r="X1534" s="42"/>
      <c r="Y1534" s="42"/>
      <c r="Z1534" s="42"/>
      <c r="AA1534" s="42"/>
      <c r="AB1534" s="42"/>
      <c r="AC1534" s="42"/>
      <c r="AD1534" s="42"/>
      <c r="AE1534" s="42"/>
      <c r="AF1534" s="42"/>
      <c r="AG1534" s="42"/>
      <c r="AH1534" s="42"/>
      <c r="AI1534" s="42"/>
      <c r="AJ1534" s="42"/>
      <c r="AK1534" s="42"/>
      <c r="AL1534" s="42"/>
      <c r="AM1534" s="42"/>
    </row>
    <row r="1535" spans="1:39" x14ac:dyDescent="0.25">
      <c r="A1535" s="38" t="s">
        <v>1886</v>
      </c>
      <c r="B1535" s="42"/>
      <c r="C1535" s="42"/>
      <c r="D1535" s="42"/>
      <c r="E1535" s="41"/>
      <c r="F1535" s="41"/>
      <c r="G1535" s="41"/>
      <c r="H1535" s="41"/>
      <c r="I1535" s="41"/>
      <c r="J1535" s="42"/>
      <c r="K1535" s="41"/>
      <c r="L1535" s="41"/>
      <c r="M1535" s="127"/>
      <c r="N1535" s="41"/>
      <c r="O1535" s="41"/>
      <c r="P1535" s="41"/>
      <c r="Q1535" s="42"/>
      <c r="R1535" s="35"/>
      <c r="S1535" s="35"/>
      <c r="T1535" s="35"/>
      <c r="U1535" s="35"/>
      <c r="V1535" s="121"/>
      <c r="W1535" s="42"/>
      <c r="X1535" s="42"/>
      <c r="Y1535" s="42"/>
      <c r="Z1535" s="42"/>
      <c r="AA1535" s="42"/>
      <c r="AB1535" s="42"/>
      <c r="AC1535" s="42"/>
      <c r="AD1535" s="42"/>
      <c r="AE1535" s="42"/>
      <c r="AF1535" s="42"/>
      <c r="AG1535" s="42"/>
      <c r="AH1535" s="42"/>
      <c r="AI1535" s="42"/>
      <c r="AJ1535" s="42"/>
      <c r="AK1535" s="42"/>
      <c r="AL1535" s="42"/>
      <c r="AM1535" s="42"/>
    </row>
    <row r="1536" spans="1:39" x14ac:dyDescent="0.25">
      <c r="A1536" s="38" t="s">
        <v>1887</v>
      </c>
      <c r="B1536" s="42"/>
      <c r="C1536" s="42"/>
      <c r="D1536" s="42"/>
      <c r="E1536" s="41"/>
      <c r="F1536" s="41"/>
      <c r="G1536" s="41"/>
      <c r="H1536" s="41"/>
      <c r="I1536" s="41"/>
      <c r="J1536" s="42"/>
      <c r="K1536" s="41"/>
      <c r="L1536" s="41"/>
      <c r="M1536" s="127"/>
      <c r="N1536" s="41"/>
      <c r="O1536" s="41"/>
      <c r="P1536" s="41"/>
      <c r="Q1536" s="42"/>
      <c r="R1536" s="35"/>
      <c r="S1536" s="35"/>
      <c r="T1536" s="35"/>
      <c r="U1536" s="35"/>
      <c r="V1536" s="121"/>
      <c r="W1536" s="42"/>
      <c r="X1536" s="42"/>
      <c r="Y1536" s="42"/>
      <c r="Z1536" s="42"/>
      <c r="AA1536" s="42"/>
      <c r="AB1536" s="42"/>
      <c r="AC1536" s="42"/>
      <c r="AD1536" s="42"/>
      <c r="AE1536" s="42"/>
      <c r="AF1536" s="42"/>
      <c r="AG1536" s="42"/>
      <c r="AH1536" s="42"/>
      <c r="AI1536" s="42"/>
      <c r="AJ1536" s="42"/>
      <c r="AK1536" s="42"/>
      <c r="AL1536" s="42"/>
      <c r="AM1536" s="42"/>
    </row>
    <row r="1537" spans="1:39" x14ac:dyDescent="0.25">
      <c r="A1537" s="38" t="s">
        <v>1888</v>
      </c>
      <c r="B1537" s="42"/>
      <c r="C1537" s="42"/>
      <c r="D1537" s="42"/>
      <c r="E1537" s="41"/>
      <c r="F1537" s="41"/>
      <c r="G1537" s="41"/>
      <c r="H1537" s="41"/>
      <c r="I1537" s="41"/>
      <c r="J1537" s="42"/>
      <c r="K1537" s="41"/>
      <c r="L1537" s="41"/>
      <c r="M1537" s="127"/>
      <c r="N1537" s="41"/>
      <c r="O1537" s="41"/>
      <c r="P1537" s="41"/>
      <c r="Q1537" s="42"/>
      <c r="R1537" s="35"/>
      <c r="S1537" s="35"/>
      <c r="T1537" s="35"/>
      <c r="U1537" s="35"/>
      <c r="V1537" s="121"/>
      <c r="W1537" s="42"/>
      <c r="X1537" s="42"/>
      <c r="Y1537" s="42"/>
      <c r="Z1537" s="42"/>
      <c r="AA1537" s="42"/>
      <c r="AB1537" s="42"/>
      <c r="AC1537" s="42"/>
      <c r="AD1537" s="42"/>
      <c r="AE1537" s="42"/>
      <c r="AF1537" s="42"/>
      <c r="AG1537" s="42"/>
      <c r="AH1537" s="42"/>
      <c r="AI1537" s="42"/>
      <c r="AJ1537" s="42"/>
      <c r="AK1537" s="42"/>
      <c r="AL1537" s="42"/>
      <c r="AM1537" s="42"/>
    </row>
    <row r="1538" spans="1:39" x14ac:dyDescent="0.25">
      <c r="A1538" s="38" t="s">
        <v>1889</v>
      </c>
      <c r="B1538" s="42"/>
      <c r="C1538" s="42"/>
      <c r="D1538" s="42"/>
      <c r="E1538" s="41"/>
      <c r="F1538" s="41"/>
      <c r="G1538" s="41"/>
      <c r="H1538" s="41"/>
      <c r="I1538" s="41"/>
      <c r="J1538" s="42"/>
      <c r="K1538" s="41"/>
      <c r="L1538" s="41"/>
      <c r="M1538" s="127"/>
      <c r="N1538" s="41"/>
      <c r="O1538" s="41"/>
      <c r="P1538" s="41"/>
      <c r="Q1538" s="42"/>
      <c r="R1538" s="35"/>
      <c r="S1538" s="35"/>
      <c r="T1538" s="35"/>
      <c r="U1538" s="35"/>
      <c r="V1538" s="121"/>
      <c r="W1538" s="42"/>
      <c r="X1538" s="42"/>
      <c r="Y1538" s="42"/>
      <c r="Z1538" s="42"/>
      <c r="AA1538" s="42"/>
      <c r="AB1538" s="42"/>
      <c r="AC1538" s="42"/>
      <c r="AD1538" s="42"/>
      <c r="AE1538" s="42"/>
      <c r="AF1538" s="42"/>
      <c r="AG1538" s="42"/>
      <c r="AH1538" s="42"/>
      <c r="AI1538" s="42"/>
      <c r="AJ1538" s="42"/>
      <c r="AK1538" s="42"/>
      <c r="AL1538" s="42"/>
      <c r="AM1538" s="42"/>
    </row>
    <row r="1539" spans="1:39" x14ac:dyDescent="0.25">
      <c r="A1539" s="38" t="s">
        <v>1890</v>
      </c>
      <c r="B1539" s="42"/>
      <c r="C1539" s="42"/>
      <c r="D1539" s="42"/>
      <c r="E1539" s="41"/>
      <c r="F1539" s="41"/>
      <c r="G1539" s="41"/>
      <c r="H1539" s="41"/>
      <c r="I1539" s="41"/>
      <c r="J1539" s="42"/>
      <c r="K1539" s="41"/>
      <c r="L1539" s="41"/>
      <c r="M1539" s="127"/>
      <c r="N1539" s="41"/>
      <c r="O1539" s="41"/>
      <c r="P1539" s="41"/>
      <c r="Q1539" s="42"/>
      <c r="R1539" s="35"/>
      <c r="S1539" s="35"/>
      <c r="T1539" s="35"/>
      <c r="U1539" s="35"/>
      <c r="V1539" s="121"/>
      <c r="W1539" s="42"/>
      <c r="X1539" s="42"/>
      <c r="Y1539" s="42"/>
      <c r="Z1539" s="42"/>
      <c r="AA1539" s="42"/>
      <c r="AB1539" s="42"/>
      <c r="AC1539" s="42"/>
      <c r="AD1539" s="42"/>
      <c r="AE1539" s="42"/>
      <c r="AF1539" s="42"/>
      <c r="AG1539" s="42"/>
      <c r="AH1539" s="42"/>
      <c r="AI1539" s="42"/>
      <c r="AJ1539" s="42"/>
      <c r="AK1539" s="42"/>
      <c r="AL1539" s="42"/>
      <c r="AM1539" s="42"/>
    </row>
    <row r="1540" spans="1:39" x14ac:dyDescent="0.25">
      <c r="A1540" s="38" t="s">
        <v>1891</v>
      </c>
      <c r="B1540" s="42"/>
      <c r="C1540" s="42"/>
      <c r="D1540" s="42"/>
      <c r="E1540" s="41"/>
      <c r="F1540" s="41"/>
      <c r="G1540" s="41"/>
      <c r="H1540" s="41"/>
      <c r="I1540" s="41"/>
      <c r="J1540" s="42"/>
      <c r="K1540" s="41"/>
      <c r="L1540" s="41"/>
      <c r="M1540" s="127"/>
      <c r="N1540" s="41"/>
      <c r="O1540" s="41"/>
      <c r="P1540" s="41"/>
      <c r="Q1540" s="42"/>
      <c r="R1540" s="35"/>
      <c r="S1540" s="35"/>
      <c r="T1540" s="35"/>
      <c r="U1540" s="35"/>
      <c r="V1540" s="121"/>
      <c r="W1540" s="42"/>
      <c r="X1540" s="42"/>
      <c r="Y1540" s="42"/>
      <c r="Z1540" s="42"/>
      <c r="AA1540" s="42"/>
      <c r="AB1540" s="42"/>
      <c r="AC1540" s="42"/>
      <c r="AD1540" s="42"/>
      <c r="AE1540" s="42"/>
      <c r="AF1540" s="42"/>
      <c r="AG1540" s="42"/>
      <c r="AH1540" s="42"/>
      <c r="AI1540" s="42"/>
      <c r="AJ1540" s="42"/>
      <c r="AK1540" s="42"/>
      <c r="AL1540" s="42"/>
      <c r="AM1540" s="42"/>
    </row>
    <row r="1541" spans="1:39" x14ac:dyDescent="0.25">
      <c r="A1541" s="38" t="s">
        <v>1892</v>
      </c>
      <c r="B1541" s="42"/>
      <c r="C1541" s="42"/>
      <c r="D1541" s="42"/>
      <c r="E1541" s="41"/>
      <c r="F1541" s="41"/>
      <c r="G1541" s="41"/>
      <c r="H1541" s="41"/>
      <c r="I1541" s="41"/>
      <c r="J1541" s="42"/>
      <c r="K1541" s="41"/>
      <c r="L1541" s="41"/>
      <c r="M1541" s="127"/>
      <c r="N1541" s="41"/>
      <c r="O1541" s="41"/>
      <c r="P1541" s="41"/>
      <c r="Q1541" s="42"/>
      <c r="R1541" s="35"/>
      <c r="S1541" s="35"/>
      <c r="T1541" s="35"/>
      <c r="U1541" s="35"/>
      <c r="V1541" s="121"/>
      <c r="W1541" s="42"/>
      <c r="X1541" s="42"/>
      <c r="Y1541" s="42"/>
      <c r="Z1541" s="42"/>
      <c r="AA1541" s="42"/>
      <c r="AB1541" s="42"/>
      <c r="AC1541" s="42"/>
      <c r="AD1541" s="42"/>
      <c r="AE1541" s="42"/>
      <c r="AF1541" s="42"/>
      <c r="AG1541" s="42"/>
      <c r="AH1541" s="42"/>
      <c r="AI1541" s="42"/>
      <c r="AJ1541" s="42"/>
      <c r="AK1541" s="42"/>
      <c r="AL1541" s="42"/>
      <c r="AM1541" s="42"/>
    </row>
    <row r="1542" spans="1:39" x14ac:dyDescent="0.25">
      <c r="A1542" s="38" t="s">
        <v>1893</v>
      </c>
      <c r="B1542" s="42"/>
      <c r="C1542" s="42"/>
      <c r="D1542" s="42"/>
      <c r="E1542" s="41"/>
      <c r="F1542" s="41"/>
      <c r="G1542" s="41"/>
      <c r="H1542" s="41"/>
      <c r="I1542" s="41"/>
      <c r="J1542" s="42"/>
      <c r="K1542" s="41"/>
      <c r="L1542" s="41"/>
      <c r="M1542" s="127"/>
      <c r="N1542" s="41"/>
      <c r="O1542" s="41"/>
      <c r="P1542" s="41"/>
      <c r="Q1542" s="42"/>
      <c r="R1542" s="35"/>
      <c r="S1542" s="35"/>
      <c r="T1542" s="35"/>
      <c r="U1542" s="35"/>
      <c r="V1542" s="121"/>
      <c r="W1542" s="42"/>
      <c r="X1542" s="42"/>
      <c r="Y1542" s="42"/>
      <c r="Z1542" s="42"/>
      <c r="AA1542" s="42"/>
      <c r="AB1542" s="42"/>
      <c r="AC1542" s="42"/>
      <c r="AD1542" s="42"/>
      <c r="AE1542" s="42"/>
      <c r="AF1542" s="42"/>
      <c r="AG1542" s="42"/>
      <c r="AH1542" s="42"/>
      <c r="AI1542" s="42"/>
      <c r="AJ1542" s="42"/>
      <c r="AK1542" s="42"/>
      <c r="AL1542" s="42"/>
      <c r="AM1542" s="42"/>
    </row>
    <row r="1543" spans="1:39" x14ac:dyDescent="0.25">
      <c r="A1543" s="38" t="s">
        <v>1894</v>
      </c>
      <c r="B1543" s="42"/>
      <c r="C1543" s="42"/>
      <c r="D1543" s="42"/>
      <c r="E1543" s="41"/>
      <c r="F1543" s="41"/>
      <c r="G1543" s="41"/>
      <c r="H1543" s="41"/>
      <c r="I1543" s="41"/>
      <c r="J1543" s="42"/>
      <c r="K1543" s="41"/>
      <c r="L1543" s="41"/>
      <c r="M1543" s="127"/>
      <c r="N1543" s="41"/>
      <c r="O1543" s="41"/>
      <c r="P1543" s="41"/>
      <c r="Q1543" s="42"/>
      <c r="R1543" s="35"/>
      <c r="S1543" s="35"/>
      <c r="T1543" s="35"/>
      <c r="U1543" s="35"/>
      <c r="V1543" s="121"/>
      <c r="W1543" s="42"/>
      <c r="X1543" s="42"/>
      <c r="Y1543" s="42"/>
      <c r="Z1543" s="42"/>
      <c r="AA1543" s="42"/>
      <c r="AB1543" s="42"/>
      <c r="AC1543" s="42"/>
      <c r="AD1543" s="42"/>
      <c r="AE1543" s="42"/>
      <c r="AF1543" s="42"/>
      <c r="AG1543" s="42"/>
      <c r="AH1543" s="42"/>
      <c r="AI1543" s="42"/>
      <c r="AJ1543" s="42"/>
      <c r="AK1543" s="42"/>
      <c r="AL1543" s="42"/>
      <c r="AM1543" s="42"/>
    </row>
    <row r="1544" spans="1:39" x14ac:dyDescent="0.25">
      <c r="A1544" s="38" t="s">
        <v>1895</v>
      </c>
      <c r="B1544" s="42"/>
      <c r="C1544" s="42"/>
      <c r="D1544" s="42"/>
      <c r="E1544" s="41"/>
      <c r="F1544" s="41"/>
      <c r="G1544" s="41"/>
      <c r="H1544" s="41"/>
      <c r="I1544" s="41"/>
      <c r="J1544" s="42"/>
      <c r="K1544" s="41"/>
      <c r="L1544" s="41"/>
      <c r="M1544" s="127"/>
      <c r="N1544" s="41"/>
      <c r="O1544" s="41"/>
      <c r="P1544" s="41"/>
      <c r="Q1544" s="42"/>
      <c r="R1544" s="35"/>
      <c r="S1544" s="35"/>
      <c r="T1544" s="35"/>
      <c r="U1544" s="35"/>
      <c r="V1544" s="121"/>
      <c r="W1544" s="42"/>
      <c r="X1544" s="42"/>
      <c r="Y1544" s="42"/>
      <c r="Z1544" s="42"/>
      <c r="AA1544" s="42"/>
      <c r="AB1544" s="42"/>
      <c r="AC1544" s="42"/>
      <c r="AD1544" s="42"/>
      <c r="AE1544" s="42"/>
      <c r="AF1544" s="42"/>
      <c r="AG1544" s="42"/>
      <c r="AH1544" s="42"/>
      <c r="AI1544" s="42"/>
      <c r="AJ1544" s="42"/>
      <c r="AK1544" s="42"/>
      <c r="AL1544" s="42"/>
      <c r="AM1544" s="42"/>
    </row>
    <row r="1545" spans="1:39" x14ac:dyDescent="0.25">
      <c r="A1545" s="38" t="s">
        <v>1896</v>
      </c>
      <c r="B1545" s="42"/>
      <c r="C1545" s="42"/>
      <c r="D1545" s="42"/>
      <c r="E1545" s="41"/>
      <c r="F1545" s="41"/>
      <c r="G1545" s="41"/>
      <c r="H1545" s="41"/>
      <c r="I1545" s="41"/>
      <c r="J1545" s="42"/>
      <c r="K1545" s="41"/>
      <c r="L1545" s="41"/>
      <c r="M1545" s="127"/>
      <c r="N1545" s="41"/>
      <c r="O1545" s="41"/>
      <c r="P1545" s="41"/>
      <c r="Q1545" s="42"/>
      <c r="R1545" s="35"/>
      <c r="S1545" s="35"/>
      <c r="T1545" s="35"/>
      <c r="U1545" s="35"/>
      <c r="V1545" s="121"/>
      <c r="W1545" s="42"/>
      <c r="X1545" s="42"/>
      <c r="Y1545" s="42"/>
      <c r="Z1545" s="42"/>
      <c r="AA1545" s="42"/>
      <c r="AB1545" s="42"/>
      <c r="AC1545" s="42"/>
      <c r="AD1545" s="42"/>
      <c r="AE1545" s="42"/>
      <c r="AF1545" s="42"/>
      <c r="AG1545" s="42"/>
      <c r="AH1545" s="42"/>
      <c r="AI1545" s="42"/>
      <c r="AJ1545" s="42"/>
      <c r="AK1545" s="42"/>
      <c r="AL1545" s="42"/>
      <c r="AM1545" s="42"/>
    </row>
    <row r="1546" spans="1:39" x14ac:dyDescent="0.25">
      <c r="A1546" s="38" t="s">
        <v>1897</v>
      </c>
      <c r="B1546" s="42"/>
      <c r="C1546" s="42"/>
      <c r="D1546" s="42"/>
      <c r="E1546" s="41"/>
      <c r="F1546" s="41"/>
      <c r="G1546" s="41"/>
      <c r="H1546" s="41"/>
      <c r="I1546" s="41"/>
      <c r="J1546" s="42"/>
      <c r="K1546" s="41"/>
      <c r="L1546" s="41"/>
      <c r="M1546" s="127"/>
      <c r="N1546" s="41"/>
      <c r="O1546" s="41"/>
      <c r="P1546" s="41"/>
      <c r="Q1546" s="42"/>
      <c r="R1546" s="35"/>
      <c r="S1546" s="35"/>
      <c r="T1546" s="35"/>
      <c r="U1546" s="35"/>
      <c r="V1546" s="121"/>
      <c r="W1546" s="42"/>
      <c r="X1546" s="42"/>
      <c r="Y1546" s="42"/>
      <c r="Z1546" s="42"/>
      <c r="AA1546" s="42"/>
      <c r="AB1546" s="42"/>
      <c r="AC1546" s="42"/>
      <c r="AD1546" s="42"/>
      <c r="AE1546" s="42"/>
      <c r="AF1546" s="42"/>
      <c r="AG1546" s="42"/>
      <c r="AH1546" s="42"/>
      <c r="AI1546" s="42"/>
      <c r="AJ1546" s="42"/>
      <c r="AK1546" s="42"/>
      <c r="AL1546" s="42"/>
      <c r="AM1546" s="42"/>
    </row>
    <row r="1547" spans="1:39" x14ac:dyDescent="0.25">
      <c r="A1547" s="38" t="s">
        <v>1898</v>
      </c>
      <c r="B1547" s="42"/>
      <c r="C1547" s="42"/>
      <c r="D1547" s="42"/>
      <c r="E1547" s="41"/>
      <c r="F1547" s="41"/>
      <c r="G1547" s="41"/>
      <c r="H1547" s="41"/>
      <c r="I1547" s="41"/>
      <c r="J1547" s="42"/>
      <c r="K1547" s="41"/>
      <c r="L1547" s="41"/>
      <c r="M1547" s="127"/>
      <c r="N1547" s="41"/>
      <c r="O1547" s="41"/>
      <c r="P1547" s="41"/>
      <c r="Q1547" s="42"/>
      <c r="R1547" s="35"/>
      <c r="S1547" s="35"/>
      <c r="T1547" s="35"/>
      <c r="U1547" s="35"/>
      <c r="V1547" s="121"/>
      <c r="W1547" s="42"/>
      <c r="X1547" s="42"/>
      <c r="Y1547" s="42"/>
      <c r="Z1547" s="42"/>
      <c r="AA1547" s="42"/>
      <c r="AB1547" s="42"/>
      <c r="AC1547" s="42"/>
      <c r="AD1547" s="42"/>
      <c r="AE1547" s="42"/>
      <c r="AF1547" s="42"/>
      <c r="AG1547" s="42"/>
      <c r="AH1547" s="42"/>
      <c r="AI1547" s="42"/>
      <c r="AJ1547" s="42"/>
      <c r="AK1547" s="42"/>
      <c r="AL1547" s="42"/>
      <c r="AM1547" s="42"/>
    </row>
    <row r="1548" spans="1:39" x14ac:dyDescent="0.25">
      <c r="A1548" s="38" t="s">
        <v>1899</v>
      </c>
      <c r="B1548" s="42"/>
      <c r="C1548" s="42"/>
      <c r="D1548" s="42"/>
      <c r="E1548" s="41"/>
      <c r="F1548" s="41"/>
      <c r="G1548" s="41"/>
      <c r="H1548" s="41"/>
      <c r="I1548" s="41"/>
      <c r="J1548" s="42"/>
      <c r="K1548" s="41"/>
      <c r="L1548" s="41"/>
      <c r="M1548" s="127"/>
      <c r="N1548" s="41"/>
      <c r="O1548" s="41"/>
      <c r="P1548" s="41"/>
      <c r="Q1548" s="42"/>
      <c r="R1548" s="35"/>
      <c r="S1548" s="35"/>
      <c r="T1548" s="35"/>
      <c r="U1548" s="35"/>
      <c r="V1548" s="121"/>
      <c r="W1548" s="42"/>
      <c r="X1548" s="42"/>
      <c r="Y1548" s="42"/>
      <c r="Z1548" s="42"/>
      <c r="AA1548" s="42"/>
      <c r="AB1548" s="42"/>
      <c r="AC1548" s="42"/>
      <c r="AD1548" s="42"/>
      <c r="AE1548" s="42"/>
      <c r="AF1548" s="42"/>
      <c r="AG1548" s="42"/>
      <c r="AH1548" s="42"/>
      <c r="AI1548" s="42"/>
      <c r="AJ1548" s="42"/>
      <c r="AK1548" s="42"/>
      <c r="AL1548" s="42"/>
      <c r="AM1548" s="42"/>
    </row>
    <row r="1549" spans="1:39" x14ac:dyDescent="0.25">
      <c r="A1549" s="38" t="s">
        <v>1900</v>
      </c>
      <c r="B1549" s="42"/>
      <c r="C1549" s="42"/>
      <c r="D1549" s="42"/>
      <c r="E1549" s="41"/>
      <c r="F1549" s="41"/>
      <c r="G1549" s="41"/>
      <c r="H1549" s="41"/>
      <c r="I1549" s="41"/>
      <c r="J1549" s="42"/>
      <c r="K1549" s="41"/>
      <c r="L1549" s="41"/>
      <c r="M1549" s="127"/>
      <c r="N1549" s="41"/>
      <c r="O1549" s="41"/>
      <c r="P1549" s="41"/>
      <c r="Q1549" s="42"/>
      <c r="R1549" s="35"/>
      <c r="S1549" s="35"/>
      <c r="T1549" s="35"/>
      <c r="U1549" s="35"/>
      <c r="V1549" s="121"/>
      <c r="W1549" s="42"/>
      <c r="X1549" s="42"/>
      <c r="Y1549" s="42"/>
      <c r="Z1549" s="42"/>
      <c r="AA1549" s="42"/>
      <c r="AB1549" s="42"/>
      <c r="AC1549" s="42"/>
      <c r="AD1549" s="42"/>
      <c r="AE1549" s="42"/>
      <c r="AF1549" s="42"/>
      <c r="AG1549" s="42"/>
      <c r="AH1549" s="42"/>
      <c r="AI1549" s="42"/>
      <c r="AJ1549" s="42"/>
      <c r="AK1549" s="42"/>
      <c r="AL1549" s="42"/>
      <c r="AM1549" s="42"/>
    </row>
    <row r="1550" spans="1:39" x14ac:dyDescent="0.25">
      <c r="A1550" s="38" t="s">
        <v>1901</v>
      </c>
      <c r="B1550" s="42"/>
      <c r="C1550" s="42"/>
      <c r="D1550" s="42"/>
      <c r="E1550" s="41"/>
      <c r="F1550" s="41"/>
      <c r="G1550" s="41"/>
      <c r="H1550" s="41"/>
      <c r="I1550" s="41"/>
      <c r="J1550" s="42"/>
      <c r="K1550" s="41"/>
      <c r="L1550" s="41"/>
      <c r="M1550" s="127"/>
      <c r="N1550" s="41"/>
      <c r="O1550" s="41"/>
      <c r="P1550" s="41"/>
      <c r="Q1550" s="42"/>
      <c r="R1550" s="35"/>
      <c r="S1550" s="35"/>
      <c r="T1550" s="35"/>
      <c r="U1550" s="35"/>
      <c r="V1550" s="121"/>
      <c r="W1550" s="42"/>
      <c r="X1550" s="42"/>
      <c r="Y1550" s="42"/>
      <c r="Z1550" s="42"/>
      <c r="AA1550" s="42"/>
      <c r="AB1550" s="42"/>
      <c r="AC1550" s="42"/>
      <c r="AD1550" s="42"/>
      <c r="AE1550" s="42"/>
      <c r="AF1550" s="42"/>
      <c r="AG1550" s="42"/>
      <c r="AH1550" s="42"/>
      <c r="AI1550" s="42"/>
      <c r="AJ1550" s="42"/>
      <c r="AK1550" s="42"/>
      <c r="AL1550" s="42"/>
      <c r="AM1550" s="42"/>
    </row>
    <row r="1551" spans="1:39" x14ac:dyDescent="0.25">
      <c r="A1551" s="38" t="s">
        <v>1902</v>
      </c>
      <c r="B1551" s="42"/>
      <c r="C1551" s="42"/>
      <c r="D1551" s="42"/>
      <c r="E1551" s="41"/>
      <c r="F1551" s="41"/>
      <c r="G1551" s="41"/>
      <c r="H1551" s="41"/>
      <c r="I1551" s="41"/>
      <c r="J1551" s="42"/>
      <c r="K1551" s="41"/>
      <c r="L1551" s="41"/>
      <c r="M1551" s="127"/>
      <c r="N1551" s="41"/>
      <c r="O1551" s="41"/>
      <c r="P1551" s="41"/>
      <c r="Q1551" s="42"/>
      <c r="R1551" s="35"/>
      <c r="S1551" s="35"/>
      <c r="T1551" s="35"/>
      <c r="U1551" s="35"/>
      <c r="V1551" s="121"/>
      <c r="W1551" s="42"/>
      <c r="X1551" s="42"/>
      <c r="Y1551" s="42"/>
      <c r="Z1551" s="42"/>
      <c r="AA1551" s="42"/>
      <c r="AB1551" s="42"/>
      <c r="AC1551" s="42"/>
      <c r="AD1551" s="42"/>
      <c r="AE1551" s="42"/>
      <c r="AF1551" s="42"/>
      <c r="AG1551" s="42"/>
      <c r="AH1551" s="42"/>
      <c r="AI1551" s="42"/>
      <c r="AJ1551" s="42"/>
      <c r="AK1551" s="42"/>
      <c r="AL1551" s="42"/>
      <c r="AM1551" s="42"/>
    </row>
    <row r="1552" spans="1:39" x14ac:dyDescent="0.25">
      <c r="A1552" s="38" t="s">
        <v>1903</v>
      </c>
      <c r="B1552" s="42"/>
      <c r="C1552" s="42"/>
      <c r="D1552" s="42"/>
      <c r="E1552" s="41"/>
      <c r="F1552" s="41"/>
      <c r="G1552" s="41"/>
      <c r="H1552" s="41"/>
      <c r="I1552" s="41"/>
      <c r="J1552" s="42"/>
      <c r="K1552" s="41"/>
      <c r="L1552" s="41"/>
      <c r="M1552" s="127"/>
      <c r="N1552" s="41"/>
      <c r="O1552" s="41"/>
      <c r="P1552" s="41"/>
      <c r="Q1552" s="42"/>
      <c r="R1552" s="35"/>
      <c r="S1552" s="35"/>
      <c r="T1552" s="35"/>
      <c r="U1552" s="35"/>
      <c r="V1552" s="121"/>
      <c r="W1552" s="42"/>
      <c r="X1552" s="42"/>
      <c r="Y1552" s="42"/>
      <c r="Z1552" s="42"/>
      <c r="AA1552" s="42"/>
      <c r="AB1552" s="42"/>
      <c r="AC1552" s="42"/>
      <c r="AD1552" s="42"/>
      <c r="AE1552" s="42"/>
      <c r="AF1552" s="42"/>
      <c r="AG1552" s="42"/>
      <c r="AH1552" s="42"/>
      <c r="AI1552" s="42"/>
      <c r="AJ1552" s="42"/>
      <c r="AK1552" s="42"/>
      <c r="AL1552" s="42"/>
      <c r="AM1552" s="42"/>
    </row>
    <row r="1553" spans="1:39" x14ac:dyDescent="0.25">
      <c r="A1553" s="38" t="s">
        <v>1904</v>
      </c>
      <c r="B1553" s="42"/>
      <c r="C1553" s="42"/>
      <c r="D1553" s="42"/>
      <c r="E1553" s="41"/>
      <c r="F1553" s="41"/>
      <c r="G1553" s="41"/>
      <c r="H1553" s="41"/>
      <c r="I1553" s="41"/>
      <c r="J1553" s="42"/>
      <c r="K1553" s="41"/>
      <c r="L1553" s="41"/>
      <c r="M1553" s="127"/>
      <c r="N1553" s="41"/>
      <c r="O1553" s="41"/>
      <c r="P1553" s="41"/>
      <c r="Q1553" s="42"/>
      <c r="R1553" s="35"/>
      <c r="S1553" s="35"/>
      <c r="T1553" s="35"/>
      <c r="U1553" s="35"/>
      <c r="V1553" s="121"/>
      <c r="W1553" s="42"/>
      <c r="X1553" s="42"/>
      <c r="Y1553" s="42"/>
      <c r="Z1553" s="42"/>
      <c r="AA1553" s="42"/>
      <c r="AB1553" s="42"/>
      <c r="AC1553" s="42"/>
      <c r="AD1553" s="42"/>
      <c r="AE1553" s="42"/>
      <c r="AF1553" s="42"/>
      <c r="AG1553" s="42"/>
      <c r="AH1553" s="42"/>
      <c r="AI1553" s="42"/>
      <c r="AJ1553" s="42"/>
      <c r="AK1553" s="42"/>
      <c r="AL1553" s="42"/>
      <c r="AM1553" s="42"/>
    </row>
    <row r="1554" spans="1:39" x14ac:dyDescent="0.25">
      <c r="A1554" s="38" t="s">
        <v>1905</v>
      </c>
      <c r="B1554" s="42"/>
      <c r="C1554" s="42"/>
      <c r="D1554" s="42"/>
      <c r="E1554" s="41"/>
      <c r="F1554" s="41"/>
      <c r="G1554" s="41"/>
      <c r="H1554" s="41"/>
      <c r="I1554" s="41"/>
      <c r="J1554" s="42"/>
      <c r="K1554" s="41"/>
      <c r="L1554" s="41"/>
      <c r="M1554" s="127"/>
      <c r="N1554" s="41"/>
      <c r="O1554" s="41"/>
      <c r="P1554" s="41"/>
      <c r="Q1554" s="42"/>
      <c r="R1554" s="35"/>
      <c r="S1554" s="35"/>
      <c r="T1554" s="35"/>
      <c r="U1554" s="35"/>
      <c r="V1554" s="121"/>
      <c r="W1554" s="42"/>
      <c r="X1554" s="42"/>
      <c r="Y1554" s="42"/>
      <c r="Z1554" s="42"/>
      <c r="AA1554" s="42"/>
      <c r="AB1554" s="42"/>
      <c r="AC1554" s="42"/>
      <c r="AD1554" s="42"/>
      <c r="AE1554" s="42"/>
      <c r="AF1554" s="42"/>
      <c r="AG1554" s="42"/>
      <c r="AH1554" s="42"/>
      <c r="AI1554" s="42"/>
      <c r="AJ1554" s="42"/>
      <c r="AK1554" s="42"/>
      <c r="AL1554" s="42"/>
      <c r="AM1554" s="42"/>
    </row>
    <row r="1555" spans="1:39" x14ac:dyDescent="0.25">
      <c r="A1555" s="38" t="s">
        <v>1906</v>
      </c>
      <c r="B1555" s="42"/>
      <c r="C1555" s="42"/>
      <c r="D1555" s="42"/>
      <c r="E1555" s="41"/>
      <c r="F1555" s="41"/>
      <c r="G1555" s="41"/>
      <c r="H1555" s="41"/>
      <c r="I1555" s="41"/>
      <c r="J1555" s="42"/>
      <c r="K1555" s="41"/>
      <c r="L1555" s="41"/>
      <c r="M1555" s="127"/>
      <c r="N1555" s="41"/>
      <c r="O1555" s="41"/>
      <c r="P1555" s="41"/>
      <c r="Q1555" s="42"/>
      <c r="R1555" s="35"/>
      <c r="S1555" s="35"/>
      <c r="T1555" s="35"/>
      <c r="U1555" s="35"/>
      <c r="V1555" s="121"/>
      <c r="W1555" s="42"/>
      <c r="X1555" s="42"/>
      <c r="Y1555" s="42"/>
      <c r="Z1555" s="42"/>
      <c r="AA1555" s="42"/>
      <c r="AB1555" s="42"/>
      <c r="AC1555" s="42"/>
      <c r="AD1555" s="42"/>
      <c r="AE1555" s="42"/>
      <c r="AF1555" s="42"/>
      <c r="AG1555" s="42"/>
      <c r="AH1555" s="42"/>
      <c r="AI1555" s="42"/>
      <c r="AJ1555" s="42"/>
      <c r="AK1555" s="42"/>
      <c r="AL1555" s="42"/>
      <c r="AM1555" s="42"/>
    </row>
    <row r="1556" spans="1:39" x14ac:dyDescent="0.25">
      <c r="A1556" s="38" t="s">
        <v>1907</v>
      </c>
      <c r="B1556" s="42"/>
      <c r="C1556" s="42"/>
      <c r="D1556" s="42"/>
      <c r="E1556" s="41"/>
      <c r="F1556" s="41"/>
      <c r="G1556" s="41"/>
      <c r="H1556" s="41"/>
      <c r="I1556" s="41"/>
      <c r="J1556" s="42"/>
      <c r="K1556" s="41"/>
      <c r="L1556" s="41"/>
      <c r="M1556" s="127"/>
      <c r="N1556" s="41"/>
      <c r="O1556" s="41"/>
      <c r="P1556" s="41"/>
      <c r="Q1556" s="42"/>
      <c r="R1556" s="35"/>
      <c r="S1556" s="35"/>
      <c r="T1556" s="35"/>
      <c r="U1556" s="35"/>
      <c r="V1556" s="121"/>
      <c r="W1556" s="42"/>
      <c r="X1556" s="42"/>
      <c r="Y1556" s="42"/>
      <c r="Z1556" s="42"/>
      <c r="AA1556" s="42"/>
      <c r="AB1556" s="42"/>
      <c r="AC1556" s="42"/>
      <c r="AD1556" s="42"/>
      <c r="AE1556" s="42"/>
      <c r="AF1556" s="42"/>
      <c r="AG1556" s="42"/>
      <c r="AH1556" s="42"/>
      <c r="AI1556" s="42"/>
      <c r="AJ1556" s="42"/>
      <c r="AK1556" s="42"/>
      <c r="AL1556" s="42"/>
      <c r="AM1556" s="42"/>
    </row>
    <row r="1557" spans="1:39" x14ac:dyDescent="0.25">
      <c r="A1557" s="38" t="s">
        <v>1908</v>
      </c>
      <c r="B1557" s="42"/>
      <c r="C1557" s="42"/>
      <c r="D1557" s="42"/>
      <c r="E1557" s="41"/>
      <c r="F1557" s="41"/>
      <c r="G1557" s="41"/>
      <c r="H1557" s="41"/>
      <c r="I1557" s="41"/>
      <c r="J1557" s="42"/>
      <c r="K1557" s="41"/>
      <c r="L1557" s="41"/>
      <c r="M1557" s="127"/>
      <c r="N1557" s="41"/>
      <c r="O1557" s="41"/>
      <c r="P1557" s="41"/>
      <c r="Q1557" s="42"/>
      <c r="R1557" s="35"/>
      <c r="S1557" s="35"/>
      <c r="T1557" s="35"/>
      <c r="U1557" s="35"/>
      <c r="V1557" s="121"/>
      <c r="W1557" s="42"/>
      <c r="X1557" s="42"/>
      <c r="Y1557" s="42"/>
      <c r="Z1557" s="42"/>
      <c r="AA1557" s="42"/>
      <c r="AB1557" s="42"/>
      <c r="AC1557" s="42"/>
      <c r="AD1557" s="42"/>
      <c r="AE1557" s="42"/>
      <c r="AF1557" s="42"/>
      <c r="AG1557" s="42"/>
      <c r="AH1557" s="42"/>
      <c r="AI1557" s="42"/>
      <c r="AJ1557" s="42"/>
      <c r="AK1557" s="42"/>
      <c r="AL1557" s="42"/>
      <c r="AM1557" s="42"/>
    </row>
    <row r="1558" spans="1:39" x14ac:dyDescent="0.25">
      <c r="A1558" s="38" t="s">
        <v>1909</v>
      </c>
      <c r="B1558" s="42"/>
      <c r="C1558" s="42"/>
      <c r="D1558" s="42"/>
      <c r="E1558" s="41"/>
      <c r="F1558" s="41"/>
      <c r="G1558" s="41"/>
      <c r="H1558" s="41"/>
      <c r="I1558" s="41"/>
      <c r="J1558" s="42"/>
      <c r="K1558" s="41"/>
      <c r="L1558" s="41"/>
      <c r="M1558" s="127"/>
      <c r="N1558" s="41"/>
      <c r="O1558" s="41"/>
      <c r="P1558" s="41"/>
      <c r="Q1558" s="42"/>
      <c r="R1558" s="35"/>
      <c r="S1558" s="35"/>
      <c r="T1558" s="35"/>
      <c r="U1558" s="35"/>
      <c r="V1558" s="121"/>
      <c r="W1558" s="42"/>
      <c r="X1558" s="42"/>
      <c r="Y1558" s="42"/>
      <c r="Z1558" s="42"/>
      <c r="AA1558" s="42"/>
      <c r="AB1558" s="42"/>
      <c r="AC1558" s="42"/>
      <c r="AD1558" s="42"/>
      <c r="AE1558" s="42"/>
      <c r="AF1558" s="42"/>
      <c r="AG1558" s="42"/>
      <c r="AH1558" s="42"/>
      <c r="AI1558" s="42"/>
      <c r="AJ1558" s="42"/>
      <c r="AK1558" s="42"/>
      <c r="AL1558" s="42"/>
      <c r="AM1558" s="42"/>
    </row>
    <row r="1559" spans="1:39" x14ac:dyDescent="0.25">
      <c r="A1559" s="38" t="s">
        <v>1910</v>
      </c>
      <c r="B1559" s="42"/>
      <c r="C1559" s="42"/>
      <c r="D1559" s="42"/>
      <c r="E1559" s="41"/>
      <c r="F1559" s="41"/>
      <c r="G1559" s="41"/>
      <c r="H1559" s="41"/>
      <c r="I1559" s="41"/>
      <c r="J1559" s="42"/>
      <c r="K1559" s="41"/>
      <c r="L1559" s="41"/>
      <c r="M1559" s="127"/>
      <c r="N1559" s="41"/>
      <c r="O1559" s="41"/>
      <c r="P1559" s="41"/>
      <c r="Q1559" s="42"/>
      <c r="R1559" s="35"/>
      <c r="S1559" s="35"/>
      <c r="T1559" s="35"/>
      <c r="U1559" s="35"/>
      <c r="V1559" s="121"/>
      <c r="W1559" s="42"/>
      <c r="X1559" s="42"/>
      <c r="Y1559" s="42"/>
      <c r="Z1559" s="42"/>
      <c r="AA1559" s="42"/>
      <c r="AB1559" s="42"/>
      <c r="AC1559" s="42"/>
      <c r="AD1559" s="42"/>
      <c r="AE1559" s="42"/>
      <c r="AF1559" s="42"/>
      <c r="AG1559" s="42"/>
      <c r="AH1559" s="42"/>
      <c r="AI1559" s="42"/>
      <c r="AJ1559" s="42"/>
      <c r="AK1559" s="42"/>
      <c r="AL1559" s="42"/>
      <c r="AM1559" s="42"/>
    </row>
    <row r="1560" spans="1:39" x14ac:dyDescent="0.25">
      <c r="A1560" s="38" t="s">
        <v>1911</v>
      </c>
      <c r="B1560" s="42"/>
      <c r="C1560" s="42"/>
      <c r="D1560" s="42"/>
      <c r="E1560" s="41"/>
      <c r="F1560" s="41"/>
      <c r="G1560" s="41"/>
      <c r="H1560" s="41"/>
      <c r="I1560" s="41"/>
      <c r="J1560" s="42"/>
      <c r="K1560" s="41"/>
      <c r="L1560" s="41"/>
      <c r="M1560" s="127"/>
      <c r="N1560" s="41"/>
      <c r="O1560" s="41"/>
      <c r="P1560" s="41"/>
      <c r="Q1560" s="42"/>
      <c r="R1560" s="35"/>
      <c r="S1560" s="35"/>
      <c r="T1560" s="35"/>
      <c r="U1560" s="35"/>
      <c r="V1560" s="121"/>
      <c r="W1560" s="42"/>
      <c r="X1560" s="42"/>
      <c r="Y1560" s="42"/>
      <c r="Z1560" s="42"/>
      <c r="AA1560" s="42"/>
      <c r="AB1560" s="42"/>
      <c r="AC1560" s="42"/>
      <c r="AD1560" s="42"/>
      <c r="AE1560" s="42"/>
      <c r="AF1560" s="42"/>
      <c r="AG1560" s="42"/>
      <c r="AH1560" s="42"/>
      <c r="AI1560" s="42"/>
      <c r="AJ1560" s="42"/>
      <c r="AK1560" s="42"/>
      <c r="AL1560" s="42"/>
      <c r="AM1560" s="42"/>
    </row>
    <row r="1561" spans="1:39" x14ac:dyDescent="0.25">
      <c r="A1561" s="38" t="s">
        <v>1912</v>
      </c>
      <c r="B1561" s="42"/>
      <c r="C1561" s="42"/>
      <c r="D1561" s="42"/>
      <c r="E1561" s="41"/>
      <c r="F1561" s="41"/>
      <c r="G1561" s="41"/>
      <c r="H1561" s="41"/>
      <c r="I1561" s="41"/>
      <c r="J1561" s="42"/>
      <c r="K1561" s="41"/>
      <c r="L1561" s="41"/>
      <c r="M1561" s="127"/>
      <c r="N1561" s="41"/>
      <c r="O1561" s="41"/>
      <c r="P1561" s="41"/>
      <c r="Q1561" s="42"/>
      <c r="R1561" s="35"/>
      <c r="S1561" s="35"/>
      <c r="T1561" s="35"/>
      <c r="U1561" s="35"/>
      <c r="V1561" s="121"/>
      <c r="W1561" s="42"/>
      <c r="X1561" s="42"/>
      <c r="Y1561" s="42"/>
      <c r="Z1561" s="42"/>
      <c r="AA1561" s="42"/>
      <c r="AB1561" s="42"/>
      <c r="AC1561" s="42"/>
      <c r="AD1561" s="42"/>
      <c r="AE1561" s="42"/>
      <c r="AF1561" s="42"/>
      <c r="AG1561" s="42"/>
      <c r="AH1561" s="42"/>
      <c r="AI1561" s="42"/>
      <c r="AJ1561" s="42"/>
      <c r="AK1561" s="42"/>
      <c r="AL1561" s="42"/>
      <c r="AM1561" s="42"/>
    </row>
    <row r="1562" spans="1:39" x14ac:dyDescent="0.25">
      <c r="A1562" s="38" t="s">
        <v>1913</v>
      </c>
      <c r="B1562" s="42"/>
      <c r="C1562" s="42"/>
      <c r="D1562" s="42"/>
      <c r="E1562" s="41"/>
      <c r="F1562" s="41"/>
      <c r="G1562" s="41"/>
      <c r="H1562" s="41"/>
      <c r="I1562" s="41"/>
      <c r="J1562" s="42"/>
      <c r="K1562" s="41"/>
      <c r="L1562" s="41"/>
      <c r="M1562" s="127"/>
      <c r="N1562" s="41"/>
      <c r="O1562" s="41"/>
      <c r="P1562" s="41"/>
      <c r="Q1562" s="42"/>
      <c r="R1562" s="35"/>
      <c r="S1562" s="35"/>
      <c r="T1562" s="35"/>
      <c r="U1562" s="35"/>
      <c r="V1562" s="121"/>
      <c r="W1562" s="42"/>
      <c r="X1562" s="42"/>
      <c r="Y1562" s="42"/>
      <c r="Z1562" s="42"/>
      <c r="AA1562" s="42"/>
      <c r="AB1562" s="42"/>
      <c r="AC1562" s="42"/>
      <c r="AD1562" s="42"/>
      <c r="AE1562" s="42"/>
      <c r="AF1562" s="42"/>
      <c r="AG1562" s="42"/>
      <c r="AH1562" s="42"/>
      <c r="AI1562" s="42"/>
      <c r="AJ1562" s="42"/>
      <c r="AK1562" s="42"/>
      <c r="AL1562" s="42"/>
      <c r="AM1562" s="42"/>
    </row>
    <row r="1563" spans="1:39" x14ac:dyDescent="0.25">
      <c r="A1563" s="38" t="s">
        <v>1914</v>
      </c>
      <c r="B1563" s="42"/>
      <c r="C1563" s="42"/>
      <c r="D1563" s="42"/>
      <c r="E1563" s="41"/>
      <c r="F1563" s="41"/>
      <c r="G1563" s="41"/>
      <c r="H1563" s="41"/>
      <c r="I1563" s="41"/>
      <c r="J1563" s="42"/>
      <c r="K1563" s="41"/>
      <c r="L1563" s="41"/>
      <c r="M1563" s="127"/>
      <c r="N1563" s="41"/>
      <c r="O1563" s="41"/>
      <c r="P1563" s="41"/>
      <c r="Q1563" s="42"/>
      <c r="R1563" s="35"/>
      <c r="S1563" s="35"/>
      <c r="T1563" s="35"/>
      <c r="U1563" s="35"/>
      <c r="V1563" s="121"/>
      <c r="W1563" s="42"/>
      <c r="X1563" s="42"/>
      <c r="Y1563" s="42"/>
      <c r="Z1563" s="42"/>
      <c r="AA1563" s="42"/>
      <c r="AB1563" s="42"/>
      <c r="AC1563" s="42"/>
      <c r="AD1563" s="42"/>
      <c r="AE1563" s="42"/>
      <c r="AF1563" s="42"/>
      <c r="AG1563" s="42"/>
      <c r="AH1563" s="42"/>
      <c r="AI1563" s="42"/>
      <c r="AJ1563" s="42"/>
      <c r="AK1563" s="42"/>
      <c r="AL1563" s="42"/>
      <c r="AM1563" s="42"/>
    </row>
    <row r="1564" spans="1:39" x14ac:dyDescent="0.25">
      <c r="A1564" s="38" t="s">
        <v>1915</v>
      </c>
      <c r="B1564" s="42"/>
      <c r="C1564" s="42"/>
      <c r="D1564" s="42"/>
      <c r="E1564" s="41"/>
      <c r="F1564" s="41"/>
      <c r="G1564" s="41"/>
      <c r="H1564" s="41"/>
      <c r="I1564" s="41"/>
      <c r="J1564" s="42"/>
      <c r="K1564" s="41"/>
      <c r="L1564" s="41"/>
      <c r="M1564" s="127"/>
      <c r="N1564" s="41"/>
      <c r="O1564" s="41"/>
      <c r="P1564" s="41"/>
      <c r="Q1564" s="42"/>
      <c r="R1564" s="35"/>
      <c r="S1564" s="35"/>
      <c r="T1564" s="35"/>
      <c r="U1564" s="35"/>
      <c r="V1564" s="121"/>
      <c r="W1564" s="42"/>
      <c r="X1564" s="42"/>
      <c r="Y1564" s="42"/>
      <c r="Z1564" s="42"/>
      <c r="AA1564" s="42"/>
      <c r="AB1564" s="42"/>
      <c r="AC1564" s="42"/>
      <c r="AD1564" s="42"/>
      <c r="AE1564" s="42"/>
      <c r="AF1564" s="42"/>
      <c r="AG1564" s="42"/>
      <c r="AH1564" s="42"/>
      <c r="AI1564" s="42"/>
      <c r="AJ1564" s="42"/>
      <c r="AK1564" s="42"/>
      <c r="AL1564" s="42"/>
      <c r="AM1564" s="42"/>
    </row>
    <row r="1565" spans="1:39" x14ac:dyDescent="0.25">
      <c r="A1565" s="38" t="s">
        <v>1916</v>
      </c>
      <c r="B1565" s="42"/>
      <c r="C1565" s="42"/>
      <c r="D1565" s="42"/>
      <c r="E1565" s="41"/>
      <c r="F1565" s="41"/>
      <c r="G1565" s="41"/>
      <c r="H1565" s="41"/>
      <c r="I1565" s="41"/>
      <c r="J1565" s="42"/>
      <c r="K1565" s="41"/>
      <c r="L1565" s="41"/>
      <c r="M1565" s="127"/>
      <c r="N1565" s="41"/>
      <c r="O1565" s="41"/>
      <c r="P1565" s="41"/>
      <c r="Q1565" s="42"/>
      <c r="R1565" s="35"/>
      <c r="S1565" s="35"/>
      <c r="T1565" s="35"/>
      <c r="U1565" s="35"/>
      <c r="V1565" s="121"/>
      <c r="W1565" s="42"/>
      <c r="X1565" s="42"/>
      <c r="Y1565" s="42"/>
      <c r="Z1565" s="42"/>
      <c r="AA1565" s="42"/>
      <c r="AB1565" s="42"/>
      <c r="AC1565" s="42"/>
      <c r="AD1565" s="42"/>
      <c r="AE1565" s="42"/>
      <c r="AF1565" s="42"/>
      <c r="AG1565" s="42"/>
      <c r="AH1565" s="42"/>
      <c r="AI1565" s="42"/>
      <c r="AJ1565" s="42"/>
      <c r="AK1565" s="42"/>
      <c r="AL1565" s="42"/>
      <c r="AM1565" s="42"/>
    </row>
    <row r="1566" spans="1:39" x14ac:dyDescent="0.25">
      <c r="A1566" s="38" t="s">
        <v>1917</v>
      </c>
      <c r="B1566" s="42"/>
      <c r="C1566" s="42"/>
      <c r="D1566" s="42"/>
      <c r="E1566" s="41"/>
      <c r="F1566" s="41"/>
      <c r="G1566" s="41"/>
      <c r="H1566" s="41"/>
      <c r="I1566" s="41"/>
      <c r="J1566" s="42"/>
      <c r="K1566" s="41"/>
      <c r="L1566" s="41"/>
      <c r="M1566" s="127"/>
      <c r="N1566" s="41"/>
      <c r="O1566" s="41"/>
      <c r="P1566" s="41"/>
      <c r="Q1566" s="42"/>
      <c r="R1566" s="35"/>
      <c r="S1566" s="35"/>
      <c r="T1566" s="35"/>
      <c r="U1566" s="35"/>
      <c r="V1566" s="121"/>
      <c r="W1566" s="42"/>
      <c r="X1566" s="42"/>
      <c r="Y1566" s="42"/>
      <c r="Z1566" s="42"/>
      <c r="AA1566" s="42"/>
      <c r="AB1566" s="42"/>
      <c r="AC1566" s="42"/>
      <c r="AD1566" s="42"/>
      <c r="AE1566" s="42"/>
      <c r="AF1566" s="42"/>
      <c r="AG1566" s="42"/>
      <c r="AH1566" s="42"/>
      <c r="AI1566" s="42"/>
      <c r="AJ1566" s="42"/>
      <c r="AK1566" s="42"/>
      <c r="AL1566" s="42"/>
      <c r="AM1566" s="42"/>
    </row>
    <row r="1567" spans="1:39" x14ac:dyDescent="0.25">
      <c r="A1567" s="38" t="s">
        <v>1918</v>
      </c>
      <c r="B1567" s="42"/>
      <c r="C1567" s="42"/>
      <c r="D1567" s="42"/>
      <c r="E1567" s="41"/>
      <c r="F1567" s="41"/>
      <c r="G1567" s="41"/>
      <c r="H1567" s="41"/>
      <c r="I1567" s="41"/>
      <c r="J1567" s="42"/>
      <c r="K1567" s="41"/>
      <c r="L1567" s="41"/>
      <c r="M1567" s="127"/>
      <c r="N1567" s="41"/>
      <c r="O1567" s="41"/>
      <c r="P1567" s="41"/>
      <c r="Q1567" s="42"/>
      <c r="R1567" s="35"/>
      <c r="S1567" s="35"/>
      <c r="T1567" s="35"/>
      <c r="U1567" s="35"/>
      <c r="V1567" s="121"/>
      <c r="W1567" s="42"/>
      <c r="X1567" s="42"/>
      <c r="Y1567" s="42"/>
      <c r="Z1567" s="42"/>
      <c r="AA1567" s="42"/>
      <c r="AB1567" s="42"/>
      <c r="AC1567" s="42"/>
      <c r="AD1567" s="42"/>
      <c r="AE1567" s="42"/>
      <c r="AF1567" s="42"/>
      <c r="AG1567" s="42"/>
      <c r="AH1567" s="42"/>
      <c r="AI1567" s="42"/>
      <c r="AJ1567" s="42"/>
      <c r="AK1567" s="42"/>
      <c r="AL1567" s="42"/>
      <c r="AM1567" s="42"/>
    </row>
    <row r="1568" spans="1:39" x14ac:dyDescent="0.25">
      <c r="A1568" s="38" t="s">
        <v>1919</v>
      </c>
      <c r="B1568" s="42"/>
      <c r="C1568" s="42"/>
      <c r="D1568" s="42"/>
      <c r="E1568" s="41"/>
      <c r="F1568" s="41"/>
      <c r="G1568" s="41"/>
      <c r="H1568" s="41"/>
      <c r="I1568" s="41"/>
      <c r="J1568" s="42"/>
      <c r="K1568" s="41"/>
      <c r="L1568" s="41"/>
      <c r="M1568" s="127"/>
      <c r="N1568" s="41"/>
      <c r="O1568" s="41"/>
      <c r="P1568" s="41"/>
      <c r="Q1568" s="42"/>
      <c r="R1568" s="35"/>
      <c r="S1568" s="35"/>
      <c r="T1568" s="35"/>
      <c r="U1568" s="35"/>
      <c r="V1568" s="121"/>
      <c r="W1568" s="42"/>
      <c r="X1568" s="42"/>
      <c r="Y1568" s="42"/>
      <c r="Z1568" s="42"/>
      <c r="AA1568" s="42"/>
      <c r="AB1568" s="42"/>
      <c r="AC1568" s="42"/>
      <c r="AD1568" s="42"/>
      <c r="AE1568" s="42"/>
      <c r="AF1568" s="42"/>
      <c r="AG1568" s="42"/>
      <c r="AH1568" s="42"/>
      <c r="AI1568" s="42"/>
      <c r="AJ1568" s="42"/>
      <c r="AK1568" s="42"/>
      <c r="AL1568" s="42"/>
      <c r="AM1568" s="42"/>
    </row>
    <row r="1569" spans="1:39" x14ac:dyDescent="0.25">
      <c r="A1569" s="38" t="s">
        <v>1920</v>
      </c>
      <c r="B1569" s="42"/>
      <c r="C1569" s="42"/>
      <c r="D1569" s="42"/>
      <c r="E1569" s="41"/>
      <c r="F1569" s="41"/>
      <c r="G1569" s="41"/>
      <c r="H1569" s="41"/>
      <c r="I1569" s="41"/>
      <c r="J1569" s="42"/>
      <c r="K1569" s="41"/>
      <c r="L1569" s="41"/>
      <c r="M1569" s="127"/>
      <c r="N1569" s="41"/>
      <c r="O1569" s="41"/>
      <c r="P1569" s="41"/>
      <c r="Q1569" s="42"/>
      <c r="R1569" s="35"/>
      <c r="S1569" s="35"/>
      <c r="T1569" s="35"/>
      <c r="U1569" s="35"/>
      <c r="V1569" s="121"/>
      <c r="W1569" s="42"/>
      <c r="X1569" s="42"/>
      <c r="Y1569" s="42"/>
      <c r="Z1569" s="42"/>
      <c r="AA1569" s="42"/>
      <c r="AB1569" s="42"/>
      <c r="AC1569" s="42"/>
      <c r="AD1569" s="42"/>
      <c r="AE1569" s="42"/>
      <c r="AF1569" s="42"/>
      <c r="AG1569" s="42"/>
      <c r="AH1569" s="42"/>
      <c r="AI1569" s="42"/>
      <c r="AJ1569" s="42"/>
      <c r="AK1569" s="42"/>
      <c r="AL1569" s="42"/>
      <c r="AM1569" s="42"/>
    </row>
    <row r="1570" spans="1:39" x14ac:dyDescent="0.25">
      <c r="A1570" s="38" t="s">
        <v>1921</v>
      </c>
      <c r="B1570" s="42"/>
      <c r="C1570" s="42"/>
      <c r="D1570" s="42"/>
      <c r="E1570" s="41"/>
      <c r="F1570" s="41"/>
      <c r="G1570" s="41"/>
      <c r="H1570" s="41"/>
      <c r="I1570" s="41"/>
      <c r="J1570" s="42"/>
      <c r="K1570" s="41"/>
      <c r="L1570" s="41"/>
      <c r="M1570" s="127"/>
      <c r="N1570" s="41"/>
      <c r="O1570" s="41"/>
      <c r="P1570" s="41"/>
      <c r="Q1570" s="42"/>
      <c r="R1570" s="35"/>
      <c r="S1570" s="35"/>
      <c r="T1570" s="35"/>
      <c r="U1570" s="35"/>
      <c r="V1570" s="121"/>
      <c r="W1570" s="42"/>
      <c r="X1570" s="42"/>
      <c r="Y1570" s="42"/>
      <c r="Z1570" s="42"/>
      <c r="AA1570" s="42"/>
      <c r="AB1570" s="42"/>
      <c r="AC1570" s="42"/>
      <c r="AD1570" s="42"/>
      <c r="AE1570" s="42"/>
      <c r="AF1570" s="42"/>
      <c r="AG1570" s="42"/>
      <c r="AH1570" s="42"/>
      <c r="AI1570" s="42"/>
      <c r="AJ1570" s="42"/>
      <c r="AK1570" s="42"/>
      <c r="AL1570" s="42"/>
      <c r="AM1570" s="42"/>
    </row>
    <row r="1571" spans="1:39" x14ac:dyDescent="0.25">
      <c r="A1571" s="38" t="s">
        <v>1922</v>
      </c>
      <c r="B1571" s="42"/>
      <c r="C1571" s="42"/>
      <c r="D1571" s="42"/>
      <c r="E1571" s="41"/>
      <c r="F1571" s="41"/>
      <c r="G1571" s="41"/>
      <c r="H1571" s="41"/>
      <c r="I1571" s="41"/>
      <c r="J1571" s="42"/>
      <c r="K1571" s="41"/>
      <c r="L1571" s="41"/>
      <c r="M1571" s="127"/>
      <c r="N1571" s="41"/>
      <c r="O1571" s="41"/>
      <c r="P1571" s="41"/>
      <c r="Q1571" s="42"/>
      <c r="R1571" s="35"/>
      <c r="S1571" s="35"/>
      <c r="T1571" s="35"/>
      <c r="U1571" s="35"/>
      <c r="V1571" s="121"/>
      <c r="W1571" s="42"/>
      <c r="X1571" s="42"/>
      <c r="Y1571" s="42"/>
      <c r="Z1571" s="42"/>
      <c r="AA1571" s="42"/>
      <c r="AB1571" s="42"/>
      <c r="AC1571" s="42"/>
      <c r="AD1571" s="42"/>
      <c r="AE1571" s="42"/>
      <c r="AF1571" s="42"/>
      <c r="AG1571" s="42"/>
      <c r="AH1571" s="42"/>
      <c r="AI1571" s="42"/>
      <c r="AJ1571" s="42"/>
      <c r="AK1571" s="42"/>
      <c r="AL1571" s="42"/>
      <c r="AM1571" s="42"/>
    </row>
    <row r="1572" spans="1:39" x14ac:dyDescent="0.25">
      <c r="A1572" s="38" t="s">
        <v>1923</v>
      </c>
      <c r="B1572" s="42"/>
      <c r="C1572" s="42"/>
      <c r="D1572" s="42"/>
      <c r="E1572" s="41"/>
      <c r="F1572" s="41"/>
      <c r="G1572" s="41"/>
      <c r="H1572" s="41"/>
      <c r="I1572" s="41"/>
      <c r="J1572" s="42"/>
      <c r="K1572" s="41"/>
      <c r="L1572" s="41"/>
      <c r="M1572" s="127"/>
      <c r="N1572" s="41"/>
      <c r="O1572" s="41"/>
      <c r="P1572" s="41"/>
      <c r="Q1572" s="42"/>
      <c r="R1572" s="35"/>
      <c r="S1572" s="35"/>
      <c r="T1572" s="35"/>
      <c r="U1572" s="35"/>
      <c r="V1572" s="121"/>
      <c r="W1572" s="42"/>
      <c r="X1572" s="42"/>
      <c r="Y1572" s="42"/>
      <c r="Z1572" s="42"/>
      <c r="AA1572" s="42"/>
      <c r="AB1572" s="42"/>
      <c r="AC1572" s="42"/>
      <c r="AD1572" s="42"/>
      <c r="AE1572" s="42"/>
      <c r="AF1572" s="42"/>
      <c r="AG1572" s="42"/>
      <c r="AH1572" s="42"/>
      <c r="AI1572" s="42"/>
      <c r="AJ1572" s="42"/>
      <c r="AK1572" s="42"/>
      <c r="AL1572" s="42"/>
      <c r="AM1572" s="42"/>
    </row>
    <row r="1573" spans="1:39" x14ac:dyDescent="0.25">
      <c r="A1573" s="38" t="s">
        <v>1924</v>
      </c>
      <c r="B1573" s="42"/>
      <c r="C1573" s="42"/>
      <c r="D1573" s="42"/>
      <c r="E1573" s="41"/>
      <c r="F1573" s="41"/>
      <c r="G1573" s="41"/>
      <c r="H1573" s="41"/>
      <c r="I1573" s="41"/>
      <c r="J1573" s="42"/>
      <c r="K1573" s="41"/>
      <c r="L1573" s="41"/>
      <c r="M1573" s="127"/>
      <c r="N1573" s="41"/>
      <c r="O1573" s="41"/>
      <c r="P1573" s="41"/>
      <c r="Q1573" s="42"/>
      <c r="R1573" s="35"/>
      <c r="S1573" s="35"/>
      <c r="T1573" s="35"/>
      <c r="U1573" s="35"/>
      <c r="V1573" s="121"/>
      <c r="W1573" s="42"/>
      <c r="X1573" s="42"/>
      <c r="Y1573" s="42"/>
      <c r="Z1573" s="42"/>
      <c r="AA1573" s="42"/>
      <c r="AB1573" s="42"/>
      <c r="AC1573" s="42"/>
      <c r="AD1573" s="42"/>
      <c r="AE1573" s="42"/>
      <c r="AF1573" s="42"/>
      <c r="AG1573" s="42"/>
      <c r="AH1573" s="42"/>
      <c r="AI1573" s="42"/>
      <c r="AJ1573" s="42"/>
      <c r="AK1573" s="42"/>
      <c r="AL1573" s="42"/>
      <c r="AM1573" s="42"/>
    </row>
    <row r="1574" spans="1:39" x14ac:dyDescent="0.25">
      <c r="A1574" s="38" t="s">
        <v>1925</v>
      </c>
      <c r="B1574" s="42"/>
      <c r="C1574" s="42"/>
      <c r="D1574" s="42"/>
      <c r="E1574" s="41"/>
      <c r="F1574" s="41"/>
      <c r="G1574" s="41"/>
      <c r="H1574" s="41"/>
      <c r="I1574" s="41"/>
      <c r="J1574" s="42"/>
      <c r="K1574" s="41"/>
      <c r="L1574" s="41"/>
      <c r="M1574" s="127"/>
      <c r="N1574" s="41"/>
      <c r="O1574" s="41"/>
      <c r="P1574" s="41"/>
      <c r="Q1574" s="42"/>
      <c r="R1574" s="35"/>
      <c r="S1574" s="35"/>
      <c r="T1574" s="35"/>
      <c r="U1574" s="35"/>
      <c r="V1574" s="121"/>
      <c r="W1574" s="42"/>
      <c r="X1574" s="42"/>
      <c r="Y1574" s="42"/>
      <c r="Z1574" s="42"/>
      <c r="AA1574" s="42"/>
      <c r="AB1574" s="42"/>
      <c r="AC1574" s="42"/>
      <c r="AD1574" s="42"/>
      <c r="AE1574" s="42"/>
      <c r="AF1574" s="42"/>
      <c r="AG1574" s="42"/>
      <c r="AH1574" s="42"/>
      <c r="AI1574" s="42"/>
      <c r="AJ1574" s="42"/>
      <c r="AK1574" s="42"/>
      <c r="AL1574" s="42"/>
      <c r="AM1574" s="42"/>
    </row>
    <row r="1575" spans="1:39" x14ac:dyDescent="0.25">
      <c r="A1575" s="38" t="s">
        <v>1926</v>
      </c>
      <c r="B1575" s="42"/>
      <c r="C1575" s="42"/>
      <c r="D1575" s="42"/>
      <c r="E1575" s="41"/>
      <c r="F1575" s="41"/>
      <c r="G1575" s="41"/>
      <c r="H1575" s="41"/>
      <c r="I1575" s="41"/>
      <c r="J1575" s="42"/>
      <c r="K1575" s="41"/>
      <c r="L1575" s="41"/>
      <c r="M1575" s="127"/>
      <c r="N1575" s="41"/>
      <c r="O1575" s="41"/>
      <c r="P1575" s="41"/>
      <c r="Q1575" s="42"/>
      <c r="R1575" s="35"/>
      <c r="S1575" s="35"/>
      <c r="T1575" s="35"/>
      <c r="U1575" s="35"/>
      <c r="V1575" s="121"/>
      <c r="W1575" s="42"/>
      <c r="X1575" s="42"/>
      <c r="Y1575" s="42"/>
      <c r="Z1575" s="42"/>
      <c r="AA1575" s="42"/>
      <c r="AB1575" s="42"/>
      <c r="AC1575" s="42"/>
      <c r="AD1575" s="42"/>
      <c r="AE1575" s="42"/>
      <c r="AF1575" s="42"/>
      <c r="AG1575" s="42"/>
      <c r="AH1575" s="42"/>
      <c r="AI1575" s="42"/>
      <c r="AJ1575" s="42"/>
      <c r="AK1575" s="42"/>
      <c r="AL1575" s="42"/>
      <c r="AM1575" s="42"/>
    </row>
    <row r="1576" spans="1:39" x14ac:dyDescent="0.25">
      <c r="A1576" s="38" t="s">
        <v>1927</v>
      </c>
      <c r="B1576" s="42"/>
      <c r="C1576" s="42"/>
      <c r="D1576" s="42"/>
      <c r="E1576" s="41"/>
      <c r="F1576" s="41"/>
      <c r="G1576" s="41"/>
      <c r="H1576" s="41"/>
      <c r="I1576" s="41"/>
      <c r="J1576" s="42"/>
      <c r="K1576" s="41"/>
      <c r="L1576" s="41"/>
      <c r="M1576" s="127"/>
      <c r="N1576" s="41"/>
      <c r="O1576" s="41"/>
      <c r="P1576" s="41"/>
      <c r="Q1576" s="42"/>
      <c r="R1576" s="35"/>
      <c r="S1576" s="35"/>
      <c r="T1576" s="35"/>
      <c r="U1576" s="35"/>
      <c r="V1576" s="121"/>
      <c r="W1576" s="42"/>
      <c r="X1576" s="42"/>
      <c r="Y1576" s="42"/>
      <c r="Z1576" s="42"/>
      <c r="AA1576" s="42"/>
      <c r="AB1576" s="42"/>
      <c r="AC1576" s="42"/>
      <c r="AD1576" s="42"/>
      <c r="AE1576" s="42"/>
      <c r="AF1576" s="42"/>
      <c r="AG1576" s="42"/>
      <c r="AH1576" s="42"/>
      <c r="AI1576" s="42"/>
      <c r="AJ1576" s="42"/>
      <c r="AK1576" s="42"/>
      <c r="AL1576" s="42"/>
      <c r="AM1576" s="42"/>
    </row>
    <row r="1577" spans="1:39" x14ac:dyDescent="0.25">
      <c r="A1577" s="38" t="s">
        <v>1928</v>
      </c>
      <c r="B1577" s="42"/>
      <c r="C1577" s="42"/>
      <c r="D1577" s="42"/>
      <c r="E1577" s="41"/>
      <c r="F1577" s="41"/>
      <c r="G1577" s="41"/>
      <c r="H1577" s="41"/>
      <c r="I1577" s="41"/>
      <c r="J1577" s="42"/>
      <c r="K1577" s="41"/>
      <c r="L1577" s="41"/>
      <c r="M1577" s="127"/>
      <c r="N1577" s="41"/>
      <c r="O1577" s="41"/>
      <c r="P1577" s="41"/>
      <c r="Q1577" s="42"/>
      <c r="R1577" s="35"/>
      <c r="S1577" s="35"/>
      <c r="T1577" s="35"/>
      <c r="U1577" s="35"/>
      <c r="V1577" s="121"/>
      <c r="W1577" s="42"/>
      <c r="X1577" s="42"/>
      <c r="Y1577" s="42"/>
      <c r="Z1577" s="42"/>
      <c r="AA1577" s="42"/>
      <c r="AB1577" s="42"/>
      <c r="AC1577" s="42"/>
      <c r="AD1577" s="42"/>
      <c r="AE1577" s="42"/>
      <c r="AF1577" s="42"/>
      <c r="AG1577" s="42"/>
      <c r="AH1577" s="42"/>
      <c r="AI1577" s="42"/>
      <c r="AJ1577" s="42"/>
      <c r="AK1577" s="42"/>
      <c r="AL1577" s="42"/>
      <c r="AM1577" s="42"/>
    </row>
    <row r="1578" spans="1:39" x14ac:dyDescent="0.25">
      <c r="A1578" s="38" t="s">
        <v>1929</v>
      </c>
      <c r="B1578" s="42"/>
      <c r="C1578" s="42"/>
      <c r="D1578" s="42"/>
      <c r="E1578" s="41"/>
      <c r="F1578" s="41"/>
      <c r="G1578" s="41"/>
      <c r="H1578" s="41"/>
      <c r="I1578" s="41"/>
      <c r="J1578" s="42"/>
      <c r="K1578" s="41"/>
      <c r="L1578" s="41"/>
      <c r="M1578" s="127"/>
      <c r="N1578" s="41"/>
      <c r="O1578" s="41"/>
      <c r="P1578" s="41"/>
      <c r="Q1578" s="42"/>
      <c r="R1578" s="35"/>
      <c r="S1578" s="35"/>
      <c r="T1578" s="35"/>
      <c r="U1578" s="35"/>
      <c r="V1578" s="121"/>
      <c r="W1578" s="42"/>
      <c r="X1578" s="42"/>
      <c r="Y1578" s="42"/>
      <c r="Z1578" s="42"/>
      <c r="AA1578" s="42"/>
      <c r="AB1578" s="42"/>
      <c r="AC1578" s="42"/>
      <c r="AD1578" s="42"/>
      <c r="AE1578" s="42"/>
      <c r="AF1578" s="42"/>
      <c r="AG1578" s="42"/>
      <c r="AH1578" s="42"/>
      <c r="AI1578" s="42"/>
      <c r="AJ1578" s="42"/>
      <c r="AK1578" s="42"/>
      <c r="AL1578" s="42"/>
      <c r="AM1578" s="42"/>
    </row>
    <row r="1579" spans="1:39" x14ac:dyDescent="0.25">
      <c r="A1579" s="38" t="s">
        <v>1930</v>
      </c>
      <c r="B1579" s="42"/>
      <c r="C1579" s="42"/>
      <c r="D1579" s="42"/>
      <c r="E1579" s="41"/>
      <c r="F1579" s="41"/>
      <c r="G1579" s="41"/>
      <c r="H1579" s="41"/>
      <c r="I1579" s="41"/>
      <c r="J1579" s="42"/>
      <c r="K1579" s="41"/>
      <c r="L1579" s="41"/>
      <c r="M1579" s="127"/>
      <c r="N1579" s="41"/>
      <c r="O1579" s="41"/>
      <c r="P1579" s="41"/>
      <c r="Q1579" s="42"/>
      <c r="R1579" s="35"/>
      <c r="S1579" s="35"/>
      <c r="T1579" s="35"/>
      <c r="U1579" s="35"/>
      <c r="V1579" s="121"/>
      <c r="W1579" s="42"/>
      <c r="X1579" s="42"/>
      <c r="Y1579" s="42"/>
      <c r="Z1579" s="42"/>
      <c r="AA1579" s="42"/>
      <c r="AB1579" s="42"/>
      <c r="AC1579" s="42"/>
      <c r="AD1579" s="42"/>
      <c r="AE1579" s="42"/>
      <c r="AF1579" s="42"/>
      <c r="AG1579" s="42"/>
      <c r="AH1579" s="42"/>
      <c r="AI1579" s="42"/>
      <c r="AJ1579" s="42"/>
      <c r="AK1579" s="42"/>
      <c r="AL1579" s="42"/>
      <c r="AM1579" s="42"/>
    </row>
    <row r="1580" spans="1:39" x14ac:dyDescent="0.25">
      <c r="A1580" s="38" t="s">
        <v>1931</v>
      </c>
      <c r="B1580" s="42"/>
      <c r="C1580" s="42"/>
      <c r="D1580" s="42"/>
      <c r="E1580" s="41"/>
      <c r="F1580" s="41"/>
      <c r="G1580" s="41"/>
      <c r="H1580" s="41"/>
      <c r="I1580" s="41"/>
      <c r="J1580" s="42"/>
      <c r="K1580" s="41"/>
      <c r="L1580" s="41"/>
      <c r="M1580" s="127"/>
      <c r="N1580" s="41"/>
      <c r="O1580" s="41"/>
      <c r="P1580" s="41"/>
      <c r="Q1580" s="42"/>
      <c r="R1580" s="35"/>
      <c r="S1580" s="35"/>
      <c r="T1580" s="35"/>
      <c r="U1580" s="35"/>
      <c r="V1580" s="121"/>
      <c r="W1580" s="42"/>
      <c r="X1580" s="42"/>
      <c r="Y1580" s="42"/>
      <c r="Z1580" s="42"/>
      <c r="AA1580" s="42"/>
      <c r="AB1580" s="42"/>
      <c r="AC1580" s="42"/>
      <c r="AD1580" s="42"/>
      <c r="AE1580" s="42"/>
      <c r="AF1580" s="42"/>
      <c r="AG1580" s="42"/>
      <c r="AH1580" s="42"/>
      <c r="AI1580" s="42"/>
      <c r="AJ1580" s="42"/>
      <c r="AK1580" s="42"/>
      <c r="AL1580" s="42"/>
      <c r="AM1580" s="42"/>
    </row>
    <row r="1581" spans="1:39" x14ac:dyDescent="0.25">
      <c r="A1581" s="38" t="s">
        <v>1932</v>
      </c>
      <c r="B1581" s="42"/>
      <c r="C1581" s="42"/>
      <c r="D1581" s="42"/>
      <c r="E1581" s="41"/>
      <c r="F1581" s="41"/>
      <c r="G1581" s="41"/>
      <c r="H1581" s="41"/>
      <c r="I1581" s="41"/>
      <c r="J1581" s="42"/>
      <c r="K1581" s="41"/>
      <c r="L1581" s="41"/>
      <c r="M1581" s="127"/>
      <c r="N1581" s="41"/>
      <c r="O1581" s="41"/>
      <c r="P1581" s="41"/>
      <c r="Q1581" s="42"/>
      <c r="R1581" s="35"/>
      <c r="S1581" s="35"/>
      <c r="T1581" s="35"/>
      <c r="U1581" s="35"/>
      <c r="V1581" s="121"/>
      <c r="W1581" s="42"/>
      <c r="X1581" s="42"/>
      <c r="Y1581" s="42"/>
      <c r="Z1581" s="42"/>
      <c r="AA1581" s="42"/>
      <c r="AB1581" s="42"/>
      <c r="AC1581" s="42"/>
      <c r="AD1581" s="42"/>
      <c r="AE1581" s="42"/>
      <c r="AF1581" s="42"/>
      <c r="AG1581" s="42"/>
      <c r="AH1581" s="42"/>
      <c r="AI1581" s="42"/>
      <c r="AJ1581" s="42"/>
      <c r="AK1581" s="42"/>
      <c r="AL1581" s="42"/>
      <c r="AM1581" s="42"/>
    </row>
    <row r="1582" spans="1:39" x14ac:dyDescent="0.25">
      <c r="A1582" s="38" t="s">
        <v>1933</v>
      </c>
      <c r="B1582" s="42"/>
      <c r="C1582" s="42"/>
      <c r="D1582" s="42"/>
      <c r="E1582" s="41"/>
      <c r="F1582" s="41"/>
      <c r="G1582" s="41"/>
      <c r="H1582" s="41"/>
      <c r="I1582" s="41"/>
      <c r="J1582" s="42"/>
      <c r="K1582" s="41"/>
      <c r="L1582" s="41"/>
      <c r="M1582" s="127"/>
      <c r="N1582" s="41"/>
      <c r="O1582" s="41"/>
      <c r="P1582" s="41"/>
      <c r="Q1582" s="42"/>
      <c r="R1582" s="35"/>
      <c r="S1582" s="35"/>
      <c r="T1582" s="35"/>
      <c r="U1582" s="35"/>
      <c r="V1582" s="121"/>
      <c r="W1582" s="42"/>
      <c r="X1582" s="42"/>
      <c r="Y1582" s="42"/>
      <c r="Z1582" s="42"/>
      <c r="AA1582" s="42"/>
      <c r="AB1582" s="42"/>
      <c r="AC1582" s="42"/>
      <c r="AD1582" s="42"/>
      <c r="AE1582" s="42"/>
      <c r="AF1582" s="42"/>
      <c r="AG1582" s="42"/>
      <c r="AH1582" s="42"/>
      <c r="AI1582" s="42"/>
      <c r="AJ1582" s="42"/>
      <c r="AK1582" s="42"/>
      <c r="AL1582" s="42"/>
      <c r="AM1582" s="42"/>
    </row>
    <row r="1583" spans="1:39" x14ac:dyDescent="0.25">
      <c r="A1583" s="38" t="s">
        <v>1934</v>
      </c>
      <c r="B1583" s="42"/>
      <c r="C1583" s="42"/>
      <c r="D1583" s="42"/>
      <c r="E1583" s="41"/>
      <c r="F1583" s="41"/>
      <c r="G1583" s="41"/>
      <c r="H1583" s="41"/>
      <c r="I1583" s="41"/>
      <c r="J1583" s="42"/>
      <c r="K1583" s="41"/>
      <c r="L1583" s="41"/>
      <c r="M1583" s="127"/>
      <c r="N1583" s="41"/>
      <c r="O1583" s="41"/>
      <c r="P1583" s="41"/>
      <c r="Q1583" s="42"/>
      <c r="R1583" s="35"/>
      <c r="S1583" s="35"/>
      <c r="T1583" s="35"/>
      <c r="U1583" s="35"/>
      <c r="V1583" s="121"/>
      <c r="W1583" s="42"/>
      <c r="X1583" s="42"/>
      <c r="Y1583" s="42"/>
      <c r="Z1583" s="42"/>
      <c r="AA1583" s="42"/>
      <c r="AB1583" s="42"/>
      <c r="AC1583" s="42"/>
      <c r="AD1583" s="42"/>
      <c r="AE1583" s="42"/>
      <c r="AF1583" s="42"/>
      <c r="AG1583" s="42"/>
      <c r="AH1583" s="42"/>
      <c r="AI1583" s="42"/>
      <c r="AJ1583" s="42"/>
      <c r="AK1583" s="42"/>
      <c r="AL1583" s="42"/>
      <c r="AM1583" s="42"/>
    </row>
    <row r="1584" spans="1:39" x14ac:dyDescent="0.25">
      <c r="A1584" s="38" t="s">
        <v>1935</v>
      </c>
      <c r="B1584" s="42"/>
      <c r="C1584" s="42"/>
      <c r="D1584" s="42"/>
      <c r="E1584" s="41"/>
      <c r="F1584" s="41"/>
      <c r="G1584" s="41"/>
      <c r="H1584" s="41"/>
      <c r="I1584" s="41"/>
      <c r="J1584" s="42"/>
      <c r="K1584" s="41"/>
      <c r="L1584" s="41"/>
      <c r="M1584" s="127"/>
      <c r="N1584" s="41"/>
      <c r="O1584" s="41"/>
      <c r="P1584" s="41"/>
      <c r="Q1584" s="42"/>
      <c r="R1584" s="35"/>
      <c r="S1584" s="35"/>
      <c r="T1584" s="35"/>
      <c r="U1584" s="35"/>
      <c r="V1584" s="121"/>
      <c r="W1584" s="42"/>
      <c r="X1584" s="42"/>
      <c r="Y1584" s="42"/>
      <c r="Z1584" s="42"/>
      <c r="AA1584" s="42"/>
      <c r="AB1584" s="42"/>
      <c r="AC1584" s="42"/>
      <c r="AD1584" s="42"/>
      <c r="AE1584" s="42"/>
      <c r="AF1584" s="42"/>
      <c r="AG1584" s="42"/>
      <c r="AH1584" s="42"/>
      <c r="AI1584" s="42"/>
      <c r="AJ1584" s="42"/>
      <c r="AK1584" s="42"/>
      <c r="AL1584" s="42"/>
      <c r="AM1584" s="42"/>
    </row>
    <row r="1585" spans="1:39" x14ac:dyDescent="0.25">
      <c r="A1585" s="38" t="s">
        <v>1936</v>
      </c>
      <c r="B1585" s="42"/>
      <c r="C1585" s="42"/>
      <c r="D1585" s="42"/>
      <c r="E1585" s="41"/>
      <c r="F1585" s="41"/>
      <c r="G1585" s="41"/>
      <c r="H1585" s="41"/>
      <c r="I1585" s="41"/>
      <c r="J1585" s="42"/>
      <c r="K1585" s="41"/>
      <c r="L1585" s="41"/>
      <c r="M1585" s="127"/>
      <c r="N1585" s="41"/>
      <c r="O1585" s="41"/>
      <c r="P1585" s="41"/>
      <c r="Q1585" s="42"/>
      <c r="R1585" s="35"/>
      <c r="S1585" s="35"/>
      <c r="T1585" s="35"/>
      <c r="U1585" s="35"/>
      <c r="V1585" s="121"/>
      <c r="W1585" s="42"/>
      <c r="X1585" s="42"/>
      <c r="Y1585" s="42"/>
      <c r="Z1585" s="42"/>
      <c r="AA1585" s="42"/>
      <c r="AB1585" s="42"/>
      <c r="AC1585" s="42"/>
      <c r="AD1585" s="42"/>
      <c r="AE1585" s="42"/>
      <c r="AF1585" s="42"/>
      <c r="AG1585" s="42"/>
      <c r="AH1585" s="42"/>
      <c r="AI1585" s="42"/>
      <c r="AJ1585" s="42"/>
      <c r="AK1585" s="42"/>
      <c r="AL1585" s="42"/>
      <c r="AM1585" s="42"/>
    </row>
    <row r="1586" spans="1:39" x14ac:dyDescent="0.25">
      <c r="A1586" s="38" t="s">
        <v>1937</v>
      </c>
      <c r="B1586" s="42"/>
      <c r="C1586" s="42"/>
      <c r="D1586" s="42"/>
      <c r="E1586" s="41"/>
      <c r="F1586" s="41"/>
      <c r="G1586" s="41"/>
      <c r="H1586" s="41"/>
      <c r="I1586" s="41"/>
      <c r="J1586" s="42"/>
      <c r="K1586" s="41"/>
      <c r="L1586" s="41"/>
      <c r="M1586" s="127"/>
      <c r="N1586" s="41"/>
      <c r="O1586" s="41"/>
      <c r="P1586" s="41"/>
      <c r="Q1586" s="42"/>
      <c r="R1586" s="35"/>
      <c r="S1586" s="35"/>
      <c r="T1586" s="35"/>
      <c r="U1586" s="35"/>
      <c r="V1586" s="121"/>
      <c r="W1586" s="42"/>
      <c r="X1586" s="42"/>
      <c r="Y1586" s="42"/>
      <c r="Z1586" s="42"/>
      <c r="AA1586" s="42"/>
      <c r="AB1586" s="42"/>
      <c r="AC1586" s="42"/>
      <c r="AD1586" s="42"/>
      <c r="AE1586" s="42"/>
      <c r="AF1586" s="42"/>
      <c r="AG1586" s="42"/>
      <c r="AH1586" s="42"/>
      <c r="AI1586" s="42"/>
      <c r="AJ1586" s="42"/>
      <c r="AK1586" s="42"/>
      <c r="AL1586" s="42"/>
      <c r="AM1586" s="42"/>
    </row>
    <row r="1587" spans="1:39" x14ac:dyDescent="0.25">
      <c r="A1587" s="38" t="s">
        <v>1938</v>
      </c>
      <c r="B1587" s="42"/>
      <c r="C1587" s="42"/>
      <c r="D1587" s="42"/>
      <c r="E1587" s="41"/>
      <c r="F1587" s="41"/>
      <c r="G1587" s="41"/>
      <c r="H1587" s="41"/>
      <c r="I1587" s="41"/>
      <c r="J1587" s="42"/>
      <c r="K1587" s="41"/>
      <c r="L1587" s="41"/>
      <c r="M1587" s="127"/>
      <c r="N1587" s="41"/>
      <c r="O1587" s="41"/>
      <c r="P1587" s="41"/>
      <c r="Q1587" s="42"/>
      <c r="R1587" s="35"/>
      <c r="S1587" s="35"/>
      <c r="T1587" s="35"/>
      <c r="U1587" s="35"/>
      <c r="V1587" s="121"/>
      <c r="W1587" s="42"/>
      <c r="X1587" s="42"/>
      <c r="Y1587" s="42"/>
      <c r="Z1587" s="42"/>
      <c r="AA1587" s="42"/>
      <c r="AB1587" s="42"/>
      <c r="AC1587" s="42"/>
      <c r="AD1587" s="42"/>
      <c r="AE1587" s="42"/>
      <c r="AF1587" s="42"/>
      <c r="AG1587" s="42"/>
      <c r="AH1587" s="42"/>
      <c r="AI1587" s="42"/>
      <c r="AJ1587" s="42"/>
      <c r="AK1587" s="42"/>
      <c r="AL1587" s="42"/>
      <c r="AM1587" s="42"/>
    </row>
    <row r="1588" spans="1:39" x14ac:dyDescent="0.25">
      <c r="A1588" s="38" t="s">
        <v>1939</v>
      </c>
      <c r="B1588" s="42"/>
      <c r="C1588" s="42"/>
      <c r="D1588" s="42"/>
      <c r="E1588" s="41"/>
      <c r="F1588" s="41"/>
      <c r="G1588" s="41"/>
      <c r="H1588" s="41"/>
      <c r="I1588" s="41"/>
      <c r="J1588" s="42"/>
      <c r="K1588" s="41"/>
      <c r="L1588" s="41"/>
      <c r="M1588" s="127"/>
      <c r="N1588" s="41"/>
      <c r="O1588" s="41"/>
      <c r="P1588" s="41"/>
      <c r="Q1588" s="42"/>
      <c r="R1588" s="35"/>
      <c r="S1588" s="35"/>
      <c r="T1588" s="35"/>
      <c r="U1588" s="35"/>
      <c r="V1588" s="121"/>
      <c r="W1588" s="42"/>
      <c r="X1588" s="42"/>
      <c r="Y1588" s="42"/>
      <c r="Z1588" s="42"/>
      <c r="AA1588" s="42"/>
      <c r="AB1588" s="42"/>
      <c r="AC1588" s="42"/>
      <c r="AD1588" s="42"/>
      <c r="AE1588" s="42"/>
      <c r="AF1588" s="42"/>
      <c r="AG1588" s="42"/>
      <c r="AH1588" s="42"/>
      <c r="AI1588" s="42"/>
      <c r="AJ1588" s="42"/>
      <c r="AK1588" s="42"/>
      <c r="AL1588" s="42"/>
      <c r="AM1588" s="42"/>
    </row>
    <row r="1589" spans="1:39" x14ac:dyDescent="0.25">
      <c r="A1589" s="38" t="s">
        <v>1940</v>
      </c>
      <c r="B1589" s="42"/>
      <c r="C1589" s="42"/>
      <c r="D1589" s="42"/>
      <c r="E1589" s="41"/>
      <c r="F1589" s="41"/>
      <c r="G1589" s="41"/>
      <c r="H1589" s="41"/>
      <c r="I1589" s="41"/>
      <c r="J1589" s="42"/>
      <c r="K1589" s="41"/>
      <c r="L1589" s="41"/>
      <c r="M1589" s="127"/>
      <c r="N1589" s="41"/>
      <c r="O1589" s="41"/>
      <c r="P1589" s="41"/>
      <c r="Q1589" s="42"/>
      <c r="R1589" s="35"/>
      <c r="S1589" s="35"/>
      <c r="T1589" s="35"/>
      <c r="U1589" s="35"/>
      <c r="V1589" s="121"/>
      <c r="W1589" s="42"/>
      <c r="X1589" s="42"/>
      <c r="Y1589" s="42"/>
      <c r="Z1589" s="42"/>
      <c r="AA1589" s="42"/>
      <c r="AB1589" s="42"/>
      <c r="AC1589" s="42"/>
      <c r="AD1589" s="42"/>
      <c r="AE1589" s="42"/>
      <c r="AF1589" s="42"/>
      <c r="AG1589" s="42"/>
      <c r="AH1589" s="42"/>
      <c r="AI1589" s="42"/>
      <c r="AJ1589" s="42"/>
      <c r="AK1589" s="42"/>
      <c r="AL1589" s="42"/>
      <c r="AM1589" s="42"/>
    </row>
    <row r="1590" spans="1:39" x14ac:dyDescent="0.25">
      <c r="A1590" s="38" t="s">
        <v>1941</v>
      </c>
      <c r="B1590" s="42"/>
      <c r="C1590" s="42"/>
      <c r="D1590" s="42"/>
      <c r="E1590" s="41"/>
      <c r="F1590" s="41"/>
      <c r="G1590" s="41"/>
      <c r="H1590" s="41"/>
      <c r="I1590" s="41"/>
      <c r="J1590" s="42"/>
      <c r="K1590" s="41"/>
      <c r="L1590" s="41"/>
      <c r="M1590" s="127"/>
      <c r="N1590" s="41"/>
      <c r="O1590" s="41"/>
      <c r="P1590" s="41"/>
      <c r="Q1590" s="42"/>
      <c r="R1590" s="35"/>
      <c r="S1590" s="35"/>
      <c r="T1590" s="35"/>
      <c r="U1590" s="35"/>
      <c r="V1590" s="121"/>
      <c r="W1590" s="42"/>
      <c r="X1590" s="42"/>
      <c r="Y1590" s="42"/>
      <c r="Z1590" s="42"/>
      <c r="AA1590" s="42"/>
      <c r="AB1590" s="42"/>
      <c r="AC1590" s="42"/>
      <c r="AD1590" s="42"/>
      <c r="AE1590" s="42"/>
      <c r="AF1590" s="42"/>
      <c r="AG1590" s="42"/>
      <c r="AH1590" s="42"/>
      <c r="AI1590" s="42"/>
      <c r="AJ1590" s="42"/>
      <c r="AK1590" s="42"/>
      <c r="AL1590" s="42"/>
      <c r="AM1590" s="42"/>
    </row>
    <row r="1591" spans="1:39" x14ac:dyDescent="0.25">
      <c r="A1591" s="38" t="s">
        <v>1942</v>
      </c>
      <c r="B1591" s="42"/>
      <c r="C1591" s="42"/>
      <c r="D1591" s="42"/>
      <c r="E1591" s="41"/>
      <c r="F1591" s="41"/>
      <c r="G1591" s="41"/>
      <c r="H1591" s="41"/>
      <c r="I1591" s="41"/>
      <c r="J1591" s="42"/>
      <c r="K1591" s="41"/>
      <c r="L1591" s="41"/>
      <c r="M1591" s="127"/>
      <c r="N1591" s="41"/>
      <c r="O1591" s="41"/>
      <c r="P1591" s="41"/>
      <c r="Q1591" s="42"/>
      <c r="R1591" s="35"/>
      <c r="S1591" s="35"/>
      <c r="T1591" s="35"/>
      <c r="U1591" s="35"/>
      <c r="V1591" s="121"/>
      <c r="W1591" s="42"/>
      <c r="X1591" s="42"/>
      <c r="Y1591" s="42"/>
      <c r="Z1591" s="42"/>
      <c r="AA1591" s="42"/>
      <c r="AB1591" s="42"/>
      <c r="AC1591" s="42"/>
      <c r="AD1591" s="42"/>
      <c r="AE1591" s="42"/>
      <c r="AF1591" s="42"/>
      <c r="AG1591" s="42"/>
      <c r="AH1591" s="42"/>
      <c r="AI1591" s="42"/>
      <c r="AJ1591" s="42"/>
      <c r="AK1591" s="42"/>
      <c r="AL1591" s="42"/>
      <c r="AM1591" s="42"/>
    </row>
    <row r="1592" spans="1:39" x14ac:dyDescent="0.25">
      <c r="A1592" s="38" t="s">
        <v>1943</v>
      </c>
      <c r="B1592" s="42"/>
      <c r="C1592" s="42"/>
      <c r="D1592" s="42"/>
      <c r="E1592" s="41"/>
      <c r="F1592" s="41"/>
      <c r="G1592" s="41"/>
      <c r="H1592" s="41"/>
      <c r="I1592" s="41"/>
      <c r="J1592" s="42"/>
      <c r="K1592" s="41"/>
      <c r="L1592" s="41"/>
      <c r="M1592" s="127"/>
      <c r="N1592" s="41"/>
      <c r="O1592" s="41"/>
      <c r="P1592" s="41"/>
      <c r="Q1592" s="42"/>
      <c r="R1592" s="35"/>
      <c r="S1592" s="35"/>
      <c r="T1592" s="35"/>
      <c r="U1592" s="35"/>
      <c r="V1592" s="121"/>
      <c r="W1592" s="42"/>
      <c r="X1592" s="42"/>
      <c r="Y1592" s="42"/>
      <c r="Z1592" s="42"/>
      <c r="AA1592" s="42"/>
      <c r="AB1592" s="42"/>
      <c r="AC1592" s="42"/>
      <c r="AD1592" s="42"/>
      <c r="AE1592" s="42"/>
      <c r="AF1592" s="42"/>
      <c r="AG1592" s="42"/>
      <c r="AH1592" s="42"/>
      <c r="AI1592" s="42"/>
      <c r="AJ1592" s="42"/>
      <c r="AK1592" s="42"/>
      <c r="AL1592" s="42"/>
      <c r="AM1592" s="42"/>
    </row>
    <row r="1593" spans="1:39" x14ac:dyDescent="0.25">
      <c r="A1593" s="38" t="s">
        <v>1944</v>
      </c>
      <c r="B1593" s="42"/>
      <c r="C1593" s="42"/>
      <c r="D1593" s="42"/>
      <c r="E1593" s="41"/>
      <c r="F1593" s="41"/>
      <c r="G1593" s="41"/>
      <c r="H1593" s="41"/>
      <c r="I1593" s="41"/>
      <c r="J1593" s="42"/>
      <c r="K1593" s="41"/>
      <c r="L1593" s="41"/>
      <c r="M1593" s="127"/>
      <c r="N1593" s="41"/>
      <c r="O1593" s="41"/>
      <c r="P1593" s="41"/>
      <c r="Q1593" s="42"/>
      <c r="R1593" s="35"/>
      <c r="S1593" s="35"/>
      <c r="T1593" s="35"/>
      <c r="U1593" s="35"/>
      <c r="V1593" s="121"/>
      <c r="W1593" s="42"/>
      <c r="X1593" s="42"/>
      <c r="Y1593" s="42"/>
      <c r="Z1593" s="42"/>
      <c r="AA1593" s="42"/>
      <c r="AB1593" s="42"/>
      <c r="AC1593" s="42"/>
      <c r="AD1593" s="42"/>
      <c r="AE1593" s="42"/>
      <c r="AF1593" s="42"/>
      <c r="AG1593" s="42"/>
      <c r="AH1593" s="42"/>
      <c r="AI1593" s="42"/>
      <c r="AJ1593" s="42"/>
      <c r="AK1593" s="42"/>
      <c r="AL1593" s="42"/>
      <c r="AM1593" s="42"/>
    </row>
    <row r="1594" spans="1:39" x14ac:dyDescent="0.25">
      <c r="A1594" s="38" t="s">
        <v>1945</v>
      </c>
      <c r="B1594" s="42"/>
      <c r="C1594" s="42"/>
      <c r="D1594" s="42"/>
      <c r="E1594" s="41"/>
      <c r="F1594" s="41"/>
      <c r="G1594" s="41"/>
      <c r="H1594" s="41"/>
      <c r="I1594" s="41"/>
      <c r="J1594" s="42"/>
      <c r="K1594" s="41"/>
      <c r="L1594" s="41"/>
      <c r="M1594" s="127"/>
      <c r="N1594" s="41"/>
      <c r="O1594" s="41"/>
      <c r="P1594" s="41"/>
      <c r="Q1594" s="42"/>
      <c r="R1594" s="35"/>
      <c r="S1594" s="35"/>
      <c r="T1594" s="35"/>
      <c r="U1594" s="35"/>
      <c r="V1594" s="121"/>
      <c r="W1594" s="42"/>
      <c r="X1594" s="42"/>
      <c r="Y1594" s="42"/>
      <c r="Z1594" s="42"/>
      <c r="AA1594" s="42"/>
      <c r="AB1594" s="42"/>
      <c r="AC1594" s="42"/>
      <c r="AD1594" s="42"/>
      <c r="AE1594" s="42"/>
      <c r="AF1594" s="42"/>
      <c r="AG1594" s="42"/>
      <c r="AH1594" s="42"/>
      <c r="AI1594" s="42"/>
      <c r="AJ1594" s="42"/>
      <c r="AK1594" s="42"/>
      <c r="AL1594" s="42"/>
      <c r="AM1594" s="42"/>
    </row>
    <row r="1595" spans="1:39" x14ac:dyDescent="0.25">
      <c r="A1595" s="38" t="s">
        <v>1946</v>
      </c>
      <c r="B1595" s="42"/>
      <c r="C1595" s="42"/>
      <c r="D1595" s="42"/>
      <c r="E1595" s="41"/>
      <c r="F1595" s="41"/>
      <c r="G1595" s="41"/>
      <c r="H1595" s="41"/>
      <c r="I1595" s="41"/>
      <c r="J1595" s="42"/>
      <c r="K1595" s="41"/>
      <c r="L1595" s="41"/>
      <c r="M1595" s="127"/>
      <c r="N1595" s="41"/>
      <c r="O1595" s="41"/>
      <c r="P1595" s="41"/>
      <c r="Q1595" s="42"/>
      <c r="R1595" s="35"/>
      <c r="S1595" s="35"/>
      <c r="T1595" s="35"/>
      <c r="U1595" s="35"/>
      <c r="V1595" s="121"/>
      <c r="W1595" s="42"/>
      <c r="X1595" s="42"/>
      <c r="Y1595" s="42"/>
      <c r="Z1595" s="42"/>
      <c r="AA1595" s="42"/>
      <c r="AB1595" s="42"/>
      <c r="AC1595" s="42"/>
      <c r="AD1595" s="42"/>
      <c r="AE1595" s="42"/>
      <c r="AF1595" s="42"/>
      <c r="AG1595" s="42"/>
      <c r="AH1595" s="42"/>
      <c r="AI1595" s="42"/>
      <c r="AJ1595" s="42"/>
      <c r="AK1595" s="42"/>
      <c r="AL1595" s="42"/>
      <c r="AM1595" s="42"/>
    </row>
    <row r="1596" spans="1:39" x14ac:dyDescent="0.25">
      <c r="A1596" s="38" t="s">
        <v>1947</v>
      </c>
      <c r="B1596" s="42"/>
      <c r="C1596" s="42"/>
      <c r="D1596" s="42"/>
      <c r="E1596" s="41"/>
      <c r="F1596" s="41"/>
      <c r="G1596" s="41"/>
      <c r="H1596" s="41"/>
      <c r="I1596" s="41"/>
      <c r="J1596" s="42"/>
      <c r="K1596" s="41"/>
      <c r="L1596" s="41"/>
      <c r="M1596" s="127"/>
      <c r="N1596" s="41"/>
      <c r="O1596" s="41"/>
      <c r="P1596" s="41"/>
      <c r="Q1596" s="42"/>
      <c r="R1596" s="35"/>
      <c r="S1596" s="35"/>
      <c r="T1596" s="35"/>
      <c r="U1596" s="35"/>
      <c r="V1596" s="121"/>
      <c r="W1596" s="42"/>
      <c r="X1596" s="42"/>
      <c r="Y1596" s="42"/>
      <c r="Z1596" s="42"/>
      <c r="AA1596" s="42"/>
      <c r="AB1596" s="42"/>
      <c r="AC1596" s="42"/>
      <c r="AD1596" s="42"/>
      <c r="AE1596" s="42"/>
      <c r="AF1596" s="42"/>
      <c r="AG1596" s="42"/>
      <c r="AH1596" s="42"/>
      <c r="AI1596" s="42"/>
      <c r="AJ1596" s="42"/>
      <c r="AK1596" s="42"/>
      <c r="AL1596" s="42"/>
      <c r="AM1596" s="42"/>
    </row>
    <row r="1597" spans="1:39" x14ac:dyDescent="0.25">
      <c r="A1597" s="38" t="s">
        <v>1948</v>
      </c>
      <c r="B1597" s="42"/>
      <c r="C1597" s="42"/>
      <c r="D1597" s="42"/>
      <c r="E1597" s="41"/>
      <c r="F1597" s="41"/>
      <c r="G1597" s="41"/>
      <c r="H1597" s="41"/>
      <c r="I1597" s="41"/>
      <c r="J1597" s="42"/>
      <c r="K1597" s="41"/>
      <c r="L1597" s="41"/>
      <c r="M1597" s="127"/>
      <c r="N1597" s="41"/>
      <c r="O1597" s="41"/>
      <c r="P1597" s="41"/>
      <c r="Q1597" s="42"/>
      <c r="R1597" s="35"/>
      <c r="S1597" s="35"/>
      <c r="T1597" s="35"/>
      <c r="U1597" s="35"/>
      <c r="V1597" s="121"/>
      <c r="W1597" s="42"/>
      <c r="X1597" s="42"/>
      <c r="Y1597" s="42"/>
      <c r="Z1597" s="42"/>
      <c r="AA1597" s="42"/>
      <c r="AB1597" s="42"/>
      <c r="AC1597" s="42"/>
      <c r="AD1597" s="42"/>
      <c r="AE1597" s="42"/>
      <c r="AF1597" s="42"/>
      <c r="AG1597" s="42"/>
      <c r="AH1597" s="42"/>
      <c r="AI1597" s="42"/>
      <c r="AJ1597" s="42"/>
      <c r="AK1597" s="42"/>
      <c r="AL1597" s="42"/>
      <c r="AM1597" s="42"/>
    </row>
    <row r="1598" spans="1:39" x14ac:dyDescent="0.25">
      <c r="A1598" s="38" t="s">
        <v>1949</v>
      </c>
      <c r="B1598" s="42"/>
      <c r="C1598" s="42"/>
      <c r="D1598" s="42"/>
      <c r="E1598" s="41"/>
      <c r="F1598" s="41"/>
      <c r="G1598" s="41"/>
      <c r="H1598" s="41"/>
      <c r="I1598" s="41"/>
      <c r="J1598" s="42"/>
      <c r="K1598" s="41"/>
      <c r="L1598" s="41"/>
      <c r="M1598" s="127"/>
      <c r="N1598" s="41"/>
      <c r="O1598" s="41"/>
      <c r="P1598" s="41"/>
      <c r="Q1598" s="42"/>
      <c r="R1598" s="35"/>
      <c r="S1598" s="35"/>
      <c r="T1598" s="35"/>
      <c r="U1598" s="35"/>
      <c r="V1598" s="121"/>
      <c r="W1598" s="42"/>
      <c r="X1598" s="42"/>
      <c r="Y1598" s="42"/>
      <c r="Z1598" s="42"/>
      <c r="AA1598" s="42"/>
      <c r="AB1598" s="42"/>
      <c r="AC1598" s="42"/>
      <c r="AD1598" s="42"/>
      <c r="AE1598" s="42"/>
      <c r="AF1598" s="42"/>
      <c r="AG1598" s="42"/>
      <c r="AH1598" s="42"/>
      <c r="AI1598" s="42"/>
      <c r="AJ1598" s="42"/>
      <c r="AK1598" s="42"/>
      <c r="AL1598" s="42"/>
      <c r="AM1598" s="42"/>
    </row>
    <row r="1599" spans="1:39" x14ac:dyDescent="0.25">
      <c r="A1599" s="38" t="s">
        <v>1950</v>
      </c>
      <c r="B1599" s="42"/>
      <c r="C1599" s="42"/>
      <c r="D1599" s="42"/>
      <c r="E1599" s="41"/>
      <c r="F1599" s="41"/>
      <c r="G1599" s="41"/>
      <c r="H1599" s="41"/>
      <c r="I1599" s="41"/>
      <c r="J1599" s="42"/>
      <c r="K1599" s="41"/>
      <c r="L1599" s="41"/>
      <c r="M1599" s="127"/>
      <c r="N1599" s="41"/>
      <c r="O1599" s="41"/>
      <c r="P1599" s="41"/>
      <c r="Q1599" s="42"/>
      <c r="R1599" s="35"/>
      <c r="S1599" s="35"/>
      <c r="T1599" s="35"/>
      <c r="U1599" s="35"/>
      <c r="V1599" s="121"/>
      <c r="W1599" s="42"/>
      <c r="X1599" s="42"/>
      <c r="Y1599" s="42"/>
      <c r="Z1599" s="42"/>
      <c r="AA1599" s="42"/>
      <c r="AB1599" s="42"/>
      <c r="AC1599" s="42"/>
      <c r="AD1599" s="42"/>
      <c r="AE1599" s="42"/>
      <c r="AF1599" s="42"/>
      <c r="AG1599" s="42"/>
      <c r="AH1599" s="42"/>
      <c r="AI1599" s="42"/>
      <c r="AJ1599" s="42"/>
      <c r="AK1599" s="42"/>
      <c r="AL1599" s="42"/>
      <c r="AM1599" s="42"/>
    </row>
    <row r="1600" spans="1:39" x14ac:dyDescent="0.25">
      <c r="A1600" s="38" t="s">
        <v>1951</v>
      </c>
      <c r="B1600" s="42"/>
      <c r="C1600" s="42"/>
      <c r="D1600" s="42"/>
      <c r="E1600" s="41"/>
      <c r="F1600" s="41"/>
      <c r="G1600" s="41"/>
      <c r="H1600" s="41"/>
      <c r="I1600" s="41"/>
      <c r="J1600" s="42"/>
      <c r="K1600" s="41"/>
      <c r="L1600" s="41"/>
      <c r="M1600" s="127"/>
      <c r="N1600" s="41"/>
      <c r="O1600" s="41"/>
      <c r="P1600" s="41"/>
      <c r="Q1600" s="42"/>
      <c r="R1600" s="35"/>
      <c r="S1600" s="35"/>
      <c r="T1600" s="35"/>
      <c r="U1600" s="35"/>
      <c r="V1600" s="121"/>
      <c r="W1600" s="42"/>
      <c r="X1600" s="42"/>
      <c r="Y1600" s="42"/>
      <c r="Z1600" s="42"/>
      <c r="AA1600" s="42"/>
      <c r="AB1600" s="42"/>
      <c r="AC1600" s="42"/>
      <c r="AD1600" s="42"/>
      <c r="AE1600" s="42"/>
      <c r="AF1600" s="42"/>
      <c r="AG1600" s="42"/>
      <c r="AH1600" s="42"/>
      <c r="AI1600" s="42"/>
      <c r="AJ1600" s="42"/>
      <c r="AK1600" s="42"/>
      <c r="AL1600" s="42"/>
      <c r="AM1600" s="42"/>
    </row>
    <row r="1601" spans="1:39" x14ac:dyDescent="0.25">
      <c r="A1601" s="38" t="s">
        <v>1952</v>
      </c>
      <c r="B1601" s="42"/>
      <c r="C1601" s="42"/>
      <c r="D1601" s="42"/>
      <c r="E1601" s="41"/>
      <c r="F1601" s="41"/>
      <c r="G1601" s="41"/>
      <c r="H1601" s="41"/>
      <c r="I1601" s="41"/>
      <c r="J1601" s="42"/>
      <c r="K1601" s="41"/>
      <c r="L1601" s="41"/>
      <c r="M1601" s="127"/>
      <c r="N1601" s="41"/>
      <c r="O1601" s="41"/>
      <c r="P1601" s="41"/>
      <c r="Q1601" s="42"/>
      <c r="R1601" s="35"/>
      <c r="S1601" s="35"/>
      <c r="T1601" s="35"/>
      <c r="U1601" s="35"/>
      <c r="V1601" s="121"/>
      <c r="W1601" s="42"/>
      <c r="X1601" s="42"/>
      <c r="Y1601" s="42"/>
      <c r="Z1601" s="42"/>
      <c r="AA1601" s="42"/>
      <c r="AB1601" s="42"/>
      <c r="AC1601" s="42"/>
      <c r="AD1601" s="42"/>
      <c r="AE1601" s="42"/>
      <c r="AF1601" s="42"/>
      <c r="AG1601" s="42"/>
      <c r="AH1601" s="42"/>
      <c r="AI1601" s="42"/>
      <c r="AJ1601" s="42"/>
      <c r="AK1601" s="42"/>
      <c r="AL1601" s="42"/>
      <c r="AM1601" s="42"/>
    </row>
    <row r="1602" spans="1:39" x14ac:dyDescent="0.25">
      <c r="A1602" s="38" t="s">
        <v>1953</v>
      </c>
      <c r="B1602" s="42"/>
      <c r="C1602" s="42"/>
      <c r="D1602" s="42"/>
      <c r="E1602" s="41"/>
      <c r="F1602" s="41"/>
      <c r="G1602" s="41"/>
      <c r="H1602" s="41"/>
      <c r="I1602" s="41"/>
      <c r="J1602" s="42"/>
      <c r="K1602" s="41"/>
      <c r="L1602" s="41"/>
      <c r="M1602" s="127"/>
      <c r="N1602" s="41"/>
      <c r="O1602" s="41"/>
      <c r="P1602" s="41"/>
      <c r="Q1602" s="42"/>
      <c r="R1602" s="35"/>
      <c r="S1602" s="35"/>
      <c r="T1602" s="35"/>
      <c r="U1602" s="35"/>
      <c r="V1602" s="121"/>
      <c r="W1602" s="42"/>
      <c r="X1602" s="42"/>
      <c r="Y1602" s="42"/>
      <c r="Z1602" s="42"/>
      <c r="AA1602" s="42"/>
      <c r="AB1602" s="42"/>
      <c r="AC1602" s="42"/>
      <c r="AD1602" s="42"/>
      <c r="AE1602" s="42"/>
      <c r="AF1602" s="42"/>
      <c r="AG1602" s="42"/>
      <c r="AH1602" s="42"/>
      <c r="AI1602" s="42"/>
      <c r="AJ1602" s="42"/>
      <c r="AK1602" s="42"/>
      <c r="AL1602" s="42"/>
      <c r="AM1602" s="42"/>
    </row>
    <row r="1603" spans="1:39" x14ac:dyDescent="0.25">
      <c r="A1603" s="38" t="s">
        <v>1954</v>
      </c>
      <c r="B1603" s="42"/>
      <c r="C1603" s="42"/>
      <c r="D1603" s="42"/>
      <c r="E1603" s="41"/>
      <c r="F1603" s="41"/>
      <c r="G1603" s="41"/>
      <c r="H1603" s="41"/>
      <c r="I1603" s="41"/>
      <c r="J1603" s="42"/>
      <c r="K1603" s="41"/>
      <c r="L1603" s="41"/>
      <c r="M1603" s="127"/>
      <c r="N1603" s="41"/>
      <c r="O1603" s="41"/>
      <c r="P1603" s="41"/>
      <c r="Q1603" s="42"/>
      <c r="R1603" s="35"/>
      <c r="S1603" s="35"/>
      <c r="T1603" s="35"/>
      <c r="U1603" s="35"/>
      <c r="V1603" s="121"/>
      <c r="W1603" s="42"/>
      <c r="X1603" s="42"/>
      <c r="Y1603" s="42"/>
      <c r="Z1603" s="42"/>
      <c r="AA1603" s="42"/>
      <c r="AB1603" s="42"/>
      <c r="AC1603" s="42"/>
      <c r="AD1603" s="42"/>
      <c r="AE1603" s="42"/>
      <c r="AF1603" s="42"/>
      <c r="AG1603" s="42"/>
      <c r="AH1603" s="42"/>
      <c r="AI1603" s="42"/>
      <c r="AJ1603" s="42"/>
      <c r="AK1603" s="42"/>
      <c r="AL1603" s="42"/>
      <c r="AM1603" s="42"/>
    </row>
    <row r="1604" spans="1:39" x14ac:dyDescent="0.25">
      <c r="A1604" s="38" t="s">
        <v>1955</v>
      </c>
      <c r="B1604" s="42"/>
      <c r="C1604" s="42"/>
      <c r="D1604" s="42"/>
      <c r="E1604" s="41"/>
      <c r="F1604" s="41"/>
      <c r="G1604" s="41"/>
      <c r="H1604" s="41"/>
      <c r="I1604" s="41"/>
      <c r="J1604" s="42"/>
      <c r="K1604" s="41"/>
      <c r="L1604" s="41"/>
      <c r="M1604" s="127"/>
      <c r="N1604" s="41"/>
      <c r="O1604" s="41"/>
      <c r="P1604" s="41"/>
      <c r="Q1604" s="42"/>
      <c r="R1604" s="35"/>
      <c r="S1604" s="35"/>
      <c r="T1604" s="35"/>
      <c r="U1604" s="35"/>
      <c r="V1604" s="121"/>
      <c r="W1604" s="42"/>
      <c r="X1604" s="42"/>
      <c r="Y1604" s="42"/>
      <c r="Z1604" s="42"/>
      <c r="AA1604" s="42"/>
      <c r="AB1604" s="42"/>
      <c r="AC1604" s="42"/>
      <c r="AD1604" s="42"/>
      <c r="AE1604" s="42"/>
      <c r="AF1604" s="42"/>
      <c r="AG1604" s="42"/>
      <c r="AH1604" s="42"/>
      <c r="AI1604" s="42"/>
      <c r="AJ1604" s="42"/>
      <c r="AK1604" s="42"/>
      <c r="AL1604" s="42"/>
      <c r="AM1604" s="42"/>
    </row>
    <row r="1605" spans="1:39" x14ac:dyDescent="0.25">
      <c r="A1605" s="38" t="s">
        <v>1956</v>
      </c>
      <c r="B1605" s="42"/>
      <c r="C1605" s="42"/>
      <c r="D1605" s="42"/>
      <c r="E1605" s="41"/>
      <c r="F1605" s="41"/>
      <c r="G1605" s="41"/>
      <c r="H1605" s="41"/>
      <c r="I1605" s="41"/>
      <c r="J1605" s="42"/>
      <c r="K1605" s="41"/>
      <c r="L1605" s="41"/>
      <c r="M1605" s="127"/>
      <c r="N1605" s="41"/>
      <c r="O1605" s="41"/>
      <c r="P1605" s="41"/>
      <c r="Q1605" s="42"/>
      <c r="R1605" s="35"/>
      <c r="S1605" s="35"/>
      <c r="T1605" s="35"/>
      <c r="U1605" s="35"/>
      <c r="V1605" s="121"/>
      <c r="W1605" s="42"/>
      <c r="X1605" s="42"/>
      <c r="Y1605" s="42"/>
      <c r="Z1605" s="42"/>
      <c r="AA1605" s="42"/>
      <c r="AB1605" s="42"/>
      <c r="AC1605" s="42"/>
      <c r="AD1605" s="42"/>
      <c r="AE1605" s="42"/>
      <c r="AF1605" s="42"/>
      <c r="AG1605" s="42"/>
      <c r="AH1605" s="42"/>
      <c r="AI1605" s="42"/>
      <c r="AJ1605" s="42"/>
      <c r="AK1605" s="42"/>
      <c r="AL1605" s="42"/>
      <c r="AM1605" s="42"/>
    </row>
    <row r="1606" spans="1:39" x14ac:dyDescent="0.25">
      <c r="A1606" s="38" t="s">
        <v>1957</v>
      </c>
      <c r="B1606" s="42"/>
      <c r="C1606" s="42"/>
      <c r="D1606" s="42"/>
      <c r="E1606" s="41"/>
      <c r="F1606" s="41"/>
      <c r="G1606" s="41"/>
      <c r="H1606" s="41"/>
      <c r="I1606" s="41"/>
      <c r="J1606" s="42"/>
      <c r="K1606" s="41"/>
      <c r="L1606" s="41"/>
      <c r="M1606" s="127"/>
      <c r="N1606" s="41"/>
      <c r="O1606" s="41"/>
      <c r="P1606" s="41"/>
      <c r="Q1606" s="42"/>
      <c r="R1606" s="35"/>
      <c r="S1606" s="35"/>
      <c r="T1606" s="35"/>
      <c r="U1606" s="35"/>
      <c r="V1606" s="121"/>
      <c r="W1606" s="42"/>
      <c r="X1606" s="42"/>
      <c r="Y1606" s="42"/>
      <c r="Z1606" s="42"/>
      <c r="AA1606" s="42"/>
      <c r="AB1606" s="42"/>
      <c r="AC1606" s="42"/>
      <c r="AD1606" s="42"/>
      <c r="AE1606" s="42"/>
      <c r="AF1606" s="42"/>
      <c r="AG1606" s="42"/>
      <c r="AH1606" s="42"/>
      <c r="AI1606" s="42"/>
      <c r="AJ1606" s="42"/>
      <c r="AK1606" s="42"/>
      <c r="AL1606" s="42"/>
      <c r="AM1606" s="42"/>
    </row>
    <row r="1607" spans="1:39" x14ac:dyDescent="0.25">
      <c r="A1607" s="38" t="s">
        <v>1958</v>
      </c>
      <c r="B1607" s="42"/>
      <c r="C1607" s="42"/>
      <c r="D1607" s="42"/>
      <c r="E1607" s="41"/>
      <c r="F1607" s="41"/>
      <c r="G1607" s="41"/>
      <c r="H1607" s="41"/>
      <c r="I1607" s="41"/>
      <c r="J1607" s="42"/>
      <c r="K1607" s="41"/>
      <c r="L1607" s="41"/>
      <c r="M1607" s="127"/>
      <c r="N1607" s="41"/>
      <c r="O1607" s="41"/>
      <c r="P1607" s="41"/>
      <c r="Q1607" s="42"/>
      <c r="R1607" s="35"/>
      <c r="S1607" s="35"/>
      <c r="T1607" s="35"/>
      <c r="U1607" s="35"/>
      <c r="V1607" s="121"/>
      <c r="W1607" s="42"/>
      <c r="X1607" s="42"/>
      <c r="Y1607" s="42"/>
      <c r="Z1607" s="42"/>
      <c r="AA1607" s="42"/>
      <c r="AB1607" s="42"/>
      <c r="AC1607" s="42"/>
      <c r="AD1607" s="42"/>
      <c r="AE1607" s="42"/>
      <c r="AF1607" s="42"/>
      <c r="AG1607" s="42"/>
      <c r="AH1607" s="42"/>
      <c r="AI1607" s="42"/>
      <c r="AJ1607" s="42"/>
      <c r="AK1607" s="42"/>
      <c r="AL1607" s="42"/>
      <c r="AM1607" s="42"/>
    </row>
    <row r="1608" spans="1:39" x14ac:dyDescent="0.25">
      <c r="A1608" s="38" t="s">
        <v>1959</v>
      </c>
      <c r="B1608" s="42"/>
      <c r="C1608" s="42"/>
      <c r="D1608" s="42"/>
      <c r="E1608" s="41"/>
      <c r="F1608" s="41"/>
      <c r="G1608" s="41"/>
      <c r="H1608" s="41"/>
      <c r="I1608" s="41"/>
      <c r="J1608" s="42"/>
      <c r="K1608" s="41"/>
      <c r="L1608" s="41"/>
      <c r="M1608" s="127"/>
      <c r="N1608" s="41"/>
      <c r="O1608" s="41"/>
      <c r="P1608" s="41"/>
      <c r="Q1608" s="42"/>
      <c r="R1608" s="35"/>
      <c r="S1608" s="35"/>
      <c r="T1608" s="35"/>
      <c r="U1608" s="35"/>
      <c r="V1608" s="121"/>
      <c r="W1608" s="42"/>
      <c r="X1608" s="42"/>
      <c r="Y1608" s="42"/>
      <c r="Z1608" s="42"/>
      <c r="AA1608" s="42"/>
      <c r="AB1608" s="42"/>
      <c r="AC1608" s="42"/>
      <c r="AD1608" s="42"/>
      <c r="AE1608" s="42"/>
      <c r="AF1608" s="42"/>
      <c r="AG1608" s="42"/>
      <c r="AH1608" s="42"/>
      <c r="AI1608" s="42"/>
      <c r="AJ1608" s="42"/>
      <c r="AK1608" s="42"/>
      <c r="AL1608" s="42"/>
      <c r="AM1608" s="42"/>
    </row>
    <row r="1609" spans="1:39" x14ac:dyDescent="0.25">
      <c r="A1609" s="38" t="s">
        <v>1960</v>
      </c>
      <c r="B1609" s="42"/>
      <c r="C1609" s="42"/>
      <c r="D1609" s="42"/>
      <c r="E1609" s="41"/>
      <c r="F1609" s="41"/>
      <c r="G1609" s="41"/>
      <c r="H1609" s="41"/>
      <c r="I1609" s="41"/>
      <c r="J1609" s="42"/>
      <c r="K1609" s="41"/>
      <c r="L1609" s="41"/>
      <c r="M1609" s="127"/>
      <c r="N1609" s="41"/>
      <c r="O1609" s="41"/>
      <c r="P1609" s="41"/>
      <c r="Q1609" s="42"/>
      <c r="R1609" s="35"/>
      <c r="S1609" s="35"/>
      <c r="T1609" s="35"/>
      <c r="U1609" s="35"/>
      <c r="V1609" s="121"/>
      <c r="W1609" s="42"/>
      <c r="X1609" s="42"/>
      <c r="Y1609" s="42"/>
      <c r="Z1609" s="42"/>
      <c r="AA1609" s="42"/>
      <c r="AB1609" s="42"/>
      <c r="AC1609" s="42"/>
      <c r="AD1609" s="42"/>
      <c r="AE1609" s="42"/>
      <c r="AF1609" s="42"/>
      <c r="AG1609" s="42"/>
      <c r="AH1609" s="42"/>
      <c r="AI1609" s="42"/>
      <c r="AJ1609" s="42"/>
      <c r="AK1609" s="42"/>
      <c r="AL1609" s="42"/>
      <c r="AM1609" s="42"/>
    </row>
    <row r="1610" spans="1:39" x14ac:dyDescent="0.25">
      <c r="A1610" s="38" t="s">
        <v>1961</v>
      </c>
      <c r="B1610" s="42"/>
      <c r="C1610" s="42"/>
      <c r="D1610" s="42"/>
      <c r="E1610" s="41"/>
      <c r="F1610" s="41"/>
      <c r="G1610" s="41"/>
      <c r="H1610" s="41"/>
      <c r="I1610" s="41"/>
      <c r="J1610" s="42"/>
      <c r="K1610" s="41"/>
      <c r="L1610" s="41"/>
      <c r="M1610" s="127"/>
      <c r="N1610" s="41"/>
      <c r="O1610" s="41"/>
      <c r="P1610" s="41"/>
      <c r="Q1610" s="42"/>
      <c r="R1610" s="35"/>
      <c r="S1610" s="35"/>
      <c r="T1610" s="35"/>
      <c r="U1610" s="35"/>
      <c r="V1610" s="121"/>
      <c r="W1610" s="42"/>
      <c r="X1610" s="42"/>
      <c r="Y1610" s="42"/>
      <c r="Z1610" s="42"/>
      <c r="AA1610" s="42"/>
      <c r="AB1610" s="42"/>
      <c r="AC1610" s="42"/>
      <c r="AD1610" s="42"/>
      <c r="AE1610" s="42"/>
      <c r="AF1610" s="42"/>
      <c r="AG1610" s="42"/>
      <c r="AH1610" s="42"/>
      <c r="AI1610" s="42"/>
      <c r="AJ1610" s="42"/>
      <c r="AK1610" s="42"/>
      <c r="AL1610" s="42"/>
      <c r="AM1610" s="42"/>
    </row>
    <row r="1611" spans="1:39" x14ac:dyDescent="0.25">
      <c r="A1611" s="38" t="s">
        <v>1962</v>
      </c>
      <c r="B1611" s="42"/>
      <c r="C1611" s="42"/>
      <c r="D1611" s="42"/>
      <c r="E1611" s="41"/>
      <c r="F1611" s="41"/>
      <c r="G1611" s="41"/>
      <c r="H1611" s="41"/>
      <c r="I1611" s="41"/>
      <c r="J1611" s="42"/>
      <c r="K1611" s="41"/>
      <c r="L1611" s="41"/>
      <c r="M1611" s="127"/>
      <c r="N1611" s="41"/>
      <c r="O1611" s="41"/>
      <c r="P1611" s="41"/>
      <c r="Q1611" s="42"/>
      <c r="R1611" s="35"/>
      <c r="S1611" s="35"/>
      <c r="T1611" s="35"/>
      <c r="U1611" s="35"/>
      <c r="V1611" s="121"/>
      <c r="W1611" s="42"/>
      <c r="X1611" s="42"/>
      <c r="Y1611" s="42"/>
      <c r="Z1611" s="42"/>
      <c r="AA1611" s="42"/>
      <c r="AB1611" s="42"/>
      <c r="AC1611" s="42"/>
      <c r="AD1611" s="42"/>
      <c r="AE1611" s="42"/>
      <c r="AF1611" s="42"/>
      <c r="AG1611" s="42"/>
      <c r="AH1611" s="42"/>
      <c r="AI1611" s="42"/>
      <c r="AJ1611" s="42"/>
      <c r="AK1611" s="42"/>
      <c r="AL1611" s="42"/>
      <c r="AM1611" s="42"/>
    </row>
    <row r="1612" spans="1:39" x14ac:dyDescent="0.25">
      <c r="A1612" s="38" t="s">
        <v>1963</v>
      </c>
      <c r="B1612" s="42"/>
      <c r="C1612" s="42"/>
      <c r="D1612" s="42"/>
      <c r="E1612" s="41"/>
      <c r="F1612" s="41"/>
      <c r="G1612" s="41"/>
      <c r="H1612" s="41"/>
      <c r="I1612" s="41"/>
      <c r="J1612" s="42"/>
      <c r="K1612" s="41"/>
      <c r="L1612" s="41"/>
      <c r="M1612" s="127"/>
      <c r="N1612" s="41"/>
      <c r="O1612" s="41"/>
      <c r="P1612" s="41"/>
      <c r="Q1612" s="42"/>
      <c r="R1612" s="35"/>
      <c r="S1612" s="35"/>
      <c r="T1612" s="35"/>
      <c r="U1612" s="35"/>
      <c r="V1612" s="121"/>
      <c r="W1612" s="42"/>
      <c r="X1612" s="42"/>
      <c r="Y1612" s="42"/>
      <c r="Z1612" s="42"/>
      <c r="AA1612" s="42"/>
      <c r="AB1612" s="42"/>
      <c r="AC1612" s="42"/>
      <c r="AD1612" s="42"/>
      <c r="AE1612" s="42"/>
      <c r="AF1612" s="42"/>
      <c r="AG1612" s="42"/>
      <c r="AH1612" s="42"/>
      <c r="AI1612" s="42"/>
      <c r="AJ1612" s="42"/>
      <c r="AK1612" s="42"/>
      <c r="AL1612" s="42"/>
      <c r="AM1612" s="42"/>
    </row>
    <row r="1613" spans="1:39" x14ac:dyDescent="0.25">
      <c r="A1613" s="38" t="s">
        <v>1964</v>
      </c>
      <c r="B1613" s="42"/>
      <c r="C1613" s="42"/>
      <c r="D1613" s="42"/>
      <c r="E1613" s="41"/>
      <c r="F1613" s="41"/>
      <c r="G1613" s="41"/>
      <c r="H1613" s="41"/>
      <c r="I1613" s="41"/>
      <c r="J1613" s="42"/>
      <c r="K1613" s="41"/>
      <c r="L1613" s="41"/>
      <c r="M1613" s="127"/>
      <c r="N1613" s="41"/>
      <c r="O1613" s="41"/>
      <c r="P1613" s="41"/>
      <c r="Q1613" s="42"/>
      <c r="R1613" s="35"/>
      <c r="S1613" s="35"/>
      <c r="T1613" s="35"/>
      <c r="U1613" s="35"/>
      <c r="V1613" s="121"/>
      <c r="W1613" s="42"/>
      <c r="X1613" s="42"/>
      <c r="Y1613" s="42"/>
      <c r="Z1613" s="42"/>
      <c r="AA1613" s="42"/>
      <c r="AB1613" s="42"/>
      <c r="AC1613" s="42"/>
      <c r="AD1613" s="42"/>
      <c r="AE1613" s="42"/>
      <c r="AF1613" s="42"/>
      <c r="AG1613" s="42"/>
      <c r="AH1613" s="42"/>
      <c r="AI1613" s="42"/>
      <c r="AJ1613" s="42"/>
      <c r="AK1613" s="42"/>
      <c r="AL1613" s="42"/>
      <c r="AM1613" s="42"/>
    </row>
    <row r="1614" spans="1:39" x14ac:dyDescent="0.25">
      <c r="A1614" s="38" t="s">
        <v>1965</v>
      </c>
      <c r="B1614" s="42"/>
      <c r="C1614" s="42"/>
      <c r="D1614" s="42"/>
      <c r="E1614" s="41"/>
      <c r="F1614" s="41"/>
      <c r="G1614" s="41"/>
      <c r="H1614" s="41"/>
      <c r="I1614" s="41"/>
      <c r="J1614" s="42"/>
      <c r="K1614" s="41"/>
      <c r="L1614" s="41"/>
      <c r="M1614" s="127"/>
      <c r="N1614" s="41"/>
      <c r="O1614" s="41"/>
      <c r="P1614" s="41"/>
      <c r="Q1614" s="42"/>
      <c r="R1614" s="35"/>
      <c r="S1614" s="35"/>
      <c r="T1614" s="35"/>
      <c r="U1614" s="35"/>
      <c r="V1614" s="121"/>
      <c r="W1614" s="42"/>
      <c r="X1614" s="42"/>
      <c r="Y1614" s="42"/>
      <c r="Z1614" s="42"/>
      <c r="AA1614" s="42"/>
      <c r="AB1614" s="42"/>
      <c r="AC1614" s="42"/>
      <c r="AD1614" s="42"/>
      <c r="AE1614" s="42"/>
      <c r="AF1614" s="42"/>
      <c r="AG1614" s="42"/>
      <c r="AH1614" s="42"/>
      <c r="AI1614" s="42"/>
      <c r="AJ1614" s="42"/>
      <c r="AK1614" s="42"/>
      <c r="AL1614" s="42"/>
      <c r="AM1614" s="42"/>
    </row>
    <row r="1615" spans="1:39" x14ac:dyDescent="0.25">
      <c r="A1615" s="38" t="s">
        <v>1966</v>
      </c>
      <c r="B1615" s="42"/>
      <c r="C1615" s="42"/>
      <c r="D1615" s="42"/>
      <c r="E1615" s="41"/>
      <c r="F1615" s="41"/>
      <c r="G1615" s="41"/>
      <c r="H1615" s="41"/>
      <c r="I1615" s="41"/>
      <c r="J1615" s="42"/>
      <c r="K1615" s="41"/>
      <c r="L1615" s="41"/>
      <c r="M1615" s="127"/>
      <c r="N1615" s="41"/>
      <c r="O1615" s="41"/>
      <c r="P1615" s="41"/>
      <c r="Q1615" s="42"/>
      <c r="R1615" s="35"/>
      <c r="S1615" s="35"/>
      <c r="T1615" s="35"/>
      <c r="U1615" s="35"/>
      <c r="V1615" s="121"/>
      <c r="W1615" s="42"/>
      <c r="X1615" s="42"/>
      <c r="Y1615" s="42"/>
      <c r="Z1615" s="42"/>
      <c r="AA1615" s="42"/>
      <c r="AB1615" s="42"/>
      <c r="AC1615" s="42"/>
      <c r="AD1615" s="42"/>
      <c r="AE1615" s="42"/>
      <c r="AF1615" s="42"/>
      <c r="AG1615" s="42"/>
      <c r="AH1615" s="42"/>
      <c r="AI1615" s="42"/>
      <c r="AJ1615" s="42"/>
      <c r="AK1615" s="42"/>
      <c r="AL1615" s="42"/>
      <c r="AM1615" s="42"/>
    </row>
    <row r="1616" spans="1:39" x14ac:dyDescent="0.25">
      <c r="A1616" s="38" t="s">
        <v>1967</v>
      </c>
      <c r="B1616" s="42"/>
      <c r="C1616" s="42"/>
      <c r="D1616" s="42"/>
      <c r="E1616" s="41"/>
      <c r="F1616" s="41"/>
      <c r="G1616" s="41"/>
      <c r="H1616" s="41"/>
      <c r="I1616" s="41"/>
      <c r="J1616" s="42"/>
      <c r="K1616" s="41"/>
      <c r="L1616" s="41"/>
      <c r="M1616" s="127"/>
      <c r="N1616" s="41"/>
      <c r="O1616" s="41"/>
      <c r="P1616" s="41"/>
      <c r="Q1616" s="42"/>
      <c r="R1616" s="35"/>
      <c r="S1616" s="35"/>
      <c r="T1616" s="35"/>
      <c r="U1616" s="35"/>
      <c r="V1616" s="121"/>
      <c r="W1616" s="42"/>
      <c r="X1616" s="42"/>
      <c r="Y1616" s="42"/>
      <c r="Z1616" s="42"/>
      <c r="AA1616" s="42"/>
      <c r="AB1616" s="42"/>
      <c r="AC1616" s="42"/>
      <c r="AD1616" s="42"/>
      <c r="AE1616" s="42"/>
      <c r="AF1616" s="42"/>
      <c r="AG1616" s="42"/>
      <c r="AH1616" s="42"/>
      <c r="AI1616" s="42"/>
      <c r="AJ1616" s="42"/>
      <c r="AK1616" s="42"/>
      <c r="AL1616" s="42"/>
      <c r="AM1616" s="42"/>
    </row>
    <row r="1617" spans="1:39" x14ac:dyDescent="0.25">
      <c r="A1617" s="38" t="s">
        <v>1968</v>
      </c>
      <c r="B1617" s="42"/>
      <c r="C1617" s="42"/>
      <c r="D1617" s="42"/>
      <c r="E1617" s="41"/>
      <c r="F1617" s="41"/>
      <c r="G1617" s="41"/>
      <c r="H1617" s="41"/>
      <c r="I1617" s="41"/>
      <c r="J1617" s="42"/>
      <c r="K1617" s="41"/>
      <c r="L1617" s="41"/>
      <c r="M1617" s="127"/>
      <c r="N1617" s="41"/>
      <c r="O1617" s="41"/>
      <c r="P1617" s="41"/>
      <c r="Q1617" s="42"/>
      <c r="R1617" s="35"/>
      <c r="S1617" s="35"/>
      <c r="T1617" s="35"/>
      <c r="U1617" s="35"/>
      <c r="V1617" s="121"/>
      <c r="W1617" s="42"/>
      <c r="X1617" s="42"/>
      <c r="Y1617" s="42"/>
      <c r="Z1617" s="42"/>
      <c r="AA1617" s="42"/>
      <c r="AB1617" s="42"/>
      <c r="AC1617" s="42"/>
      <c r="AD1617" s="42"/>
      <c r="AE1617" s="42"/>
      <c r="AF1617" s="42"/>
      <c r="AG1617" s="42"/>
      <c r="AH1617" s="42"/>
      <c r="AI1617" s="42"/>
      <c r="AJ1617" s="42"/>
      <c r="AK1617" s="42"/>
      <c r="AL1617" s="42"/>
      <c r="AM1617" s="42"/>
    </row>
    <row r="1618" spans="1:39" x14ac:dyDescent="0.25">
      <c r="A1618" s="38" t="s">
        <v>1969</v>
      </c>
      <c r="B1618" s="42"/>
      <c r="C1618" s="42"/>
      <c r="D1618" s="42"/>
      <c r="E1618" s="41"/>
      <c r="F1618" s="41"/>
      <c r="G1618" s="41"/>
      <c r="H1618" s="41"/>
      <c r="I1618" s="41"/>
      <c r="J1618" s="42"/>
      <c r="K1618" s="41"/>
      <c r="L1618" s="41"/>
      <c r="M1618" s="127"/>
      <c r="N1618" s="41"/>
      <c r="O1618" s="41"/>
      <c r="P1618" s="41"/>
      <c r="Q1618" s="42"/>
      <c r="R1618" s="35"/>
      <c r="S1618" s="35"/>
      <c r="T1618" s="35"/>
      <c r="U1618" s="35"/>
      <c r="V1618" s="121"/>
      <c r="W1618" s="42"/>
      <c r="X1618" s="42"/>
      <c r="Y1618" s="42"/>
      <c r="Z1618" s="42"/>
      <c r="AA1618" s="42"/>
      <c r="AB1618" s="42"/>
      <c r="AC1618" s="42"/>
      <c r="AD1618" s="42"/>
      <c r="AE1618" s="42"/>
      <c r="AF1618" s="42"/>
      <c r="AG1618" s="42"/>
      <c r="AH1618" s="42"/>
      <c r="AI1618" s="42"/>
      <c r="AJ1618" s="42"/>
      <c r="AK1618" s="42"/>
      <c r="AL1618" s="42"/>
      <c r="AM1618" s="42"/>
    </row>
    <row r="1619" spans="1:39" x14ac:dyDescent="0.25">
      <c r="A1619" s="38" t="s">
        <v>1970</v>
      </c>
      <c r="B1619" s="42"/>
      <c r="C1619" s="42"/>
      <c r="D1619" s="42"/>
      <c r="E1619" s="41"/>
      <c r="F1619" s="41"/>
      <c r="G1619" s="41"/>
      <c r="H1619" s="41"/>
      <c r="I1619" s="41"/>
      <c r="J1619" s="42"/>
      <c r="K1619" s="41"/>
      <c r="L1619" s="41"/>
      <c r="M1619" s="127"/>
      <c r="N1619" s="41"/>
      <c r="O1619" s="41"/>
      <c r="P1619" s="41"/>
      <c r="Q1619" s="42"/>
      <c r="R1619" s="35"/>
      <c r="S1619" s="35"/>
      <c r="T1619" s="35"/>
      <c r="U1619" s="35"/>
      <c r="V1619" s="121"/>
      <c r="W1619" s="42"/>
      <c r="X1619" s="42"/>
      <c r="Y1619" s="42"/>
      <c r="Z1619" s="42"/>
      <c r="AA1619" s="42"/>
      <c r="AB1619" s="42"/>
      <c r="AC1619" s="42"/>
      <c r="AD1619" s="42"/>
      <c r="AE1619" s="42"/>
      <c r="AF1619" s="42"/>
      <c r="AG1619" s="42"/>
      <c r="AH1619" s="42"/>
      <c r="AI1619" s="42"/>
      <c r="AJ1619" s="42"/>
      <c r="AK1619" s="42"/>
      <c r="AL1619" s="42"/>
      <c r="AM1619" s="42"/>
    </row>
    <row r="1620" spans="1:39" x14ac:dyDescent="0.25">
      <c r="A1620" s="38" t="s">
        <v>1971</v>
      </c>
      <c r="B1620" s="42"/>
      <c r="C1620" s="42"/>
      <c r="D1620" s="42"/>
      <c r="E1620" s="41"/>
      <c r="F1620" s="41"/>
      <c r="G1620" s="41"/>
      <c r="H1620" s="41"/>
      <c r="I1620" s="41"/>
      <c r="J1620" s="42"/>
      <c r="K1620" s="41"/>
      <c r="L1620" s="41"/>
      <c r="M1620" s="127"/>
      <c r="N1620" s="41"/>
      <c r="O1620" s="41"/>
      <c r="P1620" s="41"/>
      <c r="Q1620" s="42"/>
      <c r="R1620" s="35"/>
      <c r="S1620" s="35"/>
      <c r="T1620" s="35"/>
      <c r="U1620" s="35"/>
      <c r="V1620" s="121"/>
      <c r="W1620" s="42"/>
      <c r="X1620" s="42"/>
      <c r="Y1620" s="42"/>
      <c r="Z1620" s="42"/>
      <c r="AA1620" s="42"/>
      <c r="AB1620" s="42"/>
      <c r="AC1620" s="42"/>
      <c r="AD1620" s="42"/>
      <c r="AE1620" s="42"/>
      <c r="AF1620" s="42"/>
      <c r="AG1620" s="42"/>
      <c r="AH1620" s="42"/>
      <c r="AI1620" s="42"/>
      <c r="AJ1620" s="42"/>
      <c r="AK1620" s="42"/>
      <c r="AL1620" s="42"/>
      <c r="AM1620" s="42"/>
    </row>
    <row r="1621" spans="1:39" x14ac:dyDescent="0.25">
      <c r="A1621" s="38" t="s">
        <v>1972</v>
      </c>
      <c r="B1621" s="42"/>
      <c r="C1621" s="42"/>
      <c r="D1621" s="42"/>
      <c r="E1621" s="41"/>
      <c r="F1621" s="41"/>
      <c r="G1621" s="41"/>
      <c r="H1621" s="41"/>
      <c r="I1621" s="41"/>
      <c r="J1621" s="42"/>
      <c r="K1621" s="41"/>
      <c r="L1621" s="41"/>
      <c r="M1621" s="127"/>
      <c r="N1621" s="41"/>
      <c r="O1621" s="41"/>
      <c r="P1621" s="41"/>
      <c r="Q1621" s="42"/>
      <c r="R1621" s="35"/>
      <c r="S1621" s="35"/>
      <c r="T1621" s="35"/>
      <c r="U1621" s="35"/>
      <c r="V1621" s="121"/>
      <c r="W1621" s="42"/>
      <c r="X1621" s="42"/>
      <c r="Y1621" s="42"/>
      <c r="Z1621" s="42"/>
      <c r="AA1621" s="42"/>
      <c r="AB1621" s="42"/>
      <c r="AC1621" s="42"/>
      <c r="AD1621" s="42"/>
      <c r="AE1621" s="42"/>
      <c r="AF1621" s="42"/>
      <c r="AG1621" s="42"/>
      <c r="AH1621" s="42"/>
      <c r="AI1621" s="42"/>
      <c r="AJ1621" s="42"/>
      <c r="AK1621" s="42"/>
      <c r="AL1621" s="42"/>
      <c r="AM1621" s="42"/>
    </row>
    <row r="1622" spans="1:39" x14ac:dyDescent="0.25">
      <c r="A1622" s="38" t="s">
        <v>1973</v>
      </c>
      <c r="B1622" s="42"/>
      <c r="C1622" s="42"/>
      <c r="D1622" s="42"/>
      <c r="E1622" s="41"/>
      <c r="F1622" s="41"/>
      <c r="G1622" s="41"/>
      <c r="H1622" s="41"/>
      <c r="I1622" s="41"/>
      <c r="J1622" s="42"/>
      <c r="K1622" s="41"/>
      <c r="L1622" s="41"/>
      <c r="M1622" s="127"/>
      <c r="N1622" s="41"/>
      <c r="O1622" s="41"/>
      <c r="P1622" s="41"/>
      <c r="Q1622" s="42"/>
      <c r="R1622" s="35"/>
      <c r="S1622" s="35"/>
      <c r="T1622" s="35"/>
      <c r="U1622" s="35"/>
      <c r="V1622" s="121"/>
      <c r="W1622" s="42"/>
      <c r="X1622" s="42"/>
      <c r="Y1622" s="42"/>
      <c r="Z1622" s="42"/>
      <c r="AA1622" s="42"/>
      <c r="AB1622" s="42"/>
      <c r="AC1622" s="42"/>
      <c r="AD1622" s="42"/>
      <c r="AE1622" s="42"/>
      <c r="AF1622" s="42"/>
      <c r="AG1622" s="42"/>
      <c r="AH1622" s="42"/>
      <c r="AI1622" s="42"/>
      <c r="AJ1622" s="42"/>
      <c r="AK1622" s="42"/>
      <c r="AL1622" s="42"/>
      <c r="AM1622" s="42"/>
    </row>
    <row r="1623" spans="1:39" x14ac:dyDescent="0.25">
      <c r="A1623" s="38" t="s">
        <v>1974</v>
      </c>
      <c r="B1623" s="42"/>
      <c r="C1623" s="42"/>
      <c r="D1623" s="42"/>
      <c r="E1623" s="41"/>
      <c r="F1623" s="41"/>
      <c r="G1623" s="41"/>
      <c r="H1623" s="41"/>
      <c r="I1623" s="41"/>
      <c r="J1623" s="42"/>
      <c r="K1623" s="41"/>
      <c r="L1623" s="41"/>
      <c r="M1623" s="127"/>
      <c r="N1623" s="41"/>
      <c r="O1623" s="41"/>
      <c r="P1623" s="41"/>
      <c r="Q1623" s="42"/>
      <c r="R1623" s="35"/>
      <c r="S1623" s="35"/>
      <c r="T1623" s="35"/>
      <c r="U1623" s="35"/>
      <c r="V1623" s="121"/>
      <c r="W1623" s="42"/>
      <c r="X1623" s="42"/>
      <c r="Y1623" s="42"/>
      <c r="Z1623" s="42"/>
      <c r="AA1623" s="42"/>
      <c r="AB1623" s="42"/>
      <c r="AC1623" s="42"/>
      <c r="AD1623" s="42"/>
      <c r="AE1623" s="42"/>
      <c r="AF1623" s="42"/>
      <c r="AG1623" s="42"/>
      <c r="AH1623" s="42"/>
      <c r="AI1623" s="42"/>
      <c r="AJ1623" s="42"/>
      <c r="AK1623" s="42"/>
      <c r="AL1623" s="42"/>
      <c r="AM1623" s="42"/>
    </row>
    <row r="1624" spans="1:39" x14ac:dyDescent="0.25">
      <c r="A1624" s="38" t="s">
        <v>1975</v>
      </c>
      <c r="B1624" s="42"/>
      <c r="C1624" s="42"/>
      <c r="D1624" s="42"/>
      <c r="E1624" s="41"/>
      <c r="F1624" s="41"/>
      <c r="G1624" s="41"/>
      <c r="H1624" s="41"/>
      <c r="I1624" s="41"/>
      <c r="J1624" s="42"/>
      <c r="K1624" s="41"/>
      <c r="L1624" s="41"/>
      <c r="M1624" s="127"/>
      <c r="N1624" s="41"/>
      <c r="O1624" s="41"/>
      <c r="P1624" s="41"/>
      <c r="Q1624" s="42"/>
      <c r="R1624" s="35"/>
      <c r="S1624" s="35"/>
      <c r="T1624" s="35"/>
      <c r="U1624" s="35"/>
      <c r="V1624" s="121"/>
      <c r="W1624" s="42"/>
      <c r="X1624" s="42"/>
      <c r="Y1624" s="42"/>
      <c r="Z1624" s="42"/>
      <c r="AA1624" s="42"/>
      <c r="AB1624" s="42"/>
      <c r="AC1624" s="42"/>
      <c r="AD1624" s="42"/>
      <c r="AE1624" s="42"/>
      <c r="AF1624" s="42"/>
      <c r="AG1624" s="42"/>
      <c r="AH1624" s="42"/>
      <c r="AI1624" s="42"/>
      <c r="AJ1624" s="42"/>
      <c r="AK1624" s="42"/>
      <c r="AL1624" s="42"/>
      <c r="AM1624" s="42"/>
    </row>
    <row r="1625" spans="1:39" x14ac:dyDescent="0.25">
      <c r="A1625" s="38" t="s">
        <v>1976</v>
      </c>
      <c r="B1625" s="42"/>
      <c r="C1625" s="42"/>
      <c r="D1625" s="42"/>
      <c r="E1625" s="41"/>
      <c r="F1625" s="41"/>
      <c r="G1625" s="41"/>
      <c r="H1625" s="41"/>
      <c r="I1625" s="41"/>
      <c r="J1625" s="42"/>
      <c r="K1625" s="41"/>
      <c r="L1625" s="41"/>
      <c r="M1625" s="127"/>
      <c r="N1625" s="41"/>
      <c r="O1625" s="41"/>
      <c r="P1625" s="41"/>
      <c r="Q1625" s="42"/>
      <c r="R1625" s="35"/>
      <c r="S1625" s="35"/>
      <c r="T1625" s="35"/>
      <c r="U1625" s="35"/>
      <c r="V1625" s="121"/>
      <c r="W1625" s="42"/>
      <c r="X1625" s="42"/>
      <c r="Y1625" s="42"/>
      <c r="Z1625" s="42"/>
      <c r="AA1625" s="42"/>
      <c r="AB1625" s="42"/>
      <c r="AC1625" s="42"/>
      <c r="AD1625" s="42"/>
      <c r="AE1625" s="42"/>
      <c r="AF1625" s="42"/>
      <c r="AG1625" s="42"/>
      <c r="AH1625" s="42"/>
      <c r="AI1625" s="42"/>
      <c r="AJ1625" s="42"/>
      <c r="AK1625" s="42"/>
      <c r="AL1625" s="42"/>
      <c r="AM1625" s="42"/>
    </row>
    <row r="1626" spans="1:39" x14ac:dyDescent="0.25">
      <c r="A1626" s="38" t="s">
        <v>1977</v>
      </c>
      <c r="B1626" s="42"/>
      <c r="C1626" s="42"/>
      <c r="D1626" s="42"/>
      <c r="E1626" s="41"/>
      <c r="F1626" s="41"/>
      <c r="G1626" s="41"/>
      <c r="H1626" s="41"/>
      <c r="I1626" s="41"/>
      <c r="J1626" s="42"/>
      <c r="K1626" s="41"/>
      <c r="L1626" s="41"/>
      <c r="M1626" s="127"/>
      <c r="N1626" s="41"/>
      <c r="O1626" s="41"/>
      <c r="P1626" s="41"/>
      <c r="Q1626" s="42"/>
      <c r="R1626" s="35"/>
      <c r="S1626" s="35"/>
      <c r="T1626" s="35"/>
      <c r="U1626" s="35"/>
      <c r="V1626" s="121"/>
      <c r="W1626" s="42"/>
      <c r="X1626" s="42"/>
      <c r="Y1626" s="42"/>
      <c r="Z1626" s="42"/>
      <c r="AA1626" s="42"/>
      <c r="AB1626" s="42"/>
      <c r="AC1626" s="42"/>
      <c r="AD1626" s="42"/>
      <c r="AE1626" s="42"/>
      <c r="AF1626" s="42"/>
      <c r="AG1626" s="42"/>
      <c r="AH1626" s="42"/>
      <c r="AI1626" s="42"/>
      <c r="AJ1626" s="42"/>
      <c r="AK1626" s="42"/>
      <c r="AL1626" s="42"/>
      <c r="AM1626" s="42"/>
    </row>
    <row r="1627" spans="1:39" x14ac:dyDescent="0.25">
      <c r="A1627" s="38" t="s">
        <v>1978</v>
      </c>
      <c r="B1627" s="42"/>
      <c r="C1627" s="42"/>
      <c r="D1627" s="42"/>
      <c r="E1627" s="41"/>
      <c r="F1627" s="41"/>
      <c r="G1627" s="41"/>
      <c r="H1627" s="41"/>
      <c r="I1627" s="41"/>
      <c r="J1627" s="42"/>
      <c r="K1627" s="41"/>
      <c r="L1627" s="41"/>
      <c r="M1627" s="127"/>
      <c r="N1627" s="41"/>
      <c r="O1627" s="41"/>
      <c r="P1627" s="41"/>
      <c r="Q1627" s="42"/>
      <c r="R1627" s="35"/>
      <c r="S1627" s="35"/>
      <c r="T1627" s="35"/>
      <c r="U1627" s="35"/>
      <c r="V1627" s="121"/>
      <c r="W1627" s="42"/>
      <c r="X1627" s="42"/>
      <c r="Y1627" s="42"/>
      <c r="Z1627" s="42"/>
      <c r="AA1627" s="42"/>
      <c r="AB1627" s="42"/>
      <c r="AC1627" s="42"/>
      <c r="AD1627" s="42"/>
      <c r="AE1627" s="42"/>
      <c r="AF1627" s="42"/>
      <c r="AG1627" s="42"/>
      <c r="AH1627" s="42"/>
      <c r="AI1627" s="42"/>
      <c r="AJ1627" s="42"/>
      <c r="AK1627" s="42"/>
      <c r="AL1627" s="42"/>
      <c r="AM1627" s="42"/>
    </row>
    <row r="1628" spans="1:39" x14ac:dyDescent="0.25">
      <c r="A1628" s="38" t="s">
        <v>1979</v>
      </c>
      <c r="B1628" s="42"/>
      <c r="C1628" s="42"/>
      <c r="D1628" s="42"/>
      <c r="E1628" s="41"/>
      <c r="F1628" s="41"/>
      <c r="G1628" s="41"/>
      <c r="H1628" s="41"/>
      <c r="I1628" s="41"/>
      <c r="J1628" s="42"/>
      <c r="K1628" s="41"/>
      <c r="L1628" s="41"/>
      <c r="M1628" s="127"/>
      <c r="N1628" s="41"/>
      <c r="O1628" s="41"/>
      <c r="P1628" s="41"/>
      <c r="Q1628" s="42"/>
      <c r="R1628" s="35"/>
      <c r="S1628" s="35"/>
      <c r="T1628" s="35"/>
      <c r="U1628" s="35"/>
      <c r="V1628" s="121"/>
      <c r="W1628" s="42"/>
      <c r="X1628" s="42"/>
      <c r="Y1628" s="42"/>
      <c r="Z1628" s="42"/>
      <c r="AA1628" s="42"/>
      <c r="AB1628" s="42"/>
      <c r="AC1628" s="42"/>
      <c r="AD1628" s="42"/>
      <c r="AE1628" s="42"/>
      <c r="AF1628" s="42"/>
      <c r="AG1628" s="42"/>
      <c r="AH1628" s="42"/>
      <c r="AI1628" s="42"/>
      <c r="AJ1628" s="42"/>
      <c r="AK1628" s="42"/>
      <c r="AL1628" s="42"/>
      <c r="AM1628" s="42"/>
    </row>
    <row r="1629" spans="1:39" x14ac:dyDescent="0.25">
      <c r="A1629" s="38" t="s">
        <v>1980</v>
      </c>
      <c r="B1629" s="42"/>
      <c r="C1629" s="42"/>
      <c r="D1629" s="42"/>
      <c r="E1629" s="41"/>
      <c r="F1629" s="41"/>
      <c r="G1629" s="41"/>
      <c r="H1629" s="41"/>
      <c r="I1629" s="41"/>
      <c r="J1629" s="42"/>
      <c r="K1629" s="41"/>
      <c r="L1629" s="41"/>
      <c r="M1629" s="127"/>
      <c r="N1629" s="41"/>
      <c r="O1629" s="41"/>
      <c r="P1629" s="41"/>
      <c r="Q1629" s="42"/>
      <c r="R1629" s="35"/>
      <c r="S1629" s="35"/>
      <c r="T1629" s="35"/>
      <c r="U1629" s="35"/>
      <c r="V1629" s="121"/>
      <c r="W1629" s="42"/>
      <c r="X1629" s="42"/>
      <c r="Y1629" s="42"/>
      <c r="Z1629" s="42"/>
      <c r="AA1629" s="42"/>
      <c r="AB1629" s="42"/>
      <c r="AC1629" s="42"/>
      <c r="AD1629" s="42"/>
      <c r="AE1629" s="42"/>
      <c r="AF1629" s="42"/>
      <c r="AG1629" s="42"/>
      <c r="AH1629" s="42"/>
      <c r="AI1629" s="42"/>
      <c r="AJ1629" s="42"/>
      <c r="AK1629" s="42"/>
      <c r="AL1629" s="42"/>
      <c r="AM1629" s="42"/>
    </row>
    <row r="1630" spans="1:39" x14ac:dyDescent="0.25">
      <c r="A1630" s="38" t="s">
        <v>1981</v>
      </c>
      <c r="B1630" s="42"/>
      <c r="C1630" s="42"/>
      <c r="D1630" s="42"/>
      <c r="E1630" s="41"/>
      <c r="F1630" s="41"/>
      <c r="G1630" s="41"/>
      <c r="H1630" s="41"/>
      <c r="I1630" s="41"/>
      <c r="J1630" s="42"/>
      <c r="K1630" s="41"/>
      <c r="L1630" s="41"/>
      <c r="M1630" s="127"/>
      <c r="N1630" s="41"/>
      <c r="O1630" s="41"/>
      <c r="P1630" s="41"/>
      <c r="Q1630" s="42"/>
      <c r="R1630" s="35"/>
      <c r="S1630" s="35"/>
      <c r="T1630" s="35"/>
      <c r="U1630" s="35"/>
      <c r="V1630" s="121"/>
      <c r="W1630" s="42"/>
      <c r="X1630" s="42"/>
      <c r="Y1630" s="42"/>
      <c r="Z1630" s="42"/>
      <c r="AA1630" s="42"/>
      <c r="AB1630" s="42"/>
      <c r="AC1630" s="42"/>
      <c r="AD1630" s="42"/>
      <c r="AE1630" s="42"/>
      <c r="AF1630" s="42"/>
      <c r="AG1630" s="42"/>
      <c r="AH1630" s="42"/>
      <c r="AI1630" s="42"/>
      <c r="AJ1630" s="42"/>
      <c r="AK1630" s="42"/>
      <c r="AL1630" s="42"/>
      <c r="AM1630" s="42"/>
    </row>
    <row r="1631" spans="1:39" x14ac:dyDescent="0.25">
      <c r="A1631" s="38" t="s">
        <v>1982</v>
      </c>
      <c r="B1631" s="42"/>
      <c r="C1631" s="42"/>
      <c r="D1631" s="42"/>
      <c r="E1631" s="41"/>
      <c r="F1631" s="41"/>
      <c r="G1631" s="41"/>
      <c r="H1631" s="41"/>
      <c r="I1631" s="41"/>
      <c r="J1631" s="42"/>
      <c r="K1631" s="41"/>
      <c r="L1631" s="41"/>
      <c r="M1631" s="127"/>
      <c r="N1631" s="41"/>
      <c r="O1631" s="41"/>
      <c r="P1631" s="41"/>
      <c r="Q1631" s="42"/>
      <c r="R1631" s="35"/>
      <c r="S1631" s="35"/>
      <c r="T1631" s="35"/>
      <c r="U1631" s="35"/>
      <c r="V1631" s="121"/>
      <c r="W1631" s="42"/>
      <c r="X1631" s="42"/>
      <c r="Y1631" s="42"/>
      <c r="Z1631" s="42"/>
      <c r="AA1631" s="42"/>
      <c r="AB1631" s="42"/>
      <c r="AC1631" s="42"/>
      <c r="AD1631" s="42"/>
      <c r="AE1631" s="42"/>
      <c r="AF1631" s="42"/>
      <c r="AG1631" s="42"/>
      <c r="AH1631" s="42"/>
      <c r="AI1631" s="42"/>
      <c r="AJ1631" s="42"/>
      <c r="AK1631" s="42"/>
      <c r="AL1631" s="42"/>
      <c r="AM1631" s="42"/>
    </row>
    <row r="1632" spans="1:39" x14ac:dyDescent="0.25">
      <c r="A1632" s="38" t="s">
        <v>1983</v>
      </c>
      <c r="B1632" s="42"/>
      <c r="C1632" s="42"/>
      <c r="D1632" s="42"/>
      <c r="E1632" s="41"/>
      <c r="F1632" s="41"/>
      <c r="G1632" s="41"/>
      <c r="H1632" s="41"/>
      <c r="I1632" s="41"/>
      <c r="J1632" s="42"/>
      <c r="K1632" s="41"/>
      <c r="L1632" s="41"/>
      <c r="M1632" s="127"/>
      <c r="N1632" s="41"/>
      <c r="O1632" s="41"/>
      <c r="P1632" s="41"/>
      <c r="Q1632" s="42"/>
      <c r="R1632" s="35"/>
      <c r="S1632" s="35"/>
      <c r="T1632" s="35"/>
      <c r="U1632" s="35"/>
      <c r="V1632" s="121"/>
      <c r="W1632" s="42"/>
      <c r="X1632" s="42"/>
      <c r="Y1632" s="42"/>
      <c r="Z1632" s="42"/>
      <c r="AA1632" s="42"/>
      <c r="AB1632" s="42"/>
      <c r="AC1632" s="42"/>
      <c r="AD1632" s="42"/>
      <c r="AE1632" s="42"/>
      <c r="AF1632" s="42"/>
      <c r="AG1632" s="42"/>
      <c r="AH1632" s="42"/>
      <c r="AI1632" s="42"/>
      <c r="AJ1632" s="42"/>
      <c r="AK1632" s="42"/>
      <c r="AL1632" s="42"/>
      <c r="AM1632" s="42"/>
    </row>
    <row r="1633" spans="1:39" x14ac:dyDescent="0.25">
      <c r="A1633" s="38" t="s">
        <v>1984</v>
      </c>
      <c r="B1633" s="42"/>
      <c r="C1633" s="42"/>
      <c r="D1633" s="42"/>
      <c r="E1633" s="41"/>
      <c r="F1633" s="41"/>
      <c r="G1633" s="41"/>
      <c r="H1633" s="41"/>
      <c r="I1633" s="41"/>
      <c r="J1633" s="42"/>
      <c r="K1633" s="41"/>
      <c r="L1633" s="41"/>
      <c r="M1633" s="127"/>
      <c r="N1633" s="41"/>
      <c r="O1633" s="41"/>
      <c r="P1633" s="41"/>
      <c r="Q1633" s="42"/>
      <c r="R1633" s="35"/>
      <c r="S1633" s="35"/>
      <c r="T1633" s="35"/>
      <c r="U1633" s="35"/>
      <c r="V1633" s="121"/>
      <c r="W1633" s="42"/>
      <c r="X1633" s="42"/>
      <c r="Y1633" s="42"/>
      <c r="Z1633" s="42"/>
      <c r="AA1633" s="42"/>
      <c r="AB1633" s="42"/>
      <c r="AC1633" s="42"/>
      <c r="AD1633" s="42"/>
      <c r="AE1633" s="42"/>
      <c r="AF1633" s="42"/>
      <c r="AG1633" s="42"/>
      <c r="AH1633" s="42"/>
      <c r="AI1633" s="42"/>
      <c r="AJ1633" s="42"/>
      <c r="AK1633" s="42"/>
      <c r="AL1633" s="42"/>
      <c r="AM1633" s="42"/>
    </row>
    <row r="1634" spans="1:39" x14ac:dyDescent="0.25">
      <c r="A1634" s="38" t="s">
        <v>1985</v>
      </c>
      <c r="B1634" s="42"/>
      <c r="C1634" s="42"/>
      <c r="D1634" s="42"/>
      <c r="E1634" s="41"/>
      <c r="F1634" s="41"/>
      <c r="G1634" s="41"/>
      <c r="H1634" s="41"/>
      <c r="I1634" s="41"/>
      <c r="J1634" s="42"/>
      <c r="K1634" s="41"/>
      <c r="L1634" s="41"/>
      <c r="M1634" s="127"/>
      <c r="N1634" s="41"/>
      <c r="O1634" s="41"/>
      <c r="P1634" s="41"/>
      <c r="Q1634" s="42"/>
      <c r="R1634" s="35"/>
      <c r="S1634" s="35"/>
      <c r="T1634" s="35"/>
      <c r="U1634" s="35"/>
      <c r="V1634" s="121"/>
      <c r="W1634" s="42"/>
      <c r="X1634" s="42"/>
      <c r="Y1634" s="42"/>
      <c r="Z1634" s="42"/>
      <c r="AA1634" s="42"/>
      <c r="AB1634" s="42"/>
      <c r="AC1634" s="42"/>
      <c r="AD1634" s="42"/>
      <c r="AE1634" s="42"/>
      <c r="AF1634" s="42"/>
      <c r="AG1634" s="42"/>
      <c r="AH1634" s="42"/>
      <c r="AI1634" s="42"/>
      <c r="AJ1634" s="42"/>
      <c r="AK1634" s="42"/>
      <c r="AL1634" s="42"/>
      <c r="AM1634" s="42"/>
    </row>
    <row r="1635" spans="1:39" x14ac:dyDescent="0.25">
      <c r="A1635" s="38" t="s">
        <v>1986</v>
      </c>
      <c r="B1635" s="42"/>
      <c r="C1635" s="42"/>
      <c r="D1635" s="42"/>
      <c r="E1635" s="41"/>
      <c r="F1635" s="41"/>
      <c r="G1635" s="41"/>
      <c r="H1635" s="41"/>
      <c r="I1635" s="41"/>
      <c r="J1635" s="42"/>
      <c r="K1635" s="41"/>
      <c r="L1635" s="41"/>
      <c r="M1635" s="127"/>
      <c r="N1635" s="41"/>
      <c r="O1635" s="41"/>
      <c r="P1635" s="41"/>
      <c r="Q1635" s="42"/>
      <c r="R1635" s="35"/>
      <c r="S1635" s="35"/>
      <c r="T1635" s="35"/>
      <c r="U1635" s="35"/>
      <c r="V1635" s="121"/>
      <c r="W1635" s="42"/>
      <c r="X1635" s="42"/>
      <c r="Y1635" s="42"/>
      <c r="Z1635" s="42"/>
      <c r="AA1635" s="42"/>
      <c r="AB1635" s="42"/>
      <c r="AC1635" s="42"/>
      <c r="AD1635" s="42"/>
      <c r="AE1635" s="42"/>
      <c r="AF1635" s="42"/>
      <c r="AG1635" s="42"/>
      <c r="AH1635" s="42"/>
      <c r="AI1635" s="42"/>
      <c r="AJ1635" s="42"/>
      <c r="AK1635" s="42"/>
      <c r="AL1635" s="42"/>
      <c r="AM1635" s="42"/>
    </row>
    <row r="1636" spans="1:39" x14ac:dyDescent="0.25">
      <c r="A1636" s="38" t="s">
        <v>1987</v>
      </c>
      <c r="B1636" s="42"/>
      <c r="C1636" s="42"/>
      <c r="D1636" s="42"/>
      <c r="E1636" s="41"/>
      <c r="F1636" s="41"/>
      <c r="G1636" s="41"/>
      <c r="H1636" s="41"/>
      <c r="I1636" s="41"/>
      <c r="J1636" s="42"/>
      <c r="K1636" s="41"/>
      <c r="L1636" s="41"/>
      <c r="M1636" s="127"/>
      <c r="N1636" s="41"/>
      <c r="O1636" s="41"/>
      <c r="P1636" s="41"/>
      <c r="Q1636" s="42"/>
      <c r="R1636" s="35"/>
      <c r="S1636" s="35"/>
      <c r="T1636" s="35"/>
      <c r="U1636" s="35"/>
      <c r="V1636" s="121"/>
      <c r="W1636" s="42"/>
      <c r="X1636" s="42"/>
      <c r="Y1636" s="42"/>
      <c r="Z1636" s="42"/>
      <c r="AA1636" s="42"/>
      <c r="AB1636" s="42"/>
      <c r="AC1636" s="42"/>
      <c r="AD1636" s="42"/>
      <c r="AE1636" s="42"/>
      <c r="AF1636" s="42"/>
      <c r="AG1636" s="42"/>
      <c r="AH1636" s="42"/>
      <c r="AI1636" s="42"/>
      <c r="AJ1636" s="42"/>
      <c r="AK1636" s="42"/>
      <c r="AL1636" s="42"/>
      <c r="AM1636" s="42"/>
    </row>
    <row r="1637" spans="1:39" x14ac:dyDescent="0.25">
      <c r="A1637" s="38" t="s">
        <v>1988</v>
      </c>
      <c r="B1637" s="42"/>
      <c r="C1637" s="42"/>
      <c r="D1637" s="42"/>
      <c r="E1637" s="41"/>
      <c r="F1637" s="41"/>
      <c r="G1637" s="41"/>
      <c r="H1637" s="41"/>
      <c r="I1637" s="41"/>
      <c r="J1637" s="42"/>
      <c r="K1637" s="41"/>
      <c r="L1637" s="41"/>
      <c r="M1637" s="127"/>
      <c r="N1637" s="41"/>
      <c r="O1637" s="41"/>
      <c r="P1637" s="41"/>
      <c r="Q1637" s="42"/>
      <c r="R1637" s="35"/>
      <c r="S1637" s="35"/>
      <c r="T1637" s="35"/>
      <c r="U1637" s="35"/>
      <c r="V1637" s="121"/>
      <c r="W1637" s="42"/>
      <c r="X1637" s="42"/>
      <c r="Y1637" s="42"/>
      <c r="Z1637" s="42"/>
      <c r="AA1637" s="42"/>
      <c r="AB1637" s="42"/>
      <c r="AC1637" s="42"/>
      <c r="AD1637" s="42"/>
      <c r="AE1637" s="42"/>
      <c r="AF1637" s="42"/>
      <c r="AG1637" s="42"/>
      <c r="AH1637" s="42"/>
      <c r="AI1637" s="42"/>
      <c r="AJ1637" s="42"/>
      <c r="AK1637" s="42"/>
      <c r="AL1637" s="42"/>
      <c r="AM1637" s="42"/>
    </row>
    <row r="1638" spans="1:39" x14ac:dyDescent="0.25">
      <c r="A1638" s="38" t="s">
        <v>1989</v>
      </c>
      <c r="B1638" s="42"/>
      <c r="C1638" s="42"/>
      <c r="D1638" s="42"/>
      <c r="E1638" s="41"/>
      <c r="F1638" s="41"/>
      <c r="G1638" s="41"/>
      <c r="H1638" s="41"/>
      <c r="I1638" s="41"/>
      <c r="J1638" s="42"/>
      <c r="K1638" s="41"/>
      <c r="L1638" s="41"/>
      <c r="M1638" s="127"/>
      <c r="N1638" s="41"/>
      <c r="O1638" s="41"/>
      <c r="P1638" s="41"/>
      <c r="Q1638" s="42"/>
      <c r="R1638" s="35"/>
      <c r="S1638" s="35"/>
      <c r="T1638" s="35"/>
      <c r="U1638" s="35"/>
      <c r="V1638" s="121"/>
      <c r="W1638" s="42"/>
      <c r="X1638" s="42"/>
      <c r="Y1638" s="42"/>
      <c r="Z1638" s="42"/>
      <c r="AA1638" s="42"/>
      <c r="AB1638" s="42"/>
      <c r="AC1638" s="42"/>
      <c r="AD1638" s="42"/>
      <c r="AE1638" s="42"/>
      <c r="AF1638" s="42"/>
      <c r="AG1638" s="42"/>
      <c r="AH1638" s="42"/>
      <c r="AI1638" s="42"/>
      <c r="AJ1638" s="42"/>
      <c r="AK1638" s="42"/>
      <c r="AL1638" s="42"/>
      <c r="AM1638" s="42"/>
    </row>
    <row r="1639" spans="1:39" x14ac:dyDescent="0.25">
      <c r="A1639" s="38" t="s">
        <v>1990</v>
      </c>
      <c r="B1639" s="42"/>
      <c r="C1639" s="42"/>
      <c r="D1639" s="42"/>
      <c r="E1639" s="41"/>
      <c r="F1639" s="41"/>
      <c r="G1639" s="41"/>
      <c r="H1639" s="41"/>
      <c r="I1639" s="41"/>
      <c r="J1639" s="42"/>
      <c r="K1639" s="41"/>
      <c r="L1639" s="41"/>
      <c r="M1639" s="127"/>
      <c r="N1639" s="41"/>
      <c r="O1639" s="41"/>
      <c r="P1639" s="41"/>
      <c r="Q1639" s="42"/>
      <c r="R1639" s="35"/>
      <c r="S1639" s="35"/>
      <c r="T1639" s="35"/>
      <c r="U1639" s="35"/>
      <c r="V1639" s="121"/>
      <c r="W1639" s="42"/>
      <c r="X1639" s="42"/>
      <c r="Y1639" s="42"/>
      <c r="Z1639" s="42"/>
      <c r="AA1639" s="42"/>
      <c r="AB1639" s="42"/>
      <c r="AC1639" s="42"/>
      <c r="AD1639" s="42"/>
      <c r="AE1639" s="42"/>
      <c r="AF1639" s="42"/>
      <c r="AG1639" s="42"/>
      <c r="AH1639" s="42"/>
      <c r="AI1639" s="42"/>
      <c r="AJ1639" s="42"/>
      <c r="AK1639" s="42"/>
      <c r="AL1639" s="42"/>
      <c r="AM1639" s="42"/>
    </row>
    <row r="1640" spans="1:39" x14ac:dyDescent="0.25">
      <c r="A1640" s="38" t="s">
        <v>1991</v>
      </c>
      <c r="B1640" s="42"/>
      <c r="C1640" s="42"/>
      <c r="D1640" s="42"/>
      <c r="E1640" s="41"/>
      <c r="F1640" s="41"/>
      <c r="G1640" s="41"/>
      <c r="H1640" s="41"/>
      <c r="I1640" s="41"/>
      <c r="J1640" s="42"/>
      <c r="K1640" s="41"/>
      <c r="L1640" s="41"/>
      <c r="M1640" s="127"/>
      <c r="N1640" s="41"/>
      <c r="O1640" s="41"/>
      <c r="P1640" s="41"/>
      <c r="Q1640" s="42"/>
      <c r="R1640" s="35"/>
      <c r="S1640" s="35"/>
      <c r="T1640" s="35"/>
      <c r="U1640" s="35"/>
      <c r="V1640" s="121"/>
      <c r="W1640" s="42"/>
      <c r="X1640" s="42"/>
      <c r="Y1640" s="42"/>
      <c r="Z1640" s="42"/>
      <c r="AA1640" s="42"/>
      <c r="AB1640" s="42"/>
      <c r="AC1640" s="42"/>
      <c r="AD1640" s="42"/>
      <c r="AE1640" s="42"/>
      <c r="AF1640" s="42"/>
      <c r="AG1640" s="42"/>
      <c r="AH1640" s="42"/>
      <c r="AI1640" s="42"/>
      <c r="AJ1640" s="42"/>
      <c r="AK1640" s="42"/>
      <c r="AL1640" s="42"/>
      <c r="AM1640" s="42"/>
    </row>
    <row r="1641" spans="1:39" x14ac:dyDescent="0.25">
      <c r="A1641" s="38" t="s">
        <v>1992</v>
      </c>
      <c r="B1641" s="42"/>
      <c r="C1641" s="42"/>
      <c r="D1641" s="42"/>
      <c r="E1641" s="41"/>
      <c r="F1641" s="41"/>
      <c r="G1641" s="41"/>
      <c r="H1641" s="41"/>
      <c r="I1641" s="41"/>
      <c r="J1641" s="42"/>
      <c r="K1641" s="41"/>
      <c r="L1641" s="41"/>
      <c r="M1641" s="127"/>
      <c r="N1641" s="41"/>
      <c r="O1641" s="41"/>
      <c r="P1641" s="41"/>
      <c r="Q1641" s="42"/>
      <c r="R1641" s="35"/>
      <c r="S1641" s="35"/>
      <c r="T1641" s="35"/>
      <c r="U1641" s="35"/>
      <c r="V1641" s="121"/>
      <c r="W1641" s="42"/>
      <c r="X1641" s="42"/>
      <c r="Y1641" s="42"/>
      <c r="Z1641" s="42"/>
      <c r="AA1641" s="42"/>
      <c r="AB1641" s="42"/>
      <c r="AC1641" s="42"/>
      <c r="AD1641" s="42"/>
      <c r="AE1641" s="42"/>
      <c r="AF1641" s="42"/>
      <c r="AG1641" s="42"/>
      <c r="AH1641" s="42"/>
      <c r="AI1641" s="42"/>
      <c r="AJ1641" s="42"/>
      <c r="AK1641" s="42"/>
      <c r="AL1641" s="42"/>
      <c r="AM1641" s="42"/>
    </row>
    <row r="1642" spans="1:39" x14ac:dyDescent="0.25">
      <c r="A1642" s="38" t="s">
        <v>1993</v>
      </c>
      <c r="B1642" s="42"/>
      <c r="C1642" s="42"/>
      <c r="D1642" s="42"/>
      <c r="E1642" s="41"/>
      <c r="F1642" s="41"/>
      <c r="G1642" s="41"/>
      <c r="H1642" s="41"/>
      <c r="I1642" s="41"/>
      <c r="J1642" s="42"/>
      <c r="K1642" s="41"/>
      <c r="L1642" s="41"/>
      <c r="M1642" s="127"/>
      <c r="N1642" s="41"/>
      <c r="O1642" s="41"/>
      <c r="P1642" s="41"/>
      <c r="Q1642" s="42"/>
      <c r="R1642" s="35"/>
      <c r="S1642" s="35"/>
      <c r="T1642" s="35"/>
      <c r="U1642" s="35"/>
      <c r="V1642" s="121"/>
      <c r="W1642" s="42"/>
      <c r="X1642" s="42"/>
      <c r="Y1642" s="42"/>
      <c r="Z1642" s="42"/>
      <c r="AA1642" s="42"/>
      <c r="AB1642" s="42"/>
      <c r="AC1642" s="42"/>
      <c r="AD1642" s="42"/>
      <c r="AE1642" s="42"/>
      <c r="AF1642" s="42"/>
      <c r="AG1642" s="42"/>
      <c r="AH1642" s="42"/>
      <c r="AI1642" s="42"/>
      <c r="AJ1642" s="42"/>
      <c r="AK1642" s="42"/>
      <c r="AL1642" s="42"/>
      <c r="AM1642" s="42"/>
    </row>
    <row r="1643" spans="1:39" x14ac:dyDescent="0.25">
      <c r="A1643" s="38" t="s">
        <v>1994</v>
      </c>
      <c r="B1643" s="42"/>
      <c r="C1643" s="42"/>
      <c r="D1643" s="42"/>
      <c r="E1643" s="41"/>
      <c r="F1643" s="41"/>
      <c r="G1643" s="41"/>
      <c r="H1643" s="41"/>
      <c r="I1643" s="41"/>
      <c r="J1643" s="42"/>
      <c r="K1643" s="41"/>
      <c r="L1643" s="41"/>
      <c r="M1643" s="127"/>
      <c r="N1643" s="41"/>
      <c r="O1643" s="41"/>
      <c r="P1643" s="41"/>
      <c r="Q1643" s="42"/>
      <c r="R1643" s="35"/>
      <c r="S1643" s="35"/>
      <c r="T1643" s="35"/>
      <c r="U1643" s="35"/>
      <c r="V1643" s="121"/>
      <c r="W1643" s="42"/>
      <c r="X1643" s="42"/>
      <c r="Y1643" s="42"/>
      <c r="Z1643" s="42"/>
      <c r="AA1643" s="42"/>
      <c r="AB1643" s="42"/>
      <c r="AC1643" s="42"/>
      <c r="AD1643" s="42"/>
      <c r="AE1643" s="42"/>
      <c r="AF1643" s="42"/>
      <c r="AG1643" s="42"/>
      <c r="AH1643" s="42"/>
      <c r="AI1643" s="42"/>
      <c r="AJ1643" s="42"/>
      <c r="AK1643" s="42"/>
      <c r="AL1643" s="42"/>
      <c r="AM1643" s="42"/>
    </row>
    <row r="1644" spans="1:39" x14ac:dyDescent="0.25">
      <c r="A1644" s="38" t="s">
        <v>1995</v>
      </c>
      <c r="B1644" s="42"/>
      <c r="C1644" s="42"/>
      <c r="D1644" s="42"/>
      <c r="E1644" s="41"/>
      <c r="F1644" s="41"/>
      <c r="G1644" s="41"/>
      <c r="H1644" s="41"/>
      <c r="I1644" s="41"/>
      <c r="J1644" s="42"/>
      <c r="K1644" s="41"/>
      <c r="L1644" s="41"/>
      <c r="M1644" s="127"/>
      <c r="N1644" s="41"/>
      <c r="O1644" s="41"/>
      <c r="P1644" s="41"/>
      <c r="Q1644" s="42"/>
      <c r="R1644" s="35"/>
      <c r="S1644" s="35"/>
      <c r="T1644" s="35"/>
      <c r="U1644" s="35"/>
      <c r="V1644" s="121"/>
      <c r="W1644" s="42"/>
      <c r="X1644" s="42"/>
      <c r="Y1644" s="42"/>
      <c r="Z1644" s="42"/>
      <c r="AA1644" s="42"/>
      <c r="AB1644" s="42"/>
      <c r="AC1644" s="42"/>
      <c r="AD1644" s="42"/>
      <c r="AE1644" s="42"/>
      <c r="AF1644" s="42"/>
      <c r="AG1644" s="42"/>
      <c r="AH1644" s="42"/>
      <c r="AI1644" s="42"/>
      <c r="AJ1644" s="42"/>
      <c r="AK1644" s="42"/>
      <c r="AL1644" s="42"/>
      <c r="AM1644" s="42"/>
    </row>
    <row r="1645" spans="1:39" x14ac:dyDescent="0.25">
      <c r="A1645" s="38" t="s">
        <v>1996</v>
      </c>
      <c r="B1645" s="42"/>
      <c r="C1645" s="42"/>
      <c r="D1645" s="42"/>
      <c r="E1645" s="41"/>
      <c r="F1645" s="41"/>
      <c r="G1645" s="41"/>
      <c r="H1645" s="41"/>
      <c r="I1645" s="41"/>
      <c r="J1645" s="42"/>
      <c r="K1645" s="41"/>
      <c r="L1645" s="41"/>
      <c r="M1645" s="127"/>
      <c r="N1645" s="41"/>
      <c r="O1645" s="41"/>
      <c r="P1645" s="41"/>
      <c r="Q1645" s="42"/>
      <c r="R1645" s="35"/>
      <c r="S1645" s="35"/>
      <c r="T1645" s="35"/>
      <c r="U1645" s="35"/>
      <c r="V1645" s="121"/>
      <c r="W1645" s="42"/>
      <c r="X1645" s="42"/>
      <c r="Y1645" s="42"/>
      <c r="Z1645" s="42"/>
      <c r="AA1645" s="42"/>
      <c r="AB1645" s="42"/>
      <c r="AC1645" s="42"/>
      <c r="AD1645" s="42"/>
      <c r="AE1645" s="42"/>
      <c r="AF1645" s="42"/>
      <c r="AG1645" s="42"/>
      <c r="AH1645" s="42"/>
      <c r="AI1645" s="42"/>
      <c r="AJ1645" s="42"/>
      <c r="AK1645" s="42"/>
      <c r="AL1645" s="42"/>
      <c r="AM1645" s="42"/>
    </row>
    <row r="1646" spans="1:39" x14ac:dyDescent="0.25">
      <c r="A1646" s="38" t="s">
        <v>1997</v>
      </c>
      <c r="B1646" s="42"/>
      <c r="C1646" s="42"/>
      <c r="D1646" s="42"/>
      <c r="E1646" s="41"/>
      <c r="F1646" s="41"/>
      <c r="G1646" s="41"/>
      <c r="H1646" s="41"/>
      <c r="I1646" s="41"/>
      <c r="J1646" s="42"/>
      <c r="K1646" s="41"/>
      <c r="L1646" s="41"/>
      <c r="M1646" s="127"/>
      <c r="N1646" s="41"/>
      <c r="O1646" s="41"/>
      <c r="P1646" s="41"/>
      <c r="Q1646" s="42"/>
      <c r="R1646" s="35"/>
      <c r="S1646" s="35"/>
      <c r="T1646" s="35"/>
      <c r="U1646" s="35"/>
      <c r="V1646" s="121"/>
      <c r="W1646" s="42"/>
      <c r="X1646" s="42"/>
      <c r="Y1646" s="42"/>
      <c r="Z1646" s="42"/>
      <c r="AA1646" s="42"/>
      <c r="AB1646" s="42"/>
      <c r="AC1646" s="42"/>
      <c r="AD1646" s="42"/>
      <c r="AE1646" s="42"/>
      <c r="AF1646" s="42"/>
      <c r="AG1646" s="42"/>
      <c r="AH1646" s="42"/>
      <c r="AI1646" s="42"/>
      <c r="AJ1646" s="42"/>
      <c r="AK1646" s="42"/>
      <c r="AL1646" s="42"/>
      <c r="AM1646" s="42"/>
    </row>
    <row r="1647" spans="1:39" x14ac:dyDescent="0.25">
      <c r="A1647" s="38" t="s">
        <v>1998</v>
      </c>
      <c r="B1647" s="42"/>
      <c r="C1647" s="42"/>
      <c r="D1647" s="42"/>
      <c r="E1647" s="41"/>
      <c r="F1647" s="41"/>
      <c r="G1647" s="41"/>
      <c r="H1647" s="41"/>
      <c r="I1647" s="41"/>
      <c r="J1647" s="42"/>
      <c r="K1647" s="41"/>
      <c r="L1647" s="41"/>
      <c r="M1647" s="127"/>
      <c r="N1647" s="41"/>
      <c r="O1647" s="41"/>
      <c r="P1647" s="41"/>
      <c r="Q1647" s="42"/>
      <c r="R1647" s="35"/>
      <c r="S1647" s="35"/>
      <c r="T1647" s="35"/>
      <c r="U1647" s="35"/>
      <c r="V1647" s="121"/>
      <c r="W1647" s="42"/>
      <c r="X1647" s="42"/>
      <c r="Y1647" s="42"/>
      <c r="Z1647" s="42"/>
      <c r="AA1647" s="42"/>
      <c r="AB1647" s="42"/>
      <c r="AC1647" s="42"/>
      <c r="AD1647" s="42"/>
      <c r="AE1647" s="42"/>
      <c r="AF1647" s="42"/>
      <c r="AG1647" s="42"/>
      <c r="AH1647" s="42"/>
      <c r="AI1647" s="42"/>
      <c r="AJ1647" s="42"/>
      <c r="AK1647" s="42"/>
      <c r="AL1647" s="42"/>
      <c r="AM1647" s="42"/>
    </row>
    <row r="1648" spans="1:39" x14ac:dyDescent="0.25">
      <c r="A1648" s="38" t="s">
        <v>1999</v>
      </c>
      <c r="B1648" s="42"/>
      <c r="C1648" s="42"/>
      <c r="D1648" s="42"/>
      <c r="E1648" s="41"/>
      <c r="F1648" s="41"/>
      <c r="G1648" s="41"/>
      <c r="H1648" s="41"/>
      <c r="I1648" s="41"/>
      <c r="J1648" s="42"/>
      <c r="K1648" s="41"/>
      <c r="L1648" s="41"/>
      <c r="M1648" s="127"/>
      <c r="N1648" s="41"/>
      <c r="O1648" s="41"/>
      <c r="P1648" s="41"/>
      <c r="Q1648" s="42"/>
      <c r="R1648" s="35"/>
      <c r="S1648" s="35"/>
      <c r="T1648" s="35"/>
      <c r="U1648" s="35"/>
      <c r="V1648" s="121"/>
      <c r="W1648" s="42"/>
      <c r="X1648" s="42"/>
      <c r="Y1648" s="42"/>
      <c r="Z1648" s="42"/>
      <c r="AA1648" s="42"/>
      <c r="AB1648" s="42"/>
      <c r="AC1648" s="42"/>
      <c r="AD1648" s="42"/>
      <c r="AE1648" s="42"/>
      <c r="AF1648" s="42"/>
      <c r="AG1648" s="42"/>
      <c r="AH1648" s="42"/>
      <c r="AI1648" s="42"/>
      <c r="AJ1648" s="42"/>
      <c r="AK1648" s="42"/>
      <c r="AL1648" s="42"/>
      <c r="AM1648" s="42"/>
    </row>
    <row r="1649" spans="1:39" x14ac:dyDescent="0.25">
      <c r="A1649" s="38" t="s">
        <v>2000</v>
      </c>
      <c r="B1649" s="42"/>
      <c r="C1649" s="42"/>
      <c r="D1649" s="42"/>
      <c r="E1649" s="41"/>
      <c r="F1649" s="41"/>
      <c r="G1649" s="41"/>
      <c r="H1649" s="41"/>
      <c r="I1649" s="41"/>
      <c r="J1649" s="42"/>
      <c r="K1649" s="41"/>
      <c r="L1649" s="41"/>
      <c r="M1649" s="127"/>
      <c r="N1649" s="41"/>
      <c r="O1649" s="41"/>
      <c r="P1649" s="41"/>
      <c r="Q1649" s="42"/>
      <c r="R1649" s="35"/>
      <c r="S1649" s="35"/>
      <c r="T1649" s="35"/>
      <c r="U1649" s="35"/>
      <c r="V1649" s="121"/>
      <c r="W1649" s="42"/>
      <c r="X1649" s="42"/>
      <c r="Y1649" s="42"/>
      <c r="Z1649" s="42"/>
      <c r="AA1649" s="42"/>
      <c r="AB1649" s="42"/>
      <c r="AC1649" s="42"/>
      <c r="AD1649" s="42"/>
      <c r="AE1649" s="42"/>
      <c r="AF1649" s="42"/>
      <c r="AG1649" s="42"/>
      <c r="AH1649" s="42"/>
      <c r="AI1649" s="42"/>
      <c r="AJ1649" s="42"/>
      <c r="AK1649" s="42"/>
      <c r="AL1649" s="42"/>
      <c r="AM1649" s="42"/>
    </row>
    <row r="1650" spans="1:39" x14ac:dyDescent="0.25">
      <c r="A1650" s="38" t="s">
        <v>2001</v>
      </c>
      <c r="B1650" s="42"/>
      <c r="C1650" s="42"/>
      <c r="D1650" s="42"/>
      <c r="E1650" s="41"/>
      <c r="F1650" s="41"/>
      <c r="G1650" s="41"/>
      <c r="H1650" s="41"/>
      <c r="I1650" s="41"/>
      <c r="J1650" s="42"/>
      <c r="K1650" s="41"/>
      <c r="L1650" s="41"/>
      <c r="M1650" s="127"/>
      <c r="N1650" s="41"/>
      <c r="O1650" s="41"/>
      <c r="P1650" s="41"/>
      <c r="Q1650" s="42"/>
      <c r="R1650" s="35"/>
      <c r="S1650" s="35"/>
      <c r="T1650" s="35"/>
      <c r="U1650" s="35"/>
      <c r="V1650" s="121"/>
      <c r="W1650" s="42"/>
      <c r="X1650" s="42"/>
      <c r="Y1650" s="42"/>
      <c r="Z1650" s="42"/>
      <c r="AA1650" s="42"/>
      <c r="AB1650" s="42"/>
      <c r="AC1650" s="42"/>
      <c r="AD1650" s="42"/>
      <c r="AE1650" s="42"/>
      <c r="AF1650" s="42"/>
      <c r="AG1650" s="42"/>
      <c r="AH1650" s="42"/>
      <c r="AI1650" s="42"/>
      <c r="AJ1650" s="42"/>
      <c r="AK1650" s="42"/>
      <c r="AL1650" s="42"/>
      <c r="AM1650" s="42"/>
    </row>
    <row r="1651" spans="1:39" x14ac:dyDescent="0.25">
      <c r="A1651" s="38" t="s">
        <v>2002</v>
      </c>
      <c r="B1651" s="42"/>
      <c r="C1651" s="42"/>
      <c r="D1651" s="42"/>
      <c r="E1651" s="41"/>
      <c r="F1651" s="41"/>
      <c r="G1651" s="41"/>
      <c r="H1651" s="41"/>
      <c r="I1651" s="41"/>
      <c r="J1651" s="42"/>
      <c r="K1651" s="41"/>
      <c r="L1651" s="41"/>
      <c r="M1651" s="127"/>
      <c r="N1651" s="41"/>
      <c r="O1651" s="41"/>
      <c r="P1651" s="41"/>
      <c r="Q1651" s="42"/>
      <c r="R1651" s="35"/>
      <c r="S1651" s="35"/>
      <c r="T1651" s="35"/>
      <c r="U1651" s="35"/>
      <c r="V1651" s="121"/>
      <c r="W1651" s="42"/>
      <c r="X1651" s="42"/>
      <c r="Y1651" s="42"/>
      <c r="Z1651" s="42"/>
      <c r="AA1651" s="42"/>
      <c r="AB1651" s="42"/>
      <c r="AC1651" s="42"/>
      <c r="AD1651" s="42"/>
      <c r="AE1651" s="42"/>
      <c r="AF1651" s="42"/>
      <c r="AG1651" s="42"/>
      <c r="AH1651" s="42"/>
      <c r="AI1651" s="42"/>
      <c r="AJ1651" s="42"/>
      <c r="AK1651" s="42"/>
      <c r="AL1651" s="42"/>
      <c r="AM1651" s="42"/>
    </row>
    <row r="1652" spans="1:39" x14ac:dyDescent="0.25">
      <c r="A1652" s="38" t="s">
        <v>2003</v>
      </c>
      <c r="B1652" s="42"/>
      <c r="C1652" s="42"/>
      <c r="D1652" s="42"/>
      <c r="E1652" s="41"/>
      <c r="F1652" s="41"/>
      <c r="G1652" s="41"/>
      <c r="H1652" s="41"/>
      <c r="I1652" s="41"/>
      <c r="J1652" s="42"/>
      <c r="K1652" s="41"/>
      <c r="L1652" s="41"/>
      <c r="M1652" s="127"/>
      <c r="N1652" s="41"/>
      <c r="O1652" s="41"/>
      <c r="P1652" s="41"/>
      <c r="Q1652" s="42"/>
      <c r="R1652" s="35"/>
      <c r="S1652" s="35"/>
      <c r="T1652" s="35"/>
      <c r="U1652" s="35"/>
      <c r="V1652" s="121"/>
      <c r="W1652" s="42"/>
      <c r="X1652" s="42"/>
      <c r="Y1652" s="42"/>
      <c r="Z1652" s="42"/>
      <c r="AA1652" s="42"/>
      <c r="AB1652" s="42"/>
      <c r="AC1652" s="42"/>
      <c r="AD1652" s="42"/>
      <c r="AE1652" s="42"/>
      <c r="AF1652" s="42"/>
      <c r="AG1652" s="42"/>
      <c r="AH1652" s="42"/>
      <c r="AI1652" s="42"/>
      <c r="AJ1652" s="42"/>
      <c r="AK1652" s="42"/>
      <c r="AL1652" s="42"/>
      <c r="AM1652" s="42"/>
    </row>
    <row r="1653" spans="1:39" x14ac:dyDescent="0.25">
      <c r="A1653" s="38" t="s">
        <v>2004</v>
      </c>
      <c r="B1653" s="42"/>
      <c r="C1653" s="42"/>
      <c r="D1653" s="42"/>
      <c r="E1653" s="41"/>
      <c r="F1653" s="41"/>
      <c r="G1653" s="41"/>
      <c r="H1653" s="41"/>
      <c r="I1653" s="41"/>
      <c r="J1653" s="42"/>
      <c r="K1653" s="41"/>
      <c r="L1653" s="41"/>
      <c r="M1653" s="127"/>
      <c r="N1653" s="41"/>
      <c r="O1653" s="41"/>
      <c r="P1653" s="41"/>
      <c r="Q1653" s="42"/>
      <c r="R1653" s="35"/>
      <c r="S1653" s="35"/>
      <c r="T1653" s="35"/>
      <c r="U1653" s="35"/>
      <c r="V1653" s="121"/>
      <c r="W1653" s="42"/>
      <c r="X1653" s="42"/>
      <c r="Y1653" s="42"/>
      <c r="Z1653" s="42"/>
      <c r="AA1653" s="42"/>
      <c r="AB1653" s="42"/>
      <c r="AC1653" s="42"/>
      <c r="AD1653" s="42"/>
      <c r="AE1653" s="42"/>
      <c r="AF1653" s="42"/>
      <c r="AG1653" s="42"/>
      <c r="AH1653" s="42"/>
      <c r="AI1653" s="42"/>
      <c r="AJ1653" s="42"/>
      <c r="AK1653" s="42"/>
      <c r="AL1653" s="42"/>
      <c r="AM1653" s="42"/>
    </row>
    <row r="1654" spans="1:39" x14ac:dyDescent="0.25">
      <c r="A1654" s="38" t="s">
        <v>2005</v>
      </c>
      <c r="B1654" s="42"/>
      <c r="C1654" s="42"/>
      <c r="D1654" s="42"/>
      <c r="E1654" s="41"/>
      <c r="F1654" s="41"/>
      <c r="G1654" s="41"/>
      <c r="H1654" s="41"/>
      <c r="I1654" s="41"/>
      <c r="J1654" s="42"/>
      <c r="K1654" s="41"/>
      <c r="L1654" s="41"/>
      <c r="M1654" s="127"/>
      <c r="N1654" s="41"/>
      <c r="O1654" s="41"/>
      <c r="P1654" s="41"/>
      <c r="Q1654" s="42"/>
      <c r="R1654" s="35"/>
      <c r="S1654" s="35"/>
      <c r="T1654" s="35"/>
      <c r="U1654" s="35"/>
      <c r="V1654" s="121"/>
      <c r="W1654" s="42"/>
      <c r="X1654" s="42"/>
      <c r="Y1654" s="42"/>
      <c r="Z1654" s="42"/>
      <c r="AA1654" s="42"/>
      <c r="AB1654" s="42"/>
      <c r="AC1654" s="42"/>
      <c r="AD1654" s="42"/>
      <c r="AE1654" s="42"/>
      <c r="AF1654" s="42"/>
      <c r="AG1654" s="42"/>
      <c r="AH1654" s="42"/>
      <c r="AI1654" s="42"/>
      <c r="AJ1654" s="42"/>
      <c r="AK1654" s="42"/>
      <c r="AL1654" s="42"/>
      <c r="AM1654" s="42"/>
    </row>
    <row r="1655" spans="1:39" x14ac:dyDescent="0.25">
      <c r="A1655" s="38" t="s">
        <v>2006</v>
      </c>
      <c r="B1655" s="42"/>
      <c r="C1655" s="42"/>
      <c r="D1655" s="42"/>
      <c r="E1655" s="41"/>
      <c r="F1655" s="41"/>
      <c r="G1655" s="41"/>
      <c r="H1655" s="41"/>
      <c r="I1655" s="41"/>
      <c r="J1655" s="42"/>
      <c r="K1655" s="41"/>
      <c r="L1655" s="41"/>
      <c r="M1655" s="127"/>
      <c r="N1655" s="41"/>
      <c r="O1655" s="41"/>
      <c r="P1655" s="41"/>
      <c r="Q1655" s="42"/>
      <c r="R1655" s="35"/>
      <c r="S1655" s="35"/>
      <c r="T1655" s="35"/>
      <c r="U1655" s="35"/>
      <c r="V1655" s="121"/>
      <c r="W1655" s="42"/>
      <c r="X1655" s="42"/>
      <c r="Y1655" s="42"/>
      <c r="Z1655" s="42"/>
      <c r="AA1655" s="42"/>
      <c r="AB1655" s="42"/>
      <c r="AC1655" s="42"/>
      <c r="AD1655" s="42"/>
      <c r="AE1655" s="42"/>
      <c r="AF1655" s="42"/>
      <c r="AG1655" s="42"/>
      <c r="AH1655" s="42"/>
      <c r="AI1655" s="42"/>
      <c r="AJ1655" s="42"/>
      <c r="AK1655" s="42"/>
      <c r="AL1655" s="42"/>
      <c r="AM1655" s="42"/>
    </row>
    <row r="1656" spans="1:39" x14ac:dyDescent="0.25">
      <c r="A1656" s="38" t="s">
        <v>2007</v>
      </c>
      <c r="B1656" s="42"/>
      <c r="C1656" s="42"/>
      <c r="D1656" s="42"/>
      <c r="E1656" s="41"/>
      <c r="F1656" s="41"/>
      <c r="G1656" s="41"/>
      <c r="H1656" s="41"/>
      <c r="I1656" s="41"/>
      <c r="J1656" s="42"/>
      <c r="K1656" s="41"/>
      <c r="L1656" s="41"/>
      <c r="M1656" s="127"/>
      <c r="N1656" s="41"/>
      <c r="O1656" s="41"/>
      <c r="P1656" s="41"/>
      <c r="Q1656" s="42"/>
      <c r="R1656" s="35"/>
      <c r="S1656" s="35"/>
      <c r="T1656" s="35"/>
      <c r="U1656" s="35"/>
      <c r="V1656" s="121"/>
      <c r="W1656" s="42"/>
      <c r="X1656" s="42"/>
      <c r="Y1656" s="42"/>
      <c r="Z1656" s="42"/>
      <c r="AA1656" s="42"/>
      <c r="AB1656" s="42"/>
      <c r="AC1656" s="42"/>
      <c r="AD1656" s="42"/>
      <c r="AE1656" s="42"/>
      <c r="AF1656" s="42"/>
      <c r="AG1656" s="42"/>
      <c r="AH1656" s="42"/>
      <c r="AI1656" s="42"/>
      <c r="AJ1656" s="42"/>
      <c r="AK1656" s="42"/>
      <c r="AL1656" s="42"/>
      <c r="AM1656" s="42"/>
    </row>
    <row r="1657" spans="1:39" x14ac:dyDescent="0.25">
      <c r="A1657" s="38" t="s">
        <v>2008</v>
      </c>
      <c r="B1657" s="42"/>
      <c r="C1657" s="42"/>
      <c r="D1657" s="42"/>
      <c r="E1657" s="41"/>
      <c r="F1657" s="41"/>
      <c r="G1657" s="41"/>
      <c r="H1657" s="41"/>
      <c r="I1657" s="41"/>
      <c r="J1657" s="42"/>
      <c r="K1657" s="41"/>
      <c r="L1657" s="41"/>
      <c r="M1657" s="127"/>
      <c r="N1657" s="41"/>
      <c r="O1657" s="41"/>
      <c r="P1657" s="41"/>
      <c r="Q1657" s="42"/>
      <c r="R1657" s="35"/>
      <c r="S1657" s="35"/>
      <c r="T1657" s="35"/>
      <c r="U1657" s="35"/>
      <c r="V1657" s="121"/>
      <c r="W1657" s="42"/>
      <c r="X1657" s="42"/>
      <c r="Y1657" s="42"/>
      <c r="Z1657" s="42"/>
      <c r="AA1657" s="42"/>
      <c r="AB1657" s="42"/>
      <c r="AC1657" s="42"/>
      <c r="AD1657" s="42"/>
      <c r="AE1657" s="42"/>
      <c r="AF1657" s="42"/>
      <c r="AG1657" s="42"/>
      <c r="AH1657" s="42"/>
      <c r="AI1657" s="42"/>
      <c r="AJ1657" s="42"/>
      <c r="AK1657" s="42"/>
      <c r="AL1657" s="42"/>
      <c r="AM1657" s="42"/>
    </row>
    <row r="1658" spans="1:39" x14ac:dyDescent="0.25">
      <c r="A1658" s="38" t="s">
        <v>2009</v>
      </c>
      <c r="B1658" s="42"/>
      <c r="C1658" s="42"/>
      <c r="D1658" s="42"/>
      <c r="E1658" s="41"/>
      <c r="F1658" s="41"/>
      <c r="G1658" s="41"/>
      <c r="H1658" s="41"/>
      <c r="I1658" s="41"/>
      <c r="J1658" s="42"/>
      <c r="K1658" s="41"/>
      <c r="L1658" s="41"/>
      <c r="M1658" s="127"/>
      <c r="N1658" s="41"/>
      <c r="O1658" s="41"/>
      <c r="P1658" s="41"/>
      <c r="Q1658" s="42"/>
      <c r="R1658" s="35"/>
      <c r="S1658" s="35"/>
      <c r="T1658" s="35"/>
      <c r="U1658" s="35"/>
      <c r="V1658" s="121"/>
      <c r="W1658" s="42"/>
      <c r="X1658" s="42"/>
      <c r="Y1658" s="42"/>
      <c r="Z1658" s="42"/>
      <c r="AA1658" s="42"/>
      <c r="AB1658" s="42"/>
      <c r="AC1658" s="42"/>
      <c r="AD1658" s="42"/>
      <c r="AE1658" s="42"/>
      <c r="AF1658" s="42"/>
      <c r="AG1658" s="42"/>
      <c r="AH1658" s="42"/>
      <c r="AI1658" s="42"/>
      <c r="AJ1658" s="42"/>
      <c r="AK1658" s="42"/>
      <c r="AL1658" s="42"/>
      <c r="AM1658" s="42"/>
    </row>
    <row r="1659" spans="1:39" x14ac:dyDescent="0.25">
      <c r="A1659" s="38" t="s">
        <v>2010</v>
      </c>
      <c r="B1659" s="42"/>
      <c r="C1659" s="42"/>
      <c r="D1659" s="42"/>
      <c r="E1659" s="41"/>
      <c r="F1659" s="41"/>
      <c r="G1659" s="41"/>
      <c r="H1659" s="41"/>
      <c r="I1659" s="41"/>
      <c r="J1659" s="42"/>
      <c r="K1659" s="41"/>
      <c r="L1659" s="41"/>
      <c r="M1659" s="127"/>
      <c r="N1659" s="41"/>
      <c r="O1659" s="41"/>
      <c r="P1659" s="41"/>
      <c r="Q1659" s="42"/>
      <c r="R1659" s="35"/>
      <c r="S1659" s="35"/>
      <c r="T1659" s="35"/>
      <c r="U1659" s="35"/>
      <c r="V1659" s="121"/>
      <c r="W1659" s="42"/>
      <c r="X1659" s="42"/>
      <c r="Y1659" s="42"/>
      <c r="Z1659" s="42"/>
      <c r="AA1659" s="42"/>
      <c r="AB1659" s="42"/>
      <c r="AC1659" s="42"/>
      <c r="AD1659" s="42"/>
      <c r="AE1659" s="42"/>
      <c r="AF1659" s="42"/>
      <c r="AG1659" s="42"/>
      <c r="AH1659" s="42"/>
      <c r="AI1659" s="42"/>
      <c r="AJ1659" s="42"/>
      <c r="AK1659" s="42"/>
      <c r="AL1659" s="42"/>
      <c r="AM1659" s="42"/>
    </row>
    <row r="1660" spans="1:39" x14ac:dyDescent="0.25">
      <c r="A1660" s="38" t="s">
        <v>2011</v>
      </c>
      <c r="B1660" s="42"/>
      <c r="C1660" s="42"/>
      <c r="D1660" s="42"/>
      <c r="E1660" s="41"/>
      <c r="F1660" s="41"/>
      <c r="G1660" s="41"/>
      <c r="H1660" s="41"/>
      <c r="I1660" s="41"/>
      <c r="J1660" s="42"/>
      <c r="K1660" s="41"/>
      <c r="L1660" s="41"/>
      <c r="M1660" s="127"/>
      <c r="N1660" s="41"/>
      <c r="O1660" s="41"/>
      <c r="P1660" s="41"/>
      <c r="Q1660" s="42"/>
      <c r="R1660" s="35"/>
      <c r="S1660" s="35"/>
      <c r="T1660" s="35"/>
      <c r="U1660" s="35"/>
      <c r="V1660" s="121"/>
      <c r="W1660" s="42"/>
      <c r="X1660" s="42"/>
      <c r="Y1660" s="42"/>
      <c r="Z1660" s="42"/>
      <c r="AA1660" s="42"/>
      <c r="AB1660" s="42"/>
      <c r="AC1660" s="42"/>
      <c r="AD1660" s="42"/>
      <c r="AE1660" s="42"/>
      <c r="AF1660" s="42"/>
      <c r="AG1660" s="42"/>
      <c r="AH1660" s="42"/>
      <c r="AI1660" s="42"/>
      <c r="AJ1660" s="42"/>
      <c r="AK1660" s="42"/>
      <c r="AL1660" s="42"/>
      <c r="AM1660" s="42"/>
    </row>
    <row r="1661" spans="1:39" x14ac:dyDescent="0.25">
      <c r="A1661" s="38" t="s">
        <v>2012</v>
      </c>
      <c r="B1661" s="42"/>
      <c r="C1661" s="42"/>
      <c r="D1661" s="42"/>
      <c r="E1661" s="41"/>
      <c r="F1661" s="41"/>
      <c r="G1661" s="41"/>
      <c r="H1661" s="41"/>
      <c r="I1661" s="41"/>
      <c r="J1661" s="42"/>
      <c r="K1661" s="41"/>
      <c r="L1661" s="41"/>
      <c r="M1661" s="127"/>
      <c r="N1661" s="41"/>
      <c r="O1661" s="41"/>
      <c r="P1661" s="41"/>
      <c r="Q1661" s="42"/>
      <c r="R1661" s="35"/>
      <c r="S1661" s="35"/>
      <c r="T1661" s="35"/>
      <c r="U1661" s="35"/>
      <c r="V1661" s="121"/>
      <c r="W1661" s="42"/>
      <c r="X1661" s="42"/>
      <c r="Y1661" s="42"/>
      <c r="Z1661" s="42"/>
      <c r="AA1661" s="42"/>
      <c r="AB1661" s="42"/>
      <c r="AC1661" s="42"/>
      <c r="AD1661" s="42"/>
      <c r="AE1661" s="42"/>
      <c r="AF1661" s="42"/>
      <c r="AG1661" s="42"/>
      <c r="AH1661" s="42"/>
      <c r="AI1661" s="42"/>
      <c r="AJ1661" s="42"/>
      <c r="AK1661" s="42"/>
      <c r="AL1661" s="42"/>
      <c r="AM1661" s="42"/>
    </row>
    <row r="1662" spans="1:39" x14ac:dyDescent="0.25">
      <c r="A1662" s="38" t="s">
        <v>2013</v>
      </c>
      <c r="B1662" s="42"/>
      <c r="C1662" s="42"/>
      <c r="D1662" s="42"/>
      <c r="E1662" s="41"/>
      <c r="F1662" s="41"/>
      <c r="G1662" s="41"/>
      <c r="H1662" s="41"/>
      <c r="I1662" s="41"/>
      <c r="J1662" s="42"/>
      <c r="K1662" s="41"/>
      <c r="L1662" s="41"/>
      <c r="M1662" s="127"/>
      <c r="N1662" s="41"/>
      <c r="O1662" s="41"/>
      <c r="P1662" s="41"/>
      <c r="Q1662" s="42"/>
      <c r="R1662" s="35"/>
      <c r="S1662" s="35"/>
      <c r="T1662" s="35"/>
      <c r="U1662" s="35"/>
      <c r="V1662" s="121"/>
      <c r="W1662" s="42"/>
      <c r="X1662" s="42"/>
      <c r="Y1662" s="42"/>
      <c r="Z1662" s="42"/>
      <c r="AA1662" s="42"/>
      <c r="AB1662" s="42"/>
      <c r="AC1662" s="42"/>
      <c r="AD1662" s="42"/>
      <c r="AE1662" s="42"/>
      <c r="AF1662" s="42"/>
      <c r="AG1662" s="42"/>
      <c r="AH1662" s="42"/>
      <c r="AI1662" s="42"/>
      <c r="AJ1662" s="42"/>
      <c r="AK1662" s="42"/>
      <c r="AL1662" s="42"/>
      <c r="AM1662" s="42"/>
    </row>
    <row r="1663" spans="1:39" x14ac:dyDescent="0.25">
      <c r="A1663" s="38" t="s">
        <v>2014</v>
      </c>
      <c r="B1663" s="42"/>
      <c r="C1663" s="42"/>
      <c r="D1663" s="42"/>
      <c r="E1663" s="41"/>
      <c r="F1663" s="41"/>
      <c r="G1663" s="41"/>
      <c r="H1663" s="41"/>
      <c r="I1663" s="41"/>
      <c r="J1663" s="42"/>
      <c r="K1663" s="41"/>
      <c r="L1663" s="41"/>
      <c r="M1663" s="127"/>
      <c r="N1663" s="41"/>
      <c r="O1663" s="41"/>
      <c r="P1663" s="41"/>
      <c r="Q1663" s="42"/>
      <c r="R1663" s="35"/>
      <c r="S1663" s="35"/>
      <c r="T1663" s="35"/>
      <c r="U1663" s="35"/>
      <c r="V1663" s="121"/>
      <c r="W1663" s="42"/>
      <c r="X1663" s="42"/>
      <c r="Y1663" s="42"/>
      <c r="Z1663" s="42"/>
      <c r="AA1663" s="42"/>
      <c r="AB1663" s="42"/>
      <c r="AC1663" s="42"/>
      <c r="AD1663" s="42"/>
      <c r="AE1663" s="42"/>
      <c r="AF1663" s="42"/>
      <c r="AG1663" s="42"/>
      <c r="AH1663" s="42"/>
      <c r="AI1663" s="42"/>
      <c r="AJ1663" s="42"/>
      <c r="AK1663" s="42"/>
      <c r="AL1663" s="42"/>
      <c r="AM1663" s="42"/>
    </row>
    <row r="1664" spans="1:39" x14ac:dyDescent="0.25">
      <c r="A1664" s="38" t="s">
        <v>2015</v>
      </c>
      <c r="B1664" s="42"/>
      <c r="C1664" s="42"/>
      <c r="D1664" s="42"/>
      <c r="E1664" s="41"/>
      <c r="F1664" s="41"/>
      <c r="G1664" s="41"/>
      <c r="H1664" s="41"/>
      <c r="I1664" s="41"/>
      <c r="J1664" s="42"/>
      <c r="K1664" s="41"/>
      <c r="L1664" s="41"/>
      <c r="M1664" s="127"/>
      <c r="N1664" s="41"/>
      <c r="O1664" s="41"/>
      <c r="P1664" s="41"/>
      <c r="Q1664" s="42"/>
      <c r="R1664" s="35"/>
      <c r="S1664" s="35"/>
      <c r="T1664" s="35"/>
      <c r="U1664" s="35"/>
      <c r="V1664" s="121"/>
      <c r="W1664" s="42"/>
      <c r="X1664" s="42"/>
      <c r="Y1664" s="42"/>
      <c r="Z1664" s="42"/>
      <c r="AA1664" s="42"/>
      <c r="AB1664" s="42"/>
      <c r="AC1664" s="42"/>
      <c r="AD1664" s="42"/>
      <c r="AE1664" s="42"/>
      <c r="AF1664" s="42"/>
      <c r="AG1664" s="42"/>
      <c r="AH1664" s="42"/>
      <c r="AI1664" s="42"/>
      <c r="AJ1664" s="42"/>
      <c r="AK1664" s="42"/>
      <c r="AL1664" s="42"/>
      <c r="AM1664" s="42"/>
    </row>
    <row r="1665" spans="1:39" x14ac:dyDescent="0.25">
      <c r="A1665" s="38" t="s">
        <v>2016</v>
      </c>
      <c r="B1665" s="42"/>
      <c r="C1665" s="42"/>
      <c r="D1665" s="42"/>
      <c r="E1665" s="41"/>
      <c r="F1665" s="41"/>
      <c r="G1665" s="41"/>
      <c r="H1665" s="41"/>
      <c r="I1665" s="41"/>
      <c r="J1665" s="42"/>
      <c r="K1665" s="41"/>
      <c r="L1665" s="41"/>
      <c r="M1665" s="127"/>
      <c r="N1665" s="41"/>
      <c r="O1665" s="41"/>
      <c r="P1665" s="41"/>
      <c r="Q1665" s="42"/>
      <c r="R1665" s="35"/>
      <c r="S1665" s="35"/>
      <c r="T1665" s="35"/>
      <c r="U1665" s="35"/>
      <c r="V1665" s="121"/>
      <c r="W1665" s="42"/>
      <c r="X1665" s="42"/>
      <c r="Y1665" s="42"/>
      <c r="Z1665" s="42"/>
      <c r="AA1665" s="42"/>
      <c r="AB1665" s="42"/>
      <c r="AC1665" s="42"/>
      <c r="AD1665" s="42"/>
      <c r="AE1665" s="42"/>
      <c r="AF1665" s="42"/>
      <c r="AG1665" s="42"/>
      <c r="AH1665" s="42"/>
      <c r="AI1665" s="42"/>
      <c r="AJ1665" s="42"/>
      <c r="AK1665" s="42"/>
      <c r="AL1665" s="42"/>
      <c r="AM1665" s="42"/>
    </row>
    <row r="1666" spans="1:39" x14ac:dyDescent="0.25">
      <c r="A1666" s="38" t="s">
        <v>2017</v>
      </c>
      <c r="B1666" s="42"/>
      <c r="C1666" s="42"/>
      <c r="D1666" s="42"/>
      <c r="E1666" s="41"/>
      <c r="F1666" s="41"/>
      <c r="G1666" s="41"/>
      <c r="H1666" s="41"/>
      <c r="I1666" s="41"/>
      <c r="J1666" s="42"/>
      <c r="K1666" s="41"/>
      <c r="L1666" s="41"/>
      <c r="M1666" s="127"/>
      <c r="N1666" s="41"/>
      <c r="O1666" s="41"/>
      <c r="P1666" s="41"/>
      <c r="Q1666" s="42"/>
      <c r="R1666" s="35"/>
      <c r="S1666" s="35"/>
      <c r="T1666" s="35"/>
      <c r="U1666" s="35"/>
      <c r="V1666" s="121"/>
      <c r="W1666" s="42"/>
      <c r="X1666" s="42"/>
      <c r="Y1666" s="42"/>
      <c r="Z1666" s="42"/>
      <c r="AA1666" s="42"/>
      <c r="AB1666" s="42"/>
      <c r="AC1666" s="42"/>
      <c r="AD1666" s="42"/>
      <c r="AE1666" s="42"/>
      <c r="AF1666" s="42"/>
      <c r="AG1666" s="42"/>
      <c r="AH1666" s="42"/>
      <c r="AI1666" s="42"/>
      <c r="AJ1666" s="42"/>
      <c r="AK1666" s="42"/>
      <c r="AL1666" s="42"/>
      <c r="AM1666" s="42"/>
    </row>
    <row r="1667" spans="1:39" x14ac:dyDescent="0.25">
      <c r="A1667" s="38" t="s">
        <v>2018</v>
      </c>
      <c r="B1667" s="42"/>
      <c r="C1667" s="42"/>
      <c r="D1667" s="42"/>
      <c r="E1667" s="41"/>
      <c r="F1667" s="41"/>
      <c r="G1667" s="41"/>
      <c r="H1667" s="41"/>
      <c r="I1667" s="41"/>
      <c r="J1667" s="42"/>
      <c r="K1667" s="41"/>
      <c r="L1667" s="41"/>
      <c r="M1667" s="127"/>
      <c r="N1667" s="41"/>
      <c r="O1667" s="41"/>
      <c r="P1667" s="41"/>
      <c r="Q1667" s="42"/>
      <c r="R1667" s="35"/>
      <c r="S1667" s="35"/>
      <c r="T1667" s="35"/>
      <c r="U1667" s="35"/>
      <c r="V1667" s="121"/>
      <c r="W1667" s="42"/>
      <c r="X1667" s="42"/>
      <c r="Y1667" s="42"/>
      <c r="Z1667" s="42"/>
      <c r="AA1667" s="42"/>
      <c r="AB1667" s="42"/>
      <c r="AC1667" s="42"/>
      <c r="AD1667" s="42"/>
      <c r="AE1667" s="42"/>
      <c r="AF1667" s="42"/>
      <c r="AG1667" s="42"/>
      <c r="AH1667" s="42"/>
      <c r="AI1667" s="42"/>
      <c r="AJ1667" s="42"/>
      <c r="AK1667" s="42"/>
      <c r="AL1667" s="42"/>
      <c r="AM1667" s="42"/>
    </row>
    <row r="1668" spans="1:39" x14ac:dyDescent="0.25">
      <c r="A1668" s="38" t="s">
        <v>2019</v>
      </c>
      <c r="B1668" s="42"/>
      <c r="C1668" s="42"/>
      <c r="D1668" s="42"/>
      <c r="E1668" s="41"/>
      <c r="F1668" s="41"/>
      <c r="G1668" s="41"/>
      <c r="H1668" s="41"/>
      <c r="I1668" s="41"/>
      <c r="J1668" s="42"/>
      <c r="K1668" s="41"/>
      <c r="L1668" s="41"/>
      <c r="M1668" s="127"/>
      <c r="N1668" s="41"/>
      <c r="O1668" s="41"/>
      <c r="P1668" s="41"/>
      <c r="Q1668" s="42"/>
      <c r="R1668" s="35"/>
      <c r="S1668" s="35"/>
      <c r="T1668" s="35"/>
      <c r="U1668" s="35"/>
      <c r="V1668" s="121"/>
      <c r="W1668" s="42"/>
      <c r="X1668" s="42"/>
      <c r="Y1668" s="42"/>
      <c r="Z1668" s="42"/>
      <c r="AA1668" s="42"/>
      <c r="AB1668" s="42"/>
      <c r="AC1668" s="42"/>
      <c r="AD1668" s="42"/>
      <c r="AE1668" s="42"/>
      <c r="AF1668" s="42"/>
      <c r="AG1668" s="42"/>
      <c r="AH1668" s="42"/>
      <c r="AI1668" s="42"/>
      <c r="AJ1668" s="42"/>
      <c r="AK1668" s="42"/>
      <c r="AL1668" s="42"/>
      <c r="AM1668" s="42"/>
    </row>
    <row r="1669" spans="1:39" x14ac:dyDescent="0.25">
      <c r="A1669" s="38" t="s">
        <v>2020</v>
      </c>
      <c r="B1669" s="42"/>
      <c r="C1669" s="42"/>
      <c r="D1669" s="42"/>
      <c r="E1669" s="41"/>
      <c r="F1669" s="41"/>
      <c r="G1669" s="41"/>
      <c r="H1669" s="41"/>
      <c r="I1669" s="41"/>
      <c r="J1669" s="42"/>
      <c r="K1669" s="41"/>
      <c r="L1669" s="41"/>
      <c r="M1669" s="127"/>
      <c r="N1669" s="41"/>
      <c r="O1669" s="41"/>
      <c r="P1669" s="41"/>
      <c r="Q1669" s="42"/>
      <c r="R1669" s="35"/>
      <c r="S1669" s="35"/>
      <c r="T1669" s="35"/>
      <c r="U1669" s="35"/>
      <c r="V1669" s="121"/>
      <c r="W1669" s="42"/>
      <c r="X1669" s="42"/>
      <c r="Y1669" s="42"/>
      <c r="Z1669" s="42"/>
      <c r="AA1669" s="42"/>
      <c r="AB1669" s="42"/>
      <c r="AC1669" s="42"/>
      <c r="AD1669" s="42"/>
      <c r="AE1669" s="42"/>
      <c r="AF1669" s="42"/>
      <c r="AG1669" s="42"/>
      <c r="AH1669" s="42"/>
      <c r="AI1669" s="42"/>
      <c r="AJ1669" s="42"/>
      <c r="AK1669" s="42"/>
      <c r="AL1669" s="42"/>
      <c r="AM1669" s="42"/>
    </row>
    <row r="1670" spans="1:39" x14ac:dyDescent="0.25">
      <c r="A1670" s="38" t="s">
        <v>2021</v>
      </c>
      <c r="B1670" s="42"/>
      <c r="C1670" s="42"/>
      <c r="D1670" s="42"/>
      <c r="E1670" s="41"/>
      <c r="F1670" s="41"/>
      <c r="G1670" s="41"/>
      <c r="H1670" s="41"/>
      <c r="I1670" s="41"/>
      <c r="J1670" s="42"/>
      <c r="K1670" s="41"/>
      <c r="L1670" s="41"/>
      <c r="M1670" s="127"/>
      <c r="N1670" s="41"/>
      <c r="O1670" s="41"/>
      <c r="P1670" s="41"/>
      <c r="Q1670" s="42"/>
      <c r="R1670" s="35"/>
      <c r="S1670" s="35"/>
      <c r="T1670" s="35"/>
      <c r="U1670" s="35"/>
      <c r="V1670" s="121"/>
      <c r="W1670" s="42"/>
      <c r="X1670" s="42"/>
      <c r="Y1670" s="42"/>
      <c r="Z1670" s="42"/>
      <c r="AA1670" s="42"/>
      <c r="AB1670" s="42"/>
      <c r="AC1670" s="42"/>
      <c r="AD1670" s="42"/>
      <c r="AE1670" s="42"/>
      <c r="AF1670" s="42"/>
      <c r="AG1670" s="42"/>
      <c r="AH1670" s="42"/>
      <c r="AI1670" s="42"/>
      <c r="AJ1670" s="42"/>
      <c r="AK1670" s="42"/>
      <c r="AL1670" s="42"/>
      <c r="AM1670" s="42"/>
    </row>
    <row r="1671" spans="1:39" x14ac:dyDescent="0.25">
      <c r="A1671" s="38" t="s">
        <v>2022</v>
      </c>
      <c r="B1671" s="42"/>
      <c r="C1671" s="42"/>
      <c r="D1671" s="42"/>
      <c r="E1671" s="41"/>
      <c r="F1671" s="41"/>
      <c r="G1671" s="41"/>
      <c r="H1671" s="41"/>
      <c r="I1671" s="41"/>
      <c r="J1671" s="42"/>
      <c r="K1671" s="41"/>
      <c r="L1671" s="41"/>
      <c r="M1671" s="127"/>
      <c r="N1671" s="41"/>
      <c r="O1671" s="41"/>
      <c r="P1671" s="41"/>
      <c r="Q1671" s="42"/>
      <c r="R1671" s="35"/>
      <c r="S1671" s="35"/>
      <c r="T1671" s="35"/>
      <c r="U1671" s="35"/>
      <c r="V1671" s="121"/>
      <c r="W1671" s="42"/>
      <c r="X1671" s="42"/>
      <c r="Y1671" s="42"/>
      <c r="Z1671" s="42"/>
      <c r="AA1671" s="42"/>
      <c r="AB1671" s="42"/>
      <c r="AC1671" s="42"/>
      <c r="AD1671" s="42"/>
      <c r="AE1671" s="42"/>
      <c r="AF1671" s="42"/>
      <c r="AG1671" s="42"/>
      <c r="AH1671" s="42"/>
      <c r="AI1671" s="42"/>
      <c r="AJ1671" s="42"/>
      <c r="AK1671" s="42"/>
      <c r="AL1671" s="42"/>
      <c r="AM1671" s="42"/>
    </row>
    <row r="1672" spans="1:39" x14ac:dyDescent="0.25">
      <c r="A1672" s="38" t="s">
        <v>2023</v>
      </c>
      <c r="B1672" s="42"/>
      <c r="C1672" s="42"/>
      <c r="D1672" s="42"/>
      <c r="E1672" s="41"/>
      <c r="F1672" s="41"/>
      <c r="G1672" s="41"/>
      <c r="H1672" s="41"/>
      <c r="I1672" s="41"/>
      <c r="J1672" s="42"/>
      <c r="K1672" s="41"/>
      <c r="L1672" s="41"/>
      <c r="M1672" s="127"/>
      <c r="N1672" s="41"/>
      <c r="O1672" s="41"/>
      <c r="P1672" s="41"/>
      <c r="Q1672" s="42"/>
      <c r="R1672" s="35"/>
      <c r="S1672" s="35"/>
      <c r="T1672" s="35"/>
      <c r="U1672" s="35"/>
      <c r="V1672" s="121"/>
      <c r="W1672" s="42"/>
      <c r="X1672" s="42"/>
      <c r="Y1672" s="42"/>
      <c r="Z1672" s="42"/>
      <c r="AA1672" s="42"/>
      <c r="AB1672" s="42"/>
      <c r="AC1672" s="42"/>
      <c r="AD1672" s="42"/>
      <c r="AE1672" s="42"/>
      <c r="AF1672" s="42"/>
      <c r="AG1672" s="42"/>
      <c r="AH1672" s="42"/>
      <c r="AI1672" s="42"/>
      <c r="AJ1672" s="42"/>
      <c r="AK1672" s="42"/>
      <c r="AL1672" s="42"/>
      <c r="AM1672" s="42"/>
    </row>
    <row r="1673" spans="1:39" x14ac:dyDescent="0.25">
      <c r="A1673" s="38" t="s">
        <v>2024</v>
      </c>
      <c r="B1673" s="42"/>
      <c r="C1673" s="42"/>
      <c r="D1673" s="42"/>
      <c r="E1673" s="41"/>
      <c r="F1673" s="41"/>
      <c r="G1673" s="41"/>
      <c r="H1673" s="41"/>
      <c r="I1673" s="41"/>
      <c r="J1673" s="42"/>
      <c r="K1673" s="41"/>
      <c r="L1673" s="41"/>
      <c r="M1673" s="127"/>
      <c r="N1673" s="41"/>
      <c r="O1673" s="41"/>
      <c r="P1673" s="41"/>
      <c r="Q1673" s="42"/>
      <c r="R1673" s="35"/>
      <c r="S1673" s="35"/>
      <c r="T1673" s="35"/>
      <c r="U1673" s="35"/>
      <c r="V1673" s="121"/>
      <c r="W1673" s="42"/>
      <c r="X1673" s="42"/>
      <c r="Y1673" s="42"/>
      <c r="Z1673" s="42"/>
      <c r="AA1673" s="42"/>
      <c r="AB1673" s="42"/>
      <c r="AC1673" s="42"/>
      <c r="AD1673" s="42"/>
      <c r="AE1673" s="42"/>
      <c r="AF1673" s="42"/>
      <c r="AG1673" s="42"/>
      <c r="AH1673" s="42"/>
      <c r="AI1673" s="42"/>
      <c r="AJ1673" s="42"/>
      <c r="AK1673" s="42"/>
      <c r="AL1673" s="42"/>
      <c r="AM1673" s="42"/>
    </row>
    <row r="1674" spans="1:39" x14ac:dyDescent="0.25">
      <c r="A1674" s="38" t="s">
        <v>2025</v>
      </c>
      <c r="B1674" s="42"/>
      <c r="C1674" s="42"/>
      <c r="D1674" s="42"/>
      <c r="E1674" s="41"/>
      <c r="F1674" s="41"/>
      <c r="G1674" s="41"/>
      <c r="H1674" s="41"/>
      <c r="I1674" s="41"/>
      <c r="J1674" s="42"/>
      <c r="K1674" s="41"/>
      <c r="L1674" s="41"/>
      <c r="M1674" s="127"/>
      <c r="N1674" s="41"/>
      <c r="O1674" s="41"/>
      <c r="P1674" s="41"/>
      <c r="Q1674" s="42"/>
      <c r="R1674" s="35"/>
      <c r="S1674" s="35"/>
      <c r="T1674" s="35"/>
      <c r="U1674" s="35"/>
      <c r="V1674" s="121"/>
      <c r="W1674" s="42"/>
      <c r="X1674" s="42"/>
      <c r="Y1674" s="42"/>
      <c r="Z1674" s="42"/>
      <c r="AA1674" s="42"/>
      <c r="AB1674" s="42"/>
      <c r="AC1674" s="42"/>
      <c r="AD1674" s="42"/>
      <c r="AE1674" s="42"/>
      <c r="AF1674" s="42"/>
      <c r="AG1674" s="42"/>
      <c r="AH1674" s="42"/>
      <c r="AI1674" s="42"/>
      <c r="AJ1674" s="42"/>
      <c r="AK1674" s="42"/>
      <c r="AL1674" s="42"/>
      <c r="AM1674" s="42"/>
    </row>
    <row r="1675" spans="1:39" x14ac:dyDescent="0.25">
      <c r="A1675" s="38" t="s">
        <v>2026</v>
      </c>
      <c r="B1675" s="42"/>
      <c r="C1675" s="42"/>
      <c r="D1675" s="42"/>
      <c r="E1675" s="41"/>
      <c r="F1675" s="41"/>
      <c r="G1675" s="41"/>
      <c r="H1675" s="41"/>
      <c r="I1675" s="41"/>
      <c r="J1675" s="42"/>
      <c r="K1675" s="41"/>
      <c r="L1675" s="41"/>
      <c r="M1675" s="127"/>
      <c r="N1675" s="41"/>
      <c r="O1675" s="41"/>
      <c r="P1675" s="41"/>
      <c r="Q1675" s="42"/>
      <c r="R1675" s="35"/>
      <c r="S1675" s="35"/>
      <c r="T1675" s="35"/>
      <c r="U1675" s="35"/>
      <c r="V1675" s="121"/>
      <c r="W1675" s="42"/>
      <c r="X1675" s="42"/>
      <c r="Y1675" s="42"/>
      <c r="Z1675" s="42"/>
      <c r="AA1675" s="42"/>
      <c r="AB1675" s="42"/>
      <c r="AC1675" s="42"/>
      <c r="AD1675" s="42"/>
      <c r="AE1675" s="42"/>
      <c r="AF1675" s="42"/>
      <c r="AG1675" s="42"/>
      <c r="AH1675" s="42"/>
      <c r="AI1675" s="42"/>
      <c r="AJ1675" s="42"/>
      <c r="AK1675" s="42"/>
      <c r="AL1675" s="42"/>
      <c r="AM1675" s="42"/>
    </row>
    <row r="1676" spans="1:39" x14ac:dyDescent="0.25">
      <c r="A1676" s="38" t="s">
        <v>2027</v>
      </c>
      <c r="B1676" s="42"/>
      <c r="C1676" s="42"/>
      <c r="D1676" s="42"/>
      <c r="E1676" s="41"/>
      <c r="F1676" s="41"/>
      <c r="G1676" s="41"/>
      <c r="H1676" s="41"/>
      <c r="I1676" s="41"/>
      <c r="J1676" s="42"/>
      <c r="K1676" s="41"/>
      <c r="L1676" s="41"/>
      <c r="M1676" s="127"/>
      <c r="N1676" s="41"/>
      <c r="O1676" s="41"/>
      <c r="P1676" s="41"/>
      <c r="Q1676" s="42"/>
      <c r="R1676" s="35"/>
      <c r="S1676" s="35"/>
      <c r="T1676" s="35"/>
      <c r="U1676" s="35"/>
      <c r="V1676" s="121"/>
      <c r="W1676" s="42"/>
      <c r="X1676" s="42"/>
      <c r="Y1676" s="42"/>
      <c r="Z1676" s="42"/>
      <c r="AA1676" s="42"/>
      <c r="AB1676" s="42"/>
      <c r="AC1676" s="42"/>
      <c r="AD1676" s="42"/>
      <c r="AE1676" s="42"/>
      <c r="AF1676" s="42"/>
      <c r="AG1676" s="42"/>
      <c r="AH1676" s="42"/>
      <c r="AI1676" s="42"/>
      <c r="AJ1676" s="42"/>
      <c r="AK1676" s="42"/>
      <c r="AL1676" s="42"/>
      <c r="AM1676" s="42"/>
    </row>
    <row r="1677" spans="1:39" x14ac:dyDescent="0.25">
      <c r="A1677" s="38" t="s">
        <v>2028</v>
      </c>
      <c r="B1677" s="42"/>
      <c r="C1677" s="42"/>
      <c r="D1677" s="42"/>
      <c r="E1677" s="41"/>
      <c r="F1677" s="41"/>
      <c r="G1677" s="41"/>
      <c r="H1677" s="41"/>
      <c r="I1677" s="41"/>
      <c r="J1677" s="42"/>
      <c r="K1677" s="41"/>
      <c r="L1677" s="41"/>
      <c r="M1677" s="127"/>
      <c r="N1677" s="41"/>
      <c r="O1677" s="41"/>
      <c r="P1677" s="41"/>
      <c r="Q1677" s="42"/>
      <c r="R1677" s="35"/>
      <c r="S1677" s="35"/>
      <c r="T1677" s="35"/>
      <c r="U1677" s="35"/>
      <c r="V1677" s="121"/>
      <c r="W1677" s="42"/>
      <c r="X1677" s="42"/>
      <c r="Y1677" s="42"/>
      <c r="Z1677" s="42"/>
      <c r="AA1677" s="42"/>
      <c r="AB1677" s="42"/>
      <c r="AC1677" s="42"/>
      <c r="AD1677" s="42"/>
      <c r="AE1677" s="42"/>
      <c r="AF1677" s="42"/>
      <c r="AG1677" s="42"/>
      <c r="AH1677" s="42"/>
      <c r="AI1677" s="42"/>
      <c r="AJ1677" s="42"/>
      <c r="AK1677" s="42"/>
      <c r="AL1677" s="42"/>
      <c r="AM1677" s="42"/>
    </row>
    <row r="1678" spans="1:39" x14ac:dyDescent="0.25">
      <c r="A1678" s="38" t="s">
        <v>2029</v>
      </c>
      <c r="B1678" s="42"/>
      <c r="C1678" s="42"/>
      <c r="D1678" s="42"/>
      <c r="E1678" s="41"/>
      <c r="F1678" s="41"/>
      <c r="G1678" s="41"/>
      <c r="H1678" s="41"/>
      <c r="I1678" s="41"/>
      <c r="J1678" s="42"/>
      <c r="K1678" s="41"/>
      <c r="L1678" s="41"/>
      <c r="M1678" s="127"/>
      <c r="N1678" s="41"/>
      <c r="O1678" s="41"/>
      <c r="P1678" s="41"/>
      <c r="Q1678" s="42"/>
      <c r="R1678" s="35"/>
      <c r="S1678" s="35"/>
      <c r="T1678" s="35"/>
      <c r="U1678" s="35"/>
      <c r="V1678" s="121"/>
      <c r="W1678" s="42"/>
      <c r="X1678" s="42"/>
      <c r="Y1678" s="42"/>
      <c r="Z1678" s="42"/>
      <c r="AA1678" s="42"/>
      <c r="AB1678" s="42"/>
      <c r="AC1678" s="42"/>
      <c r="AD1678" s="42"/>
      <c r="AE1678" s="42"/>
      <c r="AF1678" s="42"/>
      <c r="AG1678" s="42"/>
      <c r="AH1678" s="42"/>
      <c r="AI1678" s="42"/>
      <c r="AJ1678" s="42"/>
      <c r="AK1678" s="42"/>
      <c r="AL1678" s="42"/>
      <c r="AM1678" s="42"/>
    </row>
    <row r="1679" spans="1:39" x14ac:dyDescent="0.25">
      <c r="A1679" s="38" t="s">
        <v>2030</v>
      </c>
      <c r="B1679" s="42"/>
      <c r="C1679" s="42"/>
      <c r="D1679" s="42"/>
      <c r="E1679" s="41"/>
      <c r="F1679" s="41"/>
      <c r="G1679" s="41"/>
      <c r="H1679" s="41"/>
      <c r="I1679" s="41"/>
      <c r="J1679" s="42"/>
      <c r="K1679" s="41"/>
      <c r="L1679" s="41"/>
      <c r="M1679" s="127"/>
      <c r="N1679" s="41"/>
      <c r="O1679" s="41"/>
      <c r="P1679" s="41"/>
      <c r="Q1679" s="42"/>
      <c r="R1679" s="35"/>
      <c r="S1679" s="35"/>
      <c r="T1679" s="35"/>
      <c r="U1679" s="35"/>
      <c r="V1679" s="121"/>
      <c r="W1679" s="42"/>
      <c r="X1679" s="42"/>
      <c r="Y1679" s="42"/>
      <c r="Z1679" s="42"/>
      <c r="AA1679" s="42"/>
      <c r="AB1679" s="42"/>
      <c r="AC1679" s="42"/>
      <c r="AD1679" s="42"/>
      <c r="AE1679" s="42"/>
      <c r="AF1679" s="42"/>
      <c r="AG1679" s="42"/>
      <c r="AH1679" s="42"/>
      <c r="AI1679" s="42"/>
      <c r="AJ1679" s="42"/>
      <c r="AK1679" s="42"/>
      <c r="AL1679" s="42"/>
      <c r="AM1679" s="42"/>
    </row>
    <row r="1680" spans="1:39" x14ac:dyDescent="0.25">
      <c r="A1680" s="38" t="s">
        <v>2031</v>
      </c>
      <c r="B1680" s="42"/>
      <c r="C1680" s="42"/>
      <c r="D1680" s="42"/>
      <c r="E1680" s="41"/>
      <c r="F1680" s="41"/>
      <c r="G1680" s="41"/>
      <c r="H1680" s="41"/>
      <c r="I1680" s="41"/>
      <c r="J1680" s="42"/>
      <c r="K1680" s="41"/>
      <c r="L1680" s="41"/>
      <c r="M1680" s="127"/>
      <c r="N1680" s="41"/>
      <c r="O1680" s="41"/>
      <c r="P1680" s="41"/>
      <c r="Q1680" s="42"/>
      <c r="R1680" s="35"/>
      <c r="S1680" s="35"/>
      <c r="T1680" s="35"/>
      <c r="U1680" s="35"/>
      <c r="V1680" s="121"/>
      <c r="W1680" s="42"/>
      <c r="X1680" s="42"/>
      <c r="Y1680" s="42"/>
      <c r="Z1680" s="42"/>
      <c r="AA1680" s="42"/>
      <c r="AB1680" s="42"/>
      <c r="AC1680" s="42"/>
      <c r="AD1680" s="42"/>
      <c r="AE1680" s="42"/>
      <c r="AF1680" s="42"/>
      <c r="AG1680" s="42"/>
      <c r="AH1680" s="42"/>
      <c r="AI1680" s="42"/>
      <c r="AJ1680" s="42"/>
      <c r="AK1680" s="42"/>
      <c r="AL1680" s="42"/>
      <c r="AM1680" s="42"/>
    </row>
    <row r="1681" spans="1:39" x14ac:dyDescent="0.25">
      <c r="A1681" s="38" t="s">
        <v>2032</v>
      </c>
      <c r="B1681" s="42"/>
      <c r="C1681" s="42"/>
      <c r="D1681" s="42"/>
      <c r="E1681" s="41"/>
      <c r="F1681" s="41"/>
      <c r="G1681" s="41"/>
      <c r="H1681" s="41"/>
      <c r="I1681" s="41"/>
      <c r="J1681" s="42"/>
      <c r="K1681" s="41"/>
      <c r="L1681" s="41"/>
      <c r="M1681" s="127"/>
      <c r="N1681" s="41"/>
      <c r="O1681" s="41"/>
      <c r="P1681" s="41"/>
      <c r="Q1681" s="42"/>
      <c r="R1681" s="35"/>
      <c r="S1681" s="35"/>
      <c r="T1681" s="35"/>
      <c r="U1681" s="35"/>
      <c r="V1681" s="121"/>
      <c r="W1681" s="42"/>
      <c r="X1681" s="42"/>
      <c r="Y1681" s="42"/>
      <c r="Z1681" s="42"/>
      <c r="AA1681" s="42"/>
      <c r="AB1681" s="42"/>
      <c r="AC1681" s="42"/>
      <c r="AD1681" s="42"/>
      <c r="AE1681" s="42"/>
      <c r="AF1681" s="42"/>
      <c r="AG1681" s="42"/>
      <c r="AH1681" s="42"/>
      <c r="AI1681" s="42"/>
      <c r="AJ1681" s="42"/>
      <c r="AK1681" s="42"/>
      <c r="AL1681" s="42"/>
      <c r="AM1681" s="42"/>
    </row>
    <row r="1682" spans="1:39" x14ac:dyDescent="0.25">
      <c r="A1682" s="38" t="s">
        <v>2033</v>
      </c>
      <c r="B1682" s="42"/>
      <c r="C1682" s="42"/>
      <c r="D1682" s="42"/>
      <c r="E1682" s="41"/>
      <c r="F1682" s="41"/>
      <c r="G1682" s="41"/>
      <c r="H1682" s="41"/>
      <c r="I1682" s="41"/>
      <c r="J1682" s="42"/>
      <c r="K1682" s="41"/>
      <c r="L1682" s="41"/>
      <c r="M1682" s="127"/>
      <c r="N1682" s="41"/>
      <c r="O1682" s="41"/>
      <c r="P1682" s="41"/>
      <c r="Q1682" s="42"/>
      <c r="R1682" s="35"/>
      <c r="S1682" s="35"/>
      <c r="T1682" s="35"/>
      <c r="U1682" s="35"/>
      <c r="V1682" s="121"/>
      <c r="W1682" s="42"/>
      <c r="X1682" s="42"/>
      <c r="Y1682" s="42"/>
      <c r="Z1682" s="42"/>
      <c r="AA1682" s="42"/>
      <c r="AB1682" s="42"/>
      <c r="AC1682" s="42"/>
      <c r="AD1682" s="42"/>
      <c r="AE1682" s="42"/>
      <c r="AF1682" s="42"/>
      <c r="AG1682" s="42"/>
      <c r="AH1682" s="42"/>
      <c r="AI1682" s="42"/>
      <c r="AJ1682" s="42"/>
      <c r="AK1682" s="42"/>
      <c r="AL1682" s="42"/>
      <c r="AM1682" s="42"/>
    </row>
    <row r="1683" spans="1:39" x14ac:dyDescent="0.25">
      <c r="A1683" s="38" t="s">
        <v>2034</v>
      </c>
      <c r="B1683" s="42"/>
      <c r="C1683" s="42"/>
      <c r="D1683" s="42"/>
      <c r="E1683" s="41"/>
      <c r="F1683" s="41"/>
      <c r="G1683" s="41"/>
      <c r="H1683" s="41"/>
      <c r="I1683" s="41"/>
      <c r="J1683" s="42"/>
      <c r="K1683" s="41"/>
      <c r="L1683" s="41"/>
      <c r="M1683" s="127"/>
      <c r="N1683" s="41"/>
      <c r="O1683" s="41"/>
      <c r="P1683" s="41"/>
      <c r="Q1683" s="42"/>
      <c r="R1683" s="35"/>
      <c r="S1683" s="35"/>
      <c r="T1683" s="35"/>
      <c r="U1683" s="35"/>
      <c r="V1683" s="121"/>
      <c r="W1683" s="42"/>
      <c r="X1683" s="42"/>
      <c r="Y1683" s="42"/>
      <c r="Z1683" s="42"/>
      <c r="AA1683" s="42"/>
      <c r="AB1683" s="42"/>
      <c r="AC1683" s="42"/>
      <c r="AD1683" s="42"/>
      <c r="AE1683" s="42"/>
      <c r="AF1683" s="42"/>
      <c r="AG1683" s="42"/>
      <c r="AH1683" s="42"/>
      <c r="AI1683" s="42"/>
      <c r="AJ1683" s="42"/>
      <c r="AK1683" s="42"/>
      <c r="AL1683" s="42"/>
      <c r="AM1683" s="42"/>
    </row>
    <row r="1684" spans="1:39" x14ac:dyDescent="0.25">
      <c r="A1684" s="38" t="s">
        <v>2035</v>
      </c>
      <c r="B1684" s="42"/>
      <c r="C1684" s="42"/>
      <c r="D1684" s="42"/>
      <c r="E1684" s="41"/>
      <c r="F1684" s="41"/>
      <c r="G1684" s="41"/>
      <c r="H1684" s="41"/>
      <c r="I1684" s="41"/>
      <c r="J1684" s="42"/>
      <c r="K1684" s="41"/>
      <c r="L1684" s="41"/>
      <c r="M1684" s="127"/>
      <c r="N1684" s="41"/>
      <c r="O1684" s="41"/>
      <c r="P1684" s="41"/>
      <c r="Q1684" s="42"/>
      <c r="R1684" s="35"/>
      <c r="S1684" s="35"/>
      <c r="T1684" s="35"/>
      <c r="U1684" s="35"/>
      <c r="V1684" s="121"/>
      <c r="W1684" s="42"/>
      <c r="X1684" s="42"/>
      <c r="Y1684" s="42"/>
      <c r="Z1684" s="42"/>
      <c r="AA1684" s="42"/>
      <c r="AB1684" s="42"/>
      <c r="AC1684" s="42"/>
      <c r="AD1684" s="42"/>
      <c r="AE1684" s="42"/>
      <c r="AF1684" s="42"/>
      <c r="AG1684" s="42"/>
      <c r="AH1684" s="42"/>
      <c r="AI1684" s="42"/>
      <c r="AJ1684" s="42"/>
      <c r="AK1684" s="42"/>
      <c r="AL1684" s="42"/>
      <c r="AM1684" s="42"/>
    </row>
    <row r="1685" spans="1:39" x14ac:dyDescent="0.25">
      <c r="A1685" s="38" t="s">
        <v>2036</v>
      </c>
      <c r="B1685" s="42"/>
      <c r="C1685" s="42"/>
      <c r="D1685" s="42"/>
      <c r="E1685" s="41"/>
      <c r="F1685" s="41"/>
      <c r="G1685" s="41"/>
      <c r="H1685" s="41"/>
      <c r="I1685" s="41"/>
      <c r="J1685" s="42"/>
      <c r="K1685" s="41"/>
      <c r="L1685" s="41"/>
      <c r="M1685" s="127"/>
      <c r="N1685" s="41"/>
      <c r="O1685" s="41"/>
      <c r="P1685" s="41"/>
      <c r="Q1685" s="42"/>
      <c r="R1685" s="35"/>
      <c r="S1685" s="35"/>
      <c r="T1685" s="35"/>
      <c r="U1685" s="35"/>
      <c r="V1685" s="121"/>
      <c r="W1685" s="42"/>
      <c r="X1685" s="42"/>
      <c r="Y1685" s="42"/>
      <c r="Z1685" s="42"/>
      <c r="AA1685" s="42"/>
      <c r="AB1685" s="42"/>
      <c r="AC1685" s="42"/>
      <c r="AD1685" s="42"/>
      <c r="AE1685" s="42"/>
      <c r="AF1685" s="42"/>
      <c r="AG1685" s="42"/>
      <c r="AH1685" s="42"/>
      <c r="AI1685" s="42"/>
      <c r="AJ1685" s="42"/>
      <c r="AK1685" s="42"/>
      <c r="AL1685" s="42"/>
      <c r="AM1685" s="42"/>
    </row>
    <row r="1686" spans="1:39" x14ac:dyDescent="0.25">
      <c r="A1686" s="38" t="s">
        <v>2037</v>
      </c>
      <c r="B1686" s="42"/>
      <c r="C1686" s="42"/>
      <c r="D1686" s="42"/>
      <c r="E1686" s="41"/>
      <c r="F1686" s="41"/>
      <c r="G1686" s="41"/>
      <c r="H1686" s="41"/>
      <c r="I1686" s="41"/>
      <c r="J1686" s="42"/>
      <c r="K1686" s="41"/>
      <c r="L1686" s="41"/>
      <c r="M1686" s="127"/>
      <c r="N1686" s="41"/>
      <c r="O1686" s="41"/>
      <c r="P1686" s="41"/>
      <c r="Q1686" s="42"/>
      <c r="R1686" s="35"/>
      <c r="S1686" s="35"/>
      <c r="T1686" s="35"/>
      <c r="U1686" s="35"/>
      <c r="V1686" s="121"/>
      <c r="W1686" s="42"/>
      <c r="X1686" s="42"/>
      <c r="Y1686" s="42"/>
      <c r="Z1686" s="42"/>
      <c r="AA1686" s="42"/>
      <c r="AB1686" s="42"/>
      <c r="AC1686" s="42"/>
      <c r="AD1686" s="42"/>
      <c r="AE1686" s="42"/>
      <c r="AF1686" s="42"/>
      <c r="AG1686" s="42"/>
      <c r="AH1686" s="42"/>
      <c r="AI1686" s="42"/>
      <c r="AJ1686" s="42"/>
      <c r="AK1686" s="42"/>
      <c r="AL1686" s="42"/>
      <c r="AM1686" s="42"/>
    </row>
    <row r="1687" spans="1:39" x14ac:dyDescent="0.25">
      <c r="A1687" s="38" t="s">
        <v>2038</v>
      </c>
      <c r="B1687" s="42"/>
      <c r="C1687" s="42"/>
      <c r="D1687" s="42"/>
      <c r="E1687" s="41"/>
      <c r="F1687" s="41"/>
      <c r="G1687" s="41"/>
      <c r="H1687" s="41"/>
      <c r="I1687" s="41"/>
      <c r="J1687" s="42"/>
      <c r="K1687" s="41"/>
      <c r="L1687" s="41"/>
      <c r="M1687" s="127"/>
      <c r="N1687" s="41"/>
      <c r="O1687" s="41"/>
      <c r="P1687" s="41"/>
      <c r="Q1687" s="42"/>
      <c r="R1687" s="35"/>
      <c r="S1687" s="35"/>
      <c r="T1687" s="35"/>
      <c r="U1687" s="35"/>
      <c r="V1687" s="121"/>
      <c r="W1687" s="42"/>
      <c r="X1687" s="42"/>
      <c r="Y1687" s="42"/>
      <c r="Z1687" s="42"/>
      <c r="AA1687" s="42"/>
      <c r="AB1687" s="42"/>
      <c r="AC1687" s="42"/>
      <c r="AD1687" s="42"/>
      <c r="AE1687" s="42"/>
      <c r="AF1687" s="42"/>
      <c r="AG1687" s="42"/>
      <c r="AH1687" s="42"/>
      <c r="AI1687" s="42"/>
      <c r="AJ1687" s="42"/>
      <c r="AK1687" s="42"/>
      <c r="AL1687" s="42"/>
      <c r="AM1687" s="42"/>
    </row>
    <row r="1688" spans="1:39" x14ac:dyDescent="0.25">
      <c r="A1688" s="38" t="s">
        <v>2039</v>
      </c>
      <c r="B1688" s="42"/>
      <c r="C1688" s="42"/>
      <c r="D1688" s="42"/>
      <c r="E1688" s="41"/>
      <c r="F1688" s="41"/>
      <c r="G1688" s="41"/>
      <c r="H1688" s="41"/>
      <c r="I1688" s="41"/>
      <c r="J1688" s="42"/>
      <c r="K1688" s="41"/>
      <c r="L1688" s="41"/>
      <c r="M1688" s="127"/>
      <c r="N1688" s="41"/>
      <c r="O1688" s="41"/>
      <c r="P1688" s="41"/>
      <c r="Q1688" s="42"/>
      <c r="R1688" s="35"/>
      <c r="S1688" s="35"/>
      <c r="T1688" s="35"/>
      <c r="U1688" s="35"/>
      <c r="V1688" s="121"/>
      <c r="W1688" s="42"/>
      <c r="X1688" s="42"/>
      <c r="Y1688" s="42"/>
      <c r="Z1688" s="42"/>
      <c r="AA1688" s="42"/>
      <c r="AB1688" s="42"/>
      <c r="AC1688" s="42"/>
      <c r="AD1688" s="42"/>
      <c r="AE1688" s="42"/>
      <c r="AF1688" s="42"/>
      <c r="AG1688" s="42"/>
      <c r="AH1688" s="42"/>
      <c r="AI1688" s="42"/>
      <c r="AJ1688" s="42"/>
      <c r="AK1688" s="42"/>
      <c r="AL1688" s="42"/>
      <c r="AM1688" s="42"/>
    </row>
    <row r="1689" spans="1:39" x14ac:dyDescent="0.25">
      <c r="A1689" s="38" t="s">
        <v>2040</v>
      </c>
      <c r="B1689" s="42"/>
      <c r="C1689" s="42"/>
      <c r="D1689" s="42"/>
      <c r="E1689" s="41"/>
      <c r="F1689" s="41"/>
      <c r="G1689" s="41"/>
      <c r="H1689" s="41"/>
      <c r="I1689" s="41"/>
      <c r="J1689" s="42"/>
      <c r="K1689" s="41"/>
      <c r="L1689" s="41"/>
      <c r="M1689" s="127"/>
      <c r="N1689" s="41"/>
      <c r="O1689" s="41"/>
      <c r="P1689" s="41"/>
      <c r="Q1689" s="42"/>
      <c r="R1689" s="35"/>
      <c r="S1689" s="35"/>
      <c r="T1689" s="35"/>
      <c r="U1689" s="35"/>
      <c r="V1689" s="121"/>
      <c r="W1689" s="42"/>
      <c r="X1689" s="42"/>
      <c r="Y1689" s="42"/>
      <c r="Z1689" s="42"/>
      <c r="AA1689" s="42"/>
      <c r="AB1689" s="42"/>
      <c r="AC1689" s="42"/>
      <c r="AD1689" s="42"/>
      <c r="AE1689" s="42"/>
      <c r="AF1689" s="42"/>
      <c r="AG1689" s="42"/>
      <c r="AH1689" s="42"/>
      <c r="AI1689" s="42"/>
      <c r="AJ1689" s="42"/>
      <c r="AK1689" s="42"/>
      <c r="AL1689" s="42"/>
      <c r="AM1689" s="42"/>
    </row>
    <row r="1690" spans="1:39" x14ac:dyDescent="0.25">
      <c r="A1690" s="38" t="s">
        <v>2041</v>
      </c>
      <c r="B1690" s="42"/>
      <c r="C1690" s="42"/>
      <c r="D1690" s="42"/>
      <c r="E1690" s="41"/>
      <c r="F1690" s="41"/>
      <c r="G1690" s="41"/>
      <c r="H1690" s="41"/>
      <c r="I1690" s="41"/>
      <c r="J1690" s="42"/>
      <c r="K1690" s="41"/>
      <c r="L1690" s="41"/>
      <c r="M1690" s="127"/>
      <c r="N1690" s="41"/>
      <c r="O1690" s="41"/>
      <c r="P1690" s="41"/>
      <c r="Q1690" s="42"/>
      <c r="R1690" s="35"/>
      <c r="S1690" s="35"/>
      <c r="T1690" s="35"/>
      <c r="U1690" s="35"/>
      <c r="V1690" s="121"/>
      <c r="W1690" s="42"/>
      <c r="X1690" s="42"/>
      <c r="Y1690" s="42"/>
      <c r="Z1690" s="42"/>
      <c r="AA1690" s="42"/>
      <c r="AB1690" s="42"/>
      <c r="AC1690" s="42"/>
      <c r="AD1690" s="42"/>
      <c r="AE1690" s="42"/>
      <c r="AF1690" s="42"/>
      <c r="AG1690" s="42"/>
      <c r="AH1690" s="42"/>
      <c r="AI1690" s="42"/>
      <c r="AJ1690" s="42"/>
      <c r="AK1690" s="42"/>
      <c r="AL1690" s="42"/>
      <c r="AM1690" s="42"/>
    </row>
    <row r="1691" spans="1:39" x14ac:dyDescent="0.25">
      <c r="A1691" s="38" t="s">
        <v>2042</v>
      </c>
      <c r="B1691" s="42"/>
      <c r="C1691" s="42"/>
      <c r="D1691" s="42"/>
      <c r="E1691" s="41"/>
      <c r="F1691" s="41"/>
      <c r="G1691" s="41"/>
      <c r="H1691" s="41"/>
      <c r="I1691" s="41"/>
      <c r="J1691" s="42"/>
      <c r="K1691" s="41"/>
      <c r="L1691" s="41"/>
      <c r="M1691" s="127"/>
      <c r="N1691" s="41"/>
      <c r="O1691" s="41"/>
      <c r="P1691" s="41"/>
      <c r="Q1691" s="42"/>
      <c r="R1691" s="35"/>
      <c r="S1691" s="35"/>
      <c r="T1691" s="35"/>
      <c r="U1691" s="35"/>
      <c r="V1691" s="121"/>
      <c r="W1691" s="42"/>
      <c r="X1691" s="42"/>
      <c r="Y1691" s="42"/>
      <c r="Z1691" s="42"/>
      <c r="AA1691" s="42"/>
      <c r="AB1691" s="42"/>
      <c r="AC1691" s="42"/>
      <c r="AD1691" s="42"/>
      <c r="AE1691" s="42"/>
      <c r="AF1691" s="42"/>
      <c r="AG1691" s="42"/>
      <c r="AH1691" s="42"/>
      <c r="AI1691" s="42"/>
      <c r="AJ1691" s="42"/>
      <c r="AK1691" s="42"/>
      <c r="AL1691" s="42"/>
      <c r="AM1691" s="42"/>
    </row>
    <row r="1692" spans="1:39" x14ac:dyDescent="0.25">
      <c r="A1692" s="38" t="s">
        <v>2043</v>
      </c>
      <c r="B1692" s="42"/>
      <c r="C1692" s="42"/>
      <c r="D1692" s="42"/>
      <c r="E1692" s="41"/>
      <c r="F1692" s="41"/>
      <c r="G1692" s="41"/>
      <c r="H1692" s="41"/>
      <c r="I1692" s="41"/>
      <c r="J1692" s="42"/>
      <c r="K1692" s="41"/>
      <c r="L1692" s="41"/>
      <c r="M1692" s="127"/>
      <c r="N1692" s="41"/>
      <c r="O1692" s="41"/>
      <c r="P1692" s="41"/>
      <c r="Q1692" s="42"/>
      <c r="R1692" s="35"/>
      <c r="S1692" s="35"/>
      <c r="T1692" s="35"/>
      <c r="U1692" s="35"/>
      <c r="V1692" s="121"/>
      <c r="W1692" s="42"/>
      <c r="X1692" s="42"/>
      <c r="Y1692" s="42"/>
      <c r="Z1692" s="42"/>
      <c r="AA1692" s="42"/>
      <c r="AB1692" s="42"/>
      <c r="AC1692" s="42"/>
      <c r="AD1692" s="42"/>
      <c r="AE1692" s="42"/>
      <c r="AF1692" s="42"/>
      <c r="AG1692" s="42"/>
      <c r="AH1692" s="42"/>
      <c r="AI1692" s="42"/>
      <c r="AJ1692" s="42"/>
      <c r="AK1692" s="42"/>
      <c r="AL1692" s="42"/>
      <c r="AM1692" s="42"/>
    </row>
    <row r="1693" spans="1:39" x14ac:dyDescent="0.25">
      <c r="A1693" s="38" t="s">
        <v>2044</v>
      </c>
      <c r="B1693" s="42"/>
      <c r="C1693" s="42"/>
      <c r="D1693" s="42"/>
      <c r="E1693" s="41"/>
      <c r="F1693" s="41"/>
      <c r="G1693" s="41"/>
      <c r="H1693" s="41"/>
      <c r="I1693" s="41"/>
      <c r="J1693" s="42"/>
      <c r="K1693" s="41"/>
      <c r="L1693" s="41"/>
      <c r="M1693" s="127"/>
      <c r="N1693" s="41"/>
      <c r="O1693" s="41"/>
      <c r="P1693" s="41"/>
      <c r="Q1693" s="42"/>
      <c r="R1693" s="35"/>
      <c r="S1693" s="35"/>
      <c r="T1693" s="35"/>
      <c r="U1693" s="35"/>
      <c r="V1693" s="121"/>
      <c r="W1693" s="42"/>
      <c r="X1693" s="42"/>
      <c r="Y1693" s="42"/>
      <c r="Z1693" s="42"/>
      <c r="AA1693" s="42"/>
      <c r="AB1693" s="42"/>
      <c r="AC1693" s="42"/>
      <c r="AD1693" s="42"/>
      <c r="AE1693" s="42"/>
      <c r="AF1693" s="42"/>
      <c r="AG1693" s="42"/>
      <c r="AH1693" s="42"/>
      <c r="AI1693" s="42"/>
      <c r="AJ1693" s="42"/>
      <c r="AK1693" s="42"/>
      <c r="AL1693" s="42"/>
      <c r="AM1693" s="42"/>
    </row>
    <row r="1694" spans="1:39" x14ac:dyDescent="0.25">
      <c r="A1694" s="38" t="s">
        <v>2045</v>
      </c>
      <c r="B1694" s="42"/>
      <c r="C1694" s="42"/>
      <c r="D1694" s="42"/>
      <c r="E1694" s="41"/>
      <c r="F1694" s="41"/>
      <c r="G1694" s="41"/>
      <c r="H1694" s="41"/>
      <c r="I1694" s="41"/>
      <c r="J1694" s="42"/>
      <c r="K1694" s="41"/>
      <c r="L1694" s="41"/>
      <c r="M1694" s="127"/>
      <c r="N1694" s="41"/>
      <c r="O1694" s="41"/>
      <c r="P1694" s="41"/>
      <c r="Q1694" s="42"/>
      <c r="R1694" s="35"/>
      <c r="S1694" s="35"/>
      <c r="T1694" s="35"/>
      <c r="U1694" s="35"/>
      <c r="V1694" s="121"/>
      <c r="W1694" s="42"/>
      <c r="X1694" s="42"/>
      <c r="Y1694" s="42"/>
      <c r="Z1694" s="42"/>
      <c r="AA1694" s="42"/>
      <c r="AB1694" s="42"/>
      <c r="AC1694" s="42"/>
      <c r="AD1694" s="42"/>
      <c r="AE1694" s="42"/>
      <c r="AF1694" s="42"/>
      <c r="AG1694" s="42"/>
      <c r="AH1694" s="42"/>
      <c r="AI1694" s="42"/>
      <c r="AJ1694" s="42"/>
      <c r="AK1694" s="42"/>
      <c r="AL1694" s="42"/>
      <c r="AM1694" s="42"/>
    </row>
    <row r="1695" spans="1:39" x14ac:dyDescent="0.25">
      <c r="A1695" s="38" t="s">
        <v>2046</v>
      </c>
      <c r="B1695" s="42"/>
      <c r="C1695" s="42"/>
      <c r="D1695" s="42"/>
      <c r="E1695" s="41"/>
      <c r="F1695" s="41"/>
      <c r="G1695" s="41"/>
      <c r="H1695" s="41"/>
      <c r="I1695" s="41"/>
      <c r="J1695" s="42"/>
      <c r="K1695" s="41"/>
      <c r="L1695" s="41"/>
      <c r="M1695" s="127"/>
      <c r="N1695" s="41"/>
      <c r="O1695" s="41"/>
      <c r="P1695" s="41"/>
      <c r="Q1695" s="42"/>
      <c r="R1695" s="35"/>
      <c r="S1695" s="35"/>
      <c r="T1695" s="35"/>
      <c r="U1695" s="35"/>
      <c r="V1695" s="121"/>
      <c r="W1695" s="42"/>
      <c r="X1695" s="42"/>
      <c r="Y1695" s="42"/>
      <c r="Z1695" s="42"/>
      <c r="AA1695" s="42"/>
      <c r="AB1695" s="42"/>
      <c r="AC1695" s="42"/>
      <c r="AD1695" s="42"/>
      <c r="AE1695" s="42"/>
      <c r="AF1695" s="42"/>
      <c r="AG1695" s="42"/>
      <c r="AH1695" s="42"/>
      <c r="AI1695" s="42"/>
      <c r="AJ1695" s="42"/>
      <c r="AK1695" s="42"/>
      <c r="AL1695" s="42"/>
      <c r="AM1695" s="42"/>
    </row>
    <row r="1696" spans="1:39" x14ac:dyDescent="0.25">
      <c r="A1696" s="38" t="s">
        <v>2047</v>
      </c>
      <c r="B1696" s="42"/>
      <c r="C1696" s="42"/>
      <c r="D1696" s="42"/>
      <c r="E1696" s="41"/>
      <c r="F1696" s="41"/>
      <c r="G1696" s="41"/>
      <c r="H1696" s="41"/>
      <c r="I1696" s="41"/>
      <c r="J1696" s="42"/>
      <c r="K1696" s="41"/>
      <c r="L1696" s="41"/>
      <c r="M1696" s="127"/>
      <c r="N1696" s="41"/>
      <c r="O1696" s="41"/>
      <c r="P1696" s="41"/>
      <c r="Q1696" s="42"/>
      <c r="R1696" s="35"/>
      <c r="S1696" s="35"/>
      <c r="T1696" s="35"/>
      <c r="U1696" s="35"/>
      <c r="V1696" s="121"/>
      <c r="W1696" s="42"/>
      <c r="X1696" s="42"/>
      <c r="Y1696" s="42"/>
      <c r="Z1696" s="42"/>
      <c r="AA1696" s="42"/>
      <c r="AB1696" s="42"/>
      <c r="AC1696" s="42"/>
      <c r="AD1696" s="42"/>
      <c r="AE1696" s="42"/>
      <c r="AF1696" s="42"/>
      <c r="AG1696" s="42"/>
      <c r="AH1696" s="42"/>
      <c r="AI1696" s="42"/>
      <c r="AJ1696" s="42"/>
      <c r="AK1696" s="42"/>
      <c r="AL1696" s="42"/>
      <c r="AM1696" s="42"/>
    </row>
    <row r="1697" spans="1:39" x14ac:dyDescent="0.25">
      <c r="A1697" s="38" t="s">
        <v>2048</v>
      </c>
      <c r="B1697" s="42"/>
      <c r="C1697" s="42"/>
      <c r="D1697" s="42"/>
      <c r="E1697" s="41"/>
      <c r="F1697" s="41"/>
      <c r="G1697" s="41"/>
      <c r="H1697" s="41"/>
      <c r="I1697" s="41"/>
      <c r="J1697" s="42"/>
      <c r="K1697" s="41"/>
      <c r="L1697" s="41"/>
      <c r="M1697" s="127"/>
      <c r="N1697" s="41"/>
      <c r="O1697" s="41"/>
      <c r="P1697" s="41"/>
      <c r="Q1697" s="42"/>
      <c r="R1697" s="35"/>
      <c r="S1697" s="35"/>
      <c r="T1697" s="35"/>
      <c r="U1697" s="35"/>
      <c r="V1697" s="121"/>
      <c r="W1697" s="42"/>
      <c r="X1697" s="42"/>
      <c r="Y1697" s="42"/>
      <c r="Z1697" s="42"/>
      <c r="AA1697" s="42"/>
      <c r="AB1697" s="42"/>
      <c r="AC1697" s="42"/>
      <c r="AD1697" s="42"/>
      <c r="AE1697" s="42"/>
      <c r="AF1697" s="42"/>
      <c r="AG1697" s="42"/>
      <c r="AH1697" s="42"/>
      <c r="AI1697" s="42"/>
      <c r="AJ1697" s="42"/>
      <c r="AK1697" s="42"/>
      <c r="AL1697" s="42"/>
      <c r="AM1697" s="42"/>
    </row>
    <row r="1698" spans="1:39" x14ac:dyDescent="0.25">
      <c r="A1698" s="38" t="s">
        <v>2049</v>
      </c>
      <c r="B1698" s="42"/>
      <c r="C1698" s="42"/>
      <c r="D1698" s="42"/>
      <c r="E1698" s="41"/>
      <c r="F1698" s="41"/>
      <c r="G1698" s="41"/>
      <c r="H1698" s="41"/>
      <c r="I1698" s="41"/>
      <c r="J1698" s="42"/>
      <c r="K1698" s="41"/>
      <c r="L1698" s="41"/>
      <c r="M1698" s="127"/>
      <c r="N1698" s="41"/>
      <c r="O1698" s="41"/>
      <c r="P1698" s="41"/>
      <c r="Q1698" s="42"/>
      <c r="R1698" s="35"/>
      <c r="S1698" s="35"/>
      <c r="T1698" s="35"/>
      <c r="U1698" s="35"/>
      <c r="V1698" s="121"/>
      <c r="W1698" s="42"/>
      <c r="X1698" s="42"/>
      <c r="Y1698" s="42"/>
      <c r="Z1698" s="42"/>
      <c r="AA1698" s="42"/>
      <c r="AB1698" s="42"/>
      <c r="AC1698" s="42"/>
      <c r="AD1698" s="42"/>
      <c r="AE1698" s="42"/>
      <c r="AF1698" s="42"/>
      <c r="AG1698" s="42"/>
      <c r="AH1698" s="42"/>
      <c r="AI1698" s="42"/>
      <c r="AJ1698" s="42"/>
      <c r="AK1698" s="42"/>
      <c r="AL1698" s="42"/>
      <c r="AM1698" s="42"/>
    </row>
    <row r="1699" spans="1:39" x14ac:dyDescent="0.25">
      <c r="A1699" s="38" t="s">
        <v>2050</v>
      </c>
      <c r="B1699" s="42"/>
      <c r="C1699" s="42"/>
      <c r="D1699" s="42"/>
      <c r="E1699" s="41"/>
      <c r="F1699" s="41"/>
      <c r="G1699" s="41"/>
      <c r="H1699" s="41"/>
      <c r="I1699" s="41"/>
      <c r="J1699" s="42"/>
      <c r="K1699" s="41"/>
      <c r="L1699" s="41"/>
      <c r="M1699" s="127"/>
      <c r="N1699" s="41"/>
      <c r="O1699" s="41"/>
      <c r="P1699" s="41"/>
      <c r="Q1699" s="42"/>
      <c r="R1699" s="35"/>
      <c r="S1699" s="35"/>
      <c r="T1699" s="35"/>
      <c r="U1699" s="35"/>
      <c r="V1699" s="121"/>
      <c r="W1699" s="42"/>
      <c r="X1699" s="42"/>
      <c r="Y1699" s="42"/>
      <c r="Z1699" s="42"/>
      <c r="AA1699" s="42"/>
      <c r="AB1699" s="42"/>
      <c r="AC1699" s="42"/>
      <c r="AD1699" s="42"/>
      <c r="AE1699" s="42"/>
      <c r="AF1699" s="42"/>
      <c r="AG1699" s="42"/>
      <c r="AH1699" s="42"/>
      <c r="AI1699" s="42"/>
      <c r="AJ1699" s="42"/>
      <c r="AK1699" s="42"/>
      <c r="AL1699" s="42"/>
      <c r="AM1699" s="42"/>
    </row>
    <row r="1700" spans="1:39" x14ac:dyDescent="0.25">
      <c r="A1700" s="38" t="s">
        <v>2051</v>
      </c>
      <c r="B1700" s="42"/>
      <c r="C1700" s="42"/>
      <c r="D1700" s="42"/>
      <c r="E1700" s="41"/>
      <c r="F1700" s="41"/>
      <c r="G1700" s="41"/>
      <c r="H1700" s="41"/>
      <c r="I1700" s="41"/>
      <c r="J1700" s="42"/>
      <c r="K1700" s="41"/>
      <c r="L1700" s="41"/>
      <c r="M1700" s="127"/>
      <c r="N1700" s="41"/>
      <c r="O1700" s="41"/>
      <c r="P1700" s="41"/>
      <c r="Q1700" s="42"/>
      <c r="R1700" s="35"/>
      <c r="S1700" s="35"/>
      <c r="T1700" s="35"/>
      <c r="U1700" s="35"/>
      <c r="V1700" s="121"/>
      <c r="W1700" s="42"/>
      <c r="X1700" s="42"/>
      <c r="Y1700" s="42"/>
      <c r="Z1700" s="42"/>
      <c r="AA1700" s="42"/>
      <c r="AB1700" s="42"/>
      <c r="AC1700" s="42"/>
      <c r="AD1700" s="42"/>
      <c r="AE1700" s="42"/>
      <c r="AF1700" s="42"/>
      <c r="AG1700" s="42"/>
      <c r="AH1700" s="42"/>
      <c r="AI1700" s="42"/>
      <c r="AJ1700" s="42"/>
      <c r="AK1700" s="42"/>
      <c r="AL1700" s="42"/>
      <c r="AM1700" s="42"/>
    </row>
    <row r="1701" spans="1:39" x14ac:dyDescent="0.25">
      <c r="A1701" s="38" t="s">
        <v>2052</v>
      </c>
      <c r="B1701" s="42"/>
      <c r="C1701" s="42"/>
      <c r="D1701" s="42"/>
      <c r="E1701" s="41"/>
      <c r="F1701" s="41"/>
      <c r="G1701" s="41"/>
      <c r="H1701" s="41"/>
      <c r="I1701" s="41"/>
      <c r="J1701" s="42"/>
      <c r="K1701" s="41"/>
      <c r="L1701" s="41"/>
      <c r="M1701" s="127"/>
      <c r="N1701" s="41"/>
      <c r="O1701" s="41"/>
      <c r="P1701" s="41"/>
      <c r="Q1701" s="42"/>
      <c r="R1701" s="35"/>
      <c r="S1701" s="35"/>
      <c r="T1701" s="35"/>
      <c r="U1701" s="35"/>
      <c r="V1701" s="121"/>
      <c r="W1701" s="42"/>
      <c r="X1701" s="42"/>
      <c r="Y1701" s="42"/>
      <c r="Z1701" s="42"/>
      <c r="AA1701" s="42"/>
      <c r="AB1701" s="42"/>
      <c r="AC1701" s="42"/>
      <c r="AD1701" s="42"/>
      <c r="AE1701" s="42"/>
      <c r="AF1701" s="42"/>
      <c r="AG1701" s="42"/>
      <c r="AH1701" s="42"/>
      <c r="AI1701" s="42"/>
      <c r="AJ1701" s="42"/>
      <c r="AK1701" s="42"/>
      <c r="AL1701" s="42"/>
      <c r="AM1701" s="42"/>
    </row>
    <row r="1702" spans="1:39" x14ac:dyDescent="0.25">
      <c r="A1702" s="38" t="s">
        <v>2053</v>
      </c>
      <c r="B1702" s="42"/>
      <c r="C1702" s="42"/>
      <c r="D1702" s="42"/>
      <c r="E1702" s="41"/>
      <c r="F1702" s="41"/>
      <c r="G1702" s="41"/>
      <c r="H1702" s="41"/>
      <c r="I1702" s="41"/>
      <c r="J1702" s="42"/>
      <c r="K1702" s="41"/>
      <c r="L1702" s="41"/>
      <c r="M1702" s="127"/>
      <c r="N1702" s="41"/>
      <c r="O1702" s="41"/>
      <c r="P1702" s="41"/>
      <c r="Q1702" s="42"/>
      <c r="R1702" s="35"/>
      <c r="S1702" s="35"/>
      <c r="T1702" s="35"/>
      <c r="U1702" s="35"/>
      <c r="V1702" s="121"/>
      <c r="W1702" s="42"/>
      <c r="X1702" s="42"/>
      <c r="Y1702" s="42"/>
      <c r="Z1702" s="42"/>
      <c r="AA1702" s="42"/>
      <c r="AB1702" s="42"/>
      <c r="AC1702" s="42"/>
      <c r="AD1702" s="42"/>
      <c r="AE1702" s="42"/>
      <c r="AF1702" s="42"/>
      <c r="AG1702" s="42"/>
      <c r="AH1702" s="42"/>
      <c r="AI1702" s="42"/>
      <c r="AJ1702" s="42"/>
      <c r="AK1702" s="42"/>
      <c r="AL1702" s="42"/>
      <c r="AM1702" s="42"/>
    </row>
    <row r="1703" spans="1:39" x14ac:dyDescent="0.25">
      <c r="A1703" s="38" t="s">
        <v>2054</v>
      </c>
      <c r="B1703" s="42"/>
      <c r="C1703" s="42"/>
      <c r="D1703" s="42"/>
      <c r="E1703" s="41"/>
      <c r="F1703" s="41"/>
      <c r="G1703" s="41"/>
      <c r="H1703" s="41"/>
      <c r="I1703" s="41"/>
      <c r="J1703" s="42"/>
      <c r="K1703" s="41"/>
      <c r="L1703" s="41"/>
      <c r="M1703" s="127"/>
      <c r="N1703" s="41"/>
      <c r="O1703" s="41"/>
      <c r="P1703" s="41"/>
      <c r="Q1703" s="42"/>
      <c r="R1703" s="35"/>
      <c r="S1703" s="35"/>
      <c r="T1703" s="35"/>
      <c r="U1703" s="35"/>
      <c r="V1703" s="121"/>
      <c r="W1703" s="42"/>
      <c r="X1703" s="42"/>
      <c r="Y1703" s="42"/>
      <c r="Z1703" s="42"/>
      <c r="AA1703" s="42"/>
      <c r="AB1703" s="42"/>
      <c r="AC1703" s="42"/>
      <c r="AD1703" s="42"/>
      <c r="AE1703" s="42"/>
      <c r="AF1703" s="42"/>
      <c r="AG1703" s="42"/>
      <c r="AH1703" s="42"/>
      <c r="AI1703" s="42"/>
      <c r="AJ1703" s="42"/>
      <c r="AK1703" s="42"/>
      <c r="AL1703" s="42"/>
      <c r="AM1703" s="42"/>
    </row>
    <row r="1704" spans="1:39" x14ac:dyDescent="0.25">
      <c r="A1704" s="38" t="s">
        <v>2055</v>
      </c>
      <c r="B1704" s="42"/>
      <c r="C1704" s="42"/>
      <c r="D1704" s="42"/>
      <c r="E1704" s="41"/>
      <c r="F1704" s="41"/>
      <c r="G1704" s="41"/>
      <c r="H1704" s="41"/>
      <c r="I1704" s="41"/>
      <c r="J1704" s="42"/>
      <c r="K1704" s="41"/>
      <c r="L1704" s="41"/>
      <c r="M1704" s="127"/>
      <c r="N1704" s="41"/>
      <c r="O1704" s="41"/>
      <c r="P1704" s="41"/>
      <c r="Q1704" s="42"/>
      <c r="R1704" s="35"/>
      <c r="S1704" s="35"/>
      <c r="T1704" s="35"/>
      <c r="U1704" s="35"/>
      <c r="V1704" s="121"/>
      <c r="W1704" s="42"/>
      <c r="X1704" s="42"/>
      <c r="Y1704" s="42"/>
      <c r="Z1704" s="42"/>
      <c r="AA1704" s="42"/>
      <c r="AB1704" s="42"/>
      <c r="AC1704" s="42"/>
      <c r="AD1704" s="42"/>
      <c r="AE1704" s="42"/>
      <c r="AF1704" s="42"/>
      <c r="AG1704" s="42"/>
      <c r="AH1704" s="42"/>
      <c r="AI1704" s="42"/>
      <c r="AJ1704" s="42"/>
      <c r="AK1704" s="42"/>
      <c r="AL1704" s="42"/>
      <c r="AM1704" s="42"/>
    </row>
    <row r="1705" spans="1:39" x14ac:dyDescent="0.25">
      <c r="A1705" s="38" t="s">
        <v>2056</v>
      </c>
      <c r="B1705" s="42"/>
      <c r="C1705" s="42"/>
      <c r="D1705" s="42"/>
      <c r="E1705" s="41"/>
      <c r="F1705" s="41"/>
      <c r="G1705" s="41"/>
      <c r="H1705" s="41"/>
      <c r="I1705" s="41"/>
      <c r="J1705" s="42"/>
      <c r="K1705" s="41"/>
      <c r="L1705" s="41"/>
      <c r="M1705" s="127"/>
      <c r="N1705" s="41"/>
      <c r="O1705" s="41"/>
      <c r="P1705" s="41"/>
      <c r="Q1705" s="42"/>
      <c r="R1705" s="35"/>
      <c r="S1705" s="35"/>
      <c r="T1705" s="35"/>
      <c r="U1705" s="35"/>
      <c r="V1705" s="121"/>
      <c r="W1705" s="42"/>
      <c r="X1705" s="42"/>
      <c r="Y1705" s="42"/>
      <c r="Z1705" s="42"/>
      <c r="AA1705" s="42"/>
      <c r="AB1705" s="42"/>
      <c r="AC1705" s="42"/>
      <c r="AD1705" s="42"/>
      <c r="AE1705" s="42"/>
      <c r="AF1705" s="42"/>
      <c r="AG1705" s="42"/>
      <c r="AH1705" s="42"/>
      <c r="AI1705" s="42"/>
      <c r="AJ1705" s="42"/>
      <c r="AK1705" s="42"/>
      <c r="AL1705" s="42"/>
      <c r="AM1705" s="42"/>
    </row>
    <row r="1706" spans="1:39" x14ac:dyDescent="0.25">
      <c r="A1706" s="38" t="s">
        <v>2057</v>
      </c>
      <c r="B1706" s="42"/>
      <c r="C1706" s="42"/>
      <c r="D1706" s="42"/>
      <c r="E1706" s="41"/>
      <c r="F1706" s="41"/>
      <c r="G1706" s="41"/>
      <c r="H1706" s="41"/>
      <c r="I1706" s="41"/>
      <c r="J1706" s="42"/>
      <c r="K1706" s="41"/>
      <c r="L1706" s="41"/>
      <c r="M1706" s="127"/>
      <c r="N1706" s="41"/>
      <c r="O1706" s="41"/>
      <c r="P1706" s="41"/>
      <c r="Q1706" s="42"/>
      <c r="R1706" s="35"/>
      <c r="S1706" s="35"/>
      <c r="T1706" s="35"/>
      <c r="U1706" s="35"/>
      <c r="V1706" s="121"/>
      <c r="W1706" s="42"/>
      <c r="X1706" s="42"/>
      <c r="Y1706" s="42"/>
      <c r="Z1706" s="42"/>
      <c r="AA1706" s="42"/>
      <c r="AB1706" s="42"/>
      <c r="AC1706" s="42"/>
      <c r="AD1706" s="42"/>
      <c r="AE1706" s="42"/>
      <c r="AF1706" s="42"/>
      <c r="AG1706" s="42"/>
      <c r="AH1706" s="42"/>
      <c r="AI1706" s="42"/>
      <c r="AJ1706" s="42"/>
      <c r="AK1706" s="42"/>
      <c r="AL1706" s="42"/>
      <c r="AM1706" s="42"/>
    </row>
    <row r="1707" spans="1:39" x14ac:dyDescent="0.25">
      <c r="A1707" s="38" t="s">
        <v>2058</v>
      </c>
      <c r="B1707" s="42"/>
      <c r="C1707" s="42"/>
      <c r="D1707" s="42"/>
      <c r="E1707" s="41"/>
      <c r="F1707" s="41"/>
      <c r="G1707" s="41"/>
      <c r="H1707" s="41"/>
      <c r="I1707" s="41"/>
      <c r="J1707" s="42"/>
      <c r="K1707" s="41"/>
      <c r="L1707" s="41"/>
      <c r="M1707" s="127"/>
      <c r="N1707" s="41"/>
      <c r="O1707" s="41"/>
      <c r="P1707" s="41"/>
      <c r="Q1707" s="42"/>
      <c r="R1707" s="35"/>
      <c r="S1707" s="35"/>
      <c r="T1707" s="35"/>
      <c r="U1707" s="35"/>
      <c r="V1707" s="121"/>
      <c r="W1707" s="42"/>
      <c r="X1707" s="42"/>
      <c r="Y1707" s="42"/>
      <c r="Z1707" s="42"/>
      <c r="AA1707" s="42"/>
      <c r="AB1707" s="42"/>
      <c r="AC1707" s="42"/>
      <c r="AD1707" s="42"/>
      <c r="AE1707" s="42"/>
      <c r="AF1707" s="42"/>
      <c r="AG1707" s="42"/>
      <c r="AH1707" s="42"/>
      <c r="AI1707" s="42"/>
      <c r="AJ1707" s="42"/>
      <c r="AK1707" s="42"/>
      <c r="AL1707" s="42"/>
      <c r="AM1707" s="42"/>
    </row>
    <row r="1708" spans="1:39" x14ac:dyDescent="0.25">
      <c r="A1708" s="38" t="s">
        <v>2059</v>
      </c>
      <c r="B1708" s="42"/>
      <c r="C1708" s="42"/>
      <c r="D1708" s="42"/>
      <c r="E1708" s="41"/>
      <c r="F1708" s="41"/>
      <c r="G1708" s="41"/>
      <c r="H1708" s="41"/>
      <c r="I1708" s="41"/>
      <c r="J1708" s="42"/>
      <c r="K1708" s="41"/>
      <c r="L1708" s="41"/>
      <c r="M1708" s="127"/>
      <c r="N1708" s="41"/>
      <c r="O1708" s="41"/>
      <c r="P1708" s="41"/>
      <c r="Q1708" s="42"/>
      <c r="R1708" s="35"/>
      <c r="S1708" s="35"/>
      <c r="T1708" s="35"/>
      <c r="U1708" s="35"/>
      <c r="V1708" s="121"/>
      <c r="W1708" s="42"/>
      <c r="X1708" s="42"/>
      <c r="Y1708" s="42"/>
      <c r="Z1708" s="42"/>
      <c r="AA1708" s="42"/>
      <c r="AB1708" s="42"/>
      <c r="AC1708" s="42"/>
      <c r="AD1708" s="42"/>
      <c r="AE1708" s="42"/>
      <c r="AF1708" s="42"/>
      <c r="AG1708" s="42"/>
      <c r="AH1708" s="42"/>
      <c r="AI1708" s="42"/>
      <c r="AJ1708" s="42"/>
      <c r="AK1708" s="42"/>
      <c r="AL1708" s="42"/>
      <c r="AM1708" s="42"/>
    </row>
    <row r="1709" spans="1:39" x14ac:dyDescent="0.25">
      <c r="A1709" s="38" t="s">
        <v>2060</v>
      </c>
      <c r="B1709" s="42"/>
      <c r="C1709" s="42"/>
      <c r="D1709" s="42"/>
      <c r="E1709" s="41"/>
      <c r="F1709" s="41"/>
      <c r="G1709" s="41"/>
      <c r="H1709" s="41"/>
      <c r="I1709" s="41"/>
      <c r="J1709" s="42"/>
      <c r="K1709" s="41"/>
      <c r="L1709" s="41"/>
      <c r="M1709" s="127"/>
      <c r="N1709" s="41"/>
      <c r="O1709" s="41"/>
      <c r="P1709" s="41"/>
      <c r="Q1709" s="42"/>
      <c r="R1709" s="35"/>
      <c r="S1709" s="35"/>
      <c r="T1709" s="35"/>
      <c r="U1709" s="35"/>
      <c r="V1709" s="121"/>
      <c r="W1709" s="42"/>
      <c r="X1709" s="42"/>
      <c r="Y1709" s="42"/>
      <c r="Z1709" s="42"/>
      <c r="AA1709" s="42"/>
      <c r="AB1709" s="42"/>
      <c r="AC1709" s="42"/>
      <c r="AD1709" s="42"/>
      <c r="AE1709" s="42"/>
      <c r="AF1709" s="42"/>
      <c r="AG1709" s="42"/>
      <c r="AH1709" s="42"/>
      <c r="AI1709" s="42"/>
      <c r="AJ1709" s="42"/>
      <c r="AK1709" s="42"/>
      <c r="AL1709" s="42"/>
      <c r="AM1709" s="42"/>
    </row>
    <row r="1710" spans="1:39" x14ac:dyDescent="0.25">
      <c r="A1710" s="38" t="s">
        <v>2061</v>
      </c>
      <c r="B1710" s="42"/>
      <c r="C1710" s="42"/>
      <c r="D1710" s="42"/>
      <c r="E1710" s="41"/>
      <c r="F1710" s="41"/>
      <c r="G1710" s="41"/>
      <c r="H1710" s="41"/>
      <c r="I1710" s="41"/>
      <c r="J1710" s="42"/>
      <c r="K1710" s="41"/>
      <c r="L1710" s="41"/>
      <c r="M1710" s="127"/>
      <c r="N1710" s="41"/>
      <c r="O1710" s="41"/>
      <c r="P1710" s="41"/>
      <c r="Q1710" s="42"/>
      <c r="R1710" s="35"/>
      <c r="S1710" s="35"/>
      <c r="T1710" s="35"/>
      <c r="U1710" s="35"/>
      <c r="V1710" s="121"/>
      <c r="W1710" s="42"/>
      <c r="X1710" s="42"/>
      <c r="Y1710" s="42"/>
      <c r="Z1710" s="42"/>
      <c r="AA1710" s="42"/>
      <c r="AB1710" s="42"/>
      <c r="AC1710" s="42"/>
      <c r="AD1710" s="42"/>
      <c r="AE1710" s="42"/>
      <c r="AF1710" s="42"/>
      <c r="AG1710" s="42"/>
      <c r="AH1710" s="42"/>
      <c r="AI1710" s="42"/>
      <c r="AJ1710" s="42"/>
      <c r="AK1710" s="42"/>
      <c r="AL1710" s="42"/>
      <c r="AM1710" s="42"/>
    </row>
    <row r="1711" spans="1:39" x14ac:dyDescent="0.25">
      <c r="A1711" s="38" t="s">
        <v>2062</v>
      </c>
      <c r="B1711" s="42"/>
      <c r="C1711" s="42"/>
      <c r="D1711" s="42"/>
      <c r="E1711" s="41"/>
      <c r="F1711" s="41"/>
      <c r="G1711" s="41"/>
      <c r="H1711" s="41"/>
      <c r="I1711" s="41"/>
      <c r="J1711" s="42"/>
      <c r="K1711" s="41"/>
      <c r="L1711" s="41"/>
      <c r="M1711" s="127"/>
      <c r="N1711" s="41"/>
      <c r="O1711" s="41"/>
      <c r="P1711" s="41"/>
      <c r="Q1711" s="42"/>
      <c r="R1711" s="35"/>
      <c r="S1711" s="35"/>
      <c r="T1711" s="35"/>
      <c r="U1711" s="35"/>
      <c r="V1711" s="121"/>
      <c r="W1711" s="42"/>
      <c r="X1711" s="42"/>
      <c r="Y1711" s="42"/>
      <c r="Z1711" s="42"/>
      <c r="AA1711" s="42"/>
      <c r="AB1711" s="42"/>
      <c r="AC1711" s="42"/>
      <c r="AD1711" s="42"/>
      <c r="AE1711" s="42"/>
      <c r="AF1711" s="42"/>
      <c r="AG1711" s="42"/>
      <c r="AH1711" s="42"/>
      <c r="AI1711" s="42"/>
      <c r="AJ1711" s="42"/>
      <c r="AK1711" s="42"/>
      <c r="AL1711" s="42"/>
      <c r="AM1711" s="42"/>
    </row>
    <row r="1712" spans="1:39" x14ac:dyDescent="0.25">
      <c r="A1712" s="38" t="s">
        <v>2063</v>
      </c>
      <c r="B1712" s="42"/>
      <c r="C1712" s="42"/>
      <c r="D1712" s="42"/>
      <c r="E1712" s="41"/>
      <c r="F1712" s="41"/>
      <c r="G1712" s="41"/>
      <c r="H1712" s="41"/>
      <c r="I1712" s="41"/>
      <c r="J1712" s="42"/>
      <c r="K1712" s="41"/>
      <c r="L1712" s="41"/>
      <c r="M1712" s="127"/>
      <c r="N1712" s="41"/>
      <c r="O1712" s="41"/>
      <c r="P1712" s="41"/>
      <c r="Q1712" s="42"/>
      <c r="R1712" s="35"/>
      <c r="S1712" s="35"/>
      <c r="T1712" s="35"/>
      <c r="U1712" s="35"/>
      <c r="V1712" s="121"/>
      <c r="W1712" s="42"/>
      <c r="X1712" s="42"/>
      <c r="Y1712" s="42"/>
      <c r="Z1712" s="42"/>
      <c r="AA1712" s="42"/>
      <c r="AB1712" s="42"/>
      <c r="AC1712" s="42"/>
      <c r="AD1712" s="42"/>
      <c r="AE1712" s="42"/>
      <c r="AF1712" s="42"/>
      <c r="AG1712" s="42"/>
      <c r="AH1712" s="42"/>
      <c r="AI1712" s="42"/>
      <c r="AJ1712" s="42"/>
      <c r="AK1712" s="42"/>
      <c r="AL1712" s="42"/>
      <c r="AM1712" s="42"/>
    </row>
    <row r="1713" spans="1:39" x14ac:dyDescent="0.25">
      <c r="A1713" s="38" t="s">
        <v>2064</v>
      </c>
      <c r="B1713" s="42"/>
      <c r="C1713" s="42"/>
      <c r="D1713" s="42"/>
      <c r="E1713" s="41"/>
      <c r="F1713" s="41"/>
      <c r="G1713" s="41"/>
      <c r="H1713" s="41"/>
      <c r="I1713" s="41"/>
      <c r="J1713" s="42"/>
      <c r="K1713" s="41"/>
      <c r="L1713" s="41"/>
      <c r="M1713" s="127"/>
      <c r="N1713" s="41"/>
      <c r="O1713" s="41"/>
      <c r="P1713" s="41"/>
      <c r="Q1713" s="42"/>
      <c r="R1713" s="35"/>
      <c r="S1713" s="35"/>
      <c r="T1713" s="35"/>
      <c r="U1713" s="35"/>
      <c r="V1713" s="121"/>
      <c r="W1713" s="42"/>
      <c r="X1713" s="42"/>
      <c r="Y1713" s="42"/>
      <c r="Z1713" s="42"/>
      <c r="AA1713" s="42"/>
      <c r="AB1713" s="42"/>
      <c r="AC1713" s="42"/>
      <c r="AD1713" s="42"/>
      <c r="AE1713" s="42"/>
      <c r="AF1713" s="42"/>
      <c r="AG1713" s="42"/>
      <c r="AH1713" s="42"/>
      <c r="AI1713" s="42"/>
      <c r="AJ1713" s="42"/>
      <c r="AK1713" s="42"/>
      <c r="AL1713" s="42"/>
      <c r="AM1713" s="42"/>
    </row>
    <row r="1714" spans="1:39" x14ac:dyDescent="0.25">
      <c r="A1714" s="38" t="s">
        <v>2065</v>
      </c>
      <c r="B1714" s="42"/>
      <c r="C1714" s="42"/>
      <c r="D1714" s="42"/>
      <c r="E1714" s="41"/>
      <c r="F1714" s="41"/>
      <c r="G1714" s="41"/>
      <c r="H1714" s="41"/>
      <c r="I1714" s="41"/>
      <c r="J1714" s="42"/>
      <c r="K1714" s="41"/>
      <c r="L1714" s="41"/>
      <c r="M1714" s="127"/>
      <c r="N1714" s="41"/>
      <c r="O1714" s="41"/>
      <c r="P1714" s="41"/>
      <c r="Q1714" s="42"/>
      <c r="R1714" s="35"/>
      <c r="S1714" s="35"/>
      <c r="T1714" s="35"/>
      <c r="U1714" s="35"/>
      <c r="V1714" s="121"/>
      <c r="W1714" s="42"/>
      <c r="X1714" s="42"/>
      <c r="Y1714" s="42"/>
      <c r="Z1714" s="42"/>
      <c r="AA1714" s="42"/>
      <c r="AB1714" s="42"/>
      <c r="AC1714" s="42"/>
      <c r="AD1714" s="42"/>
      <c r="AE1714" s="42"/>
      <c r="AF1714" s="42"/>
      <c r="AG1714" s="42"/>
      <c r="AH1714" s="42"/>
      <c r="AI1714" s="42"/>
      <c r="AJ1714" s="42"/>
      <c r="AK1714" s="42"/>
      <c r="AL1714" s="42"/>
      <c r="AM1714" s="42"/>
    </row>
    <row r="1715" spans="1:39" x14ac:dyDescent="0.25">
      <c r="A1715" s="38" t="s">
        <v>2066</v>
      </c>
      <c r="B1715" s="42"/>
      <c r="C1715" s="42"/>
      <c r="D1715" s="42"/>
      <c r="E1715" s="41"/>
      <c r="F1715" s="41"/>
      <c r="G1715" s="41"/>
      <c r="H1715" s="41"/>
      <c r="I1715" s="41"/>
      <c r="J1715" s="42"/>
      <c r="K1715" s="41"/>
      <c r="L1715" s="41"/>
      <c r="M1715" s="127"/>
      <c r="N1715" s="41"/>
      <c r="O1715" s="41"/>
      <c r="P1715" s="41"/>
      <c r="Q1715" s="42"/>
      <c r="R1715" s="35"/>
      <c r="S1715" s="35"/>
      <c r="T1715" s="35"/>
      <c r="U1715" s="35"/>
      <c r="V1715" s="121"/>
      <c r="W1715" s="42"/>
      <c r="X1715" s="42"/>
      <c r="Y1715" s="42"/>
      <c r="Z1715" s="42"/>
      <c r="AA1715" s="42"/>
      <c r="AB1715" s="42"/>
      <c r="AC1715" s="42"/>
      <c r="AD1715" s="42"/>
      <c r="AE1715" s="42"/>
      <c r="AF1715" s="42"/>
      <c r="AG1715" s="42"/>
      <c r="AH1715" s="42"/>
      <c r="AI1715" s="42"/>
      <c r="AJ1715" s="42"/>
      <c r="AK1715" s="42"/>
      <c r="AL1715" s="42"/>
      <c r="AM1715" s="42"/>
    </row>
    <row r="1716" spans="1:39" x14ac:dyDescent="0.25">
      <c r="A1716" s="38" t="s">
        <v>2067</v>
      </c>
      <c r="B1716" s="42"/>
      <c r="C1716" s="42"/>
      <c r="D1716" s="42"/>
      <c r="E1716" s="41"/>
      <c r="F1716" s="41"/>
      <c r="G1716" s="41"/>
      <c r="H1716" s="41"/>
      <c r="I1716" s="41"/>
      <c r="J1716" s="42"/>
      <c r="K1716" s="41"/>
      <c r="L1716" s="41"/>
      <c r="M1716" s="127"/>
      <c r="N1716" s="41"/>
      <c r="O1716" s="41"/>
      <c r="P1716" s="41"/>
      <c r="Q1716" s="42"/>
      <c r="R1716" s="35"/>
      <c r="S1716" s="35"/>
      <c r="T1716" s="35"/>
      <c r="U1716" s="35"/>
      <c r="V1716" s="121"/>
      <c r="W1716" s="42"/>
      <c r="X1716" s="42"/>
      <c r="Y1716" s="42"/>
      <c r="Z1716" s="42"/>
      <c r="AA1716" s="42"/>
      <c r="AB1716" s="42"/>
      <c r="AC1716" s="42"/>
      <c r="AD1716" s="42"/>
      <c r="AE1716" s="42"/>
      <c r="AF1716" s="42"/>
      <c r="AG1716" s="42"/>
      <c r="AH1716" s="42"/>
      <c r="AI1716" s="42"/>
      <c r="AJ1716" s="42"/>
      <c r="AK1716" s="42"/>
      <c r="AL1716" s="42"/>
      <c r="AM1716" s="42"/>
    </row>
    <row r="1717" spans="1:39" x14ac:dyDescent="0.25">
      <c r="A1717" s="38" t="s">
        <v>2068</v>
      </c>
      <c r="B1717" s="42"/>
      <c r="C1717" s="42"/>
      <c r="D1717" s="42"/>
      <c r="E1717" s="41"/>
      <c r="F1717" s="41"/>
      <c r="G1717" s="41"/>
      <c r="H1717" s="41"/>
      <c r="I1717" s="41"/>
      <c r="J1717" s="42"/>
      <c r="K1717" s="41"/>
      <c r="L1717" s="41"/>
      <c r="M1717" s="127"/>
      <c r="N1717" s="41"/>
      <c r="O1717" s="41"/>
      <c r="P1717" s="41"/>
      <c r="Q1717" s="42"/>
      <c r="R1717" s="35"/>
      <c r="S1717" s="35"/>
      <c r="T1717" s="35"/>
      <c r="U1717" s="35"/>
      <c r="V1717" s="121"/>
      <c r="W1717" s="42"/>
      <c r="X1717" s="42"/>
      <c r="Y1717" s="42"/>
      <c r="Z1717" s="42"/>
      <c r="AA1717" s="42"/>
      <c r="AB1717" s="42"/>
      <c r="AC1717" s="42"/>
      <c r="AD1717" s="42"/>
      <c r="AE1717" s="42"/>
      <c r="AF1717" s="42"/>
      <c r="AG1717" s="42"/>
      <c r="AH1717" s="42"/>
      <c r="AI1717" s="42"/>
      <c r="AJ1717" s="42"/>
      <c r="AK1717" s="42"/>
      <c r="AL1717" s="42"/>
      <c r="AM1717" s="42"/>
    </row>
    <row r="1718" spans="1:39" x14ac:dyDescent="0.25">
      <c r="A1718" s="38" t="s">
        <v>2069</v>
      </c>
      <c r="B1718" s="42"/>
      <c r="C1718" s="42"/>
      <c r="D1718" s="42"/>
      <c r="E1718" s="41"/>
      <c r="F1718" s="41"/>
      <c r="G1718" s="41"/>
      <c r="H1718" s="41"/>
      <c r="I1718" s="41"/>
      <c r="J1718" s="42"/>
      <c r="K1718" s="41"/>
      <c r="L1718" s="41"/>
      <c r="M1718" s="127"/>
      <c r="N1718" s="41"/>
      <c r="O1718" s="41"/>
      <c r="P1718" s="41"/>
      <c r="Q1718" s="42"/>
      <c r="R1718" s="35"/>
      <c r="S1718" s="35"/>
      <c r="T1718" s="35"/>
      <c r="U1718" s="35"/>
      <c r="V1718" s="121"/>
      <c r="W1718" s="42"/>
      <c r="X1718" s="42"/>
      <c r="Y1718" s="42"/>
      <c r="Z1718" s="42"/>
      <c r="AA1718" s="42"/>
      <c r="AB1718" s="42"/>
      <c r="AC1718" s="42"/>
      <c r="AD1718" s="42"/>
      <c r="AE1718" s="42"/>
      <c r="AF1718" s="42"/>
      <c r="AG1718" s="42"/>
      <c r="AH1718" s="42"/>
      <c r="AI1718" s="42"/>
      <c r="AJ1718" s="42"/>
      <c r="AK1718" s="42"/>
      <c r="AL1718" s="42"/>
      <c r="AM1718" s="42"/>
    </row>
    <row r="1719" spans="1:39" x14ac:dyDescent="0.25">
      <c r="A1719" s="38" t="s">
        <v>2070</v>
      </c>
      <c r="B1719" s="42"/>
      <c r="C1719" s="42"/>
      <c r="D1719" s="42"/>
      <c r="E1719" s="41"/>
      <c r="F1719" s="41"/>
      <c r="G1719" s="41"/>
      <c r="H1719" s="41"/>
      <c r="I1719" s="41"/>
      <c r="J1719" s="42"/>
      <c r="K1719" s="41"/>
      <c r="L1719" s="41"/>
      <c r="M1719" s="127"/>
      <c r="N1719" s="41"/>
      <c r="O1719" s="41"/>
      <c r="P1719" s="41"/>
      <c r="Q1719" s="42"/>
      <c r="R1719" s="35"/>
      <c r="S1719" s="35"/>
      <c r="T1719" s="35"/>
      <c r="U1719" s="35"/>
      <c r="V1719" s="121"/>
      <c r="W1719" s="42"/>
      <c r="X1719" s="42"/>
      <c r="Y1719" s="42"/>
      <c r="Z1719" s="42"/>
      <c r="AA1719" s="42"/>
      <c r="AB1719" s="42"/>
      <c r="AC1719" s="42"/>
      <c r="AD1719" s="42"/>
      <c r="AE1719" s="42"/>
      <c r="AF1719" s="42"/>
      <c r="AG1719" s="42"/>
      <c r="AH1719" s="42"/>
      <c r="AI1719" s="42"/>
      <c r="AJ1719" s="42"/>
      <c r="AK1719" s="42"/>
      <c r="AL1719" s="42"/>
      <c r="AM1719" s="42"/>
    </row>
    <row r="1720" spans="1:39" x14ac:dyDescent="0.25">
      <c r="A1720" s="38" t="s">
        <v>2071</v>
      </c>
      <c r="B1720" s="42"/>
      <c r="C1720" s="42"/>
      <c r="D1720" s="42"/>
      <c r="E1720" s="41"/>
      <c r="F1720" s="41"/>
      <c r="G1720" s="41"/>
      <c r="H1720" s="41"/>
      <c r="I1720" s="41"/>
      <c r="J1720" s="42"/>
      <c r="K1720" s="41"/>
      <c r="L1720" s="41"/>
      <c r="M1720" s="127"/>
      <c r="N1720" s="41"/>
      <c r="O1720" s="41"/>
      <c r="P1720" s="41"/>
      <c r="Q1720" s="42"/>
      <c r="R1720" s="35"/>
      <c r="S1720" s="35"/>
      <c r="T1720" s="35"/>
      <c r="U1720" s="35"/>
      <c r="V1720" s="121"/>
      <c r="W1720" s="42"/>
      <c r="X1720" s="42"/>
      <c r="Y1720" s="42"/>
      <c r="Z1720" s="42"/>
      <c r="AA1720" s="42"/>
      <c r="AB1720" s="42"/>
      <c r="AC1720" s="42"/>
      <c r="AD1720" s="42"/>
      <c r="AE1720" s="42"/>
      <c r="AF1720" s="42"/>
      <c r="AG1720" s="42"/>
      <c r="AH1720" s="42"/>
      <c r="AI1720" s="42"/>
      <c r="AJ1720" s="42"/>
      <c r="AK1720" s="42"/>
      <c r="AL1720" s="42"/>
      <c r="AM1720" s="42"/>
    </row>
    <row r="1721" spans="1:39" x14ac:dyDescent="0.25">
      <c r="A1721" s="38" t="s">
        <v>2072</v>
      </c>
      <c r="B1721" s="42"/>
      <c r="C1721" s="42"/>
      <c r="D1721" s="42"/>
      <c r="E1721" s="41"/>
      <c r="F1721" s="41"/>
      <c r="G1721" s="41"/>
      <c r="H1721" s="41"/>
      <c r="I1721" s="41"/>
      <c r="J1721" s="42"/>
      <c r="K1721" s="41"/>
      <c r="L1721" s="41"/>
      <c r="M1721" s="127"/>
      <c r="N1721" s="41"/>
      <c r="O1721" s="41"/>
      <c r="P1721" s="41"/>
      <c r="Q1721" s="42"/>
      <c r="R1721" s="35"/>
      <c r="S1721" s="35"/>
      <c r="T1721" s="35"/>
      <c r="U1721" s="35"/>
      <c r="V1721" s="121"/>
      <c r="W1721" s="42"/>
      <c r="X1721" s="42"/>
      <c r="Y1721" s="42"/>
      <c r="Z1721" s="42"/>
      <c r="AA1721" s="42"/>
      <c r="AB1721" s="42"/>
      <c r="AC1721" s="42"/>
      <c r="AD1721" s="42"/>
      <c r="AE1721" s="42"/>
      <c r="AF1721" s="42"/>
      <c r="AG1721" s="42"/>
      <c r="AH1721" s="42"/>
      <c r="AI1721" s="42"/>
      <c r="AJ1721" s="42"/>
      <c r="AK1721" s="42"/>
      <c r="AL1721" s="42"/>
      <c r="AM1721" s="42"/>
    </row>
    <row r="1722" spans="1:39" x14ac:dyDescent="0.25">
      <c r="A1722" s="38" t="s">
        <v>2073</v>
      </c>
      <c r="B1722" s="42"/>
      <c r="C1722" s="42"/>
      <c r="D1722" s="42"/>
      <c r="E1722" s="41"/>
      <c r="F1722" s="41"/>
      <c r="G1722" s="41"/>
      <c r="H1722" s="41"/>
      <c r="I1722" s="41"/>
      <c r="J1722" s="42"/>
      <c r="K1722" s="41"/>
      <c r="L1722" s="41"/>
      <c r="M1722" s="127"/>
      <c r="N1722" s="41"/>
      <c r="O1722" s="41"/>
      <c r="P1722" s="41"/>
      <c r="Q1722" s="42"/>
      <c r="R1722" s="35"/>
      <c r="S1722" s="35"/>
      <c r="T1722" s="35"/>
      <c r="U1722" s="35"/>
      <c r="V1722" s="121"/>
      <c r="W1722" s="42"/>
      <c r="X1722" s="42"/>
      <c r="Y1722" s="42"/>
      <c r="Z1722" s="42"/>
      <c r="AA1722" s="42"/>
      <c r="AB1722" s="42"/>
      <c r="AC1722" s="42"/>
      <c r="AD1722" s="42"/>
      <c r="AE1722" s="42"/>
      <c r="AF1722" s="42"/>
      <c r="AG1722" s="42"/>
      <c r="AH1722" s="42"/>
      <c r="AI1722" s="42"/>
      <c r="AJ1722" s="42"/>
      <c r="AK1722" s="42"/>
      <c r="AL1722" s="42"/>
      <c r="AM1722" s="42"/>
    </row>
    <row r="1723" spans="1:39" x14ac:dyDescent="0.25">
      <c r="A1723" s="38" t="s">
        <v>2074</v>
      </c>
      <c r="B1723" s="42"/>
      <c r="C1723" s="42"/>
      <c r="D1723" s="42"/>
      <c r="E1723" s="41"/>
      <c r="F1723" s="41"/>
      <c r="G1723" s="41"/>
      <c r="H1723" s="41"/>
      <c r="I1723" s="41"/>
      <c r="J1723" s="42"/>
      <c r="K1723" s="41"/>
      <c r="L1723" s="41"/>
      <c r="M1723" s="127"/>
      <c r="N1723" s="41"/>
      <c r="O1723" s="41"/>
      <c r="P1723" s="41"/>
      <c r="Q1723" s="42"/>
      <c r="R1723" s="35"/>
      <c r="S1723" s="35"/>
      <c r="T1723" s="35"/>
      <c r="U1723" s="35"/>
      <c r="V1723" s="121"/>
      <c r="W1723" s="42"/>
      <c r="X1723" s="42"/>
      <c r="Y1723" s="42"/>
      <c r="Z1723" s="42"/>
      <c r="AA1723" s="42"/>
      <c r="AB1723" s="42"/>
      <c r="AC1723" s="42"/>
      <c r="AD1723" s="42"/>
      <c r="AE1723" s="42"/>
      <c r="AF1723" s="42"/>
      <c r="AG1723" s="42"/>
      <c r="AH1723" s="42"/>
      <c r="AI1723" s="42"/>
      <c r="AJ1723" s="42"/>
      <c r="AK1723" s="42"/>
      <c r="AL1723" s="42"/>
      <c r="AM1723" s="42"/>
    </row>
    <row r="1724" spans="1:39" x14ac:dyDescent="0.25">
      <c r="A1724" s="38" t="s">
        <v>2075</v>
      </c>
      <c r="B1724" s="42"/>
      <c r="C1724" s="42"/>
      <c r="D1724" s="42"/>
      <c r="E1724" s="41"/>
      <c r="F1724" s="41"/>
      <c r="G1724" s="41"/>
      <c r="H1724" s="41"/>
      <c r="I1724" s="41"/>
      <c r="J1724" s="42"/>
      <c r="K1724" s="41"/>
      <c r="L1724" s="41"/>
      <c r="M1724" s="127"/>
      <c r="N1724" s="41"/>
      <c r="O1724" s="41"/>
      <c r="P1724" s="41"/>
      <c r="Q1724" s="42"/>
      <c r="R1724" s="35"/>
      <c r="S1724" s="35"/>
      <c r="T1724" s="35"/>
      <c r="U1724" s="35"/>
      <c r="V1724" s="121"/>
      <c r="W1724" s="42"/>
      <c r="X1724" s="42"/>
      <c r="Y1724" s="42"/>
      <c r="Z1724" s="42"/>
      <c r="AA1724" s="42"/>
      <c r="AB1724" s="42"/>
      <c r="AC1724" s="42"/>
      <c r="AD1724" s="42"/>
      <c r="AE1724" s="42"/>
      <c r="AF1724" s="42"/>
      <c r="AG1724" s="42"/>
      <c r="AH1724" s="42"/>
      <c r="AI1724" s="42"/>
      <c r="AJ1724" s="42"/>
      <c r="AK1724" s="42"/>
      <c r="AL1724" s="42"/>
      <c r="AM1724" s="42"/>
    </row>
    <row r="1725" spans="1:39" x14ac:dyDescent="0.25">
      <c r="A1725" s="38" t="s">
        <v>2076</v>
      </c>
      <c r="B1725" s="42"/>
      <c r="C1725" s="42"/>
      <c r="D1725" s="42"/>
      <c r="E1725" s="41"/>
      <c r="F1725" s="41"/>
      <c r="G1725" s="41"/>
      <c r="H1725" s="41"/>
      <c r="I1725" s="41"/>
      <c r="J1725" s="42"/>
      <c r="K1725" s="41"/>
      <c r="L1725" s="41"/>
      <c r="M1725" s="127"/>
      <c r="N1725" s="41"/>
      <c r="O1725" s="41"/>
      <c r="P1725" s="41"/>
      <c r="Q1725" s="42"/>
      <c r="R1725" s="35"/>
      <c r="S1725" s="35"/>
      <c r="T1725" s="35"/>
      <c r="U1725" s="35"/>
      <c r="V1725" s="121"/>
      <c r="W1725" s="42"/>
      <c r="X1725" s="42"/>
      <c r="Y1725" s="42"/>
      <c r="Z1725" s="42"/>
      <c r="AA1725" s="42"/>
      <c r="AB1725" s="42"/>
      <c r="AC1725" s="42"/>
      <c r="AD1725" s="42"/>
      <c r="AE1725" s="42"/>
      <c r="AF1725" s="42"/>
      <c r="AG1725" s="42"/>
      <c r="AH1725" s="42"/>
      <c r="AI1725" s="42"/>
      <c r="AJ1725" s="42"/>
      <c r="AK1725" s="42"/>
      <c r="AL1725" s="42"/>
      <c r="AM1725" s="42"/>
    </row>
    <row r="1726" spans="1:39" x14ac:dyDescent="0.25">
      <c r="A1726" s="38" t="s">
        <v>2077</v>
      </c>
      <c r="B1726" s="42"/>
      <c r="C1726" s="42"/>
      <c r="D1726" s="42"/>
      <c r="E1726" s="41"/>
      <c r="F1726" s="41"/>
      <c r="G1726" s="41"/>
      <c r="H1726" s="41"/>
      <c r="I1726" s="41"/>
      <c r="J1726" s="42"/>
      <c r="K1726" s="41"/>
      <c r="L1726" s="41"/>
      <c r="M1726" s="127"/>
      <c r="N1726" s="41"/>
      <c r="O1726" s="41"/>
      <c r="P1726" s="41"/>
      <c r="Q1726" s="42"/>
      <c r="R1726" s="35"/>
      <c r="S1726" s="35"/>
      <c r="T1726" s="35"/>
      <c r="U1726" s="35"/>
      <c r="V1726" s="121"/>
      <c r="W1726" s="42"/>
      <c r="X1726" s="42"/>
      <c r="Y1726" s="42"/>
      <c r="Z1726" s="42"/>
      <c r="AA1726" s="42"/>
      <c r="AB1726" s="42"/>
      <c r="AC1726" s="42"/>
      <c r="AD1726" s="42"/>
      <c r="AE1726" s="42"/>
      <c r="AF1726" s="42"/>
      <c r="AG1726" s="42"/>
      <c r="AH1726" s="42"/>
      <c r="AI1726" s="42"/>
      <c r="AJ1726" s="42"/>
      <c r="AK1726" s="42"/>
      <c r="AL1726" s="42"/>
      <c r="AM1726" s="42"/>
    </row>
    <row r="1727" spans="1:39" x14ac:dyDescent="0.25">
      <c r="A1727" s="38" t="s">
        <v>2078</v>
      </c>
      <c r="B1727" s="42"/>
      <c r="C1727" s="42"/>
      <c r="D1727" s="42"/>
      <c r="E1727" s="41"/>
      <c r="F1727" s="41"/>
      <c r="G1727" s="41"/>
      <c r="H1727" s="41"/>
      <c r="I1727" s="41"/>
      <c r="J1727" s="42"/>
      <c r="K1727" s="41"/>
      <c r="L1727" s="41"/>
      <c r="M1727" s="127"/>
      <c r="N1727" s="41"/>
      <c r="O1727" s="41"/>
      <c r="P1727" s="41"/>
      <c r="Q1727" s="42"/>
      <c r="R1727" s="35"/>
      <c r="S1727" s="35"/>
      <c r="T1727" s="35"/>
      <c r="U1727" s="35"/>
      <c r="V1727" s="121"/>
      <c r="W1727" s="42"/>
      <c r="X1727" s="42"/>
      <c r="Y1727" s="42"/>
      <c r="Z1727" s="42"/>
      <c r="AA1727" s="42"/>
      <c r="AB1727" s="42"/>
      <c r="AC1727" s="42"/>
      <c r="AD1727" s="42"/>
      <c r="AE1727" s="42"/>
      <c r="AF1727" s="42"/>
      <c r="AG1727" s="42"/>
      <c r="AH1727" s="42"/>
      <c r="AI1727" s="42"/>
      <c r="AJ1727" s="42"/>
      <c r="AK1727" s="42"/>
      <c r="AL1727" s="42"/>
      <c r="AM1727" s="42"/>
    </row>
    <row r="1728" spans="1:39" x14ac:dyDescent="0.25">
      <c r="A1728" s="38" t="s">
        <v>2079</v>
      </c>
      <c r="B1728" s="42"/>
      <c r="C1728" s="42"/>
      <c r="D1728" s="42"/>
      <c r="E1728" s="41"/>
      <c r="F1728" s="41"/>
      <c r="G1728" s="41"/>
      <c r="H1728" s="41"/>
      <c r="I1728" s="41"/>
      <c r="J1728" s="42"/>
      <c r="K1728" s="41"/>
      <c r="L1728" s="41"/>
      <c r="M1728" s="127"/>
      <c r="N1728" s="41"/>
      <c r="O1728" s="41"/>
      <c r="P1728" s="41"/>
      <c r="Q1728" s="42"/>
      <c r="R1728" s="35"/>
      <c r="S1728" s="35"/>
      <c r="T1728" s="35"/>
      <c r="U1728" s="35"/>
      <c r="V1728" s="121"/>
      <c r="W1728" s="42"/>
      <c r="X1728" s="42"/>
      <c r="Y1728" s="42"/>
      <c r="Z1728" s="42"/>
      <c r="AA1728" s="42"/>
      <c r="AB1728" s="42"/>
      <c r="AC1728" s="42"/>
      <c r="AD1728" s="42"/>
      <c r="AE1728" s="42"/>
      <c r="AF1728" s="42"/>
      <c r="AG1728" s="42"/>
      <c r="AH1728" s="42"/>
      <c r="AI1728" s="42"/>
      <c r="AJ1728" s="42"/>
      <c r="AK1728" s="42"/>
      <c r="AL1728" s="42"/>
      <c r="AM1728" s="42"/>
    </row>
    <row r="1729" spans="1:39" x14ac:dyDescent="0.25">
      <c r="A1729" s="38" t="s">
        <v>2080</v>
      </c>
      <c r="B1729" s="42"/>
      <c r="C1729" s="42"/>
      <c r="D1729" s="42"/>
      <c r="E1729" s="41"/>
      <c r="F1729" s="41"/>
      <c r="G1729" s="41"/>
      <c r="H1729" s="41"/>
      <c r="I1729" s="41"/>
      <c r="J1729" s="42"/>
      <c r="K1729" s="41"/>
      <c r="L1729" s="41"/>
      <c r="M1729" s="127"/>
      <c r="N1729" s="41"/>
      <c r="O1729" s="41"/>
      <c r="P1729" s="41"/>
      <c r="Q1729" s="42"/>
      <c r="R1729" s="35"/>
      <c r="S1729" s="35"/>
      <c r="T1729" s="35"/>
      <c r="U1729" s="35"/>
      <c r="V1729" s="121"/>
      <c r="W1729" s="42"/>
      <c r="X1729" s="42"/>
      <c r="Y1729" s="42"/>
      <c r="Z1729" s="42"/>
      <c r="AA1729" s="42"/>
      <c r="AB1729" s="42"/>
      <c r="AC1729" s="42"/>
      <c r="AD1729" s="42"/>
      <c r="AE1729" s="42"/>
      <c r="AF1729" s="42"/>
      <c r="AG1729" s="42"/>
      <c r="AH1729" s="42"/>
      <c r="AI1729" s="42"/>
      <c r="AJ1729" s="42"/>
      <c r="AK1729" s="42"/>
      <c r="AL1729" s="42"/>
      <c r="AM1729" s="42"/>
    </row>
    <row r="1730" spans="1:39" x14ac:dyDescent="0.25">
      <c r="A1730" s="38" t="s">
        <v>2081</v>
      </c>
      <c r="B1730" s="42"/>
      <c r="C1730" s="42"/>
      <c r="D1730" s="42"/>
      <c r="E1730" s="41"/>
      <c r="F1730" s="41"/>
      <c r="G1730" s="41"/>
      <c r="H1730" s="41"/>
      <c r="I1730" s="41"/>
      <c r="J1730" s="42"/>
      <c r="K1730" s="41"/>
      <c r="L1730" s="41"/>
      <c r="M1730" s="127"/>
      <c r="N1730" s="41"/>
      <c r="O1730" s="41"/>
      <c r="P1730" s="41"/>
      <c r="Q1730" s="42"/>
      <c r="R1730" s="35"/>
      <c r="S1730" s="35"/>
      <c r="T1730" s="35"/>
      <c r="U1730" s="35"/>
      <c r="V1730" s="121"/>
      <c r="W1730" s="42"/>
      <c r="X1730" s="42"/>
      <c r="Y1730" s="42"/>
      <c r="Z1730" s="42"/>
      <c r="AA1730" s="42"/>
      <c r="AB1730" s="42"/>
      <c r="AC1730" s="42"/>
      <c r="AD1730" s="42"/>
      <c r="AE1730" s="42"/>
      <c r="AF1730" s="42"/>
      <c r="AG1730" s="42"/>
      <c r="AH1730" s="42"/>
      <c r="AI1730" s="42"/>
      <c r="AJ1730" s="42"/>
      <c r="AK1730" s="42"/>
      <c r="AL1730" s="42"/>
      <c r="AM1730" s="42"/>
    </row>
    <row r="1731" spans="1:39" x14ac:dyDescent="0.25">
      <c r="A1731" s="38" t="s">
        <v>2082</v>
      </c>
      <c r="B1731" s="42"/>
      <c r="C1731" s="42"/>
      <c r="D1731" s="42"/>
      <c r="E1731" s="41"/>
      <c r="F1731" s="41"/>
      <c r="G1731" s="41"/>
      <c r="H1731" s="41"/>
      <c r="I1731" s="41"/>
      <c r="J1731" s="42"/>
      <c r="K1731" s="41"/>
      <c r="L1731" s="41"/>
      <c r="M1731" s="127"/>
      <c r="N1731" s="41"/>
      <c r="O1731" s="41"/>
      <c r="P1731" s="41"/>
      <c r="Q1731" s="42"/>
      <c r="R1731" s="35"/>
      <c r="S1731" s="35"/>
      <c r="T1731" s="35"/>
      <c r="U1731" s="35"/>
      <c r="V1731" s="121"/>
      <c r="W1731" s="42"/>
      <c r="X1731" s="42"/>
      <c r="Y1731" s="42"/>
      <c r="Z1731" s="42"/>
      <c r="AA1731" s="42"/>
      <c r="AB1731" s="42"/>
      <c r="AC1731" s="42"/>
      <c r="AD1731" s="42"/>
      <c r="AE1731" s="42"/>
      <c r="AF1731" s="42"/>
      <c r="AG1731" s="42"/>
      <c r="AH1731" s="42"/>
      <c r="AI1731" s="42"/>
      <c r="AJ1731" s="42"/>
      <c r="AK1731" s="42"/>
      <c r="AL1731" s="42"/>
      <c r="AM1731" s="42"/>
    </row>
    <row r="1732" spans="1:39" x14ac:dyDescent="0.25">
      <c r="A1732" s="38" t="s">
        <v>2083</v>
      </c>
      <c r="B1732" s="42"/>
      <c r="C1732" s="42"/>
      <c r="D1732" s="42"/>
      <c r="E1732" s="41"/>
      <c r="F1732" s="41"/>
      <c r="G1732" s="41"/>
      <c r="H1732" s="41"/>
      <c r="I1732" s="41"/>
      <c r="J1732" s="42"/>
      <c r="K1732" s="41"/>
      <c r="L1732" s="41"/>
      <c r="M1732" s="127"/>
      <c r="N1732" s="41"/>
      <c r="O1732" s="41"/>
      <c r="P1732" s="41"/>
      <c r="Q1732" s="42"/>
      <c r="R1732" s="35"/>
      <c r="S1732" s="35"/>
      <c r="T1732" s="35"/>
      <c r="U1732" s="35"/>
      <c r="V1732" s="121"/>
      <c r="W1732" s="42"/>
      <c r="X1732" s="42"/>
      <c r="Y1732" s="42"/>
      <c r="Z1732" s="42"/>
      <c r="AA1732" s="42"/>
      <c r="AB1732" s="42"/>
      <c r="AC1732" s="42"/>
      <c r="AD1732" s="42"/>
      <c r="AE1732" s="42"/>
      <c r="AF1732" s="42"/>
      <c r="AG1732" s="42"/>
      <c r="AH1732" s="42"/>
      <c r="AI1732" s="42"/>
      <c r="AJ1732" s="42"/>
      <c r="AK1732" s="42"/>
      <c r="AL1732" s="42"/>
      <c r="AM1732" s="42"/>
    </row>
    <row r="1733" spans="1:39" x14ac:dyDescent="0.25">
      <c r="A1733" s="38" t="s">
        <v>2084</v>
      </c>
      <c r="B1733" s="42"/>
      <c r="C1733" s="42"/>
      <c r="D1733" s="42"/>
      <c r="E1733" s="41"/>
      <c r="F1733" s="41"/>
      <c r="G1733" s="41"/>
      <c r="H1733" s="41"/>
      <c r="I1733" s="41"/>
      <c r="J1733" s="42"/>
      <c r="K1733" s="41"/>
      <c r="L1733" s="41"/>
      <c r="M1733" s="127"/>
      <c r="N1733" s="41"/>
      <c r="O1733" s="41"/>
      <c r="P1733" s="41"/>
      <c r="Q1733" s="42"/>
      <c r="R1733" s="35"/>
      <c r="S1733" s="35"/>
      <c r="T1733" s="35"/>
      <c r="U1733" s="35"/>
      <c r="V1733" s="121"/>
      <c r="W1733" s="42"/>
      <c r="X1733" s="42"/>
      <c r="Y1733" s="42"/>
      <c r="Z1733" s="42"/>
      <c r="AA1733" s="42"/>
      <c r="AB1733" s="42"/>
      <c r="AC1733" s="42"/>
      <c r="AD1733" s="42"/>
      <c r="AE1733" s="42"/>
      <c r="AF1733" s="42"/>
      <c r="AG1733" s="42"/>
      <c r="AH1733" s="42"/>
      <c r="AI1733" s="42"/>
      <c r="AJ1733" s="42"/>
      <c r="AK1733" s="42"/>
      <c r="AL1733" s="42"/>
      <c r="AM1733" s="42"/>
    </row>
    <row r="1734" spans="1:39" x14ac:dyDescent="0.25">
      <c r="A1734" s="38" t="s">
        <v>2085</v>
      </c>
      <c r="B1734" s="42"/>
      <c r="C1734" s="42"/>
      <c r="D1734" s="42"/>
      <c r="E1734" s="41"/>
      <c r="F1734" s="41"/>
      <c r="G1734" s="41"/>
      <c r="H1734" s="41"/>
      <c r="I1734" s="41"/>
      <c r="J1734" s="42"/>
      <c r="K1734" s="41"/>
      <c r="L1734" s="41"/>
      <c r="M1734" s="127"/>
      <c r="N1734" s="41"/>
      <c r="O1734" s="41"/>
      <c r="P1734" s="41"/>
      <c r="Q1734" s="42"/>
      <c r="R1734" s="35"/>
      <c r="S1734" s="35"/>
      <c r="T1734" s="35"/>
      <c r="U1734" s="35"/>
      <c r="V1734" s="121"/>
      <c r="W1734" s="42"/>
      <c r="X1734" s="42"/>
      <c r="Y1734" s="42"/>
      <c r="Z1734" s="42"/>
      <c r="AA1734" s="42"/>
      <c r="AB1734" s="42"/>
      <c r="AC1734" s="42"/>
      <c r="AD1734" s="42"/>
      <c r="AE1734" s="42"/>
      <c r="AF1734" s="42"/>
      <c r="AG1734" s="42"/>
      <c r="AH1734" s="42"/>
      <c r="AI1734" s="42"/>
      <c r="AJ1734" s="42"/>
      <c r="AK1734" s="42"/>
      <c r="AL1734" s="42"/>
      <c r="AM1734" s="42"/>
    </row>
    <row r="1735" spans="1:39" x14ac:dyDescent="0.25">
      <c r="A1735" s="38" t="s">
        <v>2086</v>
      </c>
      <c r="B1735" s="42"/>
      <c r="C1735" s="42"/>
      <c r="D1735" s="42"/>
      <c r="E1735" s="41"/>
      <c r="F1735" s="41"/>
      <c r="G1735" s="41"/>
      <c r="H1735" s="41"/>
      <c r="I1735" s="41"/>
      <c r="J1735" s="42"/>
      <c r="K1735" s="41"/>
      <c r="L1735" s="41"/>
      <c r="M1735" s="127"/>
      <c r="N1735" s="41"/>
      <c r="O1735" s="41"/>
      <c r="P1735" s="41"/>
      <c r="Q1735" s="42"/>
      <c r="R1735" s="35"/>
      <c r="S1735" s="35"/>
      <c r="T1735" s="35"/>
      <c r="U1735" s="35"/>
      <c r="V1735" s="121"/>
      <c r="W1735" s="42"/>
      <c r="X1735" s="42"/>
      <c r="Y1735" s="42"/>
      <c r="Z1735" s="42"/>
      <c r="AA1735" s="42"/>
      <c r="AB1735" s="42"/>
      <c r="AC1735" s="42"/>
      <c r="AD1735" s="42"/>
      <c r="AE1735" s="42"/>
      <c r="AF1735" s="42"/>
      <c r="AG1735" s="42"/>
      <c r="AH1735" s="42"/>
      <c r="AI1735" s="42"/>
      <c r="AJ1735" s="42"/>
      <c r="AK1735" s="42"/>
      <c r="AL1735" s="42"/>
      <c r="AM1735" s="42"/>
    </row>
    <row r="1736" spans="1:39" x14ac:dyDescent="0.25">
      <c r="A1736" s="38" t="s">
        <v>2087</v>
      </c>
      <c r="B1736" s="42"/>
      <c r="C1736" s="42"/>
      <c r="D1736" s="42"/>
      <c r="E1736" s="41"/>
      <c r="F1736" s="41"/>
      <c r="G1736" s="41"/>
      <c r="H1736" s="41"/>
      <c r="I1736" s="41"/>
      <c r="J1736" s="42"/>
      <c r="K1736" s="41"/>
      <c r="L1736" s="41"/>
      <c r="M1736" s="127"/>
      <c r="N1736" s="41"/>
      <c r="O1736" s="41"/>
      <c r="P1736" s="41"/>
      <c r="Q1736" s="42"/>
      <c r="R1736" s="35"/>
      <c r="S1736" s="35"/>
      <c r="T1736" s="35"/>
      <c r="U1736" s="35"/>
      <c r="V1736" s="121"/>
      <c r="W1736" s="42"/>
      <c r="X1736" s="42"/>
      <c r="Y1736" s="42"/>
      <c r="Z1736" s="42"/>
      <c r="AA1736" s="42"/>
      <c r="AB1736" s="42"/>
      <c r="AC1736" s="42"/>
      <c r="AD1736" s="42"/>
      <c r="AE1736" s="42"/>
      <c r="AF1736" s="42"/>
      <c r="AG1736" s="42"/>
      <c r="AH1736" s="42"/>
      <c r="AI1736" s="42"/>
      <c r="AJ1736" s="42"/>
      <c r="AK1736" s="42"/>
      <c r="AL1736" s="42"/>
      <c r="AM1736" s="42"/>
    </row>
    <row r="1737" spans="1:39" x14ac:dyDescent="0.25">
      <c r="A1737" s="38" t="s">
        <v>2088</v>
      </c>
      <c r="B1737" s="42"/>
      <c r="C1737" s="42"/>
      <c r="D1737" s="42"/>
      <c r="E1737" s="41"/>
      <c r="F1737" s="41"/>
      <c r="G1737" s="41"/>
      <c r="H1737" s="41"/>
      <c r="I1737" s="41"/>
      <c r="J1737" s="42"/>
      <c r="K1737" s="41"/>
      <c r="L1737" s="41"/>
      <c r="M1737" s="127"/>
      <c r="N1737" s="41"/>
      <c r="O1737" s="41"/>
      <c r="P1737" s="41"/>
      <c r="Q1737" s="42"/>
      <c r="R1737" s="35"/>
      <c r="S1737" s="35"/>
      <c r="T1737" s="35"/>
      <c r="U1737" s="35"/>
      <c r="V1737" s="121"/>
      <c r="W1737" s="42"/>
      <c r="X1737" s="42"/>
      <c r="Y1737" s="42"/>
      <c r="Z1737" s="42"/>
      <c r="AA1737" s="42"/>
      <c r="AB1737" s="42"/>
      <c r="AC1737" s="42"/>
      <c r="AD1737" s="42"/>
      <c r="AE1737" s="42"/>
      <c r="AF1737" s="42"/>
      <c r="AG1737" s="42"/>
      <c r="AH1737" s="42"/>
      <c r="AI1737" s="42"/>
      <c r="AJ1737" s="42"/>
      <c r="AK1737" s="42"/>
      <c r="AL1737" s="42"/>
      <c r="AM1737" s="42"/>
    </row>
    <row r="1738" spans="1:39" x14ac:dyDescent="0.25">
      <c r="A1738" s="38" t="s">
        <v>2089</v>
      </c>
      <c r="B1738" s="42"/>
      <c r="C1738" s="42"/>
      <c r="D1738" s="42"/>
      <c r="E1738" s="41"/>
      <c r="F1738" s="41"/>
      <c r="G1738" s="41"/>
      <c r="H1738" s="41"/>
      <c r="I1738" s="41"/>
      <c r="J1738" s="42"/>
      <c r="K1738" s="41"/>
      <c r="L1738" s="41"/>
      <c r="M1738" s="127"/>
      <c r="N1738" s="41"/>
      <c r="O1738" s="41"/>
      <c r="P1738" s="41"/>
      <c r="Q1738" s="42"/>
      <c r="R1738" s="35"/>
      <c r="S1738" s="35"/>
      <c r="T1738" s="35"/>
      <c r="U1738" s="35"/>
      <c r="V1738" s="121"/>
      <c r="W1738" s="42"/>
      <c r="X1738" s="42"/>
      <c r="Y1738" s="42"/>
      <c r="Z1738" s="42"/>
      <c r="AA1738" s="42"/>
      <c r="AB1738" s="42"/>
      <c r="AC1738" s="42"/>
      <c r="AD1738" s="42"/>
      <c r="AE1738" s="42"/>
      <c r="AF1738" s="42"/>
      <c r="AG1738" s="42"/>
      <c r="AH1738" s="42"/>
      <c r="AI1738" s="42"/>
      <c r="AJ1738" s="42"/>
      <c r="AK1738" s="42"/>
      <c r="AL1738" s="42"/>
      <c r="AM1738" s="42"/>
    </row>
    <row r="1739" spans="1:39" x14ac:dyDescent="0.25">
      <c r="A1739" s="38" t="s">
        <v>2090</v>
      </c>
      <c r="B1739" s="42"/>
      <c r="C1739" s="42"/>
      <c r="D1739" s="42"/>
      <c r="E1739" s="41"/>
      <c r="F1739" s="41"/>
      <c r="G1739" s="41"/>
      <c r="H1739" s="41"/>
      <c r="I1739" s="41"/>
      <c r="J1739" s="42"/>
      <c r="K1739" s="41"/>
      <c r="L1739" s="41"/>
      <c r="M1739" s="127"/>
      <c r="N1739" s="41"/>
      <c r="O1739" s="41"/>
      <c r="P1739" s="41"/>
      <c r="Q1739" s="42"/>
      <c r="R1739" s="35"/>
      <c r="S1739" s="35"/>
      <c r="T1739" s="35"/>
      <c r="U1739" s="35"/>
      <c r="V1739" s="121"/>
      <c r="W1739" s="42"/>
      <c r="X1739" s="42"/>
      <c r="Y1739" s="42"/>
      <c r="Z1739" s="42"/>
      <c r="AA1739" s="42"/>
      <c r="AB1739" s="42"/>
      <c r="AC1739" s="42"/>
      <c r="AD1739" s="42"/>
      <c r="AE1739" s="42"/>
      <c r="AF1739" s="42"/>
      <c r="AG1739" s="42"/>
      <c r="AH1739" s="42"/>
      <c r="AI1739" s="42"/>
      <c r="AJ1739" s="42"/>
      <c r="AK1739" s="42"/>
      <c r="AL1739" s="42"/>
      <c r="AM1739" s="42"/>
    </row>
    <row r="1740" spans="1:39" x14ac:dyDescent="0.25">
      <c r="A1740" s="38" t="s">
        <v>2091</v>
      </c>
      <c r="B1740" s="42"/>
      <c r="C1740" s="42"/>
      <c r="D1740" s="42"/>
      <c r="E1740" s="41"/>
      <c r="F1740" s="41"/>
      <c r="G1740" s="41"/>
      <c r="H1740" s="41"/>
      <c r="I1740" s="41"/>
      <c r="J1740" s="42"/>
      <c r="K1740" s="41"/>
      <c r="L1740" s="41"/>
      <c r="M1740" s="127"/>
      <c r="N1740" s="41"/>
      <c r="O1740" s="41"/>
      <c r="P1740" s="41"/>
      <c r="Q1740" s="42"/>
      <c r="R1740" s="35"/>
      <c r="S1740" s="35"/>
      <c r="T1740" s="35"/>
      <c r="U1740" s="35"/>
      <c r="V1740" s="121"/>
      <c r="W1740" s="42"/>
      <c r="X1740" s="42"/>
      <c r="Y1740" s="42"/>
      <c r="Z1740" s="42"/>
      <c r="AA1740" s="42"/>
      <c r="AB1740" s="42"/>
      <c r="AC1740" s="42"/>
      <c r="AD1740" s="42"/>
      <c r="AE1740" s="42"/>
      <c r="AF1740" s="42"/>
      <c r="AG1740" s="42"/>
      <c r="AH1740" s="42"/>
      <c r="AI1740" s="42"/>
      <c r="AJ1740" s="42"/>
      <c r="AK1740" s="42"/>
      <c r="AL1740" s="42"/>
      <c r="AM1740" s="42"/>
    </row>
    <row r="1741" spans="1:39" x14ac:dyDescent="0.25">
      <c r="A1741" s="38" t="s">
        <v>2092</v>
      </c>
      <c r="B1741" s="42"/>
      <c r="C1741" s="42"/>
      <c r="D1741" s="42"/>
      <c r="E1741" s="41"/>
      <c r="F1741" s="41"/>
      <c r="G1741" s="41"/>
      <c r="H1741" s="41"/>
      <c r="I1741" s="41"/>
      <c r="J1741" s="42"/>
      <c r="K1741" s="41"/>
      <c r="L1741" s="41"/>
      <c r="M1741" s="127"/>
      <c r="N1741" s="41"/>
      <c r="O1741" s="41"/>
      <c r="P1741" s="41"/>
      <c r="Q1741" s="42"/>
      <c r="R1741" s="35"/>
      <c r="S1741" s="35"/>
      <c r="T1741" s="35"/>
      <c r="U1741" s="35"/>
      <c r="V1741" s="121"/>
      <c r="W1741" s="42"/>
      <c r="X1741" s="42"/>
      <c r="Y1741" s="42"/>
      <c r="Z1741" s="42"/>
      <c r="AA1741" s="42"/>
      <c r="AB1741" s="42"/>
      <c r="AC1741" s="42"/>
      <c r="AD1741" s="42"/>
      <c r="AE1741" s="42"/>
      <c r="AF1741" s="42"/>
      <c r="AG1741" s="42"/>
      <c r="AH1741" s="42"/>
      <c r="AI1741" s="42"/>
      <c r="AJ1741" s="42"/>
      <c r="AK1741" s="42"/>
      <c r="AL1741" s="42"/>
      <c r="AM1741" s="42"/>
    </row>
    <row r="1742" spans="1:39" x14ac:dyDescent="0.25">
      <c r="A1742" s="38" t="s">
        <v>2093</v>
      </c>
      <c r="B1742" s="42"/>
      <c r="C1742" s="42"/>
      <c r="D1742" s="42"/>
      <c r="E1742" s="41"/>
      <c r="F1742" s="41"/>
      <c r="G1742" s="41"/>
      <c r="H1742" s="41"/>
      <c r="I1742" s="41"/>
      <c r="J1742" s="42"/>
      <c r="K1742" s="41"/>
      <c r="L1742" s="41"/>
      <c r="M1742" s="127"/>
      <c r="N1742" s="41"/>
      <c r="O1742" s="41"/>
      <c r="P1742" s="41"/>
      <c r="Q1742" s="42"/>
      <c r="R1742" s="35"/>
      <c r="S1742" s="35"/>
      <c r="T1742" s="35"/>
      <c r="U1742" s="35"/>
      <c r="V1742" s="121"/>
      <c r="W1742" s="42"/>
      <c r="X1742" s="42"/>
      <c r="Y1742" s="42"/>
      <c r="Z1742" s="42"/>
      <c r="AA1742" s="42"/>
      <c r="AB1742" s="42"/>
      <c r="AC1742" s="42"/>
      <c r="AD1742" s="42"/>
      <c r="AE1742" s="42"/>
      <c r="AF1742" s="42"/>
      <c r="AG1742" s="42"/>
      <c r="AH1742" s="42"/>
      <c r="AI1742" s="42"/>
      <c r="AJ1742" s="42"/>
      <c r="AK1742" s="42"/>
      <c r="AL1742" s="42"/>
      <c r="AM1742" s="42"/>
    </row>
    <row r="1743" spans="1:39" x14ac:dyDescent="0.25">
      <c r="A1743" s="38" t="s">
        <v>2094</v>
      </c>
      <c r="B1743" s="42"/>
      <c r="C1743" s="42"/>
      <c r="D1743" s="42"/>
      <c r="E1743" s="41"/>
      <c r="F1743" s="41"/>
      <c r="G1743" s="41"/>
      <c r="H1743" s="41"/>
      <c r="I1743" s="41"/>
      <c r="J1743" s="42"/>
      <c r="K1743" s="41"/>
      <c r="L1743" s="41"/>
      <c r="M1743" s="127"/>
      <c r="N1743" s="41"/>
      <c r="O1743" s="41"/>
      <c r="P1743" s="41"/>
      <c r="Q1743" s="42"/>
      <c r="R1743" s="35"/>
      <c r="S1743" s="35"/>
      <c r="T1743" s="35"/>
      <c r="U1743" s="35"/>
      <c r="V1743" s="121"/>
      <c r="W1743" s="42"/>
      <c r="X1743" s="42"/>
      <c r="Y1743" s="42"/>
      <c r="Z1743" s="42"/>
      <c r="AA1743" s="42"/>
      <c r="AB1743" s="42"/>
      <c r="AC1743" s="42"/>
      <c r="AD1743" s="42"/>
      <c r="AE1743" s="42"/>
      <c r="AF1743" s="42"/>
      <c r="AG1743" s="42"/>
      <c r="AH1743" s="42"/>
      <c r="AI1743" s="42"/>
      <c r="AJ1743" s="42"/>
      <c r="AK1743" s="42"/>
      <c r="AL1743" s="42"/>
      <c r="AM1743" s="42"/>
    </row>
    <row r="1744" spans="1:39" x14ac:dyDescent="0.25">
      <c r="A1744" s="38" t="s">
        <v>2095</v>
      </c>
      <c r="B1744" s="42"/>
      <c r="C1744" s="42"/>
      <c r="D1744" s="42"/>
      <c r="E1744" s="41"/>
      <c r="F1744" s="41"/>
      <c r="G1744" s="41"/>
      <c r="H1744" s="41"/>
      <c r="I1744" s="41"/>
      <c r="J1744" s="42"/>
      <c r="K1744" s="41"/>
      <c r="L1744" s="41"/>
      <c r="M1744" s="127"/>
      <c r="N1744" s="41"/>
      <c r="O1744" s="41"/>
      <c r="P1744" s="41"/>
      <c r="Q1744" s="42"/>
      <c r="R1744" s="35"/>
      <c r="S1744" s="35"/>
      <c r="T1744" s="35"/>
      <c r="U1744" s="35"/>
      <c r="V1744" s="121"/>
      <c r="W1744" s="42"/>
      <c r="X1744" s="42"/>
      <c r="Y1744" s="42"/>
      <c r="Z1744" s="42"/>
      <c r="AA1744" s="42"/>
      <c r="AB1744" s="42"/>
      <c r="AC1744" s="42"/>
      <c r="AD1744" s="42"/>
      <c r="AE1744" s="42"/>
      <c r="AF1744" s="42"/>
      <c r="AG1744" s="42"/>
      <c r="AH1744" s="42"/>
      <c r="AI1744" s="42"/>
      <c r="AJ1744" s="42"/>
      <c r="AK1744" s="42"/>
      <c r="AL1744" s="42"/>
      <c r="AM1744" s="42"/>
    </row>
    <row r="1745" spans="1:39" x14ac:dyDescent="0.25">
      <c r="A1745" s="38" t="s">
        <v>2096</v>
      </c>
      <c r="B1745" s="42"/>
      <c r="C1745" s="42"/>
      <c r="D1745" s="42"/>
      <c r="E1745" s="41"/>
      <c r="F1745" s="41"/>
      <c r="G1745" s="41"/>
      <c r="H1745" s="41"/>
      <c r="I1745" s="41"/>
      <c r="J1745" s="42"/>
      <c r="K1745" s="41"/>
      <c r="L1745" s="41"/>
      <c r="M1745" s="127"/>
      <c r="N1745" s="41"/>
      <c r="O1745" s="41"/>
      <c r="P1745" s="41"/>
      <c r="Q1745" s="42"/>
      <c r="R1745" s="35"/>
      <c r="S1745" s="35"/>
      <c r="T1745" s="35"/>
      <c r="U1745" s="35"/>
      <c r="V1745" s="121"/>
      <c r="W1745" s="42"/>
      <c r="X1745" s="42"/>
      <c r="Y1745" s="42"/>
      <c r="Z1745" s="42"/>
      <c r="AA1745" s="42"/>
      <c r="AB1745" s="42"/>
      <c r="AC1745" s="42"/>
      <c r="AD1745" s="42"/>
      <c r="AE1745" s="42"/>
      <c r="AF1745" s="42"/>
      <c r="AG1745" s="42"/>
      <c r="AH1745" s="42"/>
      <c r="AI1745" s="42"/>
      <c r="AJ1745" s="42"/>
      <c r="AK1745" s="42"/>
      <c r="AL1745" s="42"/>
      <c r="AM1745" s="42"/>
    </row>
    <row r="1746" spans="1:39" x14ac:dyDescent="0.25">
      <c r="A1746" s="38" t="s">
        <v>2097</v>
      </c>
      <c r="B1746" s="42"/>
      <c r="C1746" s="42"/>
      <c r="D1746" s="42"/>
      <c r="E1746" s="41"/>
      <c r="F1746" s="41"/>
      <c r="G1746" s="41"/>
      <c r="H1746" s="41"/>
      <c r="I1746" s="41"/>
      <c r="J1746" s="42"/>
      <c r="K1746" s="41"/>
      <c r="L1746" s="41"/>
      <c r="M1746" s="127"/>
      <c r="N1746" s="41"/>
      <c r="O1746" s="41"/>
      <c r="P1746" s="41"/>
      <c r="Q1746" s="42"/>
      <c r="R1746" s="35"/>
      <c r="S1746" s="35"/>
      <c r="T1746" s="35"/>
      <c r="U1746" s="35"/>
      <c r="V1746" s="121"/>
      <c r="W1746" s="42"/>
      <c r="X1746" s="42"/>
      <c r="Y1746" s="42"/>
      <c r="Z1746" s="42"/>
      <c r="AA1746" s="42"/>
      <c r="AB1746" s="42"/>
      <c r="AC1746" s="42"/>
      <c r="AD1746" s="42"/>
      <c r="AE1746" s="42"/>
      <c r="AF1746" s="42"/>
      <c r="AG1746" s="42"/>
      <c r="AH1746" s="42"/>
      <c r="AI1746" s="42"/>
      <c r="AJ1746" s="42"/>
      <c r="AK1746" s="42"/>
      <c r="AL1746" s="42"/>
      <c r="AM1746" s="42"/>
    </row>
    <row r="1747" spans="1:39" x14ac:dyDescent="0.25">
      <c r="A1747" s="38" t="s">
        <v>2098</v>
      </c>
      <c r="B1747" s="42"/>
      <c r="C1747" s="42"/>
      <c r="D1747" s="42"/>
      <c r="E1747" s="41"/>
      <c r="F1747" s="41"/>
      <c r="G1747" s="41"/>
      <c r="H1747" s="41"/>
      <c r="I1747" s="41"/>
      <c r="J1747" s="42"/>
      <c r="K1747" s="41"/>
      <c r="L1747" s="41"/>
      <c r="M1747" s="127"/>
      <c r="N1747" s="41"/>
      <c r="O1747" s="41"/>
      <c r="P1747" s="41"/>
      <c r="Q1747" s="42"/>
      <c r="R1747" s="35"/>
      <c r="S1747" s="35"/>
      <c r="T1747" s="35"/>
      <c r="U1747" s="35"/>
      <c r="V1747" s="121"/>
      <c r="W1747" s="42"/>
      <c r="X1747" s="42"/>
      <c r="Y1747" s="42"/>
      <c r="Z1747" s="42"/>
      <c r="AA1747" s="42"/>
      <c r="AB1747" s="42"/>
      <c r="AC1747" s="42"/>
      <c r="AD1747" s="42"/>
      <c r="AE1747" s="42"/>
      <c r="AF1747" s="42"/>
      <c r="AG1747" s="42"/>
      <c r="AH1747" s="42"/>
      <c r="AI1747" s="42"/>
      <c r="AJ1747" s="42"/>
      <c r="AK1747" s="42"/>
      <c r="AL1747" s="42"/>
      <c r="AM1747" s="42"/>
    </row>
    <row r="1748" spans="1:39" x14ac:dyDescent="0.25">
      <c r="A1748" s="38" t="s">
        <v>2099</v>
      </c>
      <c r="B1748" s="42"/>
      <c r="C1748" s="42"/>
      <c r="D1748" s="42"/>
      <c r="E1748" s="41"/>
      <c r="F1748" s="41"/>
      <c r="G1748" s="41"/>
      <c r="H1748" s="41"/>
      <c r="I1748" s="41"/>
      <c r="J1748" s="42"/>
      <c r="K1748" s="41"/>
      <c r="L1748" s="41"/>
      <c r="M1748" s="127"/>
      <c r="N1748" s="41"/>
      <c r="O1748" s="41"/>
      <c r="P1748" s="41"/>
      <c r="Q1748" s="42"/>
      <c r="R1748" s="35"/>
      <c r="S1748" s="35"/>
      <c r="T1748" s="35"/>
      <c r="U1748" s="35"/>
      <c r="V1748" s="121"/>
      <c r="W1748" s="42"/>
      <c r="X1748" s="42"/>
      <c r="Y1748" s="42"/>
      <c r="Z1748" s="42"/>
      <c r="AA1748" s="42"/>
      <c r="AB1748" s="42"/>
      <c r="AC1748" s="42"/>
      <c r="AD1748" s="42"/>
      <c r="AE1748" s="42"/>
      <c r="AF1748" s="42"/>
      <c r="AG1748" s="42"/>
      <c r="AH1748" s="42"/>
      <c r="AI1748" s="42"/>
      <c r="AJ1748" s="42"/>
      <c r="AK1748" s="42"/>
      <c r="AL1748" s="42"/>
      <c r="AM1748" s="42"/>
    </row>
    <row r="1749" spans="1:39" x14ac:dyDescent="0.25">
      <c r="A1749" s="38" t="s">
        <v>2100</v>
      </c>
      <c r="B1749" s="42"/>
      <c r="C1749" s="42"/>
      <c r="D1749" s="42"/>
      <c r="E1749" s="41"/>
      <c r="F1749" s="41"/>
      <c r="G1749" s="41"/>
      <c r="H1749" s="41"/>
      <c r="I1749" s="41"/>
      <c r="J1749" s="42"/>
      <c r="K1749" s="41"/>
      <c r="L1749" s="41"/>
      <c r="M1749" s="127"/>
      <c r="N1749" s="41"/>
      <c r="O1749" s="41"/>
      <c r="P1749" s="41"/>
      <c r="Q1749" s="42"/>
      <c r="R1749" s="35"/>
      <c r="S1749" s="35"/>
      <c r="T1749" s="35"/>
      <c r="U1749" s="35"/>
      <c r="V1749" s="121"/>
      <c r="W1749" s="42"/>
      <c r="X1749" s="42"/>
      <c r="Y1749" s="42"/>
      <c r="Z1749" s="42"/>
      <c r="AA1749" s="42"/>
      <c r="AB1749" s="42"/>
      <c r="AC1749" s="42"/>
      <c r="AD1749" s="42"/>
      <c r="AE1749" s="42"/>
      <c r="AF1749" s="42"/>
      <c r="AG1749" s="42"/>
      <c r="AH1749" s="42"/>
      <c r="AI1749" s="42"/>
      <c r="AJ1749" s="42"/>
      <c r="AK1749" s="42"/>
      <c r="AL1749" s="42"/>
      <c r="AM1749" s="42"/>
    </row>
    <row r="1750" spans="1:39" x14ac:dyDescent="0.25">
      <c r="A1750" s="38" t="s">
        <v>2101</v>
      </c>
      <c r="B1750" s="42"/>
      <c r="C1750" s="42"/>
      <c r="D1750" s="42"/>
      <c r="E1750" s="41"/>
      <c r="F1750" s="41"/>
      <c r="G1750" s="41"/>
      <c r="H1750" s="41"/>
      <c r="I1750" s="41"/>
      <c r="J1750" s="42"/>
      <c r="K1750" s="41"/>
      <c r="L1750" s="41"/>
      <c r="M1750" s="127"/>
      <c r="N1750" s="41"/>
      <c r="O1750" s="41"/>
      <c r="P1750" s="41"/>
      <c r="Q1750" s="42"/>
      <c r="R1750" s="35"/>
      <c r="S1750" s="35"/>
      <c r="T1750" s="35"/>
      <c r="U1750" s="35"/>
      <c r="V1750" s="121"/>
      <c r="W1750" s="42"/>
      <c r="X1750" s="42"/>
      <c r="Y1750" s="42"/>
      <c r="Z1750" s="42"/>
      <c r="AA1750" s="42"/>
      <c r="AB1750" s="42"/>
      <c r="AC1750" s="42"/>
      <c r="AD1750" s="42"/>
      <c r="AE1750" s="42"/>
      <c r="AF1750" s="42"/>
      <c r="AG1750" s="42"/>
      <c r="AH1750" s="42"/>
      <c r="AI1750" s="42"/>
      <c r="AJ1750" s="42"/>
      <c r="AK1750" s="42"/>
      <c r="AL1750" s="42"/>
      <c r="AM1750" s="42"/>
    </row>
    <row r="1751" spans="1:39" x14ac:dyDescent="0.25">
      <c r="A1751" s="38" t="s">
        <v>2102</v>
      </c>
      <c r="B1751" s="42"/>
      <c r="C1751" s="42"/>
      <c r="D1751" s="42"/>
      <c r="E1751" s="41"/>
      <c r="F1751" s="41"/>
      <c r="G1751" s="41"/>
      <c r="H1751" s="41"/>
      <c r="I1751" s="41"/>
      <c r="J1751" s="42"/>
      <c r="K1751" s="41"/>
      <c r="L1751" s="41"/>
      <c r="M1751" s="127"/>
      <c r="N1751" s="41"/>
      <c r="O1751" s="41"/>
      <c r="P1751" s="41"/>
      <c r="Q1751" s="42"/>
      <c r="R1751" s="35"/>
      <c r="S1751" s="35"/>
      <c r="T1751" s="35"/>
      <c r="U1751" s="35"/>
      <c r="V1751" s="121"/>
      <c r="W1751" s="42"/>
      <c r="X1751" s="42"/>
      <c r="Y1751" s="42"/>
      <c r="Z1751" s="42"/>
      <c r="AA1751" s="42"/>
      <c r="AB1751" s="42"/>
      <c r="AC1751" s="42"/>
      <c r="AD1751" s="42"/>
      <c r="AE1751" s="42"/>
      <c r="AF1751" s="42"/>
      <c r="AG1751" s="42"/>
      <c r="AH1751" s="42"/>
      <c r="AI1751" s="42"/>
      <c r="AJ1751" s="42"/>
      <c r="AK1751" s="42"/>
      <c r="AL1751" s="42"/>
      <c r="AM1751" s="42"/>
    </row>
    <row r="1752" spans="1:39" x14ac:dyDescent="0.25">
      <c r="A1752" s="38" t="s">
        <v>2103</v>
      </c>
      <c r="B1752" s="42"/>
      <c r="C1752" s="42"/>
      <c r="D1752" s="42"/>
      <c r="E1752" s="41"/>
      <c r="F1752" s="41"/>
      <c r="G1752" s="41"/>
      <c r="H1752" s="41"/>
      <c r="I1752" s="41"/>
      <c r="J1752" s="42"/>
      <c r="K1752" s="41"/>
      <c r="L1752" s="41"/>
      <c r="M1752" s="127"/>
      <c r="N1752" s="41"/>
      <c r="O1752" s="41"/>
      <c r="P1752" s="41"/>
      <c r="Q1752" s="42"/>
      <c r="R1752" s="35"/>
      <c r="S1752" s="35"/>
      <c r="T1752" s="35"/>
      <c r="U1752" s="35"/>
      <c r="V1752" s="121"/>
      <c r="W1752" s="42"/>
      <c r="X1752" s="42"/>
      <c r="Y1752" s="42"/>
      <c r="Z1752" s="42"/>
      <c r="AA1752" s="42"/>
      <c r="AB1752" s="42"/>
      <c r="AC1752" s="42"/>
      <c r="AD1752" s="42"/>
      <c r="AE1752" s="42"/>
      <c r="AF1752" s="42"/>
      <c r="AG1752" s="42"/>
      <c r="AH1752" s="42"/>
      <c r="AI1752" s="42"/>
      <c r="AJ1752" s="42"/>
      <c r="AK1752" s="42"/>
      <c r="AL1752" s="42"/>
      <c r="AM1752" s="42"/>
    </row>
    <row r="1753" spans="1:39" x14ac:dyDescent="0.25">
      <c r="A1753" s="38" t="s">
        <v>2104</v>
      </c>
      <c r="B1753" s="42"/>
      <c r="C1753" s="42"/>
      <c r="D1753" s="42"/>
      <c r="E1753" s="41"/>
      <c r="F1753" s="41"/>
      <c r="G1753" s="41"/>
      <c r="H1753" s="41"/>
      <c r="I1753" s="41"/>
      <c r="J1753" s="42"/>
      <c r="K1753" s="41"/>
      <c r="L1753" s="41"/>
      <c r="M1753" s="127"/>
      <c r="N1753" s="41"/>
      <c r="O1753" s="41"/>
      <c r="P1753" s="41"/>
      <c r="Q1753" s="42"/>
      <c r="R1753" s="35"/>
      <c r="S1753" s="35"/>
      <c r="T1753" s="35"/>
      <c r="U1753" s="35"/>
      <c r="V1753" s="121"/>
      <c r="W1753" s="42"/>
      <c r="X1753" s="42"/>
      <c r="Y1753" s="42"/>
      <c r="Z1753" s="42"/>
      <c r="AA1753" s="42"/>
      <c r="AB1753" s="42"/>
      <c r="AC1753" s="42"/>
      <c r="AD1753" s="42"/>
      <c r="AE1753" s="42"/>
      <c r="AF1753" s="42"/>
      <c r="AG1753" s="42"/>
      <c r="AH1753" s="42"/>
      <c r="AI1753" s="42"/>
      <c r="AJ1753" s="42"/>
      <c r="AK1753" s="42"/>
      <c r="AL1753" s="42"/>
      <c r="AM1753" s="42"/>
    </row>
    <row r="1754" spans="1:39" x14ac:dyDescent="0.25">
      <c r="A1754" s="38" t="s">
        <v>2105</v>
      </c>
      <c r="B1754" s="42"/>
      <c r="C1754" s="42"/>
      <c r="D1754" s="42"/>
      <c r="E1754" s="41"/>
      <c r="F1754" s="41"/>
      <c r="G1754" s="41"/>
      <c r="H1754" s="41"/>
      <c r="I1754" s="41"/>
      <c r="J1754" s="42"/>
      <c r="K1754" s="41"/>
      <c r="L1754" s="41"/>
      <c r="M1754" s="127"/>
      <c r="N1754" s="41"/>
      <c r="O1754" s="41"/>
      <c r="P1754" s="41"/>
      <c r="Q1754" s="42"/>
      <c r="R1754" s="35"/>
      <c r="S1754" s="35"/>
      <c r="T1754" s="35"/>
      <c r="U1754" s="35"/>
      <c r="V1754" s="121"/>
      <c r="W1754" s="42"/>
      <c r="X1754" s="42"/>
      <c r="Y1754" s="42"/>
      <c r="Z1754" s="42"/>
      <c r="AA1754" s="42"/>
      <c r="AB1754" s="42"/>
      <c r="AC1754" s="42"/>
      <c r="AD1754" s="42"/>
      <c r="AE1754" s="42"/>
      <c r="AF1754" s="42"/>
      <c r="AG1754" s="42"/>
      <c r="AH1754" s="42"/>
      <c r="AI1754" s="42"/>
      <c r="AJ1754" s="42"/>
      <c r="AK1754" s="42"/>
      <c r="AL1754" s="42"/>
      <c r="AM1754" s="42"/>
    </row>
    <row r="1755" spans="1:39" x14ac:dyDescent="0.25">
      <c r="A1755" s="38" t="s">
        <v>2106</v>
      </c>
      <c r="B1755" s="42"/>
      <c r="C1755" s="42"/>
      <c r="D1755" s="42"/>
      <c r="E1755" s="41"/>
      <c r="F1755" s="41"/>
      <c r="G1755" s="41"/>
      <c r="H1755" s="41"/>
      <c r="I1755" s="41"/>
      <c r="J1755" s="42"/>
      <c r="K1755" s="41"/>
      <c r="L1755" s="41"/>
      <c r="M1755" s="127"/>
      <c r="N1755" s="41"/>
      <c r="O1755" s="41"/>
      <c r="P1755" s="41"/>
      <c r="Q1755" s="42"/>
      <c r="R1755" s="35"/>
      <c r="S1755" s="35"/>
      <c r="T1755" s="35"/>
      <c r="U1755" s="35"/>
      <c r="V1755" s="121"/>
      <c r="W1755" s="42"/>
      <c r="X1755" s="42"/>
      <c r="Y1755" s="42"/>
      <c r="Z1755" s="42"/>
      <c r="AA1755" s="42"/>
      <c r="AB1755" s="42"/>
      <c r="AC1755" s="42"/>
      <c r="AD1755" s="42"/>
      <c r="AE1755" s="42"/>
      <c r="AF1755" s="42"/>
      <c r="AG1755" s="42"/>
      <c r="AH1755" s="42"/>
      <c r="AI1755" s="42"/>
      <c r="AJ1755" s="42"/>
      <c r="AK1755" s="42"/>
      <c r="AL1755" s="42"/>
      <c r="AM1755" s="42"/>
    </row>
    <row r="1756" spans="1:39" x14ac:dyDescent="0.25">
      <c r="A1756" s="38" t="s">
        <v>2107</v>
      </c>
      <c r="B1756" s="42"/>
      <c r="C1756" s="42"/>
      <c r="D1756" s="42"/>
      <c r="E1756" s="41"/>
      <c r="F1756" s="41"/>
      <c r="G1756" s="41"/>
      <c r="H1756" s="41"/>
      <c r="I1756" s="41"/>
      <c r="J1756" s="42"/>
      <c r="K1756" s="41"/>
      <c r="L1756" s="41"/>
      <c r="M1756" s="127"/>
      <c r="N1756" s="41"/>
      <c r="O1756" s="41"/>
      <c r="P1756" s="41"/>
      <c r="Q1756" s="42"/>
      <c r="R1756" s="35"/>
      <c r="S1756" s="35"/>
      <c r="T1756" s="35"/>
      <c r="U1756" s="35"/>
      <c r="V1756" s="121"/>
      <c r="W1756" s="42"/>
      <c r="X1756" s="42"/>
      <c r="Y1756" s="42"/>
      <c r="Z1756" s="42"/>
      <c r="AA1756" s="42"/>
      <c r="AB1756" s="42"/>
      <c r="AC1756" s="42"/>
      <c r="AD1756" s="42"/>
      <c r="AE1756" s="42"/>
      <c r="AF1756" s="42"/>
      <c r="AG1756" s="42"/>
      <c r="AH1756" s="42"/>
      <c r="AI1756" s="42"/>
      <c r="AJ1756" s="42"/>
      <c r="AK1756" s="42"/>
      <c r="AL1756" s="42"/>
      <c r="AM1756" s="42"/>
    </row>
    <row r="1757" spans="1:39" x14ac:dyDescent="0.25">
      <c r="A1757" s="38" t="s">
        <v>2108</v>
      </c>
      <c r="B1757" s="42"/>
      <c r="C1757" s="42"/>
      <c r="D1757" s="42"/>
      <c r="E1757" s="41"/>
      <c r="F1757" s="41"/>
      <c r="G1757" s="41"/>
      <c r="H1757" s="41"/>
      <c r="I1757" s="41"/>
      <c r="J1757" s="42"/>
      <c r="K1757" s="41"/>
      <c r="L1757" s="41"/>
      <c r="M1757" s="127"/>
      <c r="N1757" s="41"/>
      <c r="O1757" s="41"/>
      <c r="P1757" s="41"/>
      <c r="Q1757" s="42"/>
      <c r="R1757" s="35"/>
      <c r="S1757" s="35"/>
      <c r="T1757" s="35"/>
      <c r="U1757" s="35"/>
      <c r="V1757" s="121"/>
      <c r="W1757" s="42"/>
      <c r="X1757" s="42"/>
      <c r="Y1757" s="42"/>
      <c r="Z1757" s="42"/>
      <c r="AA1757" s="42"/>
      <c r="AB1757" s="42"/>
      <c r="AC1757" s="42"/>
      <c r="AD1757" s="42"/>
      <c r="AE1757" s="42"/>
      <c r="AF1757" s="42"/>
      <c r="AG1757" s="42"/>
      <c r="AH1757" s="42"/>
      <c r="AI1757" s="42"/>
      <c r="AJ1757" s="42"/>
      <c r="AK1757" s="42"/>
      <c r="AL1757" s="42"/>
      <c r="AM1757" s="42"/>
    </row>
    <row r="1758" spans="1:39" x14ac:dyDescent="0.25">
      <c r="A1758" s="38" t="s">
        <v>2109</v>
      </c>
      <c r="B1758" s="42"/>
      <c r="C1758" s="42"/>
      <c r="D1758" s="42"/>
      <c r="E1758" s="41"/>
      <c r="F1758" s="41"/>
      <c r="G1758" s="41"/>
      <c r="H1758" s="41"/>
      <c r="I1758" s="41"/>
      <c r="J1758" s="42"/>
      <c r="K1758" s="41"/>
      <c r="L1758" s="41"/>
      <c r="M1758" s="127"/>
      <c r="N1758" s="41"/>
      <c r="O1758" s="41"/>
      <c r="P1758" s="41"/>
      <c r="Q1758" s="42"/>
      <c r="R1758" s="35"/>
      <c r="S1758" s="35"/>
      <c r="T1758" s="35"/>
      <c r="U1758" s="35"/>
      <c r="V1758" s="121"/>
      <c r="W1758" s="42"/>
      <c r="X1758" s="42"/>
      <c r="Y1758" s="42"/>
      <c r="Z1758" s="42"/>
      <c r="AA1758" s="42"/>
      <c r="AB1758" s="42"/>
      <c r="AC1758" s="42"/>
      <c r="AD1758" s="42"/>
      <c r="AE1758" s="42"/>
      <c r="AF1758" s="42"/>
      <c r="AG1758" s="42"/>
      <c r="AH1758" s="42"/>
      <c r="AI1758" s="42"/>
      <c r="AJ1758" s="42"/>
      <c r="AK1758" s="42"/>
      <c r="AL1758" s="42"/>
      <c r="AM1758" s="42"/>
    </row>
    <row r="1759" spans="1:39" x14ac:dyDescent="0.25">
      <c r="A1759" s="38" t="s">
        <v>2110</v>
      </c>
      <c r="B1759" s="42"/>
      <c r="C1759" s="42"/>
      <c r="D1759" s="42"/>
      <c r="E1759" s="41"/>
      <c r="F1759" s="41"/>
      <c r="G1759" s="41"/>
      <c r="H1759" s="41"/>
      <c r="I1759" s="41"/>
      <c r="J1759" s="42"/>
      <c r="K1759" s="41"/>
      <c r="L1759" s="41"/>
      <c r="M1759" s="127"/>
      <c r="N1759" s="41"/>
      <c r="O1759" s="41"/>
      <c r="P1759" s="41"/>
      <c r="Q1759" s="42"/>
      <c r="R1759" s="35"/>
      <c r="S1759" s="35"/>
      <c r="T1759" s="35"/>
      <c r="U1759" s="35"/>
      <c r="V1759" s="121"/>
      <c r="W1759" s="42"/>
      <c r="X1759" s="42"/>
      <c r="Y1759" s="42"/>
      <c r="Z1759" s="42"/>
      <c r="AA1759" s="42"/>
      <c r="AB1759" s="42"/>
      <c r="AC1759" s="42"/>
      <c r="AD1759" s="42"/>
      <c r="AE1759" s="42"/>
      <c r="AF1759" s="42"/>
      <c r="AG1759" s="42"/>
      <c r="AH1759" s="42"/>
      <c r="AI1759" s="42"/>
      <c r="AJ1759" s="42"/>
      <c r="AK1759" s="42"/>
      <c r="AL1759" s="42"/>
      <c r="AM1759" s="42"/>
    </row>
    <row r="1760" spans="1:39" x14ac:dyDescent="0.25">
      <c r="A1760" s="38" t="s">
        <v>2111</v>
      </c>
      <c r="B1760" s="42"/>
      <c r="C1760" s="42"/>
      <c r="D1760" s="42"/>
      <c r="E1760" s="41"/>
      <c r="F1760" s="41"/>
      <c r="G1760" s="41"/>
      <c r="H1760" s="41"/>
      <c r="I1760" s="41"/>
      <c r="J1760" s="42"/>
      <c r="K1760" s="41"/>
      <c r="L1760" s="41"/>
      <c r="M1760" s="127"/>
      <c r="N1760" s="41"/>
      <c r="O1760" s="41"/>
      <c r="P1760" s="41"/>
      <c r="Q1760" s="42"/>
      <c r="R1760" s="35"/>
      <c r="S1760" s="35"/>
      <c r="T1760" s="35"/>
      <c r="U1760" s="35"/>
      <c r="V1760" s="121"/>
      <c r="W1760" s="42"/>
      <c r="X1760" s="42"/>
      <c r="Y1760" s="42"/>
      <c r="Z1760" s="42"/>
      <c r="AA1760" s="42"/>
      <c r="AB1760" s="42"/>
      <c r="AC1760" s="42"/>
      <c r="AD1760" s="42"/>
      <c r="AE1760" s="42"/>
      <c r="AF1760" s="42"/>
      <c r="AG1760" s="42"/>
      <c r="AH1760" s="42"/>
      <c r="AI1760" s="42"/>
      <c r="AJ1760" s="42"/>
      <c r="AK1760" s="42"/>
      <c r="AL1760" s="42"/>
      <c r="AM1760" s="42"/>
    </row>
    <row r="1761" spans="1:39" x14ac:dyDescent="0.25">
      <c r="A1761" s="38" t="s">
        <v>2112</v>
      </c>
      <c r="B1761" s="42"/>
      <c r="C1761" s="42"/>
      <c r="D1761" s="42"/>
      <c r="E1761" s="41"/>
      <c r="F1761" s="41"/>
      <c r="G1761" s="41"/>
      <c r="H1761" s="41"/>
      <c r="I1761" s="41"/>
      <c r="J1761" s="42"/>
      <c r="K1761" s="41"/>
      <c r="L1761" s="41"/>
      <c r="M1761" s="127"/>
      <c r="N1761" s="41"/>
      <c r="O1761" s="41"/>
      <c r="P1761" s="41"/>
      <c r="Q1761" s="42"/>
      <c r="R1761" s="35"/>
      <c r="S1761" s="35"/>
      <c r="T1761" s="35"/>
      <c r="U1761" s="35"/>
      <c r="V1761" s="121"/>
      <c r="W1761" s="42"/>
      <c r="X1761" s="42"/>
      <c r="Y1761" s="42"/>
      <c r="Z1761" s="42"/>
      <c r="AA1761" s="42"/>
      <c r="AB1761" s="42"/>
      <c r="AC1761" s="42"/>
      <c r="AD1761" s="42"/>
      <c r="AE1761" s="42"/>
      <c r="AF1761" s="42"/>
      <c r="AG1761" s="42"/>
      <c r="AH1761" s="42"/>
      <c r="AI1761" s="42"/>
      <c r="AJ1761" s="42"/>
      <c r="AK1761" s="42"/>
      <c r="AL1761" s="42"/>
      <c r="AM1761" s="42"/>
    </row>
    <row r="1762" spans="1:39" x14ac:dyDescent="0.25">
      <c r="A1762" s="38" t="s">
        <v>2113</v>
      </c>
      <c r="B1762" s="42"/>
      <c r="C1762" s="42"/>
      <c r="D1762" s="42"/>
      <c r="E1762" s="41"/>
      <c r="F1762" s="41"/>
      <c r="G1762" s="41"/>
      <c r="H1762" s="41"/>
      <c r="I1762" s="41"/>
      <c r="J1762" s="42"/>
      <c r="K1762" s="41"/>
      <c r="L1762" s="41"/>
      <c r="M1762" s="127"/>
      <c r="N1762" s="41"/>
      <c r="O1762" s="41"/>
      <c r="P1762" s="41"/>
      <c r="Q1762" s="42"/>
      <c r="R1762" s="35"/>
      <c r="S1762" s="35"/>
      <c r="T1762" s="35"/>
      <c r="U1762" s="35"/>
      <c r="V1762" s="121"/>
      <c r="W1762" s="42"/>
      <c r="X1762" s="42"/>
      <c r="Y1762" s="42"/>
      <c r="Z1762" s="42"/>
      <c r="AA1762" s="42"/>
      <c r="AB1762" s="42"/>
      <c r="AC1762" s="42"/>
      <c r="AD1762" s="42"/>
      <c r="AE1762" s="42"/>
      <c r="AF1762" s="42"/>
      <c r="AG1762" s="42"/>
      <c r="AH1762" s="42"/>
      <c r="AI1762" s="42"/>
      <c r="AJ1762" s="42"/>
      <c r="AK1762" s="42"/>
      <c r="AL1762" s="42"/>
      <c r="AM1762" s="42"/>
    </row>
    <row r="1763" spans="1:39" x14ac:dyDescent="0.25">
      <c r="A1763" s="38" t="s">
        <v>2114</v>
      </c>
      <c r="B1763" s="42"/>
      <c r="C1763" s="42"/>
      <c r="D1763" s="42"/>
      <c r="E1763" s="41"/>
      <c r="F1763" s="41"/>
      <c r="G1763" s="41"/>
      <c r="H1763" s="41"/>
      <c r="I1763" s="41"/>
      <c r="J1763" s="42"/>
      <c r="K1763" s="41"/>
      <c r="L1763" s="41"/>
      <c r="M1763" s="127"/>
      <c r="N1763" s="41"/>
      <c r="O1763" s="41"/>
      <c r="P1763" s="41"/>
      <c r="Q1763" s="42"/>
      <c r="R1763" s="35"/>
      <c r="S1763" s="35"/>
      <c r="T1763" s="35"/>
      <c r="U1763" s="35"/>
      <c r="V1763" s="121"/>
      <c r="W1763" s="42"/>
      <c r="X1763" s="42"/>
      <c r="Y1763" s="42"/>
      <c r="Z1763" s="42"/>
      <c r="AA1763" s="42"/>
      <c r="AB1763" s="42"/>
      <c r="AC1763" s="42"/>
      <c r="AD1763" s="42"/>
      <c r="AE1763" s="42"/>
      <c r="AF1763" s="42"/>
      <c r="AG1763" s="42"/>
      <c r="AH1763" s="42"/>
      <c r="AI1763" s="42"/>
      <c r="AJ1763" s="42"/>
      <c r="AK1763" s="42"/>
      <c r="AL1763" s="42"/>
      <c r="AM1763" s="42"/>
    </row>
    <row r="1764" spans="1:39" x14ac:dyDescent="0.25">
      <c r="A1764" s="38" t="s">
        <v>2115</v>
      </c>
      <c r="B1764" s="42"/>
      <c r="C1764" s="42"/>
      <c r="D1764" s="42"/>
      <c r="E1764" s="41"/>
      <c r="F1764" s="41"/>
      <c r="G1764" s="41"/>
      <c r="H1764" s="41"/>
      <c r="I1764" s="41"/>
      <c r="J1764" s="42"/>
      <c r="K1764" s="41"/>
      <c r="L1764" s="41"/>
      <c r="M1764" s="127"/>
      <c r="N1764" s="41"/>
      <c r="O1764" s="41"/>
      <c r="P1764" s="41"/>
      <c r="Q1764" s="42"/>
      <c r="R1764" s="35"/>
      <c r="S1764" s="35"/>
      <c r="T1764" s="35"/>
      <c r="U1764" s="35"/>
      <c r="V1764" s="121"/>
      <c r="W1764" s="42"/>
      <c r="X1764" s="42"/>
      <c r="Y1764" s="42"/>
      <c r="Z1764" s="42"/>
      <c r="AA1764" s="42"/>
      <c r="AB1764" s="42"/>
      <c r="AC1764" s="42"/>
      <c r="AD1764" s="42"/>
      <c r="AE1764" s="42"/>
      <c r="AF1764" s="42"/>
      <c r="AG1764" s="42"/>
      <c r="AH1764" s="42"/>
      <c r="AI1764" s="42"/>
      <c r="AJ1764" s="42"/>
      <c r="AK1764" s="42"/>
      <c r="AL1764" s="42"/>
      <c r="AM1764" s="42"/>
    </row>
    <row r="1765" spans="1:39" x14ac:dyDescent="0.25">
      <c r="A1765" s="38" t="s">
        <v>2116</v>
      </c>
      <c r="B1765" s="42"/>
      <c r="C1765" s="42"/>
      <c r="D1765" s="42"/>
      <c r="E1765" s="41"/>
      <c r="F1765" s="41"/>
      <c r="G1765" s="41"/>
      <c r="H1765" s="41"/>
      <c r="I1765" s="41"/>
      <c r="J1765" s="42"/>
      <c r="K1765" s="41"/>
      <c r="L1765" s="41"/>
      <c r="M1765" s="127"/>
      <c r="N1765" s="41"/>
      <c r="O1765" s="41"/>
      <c r="P1765" s="41"/>
      <c r="Q1765" s="42"/>
      <c r="R1765" s="35"/>
      <c r="S1765" s="35"/>
      <c r="T1765" s="35"/>
      <c r="U1765" s="35"/>
      <c r="V1765" s="121"/>
      <c r="W1765" s="42"/>
      <c r="X1765" s="42"/>
      <c r="Y1765" s="42"/>
      <c r="Z1765" s="42"/>
      <c r="AA1765" s="42"/>
      <c r="AB1765" s="42"/>
      <c r="AC1765" s="42"/>
      <c r="AD1765" s="42"/>
      <c r="AE1765" s="42"/>
      <c r="AF1765" s="42"/>
      <c r="AG1765" s="42"/>
      <c r="AH1765" s="42"/>
      <c r="AI1765" s="42"/>
      <c r="AJ1765" s="42"/>
      <c r="AK1765" s="42"/>
      <c r="AL1765" s="42"/>
      <c r="AM1765" s="42"/>
    </row>
    <row r="1766" spans="1:39" x14ac:dyDescent="0.25">
      <c r="A1766" s="38" t="s">
        <v>2117</v>
      </c>
      <c r="B1766" s="42"/>
      <c r="C1766" s="42"/>
      <c r="D1766" s="42"/>
      <c r="E1766" s="41"/>
      <c r="F1766" s="41"/>
      <c r="G1766" s="41"/>
      <c r="H1766" s="41"/>
      <c r="I1766" s="41"/>
      <c r="J1766" s="42"/>
      <c r="K1766" s="41"/>
      <c r="L1766" s="41"/>
      <c r="M1766" s="127"/>
      <c r="N1766" s="41"/>
      <c r="O1766" s="41"/>
      <c r="P1766" s="41"/>
      <c r="Q1766" s="42"/>
      <c r="R1766" s="35"/>
      <c r="S1766" s="35"/>
      <c r="T1766" s="35"/>
      <c r="U1766" s="35"/>
      <c r="V1766" s="121"/>
      <c r="W1766" s="42"/>
      <c r="X1766" s="42"/>
      <c r="Y1766" s="42"/>
      <c r="Z1766" s="42"/>
      <c r="AA1766" s="42"/>
      <c r="AB1766" s="42"/>
      <c r="AC1766" s="42"/>
      <c r="AD1766" s="42"/>
      <c r="AE1766" s="42"/>
      <c r="AF1766" s="42"/>
      <c r="AG1766" s="42"/>
      <c r="AH1766" s="42"/>
      <c r="AI1766" s="42"/>
      <c r="AJ1766" s="42"/>
      <c r="AK1766" s="42"/>
      <c r="AL1766" s="42"/>
      <c r="AM1766" s="42"/>
    </row>
    <row r="1767" spans="1:39" x14ac:dyDescent="0.25">
      <c r="A1767" s="38" t="s">
        <v>2118</v>
      </c>
      <c r="B1767" s="42"/>
      <c r="C1767" s="42"/>
      <c r="D1767" s="42"/>
      <c r="E1767" s="41"/>
      <c r="F1767" s="41"/>
      <c r="G1767" s="41"/>
      <c r="H1767" s="41"/>
      <c r="I1767" s="41"/>
      <c r="J1767" s="42"/>
      <c r="K1767" s="41"/>
      <c r="L1767" s="41"/>
      <c r="M1767" s="127"/>
      <c r="N1767" s="41"/>
      <c r="O1767" s="41"/>
      <c r="P1767" s="41"/>
      <c r="Q1767" s="42"/>
      <c r="R1767" s="35"/>
      <c r="S1767" s="35"/>
      <c r="T1767" s="35"/>
      <c r="U1767" s="35"/>
      <c r="V1767" s="121"/>
      <c r="W1767" s="42"/>
      <c r="X1767" s="42"/>
      <c r="Y1767" s="42"/>
      <c r="Z1767" s="42"/>
      <c r="AA1767" s="42"/>
      <c r="AB1767" s="42"/>
      <c r="AC1767" s="42"/>
      <c r="AD1767" s="42"/>
      <c r="AE1767" s="42"/>
      <c r="AF1767" s="42"/>
      <c r="AG1767" s="42"/>
      <c r="AH1767" s="42"/>
      <c r="AI1767" s="42"/>
      <c r="AJ1767" s="42"/>
      <c r="AK1767" s="42"/>
      <c r="AL1767" s="42"/>
      <c r="AM1767" s="42"/>
    </row>
    <row r="1768" spans="1:39" x14ac:dyDescent="0.25">
      <c r="A1768" s="38" t="s">
        <v>2119</v>
      </c>
      <c r="B1768" s="42"/>
      <c r="C1768" s="42"/>
      <c r="D1768" s="42"/>
      <c r="E1768" s="41"/>
      <c r="F1768" s="41"/>
      <c r="G1768" s="41"/>
      <c r="H1768" s="41"/>
      <c r="I1768" s="41"/>
      <c r="J1768" s="42"/>
      <c r="K1768" s="41"/>
      <c r="L1768" s="41"/>
      <c r="M1768" s="127"/>
      <c r="N1768" s="41"/>
      <c r="O1768" s="41"/>
      <c r="P1768" s="41"/>
      <c r="Q1768" s="42"/>
      <c r="R1768" s="35"/>
      <c r="S1768" s="35"/>
      <c r="T1768" s="35"/>
      <c r="U1768" s="35"/>
      <c r="V1768" s="121"/>
      <c r="W1768" s="42"/>
      <c r="X1768" s="42"/>
      <c r="Y1768" s="42"/>
      <c r="Z1768" s="42"/>
      <c r="AA1768" s="42"/>
      <c r="AB1768" s="42"/>
      <c r="AC1768" s="42"/>
      <c r="AD1768" s="42"/>
      <c r="AE1768" s="42"/>
      <c r="AF1768" s="42"/>
      <c r="AG1768" s="42"/>
      <c r="AH1768" s="42"/>
      <c r="AI1768" s="42"/>
      <c r="AJ1768" s="42"/>
      <c r="AK1768" s="42"/>
      <c r="AL1768" s="42"/>
      <c r="AM1768" s="42"/>
    </row>
    <row r="1769" spans="1:39" x14ac:dyDescent="0.25">
      <c r="A1769" s="38" t="s">
        <v>2120</v>
      </c>
      <c r="B1769" s="42"/>
      <c r="C1769" s="42"/>
      <c r="D1769" s="42"/>
      <c r="E1769" s="41"/>
      <c r="F1769" s="41"/>
      <c r="G1769" s="41"/>
      <c r="H1769" s="41"/>
      <c r="I1769" s="41"/>
      <c r="J1769" s="42"/>
      <c r="K1769" s="41"/>
      <c r="L1769" s="41"/>
      <c r="M1769" s="127"/>
      <c r="N1769" s="41"/>
      <c r="O1769" s="41"/>
      <c r="P1769" s="41"/>
      <c r="Q1769" s="42"/>
      <c r="R1769" s="35"/>
      <c r="S1769" s="35"/>
      <c r="T1769" s="35"/>
      <c r="U1769" s="35"/>
      <c r="V1769" s="121"/>
      <c r="W1769" s="42"/>
      <c r="X1769" s="42"/>
      <c r="Y1769" s="42"/>
      <c r="Z1769" s="42"/>
      <c r="AA1769" s="42"/>
      <c r="AB1769" s="42"/>
      <c r="AC1769" s="42"/>
      <c r="AD1769" s="42"/>
      <c r="AE1769" s="42"/>
      <c r="AF1769" s="42"/>
      <c r="AG1769" s="42"/>
      <c r="AH1769" s="42"/>
      <c r="AI1769" s="42"/>
      <c r="AJ1769" s="42"/>
      <c r="AK1769" s="42"/>
      <c r="AL1769" s="42"/>
      <c r="AM1769" s="42"/>
    </row>
    <row r="1770" spans="1:39" x14ac:dyDescent="0.25">
      <c r="A1770" s="38" t="s">
        <v>2121</v>
      </c>
      <c r="B1770" s="42"/>
      <c r="C1770" s="42"/>
      <c r="D1770" s="42"/>
      <c r="E1770" s="41"/>
      <c r="F1770" s="41"/>
      <c r="G1770" s="41"/>
      <c r="H1770" s="41"/>
      <c r="I1770" s="41"/>
      <c r="J1770" s="42"/>
      <c r="K1770" s="41"/>
      <c r="L1770" s="41"/>
      <c r="M1770" s="127"/>
      <c r="N1770" s="41"/>
      <c r="O1770" s="41"/>
      <c r="P1770" s="41"/>
      <c r="Q1770" s="42"/>
      <c r="R1770" s="35"/>
      <c r="S1770" s="35"/>
      <c r="T1770" s="35"/>
      <c r="U1770" s="35"/>
      <c r="V1770" s="121"/>
      <c r="W1770" s="42"/>
      <c r="X1770" s="42"/>
      <c r="Y1770" s="42"/>
      <c r="Z1770" s="42"/>
      <c r="AA1770" s="42"/>
      <c r="AB1770" s="42"/>
      <c r="AC1770" s="42"/>
      <c r="AD1770" s="42"/>
      <c r="AE1770" s="42"/>
      <c r="AF1770" s="42"/>
      <c r="AG1770" s="42"/>
      <c r="AH1770" s="42"/>
      <c r="AI1770" s="42"/>
      <c r="AJ1770" s="42"/>
      <c r="AK1770" s="42"/>
      <c r="AL1770" s="42"/>
      <c r="AM1770" s="42"/>
    </row>
    <row r="1771" spans="1:39" x14ac:dyDescent="0.25">
      <c r="A1771" s="38" t="s">
        <v>2122</v>
      </c>
      <c r="B1771" s="42"/>
      <c r="C1771" s="42"/>
      <c r="D1771" s="42"/>
      <c r="E1771" s="41"/>
      <c r="F1771" s="41"/>
      <c r="G1771" s="41"/>
      <c r="H1771" s="41"/>
      <c r="I1771" s="41"/>
      <c r="J1771" s="42"/>
      <c r="K1771" s="41"/>
      <c r="L1771" s="41"/>
      <c r="M1771" s="127"/>
      <c r="N1771" s="41"/>
      <c r="O1771" s="41"/>
      <c r="P1771" s="41"/>
      <c r="Q1771" s="42"/>
      <c r="R1771" s="35"/>
      <c r="S1771" s="35"/>
      <c r="T1771" s="35"/>
      <c r="U1771" s="35"/>
      <c r="V1771" s="121"/>
      <c r="W1771" s="42"/>
      <c r="X1771" s="42"/>
      <c r="Y1771" s="42"/>
      <c r="Z1771" s="42"/>
      <c r="AA1771" s="42"/>
      <c r="AB1771" s="42"/>
      <c r="AC1771" s="42"/>
      <c r="AD1771" s="42"/>
      <c r="AE1771" s="42"/>
      <c r="AF1771" s="42"/>
      <c r="AG1771" s="42"/>
      <c r="AH1771" s="42"/>
      <c r="AI1771" s="42"/>
      <c r="AJ1771" s="42"/>
      <c r="AK1771" s="42"/>
      <c r="AL1771" s="42"/>
      <c r="AM1771" s="42"/>
    </row>
    <row r="1772" spans="1:39" x14ac:dyDescent="0.25">
      <c r="A1772" s="38" t="s">
        <v>2123</v>
      </c>
      <c r="B1772" s="42"/>
      <c r="C1772" s="42"/>
      <c r="D1772" s="42"/>
      <c r="E1772" s="41"/>
      <c r="F1772" s="41"/>
      <c r="G1772" s="41"/>
      <c r="H1772" s="41"/>
      <c r="I1772" s="41"/>
      <c r="J1772" s="42"/>
      <c r="K1772" s="41"/>
      <c r="L1772" s="41"/>
      <c r="M1772" s="127"/>
      <c r="N1772" s="41"/>
      <c r="O1772" s="41"/>
      <c r="P1772" s="41"/>
      <c r="Q1772" s="42"/>
      <c r="R1772" s="35"/>
      <c r="S1772" s="35"/>
      <c r="T1772" s="35"/>
      <c r="U1772" s="35"/>
      <c r="V1772" s="121"/>
      <c r="W1772" s="42"/>
      <c r="X1772" s="42"/>
      <c r="Y1772" s="42"/>
      <c r="Z1772" s="42"/>
      <c r="AA1772" s="42"/>
      <c r="AB1772" s="42"/>
      <c r="AC1772" s="42"/>
      <c r="AD1772" s="42"/>
      <c r="AE1772" s="42"/>
      <c r="AF1772" s="42"/>
      <c r="AG1772" s="42"/>
      <c r="AH1772" s="42"/>
      <c r="AI1772" s="42"/>
      <c r="AJ1772" s="42"/>
      <c r="AK1772" s="42"/>
      <c r="AL1772" s="42"/>
      <c r="AM1772" s="42"/>
    </row>
    <row r="1773" spans="1:39" x14ac:dyDescent="0.25">
      <c r="A1773" s="38" t="s">
        <v>2124</v>
      </c>
      <c r="B1773" s="42"/>
      <c r="C1773" s="42"/>
      <c r="D1773" s="42"/>
      <c r="E1773" s="41"/>
      <c r="F1773" s="41"/>
      <c r="G1773" s="41"/>
      <c r="H1773" s="41"/>
      <c r="I1773" s="41"/>
      <c r="J1773" s="42"/>
      <c r="K1773" s="41"/>
      <c r="L1773" s="41"/>
      <c r="M1773" s="127"/>
      <c r="N1773" s="41"/>
      <c r="O1773" s="41"/>
      <c r="P1773" s="41"/>
      <c r="Q1773" s="42"/>
      <c r="R1773" s="35"/>
      <c r="S1773" s="35"/>
      <c r="T1773" s="35"/>
      <c r="U1773" s="35"/>
      <c r="V1773" s="121"/>
      <c r="W1773" s="42"/>
      <c r="X1773" s="42"/>
      <c r="Y1773" s="42"/>
      <c r="Z1773" s="42"/>
      <c r="AA1773" s="42"/>
      <c r="AB1773" s="42"/>
      <c r="AC1773" s="42"/>
      <c r="AD1773" s="42"/>
      <c r="AE1773" s="42"/>
      <c r="AF1773" s="42"/>
      <c r="AG1773" s="42"/>
      <c r="AH1773" s="42"/>
      <c r="AI1773" s="42"/>
      <c r="AJ1773" s="42"/>
      <c r="AK1773" s="42"/>
      <c r="AL1773" s="42"/>
      <c r="AM1773" s="42"/>
    </row>
    <row r="1774" spans="1:39" x14ac:dyDescent="0.25">
      <c r="A1774" s="38" t="s">
        <v>2125</v>
      </c>
      <c r="B1774" s="42"/>
      <c r="C1774" s="42"/>
      <c r="D1774" s="42"/>
      <c r="E1774" s="41"/>
      <c r="F1774" s="41"/>
      <c r="G1774" s="41"/>
      <c r="H1774" s="41"/>
      <c r="I1774" s="41"/>
      <c r="J1774" s="42"/>
      <c r="K1774" s="41"/>
      <c r="L1774" s="41"/>
      <c r="M1774" s="127"/>
      <c r="N1774" s="41"/>
      <c r="O1774" s="41"/>
      <c r="P1774" s="41"/>
      <c r="Q1774" s="42"/>
      <c r="R1774" s="35"/>
      <c r="S1774" s="35"/>
      <c r="T1774" s="35"/>
      <c r="U1774" s="35"/>
      <c r="V1774" s="121"/>
      <c r="W1774" s="42"/>
      <c r="X1774" s="42"/>
      <c r="Y1774" s="42"/>
      <c r="Z1774" s="42"/>
      <c r="AA1774" s="42"/>
      <c r="AB1774" s="42"/>
      <c r="AC1774" s="42"/>
      <c r="AD1774" s="42"/>
      <c r="AE1774" s="42"/>
      <c r="AF1774" s="42"/>
      <c r="AG1774" s="42"/>
      <c r="AH1774" s="42"/>
      <c r="AI1774" s="42"/>
      <c r="AJ1774" s="42"/>
      <c r="AK1774" s="42"/>
      <c r="AL1774" s="42"/>
      <c r="AM1774" s="42"/>
    </row>
    <row r="1775" spans="1:39" x14ac:dyDescent="0.25">
      <c r="A1775" s="38" t="s">
        <v>2126</v>
      </c>
      <c r="B1775" s="42"/>
      <c r="C1775" s="42"/>
      <c r="D1775" s="42"/>
      <c r="E1775" s="41"/>
      <c r="F1775" s="41"/>
      <c r="G1775" s="41"/>
      <c r="H1775" s="41"/>
      <c r="I1775" s="41"/>
      <c r="J1775" s="42"/>
      <c r="K1775" s="41"/>
      <c r="L1775" s="41"/>
      <c r="M1775" s="127"/>
      <c r="N1775" s="41"/>
      <c r="O1775" s="41"/>
      <c r="P1775" s="41"/>
      <c r="Q1775" s="42"/>
      <c r="R1775" s="35"/>
      <c r="S1775" s="35"/>
      <c r="T1775" s="35"/>
      <c r="U1775" s="35"/>
      <c r="V1775" s="121"/>
      <c r="W1775" s="42"/>
      <c r="X1775" s="42"/>
      <c r="Y1775" s="42"/>
      <c r="Z1775" s="42"/>
      <c r="AA1775" s="42"/>
      <c r="AB1775" s="42"/>
      <c r="AC1775" s="42"/>
      <c r="AD1775" s="42"/>
      <c r="AE1775" s="42"/>
      <c r="AF1775" s="42"/>
      <c r="AG1775" s="42"/>
      <c r="AH1775" s="42"/>
      <c r="AI1775" s="42"/>
      <c r="AJ1775" s="42"/>
      <c r="AK1775" s="42"/>
      <c r="AL1775" s="42"/>
      <c r="AM1775" s="42"/>
    </row>
    <row r="1776" spans="1:39" x14ac:dyDescent="0.25">
      <c r="A1776" s="38" t="s">
        <v>2127</v>
      </c>
      <c r="B1776" s="42"/>
      <c r="C1776" s="42"/>
      <c r="D1776" s="42"/>
      <c r="E1776" s="41"/>
      <c r="F1776" s="41"/>
      <c r="G1776" s="41"/>
      <c r="H1776" s="41"/>
      <c r="I1776" s="41"/>
      <c r="J1776" s="42"/>
      <c r="K1776" s="41"/>
      <c r="L1776" s="41"/>
      <c r="M1776" s="127"/>
      <c r="N1776" s="41"/>
      <c r="O1776" s="41"/>
      <c r="P1776" s="41"/>
      <c r="Q1776" s="42"/>
      <c r="R1776" s="35"/>
      <c r="S1776" s="35"/>
      <c r="T1776" s="35"/>
      <c r="U1776" s="35"/>
      <c r="V1776" s="121"/>
      <c r="W1776" s="42"/>
      <c r="X1776" s="42"/>
      <c r="Y1776" s="42"/>
      <c r="Z1776" s="42"/>
      <c r="AA1776" s="42"/>
      <c r="AB1776" s="42"/>
      <c r="AC1776" s="42"/>
      <c r="AD1776" s="42"/>
      <c r="AE1776" s="42"/>
      <c r="AF1776" s="42"/>
      <c r="AG1776" s="42"/>
      <c r="AH1776" s="42"/>
      <c r="AI1776" s="42"/>
      <c r="AJ1776" s="42"/>
      <c r="AK1776" s="42"/>
      <c r="AL1776" s="42"/>
      <c r="AM1776" s="42"/>
    </row>
    <row r="1777" spans="1:39" x14ac:dyDescent="0.25">
      <c r="A1777" s="38" t="s">
        <v>2128</v>
      </c>
      <c r="B1777" s="42"/>
      <c r="C1777" s="42"/>
      <c r="D1777" s="42"/>
      <c r="E1777" s="41"/>
      <c r="F1777" s="41"/>
      <c r="G1777" s="41"/>
      <c r="H1777" s="41"/>
      <c r="I1777" s="41"/>
      <c r="J1777" s="42"/>
      <c r="K1777" s="41"/>
      <c r="L1777" s="41"/>
      <c r="M1777" s="127"/>
      <c r="N1777" s="41"/>
      <c r="O1777" s="41"/>
      <c r="P1777" s="41"/>
      <c r="Q1777" s="42"/>
      <c r="R1777" s="35"/>
      <c r="S1777" s="35"/>
      <c r="T1777" s="35"/>
      <c r="U1777" s="35"/>
      <c r="V1777" s="121"/>
      <c r="W1777" s="42"/>
      <c r="X1777" s="42"/>
      <c r="Y1777" s="42"/>
      <c r="Z1777" s="42"/>
      <c r="AA1777" s="42"/>
      <c r="AB1777" s="42"/>
      <c r="AC1777" s="42"/>
      <c r="AD1777" s="42"/>
      <c r="AE1777" s="42"/>
      <c r="AF1777" s="42"/>
      <c r="AG1777" s="42"/>
      <c r="AH1777" s="42"/>
      <c r="AI1777" s="42"/>
      <c r="AJ1777" s="42"/>
      <c r="AK1777" s="42"/>
      <c r="AL1777" s="42"/>
      <c r="AM1777" s="42"/>
    </row>
    <row r="1778" spans="1:39" x14ac:dyDescent="0.25">
      <c r="A1778" s="38" t="s">
        <v>2129</v>
      </c>
      <c r="B1778" s="42"/>
      <c r="C1778" s="42"/>
      <c r="D1778" s="42"/>
      <c r="E1778" s="41"/>
      <c r="F1778" s="41"/>
      <c r="G1778" s="41"/>
      <c r="H1778" s="41"/>
      <c r="I1778" s="41"/>
      <c r="J1778" s="42"/>
      <c r="K1778" s="41"/>
      <c r="L1778" s="41"/>
      <c r="M1778" s="127"/>
      <c r="N1778" s="41"/>
      <c r="O1778" s="41"/>
      <c r="P1778" s="41"/>
      <c r="Q1778" s="42"/>
      <c r="R1778" s="35"/>
      <c r="S1778" s="35"/>
      <c r="T1778" s="35"/>
      <c r="U1778" s="35"/>
      <c r="V1778" s="121"/>
      <c r="W1778" s="42"/>
      <c r="X1778" s="42"/>
      <c r="Y1778" s="42"/>
      <c r="Z1778" s="42"/>
      <c r="AA1778" s="42"/>
      <c r="AB1778" s="42"/>
      <c r="AC1778" s="42"/>
      <c r="AD1778" s="42"/>
      <c r="AE1778" s="42"/>
      <c r="AF1778" s="42"/>
      <c r="AG1778" s="42"/>
      <c r="AH1778" s="42"/>
      <c r="AI1778" s="42"/>
      <c r="AJ1778" s="42"/>
      <c r="AK1778" s="42"/>
      <c r="AL1778" s="42"/>
      <c r="AM1778" s="42"/>
    </row>
    <row r="1779" spans="1:39" x14ac:dyDescent="0.25">
      <c r="A1779" s="38" t="s">
        <v>2130</v>
      </c>
      <c r="B1779" s="42"/>
      <c r="C1779" s="42"/>
      <c r="D1779" s="42"/>
      <c r="E1779" s="41"/>
      <c r="F1779" s="41"/>
      <c r="G1779" s="41"/>
      <c r="H1779" s="41"/>
      <c r="I1779" s="41"/>
      <c r="J1779" s="42"/>
      <c r="K1779" s="41"/>
      <c r="L1779" s="41"/>
      <c r="M1779" s="127"/>
      <c r="N1779" s="41"/>
      <c r="O1779" s="41"/>
      <c r="P1779" s="41"/>
      <c r="Q1779" s="42"/>
      <c r="R1779" s="35"/>
      <c r="S1779" s="35"/>
      <c r="T1779" s="35"/>
      <c r="U1779" s="35"/>
      <c r="V1779" s="121"/>
      <c r="W1779" s="42"/>
      <c r="X1779" s="42"/>
      <c r="Y1779" s="42"/>
      <c r="Z1779" s="42"/>
      <c r="AA1779" s="42"/>
      <c r="AB1779" s="42"/>
      <c r="AC1779" s="42"/>
      <c r="AD1779" s="42"/>
      <c r="AE1779" s="42"/>
      <c r="AF1779" s="42"/>
      <c r="AG1779" s="42"/>
      <c r="AH1779" s="42"/>
      <c r="AI1779" s="42"/>
      <c r="AJ1779" s="42"/>
      <c r="AK1779" s="42"/>
      <c r="AL1779" s="42"/>
      <c r="AM1779" s="42"/>
    </row>
    <row r="1780" spans="1:39" x14ac:dyDescent="0.25">
      <c r="A1780" s="38" t="s">
        <v>2131</v>
      </c>
      <c r="B1780" s="42"/>
      <c r="C1780" s="42"/>
      <c r="D1780" s="42"/>
      <c r="E1780" s="41"/>
      <c r="F1780" s="41"/>
      <c r="G1780" s="41"/>
      <c r="H1780" s="41"/>
      <c r="I1780" s="41"/>
      <c r="J1780" s="42"/>
      <c r="K1780" s="41"/>
      <c r="L1780" s="41"/>
      <c r="M1780" s="127"/>
      <c r="N1780" s="41"/>
      <c r="O1780" s="41"/>
      <c r="P1780" s="41"/>
      <c r="Q1780" s="42"/>
      <c r="R1780" s="35"/>
      <c r="S1780" s="35"/>
      <c r="T1780" s="35"/>
      <c r="U1780" s="35"/>
      <c r="V1780" s="121"/>
      <c r="W1780" s="42"/>
      <c r="X1780" s="42"/>
      <c r="Y1780" s="42"/>
      <c r="Z1780" s="42"/>
      <c r="AA1780" s="42"/>
      <c r="AB1780" s="42"/>
      <c r="AC1780" s="42"/>
      <c r="AD1780" s="42"/>
      <c r="AE1780" s="42"/>
      <c r="AF1780" s="42"/>
      <c r="AG1780" s="42"/>
      <c r="AH1780" s="42"/>
      <c r="AI1780" s="42"/>
      <c r="AJ1780" s="42"/>
      <c r="AK1780" s="42"/>
      <c r="AL1780" s="42"/>
      <c r="AM1780" s="42"/>
    </row>
    <row r="1781" spans="1:39" x14ac:dyDescent="0.25">
      <c r="A1781" s="38" t="s">
        <v>2132</v>
      </c>
      <c r="B1781" s="42"/>
      <c r="C1781" s="42"/>
      <c r="D1781" s="42"/>
      <c r="E1781" s="41"/>
      <c r="F1781" s="41"/>
      <c r="G1781" s="41"/>
      <c r="H1781" s="41"/>
      <c r="I1781" s="41"/>
      <c r="J1781" s="42"/>
      <c r="K1781" s="41"/>
      <c r="L1781" s="41"/>
      <c r="M1781" s="127"/>
      <c r="N1781" s="41"/>
      <c r="O1781" s="41"/>
      <c r="P1781" s="41"/>
      <c r="Q1781" s="42"/>
      <c r="R1781" s="35"/>
      <c r="S1781" s="35"/>
      <c r="T1781" s="35"/>
      <c r="U1781" s="35"/>
      <c r="V1781" s="121"/>
      <c r="W1781" s="42"/>
      <c r="X1781" s="42"/>
      <c r="Y1781" s="42"/>
      <c r="Z1781" s="42"/>
      <c r="AA1781" s="42"/>
      <c r="AB1781" s="42"/>
      <c r="AC1781" s="42"/>
      <c r="AD1781" s="42"/>
      <c r="AE1781" s="42"/>
      <c r="AF1781" s="42"/>
      <c r="AG1781" s="42"/>
      <c r="AH1781" s="42"/>
      <c r="AI1781" s="42"/>
      <c r="AJ1781" s="42"/>
      <c r="AK1781" s="42"/>
      <c r="AL1781" s="42"/>
      <c r="AM1781" s="42"/>
    </row>
    <row r="1782" spans="1:39" x14ac:dyDescent="0.25">
      <c r="A1782" s="38" t="s">
        <v>2133</v>
      </c>
      <c r="B1782" s="42"/>
      <c r="C1782" s="42"/>
      <c r="D1782" s="42"/>
      <c r="E1782" s="41"/>
      <c r="F1782" s="41"/>
      <c r="G1782" s="41"/>
      <c r="H1782" s="41"/>
      <c r="I1782" s="41"/>
      <c r="J1782" s="42"/>
      <c r="K1782" s="41"/>
      <c r="L1782" s="41"/>
      <c r="M1782" s="127"/>
      <c r="N1782" s="41"/>
      <c r="O1782" s="41"/>
      <c r="P1782" s="41"/>
      <c r="Q1782" s="42"/>
      <c r="R1782" s="35"/>
      <c r="S1782" s="35"/>
      <c r="T1782" s="35"/>
      <c r="U1782" s="35"/>
      <c r="V1782" s="121"/>
      <c r="W1782" s="42"/>
      <c r="X1782" s="42"/>
      <c r="Y1782" s="42"/>
      <c r="Z1782" s="42"/>
      <c r="AA1782" s="42"/>
      <c r="AB1782" s="42"/>
      <c r="AC1782" s="42"/>
      <c r="AD1782" s="42"/>
      <c r="AE1782" s="42"/>
      <c r="AF1782" s="42"/>
      <c r="AG1782" s="42"/>
      <c r="AH1782" s="42"/>
      <c r="AI1782" s="42"/>
      <c r="AJ1782" s="42"/>
      <c r="AK1782" s="42"/>
      <c r="AL1782" s="42"/>
      <c r="AM1782" s="42"/>
    </row>
    <row r="1783" spans="1:39" x14ac:dyDescent="0.25">
      <c r="A1783" s="38" t="s">
        <v>2134</v>
      </c>
      <c r="B1783" s="42"/>
      <c r="C1783" s="42"/>
      <c r="D1783" s="42"/>
      <c r="E1783" s="41"/>
      <c r="F1783" s="41"/>
      <c r="G1783" s="41"/>
      <c r="H1783" s="41"/>
      <c r="I1783" s="41"/>
      <c r="J1783" s="42"/>
      <c r="K1783" s="41"/>
      <c r="L1783" s="41"/>
      <c r="M1783" s="127"/>
      <c r="N1783" s="41"/>
      <c r="O1783" s="41"/>
      <c r="P1783" s="41"/>
      <c r="Q1783" s="42"/>
      <c r="R1783" s="35"/>
      <c r="S1783" s="35"/>
      <c r="T1783" s="35"/>
      <c r="U1783" s="35"/>
      <c r="V1783" s="121"/>
      <c r="W1783" s="42"/>
      <c r="X1783" s="42"/>
      <c r="Y1783" s="42"/>
      <c r="Z1783" s="42"/>
      <c r="AA1783" s="42"/>
      <c r="AB1783" s="42"/>
      <c r="AC1783" s="42"/>
      <c r="AD1783" s="42"/>
      <c r="AE1783" s="42"/>
      <c r="AF1783" s="42"/>
      <c r="AG1783" s="42"/>
      <c r="AH1783" s="42"/>
      <c r="AI1783" s="42"/>
      <c r="AJ1783" s="42"/>
      <c r="AK1783" s="42"/>
      <c r="AL1783" s="42"/>
      <c r="AM1783" s="42"/>
    </row>
    <row r="1784" spans="1:39" x14ac:dyDescent="0.25">
      <c r="A1784" s="38" t="s">
        <v>2135</v>
      </c>
      <c r="B1784" s="42"/>
      <c r="C1784" s="42"/>
      <c r="D1784" s="42"/>
      <c r="E1784" s="41"/>
      <c r="F1784" s="41"/>
      <c r="G1784" s="41"/>
      <c r="H1784" s="41"/>
      <c r="I1784" s="41"/>
      <c r="J1784" s="42"/>
      <c r="K1784" s="41"/>
      <c r="L1784" s="41"/>
      <c r="M1784" s="127"/>
      <c r="N1784" s="41"/>
      <c r="O1784" s="41"/>
      <c r="P1784" s="41"/>
      <c r="Q1784" s="42"/>
      <c r="R1784" s="35"/>
      <c r="S1784" s="35"/>
      <c r="T1784" s="35"/>
      <c r="U1784" s="35"/>
      <c r="V1784" s="121"/>
      <c r="W1784" s="42"/>
      <c r="X1784" s="42"/>
      <c r="Y1784" s="42"/>
      <c r="Z1784" s="42"/>
      <c r="AA1784" s="42"/>
      <c r="AB1784" s="42"/>
      <c r="AC1784" s="42"/>
      <c r="AD1784" s="42"/>
      <c r="AE1784" s="42"/>
      <c r="AF1784" s="42"/>
      <c r="AG1784" s="42"/>
      <c r="AH1784" s="42"/>
      <c r="AI1784" s="42"/>
      <c r="AJ1784" s="42"/>
      <c r="AK1784" s="42"/>
      <c r="AL1784" s="42"/>
      <c r="AM1784" s="42"/>
    </row>
    <row r="1785" spans="1:39" x14ac:dyDescent="0.25">
      <c r="A1785" s="38" t="s">
        <v>2136</v>
      </c>
      <c r="B1785" s="42"/>
      <c r="C1785" s="42"/>
      <c r="D1785" s="42"/>
      <c r="E1785" s="41"/>
      <c r="F1785" s="41"/>
      <c r="G1785" s="41"/>
      <c r="H1785" s="41"/>
      <c r="I1785" s="41"/>
      <c r="J1785" s="42"/>
      <c r="K1785" s="41"/>
      <c r="L1785" s="41"/>
      <c r="M1785" s="127"/>
      <c r="N1785" s="41"/>
      <c r="O1785" s="41"/>
      <c r="P1785" s="41"/>
      <c r="Q1785" s="42"/>
      <c r="R1785" s="35"/>
      <c r="S1785" s="35"/>
      <c r="T1785" s="35"/>
      <c r="U1785" s="35"/>
      <c r="V1785" s="121"/>
      <c r="W1785" s="42"/>
      <c r="X1785" s="42"/>
      <c r="Y1785" s="42"/>
      <c r="Z1785" s="42"/>
      <c r="AA1785" s="42"/>
      <c r="AB1785" s="42"/>
      <c r="AC1785" s="42"/>
      <c r="AD1785" s="42"/>
      <c r="AE1785" s="42"/>
      <c r="AF1785" s="42"/>
      <c r="AG1785" s="42"/>
      <c r="AH1785" s="42"/>
      <c r="AI1785" s="42"/>
      <c r="AJ1785" s="42"/>
      <c r="AK1785" s="42"/>
      <c r="AL1785" s="42"/>
      <c r="AM1785" s="42"/>
    </row>
    <row r="1786" spans="1:39" x14ac:dyDescent="0.25">
      <c r="A1786" s="38" t="s">
        <v>2137</v>
      </c>
      <c r="B1786" s="42"/>
      <c r="C1786" s="42"/>
      <c r="D1786" s="42"/>
      <c r="E1786" s="41"/>
      <c r="F1786" s="41"/>
      <c r="G1786" s="41"/>
      <c r="H1786" s="41"/>
      <c r="I1786" s="41"/>
      <c r="J1786" s="42"/>
      <c r="K1786" s="41"/>
      <c r="L1786" s="41"/>
      <c r="M1786" s="127"/>
      <c r="N1786" s="41"/>
      <c r="O1786" s="41"/>
      <c r="P1786" s="41"/>
      <c r="Q1786" s="42"/>
      <c r="R1786" s="35"/>
      <c r="S1786" s="35"/>
      <c r="T1786" s="35"/>
      <c r="U1786" s="35"/>
      <c r="V1786" s="121"/>
      <c r="W1786" s="42"/>
      <c r="X1786" s="42"/>
      <c r="Y1786" s="42"/>
      <c r="Z1786" s="42"/>
      <c r="AA1786" s="42"/>
      <c r="AB1786" s="42"/>
      <c r="AC1786" s="42"/>
      <c r="AD1786" s="42"/>
      <c r="AE1786" s="42"/>
      <c r="AF1786" s="42"/>
      <c r="AG1786" s="42"/>
      <c r="AH1786" s="42"/>
      <c r="AI1786" s="42"/>
      <c r="AJ1786" s="42"/>
      <c r="AK1786" s="42"/>
      <c r="AL1786" s="42"/>
      <c r="AM1786" s="42"/>
    </row>
    <row r="1787" spans="1:39" x14ac:dyDescent="0.25">
      <c r="A1787" s="38" t="s">
        <v>2138</v>
      </c>
      <c r="B1787" s="42"/>
      <c r="C1787" s="42"/>
      <c r="D1787" s="42"/>
      <c r="E1787" s="41"/>
      <c r="F1787" s="41"/>
      <c r="G1787" s="41"/>
      <c r="H1787" s="41"/>
      <c r="I1787" s="41"/>
      <c r="J1787" s="42"/>
      <c r="K1787" s="41"/>
      <c r="L1787" s="41"/>
      <c r="M1787" s="127"/>
      <c r="N1787" s="41"/>
      <c r="O1787" s="41"/>
      <c r="P1787" s="41"/>
      <c r="Q1787" s="42"/>
      <c r="R1787" s="35"/>
      <c r="S1787" s="35"/>
      <c r="T1787" s="35"/>
      <c r="U1787" s="35"/>
      <c r="V1787" s="121"/>
      <c r="W1787" s="42"/>
      <c r="X1787" s="42"/>
      <c r="Y1787" s="42"/>
      <c r="Z1787" s="42"/>
      <c r="AA1787" s="42"/>
      <c r="AB1787" s="42"/>
      <c r="AC1787" s="42"/>
      <c r="AD1787" s="42"/>
      <c r="AE1787" s="42"/>
      <c r="AF1787" s="42"/>
      <c r="AG1787" s="42"/>
      <c r="AH1787" s="42"/>
      <c r="AI1787" s="42"/>
      <c r="AJ1787" s="42"/>
      <c r="AK1787" s="42"/>
      <c r="AL1787" s="42"/>
      <c r="AM1787" s="42"/>
    </row>
    <row r="1788" spans="1:39" x14ac:dyDescent="0.25">
      <c r="A1788" s="38" t="s">
        <v>2139</v>
      </c>
      <c r="B1788" s="42"/>
      <c r="C1788" s="42"/>
      <c r="D1788" s="42"/>
      <c r="E1788" s="41"/>
      <c r="F1788" s="41"/>
      <c r="G1788" s="41"/>
      <c r="H1788" s="41"/>
      <c r="I1788" s="41"/>
      <c r="J1788" s="42"/>
      <c r="K1788" s="41"/>
      <c r="L1788" s="41"/>
      <c r="M1788" s="127"/>
      <c r="N1788" s="41"/>
      <c r="O1788" s="41"/>
      <c r="P1788" s="41"/>
      <c r="Q1788" s="42"/>
      <c r="R1788" s="35"/>
      <c r="S1788" s="35"/>
      <c r="T1788" s="35"/>
      <c r="U1788" s="35"/>
      <c r="V1788" s="121"/>
      <c r="W1788" s="42"/>
      <c r="X1788" s="42"/>
      <c r="Y1788" s="42"/>
      <c r="Z1788" s="42"/>
      <c r="AA1788" s="42"/>
      <c r="AB1788" s="42"/>
      <c r="AC1788" s="42"/>
      <c r="AD1788" s="42"/>
      <c r="AE1788" s="42"/>
      <c r="AF1788" s="42"/>
      <c r="AG1788" s="42"/>
      <c r="AH1788" s="42"/>
      <c r="AI1788" s="42"/>
      <c r="AJ1788" s="42"/>
      <c r="AK1788" s="42"/>
      <c r="AL1788" s="42"/>
      <c r="AM1788" s="42"/>
    </row>
    <row r="1789" spans="1:39" x14ac:dyDescent="0.25">
      <c r="A1789" s="38" t="s">
        <v>2140</v>
      </c>
      <c r="B1789" s="42"/>
      <c r="C1789" s="42"/>
      <c r="D1789" s="42"/>
      <c r="E1789" s="41"/>
      <c r="F1789" s="41"/>
      <c r="G1789" s="41"/>
      <c r="H1789" s="41"/>
      <c r="I1789" s="41"/>
      <c r="J1789" s="42"/>
      <c r="K1789" s="41"/>
      <c r="L1789" s="41"/>
      <c r="M1789" s="127"/>
      <c r="N1789" s="41"/>
      <c r="O1789" s="41"/>
      <c r="P1789" s="41"/>
      <c r="Q1789" s="42"/>
      <c r="R1789" s="35"/>
      <c r="S1789" s="35"/>
      <c r="T1789" s="35"/>
      <c r="U1789" s="35"/>
      <c r="V1789" s="121"/>
      <c r="W1789" s="42"/>
      <c r="X1789" s="42"/>
      <c r="Y1789" s="42"/>
      <c r="Z1789" s="42"/>
      <c r="AA1789" s="42"/>
      <c r="AB1789" s="42"/>
      <c r="AC1789" s="42"/>
      <c r="AD1789" s="42"/>
      <c r="AE1789" s="42"/>
      <c r="AF1789" s="42"/>
      <c r="AG1789" s="42"/>
      <c r="AH1789" s="42"/>
      <c r="AI1789" s="42"/>
      <c r="AJ1789" s="42"/>
      <c r="AK1789" s="42"/>
      <c r="AL1789" s="42"/>
      <c r="AM1789" s="42"/>
    </row>
    <row r="1790" spans="1:39" x14ac:dyDescent="0.25">
      <c r="A1790" s="38" t="s">
        <v>2141</v>
      </c>
      <c r="B1790" s="42"/>
      <c r="C1790" s="42"/>
      <c r="D1790" s="42"/>
      <c r="E1790" s="41"/>
      <c r="F1790" s="41"/>
      <c r="G1790" s="41"/>
      <c r="H1790" s="41"/>
      <c r="I1790" s="41"/>
      <c r="J1790" s="42"/>
      <c r="K1790" s="41"/>
      <c r="L1790" s="41"/>
      <c r="M1790" s="127"/>
      <c r="N1790" s="41"/>
      <c r="O1790" s="41"/>
      <c r="P1790" s="41"/>
      <c r="Q1790" s="42"/>
      <c r="R1790" s="35"/>
      <c r="S1790" s="35"/>
      <c r="T1790" s="35"/>
      <c r="U1790" s="35"/>
      <c r="V1790" s="121"/>
      <c r="W1790" s="42"/>
      <c r="X1790" s="42"/>
      <c r="Y1790" s="42"/>
      <c r="Z1790" s="42"/>
      <c r="AA1790" s="42"/>
      <c r="AB1790" s="42"/>
      <c r="AC1790" s="42"/>
      <c r="AD1790" s="42"/>
      <c r="AE1790" s="42"/>
      <c r="AF1790" s="42"/>
      <c r="AG1790" s="42"/>
      <c r="AH1790" s="42"/>
      <c r="AI1790" s="42"/>
      <c r="AJ1790" s="42"/>
      <c r="AK1790" s="42"/>
      <c r="AL1790" s="42"/>
      <c r="AM1790" s="42"/>
    </row>
    <row r="1791" spans="1:39" x14ac:dyDescent="0.25">
      <c r="A1791" s="38" t="s">
        <v>2142</v>
      </c>
      <c r="B1791" s="42"/>
      <c r="C1791" s="42"/>
      <c r="D1791" s="42"/>
      <c r="E1791" s="41"/>
      <c r="F1791" s="41"/>
      <c r="G1791" s="41"/>
      <c r="H1791" s="41"/>
      <c r="I1791" s="41"/>
      <c r="J1791" s="42"/>
      <c r="K1791" s="41"/>
      <c r="L1791" s="41"/>
      <c r="M1791" s="127"/>
      <c r="N1791" s="41"/>
      <c r="O1791" s="41"/>
      <c r="P1791" s="41"/>
      <c r="Q1791" s="42"/>
      <c r="R1791" s="35"/>
      <c r="S1791" s="35"/>
      <c r="T1791" s="35"/>
      <c r="U1791" s="35"/>
      <c r="V1791" s="121"/>
      <c r="W1791" s="42"/>
      <c r="X1791" s="42"/>
      <c r="Y1791" s="42"/>
      <c r="Z1791" s="42"/>
      <c r="AA1791" s="42"/>
      <c r="AB1791" s="42"/>
      <c r="AC1791" s="42"/>
      <c r="AD1791" s="42"/>
      <c r="AE1791" s="42"/>
      <c r="AF1791" s="42"/>
      <c r="AG1791" s="42"/>
      <c r="AH1791" s="42"/>
      <c r="AI1791" s="42"/>
      <c r="AJ1791" s="42"/>
      <c r="AK1791" s="42"/>
      <c r="AL1791" s="42"/>
      <c r="AM1791" s="42"/>
    </row>
    <row r="1792" spans="1:39" x14ac:dyDescent="0.25">
      <c r="A1792" s="38" t="s">
        <v>2143</v>
      </c>
      <c r="B1792" s="42"/>
      <c r="C1792" s="42"/>
      <c r="D1792" s="42"/>
      <c r="E1792" s="41"/>
      <c r="F1792" s="41"/>
      <c r="G1792" s="41"/>
      <c r="H1792" s="41"/>
      <c r="I1792" s="41"/>
      <c r="J1792" s="42"/>
      <c r="K1792" s="41"/>
      <c r="L1792" s="41"/>
      <c r="M1792" s="127"/>
      <c r="N1792" s="41"/>
      <c r="O1792" s="41"/>
      <c r="P1792" s="41"/>
      <c r="Q1792" s="42"/>
      <c r="R1792" s="35"/>
      <c r="S1792" s="35"/>
      <c r="T1792" s="35"/>
      <c r="U1792" s="35"/>
      <c r="V1792" s="121"/>
      <c r="W1792" s="42"/>
      <c r="X1792" s="42"/>
      <c r="Y1792" s="42"/>
      <c r="Z1792" s="42"/>
      <c r="AA1792" s="42"/>
      <c r="AB1792" s="42"/>
      <c r="AC1792" s="42"/>
      <c r="AD1792" s="42"/>
      <c r="AE1792" s="42"/>
      <c r="AF1792" s="42"/>
      <c r="AG1792" s="42"/>
      <c r="AH1792" s="42"/>
      <c r="AI1792" s="42"/>
      <c r="AJ1792" s="42"/>
      <c r="AK1792" s="42"/>
      <c r="AL1792" s="42"/>
      <c r="AM1792" s="42"/>
    </row>
    <row r="1793" spans="1:39" x14ac:dyDescent="0.25">
      <c r="A1793" s="38" t="s">
        <v>2144</v>
      </c>
      <c r="B1793" s="42"/>
      <c r="C1793" s="42"/>
      <c r="D1793" s="42"/>
      <c r="E1793" s="41"/>
      <c r="F1793" s="41"/>
      <c r="G1793" s="41"/>
      <c r="H1793" s="41"/>
      <c r="I1793" s="41"/>
      <c r="J1793" s="42"/>
      <c r="K1793" s="41"/>
      <c r="L1793" s="41"/>
      <c r="M1793" s="127"/>
      <c r="N1793" s="41"/>
      <c r="O1793" s="41"/>
      <c r="P1793" s="41"/>
      <c r="Q1793" s="42"/>
      <c r="R1793" s="35"/>
      <c r="S1793" s="35"/>
      <c r="T1793" s="35"/>
      <c r="U1793" s="35"/>
      <c r="V1793" s="121"/>
      <c r="W1793" s="42"/>
      <c r="X1793" s="42"/>
      <c r="Y1793" s="42"/>
      <c r="Z1793" s="42"/>
      <c r="AA1793" s="42"/>
      <c r="AB1793" s="42"/>
      <c r="AC1793" s="42"/>
      <c r="AD1793" s="42"/>
      <c r="AE1793" s="42"/>
      <c r="AF1793" s="42"/>
      <c r="AG1793" s="42"/>
      <c r="AH1793" s="42"/>
      <c r="AI1793" s="42"/>
      <c r="AJ1793" s="42"/>
      <c r="AK1793" s="42"/>
      <c r="AL1793" s="42"/>
      <c r="AM1793" s="42"/>
    </row>
    <row r="1794" spans="1:39" x14ac:dyDescent="0.25">
      <c r="A1794" s="38" t="s">
        <v>2145</v>
      </c>
      <c r="B1794" s="42"/>
      <c r="C1794" s="42"/>
      <c r="D1794" s="42"/>
      <c r="E1794" s="41"/>
      <c r="F1794" s="41"/>
      <c r="G1794" s="41"/>
      <c r="H1794" s="41"/>
      <c r="I1794" s="41"/>
      <c r="J1794" s="42"/>
      <c r="K1794" s="41"/>
      <c r="L1794" s="41"/>
      <c r="M1794" s="127"/>
      <c r="N1794" s="41"/>
      <c r="O1794" s="41"/>
      <c r="P1794" s="41"/>
      <c r="Q1794" s="42"/>
      <c r="R1794" s="35"/>
      <c r="S1794" s="35"/>
      <c r="T1794" s="35"/>
      <c r="U1794" s="35"/>
      <c r="V1794" s="121"/>
      <c r="W1794" s="42"/>
      <c r="X1794" s="42"/>
      <c r="Y1794" s="42"/>
      <c r="Z1794" s="42"/>
      <c r="AA1794" s="42"/>
      <c r="AB1794" s="42"/>
      <c r="AC1794" s="42"/>
      <c r="AD1794" s="42"/>
      <c r="AE1794" s="42"/>
      <c r="AF1794" s="42"/>
      <c r="AG1794" s="42"/>
      <c r="AH1794" s="42"/>
      <c r="AI1794" s="42"/>
      <c r="AJ1794" s="42"/>
      <c r="AK1794" s="42"/>
      <c r="AL1794" s="42"/>
      <c r="AM1794" s="42"/>
    </row>
    <row r="1795" spans="1:39" x14ac:dyDescent="0.25">
      <c r="A1795" s="38" t="s">
        <v>2146</v>
      </c>
      <c r="B1795" s="42"/>
      <c r="C1795" s="42"/>
      <c r="D1795" s="42"/>
      <c r="E1795" s="41"/>
      <c r="F1795" s="41"/>
      <c r="G1795" s="41"/>
      <c r="H1795" s="41"/>
      <c r="I1795" s="41"/>
      <c r="J1795" s="42"/>
      <c r="K1795" s="41"/>
      <c r="L1795" s="41"/>
      <c r="M1795" s="127"/>
      <c r="N1795" s="41"/>
      <c r="O1795" s="41"/>
      <c r="P1795" s="41"/>
      <c r="Q1795" s="42"/>
      <c r="R1795" s="35"/>
      <c r="S1795" s="35"/>
      <c r="T1795" s="35"/>
      <c r="U1795" s="35"/>
      <c r="V1795" s="121"/>
      <c r="W1795" s="42"/>
      <c r="X1795" s="42"/>
      <c r="Y1795" s="42"/>
      <c r="Z1795" s="42"/>
      <c r="AA1795" s="42"/>
      <c r="AB1795" s="42"/>
      <c r="AC1795" s="42"/>
      <c r="AD1795" s="42"/>
      <c r="AE1795" s="42"/>
      <c r="AF1795" s="42"/>
      <c r="AG1795" s="42"/>
      <c r="AH1795" s="42"/>
      <c r="AI1795" s="42"/>
      <c r="AJ1795" s="42"/>
      <c r="AK1795" s="42"/>
      <c r="AL1795" s="42"/>
      <c r="AM1795" s="42"/>
    </row>
    <row r="1796" spans="1:39" x14ac:dyDescent="0.25">
      <c r="A1796" s="38" t="s">
        <v>2147</v>
      </c>
      <c r="B1796" s="42"/>
      <c r="C1796" s="42"/>
      <c r="D1796" s="42"/>
      <c r="E1796" s="41"/>
      <c r="F1796" s="41"/>
      <c r="G1796" s="41"/>
      <c r="H1796" s="41"/>
      <c r="I1796" s="41"/>
      <c r="J1796" s="42"/>
      <c r="K1796" s="41"/>
      <c r="L1796" s="41"/>
      <c r="M1796" s="127"/>
      <c r="N1796" s="41"/>
      <c r="O1796" s="41"/>
      <c r="P1796" s="41"/>
      <c r="Q1796" s="42"/>
      <c r="R1796" s="35"/>
      <c r="S1796" s="35"/>
      <c r="T1796" s="35"/>
      <c r="U1796" s="35"/>
      <c r="V1796" s="121"/>
      <c r="W1796" s="42"/>
      <c r="X1796" s="42"/>
      <c r="Y1796" s="42"/>
      <c r="Z1796" s="42"/>
      <c r="AA1796" s="42"/>
      <c r="AB1796" s="42"/>
      <c r="AC1796" s="42"/>
      <c r="AD1796" s="42"/>
      <c r="AE1796" s="42"/>
      <c r="AF1796" s="42"/>
      <c r="AG1796" s="42"/>
      <c r="AH1796" s="42"/>
      <c r="AI1796" s="42"/>
      <c r="AJ1796" s="42"/>
      <c r="AK1796" s="42"/>
      <c r="AL1796" s="42"/>
      <c r="AM1796" s="42"/>
    </row>
    <row r="1797" spans="1:39" x14ac:dyDescent="0.25">
      <c r="A1797" s="38" t="s">
        <v>2148</v>
      </c>
      <c r="B1797" s="42"/>
      <c r="C1797" s="42"/>
      <c r="D1797" s="42"/>
      <c r="E1797" s="41"/>
      <c r="F1797" s="41"/>
      <c r="G1797" s="41"/>
      <c r="H1797" s="41"/>
      <c r="I1797" s="41"/>
      <c r="J1797" s="42"/>
      <c r="K1797" s="41"/>
      <c r="L1797" s="41"/>
      <c r="M1797" s="127"/>
      <c r="N1797" s="41"/>
      <c r="O1797" s="41"/>
      <c r="P1797" s="41"/>
      <c r="Q1797" s="42"/>
      <c r="R1797" s="35"/>
      <c r="S1797" s="35"/>
      <c r="T1797" s="35"/>
      <c r="U1797" s="35"/>
      <c r="V1797" s="121"/>
      <c r="W1797" s="42"/>
      <c r="X1797" s="42"/>
      <c r="Y1797" s="42"/>
      <c r="Z1797" s="42"/>
      <c r="AA1797" s="42"/>
      <c r="AB1797" s="42"/>
      <c r="AC1797" s="42"/>
      <c r="AD1797" s="42"/>
      <c r="AE1797" s="42"/>
      <c r="AF1797" s="42"/>
      <c r="AG1797" s="42"/>
      <c r="AH1797" s="42"/>
      <c r="AI1797" s="42"/>
      <c r="AJ1797" s="42"/>
      <c r="AK1797" s="42"/>
      <c r="AL1797" s="42"/>
      <c r="AM1797" s="42"/>
    </row>
    <row r="1798" spans="1:39" x14ac:dyDescent="0.25">
      <c r="A1798" s="38" t="s">
        <v>2149</v>
      </c>
      <c r="B1798" s="42"/>
      <c r="C1798" s="42"/>
      <c r="D1798" s="42"/>
      <c r="E1798" s="41"/>
      <c r="F1798" s="41"/>
      <c r="G1798" s="41"/>
      <c r="H1798" s="41"/>
      <c r="I1798" s="41"/>
      <c r="J1798" s="42"/>
      <c r="K1798" s="41"/>
      <c r="L1798" s="41"/>
      <c r="M1798" s="127"/>
      <c r="N1798" s="41"/>
      <c r="O1798" s="41"/>
      <c r="P1798" s="41"/>
      <c r="Q1798" s="42"/>
      <c r="R1798" s="35"/>
      <c r="S1798" s="35"/>
      <c r="T1798" s="35"/>
      <c r="U1798" s="35"/>
      <c r="V1798" s="121"/>
      <c r="W1798" s="42"/>
      <c r="X1798" s="42"/>
      <c r="Y1798" s="42"/>
      <c r="Z1798" s="42"/>
      <c r="AA1798" s="42"/>
      <c r="AB1798" s="42"/>
      <c r="AC1798" s="42"/>
      <c r="AD1798" s="42"/>
      <c r="AE1798" s="42"/>
      <c r="AF1798" s="42"/>
      <c r="AG1798" s="42"/>
      <c r="AH1798" s="42"/>
      <c r="AI1798" s="42"/>
      <c r="AJ1798" s="42"/>
      <c r="AK1798" s="42"/>
      <c r="AL1798" s="42"/>
      <c r="AM1798" s="42"/>
    </row>
    <row r="1799" spans="1:39" x14ac:dyDescent="0.25">
      <c r="A1799" s="38" t="s">
        <v>2150</v>
      </c>
      <c r="B1799" s="42"/>
      <c r="C1799" s="42"/>
      <c r="D1799" s="42"/>
      <c r="E1799" s="41"/>
      <c r="F1799" s="41"/>
      <c r="G1799" s="41"/>
      <c r="H1799" s="41"/>
      <c r="I1799" s="41"/>
      <c r="J1799" s="42"/>
      <c r="K1799" s="41"/>
      <c r="L1799" s="41"/>
      <c r="M1799" s="127"/>
      <c r="N1799" s="41"/>
      <c r="O1799" s="41"/>
      <c r="P1799" s="41"/>
      <c r="Q1799" s="42"/>
      <c r="R1799" s="35"/>
      <c r="S1799" s="35"/>
      <c r="T1799" s="35"/>
      <c r="U1799" s="35"/>
      <c r="V1799" s="121"/>
      <c r="W1799" s="42"/>
      <c r="X1799" s="42"/>
      <c r="Y1799" s="42"/>
      <c r="Z1799" s="42"/>
      <c r="AA1799" s="42"/>
      <c r="AB1799" s="42"/>
      <c r="AC1799" s="42"/>
      <c r="AD1799" s="42"/>
      <c r="AE1799" s="42"/>
      <c r="AF1799" s="42"/>
      <c r="AG1799" s="42"/>
      <c r="AH1799" s="42"/>
      <c r="AI1799" s="42"/>
      <c r="AJ1799" s="42"/>
      <c r="AK1799" s="42"/>
      <c r="AL1799" s="42"/>
      <c r="AM1799" s="42"/>
    </row>
    <row r="1800" spans="1:39" x14ac:dyDescent="0.25">
      <c r="A1800" s="38" t="s">
        <v>2151</v>
      </c>
      <c r="B1800" s="42"/>
      <c r="C1800" s="42"/>
      <c r="D1800" s="42"/>
      <c r="E1800" s="41"/>
      <c r="F1800" s="41"/>
      <c r="G1800" s="41"/>
      <c r="H1800" s="41"/>
      <c r="I1800" s="41"/>
      <c r="J1800" s="42"/>
      <c r="K1800" s="41"/>
      <c r="L1800" s="41"/>
      <c r="M1800" s="127"/>
      <c r="N1800" s="41"/>
      <c r="O1800" s="41"/>
      <c r="P1800" s="41"/>
      <c r="Q1800" s="42"/>
      <c r="R1800" s="35"/>
      <c r="S1800" s="35"/>
      <c r="T1800" s="35"/>
      <c r="U1800" s="35"/>
      <c r="V1800" s="121"/>
      <c r="W1800" s="42"/>
      <c r="X1800" s="42"/>
      <c r="Y1800" s="42"/>
      <c r="Z1800" s="42"/>
      <c r="AA1800" s="42"/>
      <c r="AB1800" s="42"/>
      <c r="AC1800" s="42"/>
      <c r="AD1800" s="42"/>
      <c r="AE1800" s="42"/>
      <c r="AF1800" s="42"/>
      <c r="AG1800" s="42"/>
      <c r="AH1800" s="42"/>
      <c r="AI1800" s="42"/>
      <c r="AJ1800" s="42"/>
      <c r="AK1800" s="42"/>
      <c r="AL1800" s="42"/>
      <c r="AM1800" s="42"/>
    </row>
    <row r="1801" spans="1:39" x14ac:dyDescent="0.25">
      <c r="A1801" s="38" t="s">
        <v>2152</v>
      </c>
      <c r="B1801" s="42"/>
      <c r="C1801" s="42"/>
      <c r="D1801" s="42"/>
      <c r="E1801" s="41"/>
      <c r="F1801" s="41"/>
      <c r="G1801" s="41"/>
      <c r="H1801" s="41"/>
      <c r="I1801" s="41"/>
      <c r="J1801" s="42"/>
      <c r="K1801" s="41"/>
      <c r="L1801" s="41"/>
      <c r="M1801" s="127"/>
      <c r="N1801" s="41"/>
      <c r="O1801" s="41"/>
      <c r="P1801" s="41"/>
      <c r="Q1801" s="42"/>
      <c r="R1801" s="35"/>
      <c r="S1801" s="35"/>
      <c r="T1801" s="35"/>
      <c r="U1801" s="35"/>
      <c r="V1801" s="121"/>
      <c r="W1801" s="42"/>
      <c r="X1801" s="42"/>
      <c r="Y1801" s="42"/>
      <c r="Z1801" s="42"/>
      <c r="AA1801" s="42"/>
      <c r="AB1801" s="42"/>
      <c r="AC1801" s="42"/>
      <c r="AD1801" s="42"/>
      <c r="AE1801" s="42"/>
      <c r="AF1801" s="42"/>
      <c r="AG1801" s="42"/>
      <c r="AH1801" s="42"/>
      <c r="AI1801" s="42"/>
      <c r="AJ1801" s="42"/>
      <c r="AK1801" s="42"/>
      <c r="AL1801" s="42"/>
      <c r="AM1801" s="42"/>
    </row>
    <row r="1802" spans="1:39" x14ac:dyDescent="0.25">
      <c r="A1802" s="38" t="s">
        <v>2153</v>
      </c>
      <c r="B1802" s="42"/>
      <c r="C1802" s="42"/>
      <c r="D1802" s="42"/>
      <c r="E1802" s="41"/>
      <c r="F1802" s="41"/>
      <c r="G1802" s="41"/>
      <c r="H1802" s="41"/>
      <c r="I1802" s="41"/>
      <c r="J1802" s="42"/>
      <c r="K1802" s="41"/>
      <c r="L1802" s="41"/>
      <c r="M1802" s="127"/>
      <c r="N1802" s="41"/>
      <c r="O1802" s="41"/>
      <c r="P1802" s="41"/>
      <c r="Q1802" s="42"/>
      <c r="R1802" s="35"/>
      <c r="S1802" s="35"/>
      <c r="T1802" s="35"/>
      <c r="U1802" s="35"/>
      <c r="V1802" s="121"/>
      <c r="W1802" s="42"/>
      <c r="X1802" s="42"/>
      <c r="Y1802" s="42"/>
      <c r="Z1802" s="42"/>
      <c r="AA1802" s="42"/>
      <c r="AB1802" s="42"/>
      <c r="AC1802" s="42"/>
      <c r="AD1802" s="42"/>
      <c r="AE1802" s="42"/>
      <c r="AF1802" s="42"/>
      <c r="AG1802" s="42"/>
      <c r="AH1802" s="42"/>
      <c r="AI1802" s="42"/>
      <c r="AJ1802" s="42"/>
      <c r="AK1802" s="42"/>
      <c r="AL1802" s="42"/>
      <c r="AM1802" s="42"/>
    </row>
    <row r="1803" spans="1:39" x14ac:dyDescent="0.25">
      <c r="A1803" s="38" t="s">
        <v>2154</v>
      </c>
      <c r="B1803" s="42"/>
      <c r="C1803" s="42"/>
      <c r="D1803" s="42"/>
      <c r="E1803" s="41"/>
      <c r="F1803" s="41"/>
      <c r="G1803" s="41"/>
      <c r="H1803" s="41"/>
      <c r="I1803" s="41"/>
      <c r="J1803" s="42"/>
      <c r="K1803" s="41"/>
      <c r="L1803" s="41"/>
      <c r="M1803" s="127"/>
      <c r="N1803" s="41"/>
      <c r="O1803" s="41"/>
      <c r="P1803" s="41"/>
      <c r="Q1803" s="42"/>
      <c r="R1803" s="35"/>
      <c r="S1803" s="35"/>
      <c r="T1803" s="35"/>
      <c r="U1803" s="35"/>
      <c r="V1803" s="121"/>
      <c r="W1803" s="42"/>
      <c r="X1803" s="42"/>
      <c r="Y1803" s="42"/>
      <c r="Z1803" s="42"/>
      <c r="AA1803" s="42"/>
      <c r="AB1803" s="42"/>
      <c r="AC1803" s="42"/>
      <c r="AD1803" s="42"/>
      <c r="AE1803" s="42"/>
      <c r="AF1803" s="42"/>
      <c r="AG1803" s="42"/>
      <c r="AH1803" s="42"/>
      <c r="AI1803" s="42"/>
      <c r="AJ1803" s="42"/>
      <c r="AK1803" s="42"/>
      <c r="AL1803" s="42"/>
      <c r="AM1803" s="42"/>
    </row>
    <row r="1804" spans="1:39" x14ac:dyDescent="0.25">
      <c r="A1804" s="38" t="s">
        <v>2155</v>
      </c>
      <c r="B1804" s="42"/>
      <c r="C1804" s="42"/>
      <c r="D1804" s="42"/>
      <c r="E1804" s="41"/>
      <c r="F1804" s="41"/>
      <c r="G1804" s="41"/>
      <c r="H1804" s="41"/>
      <c r="I1804" s="41"/>
      <c r="J1804" s="42"/>
      <c r="K1804" s="41"/>
      <c r="L1804" s="41"/>
      <c r="M1804" s="127"/>
      <c r="N1804" s="41"/>
      <c r="O1804" s="41"/>
      <c r="P1804" s="41"/>
      <c r="Q1804" s="42"/>
      <c r="R1804" s="35"/>
      <c r="S1804" s="35"/>
      <c r="T1804" s="35"/>
      <c r="U1804" s="35"/>
      <c r="V1804" s="121"/>
      <c r="W1804" s="42"/>
      <c r="X1804" s="42"/>
      <c r="Y1804" s="42"/>
      <c r="Z1804" s="42"/>
      <c r="AA1804" s="42"/>
      <c r="AB1804" s="42"/>
      <c r="AC1804" s="42"/>
      <c r="AD1804" s="42"/>
      <c r="AE1804" s="42"/>
      <c r="AF1804" s="42"/>
      <c r="AG1804" s="42"/>
      <c r="AH1804" s="42"/>
      <c r="AI1804" s="42"/>
      <c r="AJ1804" s="42"/>
      <c r="AK1804" s="42"/>
      <c r="AL1804" s="42"/>
      <c r="AM1804" s="42"/>
    </row>
    <row r="1805" spans="1:39" x14ac:dyDescent="0.25">
      <c r="A1805" s="38" t="s">
        <v>2156</v>
      </c>
      <c r="B1805" s="42"/>
      <c r="C1805" s="42"/>
      <c r="D1805" s="42"/>
      <c r="E1805" s="41"/>
      <c r="F1805" s="41"/>
      <c r="G1805" s="41"/>
      <c r="H1805" s="41"/>
      <c r="I1805" s="41"/>
      <c r="J1805" s="42"/>
      <c r="K1805" s="41"/>
      <c r="L1805" s="41"/>
      <c r="M1805" s="127"/>
      <c r="N1805" s="41"/>
      <c r="O1805" s="41"/>
      <c r="P1805" s="41"/>
      <c r="Q1805" s="42"/>
      <c r="R1805" s="35"/>
      <c r="S1805" s="35"/>
      <c r="T1805" s="35"/>
      <c r="U1805" s="35"/>
      <c r="V1805" s="121"/>
      <c r="W1805" s="42"/>
      <c r="X1805" s="42"/>
      <c r="Y1805" s="42"/>
      <c r="Z1805" s="42"/>
      <c r="AA1805" s="42"/>
      <c r="AB1805" s="42"/>
      <c r="AC1805" s="42"/>
      <c r="AD1805" s="42"/>
      <c r="AE1805" s="42"/>
      <c r="AF1805" s="42"/>
      <c r="AG1805" s="42"/>
      <c r="AH1805" s="42"/>
      <c r="AI1805" s="42"/>
      <c r="AJ1805" s="42"/>
      <c r="AK1805" s="42"/>
      <c r="AL1805" s="42"/>
      <c r="AM1805" s="42"/>
    </row>
    <row r="1806" spans="1:39" x14ac:dyDescent="0.25">
      <c r="A1806" s="38" t="s">
        <v>2157</v>
      </c>
      <c r="B1806" s="42"/>
      <c r="C1806" s="42"/>
      <c r="D1806" s="42"/>
      <c r="E1806" s="41"/>
      <c r="F1806" s="41"/>
      <c r="G1806" s="41"/>
      <c r="H1806" s="41"/>
      <c r="I1806" s="41"/>
      <c r="J1806" s="42"/>
      <c r="K1806" s="41"/>
      <c r="L1806" s="41"/>
      <c r="M1806" s="127"/>
      <c r="N1806" s="41"/>
      <c r="O1806" s="41"/>
      <c r="P1806" s="41"/>
      <c r="Q1806" s="42"/>
      <c r="R1806" s="35"/>
      <c r="S1806" s="35"/>
      <c r="T1806" s="35"/>
      <c r="U1806" s="35"/>
      <c r="V1806" s="121"/>
      <c r="W1806" s="42"/>
      <c r="X1806" s="42"/>
      <c r="Y1806" s="42"/>
      <c r="Z1806" s="42"/>
      <c r="AA1806" s="42"/>
      <c r="AB1806" s="42"/>
      <c r="AC1806" s="42"/>
      <c r="AD1806" s="42"/>
      <c r="AE1806" s="42"/>
      <c r="AF1806" s="42"/>
      <c r="AG1806" s="42"/>
      <c r="AH1806" s="42"/>
      <c r="AI1806" s="42"/>
      <c r="AJ1806" s="42"/>
      <c r="AK1806" s="42"/>
      <c r="AL1806" s="42"/>
      <c r="AM1806" s="42"/>
    </row>
    <row r="1807" spans="1:39" x14ac:dyDescent="0.25">
      <c r="A1807" s="38" t="s">
        <v>2158</v>
      </c>
      <c r="B1807" s="42"/>
      <c r="C1807" s="42"/>
      <c r="D1807" s="42"/>
      <c r="E1807" s="41"/>
      <c r="F1807" s="41"/>
      <c r="G1807" s="41"/>
      <c r="H1807" s="41"/>
      <c r="I1807" s="41"/>
      <c r="J1807" s="42"/>
      <c r="K1807" s="41"/>
      <c r="L1807" s="41"/>
      <c r="M1807" s="127"/>
      <c r="N1807" s="41"/>
      <c r="O1807" s="41"/>
      <c r="P1807" s="41"/>
      <c r="Q1807" s="42"/>
      <c r="R1807" s="35"/>
      <c r="S1807" s="35"/>
      <c r="T1807" s="35"/>
      <c r="U1807" s="35"/>
      <c r="V1807" s="121"/>
      <c r="W1807" s="42"/>
      <c r="X1807" s="42"/>
      <c r="Y1807" s="42"/>
      <c r="Z1807" s="42"/>
      <c r="AA1807" s="42"/>
      <c r="AB1807" s="42"/>
      <c r="AC1807" s="42"/>
      <c r="AD1807" s="42"/>
      <c r="AE1807" s="42"/>
      <c r="AF1807" s="42"/>
      <c r="AG1807" s="42"/>
      <c r="AH1807" s="42"/>
      <c r="AI1807" s="42"/>
      <c r="AJ1807" s="42"/>
      <c r="AK1807" s="42"/>
      <c r="AL1807" s="42"/>
      <c r="AM1807" s="42"/>
    </row>
    <row r="1808" spans="1:39" x14ac:dyDescent="0.25">
      <c r="A1808" s="38" t="s">
        <v>2159</v>
      </c>
      <c r="B1808" s="42"/>
      <c r="C1808" s="42"/>
      <c r="D1808" s="42"/>
      <c r="E1808" s="41"/>
      <c r="F1808" s="41"/>
      <c r="G1808" s="41"/>
      <c r="H1808" s="41"/>
      <c r="I1808" s="41"/>
      <c r="J1808" s="42"/>
      <c r="K1808" s="41"/>
      <c r="L1808" s="41"/>
      <c r="M1808" s="127"/>
      <c r="N1808" s="41"/>
      <c r="O1808" s="41"/>
      <c r="P1808" s="41"/>
      <c r="Q1808" s="42"/>
      <c r="R1808" s="35"/>
      <c r="S1808" s="35"/>
      <c r="T1808" s="35"/>
      <c r="U1808" s="35"/>
      <c r="V1808" s="121"/>
      <c r="W1808" s="42"/>
      <c r="X1808" s="42"/>
      <c r="Y1808" s="42"/>
      <c r="Z1808" s="42"/>
      <c r="AA1808" s="42"/>
      <c r="AB1808" s="42"/>
      <c r="AC1808" s="42"/>
      <c r="AD1808" s="42"/>
      <c r="AE1808" s="42"/>
      <c r="AF1808" s="42"/>
      <c r="AG1808" s="42"/>
      <c r="AH1808" s="42"/>
      <c r="AI1808" s="42"/>
      <c r="AJ1808" s="42"/>
      <c r="AK1808" s="42"/>
      <c r="AL1808" s="42"/>
      <c r="AM1808" s="42"/>
    </row>
    <row r="1809" spans="1:39" x14ac:dyDescent="0.25">
      <c r="A1809" s="38" t="s">
        <v>2160</v>
      </c>
      <c r="B1809" s="42"/>
      <c r="C1809" s="42"/>
      <c r="D1809" s="42"/>
      <c r="E1809" s="41"/>
      <c r="F1809" s="41"/>
      <c r="G1809" s="41"/>
      <c r="H1809" s="41"/>
      <c r="I1809" s="41"/>
      <c r="J1809" s="42"/>
      <c r="K1809" s="41"/>
      <c r="L1809" s="41"/>
      <c r="M1809" s="127"/>
      <c r="N1809" s="41"/>
      <c r="O1809" s="41"/>
      <c r="P1809" s="41"/>
      <c r="Q1809" s="42"/>
      <c r="R1809" s="35"/>
      <c r="S1809" s="35"/>
      <c r="T1809" s="35"/>
      <c r="U1809" s="35"/>
      <c r="V1809" s="121"/>
      <c r="W1809" s="42"/>
      <c r="X1809" s="42"/>
      <c r="Y1809" s="42"/>
      <c r="Z1809" s="42"/>
      <c r="AA1809" s="42"/>
      <c r="AB1809" s="42"/>
      <c r="AC1809" s="42"/>
      <c r="AD1809" s="42"/>
      <c r="AE1809" s="42"/>
      <c r="AF1809" s="42"/>
      <c r="AG1809" s="42"/>
      <c r="AH1809" s="42"/>
      <c r="AI1809" s="42"/>
      <c r="AJ1809" s="42"/>
      <c r="AK1809" s="42"/>
      <c r="AL1809" s="42"/>
      <c r="AM1809" s="42"/>
    </row>
    <row r="1810" spans="1:39" x14ac:dyDescent="0.25">
      <c r="A1810" s="38" t="s">
        <v>2161</v>
      </c>
      <c r="B1810" s="42"/>
      <c r="C1810" s="42"/>
      <c r="D1810" s="42"/>
      <c r="E1810" s="41"/>
      <c r="F1810" s="41"/>
      <c r="G1810" s="41"/>
      <c r="H1810" s="41"/>
      <c r="I1810" s="41"/>
      <c r="J1810" s="42"/>
      <c r="K1810" s="41"/>
      <c r="L1810" s="41"/>
      <c r="M1810" s="127"/>
      <c r="N1810" s="41"/>
      <c r="O1810" s="41"/>
      <c r="P1810" s="41"/>
      <c r="Q1810" s="42"/>
      <c r="R1810" s="35"/>
      <c r="S1810" s="35"/>
      <c r="T1810" s="35"/>
      <c r="U1810" s="35"/>
      <c r="V1810" s="121"/>
      <c r="W1810" s="42"/>
      <c r="X1810" s="42"/>
      <c r="Y1810" s="42"/>
      <c r="Z1810" s="42"/>
      <c r="AA1810" s="42"/>
      <c r="AB1810" s="42"/>
      <c r="AC1810" s="42"/>
      <c r="AD1810" s="42"/>
      <c r="AE1810" s="42"/>
      <c r="AF1810" s="42"/>
      <c r="AG1810" s="42"/>
      <c r="AH1810" s="42"/>
      <c r="AI1810" s="42"/>
      <c r="AJ1810" s="42"/>
      <c r="AK1810" s="42"/>
      <c r="AL1810" s="42"/>
      <c r="AM1810" s="42"/>
    </row>
    <row r="1811" spans="1:39" x14ac:dyDescent="0.25">
      <c r="A1811" s="38" t="s">
        <v>2162</v>
      </c>
      <c r="B1811" s="42"/>
      <c r="C1811" s="42"/>
      <c r="D1811" s="42"/>
      <c r="E1811" s="41"/>
      <c r="F1811" s="41"/>
      <c r="G1811" s="41"/>
      <c r="H1811" s="41"/>
      <c r="I1811" s="41"/>
      <c r="J1811" s="42"/>
      <c r="K1811" s="41"/>
      <c r="L1811" s="41"/>
      <c r="M1811" s="127"/>
      <c r="N1811" s="41"/>
      <c r="O1811" s="41"/>
      <c r="P1811" s="41"/>
      <c r="Q1811" s="42"/>
      <c r="R1811" s="35"/>
      <c r="S1811" s="35"/>
      <c r="T1811" s="35"/>
      <c r="U1811" s="35"/>
      <c r="V1811" s="121"/>
      <c r="W1811" s="42"/>
      <c r="X1811" s="42"/>
      <c r="Y1811" s="42"/>
      <c r="Z1811" s="42"/>
      <c r="AA1811" s="42"/>
      <c r="AB1811" s="42"/>
      <c r="AC1811" s="42"/>
      <c r="AD1811" s="42"/>
      <c r="AE1811" s="42"/>
      <c r="AF1811" s="42"/>
      <c r="AG1811" s="42"/>
      <c r="AH1811" s="42"/>
      <c r="AI1811" s="42"/>
      <c r="AJ1811" s="42"/>
      <c r="AK1811" s="42"/>
      <c r="AL1811" s="42"/>
      <c r="AM1811" s="42"/>
    </row>
    <row r="1812" spans="1:39" x14ac:dyDescent="0.25">
      <c r="A1812" s="38" t="s">
        <v>2163</v>
      </c>
      <c r="B1812" s="42"/>
      <c r="C1812" s="42"/>
      <c r="D1812" s="42"/>
      <c r="E1812" s="41"/>
      <c r="F1812" s="41"/>
      <c r="G1812" s="41"/>
      <c r="H1812" s="41"/>
      <c r="I1812" s="41"/>
      <c r="J1812" s="42"/>
      <c r="K1812" s="41"/>
      <c r="L1812" s="41"/>
      <c r="M1812" s="127"/>
      <c r="N1812" s="41"/>
      <c r="O1812" s="41"/>
      <c r="P1812" s="41"/>
      <c r="Q1812" s="42"/>
      <c r="R1812" s="35"/>
      <c r="S1812" s="35"/>
      <c r="T1812" s="35"/>
      <c r="U1812" s="35"/>
      <c r="V1812" s="121"/>
      <c r="W1812" s="42"/>
      <c r="X1812" s="42"/>
      <c r="Y1812" s="42"/>
      <c r="Z1812" s="42"/>
      <c r="AA1812" s="42"/>
      <c r="AB1812" s="42"/>
      <c r="AC1812" s="42"/>
      <c r="AD1812" s="42"/>
      <c r="AE1812" s="42"/>
      <c r="AF1812" s="42"/>
      <c r="AG1812" s="42"/>
      <c r="AH1812" s="42"/>
      <c r="AI1812" s="42"/>
      <c r="AJ1812" s="42"/>
      <c r="AK1812" s="42"/>
      <c r="AL1812" s="42"/>
      <c r="AM1812" s="42"/>
    </row>
    <row r="1813" spans="1:39" x14ac:dyDescent="0.25">
      <c r="A1813" s="38" t="s">
        <v>2164</v>
      </c>
      <c r="B1813" s="42"/>
      <c r="C1813" s="42"/>
      <c r="D1813" s="42"/>
      <c r="E1813" s="41"/>
      <c r="F1813" s="41"/>
      <c r="G1813" s="41"/>
      <c r="H1813" s="41"/>
      <c r="I1813" s="41"/>
      <c r="J1813" s="42"/>
      <c r="K1813" s="41"/>
      <c r="L1813" s="41"/>
      <c r="M1813" s="127"/>
      <c r="N1813" s="41"/>
      <c r="O1813" s="41"/>
      <c r="P1813" s="41"/>
      <c r="Q1813" s="42"/>
      <c r="R1813" s="35"/>
      <c r="S1813" s="35"/>
      <c r="T1813" s="35"/>
      <c r="U1813" s="35"/>
      <c r="V1813" s="121"/>
      <c r="W1813" s="42"/>
      <c r="X1813" s="42"/>
      <c r="Y1813" s="42"/>
      <c r="Z1813" s="42"/>
      <c r="AA1813" s="42"/>
      <c r="AB1813" s="42"/>
      <c r="AC1813" s="42"/>
      <c r="AD1813" s="42"/>
      <c r="AE1813" s="42"/>
      <c r="AF1813" s="42"/>
      <c r="AG1813" s="42"/>
      <c r="AH1813" s="42"/>
      <c r="AI1813" s="42"/>
      <c r="AJ1813" s="42"/>
      <c r="AK1813" s="42"/>
      <c r="AL1813" s="42"/>
      <c r="AM1813" s="42"/>
    </row>
    <row r="1814" spans="1:39" x14ac:dyDescent="0.25">
      <c r="A1814" s="38" t="s">
        <v>2165</v>
      </c>
      <c r="B1814" s="42"/>
      <c r="C1814" s="42"/>
      <c r="D1814" s="42"/>
      <c r="E1814" s="41"/>
      <c r="F1814" s="41"/>
      <c r="G1814" s="41"/>
      <c r="H1814" s="41"/>
      <c r="I1814" s="41"/>
      <c r="J1814" s="42"/>
      <c r="K1814" s="41"/>
      <c r="L1814" s="41"/>
      <c r="M1814" s="127"/>
      <c r="N1814" s="41"/>
      <c r="O1814" s="41"/>
      <c r="P1814" s="41"/>
      <c r="Q1814" s="42"/>
      <c r="R1814" s="35"/>
      <c r="S1814" s="35"/>
      <c r="T1814" s="35"/>
      <c r="U1814" s="35"/>
      <c r="V1814" s="121"/>
      <c r="W1814" s="42"/>
      <c r="X1814" s="42"/>
      <c r="Y1814" s="42"/>
      <c r="Z1814" s="42"/>
      <c r="AA1814" s="42"/>
      <c r="AB1814" s="42"/>
      <c r="AC1814" s="42"/>
      <c r="AD1814" s="42"/>
      <c r="AE1814" s="42"/>
      <c r="AF1814" s="42"/>
      <c r="AG1814" s="42"/>
      <c r="AH1814" s="42"/>
      <c r="AI1814" s="42"/>
      <c r="AJ1814" s="42"/>
      <c r="AK1814" s="42"/>
      <c r="AL1814" s="42"/>
      <c r="AM1814" s="42"/>
    </row>
    <row r="1815" spans="1:39" x14ac:dyDescent="0.25">
      <c r="A1815" s="38" t="s">
        <v>2166</v>
      </c>
      <c r="B1815" s="42"/>
      <c r="C1815" s="42"/>
      <c r="D1815" s="42"/>
      <c r="E1815" s="41"/>
      <c r="F1815" s="41"/>
      <c r="G1815" s="41"/>
      <c r="H1815" s="41"/>
      <c r="I1815" s="41"/>
      <c r="J1815" s="42"/>
      <c r="K1815" s="41"/>
      <c r="L1815" s="41"/>
      <c r="M1815" s="127"/>
      <c r="N1815" s="41"/>
      <c r="O1815" s="41"/>
      <c r="P1815" s="41"/>
      <c r="Q1815" s="42"/>
      <c r="R1815" s="35"/>
      <c r="S1815" s="35"/>
      <c r="T1815" s="35"/>
      <c r="U1815" s="35"/>
      <c r="V1815" s="121"/>
      <c r="W1815" s="42"/>
      <c r="X1815" s="42"/>
      <c r="Y1815" s="42"/>
      <c r="Z1815" s="42"/>
      <c r="AA1815" s="42"/>
      <c r="AB1815" s="42"/>
      <c r="AC1815" s="42"/>
      <c r="AD1815" s="42"/>
      <c r="AE1815" s="42"/>
      <c r="AF1815" s="42"/>
      <c r="AG1815" s="42"/>
      <c r="AH1815" s="42"/>
      <c r="AI1815" s="42"/>
      <c r="AJ1815" s="42"/>
      <c r="AK1815" s="42"/>
      <c r="AL1815" s="42"/>
      <c r="AM1815" s="42"/>
    </row>
    <row r="1816" spans="1:39" x14ac:dyDescent="0.25">
      <c r="A1816" s="38" t="s">
        <v>2167</v>
      </c>
      <c r="B1816" s="42"/>
      <c r="C1816" s="42"/>
      <c r="D1816" s="42"/>
      <c r="E1816" s="41"/>
      <c r="F1816" s="41"/>
      <c r="G1816" s="41"/>
      <c r="H1816" s="41"/>
      <c r="I1816" s="41"/>
      <c r="J1816" s="42"/>
      <c r="K1816" s="41"/>
      <c r="L1816" s="41"/>
      <c r="M1816" s="127"/>
      <c r="N1816" s="41"/>
      <c r="O1816" s="41"/>
      <c r="P1816" s="41"/>
      <c r="Q1816" s="42"/>
      <c r="R1816" s="35"/>
      <c r="S1816" s="35"/>
      <c r="T1816" s="35"/>
      <c r="U1816" s="35"/>
      <c r="V1816" s="121"/>
      <c r="W1816" s="42"/>
      <c r="X1816" s="42"/>
      <c r="Y1816" s="42"/>
      <c r="Z1816" s="42"/>
      <c r="AA1816" s="42"/>
      <c r="AB1816" s="42"/>
      <c r="AC1816" s="42"/>
      <c r="AD1816" s="42"/>
      <c r="AE1816" s="42"/>
      <c r="AF1816" s="42"/>
      <c r="AG1816" s="42"/>
      <c r="AH1816" s="42"/>
      <c r="AI1816" s="42"/>
      <c r="AJ1816" s="42"/>
      <c r="AK1816" s="42"/>
      <c r="AL1816" s="42"/>
      <c r="AM1816" s="42"/>
    </row>
    <row r="1817" spans="1:39" x14ac:dyDescent="0.25">
      <c r="A1817" s="38" t="s">
        <v>2168</v>
      </c>
      <c r="B1817" s="42"/>
      <c r="C1817" s="42"/>
      <c r="D1817" s="42"/>
      <c r="E1817" s="41"/>
      <c r="F1817" s="41"/>
      <c r="G1817" s="41"/>
      <c r="H1817" s="41"/>
      <c r="I1817" s="41"/>
      <c r="J1817" s="42"/>
      <c r="K1817" s="41"/>
      <c r="L1817" s="41"/>
      <c r="M1817" s="127"/>
      <c r="N1817" s="41"/>
      <c r="O1817" s="41"/>
      <c r="P1817" s="41"/>
      <c r="Q1817" s="42"/>
      <c r="R1817" s="35"/>
      <c r="S1817" s="35"/>
      <c r="T1817" s="35"/>
      <c r="U1817" s="35"/>
      <c r="V1817" s="121"/>
      <c r="W1817" s="42"/>
      <c r="X1817" s="42"/>
      <c r="Y1817" s="42"/>
      <c r="Z1817" s="42"/>
      <c r="AA1817" s="42"/>
      <c r="AB1817" s="42"/>
      <c r="AC1817" s="42"/>
      <c r="AD1817" s="42"/>
      <c r="AE1817" s="42"/>
      <c r="AF1817" s="42"/>
      <c r="AG1817" s="42"/>
      <c r="AH1817" s="42"/>
      <c r="AI1817" s="42"/>
      <c r="AJ1817" s="42"/>
      <c r="AK1817" s="42"/>
      <c r="AL1817" s="42"/>
      <c r="AM1817" s="42"/>
    </row>
    <row r="1818" spans="1:39" x14ac:dyDescent="0.25">
      <c r="A1818" s="38" t="s">
        <v>2169</v>
      </c>
      <c r="B1818" s="42"/>
      <c r="C1818" s="42"/>
      <c r="D1818" s="42"/>
      <c r="E1818" s="41"/>
      <c r="F1818" s="41"/>
      <c r="G1818" s="41"/>
      <c r="H1818" s="41"/>
      <c r="I1818" s="41"/>
      <c r="J1818" s="42"/>
      <c r="K1818" s="41"/>
      <c r="L1818" s="41"/>
      <c r="M1818" s="127"/>
      <c r="N1818" s="41"/>
      <c r="O1818" s="41"/>
      <c r="P1818" s="41"/>
      <c r="Q1818" s="42"/>
      <c r="R1818" s="35"/>
      <c r="S1818" s="35"/>
      <c r="T1818" s="35"/>
      <c r="U1818" s="35"/>
      <c r="V1818" s="121"/>
      <c r="W1818" s="42"/>
      <c r="X1818" s="42"/>
      <c r="Y1818" s="42"/>
      <c r="Z1818" s="42"/>
      <c r="AA1818" s="42"/>
      <c r="AB1818" s="42"/>
      <c r="AC1818" s="42"/>
      <c r="AD1818" s="42"/>
      <c r="AE1818" s="42"/>
      <c r="AF1818" s="42"/>
      <c r="AG1818" s="42"/>
      <c r="AH1818" s="42"/>
      <c r="AI1818" s="42"/>
      <c r="AJ1818" s="42"/>
      <c r="AK1818" s="42"/>
      <c r="AL1818" s="42"/>
      <c r="AM1818" s="42"/>
    </row>
    <row r="1819" spans="1:39" x14ac:dyDescent="0.25">
      <c r="A1819" s="38" t="s">
        <v>2170</v>
      </c>
      <c r="B1819" s="42"/>
      <c r="C1819" s="42"/>
      <c r="D1819" s="42"/>
      <c r="E1819" s="41"/>
      <c r="F1819" s="41"/>
      <c r="G1819" s="41"/>
      <c r="H1819" s="41"/>
      <c r="I1819" s="41"/>
      <c r="J1819" s="42"/>
      <c r="K1819" s="41"/>
      <c r="L1819" s="41"/>
      <c r="M1819" s="127"/>
      <c r="N1819" s="41"/>
      <c r="O1819" s="41"/>
      <c r="P1819" s="41"/>
      <c r="Q1819" s="42"/>
      <c r="R1819" s="35"/>
      <c r="S1819" s="35"/>
      <c r="T1819" s="35"/>
      <c r="U1819" s="35"/>
      <c r="V1819" s="121"/>
      <c r="W1819" s="42"/>
      <c r="X1819" s="42"/>
      <c r="Y1819" s="42"/>
      <c r="Z1819" s="42"/>
      <c r="AA1819" s="42"/>
      <c r="AB1819" s="42"/>
      <c r="AC1819" s="42"/>
      <c r="AD1819" s="42"/>
      <c r="AE1819" s="42"/>
      <c r="AF1819" s="42"/>
      <c r="AG1819" s="42"/>
      <c r="AH1819" s="42"/>
      <c r="AI1819" s="42"/>
      <c r="AJ1819" s="42"/>
      <c r="AK1819" s="42"/>
      <c r="AL1819" s="42"/>
      <c r="AM1819" s="42"/>
    </row>
    <row r="1820" spans="1:39" x14ac:dyDescent="0.25">
      <c r="A1820" s="38" t="s">
        <v>2171</v>
      </c>
      <c r="B1820" s="42"/>
      <c r="C1820" s="42"/>
      <c r="D1820" s="42"/>
      <c r="E1820" s="41"/>
      <c r="F1820" s="41"/>
      <c r="G1820" s="41"/>
      <c r="H1820" s="41"/>
      <c r="I1820" s="41"/>
      <c r="J1820" s="42"/>
      <c r="K1820" s="41"/>
      <c r="L1820" s="41"/>
      <c r="M1820" s="127"/>
      <c r="N1820" s="41"/>
      <c r="O1820" s="41"/>
      <c r="P1820" s="41"/>
      <c r="Q1820" s="42"/>
      <c r="R1820" s="35"/>
      <c r="S1820" s="35"/>
      <c r="T1820" s="35"/>
      <c r="U1820" s="35"/>
      <c r="V1820" s="121"/>
      <c r="W1820" s="42"/>
      <c r="X1820" s="42"/>
      <c r="Y1820" s="42"/>
      <c r="Z1820" s="42"/>
      <c r="AA1820" s="42"/>
      <c r="AB1820" s="42"/>
      <c r="AC1820" s="42"/>
      <c r="AD1820" s="42"/>
      <c r="AE1820" s="42"/>
      <c r="AF1820" s="42"/>
      <c r="AG1820" s="42"/>
      <c r="AH1820" s="42"/>
      <c r="AI1820" s="42"/>
      <c r="AJ1820" s="42"/>
      <c r="AK1820" s="42"/>
      <c r="AL1820" s="42"/>
      <c r="AM1820" s="42"/>
    </row>
    <row r="1821" spans="1:39" x14ac:dyDescent="0.25">
      <c r="A1821" s="38" t="s">
        <v>2172</v>
      </c>
      <c r="B1821" s="42"/>
      <c r="C1821" s="42"/>
      <c r="D1821" s="42"/>
      <c r="E1821" s="41"/>
      <c r="F1821" s="41"/>
      <c r="G1821" s="41"/>
      <c r="H1821" s="41"/>
      <c r="I1821" s="41"/>
      <c r="J1821" s="42"/>
      <c r="K1821" s="41"/>
      <c r="L1821" s="41"/>
      <c r="M1821" s="127"/>
      <c r="N1821" s="41"/>
      <c r="O1821" s="41"/>
      <c r="P1821" s="41"/>
      <c r="Q1821" s="42"/>
      <c r="R1821" s="35"/>
      <c r="S1821" s="35"/>
      <c r="T1821" s="35"/>
      <c r="U1821" s="35"/>
      <c r="V1821" s="121"/>
      <c r="W1821" s="42"/>
      <c r="X1821" s="42"/>
      <c r="Y1821" s="42"/>
      <c r="Z1821" s="42"/>
      <c r="AA1821" s="42"/>
      <c r="AB1821" s="42"/>
      <c r="AC1821" s="42"/>
      <c r="AD1821" s="42"/>
      <c r="AE1821" s="42"/>
      <c r="AF1821" s="42"/>
      <c r="AG1821" s="42"/>
      <c r="AH1821" s="42"/>
      <c r="AI1821" s="42"/>
      <c r="AJ1821" s="42"/>
      <c r="AK1821" s="42"/>
      <c r="AL1821" s="42"/>
      <c r="AM1821" s="42"/>
    </row>
    <row r="1822" spans="1:39" x14ac:dyDescent="0.25">
      <c r="A1822" s="38" t="s">
        <v>2173</v>
      </c>
      <c r="B1822" s="42"/>
      <c r="C1822" s="42"/>
      <c r="D1822" s="42"/>
      <c r="E1822" s="41"/>
      <c r="F1822" s="41"/>
      <c r="G1822" s="41"/>
      <c r="H1822" s="41"/>
      <c r="I1822" s="41"/>
      <c r="J1822" s="42"/>
      <c r="K1822" s="41"/>
      <c r="L1822" s="41"/>
      <c r="M1822" s="127"/>
      <c r="N1822" s="41"/>
      <c r="O1822" s="41"/>
      <c r="P1822" s="41"/>
      <c r="Q1822" s="42"/>
      <c r="R1822" s="35"/>
      <c r="S1822" s="35"/>
      <c r="T1822" s="35"/>
      <c r="U1822" s="35"/>
      <c r="V1822" s="121"/>
      <c r="W1822" s="42"/>
      <c r="X1822" s="42"/>
      <c r="Y1822" s="42"/>
      <c r="Z1822" s="42"/>
      <c r="AA1822" s="42"/>
      <c r="AB1822" s="42"/>
      <c r="AC1822" s="42"/>
      <c r="AD1822" s="42"/>
      <c r="AE1822" s="42"/>
      <c r="AF1822" s="42"/>
      <c r="AG1822" s="42"/>
      <c r="AH1822" s="42"/>
      <c r="AI1822" s="42"/>
      <c r="AJ1822" s="42"/>
      <c r="AK1822" s="42"/>
      <c r="AL1822" s="42"/>
      <c r="AM1822" s="42"/>
    </row>
    <row r="1823" spans="1:39" x14ac:dyDescent="0.25">
      <c r="A1823" s="38" t="s">
        <v>2174</v>
      </c>
      <c r="B1823" s="42"/>
      <c r="C1823" s="42"/>
      <c r="D1823" s="42"/>
      <c r="E1823" s="41"/>
      <c r="F1823" s="41"/>
      <c r="G1823" s="41"/>
      <c r="H1823" s="41"/>
      <c r="I1823" s="41"/>
      <c r="J1823" s="42"/>
      <c r="K1823" s="41"/>
      <c r="L1823" s="41"/>
      <c r="M1823" s="127"/>
      <c r="N1823" s="41"/>
      <c r="O1823" s="41"/>
      <c r="P1823" s="41"/>
      <c r="Q1823" s="42"/>
      <c r="R1823" s="35"/>
      <c r="S1823" s="35"/>
      <c r="T1823" s="35"/>
      <c r="U1823" s="35"/>
      <c r="V1823" s="121"/>
      <c r="W1823" s="42"/>
      <c r="X1823" s="42"/>
      <c r="Y1823" s="42"/>
      <c r="Z1823" s="42"/>
      <c r="AA1823" s="42"/>
      <c r="AB1823" s="42"/>
      <c r="AC1823" s="42"/>
      <c r="AD1823" s="42"/>
      <c r="AE1823" s="42"/>
      <c r="AF1823" s="42"/>
      <c r="AG1823" s="42"/>
      <c r="AH1823" s="42"/>
      <c r="AI1823" s="42"/>
      <c r="AJ1823" s="42"/>
      <c r="AK1823" s="42"/>
      <c r="AL1823" s="42"/>
      <c r="AM1823" s="42"/>
    </row>
    <row r="1824" spans="1:39" x14ac:dyDescent="0.25">
      <c r="A1824" s="38" t="s">
        <v>2175</v>
      </c>
      <c r="B1824" s="42"/>
      <c r="C1824" s="42"/>
      <c r="D1824" s="42"/>
      <c r="E1824" s="41"/>
      <c r="F1824" s="41"/>
      <c r="G1824" s="41"/>
      <c r="H1824" s="41"/>
      <c r="I1824" s="41"/>
      <c r="J1824" s="42"/>
      <c r="K1824" s="41"/>
      <c r="L1824" s="41"/>
      <c r="M1824" s="127"/>
      <c r="N1824" s="41"/>
      <c r="O1824" s="41"/>
      <c r="P1824" s="41"/>
      <c r="Q1824" s="42"/>
      <c r="R1824" s="35"/>
      <c r="S1824" s="35"/>
      <c r="T1824" s="35"/>
      <c r="U1824" s="35"/>
      <c r="V1824" s="121"/>
      <c r="W1824" s="42"/>
      <c r="X1824" s="42"/>
      <c r="Y1824" s="42"/>
      <c r="Z1824" s="42"/>
      <c r="AA1824" s="42"/>
      <c r="AB1824" s="42"/>
      <c r="AC1824" s="42"/>
      <c r="AD1824" s="42"/>
      <c r="AE1824" s="42"/>
      <c r="AF1824" s="42"/>
      <c r="AG1824" s="42"/>
      <c r="AH1824" s="42"/>
      <c r="AI1824" s="42"/>
      <c r="AJ1824" s="42"/>
      <c r="AK1824" s="42"/>
      <c r="AL1824" s="42"/>
      <c r="AM1824" s="42"/>
    </row>
    <row r="1825" spans="1:39" x14ac:dyDescent="0.25">
      <c r="A1825" s="38" t="s">
        <v>2176</v>
      </c>
      <c r="B1825" s="42"/>
      <c r="C1825" s="42"/>
      <c r="D1825" s="42"/>
      <c r="E1825" s="41"/>
      <c r="F1825" s="41"/>
      <c r="G1825" s="41"/>
      <c r="H1825" s="41"/>
      <c r="I1825" s="41"/>
      <c r="J1825" s="42"/>
      <c r="K1825" s="41"/>
      <c r="L1825" s="41"/>
      <c r="M1825" s="127"/>
      <c r="N1825" s="41"/>
      <c r="O1825" s="41"/>
      <c r="P1825" s="41"/>
      <c r="Q1825" s="42"/>
      <c r="R1825" s="35"/>
      <c r="S1825" s="35"/>
      <c r="T1825" s="35"/>
      <c r="U1825" s="35"/>
      <c r="V1825" s="121"/>
      <c r="W1825" s="42"/>
      <c r="X1825" s="42"/>
      <c r="Y1825" s="42"/>
      <c r="Z1825" s="42"/>
      <c r="AA1825" s="42"/>
      <c r="AB1825" s="42"/>
      <c r="AC1825" s="42"/>
      <c r="AD1825" s="42"/>
      <c r="AE1825" s="42"/>
      <c r="AF1825" s="42"/>
      <c r="AG1825" s="42"/>
      <c r="AH1825" s="42"/>
      <c r="AI1825" s="42"/>
      <c r="AJ1825" s="42"/>
      <c r="AK1825" s="42"/>
      <c r="AL1825" s="42"/>
      <c r="AM1825" s="42"/>
    </row>
    <row r="1826" spans="1:39" x14ac:dyDescent="0.25">
      <c r="A1826" s="38" t="s">
        <v>2177</v>
      </c>
      <c r="B1826" s="42"/>
      <c r="C1826" s="42"/>
      <c r="D1826" s="42"/>
      <c r="E1826" s="41"/>
      <c r="F1826" s="41"/>
      <c r="G1826" s="41"/>
      <c r="H1826" s="41"/>
      <c r="I1826" s="41"/>
      <c r="J1826" s="42"/>
      <c r="K1826" s="41"/>
      <c r="L1826" s="41"/>
      <c r="M1826" s="127"/>
      <c r="N1826" s="41"/>
      <c r="O1826" s="41"/>
      <c r="P1826" s="41"/>
      <c r="Q1826" s="42"/>
      <c r="R1826" s="35"/>
      <c r="S1826" s="35"/>
      <c r="T1826" s="35"/>
      <c r="U1826" s="35"/>
      <c r="V1826" s="121"/>
      <c r="W1826" s="42"/>
      <c r="X1826" s="42"/>
      <c r="Y1826" s="42"/>
      <c r="Z1826" s="42"/>
      <c r="AA1826" s="42"/>
      <c r="AB1826" s="42"/>
      <c r="AC1826" s="42"/>
      <c r="AD1826" s="42"/>
      <c r="AE1826" s="42"/>
      <c r="AF1826" s="42"/>
      <c r="AG1826" s="42"/>
      <c r="AH1826" s="42"/>
      <c r="AI1826" s="42"/>
      <c r="AJ1826" s="42"/>
      <c r="AK1826" s="42"/>
      <c r="AL1826" s="42"/>
      <c r="AM1826" s="42"/>
    </row>
    <row r="1827" spans="1:39" x14ac:dyDescent="0.25">
      <c r="A1827" s="38" t="s">
        <v>2178</v>
      </c>
      <c r="B1827" s="42"/>
      <c r="C1827" s="42"/>
      <c r="D1827" s="42"/>
      <c r="E1827" s="41"/>
      <c r="F1827" s="41"/>
      <c r="G1827" s="41"/>
      <c r="H1827" s="41"/>
      <c r="I1827" s="41"/>
      <c r="J1827" s="42"/>
      <c r="K1827" s="41"/>
      <c r="L1827" s="41"/>
      <c r="M1827" s="127"/>
      <c r="N1827" s="41"/>
      <c r="O1827" s="41"/>
      <c r="P1827" s="41"/>
      <c r="Q1827" s="42"/>
      <c r="R1827" s="35"/>
      <c r="S1827" s="35"/>
      <c r="T1827" s="35"/>
      <c r="U1827" s="35"/>
      <c r="V1827" s="121"/>
      <c r="W1827" s="42"/>
      <c r="X1827" s="42"/>
      <c r="Y1827" s="42"/>
      <c r="Z1827" s="42"/>
      <c r="AA1827" s="42"/>
      <c r="AB1827" s="42"/>
      <c r="AC1827" s="42"/>
      <c r="AD1827" s="42"/>
      <c r="AE1827" s="42"/>
      <c r="AF1827" s="42"/>
      <c r="AG1827" s="42"/>
      <c r="AH1827" s="42"/>
      <c r="AI1827" s="42"/>
      <c r="AJ1827" s="42"/>
      <c r="AK1827" s="42"/>
      <c r="AL1827" s="42"/>
      <c r="AM1827" s="42"/>
    </row>
    <row r="1828" spans="1:39" x14ac:dyDescent="0.25">
      <c r="A1828" s="38" t="s">
        <v>2179</v>
      </c>
      <c r="B1828" s="42"/>
      <c r="C1828" s="42"/>
      <c r="D1828" s="42"/>
      <c r="E1828" s="41"/>
      <c r="F1828" s="41"/>
      <c r="G1828" s="41"/>
      <c r="H1828" s="41"/>
      <c r="I1828" s="41"/>
      <c r="J1828" s="42"/>
      <c r="K1828" s="41"/>
      <c r="L1828" s="41"/>
      <c r="M1828" s="127"/>
      <c r="N1828" s="41"/>
      <c r="O1828" s="41"/>
      <c r="P1828" s="41"/>
      <c r="Q1828" s="42"/>
      <c r="R1828" s="35"/>
      <c r="S1828" s="35"/>
      <c r="T1828" s="35"/>
      <c r="U1828" s="35"/>
      <c r="V1828" s="121"/>
      <c r="W1828" s="42"/>
      <c r="X1828" s="42"/>
      <c r="Y1828" s="42"/>
      <c r="Z1828" s="42"/>
      <c r="AA1828" s="42"/>
      <c r="AB1828" s="42"/>
      <c r="AC1828" s="42"/>
      <c r="AD1828" s="42"/>
      <c r="AE1828" s="42"/>
      <c r="AF1828" s="42"/>
      <c r="AG1828" s="42"/>
      <c r="AH1828" s="42"/>
      <c r="AI1828" s="42"/>
      <c r="AJ1828" s="42"/>
      <c r="AK1828" s="42"/>
      <c r="AL1828" s="42"/>
      <c r="AM1828" s="42"/>
    </row>
    <row r="1829" spans="1:39" x14ac:dyDescent="0.25">
      <c r="A1829" s="38" t="s">
        <v>2180</v>
      </c>
      <c r="B1829" s="42"/>
      <c r="C1829" s="42"/>
      <c r="D1829" s="42"/>
      <c r="E1829" s="41"/>
      <c r="F1829" s="41"/>
      <c r="G1829" s="41"/>
      <c r="H1829" s="41"/>
      <c r="I1829" s="41"/>
      <c r="J1829" s="42"/>
      <c r="K1829" s="41"/>
      <c r="L1829" s="41"/>
      <c r="M1829" s="127"/>
      <c r="N1829" s="41"/>
      <c r="O1829" s="41"/>
      <c r="P1829" s="41"/>
      <c r="Q1829" s="42"/>
      <c r="R1829" s="35"/>
      <c r="S1829" s="35"/>
      <c r="T1829" s="35"/>
      <c r="U1829" s="35"/>
      <c r="V1829" s="121"/>
      <c r="W1829" s="42"/>
      <c r="X1829" s="42"/>
      <c r="Y1829" s="42"/>
      <c r="Z1829" s="42"/>
      <c r="AA1829" s="42"/>
      <c r="AB1829" s="42"/>
      <c r="AC1829" s="42"/>
      <c r="AD1829" s="42"/>
      <c r="AE1829" s="42"/>
      <c r="AF1829" s="42"/>
      <c r="AG1829" s="42"/>
      <c r="AH1829" s="42"/>
      <c r="AI1829" s="42"/>
      <c r="AJ1829" s="42"/>
      <c r="AK1829" s="42"/>
      <c r="AL1829" s="42"/>
      <c r="AM1829" s="42"/>
    </row>
    <row r="1830" spans="1:39" x14ac:dyDescent="0.25">
      <c r="A1830" s="38" t="s">
        <v>2181</v>
      </c>
      <c r="B1830" s="42"/>
      <c r="C1830" s="42"/>
      <c r="D1830" s="42"/>
      <c r="E1830" s="41"/>
      <c r="F1830" s="41"/>
      <c r="G1830" s="41"/>
      <c r="H1830" s="41"/>
      <c r="I1830" s="41"/>
      <c r="J1830" s="42"/>
      <c r="K1830" s="41"/>
      <c r="L1830" s="41"/>
      <c r="M1830" s="127"/>
      <c r="N1830" s="41"/>
      <c r="O1830" s="41"/>
      <c r="P1830" s="41"/>
      <c r="Q1830" s="42"/>
      <c r="R1830" s="35"/>
      <c r="S1830" s="35"/>
      <c r="T1830" s="35"/>
      <c r="U1830" s="35"/>
      <c r="V1830" s="121"/>
      <c r="W1830" s="42"/>
      <c r="X1830" s="42"/>
      <c r="Y1830" s="42"/>
      <c r="Z1830" s="42"/>
      <c r="AA1830" s="42"/>
      <c r="AB1830" s="42"/>
      <c r="AC1830" s="42"/>
      <c r="AD1830" s="42"/>
      <c r="AE1830" s="42"/>
      <c r="AF1830" s="42"/>
      <c r="AG1830" s="42"/>
      <c r="AH1830" s="42"/>
      <c r="AI1830" s="42"/>
      <c r="AJ1830" s="42"/>
      <c r="AK1830" s="42"/>
      <c r="AL1830" s="42"/>
      <c r="AM1830" s="42"/>
    </row>
    <row r="1831" spans="1:39" x14ac:dyDescent="0.25">
      <c r="A1831" s="38" t="s">
        <v>2182</v>
      </c>
      <c r="B1831" s="42"/>
      <c r="C1831" s="42"/>
      <c r="D1831" s="42"/>
      <c r="E1831" s="41"/>
      <c r="F1831" s="41"/>
      <c r="G1831" s="41"/>
      <c r="H1831" s="41"/>
      <c r="I1831" s="41"/>
      <c r="J1831" s="42"/>
      <c r="K1831" s="41"/>
      <c r="L1831" s="41"/>
      <c r="M1831" s="127"/>
      <c r="N1831" s="41"/>
      <c r="O1831" s="41"/>
      <c r="P1831" s="41"/>
      <c r="Q1831" s="42"/>
      <c r="R1831" s="35"/>
      <c r="S1831" s="35"/>
      <c r="T1831" s="35"/>
      <c r="U1831" s="35"/>
      <c r="V1831" s="121"/>
      <c r="W1831" s="42"/>
      <c r="X1831" s="42"/>
      <c r="Y1831" s="42"/>
      <c r="Z1831" s="42"/>
      <c r="AA1831" s="42"/>
      <c r="AB1831" s="42"/>
      <c r="AC1831" s="42"/>
      <c r="AD1831" s="42"/>
      <c r="AE1831" s="42"/>
      <c r="AF1831" s="42"/>
      <c r="AG1831" s="42"/>
      <c r="AH1831" s="42"/>
      <c r="AI1831" s="42"/>
      <c r="AJ1831" s="42"/>
      <c r="AK1831" s="42"/>
      <c r="AL1831" s="42"/>
      <c r="AM1831" s="42"/>
    </row>
    <row r="1832" spans="1:39" x14ac:dyDescent="0.25">
      <c r="A1832" s="38" t="s">
        <v>2183</v>
      </c>
      <c r="B1832" s="42"/>
      <c r="C1832" s="42"/>
      <c r="D1832" s="42"/>
      <c r="E1832" s="41"/>
      <c r="F1832" s="41"/>
      <c r="G1832" s="41"/>
      <c r="H1832" s="41"/>
      <c r="I1832" s="41"/>
      <c r="J1832" s="42"/>
      <c r="K1832" s="41"/>
      <c r="L1832" s="41"/>
      <c r="M1832" s="127"/>
      <c r="N1832" s="41"/>
      <c r="O1832" s="41"/>
      <c r="P1832" s="41"/>
      <c r="Q1832" s="42"/>
      <c r="R1832" s="35"/>
      <c r="S1832" s="35"/>
      <c r="T1832" s="35"/>
      <c r="U1832" s="35"/>
      <c r="V1832" s="121"/>
      <c r="W1832" s="42"/>
      <c r="X1832" s="42"/>
      <c r="Y1832" s="42"/>
      <c r="Z1832" s="42"/>
      <c r="AA1832" s="42"/>
      <c r="AB1832" s="42"/>
      <c r="AC1832" s="42"/>
      <c r="AD1832" s="42"/>
      <c r="AE1832" s="42"/>
      <c r="AF1832" s="42"/>
      <c r="AG1832" s="42"/>
      <c r="AH1832" s="42"/>
      <c r="AI1832" s="42"/>
      <c r="AJ1832" s="42"/>
      <c r="AK1832" s="42"/>
      <c r="AL1832" s="42"/>
      <c r="AM1832" s="42"/>
    </row>
    <row r="1833" spans="1:39" x14ac:dyDescent="0.25">
      <c r="A1833" s="38" t="s">
        <v>2184</v>
      </c>
      <c r="B1833" s="42"/>
      <c r="C1833" s="42"/>
      <c r="D1833" s="42"/>
      <c r="E1833" s="41"/>
      <c r="F1833" s="41"/>
      <c r="G1833" s="41"/>
      <c r="H1833" s="41"/>
      <c r="I1833" s="41"/>
      <c r="J1833" s="42"/>
      <c r="K1833" s="41"/>
      <c r="L1833" s="41"/>
      <c r="M1833" s="127"/>
      <c r="N1833" s="41"/>
      <c r="O1833" s="41"/>
      <c r="P1833" s="41"/>
      <c r="Q1833" s="42"/>
      <c r="R1833" s="35"/>
      <c r="S1833" s="35"/>
      <c r="T1833" s="35"/>
      <c r="U1833" s="35"/>
      <c r="V1833" s="121"/>
      <c r="W1833" s="42"/>
      <c r="X1833" s="42"/>
      <c r="Y1833" s="42"/>
      <c r="Z1833" s="42"/>
      <c r="AA1833" s="42"/>
      <c r="AB1833" s="42"/>
      <c r="AC1833" s="42"/>
      <c r="AD1833" s="42"/>
      <c r="AE1833" s="42"/>
      <c r="AF1833" s="42"/>
      <c r="AG1833" s="42"/>
      <c r="AH1833" s="42"/>
      <c r="AI1833" s="42"/>
      <c r="AJ1833" s="42"/>
      <c r="AK1833" s="42"/>
      <c r="AL1833" s="42"/>
      <c r="AM1833" s="42"/>
    </row>
    <row r="1834" spans="1:39" x14ac:dyDescent="0.25">
      <c r="A1834" s="38" t="s">
        <v>2185</v>
      </c>
      <c r="B1834" s="42"/>
      <c r="C1834" s="42"/>
      <c r="D1834" s="42"/>
      <c r="E1834" s="41"/>
      <c r="F1834" s="41"/>
      <c r="G1834" s="41"/>
      <c r="H1834" s="41"/>
      <c r="I1834" s="41"/>
      <c r="J1834" s="42"/>
      <c r="K1834" s="41"/>
      <c r="L1834" s="41"/>
      <c r="M1834" s="127"/>
      <c r="N1834" s="41"/>
      <c r="O1834" s="41"/>
      <c r="P1834" s="41"/>
      <c r="Q1834" s="42"/>
      <c r="R1834" s="35"/>
      <c r="S1834" s="35"/>
      <c r="T1834" s="35"/>
      <c r="U1834" s="35"/>
      <c r="V1834" s="121"/>
      <c r="W1834" s="42"/>
      <c r="X1834" s="42"/>
      <c r="Y1834" s="42"/>
      <c r="Z1834" s="42"/>
      <c r="AA1834" s="42"/>
      <c r="AB1834" s="42"/>
      <c r="AC1834" s="42"/>
      <c r="AD1834" s="42"/>
      <c r="AE1834" s="42"/>
      <c r="AF1834" s="42"/>
      <c r="AG1834" s="42"/>
      <c r="AH1834" s="42"/>
      <c r="AI1834" s="42"/>
      <c r="AJ1834" s="42"/>
      <c r="AK1834" s="42"/>
      <c r="AL1834" s="42"/>
      <c r="AM1834" s="42"/>
    </row>
    <row r="1835" spans="1:39" x14ac:dyDescent="0.25">
      <c r="A1835" s="38" t="s">
        <v>2186</v>
      </c>
      <c r="B1835" s="42"/>
      <c r="C1835" s="42"/>
      <c r="D1835" s="42"/>
      <c r="E1835" s="41"/>
      <c r="F1835" s="41"/>
      <c r="G1835" s="41"/>
      <c r="H1835" s="41"/>
      <c r="I1835" s="41"/>
      <c r="J1835" s="42"/>
      <c r="K1835" s="41"/>
      <c r="L1835" s="41"/>
      <c r="M1835" s="127"/>
      <c r="N1835" s="41"/>
      <c r="O1835" s="41"/>
      <c r="P1835" s="41"/>
      <c r="Q1835" s="42"/>
      <c r="R1835" s="35"/>
      <c r="S1835" s="35"/>
      <c r="T1835" s="35"/>
      <c r="U1835" s="35"/>
      <c r="V1835" s="121"/>
      <c r="W1835" s="42"/>
      <c r="X1835" s="42"/>
      <c r="Y1835" s="42"/>
      <c r="Z1835" s="42"/>
      <c r="AA1835" s="42"/>
      <c r="AB1835" s="42"/>
      <c r="AC1835" s="42"/>
      <c r="AD1835" s="42"/>
      <c r="AE1835" s="42"/>
      <c r="AF1835" s="42"/>
      <c r="AG1835" s="42"/>
      <c r="AH1835" s="42"/>
      <c r="AI1835" s="42"/>
      <c r="AJ1835" s="42"/>
      <c r="AK1835" s="42"/>
      <c r="AL1835" s="42"/>
      <c r="AM1835" s="42"/>
    </row>
    <row r="1836" spans="1:39" x14ac:dyDescent="0.25">
      <c r="A1836" s="38" t="s">
        <v>2187</v>
      </c>
      <c r="B1836" s="42"/>
      <c r="C1836" s="42"/>
      <c r="D1836" s="42"/>
      <c r="E1836" s="41"/>
      <c r="F1836" s="41"/>
      <c r="G1836" s="41"/>
      <c r="H1836" s="41"/>
      <c r="I1836" s="41"/>
      <c r="J1836" s="42"/>
      <c r="K1836" s="41"/>
      <c r="L1836" s="41"/>
      <c r="M1836" s="127"/>
      <c r="N1836" s="41"/>
      <c r="O1836" s="41"/>
      <c r="P1836" s="41"/>
      <c r="Q1836" s="42"/>
      <c r="R1836" s="35"/>
      <c r="S1836" s="35"/>
      <c r="T1836" s="35"/>
      <c r="U1836" s="35"/>
      <c r="V1836" s="121"/>
      <c r="W1836" s="42"/>
      <c r="X1836" s="42"/>
      <c r="Y1836" s="42"/>
      <c r="Z1836" s="42"/>
      <c r="AA1836" s="42"/>
      <c r="AB1836" s="42"/>
      <c r="AC1836" s="42"/>
      <c r="AD1836" s="42"/>
      <c r="AE1836" s="42"/>
      <c r="AF1836" s="42"/>
      <c r="AG1836" s="42"/>
      <c r="AH1836" s="42"/>
      <c r="AI1836" s="42"/>
      <c r="AJ1836" s="42"/>
      <c r="AK1836" s="42"/>
      <c r="AL1836" s="42"/>
      <c r="AM1836" s="42"/>
    </row>
    <row r="1837" spans="1:39" x14ac:dyDescent="0.25">
      <c r="A1837" s="38" t="s">
        <v>2188</v>
      </c>
      <c r="B1837" s="42"/>
      <c r="C1837" s="42"/>
      <c r="D1837" s="42"/>
      <c r="E1837" s="41"/>
      <c r="F1837" s="41"/>
      <c r="G1837" s="41"/>
      <c r="H1837" s="41"/>
      <c r="I1837" s="41"/>
      <c r="J1837" s="42"/>
      <c r="K1837" s="41"/>
      <c r="L1837" s="41"/>
      <c r="M1837" s="127"/>
      <c r="N1837" s="41"/>
      <c r="O1837" s="41"/>
      <c r="P1837" s="41"/>
      <c r="Q1837" s="42"/>
      <c r="R1837" s="35"/>
      <c r="S1837" s="35"/>
      <c r="T1837" s="35"/>
      <c r="U1837" s="35"/>
      <c r="V1837" s="121"/>
      <c r="W1837" s="42"/>
      <c r="X1837" s="42"/>
      <c r="Y1837" s="42"/>
      <c r="Z1837" s="42"/>
      <c r="AA1837" s="42"/>
      <c r="AB1837" s="42"/>
      <c r="AC1837" s="42"/>
      <c r="AD1837" s="42"/>
      <c r="AE1837" s="42"/>
      <c r="AF1837" s="42"/>
      <c r="AG1837" s="42"/>
      <c r="AH1837" s="42"/>
      <c r="AI1837" s="42"/>
      <c r="AJ1837" s="42"/>
      <c r="AK1837" s="42"/>
      <c r="AL1837" s="42"/>
      <c r="AM1837" s="42"/>
    </row>
    <row r="1838" spans="1:39" x14ac:dyDescent="0.25">
      <c r="A1838" s="38" t="s">
        <v>2189</v>
      </c>
      <c r="B1838" s="42"/>
      <c r="C1838" s="42"/>
      <c r="D1838" s="42"/>
      <c r="E1838" s="41"/>
      <c r="F1838" s="41"/>
      <c r="G1838" s="41"/>
      <c r="H1838" s="41"/>
      <c r="I1838" s="41"/>
      <c r="J1838" s="42"/>
      <c r="K1838" s="41"/>
      <c r="L1838" s="41"/>
      <c r="M1838" s="127"/>
      <c r="N1838" s="41"/>
      <c r="O1838" s="41"/>
      <c r="P1838" s="41"/>
      <c r="Q1838" s="42"/>
      <c r="R1838" s="35"/>
      <c r="S1838" s="35"/>
      <c r="T1838" s="35"/>
      <c r="U1838" s="35"/>
      <c r="V1838" s="121"/>
      <c r="W1838" s="42"/>
      <c r="X1838" s="42"/>
      <c r="Y1838" s="42"/>
      <c r="Z1838" s="42"/>
      <c r="AA1838" s="42"/>
      <c r="AB1838" s="42"/>
      <c r="AC1838" s="42"/>
      <c r="AD1838" s="42"/>
      <c r="AE1838" s="42"/>
      <c r="AF1838" s="42"/>
      <c r="AG1838" s="42"/>
      <c r="AH1838" s="42"/>
      <c r="AI1838" s="42"/>
      <c r="AJ1838" s="42"/>
      <c r="AK1838" s="42"/>
      <c r="AL1838" s="42"/>
      <c r="AM1838" s="42"/>
    </row>
    <row r="1839" spans="1:39" x14ac:dyDescent="0.25">
      <c r="A1839" s="38" t="s">
        <v>2190</v>
      </c>
      <c r="B1839" s="42"/>
      <c r="C1839" s="42"/>
      <c r="D1839" s="42"/>
      <c r="E1839" s="41"/>
      <c r="F1839" s="41"/>
      <c r="G1839" s="41"/>
      <c r="H1839" s="41"/>
      <c r="I1839" s="41"/>
      <c r="J1839" s="42"/>
      <c r="K1839" s="41"/>
      <c r="L1839" s="41"/>
      <c r="M1839" s="127"/>
      <c r="N1839" s="41"/>
      <c r="O1839" s="41"/>
      <c r="P1839" s="41"/>
      <c r="Q1839" s="42"/>
      <c r="R1839" s="35"/>
      <c r="S1839" s="35"/>
      <c r="T1839" s="35"/>
      <c r="U1839" s="35"/>
      <c r="V1839" s="121"/>
      <c r="W1839" s="42"/>
      <c r="X1839" s="42"/>
      <c r="Y1839" s="42"/>
      <c r="Z1839" s="42"/>
      <c r="AA1839" s="42"/>
      <c r="AB1839" s="42"/>
      <c r="AC1839" s="42"/>
      <c r="AD1839" s="42"/>
      <c r="AE1839" s="42"/>
      <c r="AF1839" s="42"/>
      <c r="AG1839" s="42"/>
      <c r="AH1839" s="42"/>
      <c r="AI1839" s="42"/>
      <c r="AJ1839" s="42"/>
      <c r="AK1839" s="42"/>
      <c r="AL1839" s="42"/>
      <c r="AM1839" s="42"/>
    </row>
    <row r="1840" spans="1:39" x14ac:dyDescent="0.25">
      <c r="A1840" s="38" t="s">
        <v>2191</v>
      </c>
      <c r="B1840" s="42"/>
      <c r="C1840" s="42"/>
      <c r="D1840" s="42"/>
      <c r="E1840" s="41"/>
      <c r="F1840" s="41"/>
      <c r="G1840" s="41"/>
      <c r="H1840" s="41"/>
      <c r="I1840" s="41"/>
      <c r="J1840" s="42"/>
      <c r="K1840" s="41"/>
      <c r="L1840" s="41"/>
      <c r="M1840" s="127"/>
      <c r="N1840" s="41"/>
      <c r="O1840" s="41"/>
      <c r="P1840" s="41"/>
      <c r="Q1840" s="42"/>
      <c r="R1840" s="35"/>
      <c r="S1840" s="35"/>
      <c r="T1840" s="35"/>
      <c r="U1840" s="35"/>
      <c r="V1840" s="121"/>
      <c r="W1840" s="42"/>
      <c r="X1840" s="42"/>
      <c r="Y1840" s="42"/>
      <c r="Z1840" s="42"/>
      <c r="AA1840" s="42"/>
      <c r="AB1840" s="42"/>
      <c r="AC1840" s="42"/>
      <c r="AD1840" s="42"/>
      <c r="AE1840" s="42"/>
      <c r="AF1840" s="42"/>
      <c r="AG1840" s="42"/>
      <c r="AH1840" s="42"/>
      <c r="AI1840" s="42"/>
      <c r="AJ1840" s="42"/>
      <c r="AK1840" s="42"/>
      <c r="AL1840" s="42"/>
      <c r="AM1840" s="42"/>
    </row>
    <row r="1841" spans="1:39" x14ac:dyDescent="0.25">
      <c r="A1841" s="38" t="s">
        <v>2192</v>
      </c>
      <c r="B1841" s="42"/>
      <c r="C1841" s="42"/>
      <c r="D1841" s="42"/>
      <c r="E1841" s="41"/>
      <c r="F1841" s="41"/>
      <c r="G1841" s="41"/>
      <c r="H1841" s="41"/>
      <c r="I1841" s="41"/>
      <c r="J1841" s="42"/>
      <c r="K1841" s="41"/>
      <c r="L1841" s="41"/>
      <c r="M1841" s="127"/>
      <c r="N1841" s="41"/>
      <c r="O1841" s="41"/>
      <c r="P1841" s="41"/>
      <c r="Q1841" s="42"/>
      <c r="R1841" s="35"/>
      <c r="S1841" s="35"/>
      <c r="T1841" s="35"/>
      <c r="U1841" s="35"/>
      <c r="V1841" s="121"/>
      <c r="W1841" s="42"/>
      <c r="X1841" s="42"/>
      <c r="Y1841" s="42"/>
      <c r="Z1841" s="42"/>
      <c r="AA1841" s="42"/>
      <c r="AB1841" s="42"/>
      <c r="AC1841" s="42"/>
      <c r="AD1841" s="42"/>
      <c r="AE1841" s="42"/>
      <c r="AF1841" s="42"/>
      <c r="AG1841" s="42"/>
      <c r="AH1841" s="42"/>
      <c r="AI1841" s="42"/>
      <c r="AJ1841" s="42"/>
      <c r="AK1841" s="42"/>
      <c r="AL1841" s="42"/>
      <c r="AM1841" s="42"/>
    </row>
    <row r="1842" spans="1:39" x14ac:dyDescent="0.25">
      <c r="A1842" s="38" t="s">
        <v>2193</v>
      </c>
      <c r="B1842" s="42"/>
      <c r="C1842" s="42"/>
      <c r="D1842" s="42"/>
      <c r="E1842" s="41"/>
      <c r="F1842" s="41"/>
      <c r="G1842" s="41"/>
      <c r="H1842" s="41"/>
      <c r="I1842" s="41"/>
      <c r="J1842" s="42"/>
      <c r="K1842" s="41"/>
      <c r="L1842" s="41"/>
      <c r="M1842" s="127"/>
      <c r="N1842" s="41"/>
      <c r="O1842" s="41"/>
      <c r="P1842" s="41"/>
      <c r="Q1842" s="42"/>
      <c r="R1842" s="35"/>
      <c r="S1842" s="35"/>
      <c r="T1842" s="35"/>
      <c r="U1842" s="35"/>
      <c r="V1842" s="121"/>
      <c r="W1842" s="42"/>
      <c r="X1842" s="42"/>
      <c r="Y1842" s="42"/>
      <c r="Z1842" s="42"/>
      <c r="AA1842" s="42"/>
      <c r="AB1842" s="42"/>
      <c r="AC1842" s="42"/>
      <c r="AD1842" s="42"/>
      <c r="AE1842" s="42"/>
      <c r="AF1842" s="42"/>
      <c r="AG1842" s="42"/>
      <c r="AH1842" s="42"/>
      <c r="AI1842" s="42"/>
      <c r="AJ1842" s="42"/>
      <c r="AK1842" s="42"/>
      <c r="AL1842" s="42"/>
      <c r="AM1842" s="42"/>
    </row>
    <row r="1843" spans="1:39" x14ac:dyDescent="0.25">
      <c r="A1843" s="38" t="s">
        <v>2194</v>
      </c>
      <c r="B1843" s="42"/>
      <c r="C1843" s="42"/>
      <c r="D1843" s="42"/>
      <c r="E1843" s="41"/>
      <c r="F1843" s="41"/>
      <c r="G1843" s="41"/>
      <c r="H1843" s="41"/>
      <c r="I1843" s="41"/>
      <c r="J1843" s="42"/>
      <c r="K1843" s="41"/>
      <c r="L1843" s="41"/>
      <c r="M1843" s="127"/>
      <c r="N1843" s="41"/>
      <c r="O1843" s="41"/>
      <c r="P1843" s="41"/>
      <c r="Q1843" s="42"/>
      <c r="R1843" s="35"/>
      <c r="S1843" s="35"/>
      <c r="T1843" s="35"/>
      <c r="U1843" s="35"/>
      <c r="V1843" s="121"/>
      <c r="W1843" s="42"/>
      <c r="X1843" s="42"/>
      <c r="Y1843" s="42"/>
      <c r="Z1843" s="42"/>
      <c r="AA1843" s="42"/>
      <c r="AB1843" s="42"/>
      <c r="AC1843" s="42"/>
      <c r="AD1843" s="42"/>
      <c r="AE1843" s="42"/>
      <c r="AF1843" s="42"/>
      <c r="AG1843" s="42"/>
      <c r="AH1843" s="42"/>
      <c r="AI1843" s="42"/>
      <c r="AJ1843" s="42"/>
      <c r="AK1843" s="42"/>
      <c r="AL1843" s="42"/>
      <c r="AM1843" s="42"/>
    </row>
    <row r="1844" spans="1:39" x14ac:dyDescent="0.25">
      <c r="A1844" s="38" t="s">
        <v>2195</v>
      </c>
      <c r="B1844" s="42"/>
      <c r="C1844" s="42"/>
      <c r="D1844" s="42"/>
      <c r="E1844" s="41"/>
      <c r="F1844" s="41"/>
      <c r="G1844" s="41"/>
      <c r="H1844" s="41"/>
      <c r="I1844" s="41"/>
      <c r="J1844" s="42"/>
      <c r="K1844" s="41"/>
      <c r="L1844" s="41"/>
      <c r="M1844" s="127"/>
      <c r="N1844" s="41"/>
      <c r="O1844" s="41"/>
      <c r="P1844" s="41"/>
      <c r="Q1844" s="42"/>
      <c r="R1844" s="35"/>
      <c r="S1844" s="35"/>
      <c r="T1844" s="35"/>
      <c r="U1844" s="35"/>
      <c r="V1844" s="121"/>
      <c r="W1844" s="42"/>
      <c r="X1844" s="42"/>
      <c r="Y1844" s="42"/>
      <c r="Z1844" s="42"/>
      <c r="AA1844" s="42"/>
      <c r="AB1844" s="42"/>
      <c r="AC1844" s="42"/>
      <c r="AD1844" s="42"/>
      <c r="AE1844" s="42"/>
      <c r="AF1844" s="42"/>
      <c r="AG1844" s="42"/>
      <c r="AH1844" s="42"/>
      <c r="AI1844" s="42"/>
      <c r="AJ1844" s="42"/>
      <c r="AK1844" s="42"/>
      <c r="AL1844" s="42"/>
      <c r="AM1844" s="42"/>
    </row>
    <row r="1845" spans="1:39" x14ac:dyDescent="0.25">
      <c r="A1845" s="38" t="s">
        <v>2196</v>
      </c>
      <c r="B1845" s="42"/>
      <c r="C1845" s="42"/>
      <c r="D1845" s="42"/>
      <c r="E1845" s="41"/>
      <c r="F1845" s="41"/>
      <c r="G1845" s="41"/>
      <c r="H1845" s="41"/>
      <c r="I1845" s="41"/>
      <c r="J1845" s="42"/>
      <c r="K1845" s="41"/>
      <c r="L1845" s="41"/>
      <c r="M1845" s="127"/>
      <c r="N1845" s="41"/>
      <c r="O1845" s="41"/>
      <c r="P1845" s="41"/>
      <c r="Q1845" s="42"/>
      <c r="R1845" s="35"/>
      <c r="S1845" s="35"/>
      <c r="T1845" s="35"/>
      <c r="U1845" s="35"/>
      <c r="V1845" s="121"/>
      <c r="W1845" s="42"/>
      <c r="X1845" s="42"/>
      <c r="Y1845" s="42"/>
      <c r="Z1845" s="42"/>
      <c r="AA1845" s="42"/>
      <c r="AB1845" s="42"/>
      <c r="AC1845" s="42"/>
      <c r="AD1845" s="42"/>
      <c r="AE1845" s="42"/>
      <c r="AF1845" s="42"/>
      <c r="AG1845" s="42"/>
      <c r="AH1845" s="42"/>
      <c r="AI1845" s="42"/>
      <c r="AJ1845" s="42"/>
      <c r="AK1845" s="42"/>
      <c r="AL1845" s="42"/>
      <c r="AM1845" s="42"/>
    </row>
    <row r="1846" spans="1:39" x14ac:dyDescent="0.25">
      <c r="A1846" s="38" t="s">
        <v>2197</v>
      </c>
      <c r="B1846" s="42"/>
      <c r="C1846" s="42"/>
      <c r="D1846" s="42"/>
      <c r="E1846" s="41"/>
      <c r="F1846" s="41"/>
      <c r="G1846" s="41"/>
      <c r="H1846" s="41"/>
      <c r="I1846" s="41"/>
      <c r="J1846" s="42"/>
      <c r="K1846" s="41"/>
      <c r="L1846" s="41"/>
      <c r="M1846" s="127"/>
      <c r="N1846" s="41"/>
      <c r="O1846" s="41"/>
      <c r="P1846" s="41"/>
      <c r="Q1846" s="42"/>
      <c r="R1846" s="35"/>
      <c r="S1846" s="35"/>
      <c r="T1846" s="35"/>
      <c r="U1846" s="35"/>
      <c r="V1846" s="121"/>
      <c r="W1846" s="42"/>
      <c r="X1846" s="42"/>
      <c r="Y1846" s="42"/>
      <c r="Z1846" s="42"/>
      <c r="AA1846" s="42"/>
      <c r="AB1846" s="42"/>
      <c r="AC1846" s="42"/>
      <c r="AD1846" s="42"/>
      <c r="AE1846" s="42"/>
      <c r="AF1846" s="42"/>
      <c r="AG1846" s="42"/>
      <c r="AH1846" s="42"/>
      <c r="AI1846" s="42"/>
      <c r="AJ1846" s="42"/>
      <c r="AK1846" s="42"/>
      <c r="AL1846" s="42"/>
      <c r="AM1846" s="42"/>
    </row>
    <row r="1847" spans="1:39" x14ac:dyDescent="0.25">
      <c r="A1847" s="38" t="s">
        <v>2198</v>
      </c>
      <c r="B1847" s="42"/>
      <c r="C1847" s="42"/>
      <c r="D1847" s="42"/>
      <c r="E1847" s="41"/>
      <c r="F1847" s="41"/>
      <c r="G1847" s="41"/>
      <c r="H1847" s="41"/>
      <c r="I1847" s="41"/>
      <c r="J1847" s="42"/>
      <c r="K1847" s="41"/>
      <c r="L1847" s="41"/>
      <c r="M1847" s="127"/>
      <c r="N1847" s="41"/>
      <c r="O1847" s="41"/>
      <c r="P1847" s="41"/>
      <c r="Q1847" s="42"/>
      <c r="R1847" s="35"/>
      <c r="S1847" s="35"/>
      <c r="T1847" s="35"/>
      <c r="U1847" s="35"/>
      <c r="V1847" s="121"/>
      <c r="W1847" s="42"/>
      <c r="X1847" s="42"/>
      <c r="Y1847" s="42"/>
      <c r="Z1847" s="42"/>
      <c r="AA1847" s="42"/>
      <c r="AB1847" s="42"/>
      <c r="AC1847" s="42"/>
      <c r="AD1847" s="42"/>
      <c r="AE1847" s="42"/>
      <c r="AF1847" s="42"/>
      <c r="AG1847" s="42"/>
      <c r="AH1847" s="42"/>
      <c r="AI1847" s="42"/>
      <c r="AJ1847" s="42"/>
      <c r="AK1847" s="42"/>
      <c r="AL1847" s="42"/>
      <c r="AM1847" s="42"/>
    </row>
    <row r="1848" spans="1:39" x14ac:dyDescent="0.25">
      <c r="A1848" s="38" t="s">
        <v>2199</v>
      </c>
      <c r="B1848" s="42"/>
      <c r="C1848" s="42"/>
      <c r="D1848" s="42"/>
      <c r="E1848" s="41"/>
      <c r="F1848" s="41"/>
      <c r="G1848" s="41"/>
      <c r="H1848" s="41"/>
      <c r="I1848" s="41"/>
      <c r="J1848" s="42"/>
      <c r="K1848" s="41"/>
      <c r="L1848" s="41"/>
      <c r="M1848" s="127"/>
      <c r="N1848" s="41"/>
      <c r="O1848" s="41"/>
      <c r="P1848" s="41"/>
      <c r="Q1848" s="42"/>
      <c r="R1848" s="35"/>
      <c r="S1848" s="35"/>
      <c r="T1848" s="35"/>
      <c r="U1848" s="35"/>
      <c r="V1848" s="121"/>
      <c r="W1848" s="42"/>
      <c r="X1848" s="42"/>
      <c r="Y1848" s="42"/>
      <c r="Z1848" s="42"/>
      <c r="AA1848" s="42"/>
      <c r="AB1848" s="42"/>
      <c r="AC1848" s="42"/>
      <c r="AD1848" s="42"/>
      <c r="AE1848" s="42"/>
      <c r="AF1848" s="42"/>
      <c r="AG1848" s="42"/>
      <c r="AH1848" s="42"/>
      <c r="AI1848" s="42"/>
      <c r="AJ1848" s="42"/>
      <c r="AK1848" s="42"/>
      <c r="AL1848" s="42"/>
      <c r="AM1848" s="42"/>
    </row>
    <row r="1849" spans="1:39" x14ac:dyDescent="0.25">
      <c r="A1849" s="38" t="s">
        <v>2200</v>
      </c>
      <c r="B1849" s="42"/>
      <c r="C1849" s="42"/>
      <c r="D1849" s="42"/>
      <c r="E1849" s="41"/>
      <c r="F1849" s="41"/>
      <c r="G1849" s="41"/>
      <c r="H1849" s="41"/>
      <c r="I1849" s="41"/>
      <c r="J1849" s="42"/>
      <c r="K1849" s="41"/>
      <c r="L1849" s="41"/>
      <c r="M1849" s="127"/>
      <c r="N1849" s="41"/>
      <c r="O1849" s="41"/>
      <c r="P1849" s="41"/>
      <c r="Q1849" s="42"/>
      <c r="R1849" s="35"/>
      <c r="S1849" s="35"/>
      <c r="T1849" s="35"/>
      <c r="U1849" s="35"/>
      <c r="V1849" s="121"/>
      <c r="W1849" s="42"/>
      <c r="X1849" s="42"/>
      <c r="Y1849" s="42"/>
      <c r="Z1849" s="42"/>
      <c r="AA1849" s="42"/>
      <c r="AB1849" s="42"/>
      <c r="AC1849" s="42"/>
      <c r="AD1849" s="42"/>
      <c r="AE1849" s="42"/>
      <c r="AF1849" s="42"/>
      <c r="AG1849" s="42"/>
      <c r="AH1849" s="42"/>
      <c r="AI1849" s="42"/>
      <c r="AJ1849" s="42"/>
      <c r="AK1849" s="42"/>
      <c r="AL1849" s="42"/>
      <c r="AM1849" s="42"/>
    </row>
    <row r="1850" spans="1:39" x14ac:dyDescent="0.25">
      <c r="A1850" s="38" t="s">
        <v>2201</v>
      </c>
      <c r="B1850" s="42"/>
      <c r="C1850" s="42"/>
      <c r="D1850" s="42"/>
      <c r="E1850" s="41"/>
      <c r="F1850" s="41"/>
      <c r="G1850" s="41"/>
      <c r="H1850" s="41"/>
      <c r="I1850" s="41"/>
      <c r="J1850" s="42"/>
      <c r="K1850" s="41"/>
      <c r="L1850" s="41"/>
      <c r="M1850" s="127"/>
      <c r="N1850" s="41"/>
      <c r="O1850" s="41"/>
      <c r="P1850" s="41"/>
      <c r="Q1850" s="42"/>
      <c r="R1850" s="35"/>
      <c r="S1850" s="35"/>
      <c r="T1850" s="35"/>
      <c r="U1850" s="35"/>
      <c r="V1850" s="121"/>
      <c r="W1850" s="42"/>
      <c r="X1850" s="42"/>
      <c r="Y1850" s="42"/>
      <c r="Z1850" s="42"/>
      <c r="AA1850" s="42"/>
      <c r="AB1850" s="42"/>
      <c r="AC1850" s="42"/>
      <c r="AD1850" s="42"/>
      <c r="AE1850" s="42"/>
      <c r="AF1850" s="42"/>
      <c r="AG1850" s="42"/>
      <c r="AH1850" s="42"/>
      <c r="AI1850" s="42"/>
      <c r="AJ1850" s="42"/>
      <c r="AK1850" s="42"/>
      <c r="AL1850" s="42"/>
      <c r="AM1850" s="42"/>
    </row>
    <row r="1851" spans="1:39" x14ac:dyDescent="0.25">
      <c r="A1851" s="38" t="s">
        <v>2202</v>
      </c>
      <c r="B1851" s="42"/>
      <c r="C1851" s="42"/>
      <c r="D1851" s="42"/>
      <c r="E1851" s="41"/>
      <c r="F1851" s="41"/>
      <c r="G1851" s="41"/>
      <c r="H1851" s="41"/>
      <c r="I1851" s="41"/>
      <c r="J1851" s="42"/>
      <c r="K1851" s="41"/>
      <c r="L1851" s="41"/>
      <c r="M1851" s="127"/>
      <c r="N1851" s="41"/>
      <c r="O1851" s="41"/>
      <c r="P1851" s="41"/>
      <c r="Q1851" s="42"/>
      <c r="R1851" s="35"/>
      <c r="S1851" s="35"/>
      <c r="T1851" s="35"/>
      <c r="U1851" s="35"/>
      <c r="V1851" s="121"/>
      <c r="W1851" s="42"/>
      <c r="X1851" s="42"/>
      <c r="Y1851" s="42"/>
      <c r="Z1851" s="42"/>
      <c r="AA1851" s="42"/>
      <c r="AB1851" s="42"/>
      <c r="AC1851" s="42"/>
      <c r="AD1851" s="42"/>
      <c r="AE1851" s="42"/>
      <c r="AF1851" s="42"/>
      <c r="AG1851" s="42"/>
      <c r="AH1851" s="42"/>
      <c r="AI1851" s="42"/>
      <c r="AJ1851" s="42"/>
      <c r="AK1851" s="42"/>
      <c r="AL1851" s="42"/>
      <c r="AM1851" s="42"/>
    </row>
    <row r="1852" spans="1:39" x14ac:dyDescent="0.25">
      <c r="A1852" s="38" t="s">
        <v>2203</v>
      </c>
      <c r="B1852" s="42"/>
      <c r="C1852" s="42"/>
      <c r="D1852" s="42"/>
      <c r="E1852" s="41"/>
      <c r="F1852" s="41"/>
      <c r="G1852" s="41"/>
      <c r="H1852" s="41"/>
      <c r="I1852" s="41"/>
      <c r="J1852" s="42"/>
      <c r="K1852" s="41"/>
      <c r="L1852" s="41"/>
      <c r="M1852" s="127"/>
      <c r="N1852" s="41"/>
      <c r="O1852" s="41"/>
      <c r="P1852" s="41"/>
      <c r="Q1852" s="42"/>
      <c r="R1852" s="35"/>
      <c r="S1852" s="35"/>
      <c r="T1852" s="35"/>
      <c r="U1852" s="35"/>
      <c r="V1852" s="121"/>
      <c r="W1852" s="42"/>
      <c r="X1852" s="42"/>
      <c r="Y1852" s="42"/>
      <c r="Z1852" s="42"/>
      <c r="AA1852" s="42"/>
      <c r="AB1852" s="42"/>
      <c r="AC1852" s="42"/>
      <c r="AD1852" s="42"/>
      <c r="AE1852" s="42"/>
      <c r="AF1852" s="42"/>
      <c r="AG1852" s="42"/>
      <c r="AH1852" s="42"/>
      <c r="AI1852" s="42"/>
      <c r="AJ1852" s="42"/>
      <c r="AK1852" s="42"/>
      <c r="AL1852" s="42"/>
      <c r="AM1852" s="42"/>
    </row>
    <row r="1853" spans="1:39" x14ac:dyDescent="0.25">
      <c r="A1853" s="38" t="s">
        <v>2204</v>
      </c>
      <c r="B1853" s="42"/>
      <c r="C1853" s="42"/>
      <c r="D1853" s="42"/>
      <c r="E1853" s="41"/>
      <c r="F1853" s="41"/>
      <c r="G1853" s="41"/>
      <c r="H1853" s="41"/>
      <c r="I1853" s="41"/>
      <c r="J1853" s="42"/>
      <c r="K1853" s="41"/>
      <c r="L1853" s="41"/>
      <c r="M1853" s="127"/>
      <c r="N1853" s="41"/>
      <c r="O1853" s="41"/>
      <c r="P1853" s="41"/>
      <c r="Q1853" s="42"/>
      <c r="R1853" s="35"/>
      <c r="S1853" s="35"/>
      <c r="T1853" s="35"/>
      <c r="U1853" s="35"/>
      <c r="V1853" s="121"/>
      <c r="W1853" s="42"/>
      <c r="X1853" s="42"/>
      <c r="Y1853" s="42"/>
      <c r="Z1853" s="42"/>
      <c r="AA1853" s="42"/>
      <c r="AB1853" s="42"/>
      <c r="AC1853" s="42"/>
      <c r="AD1853" s="42"/>
      <c r="AE1853" s="42"/>
      <c r="AF1853" s="42"/>
      <c r="AG1853" s="42"/>
      <c r="AH1853" s="42"/>
      <c r="AI1853" s="42"/>
      <c r="AJ1853" s="42"/>
      <c r="AK1853" s="42"/>
      <c r="AL1853" s="42"/>
      <c r="AM1853" s="42"/>
    </row>
    <row r="1854" spans="1:39" x14ac:dyDescent="0.25">
      <c r="A1854" s="38" t="s">
        <v>2205</v>
      </c>
      <c r="B1854" s="42"/>
      <c r="C1854" s="42"/>
      <c r="D1854" s="42"/>
      <c r="E1854" s="41"/>
      <c r="F1854" s="41"/>
      <c r="G1854" s="41"/>
      <c r="H1854" s="41"/>
      <c r="I1854" s="41"/>
      <c r="J1854" s="42"/>
      <c r="K1854" s="41"/>
      <c r="L1854" s="41"/>
      <c r="M1854" s="127"/>
      <c r="N1854" s="41"/>
      <c r="O1854" s="41"/>
      <c r="P1854" s="41"/>
      <c r="Q1854" s="42"/>
      <c r="R1854" s="35"/>
      <c r="S1854" s="35"/>
      <c r="T1854" s="35"/>
      <c r="U1854" s="35"/>
      <c r="V1854" s="121"/>
      <c r="W1854" s="42"/>
      <c r="X1854" s="42"/>
      <c r="Y1854" s="42"/>
      <c r="Z1854" s="42"/>
      <c r="AA1854" s="42"/>
      <c r="AB1854" s="42"/>
      <c r="AC1854" s="42"/>
      <c r="AD1854" s="42"/>
      <c r="AE1854" s="42"/>
      <c r="AF1854" s="42"/>
      <c r="AG1854" s="42"/>
      <c r="AH1854" s="42"/>
      <c r="AI1854" s="42"/>
      <c r="AJ1854" s="42"/>
      <c r="AK1854" s="42"/>
      <c r="AL1854" s="42"/>
      <c r="AM1854" s="42"/>
    </row>
    <row r="1855" spans="1:39" x14ac:dyDescent="0.25">
      <c r="A1855" s="38" t="s">
        <v>2206</v>
      </c>
      <c r="B1855" s="42"/>
      <c r="C1855" s="42"/>
      <c r="D1855" s="42"/>
      <c r="E1855" s="41"/>
      <c r="F1855" s="41"/>
      <c r="G1855" s="41"/>
      <c r="H1855" s="41"/>
      <c r="I1855" s="41"/>
      <c r="J1855" s="42"/>
      <c r="K1855" s="41"/>
      <c r="L1855" s="41"/>
      <c r="M1855" s="127"/>
      <c r="N1855" s="41"/>
      <c r="O1855" s="41"/>
      <c r="P1855" s="41"/>
      <c r="Q1855" s="42"/>
      <c r="R1855" s="35"/>
      <c r="S1855" s="35"/>
      <c r="T1855" s="35"/>
      <c r="U1855" s="35"/>
      <c r="V1855" s="121"/>
      <c r="W1855" s="42"/>
      <c r="X1855" s="42"/>
      <c r="Y1855" s="42"/>
      <c r="Z1855" s="42"/>
      <c r="AA1855" s="42"/>
      <c r="AB1855" s="42"/>
      <c r="AC1855" s="42"/>
      <c r="AD1855" s="42"/>
      <c r="AE1855" s="42"/>
      <c r="AF1855" s="42"/>
      <c r="AG1855" s="42"/>
      <c r="AH1855" s="42"/>
      <c r="AI1855" s="42"/>
      <c r="AJ1855" s="42"/>
      <c r="AK1855" s="42"/>
      <c r="AL1855" s="42"/>
      <c r="AM1855" s="42"/>
    </row>
    <row r="1856" spans="1:39" x14ac:dyDescent="0.25">
      <c r="A1856" s="38" t="s">
        <v>2207</v>
      </c>
      <c r="B1856" s="42"/>
      <c r="C1856" s="42"/>
      <c r="D1856" s="42"/>
      <c r="E1856" s="41"/>
      <c r="F1856" s="41"/>
      <c r="G1856" s="41"/>
      <c r="H1856" s="41"/>
      <c r="I1856" s="41"/>
      <c r="J1856" s="42"/>
      <c r="K1856" s="41"/>
      <c r="L1856" s="41"/>
      <c r="M1856" s="127"/>
      <c r="N1856" s="41"/>
      <c r="O1856" s="41"/>
      <c r="P1856" s="41"/>
      <c r="Q1856" s="42"/>
      <c r="R1856" s="35"/>
      <c r="S1856" s="35"/>
      <c r="T1856" s="35"/>
      <c r="U1856" s="35"/>
      <c r="V1856" s="121"/>
      <c r="W1856" s="42"/>
      <c r="X1856" s="42"/>
      <c r="Y1856" s="42"/>
      <c r="Z1856" s="42"/>
      <c r="AA1856" s="42"/>
      <c r="AB1856" s="42"/>
      <c r="AC1856" s="42"/>
      <c r="AD1856" s="42"/>
      <c r="AE1856" s="42"/>
      <c r="AF1856" s="42"/>
      <c r="AG1856" s="42"/>
      <c r="AH1856" s="42"/>
      <c r="AI1856" s="42"/>
      <c r="AJ1856" s="42"/>
      <c r="AK1856" s="42"/>
      <c r="AL1856" s="42"/>
      <c r="AM1856" s="42"/>
    </row>
    <row r="1857" spans="1:39" x14ac:dyDescent="0.25">
      <c r="A1857" s="38" t="s">
        <v>2208</v>
      </c>
      <c r="B1857" s="42"/>
      <c r="C1857" s="42"/>
      <c r="D1857" s="42"/>
      <c r="E1857" s="41"/>
      <c r="F1857" s="41"/>
      <c r="G1857" s="41"/>
      <c r="H1857" s="41"/>
      <c r="I1857" s="41"/>
      <c r="J1857" s="42"/>
      <c r="K1857" s="41"/>
      <c r="L1857" s="41"/>
      <c r="M1857" s="127"/>
      <c r="N1857" s="41"/>
      <c r="O1857" s="41"/>
      <c r="P1857" s="41"/>
      <c r="Q1857" s="42"/>
      <c r="R1857" s="35"/>
      <c r="S1857" s="35"/>
      <c r="T1857" s="35"/>
      <c r="U1857" s="35"/>
      <c r="V1857" s="121"/>
      <c r="W1857" s="42"/>
      <c r="X1857" s="42"/>
      <c r="Y1857" s="42"/>
      <c r="Z1857" s="42"/>
      <c r="AA1857" s="42"/>
      <c r="AB1857" s="42"/>
      <c r="AC1857" s="42"/>
      <c r="AD1857" s="42"/>
      <c r="AE1857" s="42"/>
      <c r="AF1857" s="42"/>
      <c r="AG1857" s="42"/>
      <c r="AH1857" s="42"/>
      <c r="AI1857" s="42"/>
      <c r="AJ1857" s="42"/>
      <c r="AK1857" s="42"/>
      <c r="AL1857" s="42"/>
      <c r="AM1857" s="42"/>
    </row>
    <row r="1858" spans="1:39" x14ac:dyDescent="0.25">
      <c r="A1858" s="38" t="s">
        <v>2209</v>
      </c>
      <c r="B1858" s="42"/>
      <c r="C1858" s="42"/>
      <c r="D1858" s="42"/>
      <c r="E1858" s="41"/>
      <c r="F1858" s="41"/>
      <c r="G1858" s="41"/>
      <c r="H1858" s="41"/>
      <c r="I1858" s="41"/>
      <c r="J1858" s="42"/>
      <c r="K1858" s="41"/>
      <c r="L1858" s="41"/>
      <c r="M1858" s="127"/>
      <c r="N1858" s="41"/>
      <c r="O1858" s="41"/>
      <c r="P1858" s="41"/>
      <c r="Q1858" s="42"/>
      <c r="R1858" s="35"/>
      <c r="S1858" s="35"/>
      <c r="T1858" s="35"/>
      <c r="U1858" s="35"/>
      <c r="V1858" s="121"/>
      <c r="W1858" s="42"/>
      <c r="X1858" s="42"/>
      <c r="Y1858" s="42"/>
      <c r="Z1858" s="42"/>
      <c r="AA1858" s="42"/>
      <c r="AB1858" s="42"/>
      <c r="AC1858" s="42"/>
      <c r="AD1858" s="42"/>
      <c r="AE1858" s="42"/>
      <c r="AF1858" s="42"/>
      <c r="AG1858" s="42"/>
      <c r="AH1858" s="42"/>
      <c r="AI1858" s="42"/>
      <c r="AJ1858" s="42"/>
      <c r="AK1858" s="42"/>
      <c r="AL1858" s="42"/>
      <c r="AM1858" s="42"/>
    </row>
    <row r="1859" spans="1:39" x14ac:dyDescent="0.25">
      <c r="A1859" s="38" t="s">
        <v>2210</v>
      </c>
      <c r="B1859" s="42"/>
      <c r="C1859" s="42"/>
      <c r="D1859" s="42"/>
      <c r="E1859" s="41"/>
      <c r="F1859" s="41"/>
      <c r="G1859" s="41"/>
      <c r="H1859" s="41"/>
      <c r="I1859" s="41"/>
      <c r="J1859" s="42"/>
      <c r="K1859" s="41"/>
      <c r="L1859" s="41"/>
      <c r="M1859" s="127"/>
      <c r="N1859" s="41"/>
      <c r="O1859" s="41"/>
      <c r="P1859" s="41"/>
      <c r="Q1859" s="42"/>
      <c r="R1859" s="35"/>
      <c r="S1859" s="35"/>
      <c r="T1859" s="35"/>
      <c r="U1859" s="35"/>
      <c r="V1859" s="121"/>
      <c r="W1859" s="42"/>
      <c r="X1859" s="42"/>
      <c r="Y1859" s="42"/>
      <c r="Z1859" s="42"/>
      <c r="AA1859" s="42"/>
      <c r="AB1859" s="42"/>
      <c r="AC1859" s="42"/>
      <c r="AD1859" s="42"/>
      <c r="AE1859" s="42"/>
      <c r="AF1859" s="42"/>
      <c r="AG1859" s="42"/>
      <c r="AH1859" s="42"/>
      <c r="AI1859" s="42"/>
      <c r="AJ1859" s="42"/>
      <c r="AK1859" s="42"/>
      <c r="AL1859" s="42"/>
      <c r="AM1859" s="42"/>
    </row>
    <row r="1860" spans="1:39" x14ac:dyDescent="0.25">
      <c r="A1860" s="38" t="s">
        <v>2211</v>
      </c>
      <c r="B1860" s="42"/>
      <c r="C1860" s="42"/>
      <c r="D1860" s="42"/>
      <c r="E1860" s="41"/>
      <c r="F1860" s="41"/>
      <c r="G1860" s="41"/>
      <c r="H1860" s="41"/>
      <c r="I1860" s="41"/>
      <c r="J1860" s="42"/>
      <c r="K1860" s="41"/>
      <c r="L1860" s="41"/>
      <c r="M1860" s="127"/>
      <c r="N1860" s="41"/>
      <c r="O1860" s="41"/>
      <c r="P1860" s="41"/>
      <c r="Q1860" s="42"/>
      <c r="R1860" s="35"/>
      <c r="S1860" s="35"/>
      <c r="T1860" s="35"/>
      <c r="U1860" s="35"/>
      <c r="V1860" s="121"/>
      <c r="W1860" s="42"/>
      <c r="X1860" s="42"/>
      <c r="Y1860" s="42"/>
      <c r="Z1860" s="42"/>
      <c r="AA1860" s="42"/>
      <c r="AB1860" s="42"/>
      <c r="AC1860" s="42"/>
      <c r="AD1860" s="42"/>
      <c r="AE1860" s="42"/>
      <c r="AF1860" s="42"/>
      <c r="AG1860" s="42"/>
      <c r="AH1860" s="42"/>
      <c r="AI1860" s="42"/>
      <c r="AJ1860" s="42"/>
      <c r="AK1860" s="42"/>
      <c r="AL1860" s="42"/>
      <c r="AM1860" s="42"/>
    </row>
    <row r="1861" spans="1:39" x14ac:dyDescent="0.25">
      <c r="A1861" s="38" t="s">
        <v>2212</v>
      </c>
      <c r="B1861" s="42"/>
      <c r="C1861" s="42"/>
      <c r="D1861" s="42"/>
      <c r="E1861" s="41"/>
      <c r="F1861" s="41"/>
      <c r="G1861" s="41"/>
      <c r="H1861" s="41"/>
      <c r="I1861" s="41"/>
      <c r="J1861" s="42"/>
      <c r="K1861" s="41"/>
      <c r="L1861" s="41"/>
      <c r="M1861" s="127"/>
      <c r="N1861" s="41"/>
      <c r="O1861" s="41"/>
      <c r="P1861" s="41"/>
      <c r="Q1861" s="42"/>
      <c r="R1861" s="35"/>
      <c r="S1861" s="35"/>
      <c r="T1861" s="35"/>
      <c r="U1861" s="35"/>
      <c r="V1861" s="121"/>
      <c r="W1861" s="42"/>
      <c r="X1861" s="42"/>
      <c r="Y1861" s="42"/>
      <c r="Z1861" s="42"/>
      <c r="AA1861" s="42"/>
      <c r="AB1861" s="42"/>
      <c r="AC1861" s="42"/>
      <c r="AD1861" s="42"/>
      <c r="AE1861" s="42"/>
      <c r="AF1861" s="42"/>
      <c r="AG1861" s="42"/>
      <c r="AH1861" s="42"/>
      <c r="AI1861" s="42"/>
      <c r="AJ1861" s="42"/>
      <c r="AK1861" s="42"/>
      <c r="AL1861" s="42"/>
      <c r="AM1861" s="42"/>
    </row>
    <row r="1862" spans="1:39" x14ac:dyDescent="0.25">
      <c r="A1862" s="38" t="s">
        <v>2213</v>
      </c>
      <c r="B1862" s="42"/>
      <c r="C1862" s="42"/>
      <c r="D1862" s="42"/>
      <c r="E1862" s="41"/>
      <c r="F1862" s="41"/>
      <c r="G1862" s="41"/>
      <c r="H1862" s="41"/>
      <c r="I1862" s="41"/>
      <c r="J1862" s="42"/>
      <c r="K1862" s="41"/>
      <c r="L1862" s="41"/>
      <c r="M1862" s="127"/>
      <c r="N1862" s="41"/>
      <c r="O1862" s="41"/>
      <c r="P1862" s="41"/>
      <c r="Q1862" s="42"/>
      <c r="R1862" s="35"/>
      <c r="S1862" s="35"/>
      <c r="T1862" s="35"/>
      <c r="U1862" s="35"/>
      <c r="V1862" s="121"/>
      <c r="W1862" s="42"/>
      <c r="X1862" s="42"/>
      <c r="Y1862" s="42"/>
      <c r="Z1862" s="42"/>
      <c r="AA1862" s="42"/>
      <c r="AB1862" s="42"/>
      <c r="AC1862" s="42"/>
      <c r="AD1862" s="42"/>
      <c r="AE1862" s="42"/>
      <c r="AF1862" s="42"/>
      <c r="AG1862" s="42"/>
      <c r="AH1862" s="42"/>
      <c r="AI1862" s="42"/>
      <c r="AJ1862" s="42"/>
      <c r="AK1862" s="42"/>
      <c r="AL1862" s="42"/>
      <c r="AM1862" s="42"/>
    </row>
    <row r="1863" spans="1:39" x14ac:dyDescent="0.25">
      <c r="A1863" s="38" t="s">
        <v>2214</v>
      </c>
      <c r="B1863" s="42"/>
      <c r="C1863" s="42"/>
      <c r="D1863" s="42"/>
      <c r="E1863" s="41"/>
      <c r="F1863" s="41"/>
      <c r="G1863" s="41"/>
      <c r="H1863" s="41"/>
      <c r="I1863" s="41"/>
      <c r="J1863" s="42"/>
      <c r="K1863" s="41"/>
      <c r="L1863" s="41"/>
      <c r="M1863" s="127"/>
      <c r="N1863" s="41"/>
      <c r="O1863" s="41"/>
      <c r="P1863" s="41"/>
      <c r="Q1863" s="42"/>
      <c r="R1863" s="35"/>
      <c r="S1863" s="35"/>
      <c r="T1863" s="35"/>
      <c r="U1863" s="35"/>
      <c r="V1863" s="121"/>
      <c r="W1863" s="42"/>
      <c r="X1863" s="42"/>
      <c r="Y1863" s="42"/>
      <c r="Z1863" s="42"/>
      <c r="AA1863" s="42"/>
      <c r="AB1863" s="42"/>
      <c r="AC1863" s="42"/>
      <c r="AD1863" s="42"/>
      <c r="AE1863" s="42"/>
      <c r="AF1863" s="42"/>
      <c r="AG1863" s="42"/>
      <c r="AH1863" s="42"/>
      <c r="AI1863" s="42"/>
      <c r="AJ1863" s="42"/>
      <c r="AK1863" s="42"/>
      <c r="AL1863" s="42"/>
      <c r="AM1863" s="42"/>
    </row>
    <row r="1864" spans="1:39" x14ac:dyDescent="0.25">
      <c r="A1864" s="38" t="s">
        <v>2215</v>
      </c>
      <c r="B1864" s="42"/>
      <c r="C1864" s="42"/>
      <c r="D1864" s="42"/>
      <c r="E1864" s="41"/>
      <c r="F1864" s="41"/>
      <c r="G1864" s="41"/>
      <c r="H1864" s="41"/>
      <c r="I1864" s="41"/>
      <c r="J1864" s="42"/>
      <c r="K1864" s="41"/>
      <c r="L1864" s="41"/>
      <c r="M1864" s="127"/>
      <c r="N1864" s="41"/>
      <c r="O1864" s="41"/>
      <c r="P1864" s="41"/>
      <c r="Q1864" s="42"/>
      <c r="R1864" s="35"/>
      <c r="S1864" s="35"/>
      <c r="T1864" s="35"/>
      <c r="U1864" s="35"/>
      <c r="V1864" s="121"/>
      <c r="W1864" s="42"/>
      <c r="X1864" s="42"/>
      <c r="Y1864" s="42"/>
      <c r="Z1864" s="42"/>
      <c r="AA1864" s="42"/>
      <c r="AB1864" s="42"/>
      <c r="AC1864" s="42"/>
      <c r="AD1864" s="42"/>
      <c r="AE1864" s="42"/>
      <c r="AF1864" s="42"/>
      <c r="AG1864" s="42"/>
      <c r="AH1864" s="42"/>
      <c r="AI1864" s="42"/>
      <c r="AJ1864" s="42"/>
      <c r="AK1864" s="42"/>
      <c r="AL1864" s="42"/>
      <c r="AM1864" s="42"/>
    </row>
    <row r="1865" spans="1:39" x14ac:dyDescent="0.25">
      <c r="A1865" s="38" t="s">
        <v>2216</v>
      </c>
      <c r="B1865" s="42"/>
      <c r="C1865" s="42"/>
      <c r="D1865" s="42"/>
      <c r="E1865" s="41"/>
      <c r="F1865" s="41"/>
      <c r="G1865" s="41"/>
      <c r="H1865" s="41"/>
      <c r="I1865" s="41"/>
      <c r="J1865" s="42"/>
      <c r="K1865" s="41"/>
      <c r="L1865" s="41"/>
      <c r="M1865" s="127"/>
      <c r="N1865" s="41"/>
      <c r="O1865" s="41"/>
      <c r="P1865" s="41"/>
      <c r="Q1865" s="42"/>
      <c r="R1865" s="35"/>
      <c r="S1865" s="35"/>
      <c r="T1865" s="35"/>
      <c r="U1865" s="35"/>
      <c r="V1865" s="121"/>
      <c r="W1865" s="42"/>
      <c r="X1865" s="42"/>
      <c r="Y1865" s="42"/>
      <c r="Z1865" s="42"/>
      <c r="AA1865" s="42"/>
      <c r="AB1865" s="42"/>
      <c r="AC1865" s="42"/>
      <c r="AD1865" s="42"/>
      <c r="AE1865" s="42"/>
      <c r="AF1865" s="42"/>
      <c r="AG1865" s="42"/>
      <c r="AH1865" s="42"/>
      <c r="AI1865" s="42"/>
      <c r="AJ1865" s="42"/>
      <c r="AK1865" s="42"/>
      <c r="AL1865" s="42"/>
      <c r="AM1865" s="42"/>
    </row>
    <row r="1866" spans="1:39" x14ac:dyDescent="0.25">
      <c r="A1866" s="38" t="s">
        <v>2217</v>
      </c>
      <c r="B1866" s="42"/>
      <c r="C1866" s="42"/>
      <c r="D1866" s="42"/>
      <c r="E1866" s="41"/>
      <c r="F1866" s="41"/>
      <c r="G1866" s="41"/>
      <c r="H1866" s="41"/>
      <c r="I1866" s="41"/>
      <c r="J1866" s="42"/>
      <c r="K1866" s="41"/>
      <c r="L1866" s="41"/>
      <c r="M1866" s="127"/>
      <c r="N1866" s="41"/>
      <c r="O1866" s="41"/>
      <c r="P1866" s="41"/>
      <c r="Q1866" s="42"/>
      <c r="R1866" s="35"/>
      <c r="S1866" s="35"/>
      <c r="T1866" s="35"/>
      <c r="U1866" s="35"/>
      <c r="V1866" s="121"/>
      <c r="W1866" s="42"/>
      <c r="X1866" s="42"/>
      <c r="Y1866" s="42"/>
      <c r="Z1866" s="42"/>
      <c r="AA1866" s="42"/>
      <c r="AB1866" s="42"/>
      <c r="AC1866" s="42"/>
      <c r="AD1866" s="42"/>
      <c r="AE1866" s="42"/>
      <c r="AF1866" s="42"/>
      <c r="AG1866" s="42"/>
      <c r="AH1866" s="42"/>
      <c r="AI1866" s="42"/>
      <c r="AJ1866" s="42"/>
      <c r="AK1866" s="42"/>
      <c r="AL1866" s="42"/>
      <c r="AM1866" s="42"/>
    </row>
    <row r="1867" spans="1:39" x14ac:dyDescent="0.25">
      <c r="A1867" s="38" t="s">
        <v>2218</v>
      </c>
      <c r="B1867" s="42"/>
      <c r="C1867" s="42"/>
      <c r="D1867" s="42"/>
      <c r="E1867" s="41"/>
      <c r="F1867" s="41"/>
      <c r="G1867" s="41"/>
      <c r="H1867" s="41"/>
      <c r="I1867" s="41"/>
      <c r="J1867" s="42"/>
      <c r="K1867" s="41"/>
      <c r="L1867" s="41"/>
      <c r="M1867" s="127"/>
      <c r="N1867" s="41"/>
      <c r="O1867" s="41"/>
      <c r="P1867" s="41"/>
      <c r="Q1867" s="42"/>
      <c r="R1867" s="35"/>
      <c r="S1867" s="35"/>
      <c r="T1867" s="35"/>
      <c r="U1867" s="35"/>
      <c r="V1867" s="121"/>
      <c r="W1867" s="42"/>
      <c r="X1867" s="42"/>
      <c r="Y1867" s="42"/>
      <c r="Z1867" s="42"/>
      <c r="AA1867" s="42"/>
      <c r="AB1867" s="42"/>
      <c r="AC1867" s="42"/>
      <c r="AD1867" s="42"/>
      <c r="AE1867" s="42"/>
      <c r="AF1867" s="42"/>
      <c r="AG1867" s="42"/>
      <c r="AH1867" s="42"/>
      <c r="AI1867" s="42"/>
      <c r="AJ1867" s="42"/>
      <c r="AK1867" s="42"/>
      <c r="AL1867" s="42"/>
      <c r="AM1867" s="42"/>
    </row>
    <row r="1868" spans="1:39" x14ac:dyDescent="0.25">
      <c r="A1868" s="38" t="s">
        <v>2219</v>
      </c>
      <c r="B1868" s="42"/>
      <c r="C1868" s="42"/>
      <c r="D1868" s="42"/>
      <c r="E1868" s="41"/>
      <c r="F1868" s="41"/>
      <c r="G1868" s="41"/>
      <c r="H1868" s="41"/>
      <c r="I1868" s="41"/>
      <c r="J1868" s="42"/>
      <c r="K1868" s="41"/>
      <c r="L1868" s="41"/>
      <c r="M1868" s="127"/>
      <c r="N1868" s="41"/>
      <c r="O1868" s="41"/>
      <c r="P1868" s="41"/>
      <c r="Q1868" s="42"/>
      <c r="R1868" s="35"/>
      <c r="S1868" s="35"/>
      <c r="T1868" s="35"/>
      <c r="U1868" s="35"/>
      <c r="V1868" s="121"/>
      <c r="W1868" s="42"/>
      <c r="X1868" s="42"/>
      <c r="Y1868" s="42"/>
      <c r="Z1868" s="42"/>
      <c r="AA1868" s="42"/>
      <c r="AB1868" s="42"/>
      <c r="AC1868" s="42"/>
      <c r="AD1868" s="42"/>
      <c r="AE1868" s="42"/>
      <c r="AF1868" s="42"/>
      <c r="AG1868" s="42"/>
      <c r="AH1868" s="42"/>
      <c r="AI1868" s="42"/>
      <c r="AJ1868" s="42"/>
      <c r="AK1868" s="42"/>
      <c r="AL1868" s="42"/>
      <c r="AM1868" s="42"/>
    </row>
    <row r="1869" spans="1:39" x14ac:dyDescent="0.25">
      <c r="A1869" s="38" t="s">
        <v>2220</v>
      </c>
      <c r="B1869" s="42"/>
      <c r="C1869" s="42"/>
      <c r="D1869" s="42"/>
      <c r="E1869" s="41"/>
      <c r="F1869" s="41"/>
      <c r="G1869" s="41"/>
      <c r="H1869" s="41"/>
      <c r="I1869" s="41"/>
      <c r="J1869" s="42"/>
      <c r="K1869" s="41"/>
      <c r="L1869" s="41"/>
      <c r="M1869" s="127"/>
      <c r="N1869" s="41"/>
      <c r="O1869" s="41"/>
      <c r="P1869" s="41"/>
      <c r="Q1869" s="42"/>
      <c r="R1869" s="35"/>
      <c r="S1869" s="35"/>
      <c r="T1869" s="35"/>
      <c r="U1869" s="35"/>
      <c r="V1869" s="121"/>
      <c r="W1869" s="42"/>
      <c r="X1869" s="42"/>
      <c r="Y1869" s="42"/>
      <c r="Z1869" s="42"/>
      <c r="AA1869" s="42"/>
      <c r="AB1869" s="42"/>
      <c r="AC1869" s="42"/>
      <c r="AD1869" s="42"/>
      <c r="AE1869" s="42"/>
      <c r="AF1869" s="42"/>
      <c r="AG1869" s="42"/>
      <c r="AH1869" s="42"/>
      <c r="AI1869" s="42"/>
      <c r="AJ1869" s="42"/>
      <c r="AK1869" s="42"/>
      <c r="AL1869" s="42"/>
      <c r="AM1869" s="42"/>
    </row>
    <row r="1870" spans="1:39" x14ac:dyDescent="0.25">
      <c r="A1870" s="38" t="s">
        <v>2221</v>
      </c>
      <c r="B1870" s="42"/>
      <c r="C1870" s="42"/>
      <c r="D1870" s="42"/>
      <c r="E1870" s="41"/>
      <c r="F1870" s="41"/>
      <c r="G1870" s="41"/>
      <c r="H1870" s="41"/>
      <c r="I1870" s="41"/>
      <c r="J1870" s="42"/>
      <c r="K1870" s="41"/>
      <c r="L1870" s="41"/>
      <c r="M1870" s="127"/>
      <c r="N1870" s="41"/>
      <c r="O1870" s="41"/>
      <c r="P1870" s="41"/>
      <c r="Q1870" s="42"/>
      <c r="R1870" s="35"/>
      <c r="S1870" s="35"/>
      <c r="T1870" s="35"/>
      <c r="U1870" s="35"/>
      <c r="V1870" s="121"/>
      <c r="W1870" s="42"/>
      <c r="X1870" s="42"/>
      <c r="Y1870" s="42"/>
      <c r="Z1870" s="42"/>
      <c r="AA1870" s="42"/>
      <c r="AB1870" s="42"/>
      <c r="AC1870" s="42"/>
      <c r="AD1870" s="42"/>
      <c r="AE1870" s="42"/>
      <c r="AF1870" s="42"/>
      <c r="AG1870" s="42"/>
      <c r="AH1870" s="42"/>
      <c r="AI1870" s="42"/>
      <c r="AJ1870" s="42"/>
      <c r="AK1870" s="42"/>
      <c r="AL1870" s="42"/>
      <c r="AM1870" s="42"/>
    </row>
    <row r="1871" spans="1:39" x14ac:dyDescent="0.25">
      <c r="A1871" s="38" t="s">
        <v>2222</v>
      </c>
      <c r="B1871" s="42"/>
      <c r="C1871" s="42"/>
      <c r="D1871" s="42"/>
      <c r="E1871" s="41"/>
      <c r="F1871" s="41"/>
      <c r="G1871" s="41"/>
      <c r="H1871" s="41"/>
      <c r="I1871" s="41"/>
      <c r="J1871" s="42"/>
      <c r="K1871" s="41"/>
      <c r="L1871" s="41"/>
      <c r="M1871" s="127"/>
      <c r="N1871" s="41"/>
      <c r="O1871" s="41"/>
      <c r="P1871" s="41"/>
      <c r="Q1871" s="42"/>
      <c r="R1871" s="35"/>
      <c r="S1871" s="35"/>
      <c r="T1871" s="35"/>
      <c r="U1871" s="35"/>
      <c r="V1871" s="121"/>
      <c r="W1871" s="42"/>
      <c r="X1871" s="42"/>
      <c r="Y1871" s="42"/>
      <c r="Z1871" s="42"/>
      <c r="AA1871" s="42"/>
      <c r="AB1871" s="42"/>
      <c r="AC1871" s="42"/>
      <c r="AD1871" s="42"/>
      <c r="AE1871" s="42"/>
      <c r="AF1871" s="42"/>
      <c r="AG1871" s="42"/>
      <c r="AH1871" s="42"/>
      <c r="AI1871" s="42"/>
      <c r="AJ1871" s="42"/>
      <c r="AK1871" s="42"/>
      <c r="AL1871" s="42"/>
      <c r="AM1871" s="42"/>
    </row>
    <row r="1872" spans="1:39" x14ac:dyDescent="0.25">
      <c r="A1872" s="38" t="s">
        <v>2223</v>
      </c>
      <c r="B1872" s="42"/>
      <c r="C1872" s="42"/>
      <c r="D1872" s="42"/>
      <c r="E1872" s="41"/>
      <c r="F1872" s="41"/>
      <c r="G1872" s="41"/>
      <c r="H1872" s="41"/>
      <c r="I1872" s="41"/>
      <c r="J1872" s="42"/>
      <c r="K1872" s="41"/>
      <c r="L1872" s="41"/>
      <c r="M1872" s="127"/>
      <c r="N1872" s="41"/>
      <c r="O1872" s="41"/>
      <c r="P1872" s="41"/>
      <c r="Q1872" s="42"/>
      <c r="R1872" s="35"/>
      <c r="S1872" s="35"/>
      <c r="T1872" s="35"/>
      <c r="U1872" s="35"/>
      <c r="V1872" s="121"/>
      <c r="W1872" s="42"/>
      <c r="X1872" s="42"/>
      <c r="Y1872" s="42"/>
      <c r="Z1872" s="42"/>
      <c r="AA1872" s="42"/>
      <c r="AB1872" s="42"/>
      <c r="AC1872" s="42"/>
      <c r="AD1872" s="42"/>
      <c r="AE1872" s="42"/>
      <c r="AF1872" s="42"/>
      <c r="AG1872" s="42"/>
      <c r="AH1872" s="42"/>
      <c r="AI1872" s="42"/>
      <c r="AJ1872" s="42"/>
      <c r="AK1872" s="42"/>
      <c r="AL1872" s="42"/>
      <c r="AM1872" s="42"/>
    </row>
    <row r="1873" spans="1:39" x14ac:dyDescent="0.25">
      <c r="A1873" s="38" t="s">
        <v>2224</v>
      </c>
      <c r="B1873" s="42"/>
      <c r="C1873" s="42"/>
      <c r="D1873" s="42"/>
      <c r="E1873" s="41"/>
      <c r="F1873" s="41"/>
      <c r="G1873" s="41"/>
      <c r="H1873" s="41"/>
      <c r="I1873" s="41"/>
      <c r="J1873" s="42"/>
      <c r="K1873" s="41"/>
      <c r="L1873" s="41"/>
      <c r="M1873" s="127"/>
      <c r="N1873" s="41"/>
      <c r="O1873" s="41"/>
      <c r="P1873" s="41"/>
      <c r="Q1873" s="42"/>
      <c r="R1873" s="35"/>
      <c r="S1873" s="35"/>
      <c r="T1873" s="35"/>
      <c r="U1873" s="35"/>
      <c r="V1873" s="121"/>
      <c r="W1873" s="42"/>
      <c r="X1873" s="42"/>
      <c r="Y1873" s="42"/>
      <c r="Z1873" s="42"/>
      <c r="AA1873" s="42"/>
      <c r="AB1873" s="42"/>
      <c r="AC1873" s="42"/>
      <c r="AD1873" s="42"/>
      <c r="AE1873" s="42"/>
      <c r="AF1873" s="42"/>
      <c r="AG1873" s="42"/>
      <c r="AH1873" s="42"/>
      <c r="AI1873" s="42"/>
      <c r="AJ1873" s="42"/>
      <c r="AK1873" s="42"/>
      <c r="AL1873" s="42"/>
      <c r="AM1873" s="42"/>
    </row>
    <row r="1874" spans="1:39" x14ac:dyDescent="0.25">
      <c r="A1874" s="38" t="s">
        <v>2225</v>
      </c>
      <c r="B1874" s="42"/>
      <c r="C1874" s="42"/>
      <c r="D1874" s="42"/>
      <c r="E1874" s="41"/>
      <c r="F1874" s="41"/>
      <c r="G1874" s="41"/>
      <c r="H1874" s="41"/>
      <c r="I1874" s="41"/>
      <c r="J1874" s="42"/>
      <c r="K1874" s="41"/>
      <c r="L1874" s="41"/>
      <c r="M1874" s="127"/>
      <c r="N1874" s="41"/>
      <c r="O1874" s="41"/>
      <c r="P1874" s="41"/>
      <c r="Q1874" s="42"/>
      <c r="R1874" s="35"/>
      <c r="S1874" s="35"/>
      <c r="T1874" s="35"/>
      <c r="U1874" s="35"/>
      <c r="V1874" s="121"/>
      <c r="W1874" s="42"/>
      <c r="X1874" s="42"/>
      <c r="Y1874" s="42"/>
      <c r="Z1874" s="42"/>
      <c r="AA1874" s="42"/>
      <c r="AB1874" s="42"/>
      <c r="AC1874" s="42"/>
      <c r="AD1874" s="42"/>
      <c r="AE1874" s="42"/>
      <c r="AF1874" s="42"/>
      <c r="AG1874" s="42"/>
      <c r="AH1874" s="42"/>
      <c r="AI1874" s="42"/>
      <c r="AJ1874" s="42"/>
      <c r="AK1874" s="42"/>
      <c r="AL1874" s="42"/>
      <c r="AM1874" s="42"/>
    </row>
    <row r="1875" spans="1:39" x14ac:dyDescent="0.25">
      <c r="A1875" s="38" t="s">
        <v>2226</v>
      </c>
      <c r="B1875" s="42"/>
      <c r="C1875" s="42"/>
      <c r="D1875" s="42"/>
      <c r="E1875" s="41"/>
      <c r="F1875" s="41"/>
      <c r="G1875" s="41"/>
      <c r="H1875" s="41"/>
      <c r="I1875" s="41"/>
      <c r="J1875" s="42"/>
      <c r="K1875" s="41"/>
      <c r="L1875" s="41"/>
      <c r="M1875" s="127"/>
      <c r="N1875" s="41"/>
      <c r="O1875" s="41"/>
      <c r="P1875" s="41"/>
      <c r="Q1875" s="42"/>
      <c r="R1875" s="35"/>
      <c r="S1875" s="35"/>
      <c r="T1875" s="35"/>
      <c r="U1875" s="35"/>
      <c r="V1875" s="121"/>
      <c r="W1875" s="42"/>
      <c r="X1875" s="42"/>
      <c r="Y1875" s="42"/>
      <c r="Z1875" s="42"/>
      <c r="AA1875" s="42"/>
      <c r="AB1875" s="42"/>
      <c r="AC1875" s="42"/>
      <c r="AD1875" s="42"/>
      <c r="AE1875" s="42"/>
      <c r="AF1875" s="42"/>
      <c r="AG1875" s="42"/>
      <c r="AH1875" s="42"/>
      <c r="AI1875" s="42"/>
      <c r="AJ1875" s="42"/>
      <c r="AK1875" s="42"/>
      <c r="AL1875" s="42"/>
      <c r="AM1875" s="42"/>
    </row>
    <row r="1876" spans="1:39" x14ac:dyDescent="0.25">
      <c r="A1876" s="38" t="s">
        <v>2227</v>
      </c>
      <c r="B1876" s="42"/>
      <c r="C1876" s="42"/>
      <c r="D1876" s="42"/>
      <c r="E1876" s="41"/>
      <c r="F1876" s="41"/>
      <c r="G1876" s="41"/>
      <c r="H1876" s="41"/>
      <c r="I1876" s="41"/>
      <c r="J1876" s="42"/>
      <c r="K1876" s="41"/>
      <c r="L1876" s="41"/>
      <c r="M1876" s="127"/>
      <c r="N1876" s="41"/>
      <c r="O1876" s="41"/>
      <c r="P1876" s="41"/>
      <c r="Q1876" s="42"/>
      <c r="R1876" s="35"/>
      <c r="S1876" s="35"/>
      <c r="T1876" s="35"/>
      <c r="U1876" s="35"/>
      <c r="V1876" s="121"/>
      <c r="W1876" s="42"/>
      <c r="X1876" s="42"/>
      <c r="Y1876" s="42"/>
      <c r="Z1876" s="42"/>
      <c r="AA1876" s="42"/>
      <c r="AB1876" s="42"/>
      <c r="AC1876" s="42"/>
      <c r="AD1876" s="42"/>
      <c r="AE1876" s="42"/>
      <c r="AF1876" s="42"/>
      <c r="AG1876" s="42"/>
      <c r="AH1876" s="42"/>
      <c r="AI1876" s="42"/>
      <c r="AJ1876" s="42"/>
      <c r="AK1876" s="42"/>
      <c r="AL1876" s="42"/>
      <c r="AM1876" s="42"/>
    </row>
    <row r="1877" spans="1:39" x14ac:dyDescent="0.25">
      <c r="A1877" s="38" t="s">
        <v>2228</v>
      </c>
      <c r="B1877" s="42"/>
      <c r="C1877" s="42"/>
      <c r="D1877" s="42"/>
      <c r="E1877" s="41"/>
      <c r="F1877" s="41"/>
      <c r="G1877" s="41"/>
      <c r="H1877" s="41"/>
      <c r="I1877" s="41"/>
      <c r="J1877" s="42"/>
      <c r="K1877" s="41"/>
      <c r="L1877" s="41"/>
      <c r="M1877" s="127"/>
      <c r="N1877" s="41"/>
      <c r="O1877" s="41"/>
      <c r="P1877" s="41"/>
      <c r="Q1877" s="42"/>
      <c r="R1877" s="35"/>
      <c r="S1877" s="35"/>
      <c r="T1877" s="35"/>
      <c r="U1877" s="35"/>
      <c r="V1877" s="121"/>
      <c r="W1877" s="42"/>
      <c r="X1877" s="42"/>
      <c r="Y1877" s="42"/>
      <c r="Z1877" s="42"/>
      <c r="AA1877" s="42"/>
      <c r="AB1877" s="42"/>
      <c r="AC1877" s="42"/>
      <c r="AD1877" s="42"/>
      <c r="AE1877" s="42"/>
      <c r="AF1877" s="42"/>
      <c r="AG1877" s="42"/>
      <c r="AH1877" s="42"/>
      <c r="AI1877" s="42"/>
      <c r="AJ1877" s="42"/>
      <c r="AK1877" s="42"/>
      <c r="AL1877" s="42"/>
      <c r="AM1877" s="42"/>
    </row>
    <row r="1878" spans="1:39" x14ac:dyDescent="0.25">
      <c r="A1878" s="38" t="s">
        <v>2229</v>
      </c>
      <c r="B1878" s="42"/>
      <c r="C1878" s="42"/>
      <c r="D1878" s="42"/>
      <c r="E1878" s="41"/>
      <c r="F1878" s="41"/>
      <c r="G1878" s="41"/>
      <c r="H1878" s="41"/>
      <c r="I1878" s="41"/>
      <c r="J1878" s="42"/>
      <c r="K1878" s="41"/>
      <c r="L1878" s="41"/>
      <c r="M1878" s="127"/>
      <c r="N1878" s="41"/>
      <c r="O1878" s="41"/>
      <c r="P1878" s="41"/>
      <c r="Q1878" s="42"/>
      <c r="R1878" s="35"/>
      <c r="S1878" s="35"/>
      <c r="T1878" s="35"/>
      <c r="U1878" s="35"/>
      <c r="V1878" s="121"/>
      <c r="W1878" s="42"/>
      <c r="X1878" s="42"/>
      <c r="Y1878" s="42"/>
      <c r="Z1878" s="42"/>
      <c r="AA1878" s="42"/>
      <c r="AB1878" s="42"/>
      <c r="AC1878" s="42"/>
      <c r="AD1878" s="42"/>
      <c r="AE1878" s="42"/>
      <c r="AF1878" s="42"/>
      <c r="AG1878" s="42"/>
      <c r="AH1878" s="42"/>
      <c r="AI1878" s="42"/>
      <c r="AJ1878" s="42"/>
      <c r="AK1878" s="42"/>
      <c r="AL1878" s="42"/>
      <c r="AM1878" s="42"/>
    </row>
    <row r="1879" spans="1:39" x14ac:dyDescent="0.25">
      <c r="A1879" s="38" t="s">
        <v>2230</v>
      </c>
      <c r="B1879" s="42"/>
      <c r="C1879" s="42"/>
      <c r="D1879" s="42"/>
      <c r="E1879" s="41"/>
      <c r="F1879" s="41"/>
      <c r="G1879" s="41"/>
      <c r="H1879" s="41"/>
      <c r="I1879" s="41"/>
      <c r="J1879" s="42"/>
      <c r="K1879" s="41"/>
      <c r="L1879" s="41"/>
      <c r="M1879" s="127"/>
      <c r="N1879" s="41"/>
      <c r="O1879" s="41"/>
      <c r="P1879" s="41"/>
      <c r="Q1879" s="42"/>
      <c r="R1879" s="35"/>
      <c r="S1879" s="35"/>
      <c r="T1879" s="35"/>
      <c r="U1879" s="35"/>
      <c r="V1879" s="121"/>
      <c r="W1879" s="42"/>
      <c r="X1879" s="42"/>
      <c r="Y1879" s="42"/>
      <c r="Z1879" s="42"/>
      <c r="AA1879" s="42"/>
      <c r="AB1879" s="42"/>
      <c r="AC1879" s="42"/>
      <c r="AD1879" s="42"/>
      <c r="AE1879" s="42"/>
      <c r="AF1879" s="42"/>
      <c r="AG1879" s="42"/>
      <c r="AH1879" s="42"/>
      <c r="AI1879" s="42"/>
      <c r="AJ1879" s="42"/>
      <c r="AK1879" s="42"/>
      <c r="AL1879" s="42"/>
      <c r="AM1879" s="42"/>
    </row>
    <row r="1880" spans="1:39" x14ac:dyDescent="0.25">
      <c r="A1880" s="38" t="s">
        <v>2231</v>
      </c>
      <c r="B1880" s="42"/>
      <c r="C1880" s="42"/>
      <c r="D1880" s="42"/>
      <c r="E1880" s="41"/>
      <c r="F1880" s="41"/>
      <c r="G1880" s="41"/>
      <c r="H1880" s="41"/>
      <c r="I1880" s="41"/>
      <c r="J1880" s="42"/>
      <c r="K1880" s="41"/>
      <c r="L1880" s="41"/>
      <c r="M1880" s="127"/>
      <c r="N1880" s="41"/>
      <c r="O1880" s="41"/>
      <c r="P1880" s="41"/>
      <c r="Q1880" s="42"/>
      <c r="R1880" s="35"/>
      <c r="S1880" s="35"/>
      <c r="T1880" s="35"/>
      <c r="U1880" s="35"/>
      <c r="V1880" s="121"/>
      <c r="W1880" s="42"/>
      <c r="X1880" s="42"/>
      <c r="Y1880" s="42"/>
      <c r="Z1880" s="42"/>
      <c r="AA1880" s="42"/>
      <c r="AB1880" s="42"/>
      <c r="AC1880" s="42"/>
      <c r="AD1880" s="42"/>
      <c r="AE1880" s="42"/>
      <c r="AF1880" s="42"/>
      <c r="AG1880" s="42"/>
      <c r="AH1880" s="42"/>
      <c r="AI1880" s="42"/>
      <c r="AJ1880" s="42"/>
      <c r="AK1880" s="42"/>
      <c r="AL1880" s="42"/>
      <c r="AM1880" s="42"/>
    </row>
    <row r="1881" spans="1:39" x14ac:dyDescent="0.25">
      <c r="A1881" s="38" t="s">
        <v>2232</v>
      </c>
      <c r="B1881" s="42"/>
      <c r="C1881" s="42"/>
      <c r="D1881" s="42"/>
      <c r="E1881" s="41"/>
      <c r="F1881" s="41"/>
      <c r="G1881" s="41"/>
      <c r="H1881" s="41"/>
      <c r="I1881" s="41"/>
      <c r="J1881" s="42"/>
      <c r="K1881" s="41"/>
      <c r="L1881" s="41"/>
      <c r="M1881" s="127"/>
      <c r="N1881" s="41"/>
      <c r="O1881" s="41"/>
      <c r="P1881" s="41"/>
      <c r="Q1881" s="42"/>
      <c r="R1881" s="35"/>
      <c r="S1881" s="35"/>
      <c r="T1881" s="35"/>
      <c r="U1881" s="35"/>
      <c r="V1881" s="121"/>
      <c r="W1881" s="42"/>
      <c r="X1881" s="42"/>
      <c r="Y1881" s="42"/>
      <c r="Z1881" s="42"/>
      <c r="AA1881" s="42"/>
      <c r="AB1881" s="42"/>
      <c r="AC1881" s="42"/>
      <c r="AD1881" s="42"/>
      <c r="AE1881" s="42"/>
      <c r="AF1881" s="42"/>
      <c r="AG1881" s="42"/>
      <c r="AH1881" s="42"/>
      <c r="AI1881" s="42"/>
      <c r="AJ1881" s="42"/>
      <c r="AK1881" s="42"/>
      <c r="AL1881" s="42"/>
      <c r="AM1881" s="42"/>
    </row>
    <row r="1882" spans="1:39" x14ac:dyDescent="0.25">
      <c r="A1882" s="38" t="s">
        <v>2233</v>
      </c>
      <c r="B1882" s="42"/>
      <c r="C1882" s="42"/>
      <c r="D1882" s="42"/>
      <c r="E1882" s="41"/>
      <c r="F1882" s="41"/>
      <c r="G1882" s="41"/>
      <c r="H1882" s="41"/>
      <c r="I1882" s="41"/>
      <c r="J1882" s="42"/>
      <c r="K1882" s="41"/>
      <c r="L1882" s="41"/>
      <c r="M1882" s="127"/>
      <c r="N1882" s="41"/>
      <c r="O1882" s="41"/>
      <c r="P1882" s="41"/>
      <c r="Q1882" s="42"/>
      <c r="R1882" s="35"/>
      <c r="S1882" s="35"/>
      <c r="T1882" s="35"/>
      <c r="U1882" s="35"/>
      <c r="V1882" s="121"/>
      <c r="W1882" s="42"/>
      <c r="X1882" s="42"/>
      <c r="Y1882" s="42"/>
      <c r="Z1882" s="42"/>
      <c r="AA1882" s="42"/>
      <c r="AB1882" s="42"/>
      <c r="AC1882" s="42"/>
      <c r="AD1882" s="42"/>
      <c r="AE1882" s="42"/>
      <c r="AF1882" s="42"/>
      <c r="AG1882" s="42"/>
      <c r="AH1882" s="42"/>
      <c r="AI1882" s="42"/>
      <c r="AJ1882" s="42"/>
      <c r="AK1882" s="42"/>
      <c r="AL1882" s="42"/>
      <c r="AM1882" s="42"/>
    </row>
    <row r="1883" spans="1:39" x14ac:dyDescent="0.25">
      <c r="A1883" s="38" t="s">
        <v>2234</v>
      </c>
      <c r="B1883" s="42"/>
      <c r="C1883" s="42"/>
      <c r="D1883" s="42"/>
      <c r="E1883" s="41"/>
      <c r="F1883" s="41"/>
      <c r="G1883" s="41"/>
      <c r="H1883" s="41"/>
      <c r="I1883" s="41"/>
      <c r="J1883" s="42"/>
      <c r="K1883" s="41"/>
      <c r="L1883" s="41"/>
      <c r="M1883" s="127"/>
      <c r="N1883" s="41"/>
      <c r="O1883" s="41"/>
      <c r="P1883" s="41"/>
      <c r="Q1883" s="42"/>
      <c r="R1883" s="35"/>
      <c r="S1883" s="35"/>
      <c r="T1883" s="35"/>
      <c r="U1883" s="35"/>
      <c r="V1883" s="121"/>
      <c r="W1883" s="42"/>
      <c r="X1883" s="42"/>
      <c r="Y1883" s="42"/>
      <c r="Z1883" s="42"/>
      <c r="AA1883" s="42"/>
      <c r="AB1883" s="42"/>
      <c r="AC1883" s="42"/>
      <c r="AD1883" s="42"/>
      <c r="AE1883" s="42"/>
      <c r="AF1883" s="42"/>
      <c r="AG1883" s="42"/>
      <c r="AH1883" s="42"/>
      <c r="AI1883" s="42"/>
      <c r="AJ1883" s="42"/>
      <c r="AK1883" s="42"/>
      <c r="AL1883" s="42"/>
      <c r="AM1883" s="42"/>
    </row>
    <row r="1884" spans="1:39" x14ac:dyDescent="0.25">
      <c r="A1884" s="38" t="s">
        <v>2235</v>
      </c>
      <c r="B1884" s="42"/>
      <c r="C1884" s="42"/>
      <c r="D1884" s="42"/>
      <c r="E1884" s="41"/>
      <c r="F1884" s="41"/>
      <c r="G1884" s="41"/>
      <c r="H1884" s="41"/>
      <c r="I1884" s="41"/>
      <c r="J1884" s="42"/>
      <c r="K1884" s="41"/>
      <c r="L1884" s="41"/>
      <c r="M1884" s="127"/>
      <c r="N1884" s="41"/>
      <c r="O1884" s="41"/>
      <c r="P1884" s="41"/>
      <c r="Q1884" s="42"/>
      <c r="R1884" s="35"/>
      <c r="S1884" s="35"/>
      <c r="T1884" s="35"/>
      <c r="U1884" s="35"/>
      <c r="V1884" s="121"/>
      <c r="W1884" s="42"/>
      <c r="X1884" s="42"/>
      <c r="Y1884" s="42"/>
      <c r="Z1884" s="42"/>
      <c r="AA1884" s="42"/>
      <c r="AB1884" s="42"/>
      <c r="AC1884" s="42"/>
      <c r="AD1884" s="42"/>
      <c r="AE1884" s="42"/>
      <c r="AF1884" s="42"/>
      <c r="AG1884" s="42"/>
      <c r="AH1884" s="42"/>
      <c r="AI1884" s="42"/>
      <c r="AJ1884" s="42"/>
      <c r="AK1884" s="42"/>
      <c r="AL1884" s="42"/>
      <c r="AM1884" s="42"/>
    </row>
    <row r="1885" spans="1:39" x14ac:dyDescent="0.25">
      <c r="A1885" s="38" t="s">
        <v>2236</v>
      </c>
      <c r="B1885" s="42"/>
      <c r="C1885" s="42"/>
      <c r="D1885" s="42"/>
      <c r="E1885" s="41"/>
      <c r="F1885" s="41"/>
      <c r="G1885" s="41"/>
      <c r="H1885" s="41"/>
      <c r="I1885" s="41"/>
      <c r="J1885" s="42"/>
      <c r="K1885" s="41"/>
      <c r="L1885" s="41"/>
      <c r="M1885" s="127"/>
      <c r="N1885" s="41"/>
      <c r="O1885" s="41"/>
      <c r="P1885" s="41"/>
      <c r="Q1885" s="42"/>
      <c r="R1885" s="35"/>
      <c r="S1885" s="35"/>
      <c r="T1885" s="35"/>
      <c r="U1885" s="35"/>
      <c r="V1885" s="121"/>
      <c r="W1885" s="42"/>
      <c r="X1885" s="42"/>
      <c r="Y1885" s="42"/>
      <c r="Z1885" s="42"/>
      <c r="AA1885" s="42"/>
      <c r="AB1885" s="42"/>
      <c r="AC1885" s="42"/>
      <c r="AD1885" s="42"/>
      <c r="AE1885" s="42"/>
      <c r="AF1885" s="42"/>
      <c r="AG1885" s="42"/>
      <c r="AH1885" s="42"/>
      <c r="AI1885" s="42"/>
      <c r="AJ1885" s="42"/>
      <c r="AK1885" s="42"/>
      <c r="AL1885" s="42"/>
      <c r="AM1885" s="42"/>
    </row>
    <row r="1886" spans="1:39" x14ac:dyDescent="0.25">
      <c r="A1886" s="38" t="s">
        <v>2237</v>
      </c>
      <c r="B1886" s="42"/>
      <c r="C1886" s="42"/>
      <c r="D1886" s="42"/>
      <c r="E1886" s="41"/>
      <c r="F1886" s="41"/>
      <c r="G1886" s="41"/>
      <c r="H1886" s="41"/>
      <c r="I1886" s="41"/>
      <c r="J1886" s="42"/>
      <c r="K1886" s="41"/>
      <c r="L1886" s="41"/>
      <c r="M1886" s="127"/>
      <c r="N1886" s="41"/>
      <c r="O1886" s="41"/>
      <c r="P1886" s="41"/>
      <c r="Q1886" s="42"/>
      <c r="R1886" s="35"/>
      <c r="S1886" s="35"/>
      <c r="T1886" s="35"/>
      <c r="U1886" s="35"/>
      <c r="V1886" s="121"/>
      <c r="W1886" s="42"/>
      <c r="X1886" s="42"/>
      <c r="Y1886" s="42"/>
      <c r="Z1886" s="42"/>
      <c r="AA1886" s="42"/>
      <c r="AB1886" s="42"/>
      <c r="AC1886" s="42"/>
      <c r="AD1886" s="42"/>
      <c r="AE1886" s="42"/>
      <c r="AF1886" s="42"/>
      <c r="AG1886" s="42"/>
      <c r="AH1886" s="42"/>
      <c r="AI1886" s="42"/>
      <c r="AJ1886" s="42"/>
      <c r="AK1886" s="42"/>
      <c r="AL1886" s="42"/>
      <c r="AM1886" s="42"/>
    </row>
    <row r="1887" spans="1:39" x14ac:dyDescent="0.25">
      <c r="A1887" s="38" t="s">
        <v>2238</v>
      </c>
      <c r="B1887" s="42"/>
      <c r="C1887" s="42"/>
      <c r="D1887" s="42"/>
      <c r="E1887" s="41"/>
      <c r="F1887" s="41"/>
      <c r="G1887" s="41"/>
      <c r="H1887" s="41"/>
      <c r="I1887" s="41"/>
      <c r="J1887" s="42"/>
      <c r="K1887" s="41"/>
      <c r="L1887" s="41"/>
      <c r="M1887" s="127"/>
      <c r="N1887" s="41"/>
      <c r="O1887" s="41"/>
      <c r="P1887" s="41"/>
      <c r="Q1887" s="42"/>
      <c r="R1887" s="35"/>
      <c r="S1887" s="35"/>
      <c r="T1887" s="35"/>
      <c r="U1887" s="35"/>
      <c r="V1887" s="121"/>
      <c r="W1887" s="42"/>
      <c r="X1887" s="42"/>
      <c r="Y1887" s="42"/>
      <c r="Z1887" s="42"/>
      <c r="AA1887" s="42"/>
      <c r="AB1887" s="42"/>
      <c r="AC1887" s="42"/>
      <c r="AD1887" s="42"/>
      <c r="AE1887" s="42"/>
      <c r="AF1887" s="42"/>
      <c r="AG1887" s="42"/>
      <c r="AH1887" s="42"/>
      <c r="AI1887" s="42"/>
      <c r="AJ1887" s="42"/>
      <c r="AK1887" s="42"/>
      <c r="AL1887" s="42"/>
      <c r="AM1887" s="42"/>
    </row>
    <row r="1888" spans="1:39" x14ac:dyDescent="0.25">
      <c r="A1888" s="38" t="s">
        <v>2239</v>
      </c>
      <c r="B1888" s="42"/>
      <c r="C1888" s="42"/>
      <c r="D1888" s="42"/>
      <c r="E1888" s="41"/>
      <c r="F1888" s="41"/>
      <c r="G1888" s="41"/>
      <c r="H1888" s="41"/>
      <c r="I1888" s="41"/>
      <c r="J1888" s="42"/>
      <c r="K1888" s="41"/>
      <c r="L1888" s="41"/>
      <c r="M1888" s="127"/>
      <c r="N1888" s="41"/>
      <c r="O1888" s="41"/>
      <c r="P1888" s="41"/>
      <c r="Q1888" s="42"/>
      <c r="R1888" s="35"/>
      <c r="S1888" s="35"/>
      <c r="T1888" s="35"/>
      <c r="U1888" s="35"/>
      <c r="V1888" s="121"/>
      <c r="W1888" s="42"/>
      <c r="X1888" s="42"/>
      <c r="Y1888" s="42"/>
      <c r="Z1888" s="42"/>
      <c r="AA1888" s="42"/>
      <c r="AB1888" s="42"/>
      <c r="AC1888" s="42"/>
      <c r="AD1888" s="42"/>
      <c r="AE1888" s="42"/>
      <c r="AF1888" s="42"/>
      <c r="AG1888" s="42"/>
      <c r="AH1888" s="42"/>
      <c r="AI1888" s="42"/>
      <c r="AJ1888" s="42"/>
      <c r="AK1888" s="42"/>
      <c r="AL1888" s="42"/>
      <c r="AM1888" s="42"/>
    </row>
    <row r="1889" spans="1:39" x14ac:dyDescent="0.25">
      <c r="A1889" s="38" t="s">
        <v>2240</v>
      </c>
      <c r="B1889" s="42"/>
      <c r="C1889" s="42"/>
      <c r="D1889" s="42"/>
      <c r="E1889" s="41"/>
      <c r="F1889" s="41"/>
      <c r="G1889" s="41"/>
      <c r="H1889" s="41"/>
      <c r="I1889" s="41"/>
      <c r="J1889" s="42"/>
      <c r="K1889" s="41"/>
      <c r="L1889" s="41"/>
      <c r="M1889" s="127"/>
      <c r="N1889" s="41"/>
      <c r="O1889" s="41"/>
      <c r="P1889" s="41"/>
      <c r="Q1889" s="42"/>
      <c r="R1889" s="35"/>
      <c r="S1889" s="35"/>
      <c r="T1889" s="35"/>
      <c r="U1889" s="35"/>
      <c r="V1889" s="121"/>
      <c r="W1889" s="42"/>
      <c r="X1889" s="42"/>
      <c r="Y1889" s="42"/>
      <c r="Z1889" s="42"/>
      <c r="AA1889" s="42"/>
      <c r="AB1889" s="42"/>
      <c r="AC1889" s="42"/>
      <c r="AD1889" s="42"/>
      <c r="AE1889" s="42"/>
      <c r="AF1889" s="42"/>
      <c r="AG1889" s="42"/>
      <c r="AH1889" s="42"/>
      <c r="AI1889" s="42"/>
      <c r="AJ1889" s="42"/>
      <c r="AK1889" s="42"/>
      <c r="AL1889" s="42"/>
      <c r="AM1889" s="42"/>
    </row>
    <row r="1890" spans="1:39" x14ac:dyDescent="0.25">
      <c r="A1890" s="38" t="s">
        <v>2241</v>
      </c>
      <c r="B1890" s="42"/>
      <c r="C1890" s="42"/>
      <c r="D1890" s="42"/>
      <c r="E1890" s="41"/>
      <c r="F1890" s="41"/>
      <c r="G1890" s="41"/>
      <c r="H1890" s="41"/>
      <c r="I1890" s="41"/>
      <c r="J1890" s="42"/>
      <c r="K1890" s="41"/>
      <c r="L1890" s="41"/>
      <c r="M1890" s="127"/>
      <c r="N1890" s="41"/>
      <c r="O1890" s="41"/>
      <c r="P1890" s="41"/>
      <c r="Q1890" s="42"/>
      <c r="R1890" s="35"/>
      <c r="S1890" s="35"/>
      <c r="T1890" s="35"/>
      <c r="U1890" s="35"/>
      <c r="V1890" s="121"/>
      <c r="W1890" s="42"/>
      <c r="X1890" s="42"/>
      <c r="Y1890" s="42"/>
      <c r="Z1890" s="42"/>
      <c r="AA1890" s="42"/>
      <c r="AB1890" s="42"/>
      <c r="AC1890" s="42"/>
      <c r="AD1890" s="42"/>
      <c r="AE1890" s="42"/>
      <c r="AF1890" s="42"/>
      <c r="AG1890" s="42"/>
      <c r="AH1890" s="42"/>
      <c r="AI1890" s="42"/>
      <c r="AJ1890" s="42"/>
      <c r="AK1890" s="42"/>
      <c r="AL1890" s="42"/>
      <c r="AM1890" s="42"/>
    </row>
    <row r="1891" spans="1:39" x14ac:dyDescent="0.25">
      <c r="A1891" s="38" t="s">
        <v>2242</v>
      </c>
      <c r="B1891" s="42"/>
      <c r="C1891" s="42"/>
      <c r="D1891" s="42"/>
      <c r="E1891" s="41"/>
      <c r="F1891" s="41"/>
      <c r="G1891" s="41"/>
      <c r="H1891" s="41"/>
      <c r="I1891" s="41"/>
      <c r="J1891" s="42"/>
      <c r="K1891" s="41"/>
      <c r="L1891" s="41"/>
      <c r="M1891" s="127"/>
      <c r="N1891" s="41"/>
      <c r="O1891" s="41"/>
      <c r="P1891" s="41"/>
      <c r="Q1891" s="42"/>
      <c r="R1891" s="35"/>
      <c r="S1891" s="35"/>
      <c r="T1891" s="35"/>
      <c r="U1891" s="35"/>
      <c r="V1891" s="121"/>
      <c r="W1891" s="42"/>
      <c r="X1891" s="42"/>
      <c r="Y1891" s="42"/>
      <c r="Z1891" s="42"/>
      <c r="AA1891" s="42"/>
      <c r="AB1891" s="42"/>
      <c r="AC1891" s="42"/>
      <c r="AD1891" s="42"/>
      <c r="AE1891" s="42"/>
      <c r="AF1891" s="42"/>
      <c r="AG1891" s="42"/>
      <c r="AH1891" s="42"/>
      <c r="AI1891" s="42"/>
      <c r="AJ1891" s="42"/>
      <c r="AK1891" s="42"/>
      <c r="AL1891" s="42"/>
      <c r="AM1891" s="42"/>
    </row>
    <row r="1892" spans="1:39" x14ac:dyDescent="0.25">
      <c r="A1892" s="38" t="s">
        <v>2243</v>
      </c>
      <c r="B1892" s="42"/>
      <c r="C1892" s="42"/>
      <c r="D1892" s="42"/>
      <c r="E1892" s="41"/>
      <c r="F1892" s="41"/>
      <c r="G1892" s="41"/>
      <c r="H1892" s="41"/>
      <c r="I1892" s="41"/>
      <c r="J1892" s="42"/>
      <c r="K1892" s="41"/>
      <c r="L1892" s="41"/>
      <c r="M1892" s="127"/>
      <c r="N1892" s="41"/>
      <c r="O1892" s="41"/>
      <c r="P1892" s="41"/>
      <c r="Q1892" s="42"/>
      <c r="R1892" s="35"/>
      <c r="S1892" s="35"/>
      <c r="T1892" s="35"/>
      <c r="U1892" s="35"/>
      <c r="V1892" s="121"/>
      <c r="W1892" s="42"/>
      <c r="X1892" s="42"/>
      <c r="Y1892" s="42"/>
      <c r="Z1892" s="42"/>
      <c r="AA1892" s="42"/>
      <c r="AB1892" s="42"/>
      <c r="AC1892" s="42"/>
      <c r="AD1892" s="42"/>
      <c r="AE1892" s="42"/>
      <c r="AF1892" s="42"/>
      <c r="AG1892" s="42"/>
      <c r="AH1892" s="42"/>
      <c r="AI1892" s="42"/>
      <c r="AJ1892" s="42"/>
      <c r="AK1892" s="42"/>
      <c r="AL1892" s="42"/>
      <c r="AM1892" s="42"/>
    </row>
    <row r="1893" spans="1:39" x14ac:dyDescent="0.25">
      <c r="A1893" s="38" t="s">
        <v>2244</v>
      </c>
      <c r="B1893" s="42"/>
      <c r="C1893" s="42"/>
      <c r="D1893" s="42"/>
      <c r="E1893" s="41"/>
      <c r="F1893" s="41"/>
      <c r="G1893" s="41"/>
      <c r="H1893" s="41"/>
      <c r="I1893" s="41"/>
      <c r="J1893" s="42"/>
      <c r="K1893" s="41"/>
      <c r="L1893" s="41"/>
      <c r="M1893" s="127"/>
      <c r="N1893" s="41"/>
      <c r="O1893" s="41"/>
      <c r="P1893" s="41"/>
      <c r="Q1893" s="42"/>
      <c r="R1893" s="35"/>
      <c r="S1893" s="35"/>
      <c r="T1893" s="35"/>
      <c r="U1893" s="35"/>
      <c r="V1893" s="121"/>
      <c r="W1893" s="42"/>
      <c r="X1893" s="42"/>
      <c r="Y1893" s="42"/>
      <c r="Z1893" s="42"/>
      <c r="AA1893" s="42"/>
      <c r="AB1893" s="42"/>
      <c r="AC1893" s="42"/>
      <c r="AD1893" s="42"/>
      <c r="AE1893" s="42"/>
      <c r="AF1893" s="42"/>
      <c r="AG1893" s="42"/>
      <c r="AH1893" s="42"/>
      <c r="AI1893" s="42"/>
      <c r="AJ1893" s="42"/>
      <c r="AK1893" s="42"/>
      <c r="AL1893" s="42"/>
      <c r="AM1893" s="42"/>
    </row>
    <row r="1894" spans="1:39" x14ac:dyDescent="0.25">
      <c r="A1894" s="38" t="s">
        <v>2245</v>
      </c>
      <c r="B1894" s="42"/>
      <c r="C1894" s="42"/>
      <c r="D1894" s="42"/>
      <c r="E1894" s="41"/>
      <c r="F1894" s="41"/>
      <c r="G1894" s="41"/>
      <c r="H1894" s="41"/>
      <c r="I1894" s="41"/>
      <c r="J1894" s="42"/>
      <c r="K1894" s="41"/>
      <c r="L1894" s="41"/>
      <c r="M1894" s="127"/>
      <c r="N1894" s="41"/>
      <c r="O1894" s="41"/>
      <c r="P1894" s="41"/>
      <c r="Q1894" s="42"/>
      <c r="R1894" s="35"/>
      <c r="S1894" s="35"/>
      <c r="T1894" s="35"/>
      <c r="U1894" s="35"/>
      <c r="V1894" s="121"/>
      <c r="W1894" s="42"/>
      <c r="X1894" s="42"/>
      <c r="Y1894" s="42"/>
      <c r="Z1894" s="42"/>
      <c r="AA1894" s="42"/>
      <c r="AB1894" s="42"/>
      <c r="AC1894" s="42"/>
      <c r="AD1894" s="42"/>
      <c r="AE1894" s="42"/>
      <c r="AF1894" s="42"/>
      <c r="AG1894" s="42"/>
      <c r="AH1894" s="42"/>
      <c r="AI1894" s="42"/>
      <c r="AJ1894" s="42"/>
      <c r="AK1894" s="42"/>
      <c r="AL1894" s="42"/>
      <c r="AM1894" s="42"/>
    </row>
    <row r="1895" spans="1:39" x14ac:dyDescent="0.25">
      <c r="A1895" s="38" t="s">
        <v>2246</v>
      </c>
      <c r="B1895" s="42"/>
      <c r="C1895" s="42"/>
      <c r="D1895" s="42"/>
      <c r="E1895" s="41"/>
      <c r="F1895" s="41"/>
      <c r="G1895" s="41"/>
      <c r="H1895" s="41"/>
      <c r="I1895" s="41"/>
      <c r="J1895" s="42"/>
      <c r="K1895" s="41"/>
      <c r="L1895" s="41"/>
      <c r="M1895" s="127"/>
      <c r="N1895" s="41"/>
      <c r="O1895" s="41"/>
      <c r="P1895" s="41"/>
      <c r="Q1895" s="42"/>
      <c r="R1895" s="35"/>
      <c r="S1895" s="35"/>
      <c r="T1895" s="35"/>
      <c r="U1895" s="35"/>
      <c r="V1895" s="121"/>
      <c r="W1895" s="42"/>
      <c r="X1895" s="42"/>
      <c r="Y1895" s="42"/>
      <c r="Z1895" s="42"/>
      <c r="AA1895" s="42"/>
      <c r="AB1895" s="42"/>
      <c r="AC1895" s="42"/>
      <c r="AD1895" s="42"/>
      <c r="AE1895" s="42"/>
      <c r="AF1895" s="42"/>
      <c r="AG1895" s="42"/>
      <c r="AH1895" s="42"/>
      <c r="AI1895" s="42"/>
      <c r="AJ1895" s="42"/>
      <c r="AK1895" s="42"/>
      <c r="AL1895" s="42"/>
      <c r="AM1895" s="42"/>
    </row>
    <row r="1896" spans="1:39" x14ac:dyDescent="0.25">
      <c r="A1896" s="38" t="s">
        <v>2247</v>
      </c>
      <c r="B1896" s="42"/>
      <c r="C1896" s="42"/>
      <c r="D1896" s="42"/>
      <c r="E1896" s="41"/>
      <c r="F1896" s="41"/>
      <c r="G1896" s="41"/>
      <c r="H1896" s="41"/>
      <c r="I1896" s="41"/>
      <c r="J1896" s="42"/>
      <c r="K1896" s="41"/>
      <c r="L1896" s="41"/>
      <c r="M1896" s="127"/>
      <c r="N1896" s="41"/>
      <c r="O1896" s="41"/>
      <c r="P1896" s="41"/>
      <c r="Q1896" s="42"/>
      <c r="R1896" s="35"/>
      <c r="S1896" s="35"/>
      <c r="T1896" s="35"/>
      <c r="U1896" s="35"/>
      <c r="V1896" s="121"/>
      <c r="W1896" s="42"/>
      <c r="X1896" s="42"/>
      <c r="Y1896" s="42"/>
      <c r="Z1896" s="42"/>
      <c r="AA1896" s="42"/>
      <c r="AB1896" s="42"/>
      <c r="AC1896" s="42"/>
      <c r="AD1896" s="42"/>
      <c r="AE1896" s="42"/>
      <c r="AF1896" s="42"/>
      <c r="AG1896" s="42"/>
      <c r="AH1896" s="42"/>
      <c r="AI1896" s="42"/>
      <c r="AJ1896" s="42"/>
      <c r="AK1896" s="42"/>
      <c r="AL1896" s="42"/>
      <c r="AM1896" s="42"/>
    </row>
    <row r="1897" spans="1:39" x14ac:dyDescent="0.25">
      <c r="A1897" s="38" t="s">
        <v>2248</v>
      </c>
      <c r="B1897" s="42"/>
      <c r="C1897" s="42"/>
      <c r="D1897" s="42"/>
      <c r="E1897" s="41"/>
      <c r="F1897" s="41"/>
      <c r="G1897" s="41"/>
      <c r="H1897" s="41"/>
      <c r="I1897" s="41"/>
      <c r="J1897" s="42"/>
      <c r="K1897" s="41"/>
      <c r="L1897" s="41"/>
      <c r="M1897" s="127"/>
      <c r="N1897" s="41"/>
      <c r="O1897" s="41"/>
      <c r="P1897" s="41"/>
      <c r="Q1897" s="42"/>
      <c r="R1897" s="35"/>
      <c r="S1897" s="35"/>
      <c r="T1897" s="35"/>
      <c r="U1897" s="35"/>
      <c r="V1897" s="121"/>
      <c r="W1897" s="42"/>
      <c r="X1897" s="42"/>
      <c r="Y1897" s="42"/>
      <c r="Z1897" s="42"/>
      <c r="AA1897" s="42"/>
      <c r="AB1897" s="42"/>
      <c r="AC1897" s="42"/>
      <c r="AD1897" s="42"/>
      <c r="AE1897" s="42"/>
      <c r="AF1897" s="42"/>
      <c r="AG1897" s="42"/>
      <c r="AH1897" s="42"/>
      <c r="AI1897" s="42"/>
      <c r="AJ1897" s="42"/>
      <c r="AK1897" s="42"/>
      <c r="AL1897" s="42"/>
      <c r="AM1897" s="42"/>
    </row>
    <row r="1898" spans="1:39" x14ac:dyDescent="0.25">
      <c r="A1898" s="38" t="s">
        <v>2249</v>
      </c>
      <c r="B1898" s="42"/>
      <c r="C1898" s="42"/>
      <c r="D1898" s="42"/>
      <c r="E1898" s="41"/>
      <c r="F1898" s="41"/>
      <c r="G1898" s="41"/>
      <c r="H1898" s="41"/>
      <c r="I1898" s="41"/>
      <c r="J1898" s="42"/>
      <c r="K1898" s="41"/>
      <c r="L1898" s="41"/>
      <c r="M1898" s="127"/>
      <c r="N1898" s="41"/>
      <c r="O1898" s="41"/>
      <c r="P1898" s="41"/>
      <c r="Q1898" s="42"/>
      <c r="R1898" s="35"/>
      <c r="S1898" s="35"/>
      <c r="T1898" s="35"/>
      <c r="U1898" s="35"/>
      <c r="V1898" s="121"/>
      <c r="W1898" s="42"/>
      <c r="X1898" s="42"/>
      <c r="Y1898" s="42"/>
      <c r="Z1898" s="42"/>
      <c r="AA1898" s="42"/>
      <c r="AB1898" s="42"/>
      <c r="AC1898" s="42"/>
      <c r="AD1898" s="42"/>
      <c r="AE1898" s="42"/>
      <c r="AF1898" s="42"/>
      <c r="AG1898" s="42"/>
      <c r="AH1898" s="42"/>
      <c r="AI1898" s="42"/>
      <c r="AJ1898" s="42"/>
      <c r="AK1898" s="42"/>
      <c r="AL1898" s="42"/>
      <c r="AM1898" s="42"/>
    </row>
    <row r="1899" spans="1:39" x14ac:dyDescent="0.25">
      <c r="A1899" s="38" t="s">
        <v>2250</v>
      </c>
      <c r="B1899" s="42"/>
      <c r="C1899" s="42"/>
      <c r="D1899" s="42"/>
      <c r="E1899" s="41"/>
      <c r="F1899" s="41"/>
      <c r="G1899" s="41"/>
      <c r="H1899" s="41"/>
      <c r="I1899" s="41"/>
      <c r="J1899" s="42"/>
      <c r="K1899" s="41"/>
      <c r="L1899" s="41"/>
      <c r="M1899" s="127"/>
      <c r="N1899" s="41"/>
      <c r="O1899" s="41"/>
      <c r="P1899" s="41"/>
      <c r="Q1899" s="42"/>
      <c r="R1899" s="35"/>
      <c r="S1899" s="35"/>
      <c r="T1899" s="35"/>
      <c r="U1899" s="35"/>
      <c r="V1899" s="121"/>
      <c r="W1899" s="42"/>
      <c r="X1899" s="42"/>
      <c r="Y1899" s="42"/>
      <c r="Z1899" s="42"/>
      <c r="AA1899" s="42"/>
      <c r="AB1899" s="42"/>
      <c r="AC1899" s="42"/>
      <c r="AD1899" s="42"/>
      <c r="AE1899" s="42"/>
      <c r="AF1899" s="42"/>
      <c r="AG1899" s="42"/>
      <c r="AH1899" s="42"/>
      <c r="AI1899" s="42"/>
      <c r="AJ1899" s="42"/>
      <c r="AK1899" s="42"/>
      <c r="AL1899" s="42"/>
      <c r="AM1899" s="42"/>
    </row>
    <row r="1900" spans="1:39" x14ac:dyDescent="0.25">
      <c r="A1900" s="38" t="s">
        <v>2251</v>
      </c>
      <c r="B1900" s="42"/>
      <c r="C1900" s="42"/>
      <c r="D1900" s="42"/>
      <c r="E1900" s="41"/>
      <c r="F1900" s="41"/>
      <c r="G1900" s="41"/>
      <c r="H1900" s="41"/>
      <c r="I1900" s="41"/>
      <c r="J1900" s="42"/>
      <c r="K1900" s="41"/>
      <c r="L1900" s="41"/>
      <c r="M1900" s="127"/>
      <c r="N1900" s="41"/>
      <c r="O1900" s="41"/>
      <c r="P1900" s="41"/>
      <c r="Q1900" s="42"/>
      <c r="R1900" s="35"/>
      <c r="S1900" s="35"/>
      <c r="T1900" s="35"/>
      <c r="U1900" s="35"/>
      <c r="V1900" s="121"/>
      <c r="W1900" s="42"/>
      <c r="X1900" s="42"/>
      <c r="Y1900" s="42"/>
      <c r="Z1900" s="42"/>
      <c r="AA1900" s="42"/>
      <c r="AB1900" s="42"/>
      <c r="AC1900" s="42"/>
      <c r="AD1900" s="42"/>
      <c r="AE1900" s="42"/>
      <c r="AF1900" s="42"/>
      <c r="AG1900" s="42"/>
      <c r="AH1900" s="42"/>
      <c r="AI1900" s="42"/>
      <c r="AJ1900" s="42"/>
      <c r="AK1900" s="42"/>
      <c r="AL1900" s="42"/>
      <c r="AM1900" s="42"/>
    </row>
    <row r="1901" spans="1:39" x14ac:dyDescent="0.25">
      <c r="A1901" s="38" t="s">
        <v>2252</v>
      </c>
      <c r="B1901" s="42"/>
      <c r="C1901" s="42"/>
      <c r="D1901" s="42"/>
      <c r="E1901" s="41"/>
      <c r="F1901" s="41"/>
      <c r="G1901" s="41"/>
      <c r="H1901" s="41"/>
      <c r="I1901" s="41"/>
      <c r="J1901" s="42"/>
      <c r="K1901" s="41"/>
      <c r="L1901" s="41"/>
      <c r="M1901" s="127"/>
      <c r="N1901" s="41"/>
      <c r="O1901" s="41"/>
      <c r="P1901" s="41"/>
      <c r="Q1901" s="42"/>
      <c r="R1901" s="35"/>
      <c r="S1901" s="35"/>
      <c r="T1901" s="35"/>
      <c r="U1901" s="35"/>
      <c r="V1901" s="121"/>
      <c r="W1901" s="42"/>
      <c r="X1901" s="42"/>
      <c r="Y1901" s="42"/>
      <c r="Z1901" s="42"/>
      <c r="AA1901" s="42"/>
      <c r="AB1901" s="42"/>
      <c r="AC1901" s="42"/>
      <c r="AD1901" s="42"/>
      <c r="AE1901" s="42"/>
      <c r="AF1901" s="42"/>
      <c r="AG1901" s="42"/>
      <c r="AH1901" s="42"/>
      <c r="AI1901" s="42"/>
      <c r="AJ1901" s="42"/>
      <c r="AK1901" s="42"/>
      <c r="AL1901" s="42"/>
      <c r="AM1901" s="42"/>
    </row>
    <row r="1902" spans="1:39" x14ac:dyDescent="0.25">
      <c r="A1902" s="38" t="s">
        <v>2253</v>
      </c>
      <c r="B1902" s="42"/>
      <c r="C1902" s="42"/>
      <c r="D1902" s="42"/>
      <c r="E1902" s="41"/>
      <c r="F1902" s="41"/>
      <c r="G1902" s="41"/>
      <c r="H1902" s="41"/>
      <c r="I1902" s="41"/>
      <c r="J1902" s="42"/>
      <c r="K1902" s="41"/>
      <c r="L1902" s="41"/>
      <c r="M1902" s="127"/>
      <c r="N1902" s="41"/>
      <c r="O1902" s="41"/>
      <c r="P1902" s="41"/>
      <c r="Q1902" s="42"/>
      <c r="R1902" s="35"/>
      <c r="S1902" s="35"/>
      <c r="T1902" s="35"/>
      <c r="U1902" s="35"/>
      <c r="V1902" s="121"/>
      <c r="W1902" s="42"/>
      <c r="X1902" s="42"/>
      <c r="Y1902" s="42"/>
      <c r="Z1902" s="42"/>
      <c r="AA1902" s="42"/>
      <c r="AB1902" s="42"/>
      <c r="AC1902" s="42"/>
      <c r="AD1902" s="42"/>
      <c r="AE1902" s="42"/>
      <c r="AF1902" s="42"/>
      <c r="AG1902" s="42"/>
      <c r="AH1902" s="42"/>
      <c r="AI1902" s="42"/>
      <c r="AJ1902" s="42"/>
      <c r="AK1902" s="42"/>
      <c r="AL1902" s="42"/>
      <c r="AM1902" s="42"/>
    </row>
    <row r="1903" spans="1:39" x14ac:dyDescent="0.25">
      <c r="A1903" s="38" t="s">
        <v>2254</v>
      </c>
      <c r="B1903" s="42"/>
      <c r="C1903" s="42"/>
      <c r="D1903" s="42"/>
      <c r="E1903" s="41"/>
      <c r="F1903" s="41"/>
      <c r="G1903" s="41"/>
      <c r="H1903" s="41"/>
      <c r="I1903" s="41"/>
      <c r="J1903" s="42"/>
      <c r="K1903" s="41"/>
      <c r="L1903" s="41"/>
      <c r="M1903" s="127"/>
      <c r="N1903" s="41"/>
      <c r="O1903" s="41"/>
      <c r="P1903" s="41"/>
      <c r="Q1903" s="42"/>
      <c r="R1903" s="35"/>
      <c r="S1903" s="35"/>
      <c r="T1903" s="35"/>
      <c r="U1903" s="35"/>
      <c r="V1903" s="121"/>
      <c r="W1903" s="42"/>
      <c r="X1903" s="42"/>
      <c r="Y1903" s="42"/>
      <c r="Z1903" s="42"/>
      <c r="AA1903" s="42"/>
      <c r="AB1903" s="42"/>
      <c r="AC1903" s="42"/>
      <c r="AD1903" s="42"/>
      <c r="AE1903" s="42"/>
      <c r="AF1903" s="42"/>
      <c r="AG1903" s="42"/>
      <c r="AH1903" s="42"/>
      <c r="AI1903" s="42"/>
      <c r="AJ1903" s="42"/>
      <c r="AK1903" s="42"/>
      <c r="AL1903" s="42"/>
      <c r="AM1903" s="42"/>
    </row>
    <row r="1904" spans="1:39" x14ac:dyDescent="0.25">
      <c r="A1904" s="38" t="s">
        <v>2255</v>
      </c>
      <c r="B1904" s="42"/>
      <c r="C1904" s="42"/>
      <c r="D1904" s="42"/>
      <c r="E1904" s="41"/>
      <c r="F1904" s="41"/>
      <c r="G1904" s="41"/>
      <c r="H1904" s="41"/>
      <c r="I1904" s="41"/>
      <c r="J1904" s="42"/>
      <c r="K1904" s="41"/>
      <c r="L1904" s="41"/>
      <c r="M1904" s="127"/>
      <c r="N1904" s="41"/>
      <c r="O1904" s="41"/>
      <c r="P1904" s="41"/>
      <c r="Q1904" s="42"/>
      <c r="R1904" s="35"/>
      <c r="S1904" s="35"/>
      <c r="T1904" s="35"/>
      <c r="U1904" s="35"/>
      <c r="V1904" s="121"/>
      <c r="W1904" s="42"/>
      <c r="X1904" s="42"/>
      <c r="Y1904" s="42"/>
      <c r="Z1904" s="42"/>
      <c r="AA1904" s="42"/>
      <c r="AB1904" s="42"/>
      <c r="AC1904" s="42"/>
      <c r="AD1904" s="42"/>
      <c r="AE1904" s="42"/>
      <c r="AF1904" s="42"/>
      <c r="AG1904" s="42"/>
      <c r="AH1904" s="42"/>
      <c r="AI1904" s="42"/>
      <c r="AJ1904" s="42"/>
      <c r="AK1904" s="42"/>
      <c r="AL1904" s="42"/>
      <c r="AM1904" s="42"/>
    </row>
    <row r="1905" spans="1:39" x14ac:dyDescent="0.25">
      <c r="A1905" s="38" t="s">
        <v>2256</v>
      </c>
      <c r="B1905" s="42"/>
      <c r="C1905" s="42"/>
      <c r="D1905" s="42"/>
      <c r="E1905" s="41"/>
      <c r="F1905" s="41"/>
      <c r="G1905" s="41"/>
      <c r="H1905" s="41"/>
      <c r="I1905" s="41"/>
      <c r="J1905" s="42"/>
      <c r="K1905" s="41"/>
      <c r="L1905" s="41"/>
      <c r="M1905" s="127"/>
      <c r="N1905" s="41"/>
      <c r="O1905" s="41"/>
      <c r="P1905" s="41"/>
      <c r="Q1905" s="42"/>
      <c r="R1905" s="35"/>
      <c r="S1905" s="35"/>
      <c r="T1905" s="35"/>
      <c r="U1905" s="35"/>
      <c r="V1905" s="121"/>
      <c r="W1905" s="42"/>
      <c r="X1905" s="42"/>
      <c r="Y1905" s="42"/>
      <c r="Z1905" s="42"/>
      <c r="AA1905" s="42"/>
      <c r="AB1905" s="42"/>
      <c r="AC1905" s="42"/>
      <c r="AD1905" s="42"/>
      <c r="AE1905" s="42"/>
      <c r="AF1905" s="42"/>
      <c r="AG1905" s="42"/>
      <c r="AH1905" s="42"/>
      <c r="AI1905" s="42"/>
      <c r="AJ1905" s="42"/>
      <c r="AK1905" s="42"/>
      <c r="AL1905" s="42"/>
      <c r="AM1905" s="42"/>
    </row>
    <row r="1906" spans="1:39" x14ac:dyDescent="0.25">
      <c r="A1906" s="38" t="s">
        <v>2257</v>
      </c>
      <c r="B1906" s="42"/>
      <c r="C1906" s="42"/>
      <c r="D1906" s="42"/>
      <c r="E1906" s="41"/>
      <c r="F1906" s="41"/>
      <c r="G1906" s="41"/>
      <c r="H1906" s="41"/>
      <c r="I1906" s="41"/>
      <c r="J1906" s="42"/>
      <c r="K1906" s="41"/>
      <c r="L1906" s="41"/>
      <c r="M1906" s="127"/>
      <c r="N1906" s="41"/>
      <c r="O1906" s="41"/>
      <c r="P1906" s="41"/>
      <c r="Q1906" s="42"/>
      <c r="R1906" s="35"/>
      <c r="S1906" s="35"/>
      <c r="T1906" s="35"/>
      <c r="U1906" s="35"/>
      <c r="V1906" s="121"/>
      <c r="W1906" s="42"/>
      <c r="X1906" s="42"/>
      <c r="Y1906" s="42"/>
      <c r="Z1906" s="42"/>
      <c r="AA1906" s="42"/>
      <c r="AB1906" s="42"/>
      <c r="AC1906" s="42"/>
      <c r="AD1906" s="42"/>
      <c r="AE1906" s="42"/>
      <c r="AF1906" s="42"/>
      <c r="AG1906" s="42"/>
      <c r="AH1906" s="42"/>
      <c r="AI1906" s="42"/>
      <c r="AJ1906" s="42"/>
      <c r="AK1906" s="42"/>
      <c r="AL1906" s="42"/>
      <c r="AM1906" s="42"/>
    </row>
    <row r="1907" spans="1:39" x14ac:dyDescent="0.25">
      <c r="A1907" s="38" t="s">
        <v>2258</v>
      </c>
      <c r="B1907" s="42"/>
      <c r="C1907" s="42"/>
      <c r="D1907" s="42"/>
      <c r="E1907" s="41"/>
      <c r="F1907" s="41"/>
      <c r="G1907" s="41"/>
      <c r="H1907" s="41"/>
      <c r="I1907" s="41"/>
      <c r="J1907" s="42"/>
      <c r="K1907" s="41"/>
      <c r="L1907" s="41"/>
      <c r="M1907" s="127"/>
      <c r="N1907" s="41"/>
      <c r="O1907" s="41"/>
      <c r="P1907" s="41"/>
      <c r="Q1907" s="42"/>
      <c r="R1907" s="35"/>
      <c r="S1907" s="35"/>
      <c r="T1907" s="35"/>
      <c r="U1907" s="35"/>
      <c r="V1907" s="121"/>
      <c r="W1907" s="42"/>
      <c r="X1907" s="42"/>
      <c r="Y1907" s="42"/>
      <c r="Z1907" s="42"/>
      <c r="AA1907" s="42"/>
      <c r="AB1907" s="42"/>
      <c r="AC1907" s="42"/>
      <c r="AD1907" s="42"/>
      <c r="AE1907" s="42"/>
      <c r="AF1907" s="42"/>
      <c r="AG1907" s="42"/>
      <c r="AH1907" s="42"/>
      <c r="AI1907" s="42"/>
      <c r="AJ1907" s="42"/>
      <c r="AK1907" s="42"/>
      <c r="AL1907" s="42"/>
      <c r="AM1907" s="42"/>
    </row>
    <row r="1908" spans="1:39" x14ac:dyDescent="0.25">
      <c r="A1908" s="38" t="s">
        <v>2259</v>
      </c>
      <c r="B1908" s="42"/>
      <c r="C1908" s="42"/>
      <c r="D1908" s="42"/>
      <c r="E1908" s="41"/>
      <c r="F1908" s="41"/>
      <c r="G1908" s="41"/>
      <c r="H1908" s="41"/>
      <c r="I1908" s="41"/>
      <c r="J1908" s="42"/>
      <c r="K1908" s="41"/>
      <c r="L1908" s="41"/>
      <c r="M1908" s="127"/>
      <c r="N1908" s="41"/>
      <c r="O1908" s="41"/>
      <c r="P1908" s="41"/>
      <c r="Q1908" s="42"/>
      <c r="R1908" s="35"/>
      <c r="S1908" s="35"/>
      <c r="T1908" s="35"/>
      <c r="U1908" s="35"/>
      <c r="V1908" s="121"/>
      <c r="W1908" s="42"/>
      <c r="X1908" s="42"/>
      <c r="Y1908" s="42"/>
      <c r="Z1908" s="42"/>
      <c r="AA1908" s="42"/>
      <c r="AB1908" s="42"/>
      <c r="AC1908" s="42"/>
      <c r="AD1908" s="42"/>
      <c r="AE1908" s="42"/>
      <c r="AF1908" s="42"/>
      <c r="AG1908" s="42"/>
      <c r="AH1908" s="42"/>
      <c r="AI1908" s="42"/>
      <c r="AJ1908" s="42"/>
      <c r="AK1908" s="42"/>
      <c r="AL1908" s="42"/>
      <c r="AM1908" s="42"/>
    </row>
    <row r="1909" spans="1:39" x14ac:dyDescent="0.25">
      <c r="A1909" s="38" t="s">
        <v>2260</v>
      </c>
      <c r="B1909" s="42"/>
      <c r="C1909" s="42"/>
      <c r="D1909" s="42"/>
      <c r="E1909" s="41"/>
      <c r="F1909" s="41"/>
      <c r="G1909" s="41"/>
      <c r="H1909" s="41"/>
      <c r="I1909" s="41"/>
      <c r="J1909" s="42"/>
      <c r="K1909" s="41"/>
      <c r="L1909" s="41"/>
      <c r="M1909" s="127"/>
      <c r="N1909" s="41"/>
      <c r="O1909" s="41"/>
      <c r="P1909" s="41"/>
      <c r="Q1909" s="42"/>
      <c r="R1909" s="35"/>
      <c r="S1909" s="35"/>
      <c r="T1909" s="35"/>
      <c r="U1909" s="35"/>
      <c r="V1909" s="121"/>
      <c r="W1909" s="42"/>
      <c r="X1909" s="42"/>
      <c r="Y1909" s="42"/>
      <c r="Z1909" s="42"/>
      <c r="AA1909" s="42"/>
      <c r="AB1909" s="42"/>
      <c r="AC1909" s="42"/>
      <c r="AD1909" s="42"/>
      <c r="AE1909" s="42"/>
      <c r="AF1909" s="42"/>
      <c r="AG1909" s="42"/>
      <c r="AH1909" s="42"/>
      <c r="AI1909" s="42"/>
      <c r="AJ1909" s="42"/>
      <c r="AK1909" s="42"/>
      <c r="AL1909" s="42"/>
      <c r="AM1909" s="42"/>
    </row>
    <row r="1910" spans="1:39" x14ac:dyDescent="0.25">
      <c r="A1910" s="38" t="s">
        <v>2261</v>
      </c>
      <c r="B1910" s="42"/>
      <c r="C1910" s="42"/>
      <c r="D1910" s="42"/>
      <c r="E1910" s="41"/>
      <c r="F1910" s="41"/>
      <c r="G1910" s="41"/>
      <c r="H1910" s="41"/>
      <c r="I1910" s="41"/>
      <c r="J1910" s="42"/>
      <c r="K1910" s="41"/>
      <c r="L1910" s="41"/>
      <c r="M1910" s="127"/>
      <c r="N1910" s="41"/>
      <c r="O1910" s="41"/>
      <c r="P1910" s="41"/>
      <c r="Q1910" s="42"/>
      <c r="R1910" s="35"/>
      <c r="S1910" s="35"/>
      <c r="T1910" s="35"/>
      <c r="U1910" s="35"/>
      <c r="V1910" s="121"/>
      <c r="W1910" s="42"/>
      <c r="X1910" s="42"/>
      <c r="Y1910" s="42"/>
      <c r="Z1910" s="42"/>
      <c r="AA1910" s="42"/>
      <c r="AB1910" s="42"/>
      <c r="AC1910" s="42"/>
      <c r="AD1910" s="42"/>
      <c r="AE1910" s="42"/>
      <c r="AF1910" s="42"/>
      <c r="AG1910" s="42"/>
      <c r="AH1910" s="42"/>
      <c r="AI1910" s="42"/>
      <c r="AJ1910" s="42"/>
      <c r="AK1910" s="42"/>
      <c r="AL1910" s="42"/>
      <c r="AM1910" s="42"/>
    </row>
    <row r="1911" spans="1:39" x14ac:dyDescent="0.25">
      <c r="A1911" s="38" t="s">
        <v>2262</v>
      </c>
      <c r="B1911" s="42"/>
      <c r="C1911" s="42"/>
      <c r="D1911" s="42"/>
      <c r="E1911" s="41"/>
      <c r="F1911" s="41"/>
      <c r="G1911" s="41"/>
      <c r="H1911" s="41"/>
      <c r="I1911" s="41"/>
      <c r="J1911" s="42"/>
      <c r="K1911" s="41"/>
      <c r="L1911" s="41"/>
      <c r="M1911" s="127"/>
      <c r="N1911" s="41"/>
      <c r="O1911" s="41"/>
      <c r="P1911" s="41"/>
      <c r="Q1911" s="42"/>
      <c r="R1911" s="35"/>
      <c r="S1911" s="35"/>
      <c r="T1911" s="35"/>
      <c r="U1911" s="35"/>
      <c r="V1911" s="121"/>
      <c r="W1911" s="42"/>
      <c r="X1911" s="42"/>
      <c r="Y1911" s="42"/>
      <c r="Z1911" s="42"/>
      <c r="AA1911" s="42"/>
      <c r="AB1911" s="42"/>
      <c r="AC1911" s="42"/>
      <c r="AD1911" s="42"/>
      <c r="AE1911" s="42"/>
      <c r="AF1911" s="42"/>
      <c r="AG1911" s="42"/>
      <c r="AH1911" s="42"/>
      <c r="AI1911" s="42"/>
      <c r="AJ1911" s="42"/>
      <c r="AK1911" s="42"/>
      <c r="AL1911" s="42"/>
      <c r="AM1911" s="42"/>
    </row>
    <row r="1912" spans="1:39" x14ac:dyDescent="0.25">
      <c r="A1912" s="38" t="s">
        <v>2263</v>
      </c>
      <c r="B1912" s="42"/>
      <c r="C1912" s="42"/>
      <c r="D1912" s="42"/>
      <c r="E1912" s="41"/>
      <c r="F1912" s="41"/>
      <c r="G1912" s="41"/>
      <c r="H1912" s="41"/>
      <c r="I1912" s="41"/>
      <c r="J1912" s="42"/>
      <c r="K1912" s="41"/>
      <c r="L1912" s="41"/>
      <c r="M1912" s="127"/>
      <c r="N1912" s="41"/>
      <c r="O1912" s="41"/>
      <c r="P1912" s="41"/>
      <c r="Q1912" s="42"/>
      <c r="R1912" s="35"/>
      <c r="S1912" s="35"/>
      <c r="T1912" s="35"/>
      <c r="U1912" s="35"/>
      <c r="V1912" s="121"/>
      <c r="W1912" s="42"/>
      <c r="X1912" s="42"/>
      <c r="Y1912" s="42"/>
      <c r="Z1912" s="42"/>
      <c r="AA1912" s="42"/>
      <c r="AB1912" s="42"/>
      <c r="AC1912" s="42"/>
      <c r="AD1912" s="42"/>
      <c r="AE1912" s="42"/>
      <c r="AF1912" s="42"/>
      <c r="AG1912" s="42"/>
      <c r="AH1912" s="42"/>
      <c r="AI1912" s="42"/>
      <c r="AJ1912" s="42"/>
      <c r="AK1912" s="42"/>
      <c r="AL1912" s="42"/>
      <c r="AM1912" s="42"/>
    </row>
    <row r="1913" spans="1:39" x14ac:dyDescent="0.25">
      <c r="A1913" s="38" t="s">
        <v>2264</v>
      </c>
      <c r="B1913" s="42"/>
      <c r="C1913" s="42"/>
      <c r="D1913" s="42"/>
      <c r="E1913" s="41"/>
      <c r="F1913" s="41"/>
      <c r="G1913" s="41"/>
      <c r="H1913" s="41"/>
      <c r="I1913" s="41"/>
      <c r="J1913" s="42"/>
      <c r="K1913" s="41"/>
      <c r="L1913" s="41"/>
      <c r="M1913" s="127"/>
      <c r="N1913" s="41"/>
      <c r="O1913" s="41"/>
      <c r="P1913" s="41"/>
      <c r="Q1913" s="42"/>
      <c r="R1913" s="35"/>
      <c r="S1913" s="35"/>
      <c r="T1913" s="35"/>
      <c r="U1913" s="35"/>
      <c r="V1913" s="121"/>
      <c r="W1913" s="42"/>
      <c r="X1913" s="42"/>
      <c r="Y1913" s="42"/>
      <c r="Z1913" s="42"/>
      <c r="AA1913" s="42"/>
      <c r="AB1913" s="42"/>
      <c r="AC1913" s="42"/>
      <c r="AD1913" s="42"/>
      <c r="AE1913" s="42"/>
      <c r="AF1913" s="42"/>
      <c r="AG1913" s="42"/>
      <c r="AH1913" s="42"/>
      <c r="AI1913" s="42"/>
      <c r="AJ1913" s="42"/>
      <c r="AK1913" s="42"/>
      <c r="AL1913" s="42"/>
      <c r="AM1913" s="42"/>
    </row>
    <row r="1914" spans="1:39" x14ac:dyDescent="0.25">
      <c r="A1914" s="38" t="s">
        <v>2265</v>
      </c>
      <c r="B1914" s="42"/>
      <c r="C1914" s="42"/>
      <c r="D1914" s="42"/>
      <c r="E1914" s="41"/>
      <c r="F1914" s="41"/>
      <c r="G1914" s="41"/>
      <c r="H1914" s="41"/>
      <c r="I1914" s="41"/>
      <c r="J1914" s="42"/>
      <c r="K1914" s="41"/>
      <c r="L1914" s="41"/>
      <c r="M1914" s="127"/>
      <c r="N1914" s="41"/>
      <c r="O1914" s="41"/>
      <c r="P1914" s="41"/>
      <c r="Q1914" s="42"/>
      <c r="R1914" s="35"/>
      <c r="S1914" s="35"/>
      <c r="T1914" s="35"/>
      <c r="U1914" s="35"/>
      <c r="V1914" s="121"/>
      <c r="W1914" s="42"/>
      <c r="X1914" s="42"/>
      <c r="Y1914" s="42"/>
      <c r="Z1914" s="42"/>
      <c r="AA1914" s="42"/>
      <c r="AB1914" s="42"/>
      <c r="AC1914" s="42"/>
      <c r="AD1914" s="42"/>
      <c r="AE1914" s="42"/>
      <c r="AF1914" s="42"/>
      <c r="AG1914" s="42"/>
      <c r="AH1914" s="42"/>
      <c r="AI1914" s="42"/>
      <c r="AJ1914" s="42"/>
      <c r="AK1914" s="42"/>
      <c r="AL1914" s="42"/>
      <c r="AM1914" s="42"/>
    </row>
    <row r="1915" spans="1:39" x14ac:dyDescent="0.25">
      <c r="A1915" s="38" t="s">
        <v>2266</v>
      </c>
      <c r="B1915" s="42"/>
      <c r="C1915" s="42"/>
      <c r="D1915" s="42"/>
      <c r="E1915" s="41"/>
      <c r="F1915" s="41"/>
      <c r="G1915" s="41"/>
      <c r="H1915" s="41"/>
      <c r="I1915" s="41"/>
      <c r="J1915" s="42"/>
      <c r="K1915" s="41"/>
      <c r="L1915" s="41"/>
      <c r="M1915" s="127"/>
      <c r="N1915" s="41"/>
      <c r="O1915" s="41"/>
      <c r="P1915" s="41"/>
      <c r="Q1915" s="42"/>
      <c r="R1915" s="35"/>
      <c r="S1915" s="35"/>
      <c r="T1915" s="35"/>
      <c r="U1915" s="35"/>
      <c r="V1915" s="121"/>
      <c r="W1915" s="42"/>
      <c r="X1915" s="42"/>
      <c r="Y1915" s="42"/>
      <c r="Z1915" s="42"/>
      <c r="AA1915" s="42"/>
      <c r="AB1915" s="42"/>
      <c r="AC1915" s="42"/>
      <c r="AD1915" s="42"/>
      <c r="AE1915" s="42"/>
      <c r="AF1915" s="42"/>
      <c r="AG1915" s="42"/>
      <c r="AH1915" s="42"/>
      <c r="AI1915" s="42"/>
      <c r="AJ1915" s="42"/>
      <c r="AK1915" s="42"/>
      <c r="AL1915" s="42"/>
      <c r="AM1915" s="42"/>
    </row>
    <row r="1916" spans="1:39" x14ac:dyDescent="0.25">
      <c r="A1916" s="38" t="s">
        <v>2267</v>
      </c>
      <c r="B1916" s="42"/>
      <c r="C1916" s="42"/>
      <c r="D1916" s="42"/>
      <c r="E1916" s="41"/>
      <c r="F1916" s="41"/>
      <c r="G1916" s="41"/>
      <c r="H1916" s="41"/>
      <c r="I1916" s="41"/>
      <c r="J1916" s="42"/>
      <c r="K1916" s="41"/>
      <c r="L1916" s="41"/>
      <c r="M1916" s="127"/>
      <c r="N1916" s="41"/>
      <c r="O1916" s="41"/>
      <c r="P1916" s="41"/>
      <c r="Q1916" s="42"/>
      <c r="R1916" s="35"/>
      <c r="S1916" s="35"/>
      <c r="T1916" s="35"/>
      <c r="U1916" s="35"/>
      <c r="V1916" s="121"/>
      <c r="W1916" s="42"/>
      <c r="X1916" s="42"/>
      <c r="Y1916" s="42"/>
      <c r="Z1916" s="42"/>
      <c r="AA1916" s="42"/>
      <c r="AB1916" s="42"/>
      <c r="AC1916" s="42"/>
      <c r="AD1916" s="42"/>
      <c r="AE1916" s="42"/>
      <c r="AF1916" s="42"/>
      <c r="AG1916" s="42"/>
      <c r="AH1916" s="42"/>
      <c r="AI1916" s="42"/>
      <c r="AJ1916" s="42"/>
      <c r="AK1916" s="42"/>
      <c r="AL1916" s="42"/>
      <c r="AM1916" s="42"/>
    </row>
    <row r="1917" spans="1:39" x14ac:dyDescent="0.25">
      <c r="A1917" s="38" t="s">
        <v>2268</v>
      </c>
      <c r="B1917" s="42"/>
      <c r="C1917" s="42"/>
      <c r="D1917" s="42"/>
      <c r="E1917" s="41"/>
      <c r="F1917" s="41"/>
      <c r="G1917" s="41"/>
      <c r="H1917" s="41"/>
      <c r="I1917" s="41"/>
      <c r="J1917" s="42"/>
      <c r="K1917" s="41"/>
      <c r="L1917" s="41"/>
      <c r="M1917" s="127"/>
      <c r="N1917" s="41"/>
      <c r="O1917" s="41"/>
      <c r="P1917" s="41"/>
      <c r="Q1917" s="42"/>
      <c r="R1917" s="35"/>
      <c r="S1917" s="35"/>
      <c r="T1917" s="35"/>
      <c r="U1917" s="35"/>
      <c r="V1917" s="121"/>
      <c r="W1917" s="42"/>
      <c r="X1917" s="42"/>
      <c r="Y1917" s="42"/>
      <c r="Z1917" s="42"/>
      <c r="AA1917" s="42"/>
      <c r="AB1917" s="42"/>
      <c r="AC1917" s="42"/>
      <c r="AD1917" s="42"/>
      <c r="AE1917" s="42"/>
      <c r="AF1917" s="42"/>
      <c r="AG1917" s="42"/>
      <c r="AH1917" s="42"/>
      <c r="AI1917" s="42"/>
      <c r="AJ1917" s="42"/>
      <c r="AK1917" s="42"/>
      <c r="AL1917" s="42"/>
      <c r="AM1917" s="42"/>
    </row>
    <row r="1918" spans="1:39" x14ac:dyDescent="0.25">
      <c r="A1918" s="38" t="s">
        <v>2269</v>
      </c>
      <c r="B1918" s="42"/>
      <c r="C1918" s="42"/>
      <c r="D1918" s="42"/>
      <c r="E1918" s="41"/>
      <c r="F1918" s="41"/>
      <c r="G1918" s="41"/>
      <c r="H1918" s="41"/>
      <c r="I1918" s="41"/>
      <c r="J1918" s="42"/>
      <c r="K1918" s="41"/>
      <c r="L1918" s="41"/>
      <c r="M1918" s="127"/>
      <c r="N1918" s="41"/>
      <c r="O1918" s="41"/>
      <c r="P1918" s="41"/>
      <c r="Q1918" s="42"/>
      <c r="R1918" s="35"/>
      <c r="S1918" s="35"/>
      <c r="T1918" s="35"/>
      <c r="U1918" s="35"/>
      <c r="V1918" s="121"/>
      <c r="W1918" s="42"/>
      <c r="X1918" s="42"/>
      <c r="Y1918" s="42"/>
      <c r="Z1918" s="42"/>
      <c r="AA1918" s="42"/>
      <c r="AB1918" s="42"/>
      <c r="AC1918" s="42"/>
      <c r="AD1918" s="42"/>
      <c r="AE1918" s="42"/>
      <c r="AF1918" s="42"/>
      <c r="AG1918" s="42"/>
      <c r="AH1918" s="42"/>
      <c r="AI1918" s="42"/>
      <c r="AJ1918" s="42"/>
      <c r="AK1918" s="42"/>
      <c r="AL1918" s="42"/>
      <c r="AM1918" s="42"/>
    </row>
    <row r="1919" spans="1:39" x14ac:dyDescent="0.25">
      <c r="A1919" s="38" t="s">
        <v>2270</v>
      </c>
      <c r="B1919" s="42"/>
      <c r="C1919" s="42"/>
      <c r="D1919" s="42"/>
      <c r="E1919" s="41"/>
      <c r="F1919" s="41"/>
      <c r="G1919" s="41"/>
      <c r="H1919" s="41"/>
      <c r="I1919" s="41"/>
      <c r="J1919" s="42"/>
      <c r="K1919" s="41"/>
      <c r="L1919" s="41"/>
      <c r="M1919" s="127"/>
      <c r="N1919" s="41"/>
      <c r="O1919" s="41"/>
      <c r="P1919" s="41"/>
      <c r="Q1919" s="42"/>
      <c r="R1919" s="35"/>
      <c r="S1919" s="35"/>
      <c r="T1919" s="35"/>
      <c r="U1919" s="35"/>
      <c r="V1919" s="121"/>
      <c r="W1919" s="42"/>
      <c r="X1919" s="42"/>
      <c r="Y1919" s="42"/>
      <c r="Z1919" s="42"/>
      <c r="AA1919" s="42"/>
      <c r="AB1919" s="42"/>
      <c r="AC1919" s="42"/>
      <c r="AD1919" s="42"/>
      <c r="AE1919" s="42"/>
      <c r="AF1919" s="42"/>
      <c r="AG1919" s="42"/>
      <c r="AH1919" s="42"/>
      <c r="AI1919" s="42"/>
      <c r="AJ1919" s="42"/>
      <c r="AK1919" s="42"/>
      <c r="AL1919" s="42"/>
      <c r="AM1919" s="42"/>
    </row>
    <row r="1920" spans="1:39" x14ac:dyDescent="0.25">
      <c r="A1920" s="38" t="s">
        <v>2271</v>
      </c>
      <c r="B1920" s="42"/>
      <c r="C1920" s="42"/>
      <c r="D1920" s="42"/>
      <c r="E1920" s="41"/>
      <c r="F1920" s="41"/>
      <c r="G1920" s="41"/>
      <c r="H1920" s="41"/>
      <c r="I1920" s="41"/>
      <c r="J1920" s="42"/>
      <c r="K1920" s="41"/>
      <c r="L1920" s="41"/>
      <c r="M1920" s="127"/>
      <c r="N1920" s="41"/>
      <c r="O1920" s="41"/>
      <c r="P1920" s="41"/>
      <c r="Q1920" s="42"/>
      <c r="R1920" s="35"/>
      <c r="S1920" s="35"/>
      <c r="T1920" s="35"/>
      <c r="U1920" s="35"/>
      <c r="V1920" s="121"/>
      <c r="W1920" s="42"/>
      <c r="X1920" s="42"/>
      <c r="Y1920" s="42"/>
      <c r="Z1920" s="42"/>
      <c r="AA1920" s="42"/>
      <c r="AB1920" s="42"/>
      <c r="AC1920" s="42"/>
      <c r="AD1920" s="42"/>
      <c r="AE1920" s="42"/>
      <c r="AF1920" s="42"/>
      <c r="AG1920" s="42"/>
      <c r="AH1920" s="42"/>
      <c r="AI1920" s="42"/>
      <c r="AJ1920" s="42"/>
      <c r="AK1920" s="42"/>
      <c r="AL1920" s="42"/>
      <c r="AM1920" s="42"/>
    </row>
    <row r="1921" spans="1:39" x14ac:dyDescent="0.25">
      <c r="A1921" s="38" t="s">
        <v>2272</v>
      </c>
      <c r="B1921" s="42"/>
      <c r="C1921" s="42"/>
      <c r="D1921" s="42"/>
      <c r="E1921" s="41"/>
      <c r="F1921" s="41"/>
      <c r="G1921" s="41"/>
      <c r="H1921" s="41"/>
      <c r="I1921" s="41"/>
      <c r="J1921" s="42"/>
      <c r="K1921" s="41"/>
      <c r="L1921" s="41"/>
      <c r="M1921" s="127"/>
      <c r="N1921" s="41"/>
      <c r="O1921" s="41"/>
      <c r="P1921" s="41"/>
      <c r="Q1921" s="42"/>
      <c r="R1921" s="35"/>
      <c r="S1921" s="35"/>
      <c r="T1921" s="35"/>
      <c r="U1921" s="35"/>
      <c r="V1921" s="121"/>
      <c r="W1921" s="42"/>
      <c r="X1921" s="42"/>
      <c r="Y1921" s="42"/>
      <c r="Z1921" s="42"/>
      <c r="AA1921" s="42"/>
      <c r="AB1921" s="42"/>
      <c r="AC1921" s="42"/>
      <c r="AD1921" s="42"/>
      <c r="AE1921" s="42"/>
      <c r="AF1921" s="42"/>
      <c r="AG1921" s="42"/>
      <c r="AH1921" s="42"/>
      <c r="AI1921" s="42"/>
      <c r="AJ1921" s="42"/>
      <c r="AK1921" s="42"/>
      <c r="AL1921" s="42"/>
      <c r="AM1921" s="42"/>
    </row>
    <row r="1922" spans="1:39" x14ac:dyDescent="0.25">
      <c r="A1922" s="38" t="s">
        <v>2273</v>
      </c>
      <c r="B1922" s="42"/>
      <c r="C1922" s="42"/>
      <c r="D1922" s="42"/>
      <c r="E1922" s="41"/>
      <c r="F1922" s="41"/>
      <c r="G1922" s="41"/>
      <c r="H1922" s="41"/>
      <c r="I1922" s="41"/>
      <c r="J1922" s="42"/>
      <c r="K1922" s="41"/>
      <c r="L1922" s="41"/>
      <c r="M1922" s="127"/>
      <c r="N1922" s="41"/>
      <c r="O1922" s="41"/>
      <c r="P1922" s="41"/>
      <c r="Q1922" s="42"/>
      <c r="R1922" s="35"/>
      <c r="S1922" s="35"/>
      <c r="T1922" s="35"/>
      <c r="U1922" s="35"/>
      <c r="V1922" s="121"/>
      <c r="W1922" s="42"/>
      <c r="X1922" s="42"/>
      <c r="Y1922" s="42"/>
      <c r="Z1922" s="42"/>
      <c r="AA1922" s="42"/>
      <c r="AB1922" s="42"/>
      <c r="AC1922" s="42"/>
      <c r="AD1922" s="42"/>
      <c r="AE1922" s="42"/>
      <c r="AF1922" s="42"/>
      <c r="AG1922" s="42"/>
      <c r="AH1922" s="42"/>
      <c r="AI1922" s="42"/>
      <c r="AJ1922" s="42"/>
      <c r="AK1922" s="42"/>
      <c r="AL1922" s="42"/>
      <c r="AM1922" s="42"/>
    </row>
    <row r="1923" spans="1:39" x14ac:dyDescent="0.25">
      <c r="A1923" s="38" t="s">
        <v>2274</v>
      </c>
      <c r="B1923" s="42"/>
      <c r="C1923" s="42"/>
      <c r="D1923" s="42"/>
      <c r="E1923" s="41"/>
      <c r="F1923" s="41"/>
      <c r="G1923" s="41"/>
      <c r="H1923" s="41"/>
      <c r="I1923" s="41"/>
      <c r="J1923" s="42"/>
      <c r="K1923" s="41"/>
      <c r="L1923" s="41"/>
      <c r="M1923" s="127"/>
      <c r="N1923" s="41"/>
      <c r="O1923" s="41"/>
      <c r="P1923" s="41"/>
      <c r="Q1923" s="42"/>
      <c r="R1923" s="35"/>
      <c r="S1923" s="35"/>
      <c r="T1923" s="35"/>
      <c r="U1923" s="35"/>
      <c r="V1923" s="121"/>
      <c r="W1923" s="42"/>
      <c r="X1923" s="42"/>
      <c r="Y1923" s="42"/>
      <c r="Z1923" s="42"/>
      <c r="AA1923" s="42"/>
      <c r="AB1923" s="42"/>
      <c r="AC1923" s="42"/>
      <c r="AD1923" s="42"/>
      <c r="AE1923" s="42"/>
      <c r="AF1923" s="42"/>
      <c r="AG1923" s="42"/>
      <c r="AH1923" s="42"/>
      <c r="AI1923" s="42"/>
      <c r="AJ1923" s="42"/>
      <c r="AK1923" s="42"/>
      <c r="AL1923" s="42"/>
      <c r="AM1923" s="42"/>
    </row>
    <row r="1924" spans="1:39" x14ac:dyDescent="0.25">
      <c r="A1924" s="38" t="s">
        <v>2275</v>
      </c>
      <c r="B1924" s="42"/>
      <c r="C1924" s="42"/>
      <c r="D1924" s="42"/>
      <c r="E1924" s="41"/>
      <c r="F1924" s="41"/>
      <c r="G1924" s="41"/>
      <c r="H1924" s="41"/>
      <c r="I1924" s="41"/>
      <c r="J1924" s="42"/>
      <c r="K1924" s="41"/>
      <c r="L1924" s="41"/>
      <c r="M1924" s="127"/>
      <c r="N1924" s="41"/>
      <c r="O1924" s="41"/>
      <c r="P1924" s="41"/>
      <c r="Q1924" s="42"/>
      <c r="R1924" s="35"/>
      <c r="S1924" s="35"/>
      <c r="T1924" s="35"/>
      <c r="U1924" s="35"/>
      <c r="V1924" s="121"/>
      <c r="W1924" s="42"/>
      <c r="X1924" s="42"/>
      <c r="Y1924" s="42"/>
      <c r="Z1924" s="42"/>
      <c r="AA1924" s="42"/>
      <c r="AB1924" s="42"/>
      <c r="AC1924" s="42"/>
      <c r="AD1924" s="42"/>
      <c r="AE1924" s="42"/>
      <c r="AF1924" s="42"/>
      <c r="AG1924" s="42"/>
      <c r="AH1924" s="42"/>
      <c r="AI1924" s="42"/>
      <c r="AJ1924" s="42"/>
      <c r="AK1924" s="42"/>
      <c r="AL1924" s="42"/>
      <c r="AM1924" s="42"/>
    </row>
    <row r="1925" spans="1:39" x14ac:dyDescent="0.25">
      <c r="A1925" s="38" t="s">
        <v>2276</v>
      </c>
      <c r="B1925" s="42"/>
      <c r="C1925" s="42"/>
      <c r="D1925" s="42"/>
      <c r="E1925" s="41"/>
      <c r="F1925" s="41"/>
      <c r="G1925" s="41"/>
      <c r="H1925" s="41"/>
      <c r="I1925" s="41"/>
      <c r="J1925" s="42"/>
      <c r="K1925" s="41"/>
      <c r="L1925" s="41"/>
      <c r="M1925" s="127"/>
      <c r="N1925" s="41"/>
      <c r="O1925" s="41"/>
      <c r="P1925" s="41"/>
      <c r="Q1925" s="42"/>
      <c r="R1925" s="35"/>
      <c r="S1925" s="35"/>
      <c r="T1925" s="35"/>
      <c r="U1925" s="35"/>
      <c r="V1925" s="121"/>
      <c r="W1925" s="42"/>
      <c r="X1925" s="42"/>
      <c r="Y1925" s="42"/>
      <c r="Z1925" s="42"/>
      <c r="AA1925" s="42"/>
      <c r="AB1925" s="42"/>
      <c r="AC1925" s="42"/>
      <c r="AD1925" s="42"/>
      <c r="AE1925" s="42"/>
      <c r="AF1925" s="42"/>
      <c r="AG1925" s="42"/>
      <c r="AH1925" s="42"/>
      <c r="AI1925" s="42"/>
      <c r="AJ1925" s="42"/>
      <c r="AK1925" s="42"/>
      <c r="AL1925" s="42"/>
      <c r="AM1925" s="42"/>
    </row>
    <row r="1926" spans="1:39" x14ac:dyDescent="0.25">
      <c r="A1926" s="38" t="s">
        <v>2277</v>
      </c>
      <c r="B1926" s="42"/>
      <c r="C1926" s="42"/>
      <c r="D1926" s="42"/>
      <c r="E1926" s="41"/>
      <c r="F1926" s="41"/>
      <c r="G1926" s="41"/>
      <c r="H1926" s="41"/>
      <c r="I1926" s="41"/>
      <c r="J1926" s="42"/>
      <c r="K1926" s="41"/>
      <c r="L1926" s="41"/>
      <c r="M1926" s="127"/>
      <c r="N1926" s="41"/>
      <c r="O1926" s="41"/>
      <c r="P1926" s="41"/>
      <c r="Q1926" s="42"/>
      <c r="R1926" s="35"/>
      <c r="S1926" s="35"/>
      <c r="T1926" s="35"/>
      <c r="U1926" s="35"/>
      <c r="V1926" s="121"/>
      <c r="W1926" s="42"/>
      <c r="X1926" s="42"/>
      <c r="Y1926" s="42"/>
      <c r="Z1926" s="42"/>
      <c r="AA1926" s="42"/>
      <c r="AB1926" s="42"/>
      <c r="AC1926" s="42"/>
      <c r="AD1926" s="42"/>
      <c r="AE1926" s="42"/>
      <c r="AF1926" s="42"/>
      <c r="AG1926" s="42"/>
      <c r="AH1926" s="42"/>
      <c r="AI1926" s="42"/>
      <c r="AJ1926" s="42"/>
      <c r="AK1926" s="42"/>
      <c r="AL1926" s="42"/>
      <c r="AM1926" s="42"/>
    </row>
    <row r="1927" spans="1:39" x14ac:dyDescent="0.25">
      <c r="A1927" s="38" t="s">
        <v>2278</v>
      </c>
      <c r="B1927" s="42"/>
      <c r="C1927" s="42"/>
      <c r="D1927" s="42"/>
      <c r="E1927" s="41"/>
      <c r="F1927" s="41"/>
      <c r="G1927" s="41"/>
      <c r="H1927" s="41"/>
      <c r="I1927" s="41"/>
      <c r="J1927" s="42"/>
      <c r="K1927" s="41"/>
      <c r="L1927" s="41"/>
      <c r="M1927" s="127"/>
      <c r="N1927" s="41"/>
      <c r="O1927" s="41"/>
      <c r="P1927" s="41"/>
      <c r="Q1927" s="42"/>
      <c r="R1927" s="35"/>
      <c r="S1927" s="35"/>
      <c r="T1927" s="35"/>
      <c r="U1927" s="35"/>
      <c r="V1927" s="121"/>
      <c r="W1927" s="42"/>
      <c r="X1927" s="42"/>
      <c r="Y1927" s="42"/>
      <c r="Z1927" s="42"/>
      <c r="AA1927" s="42"/>
      <c r="AB1927" s="42"/>
      <c r="AC1927" s="42"/>
      <c r="AD1927" s="42"/>
      <c r="AE1927" s="42"/>
      <c r="AF1927" s="42"/>
      <c r="AG1927" s="42"/>
      <c r="AH1927" s="42"/>
      <c r="AI1927" s="42"/>
      <c r="AJ1927" s="42"/>
      <c r="AK1927" s="42"/>
      <c r="AL1927" s="42"/>
      <c r="AM1927" s="42"/>
    </row>
    <row r="1928" spans="1:39" x14ac:dyDescent="0.25">
      <c r="A1928" s="38" t="s">
        <v>2279</v>
      </c>
      <c r="B1928" s="42"/>
      <c r="C1928" s="42"/>
      <c r="D1928" s="42"/>
      <c r="E1928" s="41"/>
      <c r="F1928" s="41"/>
      <c r="G1928" s="41"/>
      <c r="H1928" s="41"/>
      <c r="I1928" s="41"/>
      <c r="J1928" s="42"/>
      <c r="K1928" s="41"/>
      <c r="L1928" s="41"/>
      <c r="M1928" s="127"/>
      <c r="N1928" s="41"/>
      <c r="O1928" s="41"/>
      <c r="P1928" s="41"/>
      <c r="Q1928" s="42"/>
      <c r="R1928" s="35"/>
      <c r="S1928" s="35"/>
      <c r="T1928" s="35"/>
      <c r="U1928" s="35"/>
      <c r="V1928" s="121"/>
      <c r="W1928" s="42"/>
      <c r="X1928" s="42"/>
      <c r="Y1928" s="42"/>
      <c r="Z1928" s="42"/>
      <c r="AA1928" s="42"/>
      <c r="AB1928" s="42"/>
      <c r="AC1928" s="42"/>
      <c r="AD1928" s="42"/>
      <c r="AE1928" s="42"/>
      <c r="AF1928" s="42"/>
      <c r="AG1928" s="42"/>
      <c r="AH1928" s="42"/>
      <c r="AI1928" s="42"/>
      <c r="AJ1928" s="42"/>
      <c r="AK1928" s="42"/>
      <c r="AL1928" s="42"/>
      <c r="AM1928" s="42"/>
    </row>
    <row r="1929" spans="1:39" x14ac:dyDescent="0.25">
      <c r="A1929" s="38" t="s">
        <v>2280</v>
      </c>
      <c r="B1929" s="42"/>
      <c r="C1929" s="42"/>
      <c r="D1929" s="42"/>
      <c r="E1929" s="41"/>
      <c r="F1929" s="41"/>
      <c r="G1929" s="41"/>
      <c r="H1929" s="41"/>
      <c r="I1929" s="41"/>
      <c r="J1929" s="42"/>
      <c r="K1929" s="41"/>
      <c r="L1929" s="41"/>
      <c r="M1929" s="127"/>
      <c r="N1929" s="41"/>
      <c r="O1929" s="41"/>
      <c r="P1929" s="41"/>
      <c r="Q1929" s="42"/>
      <c r="R1929" s="35"/>
      <c r="S1929" s="35"/>
      <c r="T1929" s="35"/>
      <c r="U1929" s="35"/>
      <c r="V1929" s="121"/>
      <c r="W1929" s="42"/>
      <c r="X1929" s="42"/>
      <c r="Y1929" s="42"/>
      <c r="Z1929" s="42"/>
      <c r="AA1929" s="42"/>
      <c r="AB1929" s="42"/>
      <c r="AC1929" s="42"/>
      <c r="AD1929" s="42"/>
      <c r="AE1929" s="42"/>
      <c r="AF1929" s="42"/>
      <c r="AG1929" s="42"/>
      <c r="AH1929" s="42"/>
      <c r="AI1929" s="42"/>
      <c r="AJ1929" s="42"/>
      <c r="AK1929" s="42"/>
      <c r="AL1929" s="42"/>
      <c r="AM1929" s="42"/>
    </row>
    <row r="1930" spans="1:39" x14ac:dyDescent="0.25">
      <c r="A1930" s="38" t="s">
        <v>2281</v>
      </c>
      <c r="B1930" s="42"/>
      <c r="C1930" s="42"/>
      <c r="D1930" s="42"/>
      <c r="E1930" s="41"/>
      <c r="F1930" s="41"/>
      <c r="G1930" s="41"/>
      <c r="H1930" s="41"/>
      <c r="I1930" s="41"/>
      <c r="J1930" s="42"/>
      <c r="K1930" s="41"/>
      <c r="L1930" s="41"/>
      <c r="M1930" s="127"/>
      <c r="N1930" s="41"/>
      <c r="O1930" s="41"/>
      <c r="P1930" s="41"/>
      <c r="Q1930" s="42"/>
      <c r="R1930" s="35"/>
      <c r="S1930" s="35"/>
      <c r="T1930" s="35"/>
      <c r="U1930" s="35"/>
      <c r="V1930" s="121"/>
      <c r="W1930" s="42"/>
      <c r="X1930" s="42"/>
      <c r="Y1930" s="42"/>
      <c r="Z1930" s="42"/>
      <c r="AA1930" s="42"/>
      <c r="AB1930" s="42"/>
      <c r="AC1930" s="42"/>
      <c r="AD1930" s="42"/>
      <c r="AE1930" s="42"/>
      <c r="AF1930" s="42"/>
      <c r="AG1930" s="42"/>
      <c r="AH1930" s="42"/>
      <c r="AI1930" s="42"/>
      <c r="AJ1930" s="42"/>
      <c r="AK1930" s="42"/>
      <c r="AL1930" s="42"/>
      <c r="AM1930" s="42"/>
    </row>
    <row r="1931" spans="1:39" x14ac:dyDescent="0.25">
      <c r="A1931" s="38" t="s">
        <v>2282</v>
      </c>
      <c r="B1931" s="42"/>
      <c r="C1931" s="42"/>
      <c r="D1931" s="42"/>
      <c r="E1931" s="41"/>
      <c r="F1931" s="41"/>
      <c r="G1931" s="41"/>
      <c r="H1931" s="41"/>
      <c r="I1931" s="41"/>
      <c r="J1931" s="42"/>
      <c r="K1931" s="41"/>
      <c r="L1931" s="41"/>
      <c r="M1931" s="127"/>
      <c r="N1931" s="41"/>
      <c r="O1931" s="41"/>
      <c r="P1931" s="41"/>
      <c r="Q1931" s="42"/>
      <c r="R1931" s="35"/>
      <c r="S1931" s="35"/>
      <c r="T1931" s="35"/>
      <c r="U1931" s="35"/>
      <c r="V1931" s="121"/>
      <c r="W1931" s="42"/>
      <c r="X1931" s="42"/>
      <c r="Y1931" s="42"/>
      <c r="Z1931" s="42"/>
      <c r="AA1931" s="42"/>
      <c r="AB1931" s="42"/>
      <c r="AC1931" s="42"/>
      <c r="AD1931" s="42"/>
      <c r="AE1931" s="42"/>
      <c r="AF1931" s="42"/>
      <c r="AG1931" s="42"/>
      <c r="AH1931" s="42"/>
      <c r="AI1931" s="42"/>
      <c r="AJ1931" s="42"/>
      <c r="AK1931" s="42"/>
      <c r="AL1931" s="42"/>
      <c r="AM1931" s="42"/>
    </row>
    <row r="1932" spans="1:39" x14ac:dyDescent="0.25">
      <c r="A1932" s="38" t="s">
        <v>2283</v>
      </c>
      <c r="B1932" s="42"/>
      <c r="C1932" s="42"/>
      <c r="D1932" s="42"/>
      <c r="E1932" s="41"/>
      <c r="F1932" s="41"/>
      <c r="G1932" s="41"/>
      <c r="H1932" s="41"/>
      <c r="I1932" s="41"/>
      <c r="J1932" s="42"/>
      <c r="K1932" s="41"/>
      <c r="L1932" s="41"/>
      <c r="M1932" s="127"/>
      <c r="N1932" s="41"/>
      <c r="O1932" s="41"/>
      <c r="P1932" s="41"/>
      <c r="Q1932" s="42"/>
      <c r="R1932" s="35"/>
      <c r="S1932" s="35"/>
      <c r="T1932" s="35"/>
      <c r="U1932" s="35"/>
      <c r="V1932" s="121"/>
      <c r="W1932" s="42"/>
      <c r="X1932" s="42"/>
      <c r="Y1932" s="42"/>
      <c r="Z1932" s="42"/>
      <c r="AA1932" s="42"/>
      <c r="AB1932" s="42"/>
      <c r="AC1932" s="42"/>
      <c r="AD1932" s="42"/>
      <c r="AE1932" s="42"/>
      <c r="AF1932" s="42"/>
      <c r="AG1932" s="42"/>
      <c r="AH1932" s="42"/>
      <c r="AI1932" s="42"/>
      <c r="AJ1932" s="42"/>
      <c r="AK1932" s="42"/>
      <c r="AL1932" s="42"/>
      <c r="AM1932" s="42"/>
    </row>
    <row r="1933" spans="1:39" x14ac:dyDescent="0.25">
      <c r="A1933" s="38" t="s">
        <v>2284</v>
      </c>
      <c r="B1933" s="42"/>
      <c r="C1933" s="42"/>
      <c r="D1933" s="42"/>
      <c r="E1933" s="41"/>
      <c r="F1933" s="41"/>
      <c r="G1933" s="41"/>
      <c r="H1933" s="41"/>
      <c r="I1933" s="41"/>
      <c r="J1933" s="42"/>
      <c r="K1933" s="41"/>
      <c r="L1933" s="41"/>
      <c r="M1933" s="127"/>
      <c r="N1933" s="41"/>
      <c r="O1933" s="41"/>
      <c r="P1933" s="41"/>
      <c r="Q1933" s="42"/>
      <c r="R1933" s="35"/>
      <c r="S1933" s="35"/>
      <c r="T1933" s="35"/>
      <c r="U1933" s="35"/>
      <c r="V1933" s="121"/>
      <c r="W1933" s="42"/>
      <c r="X1933" s="42"/>
      <c r="Y1933" s="42"/>
      <c r="Z1933" s="42"/>
      <c r="AA1933" s="42"/>
      <c r="AB1933" s="42"/>
      <c r="AC1933" s="42"/>
      <c r="AD1933" s="42"/>
      <c r="AE1933" s="42"/>
      <c r="AF1933" s="42"/>
      <c r="AG1933" s="42"/>
      <c r="AH1933" s="42"/>
      <c r="AI1933" s="42"/>
      <c r="AJ1933" s="42"/>
      <c r="AK1933" s="42"/>
      <c r="AL1933" s="42"/>
      <c r="AM1933" s="42"/>
    </row>
    <row r="1934" spans="1:39" x14ac:dyDescent="0.25">
      <c r="A1934" s="38" t="s">
        <v>2285</v>
      </c>
      <c r="B1934" s="42"/>
      <c r="C1934" s="42"/>
      <c r="D1934" s="42"/>
      <c r="E1934" s="41"/>
      <c r="F1934" s="41"/>
      <c r="G1934" s="41"/>
      <c r="H1934" s="41"/>
      <c r="I1934" s="41"/>
      <c r="J1934" s="42"/>
      <c r="K1934" s="41"/>
      <c r="L1934" s="41"/>
      <c r="M1934" s="127"/>
      <c r="N1934" s="41"/>
      <c r="O1934" s="41"/>
      <c r="P1934" s="41"/>
      <c r="Q1934" s="42"/>
      <c r="R1934" s="35"/>
      <c r="S1934" s="35"/>
      <c r="T1934" s="35"/>
      <c r="U1934" s="35"/>
      <c r="V1934" s="121"/>
      <c r="W1934" s="42"/>
      <c r="X1934" s="42"/>
      <c r="Y1934" s="42"/>
      <c r="Z1934" s="42"/>
      <c r="AA1934" s="42"/>
      <c r="AB1934" s="42"/>
      <c r="AC1934" s="42"/>
      <c r="AD1934" s="42"/>
      <c r="AE1934" s="42"/>
      <c r="AF1934" s="42"/>
      <c r="AG1934" s="42"/>
      <c r="AH1934" s="42"/>
      <c r="AI1934" s="42"/>
      <c r="AJ1934" s="42"/>
      <c r="AK1934" s="42"/>
      <c r="AL1934" s="42"/>
      <c r="AM1934" s="42"/>
    </row>
    <row r="1935" spans="1:39" x14ac:dyDescent="0.25">
      <c r="A1935" s="38" t="s">
        <v>2286</v>
      </c>
      <c r="B1935" s="42"/>
      <c r="C1935" s="42"/>
      <c r="D1935" s="42"/>
      <c r="E1935" s="41"/>
      <c r="F1935" s="41"/>
      <c r="G1935" s="41"/>
      <c r="H1935" s="41"/>
      <c r="I1935" s="41"/>
      <c r="J1935" s="42"/>
      <c r="K1935" s="41"/>
      <c r="L1935" s="41"/>
      <c r="M1935" s="127"/>
      <c r="N1935" s="41"/>
      <c r="O1935" s="41"/>
      <c r="P1935" s="41"/>
      <c r="Q1935" s="42"/>
      <c r="R1935" s="35"/>
      <c r="S1935" s="35"/>
      <c r="T1935" s="35"/>
      <c r="U1935" s="35"/>
      <c r="V1935" s="121"/>
      <c r="W1935" s="42"/>
      <c r="X1935" s="42"/>
      <c r="Y1935" s="42"/>
      <c r="Z1935" s="42"/>
      <c r="AA1935" s="42"/>
      <c r="AB1935" s="42"/>
      <c r="AC1935" s="42"/>
      <c r="AD1935" s="42"/>
      <c r="AE1935" s="42"/>
      <c r="AF1935" s="42"/>
      <c r="AG1935" s="42"/>
      <c r="AH1935" s="42"/>
      <c r="AI1935" s="42"/>
      <c r="AJ1935" s="42"/>
      <c r="AK1935" s="42"/>
      <c r="AL1935" s="42"/>
      <c r="AM1935" s="42"/>
    </row>
    <row r="1936" spans="1:39" x14ac:dyDescent="0.25">
      <c r="A1936" s="38" t="s">
        <v>2287</v>
      </c>
      <c r="B1936" s="42"/>
      <c r="C1936" s="42"/>
      <c r="D1936" s="42"/>
      <c r="E1936" s="41"/>
      <c r="F1936" s="41"/>
      <c r="G1936" s="41"/>
      <c r="H1936" s="41"/>
      <c r="I1936" s="41"/>
      <c r="J1936" s="42"/>
      <c r="K1936" s="41"/>
      <c r="L1936" s="41"/>
      <c r="M1936" s="127"/>
      <c r="N1936" s="41"/>
      <c r="O1936" s="41"/>
      <c r="P1936" s="41"/>
      <c r="Q1936" s="42"/>
      <c r="R1936" s="35"/>
      <c r="S1936" s="35"/>
      <c r="T1936" s="35"/>
      <c r="U1936" s="35"/>
      <c r="V1936" s="121"/>
      <c r="W1936" s="42"/>
      <c r="X1936" s="42"/>
      <c r="Y1936" s="42"/>
      <c r="Z1936" s="42"/>
      <c r="AA1936" s="42"/>
      <c r="AB1936" s="42"/>
      <c r="AC1936" s="42"/>
      <c r="AD1936" s="42"/>
      <c r="AE1936" s="42"/>
      <c r="AF1936" s="42"/>
      <c r="AG1936" s="42"/>
      <c r="AH1936" s="42"/>
      <c r="AI1936" s="42"/>
      <c r="AJ1936" s="42"/>
      <c r="AK1936" s="42"/>
      <c r="AL1936" s="42"/>
      <c r="AM1936" s="42"/>
    </row>
    <row r="1937" spans="1:39" x14ac:dyDescent="0.25">
      <c r="A1937" s="38" t="s">
        <v>2288</v>
      </c>
      <c r="B1937" s="42"/>
      <c r="C1937" s="42"/>
      <c r="D1937" s="42"/>
      <c r="E1937" s="41"/>
      <c r="F1937" s="41"/>
      <c r="G1937" s="41"/>
      <c r="H1937" s="41"/>
      <c r="I1937" s="41"/>
      <c r="J1937" s="42"/>
      <c r="K1937" s="41"/>
      <c r="L1937" s="41"/>
      <c r="M1937" s="127"/>
      <c r="N1937" s="41"/>
      <c r="O1937" s="41"/>
      <c r="P1937" s="41"/>
      <c r="Q1937" s="42"/>
      <c r="R1937" s="35"/>
      <c r="S1937" s="35"/>
      <c r="T1937" s="35"/>
      <c r="U1937" s="35"/>
      <c r="V1937" s="121"/>
      <c r="W1937" s="42"/>
      <c r="X1937" s="42"/>
      <c r="Y1937" s="42"/>
      <c r="Z1937" s="42"/>
      <c r="AA1937" s="42"/>
      <c r="AB1937" s="42"/>
      <c r="AC1937" s="42"/>
      <c r="AD1937" s="42"/>
      <c r="AE1937" s="42"/>
      <c r="AF1937" s="42"/>
      <c r="AG1937" s="42"/>
      <c r="AH1937" s="42"/>
      <c r="AI1937" s="42"/>
      <c r="AJ1937" s="42"/>
      <c r="AK1937" s="42"/>
      <c r="AL1937" s="42"/>
      <c r="AM1937" s="42"/>
    </row>
    <row r="1938" spans="1:39" x14ac:dyDescent="0.25">
      <c r="A1938" s="38" t="s">
        <v>2289</v>
      </c>
      <c r="B1938" s="42"/>
      <c r="C1938" s="42"/>
      <c r="D1938" s="42"/>
      <c r="E1938" s="41"/>
      <c r="F1938" s="41"/>
      <c r="G1938" s="41"/>
      <c r="H1938" s="41"/>
      <c r="I1938" s="41"/>
      <c r="J1938" s="42"/>
      <c r="K1938" s="41"/>
      <c r="L1938" s="41"/>
      <c r="M1938" s="127"/>
      <c r="N1938" s="41"/>
      <c r="O1938" s="41"/>
      <c r="P1938" s="41"/>
      <c r="Q1938" s="42"/>
      <c r="R1938" s="35"/>
      <c r="S1938" s="35"/>
      <c r="T1938" s="35"/>
      <c r="U1938" s="35"/>
      <c r="V1938" s="121"/>
      <c r="W1938" s="42"/>
      <c r="X1938" s="42"/>
      <c r="Y1938" s="42"/>
      <c r="Z1938" s="42"/>
      <c r="AA1938" s="42"/>
      <c r="AB1938" s="42"/>
      <c r="AC1938" s="42"/>
      <c r="AD1938" s="42"/>
      <c r="AE1938" s="42"/>
      <c r="AF1938" s="42"/>
      <c r="AG1938" s="42"/>
      <c r="AH1938" s="42"/>
      <c r="AI1938" s="42"/>
      <c r="AJ1938" s="42"/>
      <c r="AK1938" s="42"/>
      <c r="AL1938" s="42"/>
      <c r="AM1938" s="42"/>
    </row>
    <row r="1939" spans="1:39" x14ac:dyDescent="0.25">
      <c r="A1939" s="38" t="s">
        <v>2290</v>
      </c>
      <c r="B1939" s="42"/>
      <c r="C1939" s="42"/>
      <c r="D1939" s="42"/>
      <c r="E1939" s="41"/>
      <c r="F1939" s="41"/>
      <c r="G1939" s="41"/>
      <c r="H1939" s="41"/>
      <c r="I1939" s="41"/>
      <c r="J1939" s="42"/>
      <c r="K1939" s="41"/>
      <c r="L1939" s="41"/>
      <c r="M1939" s="127"/>
      <c r="N1939" s="41"/>
      <c r="O1939" s="41"/>
      <c r="P1939" s="41"/>
      <c r="Q1939" s="42"/>
      <c r="R1939" s="35"/>
      <c r="S1939" s="35"/>
      <c r="T1939" s="35"/>
      <c r="U1939" s="35"/>
      <c r="V1939" s="121"/>
      <c r="W1939" s="42"/>
      <c r="X1939" s="42"/>
      <c r="Y1939" s="42"/>
      <c r="Z1939" s="42"/>
      <c r="AA1939" s="42"/>
      <c r="AB1939" s="42"/>
      <c r="AC1939" s="42"/>
      <c r="AD1939" s="42"/>
      <c r="AE1939" s="42"/>
      <c r="AF1939" s="42"/>
      <c r="AG1939" s="42"/>
      <c r="AH1939" s="42"/>
      <c r="AI1939" s="42"/>
      <c r="AJ1939" s="42"/>
      <c r="AK1939" s="42"/>
      <c r="AL1939" s="42"/>
      <c r="AM1939" s="42"/>
    </row>
    <row r="1940" spans="1:39" x14ac:dyDescent="0.25">
      <c r="A1940" s="38" t="s">
        <v>2291</v>
      </c>
      <c r="B1940" s="42"/>
      <c r="C1940" s="42"/>
      <c r="D1940" s="42"/>
      <c r="E1940" s="41"/>
      <c r="F1940" s="41"/>
      <c r="G1940" s="41"/>
      <c r="H1940" s="41"/>
      <c r="I1940" s="41"/>
      <c r="J1940" s="42"/>
      <c r="K1940" s="41"/>
      <c r="L1940" s="41"/>
      <c r="M1940" s="127"/>
      <c r="N1940" s="41"/>
      <c r="O1940" s="41"/>
      <c r="P1940" s="41"/>
      <c r="Q1940" s="42"/>
      <c r="R1940" s="35"/>
      <c r="S1940" s="35"/>
      <c r="T1940" s="35"/>
      <c r="U1940" s="35"/>
      <c r="V1940" s="121"/>
      <c r="W1940" s="42"/>
      <c r="X1940" s="42"/>
      <c r="Y1940" s="42"/>
      <c r="Z1940" s="42"/>
      <c r="AA1940" s="42"/>
      <c r="AB1940" s="42"/>
      <c r="AC1940" s="42"/>
      <c r="AD1940" s="42"/>
      <c r="AE1940" s="42"/>
      <c r="AF1940" s="42"/>
      <c r="AG1940" s="42"/>
      <c r="AH1940" s="42"/>
      <c r="AI1940" s="42"/>
      <c r="AJ1940" s="42"/>
      <c r="AK1940" s="42"/>
      <c r="AL1940" s="42"/>
      <c r="AM1940" s="42"/>
    </row>
    <row r="1941" spans="1:39" x14ac:dyDescent="0.25">
      <c r="A1941" s="38" t="s">
        <v>2292</v>
      </c>
      <c r="B1941" s="42"/>
      <c r="C1941" s="42"/>
      <c r="D1941" s="42"/>
      <c r="E1941" s="41"/>
      <c r="F1941" s="41"/>
      <c r="G1941" s="41"/>
      <c r="H1941" s="41"/>
      <c r="I1941" s="41"/>
      <c r="J1941" s="42"/>
      <c r="K1941" s="41"/>
      <c r="L1941" s="41"/>
      <c r="M1941" s="127"/>
      <c r="N1941" s="41"/>
      <c r="O1941" s="41"/>
      <c r="P1941" s="41"/>
      <c r="Q1941" s="42"/>
      <c r="R1941" s="35"/>
      <c r="S1941" s="35"/>
      <c r="T1941" s="35"/>
      <c r="U1941" s="35"/>
      <c r="V1941" s="121"/>
      <c r="W1941" s="42"/>
      <c r="X1941" s="42"/>
      <c r="Y1941" s="42"/>
      <c r="Z1941" s="42"/>
      <c r="AA1941" s="42"/>
      <c r="AB1941" s="42"/>
      <c r="AC1941" s="42"/>
      <c r="AD1941" s="42"/>
      <c r="AE1941" s="42"/>
      <c r="AF1941" s="42"/>
      <c r="AG1941" s="42"/>
      <c r="AH1941" s="42"/>
      <c r="AI1941" s="42"/>
      <c r="AJ1941" s="42"/>
      <c r="AK1941" s="42"/>
      <c r="AL1941" s="42"/>
      <c r="AM1941" s="42"/>
    </row>
    <row r="1942" spans="1:39" x14ac:dyDescent="0.25">
      <c r="A1942" s="38" t="s">
        <v>2293</v>
      </c>
      <c r="B1942" s="42"/>
      <c r="C1942" s="42"/>
      <c r="D1942" s="42"/>
      <c r="E1942" s="41"/>
      <c r="F1942" s="41"/>
      <c r="G1942" s="41"/>
      <c r="H1942" s="41"/>
      <c r="I1942" s="41"/>
      <c r="J1942" s="42"/>
      <c r="K1942" s="41"/>
      <c r="L1942" s="41"/>
      <c r="M1942" s="127"/>
      <c r="N1942" s="41"/>
      <c r="O1942" s="41"/>
      <c r="P1942" s="41"/>
      <c r="Q1942" s="42"/>
      <c r="R1942" s="35"/>
      <c r="S1942" s="35"/>
      <c r="T1942" s="35"/>
      <c r="U1942" s="35"/>
      <c r="V1942" s="121"/>
      <c r="W1942" s="42"/>
      <c r="X1942" s="42"/>
      <c r="Y1942" s="42"/>
      <c r="Z1942" s="42"/>
      <c r="AA1942" s="42"/>
      <c r="AB1942" s="42"/>
      <c r="AC1942" s="42"/>
      <c r="AD1942" s="42"/>
      <c r="AE1942" s="42"/>
      <c r="AF1942" s="42"/>
      <c r="AG1942" s="42"/>
      <c r="AH1942" s="42"/>
      <c r="AI1942" s="42"/>
      <c r="AJ1942" s="42"/>
      <c r="AK1942" s="42"/>
      <c r="AL1942" s="42"/>
      <c r="AM1942" s="42"/>
    </row>
    <row r="1943" spans="1:39" x14ac:dyDescent="0.25">
      <c r="A1943" s="38" t="s">
        <v>2294</v>
      </c>
      <c r="B1943" s="42"/>
      <c r="C1943" s="42"/>
      <c r="D1943" s="42"/>
      <c r="E1943" s="41"/>
      <c r="F1943" s="41"/>
      <c r="G1943" s="41"/>
      <c r="H1943" s="41"/>
      <c r="I1943" s="41"/>
      <c r="J1943" s="42"/>
      <c r="K1943" s="41"/>
      <c r="L1943" s="41"/>
      <c r="M1943" s="127"/>
      <c r="N1943" s="41"/>
      <c r="O1943" s="41"/>
      <c r="P1943" s="41"/>
      <c r="Q1943" s="42"/>
      <c r="R1943" s="35"/>
      <c r="S1943" s="35"/>
      <c r="T1943" s="35"/>
      <c r="U1943" s="35"/>
      <c r="V1943" s="121"/>
      <c r="W1943" s="42"/>
      <c r="X1943" s="42"/>
      <c r="Y1943" s="42"/>
      <c r="Z1943" s="42"/>
      <c r="AA1943" s="42"/>
      <c r="AB1943" s="42"/>
      <c r="AC1943" s="42"/>
      <c r="AD1943" s="42"/>
      <c r="AE1943" s="42"/>
      <c r="AF1943" s="42"/>
      <c r="AG1943" s="42"/>
      <c r="AH1943" s="42"/>
      <c r="AI1943" s="42"/>
      <c r="AJ1943" s="42"/>
      <c r="AK1943" s="42"/>
      <c r="AL1943" s="42"/>
      <c r="AM1943" s="42"/>
    </row>
    <row r="1944" spans="1:39" x14ac:dyDescent="0.25">
      <c r="A1944" s="38" t="s">
        <v>2295</v>
      </c>
      <c r="B1944" s="42"/>
      <c r="C1944" s="42"/>
      <c r="D1944" s="42"/>
      <c r="E1944" s="41"/>
      <c r="F1944" s="41"/>
      <c r="G1944" s="41"/>
      <c r="H1944" s="41"/>
      <c r="I1944" s="41"/>
      <c r="J1944" s="42"/>
      <c r="K1944" s="41"/>
      <c r="L1944" s="41"/>
      <c r="M1944" s="127"/>
      <c r="N1944" s="41"/>
      <c r="O1944" s="41"/>
      <c r="P1944" s="41"/>
      <c r="Q1944" s="42"/>
      <c r="R1944" s="35"/>
      <c r="S1944" s="35"/>
      <c r="T1944" s="35"/>
      <c r="U1944" s="35"/>
      <c r="V1944" s="121"/>
      <c r="W1944" s="42"/>
      <c r="X1944" s="42"/>
      <c r="Y1944" s="42"/>
      <c r="Z1944" s="42"/>
      <c r="AA1944" s="42"/>
      <c r="AB1944" s="42"/>
      <c r="AC1944" s="42"/>
      <c r="AD1944" s="42"/>
      <c r="AE1944" s="42"/>
      <c r="AF1944" s="42"/>
      <c r="AG1944" s="42"/>
      <c r="AH1944" s="42"/>
      <c r="AI1944" s="42"/>
      <c r="AJ1944" s="42"/>
      <c r="AK1944" s="42"/>
      <c r="AL1944" s="42"/>
      <c r="AM1944" s="42"/>
    </row>
    <row r="1945" spans="1:39" x14ac:dyDescent="0.25">
      <c r="A1945" s="38" t="s">
        <v>2296</v>
      </c>
      <c r="B1945" s="42"/>
      <c r="C1945" s="42"/>
      <c r="D1945" s="42"/>
      <c r="E1945" s="41"/>
      <c r="F1945" s="41"/>
      <c r="G1945" s="41"/>
      <c r="H1945" s="41"/>
      <c r="I1945" s="41"/>
      <c r="J1945" s="42"/>
      <c r="K1945" s="41"/>
      <c r="L1945" s="41"/>
      <c r="M1945" s="127"/>
      <c r="N1945" s="41"/>
      <c r="O1945" s="41"/>
      <c r="P1945" s="41"/>
      <c r="Q1945" s="42"/>
      <c r="R1945" s="35"/>
      <c r="S1945" s="35"/>
      <c r="T1945" s="35"/>
      <c r="U1945" s="35"/>
      <c r="V1945" s="121"/>
      <c r="W1945" s="42"/>
      <c r="X1945" s="42"/>
      <c r="Y1945" s="42"/>
      <c r="Z1945" s="42"/>
      <c r="AA1945" s="42"/>
      <c r="AB1945" s="42"/>
      <c r="AC1945" s="42"/>
      <c r="AD1945" s="42"/>
      <c r="AE1945" s="42"/>
      <c r="AF1945" s="42"/>
      <c r="AG1945" s="42"/>
      <c r="AH1945" s="42"/>
      <c r="AI1945" s="42"/>
      <c r="AJ1945" s="42"/>
      <c r="AK1945" s="42"/>
      <c r="AL1945" s="42"/>
      <c r="AM1945" s="42"/>
    </row>
    <row r="1946" spans="1:39" x14ac:dyDescent="0.25">
      <c r="A1946" s="38" t="s">
        <v>2297</v>
      </c>
      <c r="B1946" s="42"/>
      <c r="C1946" s="42"/>
      <c r="D1946" s="42"/>
      <c r="E1946" s="41"/>
      <c r="F1946" s="41"/>
      <c r="G1946" s="41"/>
      <c r="H1946" s="41"/>
      <c r="I1946" s="41"/>
      <c r="J1946" s="42"/>
      <c r="K1946" s="41"/>
      <c r="L1946" s="41"/>
      <c r="M1946" s="127"/>
      <c r="N1946" s="41"/>
      <c r="O1946" s="41"/>
      <c r="P1946" s="41"/>
      <c r="Q1946" s="42"/>
      <c r="R1946" s="35"/>
      <c r="S1946" s="35"/>
      <c r="T1946" s="35"/>
      <c r="U1946" s="35"/>
      <c r="V1946" s="121"/>
      <c r="W1946" s="42"/>
      <c r="X1946" s="42"/>
      <c r="Y1946" s="42"/>
      <c r="Z1946" s="42"/>
      <c r="AA1946" s="42"/>
      <c r="AB1946" s="42"/>
      <c r="AC1946" s="42"/>
      <c r="AD1946" s="42"/>
      <c r="AE1946" s="42"/>
      <c r="AF1946" s="42"/>
      <c r="AG1946" s="42"/>
      <c r="AH1946" s="42"/>
      <c r="AI1946" s="42"/>
      <c r="AJ1946" s="42"/>
      <c r="AK1946" s="42"/>
      <c r="AL1946" s="42"/>
      <c r="AM1946" s="42"/>
    </row>
    <row r="1947" spans="1:39" x14ac:dyDescent="0.25">
      <c r="A1947" s="38" t="s">
        <v>2298</v>
      </c>
      <c r="B1947" s="42"/>
      <c r="C1947" s="42"/>
      <c r="D1947" s="42"/>
      <c r="E1947" s="41"/>
      <c r="F1947" s="41"/>
      <c r="G1947" s="41"/>
      <c r="H1947" s="41"/>
      <c r="I1947" s="41"/>
      <c r="J1947" s="42"/>
      <c r="K1947" s="41"/>
      <c r="L1947" s="41"/>
      <c r="M1947" s="127"/>
      <c r="N1947" s="41"/>
      <c r="O1947" s="41"/>
      <c r="P1947" s="41"/>
      <c r="Q1947" s="42"/>
      <c r="R1947" s="35"/>
      <c r="S1947" s="35"/>
      <c r="T1947" s="35"/>
      <c r="U1947" s="35"/>
      <c r="V1947" s="121"/>
      <c r="W1947" s="42"/>
      <c r="X1947" s="42"/>
      <c r="Y1947" s="42"/>
      <c r="Z1947" s="42"/>
      <c r="AA1947" s="42"/>
      <c r="AB1947" s="42"/>
      <c r="AC1947" s="42"/>
      <c r="AD1947" s="42"/>
      <c r="AE1947" s="42"/>
      <c r="AF1947" s="42"/>
      <c r="AG1947" s="42"/>
      <c r="AH1947" s="42"/>
      <c r="AI1947" s="42"/>
      <c r="AJ1947" s="42"/>
      <c r="AK1947" s="42"/>
      <c r="AL1947" s="42"/>
      <c r="AM1947" s="42"/>
    </row>
    <row r="1948" spans="1:39" x14ac:dyDescent="0.25">
      <c r="A1948" s="38" t="s">
        <v>2299</v>
      </c>
      <c r="B1948" s="42"/>
      <c r="C1948" s="42"/>
      <c r="D1948" s="42"/>
      <c r="E1948" s="41"/>
      <c r="F1948" s="41"/>
      <c r="G1948" s="41"/>
      <c r="H1948" s="41"/>
      <c r="I1948" s="41"/>
      <c r="J1948" s="42"/>
      <c r="K1948" s="41"/>
      <c r="L1948" s="41"/>
      <c r="M1948" s="127"/>
      <c r="N1948" s="41"/>
      <c r="O1948" s="41"/>
      <c r="P1948" s="41"/>
      <c r="Q1948" s="42"/>
      <c r="R1948" s="35"/>
      <c r="S1948" s="35"/>
      <c r="T1948" s="35"/>
      <c r="U1948" s="35"/>
      <c r="V1948" s="121"/>
      <c r="W1948" s="42"/>
      <c r="X1948" s="42"/>
      <c r="Y1948" s="42"/>
      <c r="Z1948" s="42"/>
      <c r="AA1948" s="42"/>
      <c r="AB1948" s="42"/>
      <c r="AC1948" s="42"/>
      <c r="AD1948" s="42"/>
      <c r="AE1948" s="42"/>
      <c r="AF1948" s="42"/>
      <c r="AG1948" s="42"/>
      <c r="AH1948" s="42"/>
      <c r="AI1948" s="42"/>
      <c r="AJ1948" s="42"/>
      <c r="AK1948" s="42"/>
      <c r="AL1948" s="42"/>
      <c r="AM1948" s="42"/>
    </row>
    <row r="1949" spans="1:39" x14ac:dyDescent="0.25">
      <c r="A1949" s="38" t="s">
        <v>2300</v>
      </c>
      <c r="B1949" s="42"/>
      <c r="C1949" s="42"/>
      <c r="D1949" s="42"/>
      <c r="E1949" s="41"/>
      <c r="F1949" s="41"/>
      <c r="G1949" s="41"/>
      <c r="H1949" s="41"/>
      <c r="I1949" s="41"/>
      <c r="J1949" s="42"/>
      <c r="K1949" s="41"/>
      <c r="L1949" s="41"/>
      <c r="M1949" s="127"/>
      <c r="N1949" s="41"/>
      <c r="O1949" s="41"/>
      <c r="P1949" s="41"/>
      <c r="Q1949" s="42"/>
      <c r="R1949" s="35"/>
      <c r="S1949" s="35"/>
      <c r="T1949" s="35"/>
      <c r="U1949" s="35"/>
      <c r="V1949" s="121"/>
      <c r="W1949" s="42"/>
      <c r="X1949" s="42"/>
      <c r="Y1949" s="42"/>
      <c r="Z1949" s="42"/>
      <c r="AA1949" s="42"/>
      <c r="AB1949" s="42"/>
      <c r="AC1949" s="42"/>
      <c r="AD1949" s="42"/>
      <c r="AE1949" s="42"/>
      <c r="AF1949" s="42"/>
      <c r="AG1949" s="42"/>
      <c r="AH1949" s="42"/>
      <c r="AI1949" s="42"/>
      <c r="AJ1949" s="42"/>
      <c r="AK1949" s="42"/>
      <c r="AL1949" s="42"/>
      <c r="AM1949" s="42"/>
    </row>
    <row r="1950" spans="1:39" x14ac:dyDescent="0.25">
      <c r="A1950" s="38" t="s">
        <v>2301</v>
      </c>
      <c r="B1950" s="42"/>
      <c r="C1950" s="42"/>
      <c r="D1950" s="42"/>
      <c r="E1950" s="41"/>
      <c r="F1950" s="41"/>
      <c r="G1950" s="41"/>
      <c r="H1950" s="41"/>
      <c r="I1950" s="41"/>
      <c r="J1950" s="42"/>
      <c r="K1950" s="41"/>
      <c r="L1950" s="41"/>
      <c r="M1950" s="127"/>
      <c r="N1950" s="41"/>
      <c r="O1950" s="41"/>
      <c r="P1950" s="41"/>
      <c r="Q1950" s="42"/>
      <c r="R1950" s="35"/>
      <c r="S1950" s="35"/>
      <c r="T1950" s="35"/>
      <c r="U1950" s="35"/>
      <c r="V1950" s="121"/>
      <c r="W1950" s="42"/>
      <c r="X1950" s="42"/>
      <c r="Y1950" s="42"/>
      <c r="Z1950" s="42"/>
      <c r="AA1950" s="42"/>
      <c r="AB1950" s="42"/>
      <c r="AC1950" s="42"/>
      <c r="AD1950" s="42"/>
      <c r="AE1950" s="42"/>
      <c r="AF1950" s="42"/>
      <c r="AG1950" s="42"/>
      <c r="AH1950" s="42"/>
      <c r="AI1950" s="42"/>
      <c r="AJ1950" s="42"/>
      <c r="AK1950" s="42"/>
      <c r="AL1950" s="42"/>
      <c r="AM1950" s="42"/>
    </row>
    <row r="1951" spans="1:39" x14ac:dyDescent="0.25">
      <c r="A1951" s="38" t="s">
        <v>2302</v>
      </c>
      <c r="B1951" s="42"/>
      <c r="C1951" s="42"/>
      <c r="D1951" s="42"/>
      <c r="E1951" s="41"/>
      <c r="F1951" s="41"/>
      <c r="G1951" s="41"/>
      <c r="H1951" s="41"/>
      <c r="I1951" s="41"/>
      <c r="J1951" s="42"/>
      <c r="K1951" s="41"/>
      <c r="L1951" s="41"/>
      <c r="M1951" s="127"/>
      <c r="N1951" s="41"/>
      <c r="O1951" s="41"/>
      <c r="P1951" s="41"/>
      <c r="Q1951" s="42"/>
      <c r="R1951" s="35"/>
      <c r="S1951" s="35"/>
      <c r="T1951" s="35"/>
      <c r="U1951" s="35"/>
      <c r="V1951" s="121"/>
      <c r="W1951" s="42"/>
      <c r="X1951" s="42"/>
      <c r="Y1951" s="42"/>
      <c r="Z1951" s="42"/>
      <c r="AA1951" s="42"/>
      <c r="AB1951" s="42"/>
      <c r="AC1951" s="42"/>
      <c r="AD1951" s="42"/>
      <c r="AE1951" s="42"/>
      <c r="AF1951" s="42"/>
      <c r="AG1951" s="42"/>
      <c r="AH1951" s="42"/>
      <c r="AI1951" s="42"/>
      <c r="AJ1951" s="42"/>
      <c r="AK1951" s="42"/>
      <c r="AL1951" s="42"/>
      <c r="AM1951" s="42"/>
    </row>
    <row r="1952" spans="1:39" x14ac:dyDescent="0.25">
      <c r="A1952" s="38" t="s">
        <v>2303</v>
      </c>
      <c r="B1952" s="42"/>
      <c r="C1952" s="42"/>
      <c r="D1952" s="42"/>
      <c r="E1952" s="41"/>
      <c r="F1952" s="41"/>
      <c r="G1952" s="41"/>
      <c r="H1952" s="41"/>
      <c r="I1952" s="41"/>
      <c r="J1952" s="42"/>
      <c r="K1952" s="41"/>
      <c r="L1952" s="41"/>
      <c r="M1952" s="127"/>
      <c r="N1952" s="41"/>
      <c r="O1952" s="41"/>
      <c r="P1952" s="41"/>
      <c r="Q1952" s="42"/>
      <c r="R1952" s="35"/>
      <c r="S1952" s="35"/>
      <c r="T1952" s="35"/>
      <c r="U1952" s="35"/>
      <c r="V1952" s="121"/>
      <c r="W1952" s="42"/>
      <c r="X1952" s="42"/>
      <c r="Y1952" s="42"/>
      <c r="Z1952" s="42"/>
      <c r="AA1952" s="42"/>
      <c r="AB1952" s="42"/>
      <c r="AC1952" s="42"/>
      <c r="AD1952" s="42"/>
      <c r="AE1952" s="42"/>
      <c r="AF1952" s="42"/>
      <c r="AG1952" s="42"/>
      <c r="AH1952" s="42"/>
      <c r="AI1952" s="42"/>
      <c r="AJ1952" s="42"/>
      <c r="AK1952" s="42"/>
      <c r="AL1952" s="42"/>
      <c r="AM1952" s="42"/>
    </row>
    <row r="1953" spans="1:39" x14ac:dyDescent="0.25">
      <c r="A1953" s="38" t="s">
        <v>2304</v>
      </c>
      <c r="B1953" s="42"/>
      <c r="C1953" s="42"/>
      <c r="D1953" s="42"/>
      <c r="E1953" s="41"/>
      <c r="F1953" s="41"/>
      <c r="G1953" s="41"/>
      <c r="H1953" s="41"/>
      <c r="I1953" s="41"/>
      <c r="J1953" s="42"/>
      <c r="K1953" s="41"/>
      <c r="L1953" s="41"/>
      <c r="M1953" s="127"/>
      <c r="N1953" s="41"/>
      <c r="O1953" s="41"/>
      <c r="P1953" s="41"/>
      <c r="Q1953" s="42"/>
      <c r="R1953" s="35"/>
      <c r="S1953" s="35"/>
      <c r="T1953" s="35"/>
      <c r="U1953" s="35"/>
      <c r="V1953" s="121"/>
      <c r="W1953" s="42"/>
      <c r="X1953" s="42"/>
      <c r="Y1953" s="42"/>
      <c r="Z1953" s="42"/>
      <c r="AA1953" s="42"/>
      <c r="AB1953" s="42"/>
      <c r="AC1953" s="42"/>
      <c r="AD1953" s="42"/>
      <c r="AE1953" s="42"/>
      <c r="AF1953" s="42"/>
      <c r="AG1953" s="42"/>
      <c r="AH1953" s="42"/>
      <c r="AI1953" s="42"/>
      <c r="AJ1953" s="42"/>
      <c r="AK1953" s="42"/>
      <c r="AL1953" s="42"/>
      <c r="AM1953" s="42"/>
    </row>
    <row r="1954" spans="1:39" x14ac:dyDescent="0.25">
      <c r="A1954" s="38" t="s">
        <v>2305</v>
      </c>
      <c r="B1954" s="42"/>
      <c r="C1954" s="42"/>
      <c r="D1954" s="42"/>
      <c r="E1954" s="41"/>
      <c r="F1954" s="41"/>
      <c r="G1954" s="41"/>
      <c r="H1954" s="41"/>
      <c r="I1954" s="41"/>
      <c r="J1954" s="42"/>
      <c r="K1954" s="41"/>
      <c r="L1954" s="41"/>
      <c r="M1954" s="127"/>
      <c r="N1954" s="41"/>
      <c r="O1954" s="41"/>
      <c r="P1954" s="41"/>
      <c r="Q1954" s="42"/>
      <c r="R1954" s="35"/>
      <c r="S1954" s="35"/>
      <c r="T1954" s="35"/>
      <c r="U1954" s="35"/>
      <c r="V1954" s="121"/>
      <c r="W1954" s="42"/>
      <c r="X1954" s="42"/>
      <c r="Y1954" s="42"/>
      <c r="Z1954" s="42"/>
      <c r="AA1954" s="42"/>
      <c r="AB1954" s="42"/>
      <c r="AC1954" s="42"/>
      <c r="AD1954" s="42"/>
      <c r="AE1954" s="42"/>
      <c r="AF1954" s="42"/>
      <c r="AG1954" s="42"/>
      <c r="AH1954" s="42"/>
      <c r="AI1954" s="42"/>
      <c r="AJ1954" s="42"/>
      <c r="AK1954" s="42"/>
      <c r="AL1954" s="42"/>
      <c r="AM1954" s="42"/>
    </row>
    <row r="1955" spans="1:39" x14ac:dyDescent="0.25">
      <c r="A1955" s="38" t="s">
        <v>2306</v>
      </c>
      <c r="B1955" s="42"/>
      <c r="C1955" s="42"/>
      <c r="D1955" s="42"/>
      <c r="E1955" s="41"/>
      <c r="F1955" s="41"/>
      <c r="G1955" s="41"/>
      <c r="H1955" s="41"/>
      <c r="I1955" s="41"/>
      <c r="J1955" s="42"/>
      <c r="K1955" s="41"/>
      <c r="L1955" s="41"/>
      <c r="M1955" s="127"/>
      <c r="N1955" s="41"/>
      <c r="O1955" s="41"/>
      <c r="P1955" s="41"/>
      <c r="Q1955" s="42"/>
      <c r="R1955" s="35"/>
      <c r="S1955" s="35"/>
      <c r="T1955" s="35"/>
      <c r="U1955" s="35"/>
      <c r="V1955" s="121"/>
      <c r="W1955" s="42"/>
      <c r="X1955" s="42"/>
      <c r="Y1955" s="42"/>
      <c r="Z1955" s="42"/>
      <c r="AA1955" s="42"/>
      <c r="AB1955" s="42"/>
      <c r="AC1955" s="42"/>
      <c r="AD1955" s="42"/>
      <c r="AE1955" s="42"/>
      <c r="AF1955" s="42"/>
      <c r="AG1955" s="42"/>
      <c r="AH1955" s="42"/>
      <c r="AI1955" s="42"/>
      <c r="AJ1955" s="42"/>
      <c r="AK1955" s="42"/>
      <c r="AL1955" s="42"/>
      <c r="AM1955" s="42"/>
    </row>
    <row r="1956" spans="1:39" x14ac:dyDescent="0.25">
      <c r="A1956" s="38" t="s">
        <v>2307</v>
      </c>
      <c r="B1956" s="42"/>
      <c r="C1956" s="42"/>
      <c r="D1956" s="42"/>
      <c r="E1956" s="41"/>
      <c r="F1956" s="41"/>
      <c r="G1956" s="41"/>
      <c r="H1956" s="41"/>
      <c r="I1956" s="41"/>
      <c r="J1956" s="42"/>
      <c r="K1956" s="41"/>
      <c r="L1956" s="41"/>
      <c r="M1956" s="127"/>
      <c r="N1956" s="41"/>
      <c r="O1956" s="41"/>
      <c r="P1956" s="41"/>
      <c r="Q1956" s="42"/>
      <c r="R1956" s="35"/>
      <c r="S1956" s="35"/>
      <c r="T1956" s="35"/>
      <c r="U1956" s="35"/>
      <c r="V1956" s="121"/>
      <c r="W1956" s="42"/>
      <c r="X1956" s="42"/>
      <c r="Y1956" s="42"/>
      <c r="Z1956" s="42"/>
      <c r="AA1956" s="42"/>
      <c r="AB1956" s="42"/>
      <c r="AC1956" s="42"/>
      <c r="AD1956" s="42"/>
      <c r="AE1956" s="42"/>
      <c r="AF1956" s="42"/>
      <c r="AG1956" s="42"/>
      <c r="AH1956" s="42"/>
      <c r="AI1956" s="42"/>
      <c r="AJ1956" s="42"/>
      <c r="AK1956" s="42"/>
      <c r="AL1956" s="42"/>
      <c r="AM1956" s="42"/>
    </row>
    <row r="1957" spans="1:39" x14ac:dyDescent="0.25">
      <c r="A1957" s="38" t="s">
        <v>2308</v>
      </c>
      <c r="B1957" s="42"/>
      <c r="C1957" s="42"/>
      <c r="D1957" s="42"/>
      <c r="E1957" s="41"/>
      <c r="F1957" s="41"/>
      <c r="G1957" s="41"/>
      <c r="H1957" s="41"/>
      <c r="I1957" s="41"/>
      <c r="J1957" s="42"/>
      <c r="K1957" s="41"/>
      <c r="L1957" s="41"/>
      <c r="M1957" s="127"/>
      <c r="N1957" s="41"/>
      <c r="O1957" s="41"/>
      <c r="P1957" s="41"/>
      <c r="Q1957" s="42"/>
      <c r="R1957" s="35"/>
      <c r="S1957" s="35"/>
      <c r="T1957" s="35"/>
      <c r="U1957" s="35"/>
      <c r="V1957" s="121"/>
      <c r="W1957" s="42"/>
      <c r="X1957" s="42"/>
      <c r="Y1957" s="42"/>
      <c r="Z1957" s="42"/>
      <c r="AA1957" s="42"/>
      <c r="AB1957" s="42"/>
      <c r="AC1957" s="42"/>
      <c r="AD1957" s="42"/>
      <c r="AE1957" s="42"/>
      <c r="AF1957" s="42"/>
      <c r="AG1957" s="42"/>
      <c r="AH1957" s="42"/>
      <c r="AI1957" s="42"/>
      <c r="AJ1957" s="42"/>
      <c r="AK1957" s="42"/>
      <c r="AL1957" s="42"/>
      <c r="AM1957" s="42"/>
    </row>
    <row r="1958" spans="1:39" x14ac:dyDescent="0.25">
      <c r="A1958" s="38" t="s">
        <v>2309</v>
      </c>
      <c r="B1958" s="42"/>
      <c r="C1958" s="42"/>
      <c r="D1958" s="42"/>
      <c r="E1958" s="41"/>
      <c r="F1958" s="41"/>
      <c r="G1958" s="41"/>
      <c r="H1958" s="41"/>
      <c r="I1958" s="41"/>
      <c r="J1958" s="42"/>
      <c r="K1958" s="41"/>
      <c r="L1958" s="41"/>
      <c r="M1958" s="127"/>
      <c r="N1958" s="41"/>
      <c r="O1958" s="41"/>
      <c r="P1958" s="41"/>
      <c r="Q1958" s="42"/>
      <c r="R1958" s="35"/>
      <c r="S1958" s="35"/>
      <c r="T1958" s="35"/>
      <c r="U1958" s="35"/>
      <c r="V1958" s="121"/>
      <c r="W1958" s="42"/>
      <c r="X1958" s="42"/>
      <c r="Y1958" s="42"/>
      <c r="Z1958" s="42"/>
      <c r="AA1958" s="42"/>
      <c r="AB1958" s="42"/>
      <c r="AC1958" s="42"/>
      <c r="AD1958" s="42"/>
      <c r="AE1958" s="42"/>
      <c r="AF1958" s="42"/>
      <c r="AG1958" s="42"/>
      <c r="AH1958" s="42"/>
      <c r="AI1958" s="42"/>
      <c r="AJ1958" s="42"/>
      <c r="AK1958" s="42"/>
      <c r="AL1958" s="42"/>
      <c r="AM1958" s="42"/>
    </row>
    <row r="1959" spans="1:39" x14ac:dyDescent="0.25">
      <c r="A1959" s="38" t="s">
        <v>2310</v>
      </c>
      <c r="B1959" s="42"/>
      <c r="C1959" s="42"/>
      <c r="D1959" s="42"/>
      <c r="E1959" s="41"/>
      <c r="F1959" s="41"/>
      <c r="G1959" s="41"/>
      <c r="H1959" s="41"/>
      <c r="I1959" s="41"/>
      <c r="J1959" s="42"/>
      <c r="K1959" s="41"/>
      <c r="L1959" s="41"/>
      <c r="M1959" s="127"/>
      <c r="N1959" s="41"/>
      <c r="O1959" s="41"/>
      <c r="P1959" s="41"/>
      <c r="Q1959" s="42"/>
      <c r="R1959" s="35"/>
      <c r="S1959" s="35"/>
      <c r="T1959" s="35"/>
      <c r="U1959" s="35"/>
      <c r="V1959" s="121"/>
      <c r="W1959" s="42"/>
      <c r="X1959" s="42"/>
      <c r="Y1959" s="42"/>
      <c r="Z1959" s="42"/>
      <c r="AA1959" s="42"/>
      <c r="AB1959" s="42"/>
      <c r="AC1959" s="42"/>
      <c r="AD1959" s="42"/>
      <c r="AE1959" s="42"/>
      <c r="AF1959" s="42"/>
      <c r="AG1959" s="42"/>
      <c r="AH1959" s="42"/>
      <c r="AI1959" s="42"/>
      <c r="AJ1959" s="42"/>
      <c r="AK1959" s="42"/>
      <c r="AL1959" s="42"/>
      <c r="AM1959" s="42"/>
    </row>
    <row r="1960" spans="1:39" x14ac:dyDescent="0.25">
      <c r="A1960" s="38" t="s">
        <v>2311</v>
      </c>
      <c r="B1960" s="42"/>
      <c r="C1960" s="42"/>
      <c r="D1960" s="42"/>
      <c r="E1960" s="41"/>
      <c r="F1960" s="41"/>
      <c r="G1960" s="41"/>
      <c r="H1960" s="41"/>
      <c r="I1960" s="41"/>
      <c r="J1960" s="42"/>
      <c r="K1960" s="41"/>
      <c r="L1960" s="41"/>
      <c r="M1960" s="127"/>
      <c r="N1960" s="41"/>
      <c r="O1960" s="41"/>
      <c r="P1960" s="41"/>
      <c r="Q1960" s="42"/>
      <c r="R1960" s="35"/>
      <c r="S1960" s="35"/>
      <c r="T1960" s="35"/>
      <c r="U1960" s="35"/>
      <c r="V1960" s="121"/>
      <c r="W1960" s="42"/>
      <c r="X1960" s="42"/>
      <c r="Y1960" s="42"/>
      <c r="Z1960" s="42"/>
      <c r="AA1960" s="42"/>
      <c r="AB1960" s="42"/>
      <c r="AC1960" s="42"/>
      <c r="AD1960" s="42"/>
      <c r="AE1960" s="42"/>
      <c r="AF1960" s="42"/>
      <c r="AG1960" s="42"/>
      <c r="AH1960" s="42"/>
      <c r="AI1960" s="42"/>
      <c r="AJ1960" s="42"/>
      <c r="AK1960" s="42"/>
      <c r="AL1960" s="42"/>
      <c r="AM1960" s="42"/>
    </row>
    <row r="1961" spans="1:39" x14ac:dyDescent="0.25">
      <c r="A1961" s="38" t="s">
        <v>2312</v>
      </c>
      <c r="B1961" s="42"/>
      <c r="C1961" s="42"/>
      <c r="D1961" s="42"/>
      <c r="E1961" s="41"/>
      <c r="F1961" s="41"/>
      <c r="G1961" s="41"/>
      <c r="H1961" s="41"/>
      <c r="I1961" s="41"/>
      <c r="J1961" s="42"/>
      <c r="K1961" s="41"/>
      <c r="L1961" s="41"/>
      <c r="M1961" s="127"/>
      <c r="N1961" s="41"/>
      <c r="O1961" s="41"/>
      <c r="P1961" s="41"/>
      <c r="Q1961" s="42"/>
      <c r="R1961" s="35"/>
      <c r="S1961" s="35"/>
      <c r="T1961" s="35"/>
      <c r="U1961" s="35"/>
      <c r="V1961" s="121"/>
      <c r="W1961" s="42"/>
      <c r="X1961" s="42"/>
      <c r="Y1961" s="42"/>
      <c r="Z1961" s="42"/>
      <c r="AA1961" s="42"/>
      <c r="AB1961" s="42"/>
      <c r="AC1961" s="42"/>
      <c r="AD1961" s="42"/>
      <c r="AE1961" s="42"/>
      <c r="AF1961" s="42"/>
      <c r="AG1961" s="42"/>
      <c r="AH1961" s="42"/>
      <c r="AI1961" s="42"/>
      <c r="AJ1961" s="42"/>
      <c r="AK1961" s="42"/>
      <c r="AL1961" s="42"/>
      <c r="AM1961" s="42"/>
    </row>
    <row r="1962" spans="1:39" x14ac:dyDescent="0.25">
      <c r="A1962" s="38" t="s">
        <v>2313</v>
      </c>
      <c r="B1962" s="42"/>
      <c r="C1962" s="42"/>
      <c r="D1962" s="42"/>
      <c r="E1962" s="41"/>
      <c r="F1962" s="41"/>
      <c r="G1962" s="41"/>
      <c r="H1962" s="41"/>
      <c r="I1962" s="41"/>
      <c r="J1962" s="42"/>
      <c r="K1962" s="41"/>
      <c r="L1962" s="41"/>
      <c r="M1962" s="127"/>
      <c r="N1962" s="41"/>
      <c r="O1962" s="41"/>
      <c r="P1962" s="41"/>
      <c r="Q1962" s="42"/>
      <c r="R1962" s="35"/>
      <c r="S1962" s="35"/>
      <c r="T1962" s="35"/>
      <c r="U1962" s="35"/>
      <c r="V1962" s="121"/>
      <c r="W1962" s="42"/>
      <c r="X1962" s="42"/>
      <c r="Y1962" s="42"/>
      <c r="Z1962" s="42"/>
      <c r="AA1962" s="42"/>
      <c r="AB1962" s="42"/>
      <c r="AC1962" s="42"/>
      <c r="AD1962" s="42"/>
      <c r="AE1962" s="42"/>
      <c r="AF1962" s="42"/>
      <c r="AG1962" s="42"/>
      <c r="AH1962" s="42"/>
      <c r="AI1962" s="42"/>
      <c r="AJ1962" s="42"/>
      <c r="AK1962" s="42"/>
      <c r="AL1962" s="42"/>
      <c r="AM1962" s="42"/>
    </row>
    <row r="1963" spans="1:39" x14ac:dyDescent="0.25">
      <c r="A1963" s="38" t="s">
        <v>2314</v>
      </c>
      <c r="B1963" s="42"/>
      <c r="C1963" s="42"/>
      <c r="D1963" s="42"/>
      <c r="E1963" s="41"/>
      <c r="F1963" s="41"/>
      <c r="G1963" s="41"/>
      <c r="H1963" s="41"/>
      <c r="I1963" s="41"/>
      <c r="J1963" s="42"/>
      <c r="K1963" s="41"/>
      <c r="L1963" s="41"/>
      <c r="M1963" s="127"/>
      <c r="N1963" s="41"/>
      <c r="O1963" s="41"/>
      <c r="P1963" s="41"/>
      <c r="Q1963" s="42"/>
      <c r="R1963" s="35"/>
      <c r="S1963" s="35"/>
      <c r="T1963" s="35"/>
      <c r="U1963" s="35"/>
      <c r="V1963" s="121"/>
      <c r="W1963" s="42"/>
      <c r="X1963" s="42"/>
      <c r="Y1963" s="42"/>
      <c r="Z1963" s="42"/>
      <c r="AA1963" s="42"/>
      <c r="AB1963" s="42"/>
      <c r="AC1963" s="42"/>
      <c r="AD1963" s="42"/>
      <c r="AE1963" s="42"/>
      <c r="AF1963" s="42"/>
      <c r="AG1963" s="42"/>
      <c r="AH1963" s="42"/>
      <c r="AI1963" s="42"/>
      <c r="AJ1963" s="42"/>
      <c r="AK1963" s="42"/>
      <c r="AL1963" s="42"/>
      <c r="AM1963" s="42"/>
    </row>
    <row r="1964" spans="1:39" x14ac:dyDescent="0.25">
      <c r="A1964" s="38" t="s">
        <v>2315</v>
      </c>
      <c r="B1964" s="42"/>
      <c r="C1964" s="42"/>
      <c r="D1964" s="42"/>
      <c r="E1964" s="41"/>
      <c r="F1964" s="41"/>
      <c r="G1964" s="41"/>
      <c r="H1964" s="41"/>
      <c r="I1964" s="41"/>
      <c r="J1964" s="42"/>
      <c r="K1964" s="41"/>
      <c r="L1964" s="41"/>
      <c r="M1964" s="127"/>
      <c r="N1964" s="41"/>
      <c r="O1964" s="41"/>
      <c r="P1964" s="41"/>
      <c r="Q1964" s="42"/>
      <c r="R1964" s="35"/>
      <c r="S1964" s="35"/>
      <c r="T1964" s="35"/>
      <c r="U1964" s="35"/>
      <c r="V1964" s="121"/>
      <c r="W1964" s="42"/>
      <c r="X1964" s="42"/>
      <c r="Y1964" s="42"/>
      <c r="Z1964" s="42"/>
      <c r="AA1964" s="42"/>
      <c r="AB1964" s="42"/>
      <c r="AC1964" s="42"/>
      <c r="AD1964" s="42"/>
      <c r="AE1964" s="42"/>
      <c r="AF1964" s="42"/>
      <c r="AG1964" s="42"/>
      <c r="AH1964" s="42"/>
      <c r="AI1964" s="42"/>
      <c r="AJ1964" s="42"/>
      <c r="AK1964" s="42"/>
      <c r="AL1964" s="42"/>
      <c r="AM1964" s="42"/>
    </row>
    <row r="1965" spans="1:39" x14ac:dyDescent="0.25">
      <c r="A1965" s="38" t="s">
        <v>2316</v>
      </c>
      <c r="B1965" s="42"/>
      <c r="C1965" s="42"/>
      <c r="D1965" s="42"/>
      <c r="E1965" s="41"/>
      <c r="F1965" s="41"/>
      <c r="G1965" s="41"/>
      <c r="H1965" s="41"/>
      <c r="I1965" s="41"/>
      <c r="J1965" s="42"/>
      <c r="K1965" s="41"/>
      <c r="L1965" s="41"/>
      <c r="M1965" s="127"/>
      <c r="N1965" s="41"/>
      <c r="O1965" s="41"/>
      <c r="P1965" s="41"/>
      <c r="Q1965" s="42"/>
      <c r="R1965" s="35"/>
      <c r="S1965" s="35"/>
      <c r="T1965" s="35"/>
      <c r="U1965" s="35"/>
      <c r="V1965" s="121"/>
      <c r="W1965" s="42"/>
      <c r="X1965" s="42"/>
      <c r="Y1965" s="42"/>
      <c r="Z1965" s="42"/>
      <c r="AA1965" s="42"/>
      <c r="AB1965" s="42"/>
      <c r="AC1965" s="42"/>
      <c r="AD1965" s="42"/>
      <c r="AE1965" s="42"/>
      <c r="AF1965" s="42"/>
      <c r="AG1965" s="42"/>
      <c r="AH1965" s="42"/>
      <c r="AI1965" s="42"/>
      <c r="AJ1965" s="42"/>
      <c r="AK1965" s="42"/>
      <c r="AL1965" s="42"/>
      <c r="AM1965" s="42"/>
    </row>
    <row r="1966" spans="1:39" x14ac:dyDescent="0.25">
      <c r="A1966" s="38" t="s">
        <v>2317</v>
      </c>
      <c r="B1966" s="42"/>
      <c r="C1966" s="42"/>
      <c r="D1966" s="42"/>
      <c r="E1966" s="41"/>
      <c r="F1966" s="41"/>
      <c r="G1966" s="41"/>
      <c r="H1966" s="41"/>
      <c r="I1966" s="41"/>
      <c r="J1966" s="42"/>
      <c r="K1966" s="41"/>
      <c r="L1966" s="41"/>
      <c r="M1966" s="127"/>
      <c r="N1966" s="41"/>
      <c r="O1966" s="41"/>
      <c r="P1966" s="41"/>
      <c r="Q1966" s="42"/>
      <c r="R1966" s="35"/>
      <c r="S1966" s="35"/>
      <c r="T1966" s="35"/>
      <c r="U1966" s="35"/>
      <c r="V1966" s="121"/>
      <c r="W1966" s="42"/>
      <c r="X1966" s="42"/>
      <c r="Y1966" s="42"/>
      <c r="Z1966" s="42"/>
      <c r="AA1966" s="42"/>
      <c r="AB1966" s="42"/>
      <c r="AC1966" s="42"/>
      <c r="AD1966" s="42"/>
      <c r="AE1966" s="42"/>
      <c r="AF1966" s="42"/>
      <c r="AG1966" s="42"/>
      <c r="AH1966" s="42"/>
      <c r="AI1966" s="42"/>
      <c r="AJ1966" s="42"/>
      <c r="AK1966" s="42"/>
      <c r="AL1966" s="42"/>
      <c r="AM1966" s="42"/>
    </row>
    <row r="1967" spans="1:39" x14ac:dyDescent="0.25">
      <c r="A1967" s="38" t="s">
        <v>2318</v>
      </c>
      <c r="B1967" s="42"/>
      <c r="C1967" s="42"/>
      <c r="D1967" s="42"/>
      <c r="E1967" s="41"/>
      <c r="F1967" s="41"/>
      <c r="G1967" s="41"/>
      <c r="H1967" s="41"/>
      <c r="I1967" s="41"/>
      <c r="J1967" s="42"/>
      <c r="K1967" s="41"/>
      <c r="L1967" s="41"/>
      <c r="M1967" s="127"/>
      <c r="N1967" s="41"/>
      <c r="O1967" s="41"/>
      <c r="P1967" s="41"/>
      <c r="Q1967" s="42"/>
      <c r="R1967" s="35"/>
      <c r="S1967" s="35"/>
      <c r="T1967" s="35"/>
      <c r="U1967" s="35"/>
      <c r="V1967" s="121"/>
      <c r="W1967" s="42"/>
      <c r="X1967" s="42"/>
      <c r="Y1967" s="42"/>
      <c r="Z1967" s="42"/>
      <c r="AA1967" s="42"/>
      <c r="AB1967" s="42"/>
      <c r="AC1967" s="42"/>
      <c r="AD1967" s="42"/>
      <c r="AE1967" s="42"/>
      <c r="AF1967" s="42"/>
      <c r="AG1967" s="42"/>
      <c r="AH1967" s="42"/>
      <c r="AI1967" s="42"/>
      <c r="AJ1967" s="42"/>
      <c r="AK1967" s="42"/>
      <c r="AL1967" s="42"/>
      <c r="AM1967" s="42"/>
    </row>
    <row r="1968" spans="1:39" x14ac:dyDescent="0.25">
      <c r="A1968" s="38" t="s">
        <v>2319</v>
      </c>
      <c r="B1968" s="42"/>
      <c r="C1968" s="42"/>
      <c r="D1968" s="42"/>
      <c r="E1968" s="41"/>
      <c r="F1968" s="41"/>
      <c r="G1968" s="41"/>
      <c r="H1968" s="41"/>
      <c r="I1968" s="41"/>
      <c r="J1968" s="42"/>
      <c r="K1968" s="41"/>
      <c r="L1968" s="41"/>
      <c r="M1968" s="127"/>
      <c r="N1968" s="41"/>
      <c r="O1968" s="41"/>
      <c r="P1968" s="41"/>
      <c r="Q1968" s="42"/>
      <c r="R1968" s="35"/>
      <c r="S1968" s="35"/>
      <c r="T1968" s="35"/>
      <c r="U1968" s="35"/>
      <c r="V1968" s="121"/>
      <c r="W1968" s="42"/>
      <c r="X1968" s="42"/>
      <c r="Y1968" s="42"/>
      <c r="Z1968" s="42"/>
      <c r="AA1968" s="42"/>
      <c r="AB1968" s="42"/>
      <c r="AC1968" s="42"/>
      <c r="AD1968" s="42"/>
      <c r="AE1968" s="42"/>
      <c r="AF1968" s="42"/>
      <c r="AG1968" s="42"/>
      <c r="AH1968" s="42"/>
      <c r="AI1968" s="42"/>
      <c r="AJ1968" s="42"/>
      <c r="AK1968" s="42"/>
      <c r="AL1968" s="42"/>
      <c r="AM1968" s="42"/>
    </row>
    <row r="1969" spans="1:39" x14ac:dyDescent="0.25">
      <c r="A1969" s="38" t="s">
        <v>2320</v>
      </c>
      <c r="B1969" s="42"/>
      <c r="C1969" s="42"/>
      <c r="D1969" s="42"/>
      <c r="E1969" s="41"/>
      <c r="F1969" s="41"/>
      <c r="G1969" s="41"/>
      <c r="H1969" s="41"/>
      <c r="I1969" s="41"/>
      <c r="J1969" s="42"/>
      <c r="K1969" s="41"/>
      <c r="L1969" s="41"/>
      <c r="M1969" s="127"/>
      <c r="N1969" s="41"/>
      <c r="O1969" s="41"/>
      <c r="P1969" s="41"/>
      <c r="Q1969" s="42"/>
      <c r="R1969" s="35"/>
      <c r="S1969" s="35"/>
      <c r="T1969" s="35"/>
      <c r="U1969" s="35"/>
      <c r="V1969" s="121"/>
      <c r="W1969" s="42"/>
      <c r="X1969" s="42"/>
      <c r="Y1969" s="42"/>
      <c r="Z1969" s="42"/>
      <c r="AA1969" s="42"/>
      <c r="AB1969" s="42"/>
      <c r="AC1969" s="42"/>
      <c r="AD1969" s="42"/>
      <c r="AE1969" s="42"/>
      <c r="AF1969" s="42"/>
      <c r="AG1969" s="42"/>
      <c r="AH1969" s="42"/>
      <c r="AI1969" s="42"/>
      <c r="AJ1969" s="42"/>
      <c r="AK1969" s="42"/>
      <c r="AL1969" s="42"/>
      <c r="AM1969" s="42"/>
    </row>
    <row r="1970" spans="1:39" x14ac:dyDescent="0.25">
      <c r="A1970" s="38" t="s">
        <v>2321</v>
      </c>
      <c r="B1970" s="42"/>
      <c r="C1970" s="42"/>
      <c r="D1970" s="42"/>
      <c r="E1970" s="41"/>
      <c r="F1970" s="41"/>
      <c r="G1970" s="41"/>
      <c r="H1970" s="41"/>
      <c r="I1970" s="41"/>
      <c r="J1970" s="42"/>
      <c r="K1970" s="41"/>
      <c r="L1970" s="41"/>
      <c r="M1970" s="127"/>
      <c r="N1970" s="41"/>
      <c r="O1970" s="41"/>
      <c r="P1970" s="41"/>
      <c r="Q1970" s="42"/>
      <c r="R1970" s="35"/>
      <c r="S1970" s="35"/>
      <c r="T1970" s="35"/>
      <c r="U1970" s="35"/>
      <c r="V1970" s="121"/>
      <c r="W1970" s="42"/>
      <c r="X1970" s="42"/>
      <c r="Y1970" s="42"/>
      <c r="Z1970" s="42"/>
      <c r="AA1970" s="42"/>
      <c r="AB1970" s="42"/>
      <c r="AC1970" s="42"/>
      <c r="AD1970" s="42"/>
      <c r="AE1970" s="42"/>
      <c r="AF1970" s="42"/>
      <c r="AG1970" s="42"/>
      <c r="AH1970" s="42"/>
      <c r="AI1970" s="42"/>
      <c r="AJ1970" s="42"/>
      <c r="AK1970" s="42"/>
      <c r="AL1970" s="42"/>
      <c r="AM1970" s="42"/>
    </row>
    <row r="1971" spans="1:39" x14ac:dyDescent="0.25">
      <c r="A1971" s="38" t="s">
        <v>2322</v>
      </c>
      <c r="B1971" s="42"/>
      <c r="C1971" s="42"/>
      <c r="D1971" s="42"/>
      <c r="E1971" s="41"/>
      <c r="F1971" s="41"/>
      <c r="G1971" s="41"/>
      <c r="H1971" s="41"/>
      <c r="I1971" s="41"/>
      <c r="J1971" s="42"/>
      <c r="K1971" s="41"/>
      <c r="L1971" s="41"/>
      <c r="M1971" s="127"/>
      <c r="N1971" s="41"/>
      <c r="O1971" s="41"/>
      <c r="P1971" s="41"/>
      <c r="Q1971" s="42"/>
      <c r="R1971" s="35"/>
      <c r="S1971" s="35"/>
      <c r="T1971" s="35"/>
      <c r="U1971" s="35"/>
      <c r="V1971" s="121"/>
      <c r="W1971" s="42"/>
      <c r="X1971" s="42"/>
      <c r="Y1971" s="42"/>
      <c r="Z1971" s="42"/>
      <c r="AA1971" s="42"/>
      <c r="AB1971" s="42"/>
      <c r="AC1971" s="42"/>
      <c r="AD1971" s="42"/>
      <c r="AE1971" s="42"/>
      <c r="AF1971" s="42"/>
      <c r="AG1971" s="42"/>
      <c r="AH1971" s="42"/>
      <c r="AI1971" s="42"/>
      <c r="AJ1971" s="42"/>
      <c r="AK1971" s="42"/>
      <c r="AL1971" s="42"/>
      <c r="AM1971" s="42"/>
    </row>
    <row r="1972" spans="1:39" x14ac:dyDescent="0.25">
      <c r="A1972" s="38" t="s">
        <v>2323</v>
      </c>
      <c r="B1972" s="42"/>
      <c r="C1972" s="42"/>
      <c r="D1972" s="42"/>
      <c r="E1972" s="41"/>
      <c r="F1972" s="41"/>
      <c r="G1972" s="41"/>
      <c r="H1972" s="41"/>
      <c r="I1972" s="41"/>
      <c r="J1972" s="42"/>
      <c r="K1972" s="41"/>
      <c r="L1972" s="41"/>
      <c r="M1972" s="127"/>
      <c r="N1972" s="41"/>
      <c r="O1972" s="41"/>
      <c r="P1972" s="41"/>
      <c r="Q1972" s="42"/>
      <c r="R1972" s="35"/>
      <c r="S1972" s="35"/>
      <c r="T1972" s="35"/>
      <c r="U1972" s="35"/>
      <c r="V1972" s="121"/>
      <c r="W1972" s="42"/>
      <c r="X1972" s="42"/>
      <c r="Y1972" s="42"/>
      <c r="Z1972" s="42"/>
      <c r="AA1972" s="42"/>
      <c r="AB1972" s="42"/>
      <c r="AC1972" s="42"/>
      <c r="AD1972" s="42"/>
      <c r="AE1972" s="42"/>
      <c r="AF1972" s="42"/>
      <c r="AG1972" s="42"/>
      <c r="AH1972" s="42"/>
      <c r="AI1972" s="42"/>
      <c r="AJ1972" s="42"/>
      <c r="AK1972" s="42"/>
      <c r="AL1972" s="42"/>
      <c r="AM1972" s="42"/>
    </row>
    <row r="1973" spans="1:39" x14ac:dyDescent="0.25">
      <c r="A1973" s="38" t="s">
        <v>2324</v>
      </c>
      <c r="B1973" s="42"/>
      <c r="C1973" s="42"/>
      <c r="D1973" s="42"/>
      <c r="E1973" s="41"/>
      <c r="F1973" s="41"/>
      <c r="G1973" s="41"/>
      <c r="H1973" s="41"/>
      <c r="I1973" s="41"/>
      <c r="J1973" s="42"/>
      <c r="K1973" s="41"/>
      <c r="L1973" s="41"/>
      <c r="M1973" s="127"/>
      <c r="N1973" s="41"/>
      <c r="O1973" s="41"/>
      <c r="P1973" s="41"/>
      <c r="Q1973" s="42"/>
      <c r="R1973" s="35"/>
      <c r="S1973" s="35"/>
      <c r="T1973" s="35"/>
      <c r="U1973" s="35"/>
      <c r="V1973" s="121"/>
      <c r="W1973" s="42"/>
      <c r="X1973" s="42"/>
      <c r="Y1973" s="42"/>
      <c r="Z1973" s="42"/>
      <c r="AA1973" s="42"/>
      <c r="AB1973" s="42"/>
      <c r="AC1973" s="42"/>
      <c r="AD1973" s="42"/>
      <c r="AE1973" s="42"/>
      <c r="AF1973" s="42"/>
      <c r="AG1973" s="42"/>
      <c r="AH1973" s="42"/>
      <c r="AI1973" s="42"/>
      <c r="AJ1973" s="42"/>
      <c r="AK1973" s="42"/>
      <c r="AL1973" s="42"/>
      <c r="AM1973" s="42"/>
    </row>
    <row r="1974" spans="1:39" x14ac:dyDescent="0.25">
      <c r="A1974" s="38" t="s">
        <v>2325</v>
      </c>
      <c r="B1974" s="42"/>
      <c r="C1974" s="42"/>
      <c r="D1974" s="42"/>
      <c r="E1974" s="41"/>
      <c r="F1974" s="41"/>
      <c r="G1974" s="41"/>
      <c r="H1974" s="41"/>
      <c r="I1974" s="41"/>
      <c r="J1974" s="42"/>
      <c r="K1974" s="41"/>
      <c r="L1974" s="41"/>
      <c r="M1974" s="127"/>
      <c r="N1974" s="41"/>
      <c r="O1974" s="41"/>
      <c r="P1974" s="41"/>
      <c r="Q1974" s="42"/>
      <c r="R1974" s="35"/>
      <c r="S1974" s="35"/>
      <c r="T1974" s="35"/>
      <c r="U1974" s="35"/>
      <c r="V1974" s="121"/>
      <c r="W1974" s="42"/>
      <c r="X1974" s="42"/>
      <c r="Y1974" s="42"/>
      <c r="Z1974" s="42"/>
      <c r="AA1974" s="42"/>
      <c r="AB1974" s="42"/>
      <c r="AC1974" s="42"/>
      <c r="AD1974" s="42"/>
      <c r="AE1974" s="42"/>
      <c r="AF1974" s="42"/>
      <c r="AG1974" s="42"/>
      <c r="AH1974" s="42"/>
      <c r="AI1974" s="42"/>
      <c r="AJ1974" s="42"/>
      <c r="AK1974" s="42"/>
      <c r="AL1974" s="42"/>
      <c r="AM1974" s="42"/>
    </row>
    <row r="1975" spans="1:39" x14ac:dyDescent="0.25">
      <c r="A1975" s="38" t="s">
        <v>2326</v>
      </c>
      <c r="B1975" s="42"/>
      <c r="C1975" s="42"/>
      <c r="D1975" s="42"/>
      <c r="E1975" s="41"/>
      <c r="F1975" s="41"/>
      <c r="G1975" s="41"/>
      <c r="H1975" s="41"/>
      <c r="I1975" s="41"/>
      <c r="J1975" s="42"/>
      <c r="K1975" s="41"/>
      <c r="L1975" s="41"/>
      <c r="M1975" s="127"/>
      <c r="N1975" s="41"/>
      <c r="O1975" s="41"/>
      <c r="P1975" s="41"/>
      <c r="Q1975" s="42"/>
      <c r="R1975" s="35"/>
      <c r="S1975" s="35"/>
      <c r="T1975" s="35"/>
      <c r="U1975" s="35"/>
      <c r="V1975" s="121"/>
      <c r="W1975" s="42"/>
      <c r="X1975" s="42"/>
      <c r="Y1975" s="42"/>
      <c r="Z1975" s="42"/>
      <c r="AA1975" s="42"/>
      <c r="AB1975" s="42"/>
      <c r="AC1975" s="42"/>
      <c r="AD1975" s="42"/>
      <c r="AE1975" s="42"/>
      <c r="AF1975" s="42"/>
      <c r="AG1975" s="42"/>
      <c r="AH1975" s="42"/>
      <c r="AI1975" s="42"/>
      <c r="AJ1975" s="42"/>
      <c r="AK1975" s="42"/>
      <c r="AL1975" s="42"/>
      <c r="AM1975" s="42"/>
    </row>
    <row r="1976" spans="1:39" x14ac:dyDescent="0.25">
      <c r="A1976" s="38" t="s">
        <v>2327</v>
      </c>
      <c r="B1976" s="42"/>
      <c r="C1976" s="42"/>
      <c r="D1976" s="42"/>
      <c r="E1976" s="41"/>
      <c r="F1976" s="41"/>
      <c r="G1976" s="41"/>
      <c r="H1976" s="41"/>
      <c r="I1976" s="41"/>
      <c r="J1976" s="42"/>
      <c r="K1976" s="41"/>
      <c r="L1976" s="41"/>
      <c r="M1976" s="127"/>
      <c r="N1976" s="41"/>
      <c r="O1976" s="41"/>
      <c r="P1976" s="41"/>
      <c r="Q1976" s="42"/>
      <c r="R1976" s="35"/>
      <c r="S1976" s="35"/>
      <c r="T1976" s="35"/>
      <c r="U1976" s="35"/>
      <c r="V1976" s="121"/>
      <c r="W1976" s="42"/>
      <c r="X1976" s="42"/>
      <c r="Y1976" s="42"/>
      <c r="Z1976" s="42"/>
      <c r="AA1976" s="42"/>
      <c r="AB1976" s="42"/>
      <c r="AC1976" s="42"/>
      <c r="AD1976" s="42"/>
      <c r="AE1976" s="42"/>
      <c r="AF1976" s="42"/>
      <c r="AG1976" s="42"/>
      <c r="AH1976" s="42"/>
      <c r="AI1976" s="42"/>
      <c r="AJ1976" s="42"/>
      <c r="AK1976" s="42"/>
      <c r="AL1976" s="42"/>
      <c r="AM1976" s="42"/>
    </row>
    <row r="1977" spans="1:39" x14ac:dyDescent="0.25">
      <c r="A1977" s="38" t="s">
        <v>2328</v>
      </c>
      <c r="B1977" s="42"/>
      <c r="C1977" s="42"/>
      <c r="D1977" s="42"/>
      <c r="E1977" s="41"/>
      <c r="F1977" s="41"/>
      <c r="G1977" s="41"/>
      <c r="H1977" s="41"/>
      <c r="I1977" s="41"/>
      <c r="J1977" s="42"/>
      <c r="K1977" s="41"/>
      <c r="L1977" s="41"/>
      <c r="M1977" s="127"/>
      <c r="N1977" s="41"/>
      <c r="O1977" s="41"/>
      <c r="P1977" s="41"/>
      <c r="Q1977" s="42"/>
      <c r="R1977" s="35"/>
      <c r="S1977" s="35"/>
      <c r="T1977" s="35"/>
      <c r="U1977" s="35"/>
      <c r="V1977" s="121"/>
      <c r="W1977" s="42"/>
      <c r="X1977" s="42"/>
      <c r="Y1977" s="42"/>
      <c r="Z1977" s="42"/>
      <c r="AA1977" s="42"/>
      <c r="AB1977" s="42"/>
      <c r="AC1977" s="42"/>
      <c r="AD1977" s="42"/>
      <c r="AE1977" s="42"/>
      <c r="AF1977" s="42"/>
      <c r="AG1977" s="42"/>
      <c r="AH1977" s="42"/>
      <c r="AI1977" s="42"/>
      <c r="AJ1977" s="42"/>
      <c r="AK1977" s="42"/>
      <c r="AL1977" s="42"/>
      <c r="AM1977" s="42"/>
    </row>
    <row r="1978" spans="1:39" x14ac:dyDescent="0.25">
      <c r="A1978" s="38" t="s">
        <v>2329</v>
      </c>
      <c r="B1978" s="42"/>
      <c r="C1978" s="42"/>
      <c r="D1978" s="42"/>
      <c r="E1978" s="41"/>
      <c r="F1978" s="41"/>
      <c r="G1978" s="41"/>
      <c r="H1978" s="41"/>
      <c r="I1978" s="41"/>
      <c r="J1978" s="42"/>
      <c r="K1978" s="41"/>
      <c r="L1978" s="41"/>
      <c r="M1978" s="127"/>
      <c r="N1978" s="41"/>
      <c r="O1978" s="41"/>
      <c r="P1978" s="41"/>
      <c r="Q1978" s="42"/>
      <c r="R1978" s="35"/>
      <c r="S1978" s="35"/>
      <c r="T1978" s="35"/>
      <c r="U1978" s="35"/>
      <c r="V1978" s="121"/>
      <c r="W1978" s="42"/>
      <c r="X1978" s="42"/>
      <c r="Y1978" s="42"/>
      <c r="Z1978" s="42"/>
      <c r="AA1978" s="42"/>
      <c r="AB1978" s="42"/>
      <c r="AC1978" s="42"/>
      <c r="AD1978" s="42"/>
      <c r="AE1978" s="42"/>
      <c r="AF1978" s="42"/>
      <c r="AG1978" s="42"/>
      <c r="AH1978" s="42"/>
      <c r="AI1978" s="42"/>
      <c r="AJ1978" s="42"/>
      <c r="AK1978" s="42"/>
      <c r="AL1978" s="42"/>
      <c r="AM1978" s="42"/>
    </row>
    <row r="1979" spans="1:39" x14ac:dyDescent="0.25">
      <c r="A1979" s="38" t="s">
        <v>2330</v>
      </c>
      <c r="B1979" s="42"/>
      <c r="C1979" s="42"/>
      <c r="D1979" s="42"/>
      <c r="E1979" s="41"/>
      <c r="F1979" s="41"/>
      <c r="G1979" s="41"/>
      <c r="H1979" s="41"/>
      <c r="I1979" s="41"/>
      <c r="J1979" s="42"/>
      <c r="K1979" s="41"/>
      <c r="L1979" s="41"/>
      <c r="M1979" s="127"/>
      <c r="N1979" s="41"/>
      <c r="O1979" s="41"/>
      <c r="P1979" s="41"/>
      <c r="Q1979" s="42"/>
      <c r="R1979" s="35"/>
      <c r="S1979" s="35"/>
      <c r="T1979" s="35"/>
      <c r="U1979" s="35"/>
      <c r="V1979" s="121"/>
      <c r="W1979" s="42"/>
      <c r="X1979" s="42"/>
      <c r="Y1979" s="42"/>
      <c r="Z1979" s="42"/>
      <c r="AA1979" s="42"/>
      <c r="AB1979" s="42"/>
      <c r="AC1979" s="42"/>
      <c r="AD1979" s="42"/>
      <c r="AE1979" s="42"/>
      <c r="AF1979" s="42"/>
      <c r="AG1979" s="42"/>
      <c r="AH1979" s="42"/>
      <c r="AI1979" s="42"/>
      <c r="AJ1979" s="42"/>
      <c r="AK1979" s="42"/>
      <c r="AL1979" s="42"/>
      <c r="AM1979" s="42"/>
    </row>
    <row r="1980" spans="1:39" x14ac:dyDescent="0.25">
      <c r="A1980" s="38" t="s">
        <v>2331</v>
      </c>
      <c r="B1980" s="42"/>
      <c r="C1980" s="42"/>
      <c r="D1980" s="42"/>
      <c r="E1980" s="41"/>
      <c r="F1980" s="41"/>
      <c r="G1980" s="41"/>
      <c r="H1980" s="41"/>
      <c r="I1980" s="41"/>
      <c r="J1980" s="42"/>
      <c r="K1980" s="41"/>
      <c r="L1980" s="41"/>
      <c r="M1980" s="127"/>
      <c r="N1980" s="41"/>
      <c r="O1980" s="41"/>
      <c r="P1980" s="41"/>
      <c r="Q1980" s="42"/>
      <c r="R1980" s="35"/>
      <c r="S1980" s="35"/>
      <c r="T1980" s="35"/>
      <c r="U1980" s="35"/>
      <c r="V1980" s="121"/>
      <c r="W1980" s="42"/>
      <c r="X1980" s="42"/>
      <c r="Y1980" s="42"/>
      <c r="Z1980" s="42"/>
      <c r="AA1980" s="42"/>
      <c r="AB1980" s="42"/>
      <c r="AC1980" s="42"/>
      <c r="AD1980" s="42"/>
      <c r="AE1980" s="42"/>
      <c r="AF1980" s="42"/>
      <c r="AG1980" s="42"/>
      <c r="AH1980" s="42"/>
      <c r="AI1980" s="42"/>
      <c r="AJ1980" s="42"/>
      <c r="AK1980" s="42"/>
      <c r="AL1980" s="42"/>
      <c r="AM1980" s="42"/>
    </row>
    <row r="1981" spans="1:39" x14ac:dyDescent="0.25">
      <c r="A1981" s="38" t="s">
        <v>2332</v>
      </c>
      <c r="B1981" s="42"/>
      <c r="C1981" s="42"/>
      <c r="D1981" s="42"/>
      <c r="E1981" s="41"/>
      <c r="F1981" s="41"/>
      <c r="G1981" s="41"/>
      <c r="H1981" s="41"/>
      <c r="I1981" s="41"/>
      <c r="J1981" s="42"/>
      <c r="K1981" s="41"/>
      <c r="L1981" s="41"/>
      <c r="M1981" s="127"/>
      <c r="N1981" s="41"/>
      <c r="O1981" s="41"/>
      <c r="P1981" s="41"/>
      <c r="Q1981" s="42"/>
      <c r="R1981" s="35"/>
      <c r="S1981" s="35"/>
      <c r="T1981" s="35"/>
      <c r="U1981" s="35"/>
      <c r="V1981" s="121"/>
      <c r="W1981" s="42"/>
      <c r="X1981" s="42"/>
      <c r="Y1981" s="42"/>
      <c r="Z1981" s="42"/>
      <c r="AA1981" s="42"/>
      <c r="AB1981" s="42"/>
      <c r="AC1981" s="42"/>
      <c r="AD1981" s="42"/>
      <c r="AE1981" s="42"/>
      <c r="AF1981" s="42"/>
      <c r="AG1981" s="42"/>
      <c r="AH1981" s="42"/>
      <c r="AI1981" s="42"/>
      <c r="AJ1981" s="42"/>
      <c r="AK1981" s="42"/>
      <c r="AL1981" s="42"/>
      <c r="AM1981" s="42"/>
    </row>
    <row r="1982" spans="1:39" x14ac:dyDescent="0.25">
      <c r="A1982" s="38" t="s">
        <v>2333</v>
      </c>
      <c r="B1982" s="42"/>
      <c r="C1982" s="42"/>
      <c r="D1982" s="42"/>
      <c r="E1982" s="41"/>
      <c r="F1982" s="41"/>
      <c r="G1982" s="41"/>
      <c r="H1982" s="41"/>
      <c r="I1982" s="41"/>
      <c r="J1982" s="42"/>
      <c r="K1982" s="41"/>
      <c r="L1982" s="41"/>
      <c r="M1982" s="127"/>
      <c r="N1982" s="41"/>
      <c r="O1982" s="41"/>
      <c r="P1982" s="41"/>
      <c r="Q1982" s="42"/>
      <c r="R1982" s="35"/>
      <c r="S1982" s="35"/>
      <c r="T1982" s="35"/>
      <c r="U1982" s="35"/>
      <c r="V1982" s="121"/>
      <c r="W1982" s="42"/>
      <c r="X1982" s="42"/>
      <c r="Y1982" s="42"/>
      <c r="Z1982" s="42"/>
      <c r="AA1982" s="42"/>
      <c r="AB1982" s="42"/>
      <c r="AC1982" s="42"/>
      <c r="AD1982" s="42"/>
      <c r="AE1982" s="42"/>
      <c r="AF1982" s="42"/>
      <c r="AG1982" s="42"/>
      <c r="AH1982" s="42"/>
      <c r="AI1982" s="42"/>
      <c r="AJ1982" s="42"/>
      <c r="AK1982" s="42"/>
      <c r="AL1982" s="42"/>
      <c r="AM1982" s="42"/>
    </row>
    <row r="1983" spans="1:39" x14ac:dyDescent="0.25">
      <c r="A1983" s="38" t="s">
        <v>2334</v>
      </c>
      <c r="B1983" s="42"/>
      <c r="C1983" s="42"/>
      <c r="D1983" s="42"/>
      <c r="E1983" s="41"/>
      <c r="F1983" s="41"/>
      <c r="G1983" s="41"/>
      <c r="H1983" s="41"/>
      <c r="I1983" s="41"/>
      <c r="J1983" s="42"/>
      <c r="K1983" s="41"/>
      <c r="L1983" s="41"/>
      <c r="M1983" s="127"/>
      <c r="N1983" s="41"/>
      <c r="O1983" s="41"/>
      <c r="P1983" s="41"/>
      <c r="Q1983" s="42"/>
      <c r="R1983" s="35"/>
      <c r="S1983" s="35"/>
      <c r="T1983" s="35"/>
      <c r="U1983" s="35"/>
      <c r="V1983" s="121"/>
      <c r="W1983" s="42"/>
      <c r="X1983" s="42"/>
      <c r="Y1983" s="42"/>
      <c r="Z1983" s="42"/>
      <c r="AA1983" s="42"/>
      <c r="AB1983" s="42"/>
      <c r="AC1983" s="42"/>
      <c r="AD1983" s="42"/>
      <c r="AE1983" s="42"/>
      <c r="AF1983" s="42"/>
      <c r="AG1983" s="42"/>
      <c r="AH1983" s="42"/>
      <c r="AI1983" s="42"/>
      <c r="AJ1983" s="42"/>
      <c r="AK1983" s="42"/>
      <c r="AL1983" s="42"/>
      <c r="AM1983" s="42"/>
    </row>
    <row r="1984" spans="1:39" x14ac:dyDescent="0.25">
      <c r="A1984" s="38" t="s">
        <v>2335</v>
      </c>
      <c r="B1984" s="42"/>
      <c r="C1984" s="42"/>
      <c r="D1984" s="42"/>
      <c r="E1984" s="41"/>
      <c r="F1984" s="41"/>
      <c r="G1984" s="41"/>
      <c r="H1984" s="41"/>
      <c r="I1984" s="41"/>
      <c r="J1984" s="42"/>
      <c r="K1984" s="41"/>
      <c r="L1984" s="41"/>
      <c r="M1984" s="127"/>
      <c r="N1984" s="41"/>
      <c r="O1984" s="41"/>
      <c r="P1984" s="41"/>
      <c r="Q1984" s="42"/>
      <c r="R1984" s="35"/>
      <c r="S1984" s="35"/>
      <c r="T1984" s="35"/>
      <c r="U1984" s="35"/>
      <c r="V1984" s="121"/>
      <c r="W1984" s="42"/>
      <c r="X1984" s="42"/>
      <c r="Y1984" s="42"/>
      <c r="Z1984" s="42"/>
      <c r="AA1984" s="42"/>
      <c r="AB1984" s="42"/>
      <c r="AC1984" s="42"/>
      <c r="AD1984" s="42"/>
      <c r="AE1984" s="42"/>
      <c r="AF1984" s="42"/>
      <c r="AG1984" s="42"/>
      <c r="AH1984" s="42"/>
      <c r="AI1984" s="42"/>
      <c r="AJ1984" s="42"/>
      <c r="AK1984" s="42"/>
      <c r="AL1984" s="42"/>
      <c r="AM1984" s="42"/>
    </row>
    <row r="1985" spans="1:39" x14ac:dyDescent="0.25">
      <c r="A1985" s="38" t="s">
        <v>2336</v>
      </c>
      <c r="B1985" s="42"/>
      <c r="C1985" s="42"/>
      <c r="D1985" s="42"/>
      <c r="E1985" s="41"/>
      <c r="F1985" s="41"/>
      <c r="G1985" s="41"/>
      <c r="H1985" s="41"/>
      <c r="I1985" s="41"/>
      <c r="J1985" s="42"/>
      <c r="K1985" s="41"/>
      <c r="L1985" s="41"/>
      <c r="M1985" s="127"/>
      <c r="N1985" s="41"/>
      <c r="O1985" s="41"/>
      <c r="P1985" s="41"/>
      <c r="Q1985" s="42"/>
      <c r="R1985" s="35"/>
      <c r="S1985" s="35"/>
      <c r="T1985" s="35"/>
      <c r="U1985" s="35"/>
      <c r="V1985" s="121"/>
      <c r="W1985" s="42"/>
      <c r="X1985" s="42"/>
      <c r="Y1985" s="42"/>
      <c r="Z1985" s="42"/>
      <c r="AA1985" s="42"/>
      <c r="AB1985" s="42"/>
      <c r="AC1985" s="42"/>
      <c r="AD1985" s="42"/>
      <c r="AE1985" s="42"/>
      <c r="AF1985" s="42"/>
      <c r="AG1985" s="42"/>
      <c r="AH1985" s="42"/>
      <c r="AI1985" s="42"/>
      <c r="AJ1985" s="42"/>
      <c r="AK1985" s="42"/>
      <c r="AL1985" s="42"/>
      <c r="AM1985" s="42"/>
    </row>
    <row r="1986" spans="1:39" x14ac:dyDescent="0.25">
      <c r="A1986" s="38" t="s">
        <v>2337</v>
      </c>
      <c r="B1986" s="42"/>
      <c r="C1986" s="42"/>
      <c r="D1986" s="42"/>
      <c r="E1986" s="41"/>
      <c r="F1986" s="41"/>
      <c r="G1986" s="41"/>
      <c r="H1986" s="41"/>
      <c r="I1986" s="41"/>
      <c r="J1986" s="42"/>
      <c r="K1986" s="41"/>
      <c r="L1986" s="41"/>
      <c r="M1986" s="127"/>
      <c r="N1986" s="41"/>
      <c r="O1986" s="41"/>
      <c r="P1986" s="41"/>
      <c r="Q1986" s="42"/>
      <c r="R1986" s="35"/>
      <c r="S1986" s="35"/>
      <c r="T1986" s="35"/>
      <c r="U1986" s="35"/>
      <c r="V1986" s="121"/>
      <c r="W1986" s="42"/>
      <c r="X1986" s="42"/>
      <c r="Y1986" s="42"/>
      <c r="Z1986" s="42"/>
      <c r="AA1986" s="42"/>
      <c r="AB1986" s="42"/>
      <c r="AC1986" s="42"/>
      <c r="AD1986" s="42"/>
      <c r="AE1986" s="42"/>
      <c r="AF1986" s="42"/>
      <c r="AG1986" s="42"/>
      <c r="AH1986" s="42"/>
      <c r="AI1986" s="42"/>
      <c r="AJ1986" s="42"/>
      <c r="AK1986" s="42"/>
      <c r="AL1986" s="42"/>
      <c r="AM1986" s="42"/>
    </row>
    <row r="1987" spans="1:39" x14ac:dyDescent="0.25">
      <c r="A1987" s="38" t="s">
        <v>2338</v>
      </c>
      <c r="B1987" s="42"/>
      <c r="C1987" s="42"/>
      <c r="D1987" s="42"/>
      <c r="E1987" s="41"/>
      <c r="F1987" s="41"/>
      <c r="G1987" s="41"/>
      <c r="H1987" s="41"/>
      <c r="I1987" s="41"/>
      <c r="J1987" s="42"/>
      <c r="K1987" s="41"/>
      <c r="L1987" s="41"/>
      <c r="M1987" s="127"/>
      <c r="N1987" s="41"/>
      <c r="O1987" s="41"/>
      <c r="P1987" s="41"/>
      <c r="Q1987" s="42"/>
      <c r="R1987" s="35"/>
      <c r="S1987" s="35"/>
      <c r="T1987" s="35"/>
      <c r="U1987" s="35"/>
      <c r="V1987" s="121"/>
      <c r="W1987" s="42"/>
      <c r="X1987" s="42"/>
      <c r="Y1987" s="42"/>
      <c r="Z1987" s="42"/>
      <c r="AA1987" s="42"/>
      <c r="AB1987" s="42"/>
      <c r="AC1987" s="42"/>
      <c r="AD1987" s="42"/>
      <c r="AE1987" s="42"/>
      <c r="AF1987" s="42"/>
      <c r="AG1987" s="42"/>
      <c r="AH1987" s="42"/>
      <c r="AI1987" s="42"/>
      <c r="AJ1987" s="42"/>
      <c r="AK1987" s="42"/>
      <c r="AL1987" s="42"/>
      <c r="AM1987" s="42"/>
    </row>
    <row r="1988" spans="1:39" x14ac:dyDescent="0.25">
      <c r="A1988" s="38" t="s">
        <v>2339</v>
      </c>
      <c r="B1988" s="42"/>
      <c r="C1988" s="42"/>
      <c r="D1988" s="42"/>
      <c r="E1988" s="41"/>
      <c r="F1988" s="41"/>
      <c r="G1988" s="41"/>
      <c r="H1988" s="41"/>
      <c r="I1988" s="41"/>
      <c r="J1988" s="42"/>
      <c r="K1988" s="41"/>
      <c r="L1988" s="41"/>
      <c r="M1988" s="127"/>
      <c r="N1988" s="41"/>
      <c r="O1988" s="41"/>
      <c r="P1988" s="41"/>
      <c r="Q1988" s="42"/>
      <c r="R1988" s="35"/>
      <c r="S1988" s="35"/>
      <c r="T1988" s="35"/>
      <c r="U1988" s="35"/>
      <c r="V1988" s="121"/>
      <c r="W1988" s="42"/>
      <c r="X1988" s="42"/>
      <c r="Y1988" s="42"/>
      <c r="Z1988" s="42"/>
      <c r="AA1988" s="42"/>
      <c r="AB1988" s="42"/>
      <c r="AC1988" s="42"/>
      <c r="AD1988" s="42"/>
      <c r="AE1988" s="42"/>
      <c r="AF1988" s="42"/>
      <c r="AG1988" s="42"/>
      <c r="AH1988" s="42"/>
      <c r="AI1988" s="42"/>
      <c r="AJ1988" s="42"/>
      <c r="AK1988" s="42"/>
      <c r="AL1988" s="42"/>
      <c r="AM1988" s="42"/>
    </row>
    <row r="1989" spans="1:39" x14ac:dyDescent="0.25">
      <c r="A1989" s="38" t="s">
        <v>2340</v>
      </c>
      <c r="B1989" s="42"/>
      <c r="C1989" s="42"/>
      <c r="D1989" s="42"/>
      <c r="E1989" s="41"/>
      <c r="F1989" s="41"/>
      <c r="G1989" s="41"/>
      <c r="H1989" s="41"/>
      <c r="I1989" s="41"/>
      <c r="J1989" s="42"/>
      <c r="K1989" s="41"/>
      <c r="L1989" s="41"/>
      <c r="M1989" s="127"/>
      <c r="N1989" s="41"/>
      <c r="O1989" s="41"/>
      <c r="P1989" s="41"/>
      <c r="Q1989" s="42"/>
      <c r="R1989" s="35"/>
      <c r="S1989" s="35"/>
      <c r="T1989" s="35"/>
      <c r="U1989" s="35"/>
      <c r="V1989" s="121"/>
      <c r="W1989" s="42"/>
      <c r="X1989" s="42"/>
      <c r="Y1989" s="42"/>
      <c r="Z1989" s="42"/>
      <c r="AA1989" s="42"/>
      <c r="AB1989" s="42"/>
      <c r="AC1989" s="42"/>
      <c r="AD1989" s="42"/>
      <c r="AE1989" s="42"/>
      <c r="AF1989" s="42"/>
      <c r="AG1989" s="42"/>
      <c r="AH1989" s="42"/>
      <c r="AI1989" s="42"/>
      <c r="AJ1989" s="42"/>
      <c r="AK1989" s="42"/>
      <c r="AL1989" s="42"/>
      <c r="AM1989" s="42"/>
    </row>
    <row r="1990" spans="1:39" x14ac:dyDescent="0.25">
      <c r="A1990" s="38" t="s">
        <v>2341</v>
      </c>
      <c r="B1990" s="42"/>
      <c r="C1990" s="42"/>
      <c r="D1990" s="42"/>
      <c r="E1990" s="41"/>
      <c r="F1990" s="41"/>
      <c r="G1990" s="41"/>
      <c r="H1990" s="41"/>
      <c r="I1990" s="41"/>
      <c r="J1990" s="42"/>
      <c r="K1990" s="41"/>
      <c r="L1990" s="41"/>
      <c r="M1990" s="127"/>
      <c r="N1990" s="41"/>
      <c r="O1990" s="41"/>
      <c r="P1990" s="41"/>
      <c r="Q1990" s="42"/>
      <c r="R1990" s="35"/>
      <c r="S1990" s="35"/>
      <c r="T1990" s="35"/>
      <c r="U1990" s="35"/>
      <c r="V1990" s="121"/>
      <c r="W1990" s="42"/>
      <c r="X1990" s="42"/>
      <c r="Y1990" s="42"/>
      <c r="Z1990" s="42"/>
      <c r="AA1990" s="42"/>
      <c r="AB1990" s="42"/>
      <c r="AC1990" s="42"/>
      <c r="AD1990" s="42"/>
      <c r="AE1990" s="42"/>
      <c r="AF1990" s="42"/>
      <c r="AG1990" s="42"/>
      <c r="AH1990" s="42"/>
      <c r="AI1990" s="42"/>
      <c r="AJ1990" s="42"/>
      <c r="AK1990" s="42"/>
      <c r="AL1990" s="42"/>
      <c r="AM1990" s="42"/>
    </row>
    <row r="1991" spans="1:39" x14ac:dyDescent="0.25">
      <c r="A1991" s="38" t="s">
        <v>2342</v>
      </c>
      <c r="B1991" s="42"/>
      <c r="C1991" s="42"/>
      <c r="D1991" s="42"/>
      <c r="E1991" s="41"/>
      <c r="F1991" s="41"/>
      <c r="G1991" s="41"/>
      <c r="H1991" s="41"/>
      <c r="I1991" s="41"/>
      <c r="J1991" s="42"/>
      <c r="K1991" s="41"/>
      <c r="L1991" s="41"/>
      <c r="M1991" s="127"/>
      <c r="N1991" s="41"/>
      <c r="O1991" s="41"/>
      <c r="P1991" s="41"/>
      <c r="Q1991" s="42"/>
      <c r="R1991" s="35"/>
      <c r="S1991" s="35"/>
      <c r="T1991" s="35"/>
      <c r="U1991" s="35"/>
      <c r="V1991" s="121"/>
      <c r="W1991" s="42"/>
      <c r="X1991" s="42"/>
      <c r="Y1991" s="42"/>
      <c r="Z1991" s="42"/>
      <c r="AA1991" s="42"/>
      <c r="AB1991" s="42"/>
      <c r="AC1991" s="42"/>
      <c r="AD1991" s="42"/>
      <c r="AE1991" s="42"/>
      <c r="AF1991" s="42"/>
      <c r="AG1991" s="42"/>
      <c r="AH1991" s="42"/>
      <c r="AI1991" s="42"/>
      <c r="AJ1991" s="42"/>
      <c r="AK1991" s="42"/>
      <c r="AL1991" s="42"/>
      <c r="AM1991" s="42"/>
    </row>
    <row r="1992" spans="1:39" x14ac:dyDescent="0.25">
      <c r="A1992" s="38" t="s">
        <v>2343</v>
      </c>
      <c r="B1992" s="42"/>
      <c r="C1992" s="42"/>
      <c r="D1992" s="42"/>
      <c r="E1992" s="41"/>
      <c r="F1992" s="41"/>
      <c r="G1992" s="41"/>
      <c r="H1992" s="41"/>
      <c r="I1992" s="41"/>
      <c r="J1992" s="42"/>
      <c r="K1992" s="41"/>
      <c r="L1992" s="41"/>
      <c r="M1992" s="127"/>
      <c r="N1992" s="41"/>
      <c r="O1992" s="41"/>
      <c r="P1992" s="41"/>
      <c r="Q1992" s="42"/>
      <c r="R1992" s="35"/>
      <c r="S1992" s="35"/>
      <c r="T1992" s="35"/>
      <c r="U1992" s="35"/>
      <c r="V1992" s="121"/>
      <c r="W1992" s="42"/>
      <c r="X1992" s="42"/>
      <c r="Y1992" s="42"/>
      <c r="Z1992" s="42"/>
      <c r="AA1992" s="42"/>
      <c r="AB1992" s="42"/>
      <c r="AC1992" s="42"/>
      <c r="AD1992" s="42"/>
      <c r="AE1992" s="42"/>
      <c r="AF1992" s="42"/>
      <c r="AG1992" s="42"/>
      <c r="AH1992" s="42"/>
      <c r="AI1992" s="42"/>
      <c r="AJ1992" s="42"/>
      <c r="AK1992" s="42"/>
      <c r="AL1992" s="42"/>
      <c r="AM1992" s="42"/>
    </row>
    <row r="1993" spans="1:39" x14ac:dyDescent="0.25">
      <c r="A1993" s="38" t="s">
        <v>2344</v>
      </c>
      <c r="B1993" s="42"/>
      <c r="C1993" s="42"/>
      <c r="D1993" s="42"/>
      <c r="E1993" s="41"/>
      <c r="F1993" s="41"/>
      <c r="G1993" s="41"/>
      <c r="H1993" s="41"/>
      <c r="I1993" s="41"/>
      <c r="J1993" s="42"/>
      <c r="K1993" s="41"/>
      <c r="L1993" s="41"/>
      <c r="M1993" s="127"/>
      <c r="N1993" s="41"/>
      <c r="O1993" s="41"/>
      <c r="P1993" s="41"/>
      <c r="Q1993" s="42"/>
      <c r="R1993" s="35"/>
      <c r="S1993" s="35"/>
      <c r="T1993" s="35"/>
      <c r="U1993" s="35"/>
      <c r="V1993" s="121"/>
      <c r="W1993" s="42"/>
      <c r="X1993" s="42"/>
      <c r="Y1993" s="42"/>
      <c r="Z1993" s="42"/>
      <c r="AA1993" s="42"/>
      <c r="AB1993" s="42"/>
      <c r="AC1993" s="42"/>
      <c r="AD1993" s="42"/>
      <c r="AE1993" s="42"/>
      <c r="AF1993" s="42"/>
      <c r="AG1993" s="42"/>
      <c r="AH1993" s="42"/>
      <c r="AI1993" s="42"/>
      <c r="AJ1993" s="42"/>
      <c r="AK1993" s="42"/>
      <c r="AL1993" s="42"/>
      <c r="AM1993" s="42"/>
    </row>
    <row r="1994" spans="1:39" x14ac:dyDescent="0.25">
      <c r="A1994" s="38" t="s">
        <v>2345</v>
      </c>
      <c r="B1994" s="42"/>
      <c r="C1994" s="42"/>
      <c r="D1994" s="42"/>
      <c r="E1994" s="41"/>
      <c r="F1994" s="41"/>
      <c r="G1994" s="41"/>
      <c r="H1994" s="41"/>
      <c r="I1994" s="41"/>
      <c r="J1994" s="42"/>
      <c r="K1994" s="41"/>
      <c r="L1994" s="41"/>
      <c r="M1994" s="127"/>
      <c r="N1994" s="41"/>
      <c r="O1994" s="41"/>
      <c r="P1994" s="41"/>
      <c r="Q1994" s="42"/>
      <c r="R1994" s="35"/>
      <c r="S1994" s="35"/>
      <c r="T1994" s="35"/>
      <c r="U1994" s="35"/>
      <c r="V1994" s="121"/>
      <c r="W1994" s="42"/>
      <c r="X1994" s="42"/>
      <c r="Y1994" s="42"/>
      <c r="Z1994" s="42"/>
      <c r="AA1994" s="42"/>
      <c r="AB1994" s="42"/>
      <c r="AC1994" s="42"/>
      <c r="AD1994" s="42"/>
      <c r="AE1994" s="42"/>
      <c r="AF1994" s="42"/>
      <c r="AG1994" s="42"/>
      <c r="AH1994" s="42"/>
      <c r="AI1994" s="42"/>
      <c r="AJ1994" s="42"/>
      <c r="AK1994" s="42"/>
      <c r="AL1994" s="42"/>
      <c r="AM1994" s="42"/>
    </row>
    <row r="1995" spans="1:39" x14ac:dyDescent="0.25">
      <c r="A1995" s="38" t="s">
        <v>2346</v>
      </c>
      <c r="B1995" s="42"/>
      <c r="C1995" s="42"/>
      <c r="D1995" s="42"/>
      <c r="E1995" s="41"/>
      <c r="F1995" s="41"/>
      <c r="G1995" s="41"/>
      <c r="H1995" s="41"/>
      <c r="I1995" s="41"/>
      <c r="J1995" s="42"/>
      <c r="K1995" s="41"/>
      <c r="L1995" s="41"/>
      <c r="M1995" s="127"/>
      <c r="N1995" s="41"/>
      <c r="O1995" s="41"/>
      <c r="P1995" s="41"/>
      <c r="Q1995" s="42"/>
      <c r="R1995" s="35"/>
      <c r="S1995" s="35"/>
      <c r="T1995" s="35"/>
      <c r="U1995" s="35"/>
      <c r="V1995" s="121"/>
      <c r="W1995" s="42"/>
      <c r="X1995" s="42"/>
      <c r="Y1995" s="42"/>
      <c r="Z1995" s="42"/>
      <c r="AA1995" s="42"/>
      <c r="AB1995" s="42"/>
      <c r="AC1995" s="42"/>
      <c r="AD1995" s="42"/>
      <c r="AE1995" s="42"/>
      <c r="AF1995" s="42"/>
      <c r="AG1995" s="42"/>
      <c r="AH1995" s="42"/>
      <c r="AI1995" s="42"/>
      <c r="AJ1995" s="42"/>
      <c r="AK1995" s="42"/>
      <c r="AL1995" s="42"/>
      <c r="AM1995" s="42"/>
    </row>
    <row r="1996" spans="1:39" x14ac:dyDescent="0.25">
      <c r="A1996" s="38" t="s">
        <v>2347</v>
      </c>
      <c r="B1996" s="42"/>
      <c r="C1996" s="42"/>
      <c r="D1996" s="42"/>
      <c r="E1996" s="41"/>
      <c r="F1996" s="41"/>
      <c r="G1996" s="41"/>
      <c r="H1996" s="41"/>
      <c r="I1996" s="41"/>
      <c r="J1996" s="42"/>
      <c r="K1996" s="41"/>
      <c r="L1996" s="41"/>
      <c r="M1996" s="127"/>
      <c r="N1996" s="41"/>
      <c r="O1996" s="41"/>
      <c r="P1996" s="41"/>
      <c r="Q1996" s="42"/>
      <c r="R1996" s="35"/>
      <c r="S1996" s="35"/>
      <c r="T1996" s="35"/>
      <c r="U1996" s="35"/>
      <c r="V1996" s="121"/>
      <c r="W1996" s="42"/>
      <c r="X1996" s="42"/>
      <c r="Y1996" s="42"/>
      <c r="Z1996" s="42"/>
      <c r="AA1996" s="42"/>
      <c r="AB1996" s="42"/>
      <c r="AC1996" s="42"/>
      <c r="AD1996" s="42"/>
      <c r="AE1996" s="42"/>
      <c r="AF1996" s="42"/>
      <c r="AG1996" s="42"/>
      <c r="AH1996" s="42"/>
      <c r="AI1996" s="42"/>
      <c r="AJ1996" s="42"/>
      <c r="AK1996" s="42"/>
      <c r="AL1996" s="42"/>
      <c r="AM1996" s="42"/>
    </row>
    <row r="1997" spans="1:39" x14ac:dyDescent="0.25">
      <c r="A1997" s="38" t="s">
        <v>2348</v>
      </c>
      <c r="B1997" s="42"/>
      <c r="C1997" s="42"/>
      <c r="D1997" s="42"/>
      <c r="E1997" s="41"/>
      <c r="F1997" s="41"/>
      <c r="G1997" s="41"/>
      <c r="H1997" s="41"/>
      <c r="I1997" s="41"/>
      <c r="J1997" s="42"/>
      <c r="K1997" s="41"/>
      <c r="L1997" s="41"/>
      <c r="M1997" s="127"/>
      <c r="N1997" s="41"/>
      <c r="O1997" s="41"/>
      <c r="P1997" s="41"/>
      <c r="Q1997" s="42"/>
      <c r="R1997" s="35"/>
      <c r="S1997" s="35"/>
      <c r="T1997" s="35"/>
      <c r="U1997" s="35"/>
      <c r="V1997" s="121"/>
      <c r="W1997" s="42"/>
      <c r="X1997" s="42"/>
      <c r="Y1997" s="42"/>
      <c r="Z1997" s="42"/>
      <c r="AA1997" s="42"/>
      <c r="AB1997" s="42"/>
      <c r="AC1997" s="42"/>
      <c r="AD1997" s="42"/>
      <c r="AE1997" s="42"/>
      <c r="AF1997" s="42"/>
      <c r="AG1997" s="42"/>
      <c r="AH1997" s="42"/>
      <c r="AI1997" s="42"/>
      <c r="AJ1997" s="42"/>
      <c r="AK1997" s="42"/>
      <c r="AL1997" s="42"/>
      <c r="AM1997" s="42"/>
    </row>
    <row r="1998" spans="1:39" x14ac:dyDescent="0.25">
      <c r="A1998" s="38" t="s">
        <v>2349</v>
      </c>
      <c r="B1998" s="42"/>
      <c r="C1998" s="42"/>
      <c r="D1998" s="42"/>
      <c r="E1998" s="41"/>
      <c r="F1998" s="41"/>
      <c r="G1998" s="41"/>
      <c r="H1998" s="41"/>
      <c r="I1998" s="41"/>
      <c r="J1998" s="42"/>
      <c r="K1998" s="41"/>
      <c r="L1998" s="41"/>
      <c r="M1998" s="127"/>
      <c r="N1998" s="41"/>
      <c r="O1998" s="41"/>
      <c r="P1998" s="41"/>
      <c r="Q1998" s="42"/>
      <c r="R1998" s="35"/>
      <c r="S1998" s="35"/>
      <c r="T1998" s="35"/>
      <c r="U1998" s="35"/>
      <c r="V1998" s="121"/>
      <c r="W1998" s="42"/>
      <c r="X1998" s="42"/>
      <c r="Y1998" s="42"/>
      <c r="Z1998" s="42"/>
      <c r="AA1998" s="42"/>
      <c r="AB1998" s="42"/>
      <c r="AC1998" s="42"/>
      <c r="AD1998" s="42"/>
      <c r="AE1998" s="42"/>
      <c r="AF1998" s="42"/>
      <c r="AG1998" s="42"/>
      <c r="AH1998" s="42"/>
      <c r="AI1998" s="42"/>
      <c r="AJ1998" s="42"/>
      <c r="AK1998" s="42"/>
      <c r="AL1998" s="42"/>
      <c r="AM1998" s="42"/>
    </row>
    <row r="1999" spans="1:39" x14ac:dyDescent="0.25">
      <c r="A1999" s="38" t="s">
        <v>2350</v>
      </c>
      <c r="B1999" s="42"/>
      <c r="C1999" s="42"/>
      <c r="D1999" s="42"/>
      <c r="E1999" s="41"/>
      <c r="F1999" s="41"/>
      <c r="G1999" s="41"/>
      <c r="H1999" s="41"/>
      <c r="I1999" s="41"/>
      <c r="J1999" s="42"/>
      <c r="K1999" s="41"/>
      <c r="L1999" s="41"/>
      <c r="M1999" s="127"/>
      <c r="N1999" s="41"/>
      <c r="O1999" s="41"/>
      <c r="P1999" s="41"/>
      <c r="Q1999" s="42"/>
      <c r="R1999" s="35"/>
      <c r="S1999" s="35"/>
      <c r="T1999" s="35"/>
      <c r="U1999" s="35"/>
      <c r="V1999" s="121"/>
      <c r="W1999" s="42"/>
      <c r="X1999" s="42"/>
      <c r="Y1999" s="42"/>
      <c r="Z1999" s="42"/>
      <c r="AA1999" s="42"/>
      <c r="AB1999" s="42"/>
      <c r="AC1999" s="42"/>
      <c r="AD1999" s="42"/>
      <c r="AE1999" s="42"/>
      <c r="AF1999" s="42"/>
      <c r="AG1999" s="42"/>
      <c r="AH1999" s="42"/>
      <c r="AI1999" s="42"/>
      <c r="AJ1999" s="42"/>
      <c r="AK1999" s="42"/>
      <c r="AL1999" s="42"/>
      <c r="AM1999" s="42"/>
    </row>
    <row r="2000" spans="1:39" x14ac:dyDescent="0.25">
      <c r="A2000" s="38" t="s">
        <v>2351</v>
      </c>
      <c r="B2000" s="42"/>
      <c r="C2000" s="42"/>
      <c r="D2000" s="42"/>
      <c r="E2000" s="41"/>
      <c r="F2000" s="41"/>
      <c r="G2000" s="41"/>
      <c r="H2000" s="41"/>
      <c r="I2000" s="41"/>
      <c r="J2000" s="42"/>
      <c r="K2000" s="41"/>
      <c r="L2000" s="41"/>
      <c r="M2000" s="127"/>
      <c r="N2000" s="41"/>
      <c r="O2000" s="41"/>
      <c r="P2000" s="41"/>
      <c r="Q2000" s="42"/>
      <c r="R2000" s="35"/>
      <c r="S2000" s="35"/>
      <c r="T2000" s="35"/>
      <c r="U2000" s="35"/>
      <c r="V2000" s="121"/>
      <c r="W2000" s="42"/>
      <c r="X2000" s="42"/>
      <c r="Y2000" s="42"/>
      <c r="Z2000" s="42"/>
      <c r="AA2000" s="42"/>
      <c r="AB2000" s="42"/>
      <c r="AC2000" s="42"/>
      <c r="AD2000" s="42"/>
      <c r="AE2000" s="42"/>
      <c r="AF2000" s="42"/>
      <c r="AG2000" s="42"/>
      <c r="AH2000" s="42"/>
      <c r="AI2000" s="42"/>
      <c r="AJ2000" s="42"/>
      <c r="AK2000" s="42"/>
      <c r="AL2000" s="42"/>
      <c r="AM2000" s="42"/>
    </row>
    <row r="2001" spans="1:39" x14ac:dyDescent="0.25">
      <c r="A2001" s="38" t="s">
        <v>2352</v>
      </c>
      <c r="B2001" s="42"/>
      <c r="C2001" s="42"/>
      <c r="D2001" s="42"/>
      <c r="E2001" s="41"/>
      <c r="F2001" s="41"/>
      <c r="G2001" s="41"/>
      <c r="H2001" s="41"/>
      <c r="I2001" s="41"/>
      <c r="J2001" s="42"/>
      <c r="K2001" s="41"/>
      <c r="L2001" s="41"/>
      <c r="M2001" s="127"/>
      <c r="N2001" s="41"/>
      <c r="O2001" s="41"/>
      <c r="P2001" s="41"/>
      <c r="Q2001" s="42"/>
      <c r="R2001" s="35"/>
      <c r="S2001" s="35"/>
      <c r="T2001" s="35"/>
      <c r="U2001" s="35"/>
      <c r="V2001" s="121"/>
      <c r="W2001" s="42"/>
      <c r="X2001" s="42"/>
      <c r="Y2001" s="42"/>
      <c r="Z2001" s="42"/>
      <c r="AA2001" s="42"/>
      <c r="AB2001" s="42"/>
      <c r="AC2001" s="42"/>
      <c r="AD2001" s="42"/>
      <c r="AE2001" s="42"/>
      <c r="AF2001" s="42"/>
      <c r="AG2001" s="42"/>
      <c r="AH2001" s="42"/>
      <c r="AI2001" s="42"/>
      <c r="AJ2001" s="42"/>
      <c r="AK2001" s="42"/>
      <c r="AL2001" s="42"/>
      <c r="AM2001" s="42"/>
    </row>
    <row r="2002" spans="1:39" x14ac:dyDescent="0.25">
      <c r="A2002" s="38" t="s">
        <v>2353</v>
      </c>
      <c r="B2002" s="42"/>
      <c r="C2002" s="42"/>
      <c r="D2002" s="42"/>
      <c r="E2002" s="41"/>
      <c r="F2002" s="41"/>
      <c r="G2002" s="41"/>
      <c r="H2002" s="41"/>
      <c r="I2002" s="41"/>
      <c r="J2002" s="42"/>
      <c r="K2002" s="41"/>
      <c r="L2002" s="41"/>
      <c r="M2002" s="127"/>
      <c r="N2002" s="41"/>
      <c r="O2002" s="41"/>
      <c r="P2002" s="41"/>
      <c r="Q2002" s="42"/>
      <c r="R2002" s="35"/>
      <c r="S2002" s="35"/>
      <c r="T2002" s="35"/>
      <c r="U2002" s="35"/>
      <c r="V2002" s="121"/>
      <c r="W2002" s="42"/>
      <c r="X2002" s="42"/>
      <c r="Y2002" s="42"/>
      <c r="Z2002" s="42"/>
      <c r="AA2002" s="42"/>
      <c r="AB2002" s="42"/>
      <c r="AC2002" s="42"/>
      <c r="AD2002" s="42"/>
      <c r="AE2002" s="42"/>
      <c r="AF2002" s="42"/>
      <c r="AG2002" s="42"/>
      <c r="AH2002" s="42"/>
      <c r="AI2002" s="42"/>
      <c r="AJ2002" s="42"/>
      <c r="AK2002" s="42"/>
      <c r="AL2002" s="42"/>
      <c r="AM2002" s="42"/>
    </row>
    <row r="2003" spans="1:39" x14ac:dyDescent="0.25">
      <c r="A2003" s="38" t="s">
        <v>2354</v>
      </c>
      <c r="B2003" s="42"/>
      <c r="C2003" s="42"/>
      <c r="D2003" s="42"/>
      <c r="E2003" s="41"/>
      <c r="F2003" s="41"/>
      <c r="G2003" s="41"/>
      <c r="H2003" s="41"/>
      <c r="I2003" s="41"/>
      <c r="J2003" s="42"/>
      <c r="K2003" s="41"/>
      <c r="L2003" s="41"/>
      <c r="M2003" s="127"/>
      <c r="N2003" s="41"/>
      <c r="O2003" s="41"/>
      <c r="P2003" s="41"/>
      <c r="Q2003" s="42"/>
      <c r="R2003" s="35"/>
      <c r="S2003" s="35"/>
      <c r="T2003" s="35"/>
      <c r="U2003" s="35"/>
      <c r="V2003" s="121"/>
      <c r="W2003" s="42"/>
      <c r="X2003" s="42"/>
      <c r="Y2003" s="42"/>
      <c r="Z2003" s="42"/>
      <c r="AA2003" s="42"/>
      <c r="AB2003" s="42"/>
      <c r="AC2003" s="42"/>
      <c r="AD2003" s="42"/>
      <c r="AE2003" s="42"/>
      <c r="AF2003" s="42"/>
      <c r="AG2003" s="42"/>
      <c r="AH2003" s="42"/>
      <c r="AI2003" s="42"/>
      <c r="AJ2003" s="42"/>
      <c r="AK2003" s="42"/>
      <c r="AL2003" s="42"/>
      <c r="AM2003" s="42"/>
    </row>
    <row r="2004" spans="1:39" x14ac:dyDescent="0.25">
      <c r="A2004" s="38" t="s">
        <v>2355</v>
      </c>
      <c r="B2004" s="42"/>
      <c r="C2004" s="42"/>
      <c r="D2004" s="42"/>
      <c r="E2004" s="41"/>
      <c r="F2004" s="41"/>
      <c r="G2004" s="41"/>
      <c r="H2004" s="41"/>
      <c r="I2004" s="41"/>
      <c r="J2004" s="42"/>
      <c r="K2004" s="41"/>
      <c r="L2004" s="41"/>
      <c r="M2004" s="127"/>
      <c r="N2004" s="41"/>
      <c r="O2004" s="41"/>
      <c r="P2004" s="41"/>
      <c r="Q2004" s="42"/>
      <c r="R2004" s="35"/>
      <c r="S2004" s="35"/>
      <c r="T2004" s="35"/>
      <c r="U2004" s="35"/>
      <c r="V2004" s="121"/>
      <c r="W2004" s="42"/>
      <c r="X2004" s="42"/>
      <c r="Y2004" s="42"/>
      <c r="Z2004" s="42"/>
      <c r="AA2004" s="42"/>
      <c r="AB2004" s="42"/>
      <c r="AC2004" s="42"/>
      <c r="AD2004" s="42"/>
      <c r="AE2004" s="42"/>
      <c r="AF2004" s="42"/>
      <c r="AG2004" s="42"/>
      <c r="AH2004" s="42"/>
      <c r="AI2004" s="42"/>
      <c r="AJ2004" s="42"/>
      <c r="AK2004" s="42"/>
      <c r="AL2004" s="42"/>
      <c r="AM2004" s="42"/>
    </row>
    <row r="2005" spans="1:39" x14ac:dyDescent="0.25">
      <c r="A2005" s="38" t="s">
        <v>2356</v>
      </c>
      <c r="B2005" s="42"/>
      <c r="C2005" s="42"/>
      <c r="D2005" s="42"/>
      <c r="E2005" s="41"/>
      <c r="F2005" s="41"/>
      <c r="G2005" s="41"/>
      <c r="H2005" s="41"/>
      <c r="I2005" s="41"/>
      <c r="J2005" s="42"/>
      <c r="K2005" s="41"/>
      <c r="L2005" s="41"/>
      <c r="M2005" s="127"/>
      <c r="N2005" s="41"/>
      <c r="O2005" s="41"/>
      <c r="P2005" s="41"/>
      <c r="Q2005" s="42"/>
      <c r="R2005" s="35"/>
      <c r="S2005" s="35"/>
      <c r="T2005" s="35"/>
      <c r="U2005" s="35"/>
      <c r="V2005" s="121"/>
      <c r="W2005" s="42"/>
      <c r="X2005" s="42"/>
      <c r="Y2005" s="42"/>
      <c r="Z2005" s="42"/>
      <c r="AA2005" s="42"/>
      <c r="AB2005" s="42"/>
      <c r="AC2005" s="42"/>
      <c r="AD2005" s="42"/>
      <c r="AE2005" s="42"/>
      <c r="AF2005" s="42"/>
      <c r="AG2005" s="42"/>
      <c r="AH2005" s="42"/>
      <c r="AI2005" s="42"/>
      <c r="AJ2005" s="42"/>
      <c r="AK2005" s="42"/>
      <c r="AL2005" s="42"/>
      <c r="AM2005" s="42"/>
    </row>
    <row r="2006" spans="1:39" x14ac:dyDescent="0.25">
      <c r="A2006" s="38" t="s">
        <v>2357</v>
      </c>
      <c r="B2006" s="42"/>
      <c r="C2006" s="42"/>
      <c r="D2006" s="42"/>
      <c r="E2006" s="41"/>
      <c r="F2006" s="41"/>
      <c r="G2006" s="41"/>
      <c r="H2006" s="41"/>
      <c r="I2006" s="41"/>
      <c r="J2006" s="42"/>
      <c r="K2006" s="41"/>
      <c r="L2006" s="41"/>
      <c r="M2006" s="127"/>
      <c r="N2006" s="41"/>
      <c r="O2006" s="41"/>
      <c r="P2006" s="41"/>
      <c r="Q2006" s="42"/>
      <c r="R2006" s="35"/>
      <c r="S2006" s="35"/>
      <c r="T2006" s="35"/>
      <c r="U2006" s="35"/>
      <c r="V2006" s="121"/>
      <c r="W2006" s="42"/>
      <c r="X2006" s="42"/>
      <c r="Y2006" s="42"/>
      <c r="Z2006" s="42"/>
      <c r="AA2006" s="42"/>
      <c r="AB2006" s="42"/>
      <c r="AC2006" s="42"/>
      <c r="AD2006" s="42"/>
      <c r="AE2006" s="42"/>
      <c r="AF2006" s="42"/>
      <c r="AG2006" s="42"/>
      <c r="AH2006" s="42"/>
      <c r="AI2006" s="42"/>
      <c r="AJ2006" s="42"/>
      <c r="AK2006" s="42"/>
      <c r="AL2006" s="42"/>
      <c r="AM2006" s="42"/>
    </row>
    <row r="2007" spans="1:39" x14ac:dyDescent="0.25">
      <c r="A2007" s="38" t="s">
        <v>2358</v>
      </c>
      <c r="B2007" s="42"/>
      <c r="C2007" s="42"/>
      <c r="D2007" s="42"/>
      <c r="E2007" s="41"/>
      <c r="F2007" s="41"/>
      <c r="G2007" s="41"/>
      <c r="H2007" s="41"/>
      <c r="I2007" s="41"/>
      <c r="J2007" s="42"/>
      <c r="K2007" s="41"/>
      <c r="L2007" s="41"/>
      <c r="M2007" s="127"/>
      <c r="N2007" s="41"/>
      <c r="O2007" s="41"/>
      <c r="P2007" s="41"/>
      <c r="Q2007" s="42"/>
      <c r="R2007" s="35"/>
      <c r="S2007" s="35"/>
      <c r="T2007" s="35"/>
      <c r="U2007" s="35"/>
      <c r="V2007" s="121"/>
      <c r="W2007" s="42"/>
      <c r="X2007" s="42"/>
      <c r="Y2007" s="42"/>
      <c r="Z2007" s="42"/>
      <c r="AA2007" s="42"/>
      <c r="AB2007" s="42"/>
      <c r="AC2007" s="42"/>
      <c r="AD2007" s="42"/>
      <c r="AE2007" s="42"/>
      <c r="AF2007" s="42"/>
      <c r="AG2007" s="42"/>
      <c r="AH2007" s="42"/>
      <c r="AI2007" s="42"/>
      <c r="AJ2007" s="42"/>
      <c r="AK2007" s="42"/>
      <c r="AL2007" s="42"/>
      <c r="AM2007" s="42"/>
    </row>
    <row r="2008" spans="1:39" x14ac:dyDescent="0.25">
      <c r="A2008" s="38" t="s">
        <v>2359</v>
      </c>
      <c r="B2008" s="42"/>
      <c r="C2008" s="42"/>
      <c r="D2008" s="42"/>
      <c r="E2008" s="41"/>
      <c r="F2008" s="41"/>
      <c r="G2008" s="41"/>
      <c r="H2008" s="41"/>
      <c r="I2008" s="41"/>
      <c r="J2008" s="42"/>
      <c r="K2008" s="41"/>
      <c r="L2008" s="41"/>
      <c r="M2008" s="127"/>
      <c r="N2008" s="41"/>
      <c r="O2008" s="41"/>
      <c r="P2008" s="41"/>
      <c r="Q2008" s="42"/>
      <c r="R2008" s="35"/>
      <c r="S2008" s="35"/>
      <c r="T2008" s="35"/>
      <c r="U2008" s="35"/>
      <c r="V2008" s="121"/>
      <c r="W2008" s="42"/>
      <c r="X2008" s="42"/>
      <c r="Y2008" s="42"/>
      <c r="Z2008" s="42"/>
      <c r="AA2008" s="42"/>
      <c r="AB2008" s="42"/>
      <c r="AC2008" s="42"/>
      <c r="AD2008" s="42"/>
      <c r="AE2008" s="42"/>
      <c r="AF2008" s="42"/>
      <c r="AG2008" s="42"/>
      <c r="AH2008" s="42"/>
      <c r="AI2008" s="42"/>
      <c r="AJ2008" s="42"/>
      <c r="AK2008" s="42"/>
      <c r="AL2008" s="42"/>
      <c r="AM2008" s="42"/>
    </row>
    <row r="2009" spans="1:39" x14ac:dyDescent="0.25">
      <c r="A2009" s="38" t="s">
        <v>2360</v>
      </c>
      <c r="B2009" s="42"/>
      <c r="C2009" s="42"/>
      <c r="D2009" s="42"/>
      <c r="E2009" s="41"/>
      <c r="F2009" s="41"/>
      <c r="G2009" s="41"/>
      <c r="H2009" s="41"/>
      <c r="I2009" s="41"/>
      <c r="J2009" s="42"/>
      <c r="K2009" s="41"/>
      <c r="L2009" s="41"/>
      <c r="M2009" s="127"/>
      <c r="N2009" s="41"/>
      <c r="O2009" s="41"/>
      <c r="P2009" s="41"/>
      <c r="Q2009" s="42"/>
      <c r="R2009" s="35"/>
      <c r="S2009" s="35"/>
      <c r="T2009" s="35"/>
      <c r="U2009" s="35"/>
      <c r="V2009" s="121"/>
      <c r="W2009" s="42"/>
      <c r="X2009" s="42"/>
      <c r="Y2009" s="42"/>
      <c r="Z2009" s="42"/>
      <c r="AA2009" s="42"/>
      <c r="AB2009" s="42"/>
      <c r="AC2009" s="42"/>
      <c r="AD2009" s="42"/>
      <c r="AE2009" s="42"/>
      <c r="AF2009" s="42"/>
      <c r="AG2009" s="42"/>
      <c r="AH2009" s="42"/>
      <c r="AI2009" s="42"/>
      <c r="AJ2009" s="42"/>
      <c r="AK2009" s="42"/>
      <c r="AL2009" s="42"/>
      <c r="AM2009" s="42"/>
    </row>
    <row r="2010" spans="1:39" x14ac:dyDescent="0.25">
      <c r="A2010" s="38" t="s">
        <v>2361</v>
      </c>
      <c r="B2010" s="42"/>
      <c r="C2010" s="42"/>
      <c r="D2010" s="42"/>
      <c r="E2010" s="41"/>
      <c r="F2010" s="41"/>
      <c r="G2010" s="41"/>
      <c r="H2010" s="41"/>
      <c r="I2010" s="41"/>
      <c r="J2010" s="42"/>
      <c r="K2010" s="41"/>
      <c r="L2010" s="41"/>
      <c r="M2010" s="127"/>
      <c r="N2010" s="41"/>
      <c r="O2010" s="41"/>
      <c r="P2010" s="41"/>
      <c r="Q2010" s="42"/>
      <c r="R2010" s="35"/>
      <c r="S2010" s="35"/>
      <c r="T2010" s="35"/>
      <c r="U2010" s="35"/>
      <c r="V2010" s="121"/>
      <c r="W2010" s="42"/>
      <c r="X2010" s="42"/>
      <c r="Y2010" s="42"/>
      <c r="Z2010" s="42"/>
      <c r="AA2010" s="42"/>
      <c r="AB2010" s="42"/>
      <c r="AC2010" s="42"/>
      <c r="AD2010" s="42"/>
      <c r="AE2010" s="42"/>
      <c r="AF2010" s="42"/>
      <c r="AG2010" s="42"/>
      <c r="AH2010" s="42"/>
      <c r="AI2010" s="42"/>
      <c r="AJ2010" s="42"/>
      <c r="AK2010" s="42"/>
      <c r="AL2010" s="42"/>
      <c r="AM2010" s="42"/>
    </row>
    <row r="2011" spans="1:39" x14ac:dyDescent="0.25">
      <c r="A2011" s="38" t="s">
        <v>2362</v>
      </c>
      <c r="B2011" s="42"/>
      <c r="C2011" s="42"/>
      <c r="D2011" s="42"/>
      <c r="E2011" s="41"/>
      <c r="F2011" s="41"/>
      <c r="G2011" s="41"/>
      <c r="H2011" s="41"/>
      <c r="I2011" s="41"/>
      <c r="J2011" s="42"/>
      <c r="K2011" s="41"/>
      <c r="L2011" s="41"/>
      <c r="M2011" s="127"/>
      <c r="N2011" s="41"/>
      <c r="O2011" s="41"/>
      <c r="P2011" s="41"/>
      <c r="Q2011" s="42"/>
      <c r="R2011" s="35"/>
      <c r="S2011" s="35"/>
      <c r="T2011" s="35"/>
      <c r="U2011" s="35"/>
      <c r="V2011" s="121"/>
      <c r="W2011" s="42"/>
      <c r="X2011" s="42"/>
      <c r="Y2011" s="42"/>
      <c r="Z2011" s="42"/>
      <c r="AA2011" s="42"/>
      <c r="AB2011" s="42"/>
      <c r="AC2011" s="42"/>
      <c r="AD2011" s="42"/>
      <c r="AE2011" s="42"/>
      <c r="AF2011" s="42"/>
      <c r="AG2011" s="42"/>
      <c r="AH2011" s="42"/>
      <c r="AI2011" s="42"/>
      <c r="AJ2011" s="42"/>
      <c r="AK2011" s="42"/>
      <c r="AL2011" s="42"/>
      <c r="AM2011" s="42"/>
    </row>
    <row r="2012" spans="1:39" x14ac:dyDescent="0.25">
      <c r="A2012" s="38" t="s">
        <v>2363</v>
      </c>
      <c r="B2012" s="42"/>
      <c r="C2012" s="42"/>
      <c r="D2012" s="42"/>
      <c r="E2012" s="41"/>
      <c r="F2012" s="41"/>
      <c r="G2012" s="41"/>
      <c r="H2012" s="41"/>
      <c r="I2012" s="41"/>
      <c r="J2012" s="42"/>
      <c r="K2012" s="41"/>
      <c r="L2012" s="41"/>
      <c r="M2012" s="127"/>
      <c r="N2012" s="41"/>
      <c r="O2012" s="41"/>
      <c r="P2012" s="41"/>
      <c r="Q2012" s="42"/>
      <c r="R2012" s="35"/>
      <c r="S2012" s="35"/>
      <c r="T2012" s="35"/>
      <c r="U2012" s="35"/>
      <c r="V2012" s="121"/>
      <c r="W2012" s="42"/>
      <c r="X2012" s="42"/>
      <c r="Y2012" s="42"/>
      <c r="Z2012" s="42"/>
      <c r="AA2012" s="42"/>
      <c r="AB2012" s="42"/>
      <c r="AC2012" s="42"/>
      <c r="AD2012" s="42"/>
      <c r="AE2012" s="42"/>
      <c r="AF2012" s="42"/>
      <c r="AG2012" s="42"/>
      <c r="AH2012" s="42"/>
      <c r="AI2012" s="42"/>
      <c r="AJ2012" s="42"/>
      <c r="AK2012" s="42"/>
      <c r="AL2012" s="42"/>
      <c r="AM2012" s="42"/>
    </row>
    <row r="2013" spans="1:39" x14ac:dyDescent="0.25">
      <c r="A2013" s="38" t="s">
        <v>2364</v>
      </c>
      <c r="B2013" s="42"/>
      <c r="C2013" s="42"/>
      <c r="D2013" s="42"/>
      <c r="E2013" s="41"/>
      <c r="F2013" s="41"/>
      <c r="G2013" s="41"/>
      <c r="H2013" s="41"/>
      <c r="I2013" s="41"/>
      <c r="J2013" s="42"/>
      <c r="K2013" s="41"/>
      <c r="L2013" s="41"/>
      <c r="M2013" s="127"/>
      <c r="N2013" s="41"/>
      <c r="O2013" s="41"/>
      <c r="P2013" s="41"/>
      <c r="Q2013" s="42"/>
      <c r="R2013" s="35"/>
      <c r="S2013" s="35"/>
      <c r="T2013" s="35"/>
      <c r="U2013" s="35"/>
      <c r="V2013" s="121"/>
      <c r="W2013" s="42"/>
      <c r="X2013" s="42"/>
      <c r="Y2013" s="42"/>
      <c r="Z2013" s="42"/>
      <c r="AA2013" s="42"/>
      <c r="AB2013" s="42"/>
      <c r="AC2013" s="42"/>
      <c r="AD2013" s="42"/>
      <c r="AE2013" s="42"/>
      <c r="AF2013" s="42"/>
      <c r="AG2013" s="42"/>
      <c r="AH2013" s="42"/>
      <c r="AI2013" s="42"/>
      <c r="AJ2013" s="42"/>
      <c r="AK2013" s="42"/>
      <c r="AL2013" s="42"/>
      <c r="AM2013" s="42"/>
    </row>
    <row r="2014" spans="1:39" x14ac:dyDescent="0.25">
      <c r="A2014" s="38" t="s">
        <v>2365</v>
      </c>
      <c r="B2014" s="42"/>
      <c r="C2014" s="42"/>
      <c r="D2014" s="42"/>
      <c r="E2014" s="41"/>
      <c r="F2014" s="41"/>
      <c r="G2014" s="41"/>
      <c r="H2014" s="41"/>
      <c r="I2014" s="41"/>
      <c r="J2014" s="42"/>
      <c r="K2014" s="41"/>
      <c r="L2014" s="41"/>
      <c r="M2014" s="127"/>
      <c r="N2014" s="41"/>
      <c r="O2014" s="41"/>
      <c r="P2014" s="41"/>
      <c r="Q2014" s="42"/>
      <c r="R2014" s="35"/>
      <c r="S2014" s="35"/>
      <c r="T2014" s="35"/>
      <c r="U2014" s="35"/>
      <c r="V2014" s="121"/>
      <c r="W2014" s="42"/>
      <c r="X2014" s="42"/>
      <c r="Y2014" s="42"/>
      <c r="Z2014" s="42"/>
      <c r="AA2014" s="42"/>
      <c r="AB2014" s="42"/>
      <c r="AC2014" s="42"/>
      <c r="AD2014" s="42"/>
      <c r="AE2014" s="42"/>
      <c r="AF2014" s="42"/>
      <c r="AG2014" s="42"/>
      <c r="AH2014" s="42"/>
      <c r="AI2014" s="42"/>
      <c r="AJ2014" s="42"/>
      <c r="AK2014" s="42"/>
      <c r="AL2014" s="42"/>
      <c r="AM2014" s="42"/>
    </row>
    <row r="2015" spans="1:39" x14ac:dyDescent="0.25">
      <c r="A2015" s="38" t="s">
        <v>2366</v>
      </c>
      <c r="B2015" s="42"/>
      <c r="C2015" s="42"/>
      <c r="D2015" s="42"/>
      <c r="E2015" s="41"/>
      <c r="F2015" s="41"/>
      <c r="G2015" s="41"/>
      <c r="H2015" s="41"/>
      <c r="I2015" s="41"/>
      <c r="J2015" s="42"/>
      <c r="K2015" s="41"/>
      <c r="L2015" s="41"/>
      <c r="M2015" s="127"/>
      <c r="N2015" s="41"/>
      <c r="O2015" s="41"/>
      <c r="P2015" s="41"/>
      <c r="Q2015" s="42"/>
      <c r="R2015" s="35"/>
      <c r="S2015" s="35"/>
      <c r="T2015" s="35"/>
      <c r="U2015" s="35"/>
      <c r="V2015" s="121"/>
      <c r="W2015" s="42"/>
      <c r="X2015" s="42"/>
      <c r="Y2015" s="42"/>
      <c r="Z2015" s="42"/>
      <c r="AA2015" s="42"/>
      <c r="AB2015" s="42"/>
      <c r="AC2015" s="42"/>
      <c r="AD2015" s="42"/>
      <c r="AE2015" s="42"/>
      <c r="AF2015" s="42"/>
      <c r="AG2015" s="42"/>
      <c r="AH2015" s="42"/>
      <c r="AI2015" s="42"/>
      <c r="AJ2015" s="42"/>
      <c r="AK2015" s="42"/>
      <c r="AL2015" s="42"/>
      <c r="AM2015" s="42"/>
    </row>
    <row r="2016" spans="1:39" x14ac:dyDescent="0.25">
      <c r="A2016" s="38" t="s">
        <v>2367</v>
      </c>
      <c r="B2016" s="42"/>
      <c r="C2016" s="42"/>
      <c r="D2016" s="42"/>
      <c r="E2016" s="41"/>
      <c r="F2016" s="41"/>
      <c r="G2016" s="41"/>
      <c r="H2016" s="41"/>
      <c r="I2016" s="41"/>
      <c r="J2016" s="42"/>
      <c r="K2016" s="41"/>
      <c r="L2016" s="41"/>
      <c r="M2016" s="127"/>
      <c r="N2016" s="41"/>
      <c r="O2016" s="41"/>
      <c r="P2016" s="41"/>
      <c r="Q2016" s="42"/>
      <c r="R2016" s="35"/>
      <c r="S2016" s="35"/>
      <c r="T2016" s="35"/>
      <c r="U2016" s="35"/>
      <c r="V2016" s="121"/>
      <c r="W2016" s="42"/>
      <c r="X2016" s="42"/>
      <c r="Y2016" s="42"/>
      <c r="Z2016" s="42"/>
      <c r="AA2016" s="42"/>
      <c r="AB2016" s="42"/>
      <c r="AC2016" s="42"/>
      <c r="AD2016" s="42"/>
      <c r="AE2016" s="42"/>
      <c r="AF2016" s="42"/>
      <c r="AG2016" s="42"/>
      <c r="AH2016" s="42"/>
      <c r="AI2016" s="42"/>
      <c r="AJ2016" s="42"/>
      <c r="AK2016" s="42"/>
      <c r="AL2016" s="42"/>
      <c r="AM2016" s="42"/>
    </row>
    <row r="2017" spans="1:39" x14ac:dyDescent="0.25">
      <c r="A2017" s="38" t="s">
        <v>2368</v>
      </c>
      <c r="B2017" s="42"/>
      <c r="C2017" s="42"/>
      <c r="D2017" s="42"/>
      <c r="E2017" s="41"/>
      <c r="F2017" s="41"/>
      <c r="G2017" s="41"/>
      <c r="H2017" s="41"/>
      <c r="I2017" s="41"/>
      <c r="J2017" s="42"/>
      <c r="K2017" s="41"/>
      <c r="L2017" s="41"/>
      <c r="M2017" s="127"/>
      <c r="N2017" s="41"/>
      <c r="O2017" s="41"/>
      <c r="P2017" s="41"/>
      <c r="Q2017" s="42"/>
      <c r="R2017" s="35"/>
      <c r="S2017" s="35"/>
      <c r="T2017" s="35"/>
      <c r="U2017" s="35"/>
      <c r="V2017" s="121"/>
      <c r="W2017" s="42"/>
      <c r="X2017" s="42"/>
      <c r="Y2017" s="42"/>
      <c r="Z2017" s="42"/>
      <c r="AA2017" s="42"/>
      <c r="AB2017" s="42"/>
      <c r="AC2017" s="42"/>
      <c r="AD2017" s="42"/>
      <c r="AE2017" s="42"/>
      <c r="AF2017" s="42"/>
      <c r="AG2017" s="42"/>
      <c r="AH2017" s="42"/>
      <c r="AI2017" s="42"/>
      <c r="AJ2017" s="42"/>
      <c r="AK2017" s="42"/>
      <c r="AL2017" s="42"/>
      <c r="AM2017" s="42"/>
    </row>
    <row r="2018" spans="1:39" x14ac:dyDescent="0.25">
      <c r="A2018" s="38" t="s">
        <v>2369</v>
      </c>
      <c r="B2018" s="42"/>
      <c r="C2018" s="42"/>
      <c r="D2018" s="42"/>
      <c r="E2018" s="41"/>
      <c r="F2018" s="41"/>
      <c r="G2018" s="41"/>
      <c r="H2018" s="41"/>
      <c r="I2018" s="41"/>
      <c r="J2018" s="42"/>
      <c r="K2018" s="41"/>
      <c r="L2018" s="41"/>
      <c r="M2018" s="127"/>
      <c r="N2018" s="41"/>
      <c r="O2018" s="41"/>
      <c r="P2018" s="41"/>
      <c r="Q2018" s="42"/>
      <c r="R2018" s="35"/>
      <c r="S2018" s="35"/>
      <c r="T2018" s="35"/>
      <c r="U2018" s="35"/>
      <c r="V2018" s="121"/>
      <c r="W2018" s="42"/>
      <c r="X2018" s="42"/>
      <c r="Y2018" s="42"/>
      <c r="Z2018" s="42"/>
      <c r="AA2018" s="42"/>
      <c r="AB2018" s="42"/>
      <c r="AC2018" s="42"/>
      <c r="AD2018" s="42"/>
      <c r="AE2018" s="42"/>
      <c r="AF2018" s="42"/>
      <c r="AG2018" s="42"/>
      <c r="AH2018" s="42"/>
      <c r="AI2018" s="42"/>
      <c r="AJ2018" s="42"/>
      <c r="AK2018" s="42"/>
      <c r="AL2018" s="42"/>
      <c r="AM2018" s="42"/>
    </row>
    <row r="2019" spans="1:39" x14ac:dyDescent="0.25">
      <c r="A2019" s="38" t="s">
        <v>2370</v>
      </c>
      <c r="B2019" s="42"/>
      <c r="C2019" s="42"/>
      <c r="D2019" s="42"/>
      <c r="E2019" s="41"/>
      <c r="F2019" s="41"/>
      <c r="G2019" s="41"/>
      <c r="H2019" s="41"/>
      <c r="I2019" s="41"/>
      <c r="J2019" s="42"/>
      <c r="K2019" s="41"/>
      <c r="L2019" s="41"/>
      <c r="M2019" s="127"/>
      <c r="N2019" s="41"/>
      <c r="O2019" s="41"/>
      <c r="P2019" s="41"/>
      <c r="Q2019" s="42"/>
      <c r="R2019" s="35"/>
      <c r="S2019" s="35"/>
      <c r="T2019" s="35"/>
      <c r="U2019" s="35"/>
      <c r="V2019" s="121"/>
      <c r="W2019" s="42"/>
      <c r="X2019" s="42"/>
      <c r="Y2019" s="42"/>
      <c r="Z2019" s="42"/>
      <c r="AA2019" s="42"/>
      <c r="AB2019" s="42"/>
      <c r="AC2019" s="42"/>
      <c r="AD2019" s="42"/>
      <c r="AE2019" s="42"/>
      <c r="AF2019" s="42"/>
      <c r="AG2019" s="42"/>
      <c r="AH2019" s="42"/>
      <c r="AI2019" s="42"/>
      <c r="AJ2019" s="42"/>
      <c r="AK2019" s="42"/>
      <c r="AL2019" s="42"/>
      <c r="AM2019" s="42"/>
    </row>
    <row r="2020" spans="1:39" x14ac:dyDescent="0.25">
      <c r="A2020" s="38" t="s">
        <v>2371</v>
      </c>
      <c r="B2020" s="42"/>
      <c r="C2020" s="42"/>
      <c r="D2020" s="42"/>
      <c r="E2020" s="41"/>
      <c r="F2020" s="41"/>
      <c r="G2020" s="41"/>
      <c r="H2020" s="41"/>
      <c r="I2020" s="41"/>
      <c r="J2020" s="42"/>
      <c r="K2020" s="41"/>
      <c r="L2020" s="41"/>
      <c r="M2020" s="127"/>
      <c r="N2020" s="41"/>
      <c r="O2020" s="41"/>
      <c r="P2020" s="41"/>
      <c r="Q2020" s="42"/>
      <c r="R2020" s="35"/>
      <c r="S2020" s="35"/>
      <c r="T2020" s="35"/>
      <c r="U2020" s="35"/>
      <c r="V2020" s="121"/>
      <c r="W2020" s="42"/>
      <c r="X2020" s="42"/>
      <c r="Y2020" s="42"/>
      <c r="Z2020" s="42"/>
      <c r="AA2020" s="42"/>
      <c r="AB2020" s="42"/>
      <c r="AC2020" s="42"/>
      <c r="AD2020" s="42"/>
      <c r="AE2020" s="42"/>
      <c r="AF2020" s="42"/>
      <c r="AG2020" s="42"/>
      <c r="AH2020" s="42"/>
      <c r="AI2020" s="42"/>
      <c r="AJ2020" s="42"/>
      <c r="AK2020" s="42"/>
      <c r="AL2020" s="42"/>
      <c r="AM2020" s="42"/>
    </row>
    <row r="2021" spans="1:39" x14ac:dyDescent="0.25">
      <c r="A2021" s="38" t="s">
        <v>2372</v>
      </c>
      <c r="B2021" s="42"/>
      <c r="C2021" s="42"/>
      <c r="D2021" s="42"/>
      <c r="E2021" s="41"/>
      <c r="F2021" s="41"/>
      <c r="G2021" s="41"/>
      <c r="H2021" s="41"/>
      <c r="I2021" s="41"/>
      <c r="J2021" s="42"/>
      <c r="K2021" s="41"/>
      <c r="L2021" s="41"/>
      <c r="M2021" s="127"/>
      <c r="N2021" s="41"/>
      <c r="O2021" s="41"/>
      <c r="P2021" s="41"/>
      <c r="Q2021" s="42"/>
      <c r="R2021" s="35"/>
      <c r="S2021" s="35"/>
      <c r="T2021" s="35"/>
      <c r="U2021" s="35"/>
      <c r="V2021" s="121"/>
      <c r="W2021" s="42"/>
      <c r="X2021" s="42"/>
      <c r="Y2021" s="42"/>
      <c r="Z2021" s="42"/>
      <c r="AA2021" s="42"/>
      <c r="AB2021" s="42"/>
      <c r="AC2021" s="42"/>
      <c r="AD2021" s="42"/>
      <c r="AE2021" s="42"/>
      <c r="AF2021" s="42"/>
      <c r="AG2021" s="42"/>
      <c r="AH2021" s="42"/>
      <c r="AI2021" s="42"/>
      <c r="AJ2021" s="42"/>
      <c r="AK2021" s="42"/>
      <c r="AL2021" s="42"/>
      <c r="AM2021" s="42"/>
    </row>
    <row r="2022" spans="1:39" x14ac:dyDescent="0.25">
      <c r="A2022" s="38" t="s">
        <v>2373</v>
      </c>
      <c r="B2022" s="42"/>
      <c r="C2022" s="42"/>
      <c r="D2022" s="42"/>
      <c r="E2022" s="41"/>
      <c r="F2022" s="41"/>
      <c r="G2022" s="41"/>
      <c r="H2022" s="41"/>
      <c r="I2022" s="41"/>
      <c r="J2022" s="42"/>
      <c r="K2022" s="41"/>
      <c r="L2022" s="41"/>
      <c r="M2022" s="127"/>
      <c r="N2022" s="41"/>
      <c r="O2022" s="41"/>
      <c r="P2022" s="41"/>
      <c r="Q2022" s="42"/>
      <c r="R2022" s="35"/>
      <c r="S2022" s="35"/>
      <c r="T2022" s="35"/>
      <c r="U2022" s="35"/>
      <c r="V2022" s="121"/>
      <c r="W2022" s="42"/>
      <c r="X2022" s="42"/>
      <c r="Y2022" s="42"/>
      <c r="Z2022" s="42"/>
      <c r="AA2022" s="42"/>
      <c r="AB2022" s="42"/>
      <c r="AC2022" s="42"/>
      <c r="AD2022" s="42"/>
      <c r="AE2022" s="42"/>
      <c r="AF2022" s="42"/>
      <c r="AG2022" s="42"/>
      <c r="AH2022" s="42"/>
      <c r="AI2022" s="42"/>
      <c r="AJ2022" s="42"/>
      <c r="AK2022" s="42"/>
      <c r="AL2022" s="42"/>
      <c r="AM2022" s="42"/>
    </row>
    <row r="2023" spans="1:39" x14ac:dyDescent="0.25">
      <c r="A2023" s="38" t="s">
        <v>2374</v>
      </c>
      <c r="B2023" s="42"/>
      <c r="C2023" s="42"/>
      <c r="D2023" s="42"/>
      <c r="E2023" s="41"/>
      <c r="F2023" s="41"/>
      <c r="G2023" s="41"/>
      <c r="H2023" s="41"/>
      <c r="I2023" s="41"/>
      <c r="J2023" s="42"/>
      <c r="K2023" s="41"/>
      <c r="L2023" s="41"/>
      <c r="M2023" s="127"/>
      <c r="N2023" s="41"/>
      <c r="O2023" s="41"/>
      <c r="P2023" s="41"/>
      <c r="Q2023" s="42"/>
      <c r="R2023" s="35"/>
      <c r="S2023" s="35"/>
      <c r="T2023" s="35"/>
      <c r="U2023" s="35"/>
      <c r="V2023" s="121"/>
      <c r="W2023" s="42"/>
      <c r="X2023" s="42"/>
      <c r="Y2023" s="42"/>
      <c r="Z2023" s="42"/>
      <c r="AA2023" s="42"/>
      <c r="AB2023" s="42"/>
      <c r="AC2023" s="42"/>
      <c r="AD2023" s="42"/>
      <c r="AE2023" s="42"/>
      <c r="AF2023" s="42"/>
      <c r="AG2023" s="42"/>
      <c r="AH2023" s="42"/>
      <c r="AI2023" s="42"/>
      <c r="AJ2023" s="42"/>
      <c r="AK2023" s="42"/>
      <c r="AL2023" s="42"/>
      <c r="AM2023" s="42"/>
    </row>
    <row r="2024" spans="1:39" x14ac:dyDescent="0.25">
      <c r="A2024" s="38" t="s">
        <v>2375</v>
      </c>
      <c r="B2024" s="42"/>
      <c r="C2024" s="42"/>
      <c r="D2024" s="42"/>
      <c r="E2024" s="41"/>
      <c r="F2024" s="41"/>
      <c r="G2024" s="41"/>
      <c r="H2024" s="41"/>
      <c r="I2024" s="41"/>
      <c r="J2024" s="42"/>
      <c r="K2024" s="41"/>
      <c r="L2024" s="41"/>
      <c r="M2024" s="127"/>
      <c r="N2024" s="41"/>
      <c r="O2024" s="41"/>
      <c r="P2024" s="41"/>
      <c r="Q2024" s="42"/>
      <c r="R2024" s="35"/>
      <c r="S2024" s="35"/>
      <c r="T2024" s="35"/>
      <c r="U2024" s="35"/>
      <c r="V2024" s="121"/>
      <c r="W2024" s="42"/>
      <c r="X2024" s="42"/>
      <c r="Y2024" s="42"/>
      <c r="Z2024" s="42"/>
      <c r="AA2024" s="42"/>
      <c r="AB2024" s="42"/>
      <c r="AC2024" s="42"/>
      <c r="AD2024" s="42"/>
      <c r="AE2024" s="42"/>
      <c r="AF2024" s="42"/>
      <c r="AG2024" s="42"/>
      <c r="AH2024" s="42"/>
      <c r="AI2024" s="42"/>
      <c r="AJ2024" s="42"/>
      <c r="AK2024" s="42"/>
      <c r="AL2024" s="42"/>
      <c r="AM2024" s="42"/>
    </row>
    <row r="2025" spans="1:39" x14ac:dyDescent="0.25">
      <c r="A2025" s="38" t="s">
        <v>2376</v>
      </c>
      <c r="B2025" s="42"/>
      <c r="C2025" s="42"/>
      <c r="D2025" s="42"/>
      <c r="E2025" s="41"/>
      <c r="F2025" s="41"/>
      <c r="G2025" s="41"/>
      <c r="H2025" s="41"/>
      <c r="I2025" s="41"/>
      <c r="J2025" s="42"/>
      <c r="K2025" s="41"/>
      <c r="L2025" s="41"/>
      <c r="M2025" s="127"/>
      <c r="N2025" s="41"/>
      <c r="O2025" s="41"/>
      <c r="P2025" s="41"/>
      <c r="Q2025" s="42"/>
      <c r="R2025" s="35"/>
      <c r="S2025" s="35"/>
      <c r="T2025" s="35"/>
      <c r="U2025" s="35"/>
      <c r="V2025" s="121"/>
      <c r="W2025" s="42"/>
      <c r="X2025" s="42"/>
      <c r="Y2025" s="42"/>
      <c r="Z2025" s="42"/>
      <c r="AA2025" s="42"/>
      <c r="AB2025" s="42"/>
      <c r="AC2025" s="42"/>
      <c r="AD2025" s="42"/>
      <c r="AE2025" s="42"/>
      <c r="AF2025" s="42"/>
      <c r="AG2025" s="42"/>
      <c r="AH2025" s="42"/>
      <c r="AI2025" s="42"/>
      <c r="AJ2025" s="42"/>
      <c r="AK2025" s="42"/>
      <c r="AL2025" s="42"/>
      <c r="AM2025" s="42"/>
    </row>
    <row r="2026" spans="1:39" x14ac:dyDescent="0.25">
      <c r="A2026" s="38" t="s">
        <v>2377</v>
      </c>
      <c r="B2026" s="42"/>
      <c r="C2026" s="42"/>
      <c r="D2026" s="42"/>
      <c r="E2026" s="41"/>
      <c r="F2026" s="41"/>
      <c r="G2026" s="41"/>
      <c r="H2026" s="41"/>
      <c r="I2026" s="41"/>
      <c r="J2026" s="42"/>
      <c r="K2026" s="41"/>
      <c r="L2026" s="41"/>
      <c r="M2026" s="127"/>
      <c r="N2026" s="41"/>
      <c r="O2026" s="41"/>
      <c r="P2026" s="41"/>
      <c r="Q2026" s="42"/>
      <c r="R2026" s="35"/>
      <c r="S2026" s="35"/>
      <c r="T2026" s="35"/>
      <c r="U2026" s="35"/>
      <c r="V2026" s="121"/>
      <c r="W2026" s="42"/>
      <c r="X2026" s="42"/>
      <c r="Y2026" s="42"/>
      <c r="Z2026" s="42"/>
      <c r="AA2026" s="42"/>
      <c r="AB2026" s="42"/>
      <c r="AC2026" s="42"/>
      <c r="AD2026" s="42"/>
      <c r="AE2026" s="42"/>
      <c r="AF2026" s="42"/>
      <c r="AG2026" s="42"/>
      <c r="AH2026" s="42"/>
      <c r="AI2026" s="42"/>
      <c r="AJ2026" s="42"/>
      <c r="AK2026" s="42"/>
      <c r="AL2026" s="42"/>
      <c r="AM2026" s="42"/>
    </row>
    <row r="2027" spans="1:39" x14ac:dyDescent="0.25">
      <c r="A2027" s="38" t="s">
        <v>2378</v>
      </c>
      <c r="B2027" s="42"/>
      <c r="C2027" s="42"/>
      <c r="D2027" s="42"/>
      <c r="E2027" s="41"/>
      <c r="F2027" s="41"/>
      <c r="G2027" s="41"/>
      <c r="H2027" s="41"/>
      <c r="I2027" s="41"/>
      <c r="J2027" s="42"/>
      <c r="K2027" s="41"/>
      <c r="L2027" s="41"/>
      <c r="M2027" s="127"/>
      <c r="N2027" s="41"/>
      <c r="O2027" s="41"/>
      <c r="P2027" s="41"/>
      <c r="Q2027" s="42"/>
      <c r="R2027" s="35"/>
      <c r="S2027" s="35"/>
      <c r="T2027" s="35"/>
      <c r="U2027" s="35"/>
      <c r="V2027" s="121"/>
      <c r="W2027" s="42"/>
      <c r="X2027" s="42"/>
      <c r="Y2027" s="42"/>
      <c r="Z2027" s="42"/>
      <c r="AA2027" s="42"/>
      <c r="AB2027" s="42"/>
      <c r="AC2027" s="42"/>
      <c r="AD2027" s="42"/>
      <c r="AE2027" s="42"/>
      <c r="AF2027" s="42"/>
      <c r="AG2027" s="42"/>
      <c r="AH2027" s="42"/>
      <c r="AI2027" s="42"/>
      <c r="AJ2027" s="42"/>
      <c r="AK2027" s="42"/>
      <c r="AL2027" s="42"/>
      <c r="AM2027" s="42"/>
    </row>
    <row r="2028" spans="1:39" x14ac:dyDescent="0.25">
      <c r="A2028" s="38" t="s">
        <v>2379</v>
      </c>
      <c r="B2028" s="42"/>
      <c r="C2028" s="42"/>
      <c r="D2028" s="42"/>
      <c r="E2028" s="41"/>
      <c r="F2028" s="41"/>
      <c r="G2028" s="41"/>
      <c r="H2028" s="41"/>
      <c r="I2028" s="41"/>
      <c r="J2028" s="42"/>
      <c r="K2028" s="41"/>
      <c r="L2028" s="41"/>
      <c r="M2028" s="127"/>
      <c r="N2028" s="41"/>
      <c r="O2028" s="41"/>
      <c r="P2028" s="41"/>
      <c r="Q2028" s="42"/>
      <c r="R2028" s="35"/>
      <c r="S2028" s="35"/>
      <c r="T2028" s="35"/>
      <c r="U2028" s="35"/>
      <c r="V2028" s="121"/>
      <c r="W2028" s="42"/>
      <c r="X2028" s="42"/>
      <c r="Y2028" s="42"/>
      <c r="Z2028" s="42"/>
      <c r="AA2028" s="42"/>
      <c r="AB2028" s="42"/>
      <c r="AC2028" s="42"/>
      <c r="AD2028" s="42"/>
      <c r="AE2028" s="42"/>
      <c r="AF2028" s="42"/>
      <c r="AG2028" s="42"/>
      <c r="AH2028" s="42"/>
      <c r="AI2028" s="42"/>
      <c r="AJ2028" s="42"/>
      <c r="AK2028" s="42"/>
      <c r="AL2028" s="42"/>
      <c r="AM2028" s="42"/>
    </row>
    <row r="2029" spans="1:39" x14ac:dyDescent="0.25">
      <c r="A2029" s="38" t="s">
        <v>2380</v>
      </c>
      <c r="B2029" s="42"/>
      <c r="C2029" s="42"/>
      <c r="D2029" s="42"/>
      <c r="E2029" s="41"/>
      <c r="F2029" s="41"/>
      <c r="G2029" s="41"/>
      <c r="H2029" s="41"/>
      <c r="I2029" s="41"/>
      <c r="J2029" s="42"/>
      <c r="K2029" s="41"/>
      <c r="L2029" s="41"/>
      <c r="M2029" s="127"/>
      <c r="N2029" s="41"/>
      <c r="O2029" s="41"/>
      <c r="P2029" s="41"/>
      <c r="Q2029" s="42"/>
      <c r="R2029" s="35"/>
      <c r="S2029" s="35"/>
      <c r="T2029" s="35"/>
      <c r="U2029" s="35"/>
      <c r="V2029" s="121"/>
      <c r="W2029" s="42"/>
      <c r="X2029" s="42"/>
      <c r="Y2029" s="42"/>
      <c r="Z2029" s="42"/>
      <c r="AA2029" s="42"/>
      <c r="AB2029" s="42"/>
      <c r="AC2029" s="42"/>
      <c r="AD2029" s="42"/>
      <c r="AE2029" s="42"/>
      <c r="AF2029" s="42"/>
      <c r="AG2029" s="42"/>
      <c r="AH2029" s="42"/>
      <c r="AI2029" s="42"/>
      <c r="AJ2029" s="42"/>
      <c r="AK2029" s="42"/>
      <c r="AL2029" s="42"/>
      <c r="AM2029" s="42"/>
    </row>
    <row r="2030" spans="1:39" x14ac:dyDescent="0.25">
      <c r="A2030" s="38" t="s">
        <v>2381</v>
      </c>
      <c r="B2030" s="42"/>
      <c r="C2030" s="42"/>
      <c r="D2030" s="42"/>
      <c r="E2030" s="41"/>
      <c r="F2030" s="41"/>
      <c r="G2030" s="41"/>
      <c r="H2030" s="41"/>
      <c r="I2030" s="41"/>
      <c r="J2030" s="42"/>
      <c r="K2030" s="41"/>
      <c r="L2030" s="41"/>
      <c r="M2030" s="127"/>
      <c r="N2030" s="41"/>
      <c r="O2030" s="41"/>
      <c r="P2030" s="41"/>
      <c r="Q2030" s="42"/>
      <c r="R2030" s="35"/>
      <c r="S2030" s="35"/>
      <c r="T2030" s="35"/>
      <c r="U2030" s="35"/>
      <c r="V2030" s="121"/>
      <c r="W2030" s="42"/>
      <c r="X2030" s="42"/>
      <c r="Y2030" s="42"/>
      <c r="Z2030" s="42"/>
      <c r="AA2030" s="42"/>
      <c r="AB2030" s="42"/>
      <c r="AC2030" s="42"/>
      <c r="AD2030" s="42"/>
      <c r="AE2030" s="42"/>
      <c r="AF2030" s="42"/>
      <c r="AG2030" s="42"/>
      <c r="AH2030" s="42"/>
      <c r="AI2030" s="42"/>
      <c r="AJ2030" s="42"/>
      <c r="AK2030" s="42"/>
      <c r="AL2030" s="42"/>
      <c r="AM2030" s="42"/>
    </row>
    <row r="2031" spans="1:39" x14ac:dyDescent="0.25">
      <c r="A2031" s="38" t="s">
        <v>2382</v>
      </c>
      <c r="B2031" s="42"/>
      <c r="C2031" s="42"/>
      <c r="D2031" s="42"/>
      <c r="E2031" s="41"/>
      <c r="F2031" s="41"/>
      <c r="G2031" s="41"/>
      <c r="H2031" s="41"/>
      <c r="I2031" s="41"/>
      <c r="J2031" s="42"/>
      <c r="K2031" s="41"/>
      <c r="L2031" s="41"/>
      <c r="M2031" s="127"/>
      <c r="N2031" s="41"/>
      <c r="O2031" s="41"/>
      <c r="P2031" s="41"/>
      <c r="Q2031" s="42"/>
      <c r="R2031" s="35"/>
      <c r="S2031" s="35"/>
      <c r="T2031" s="35"/>
      <c r="U2031" s="35"/>
      <c r="V2031" s="121"/>
      <c r="W2031" s="42"/>
      <c r="X2031" s="42"/>
      <c r="Y2031" s="42"/>
      <c r="Z2031" s="42"/>
      <c r="AA2031" s="42"/>
      <c r="AB2031" s="42"/>
      <c r="AC2031" s="42"/>
      <c r="AD2031" s="42"/>
      <c r="AE2031" s="42"/>
      <c r="AF2031" s="42"/>
      <c r="AG2031" s="42"/>
      <c r="AH2031" s="42"/>
      <c r="AI2031" s="42"/>
      <c r="AJ2031" s="42"/>
      <c r="AK2031" s="42"/>
      <c r="AL2031" s="42"/>
      <c r="AM2031" s="42"/>
    </row>
    <row r="2032" spans="1:39" x14ac:dyDescent="0.25">
      <c r="A2032" s="38" t="s">
        <v>2383</v>
      </c>
      <c r="B2032" s="42"/>
      <c r="C2032" s="42"/>
      <c r="D2032" s="42"/>
      <c r="E2032" s="41"/>
      <c r="F2032" s="41"/>
      <c r="G2032" s="41"/>
      <c r="H2032" s="41"/>
      <c r="I2032" s="41"/>
      <c r="J2032" s="42"/>
      <c r="K2032" s="41"/>
      <c r="L2032" s="41"/>
      <c r="M2032" s="127"/>
      <c r="N2032" s="41"/>
      <c r="O2032" s="41"/>
      <c r="P2032" s="41"/>
      <c r="Q2032" s="42"/>
      <c r="R2032" s="35"/>
      <c r="S2032" s="35"/>
      <c r="T2032" s="35"/>
      <c r="U2032" s="35"/>
      <c r="V2032" s="121"/>
      <c r="W2032" s="42"/>
      <c r="X2032" s="42"/>
      <c r="Y2032" s="42"/>
      <c r="Z2032" s="42"/>
      <c r="AA2032" s="42"/>
      <c r="AB2032" s="42"/>
      <c r="AC2032" s="42"/>
      <c r="AD2032" s="42"/>
      <c r="AE2032" s="42"/>
      <c r="AF2032" s="42"/>
      <c r="AG2032" s="42"/>
      <c r="AH2032" s="42"/>
      <c r="AI2032" s="42"/>
      <c r="AJ2032" s="42"/>
      <c r="AK2032" s="42"/>
      <c r="AL2032" s="42"/>
      <c r="AM2032" s="42"/>
    </row>
    <row r="2033" spans="1:39" x14ac:dyDescent="0.25">
      <c r="A2033" s="38" t="s">
        <v>2384</v>
      </c>
      <c r="B2033" s="42"/>
      <c r="C2033" s="42"/>
      <c r="D2033" s="42"/>
      <c r="E2033" s="41"/>
      <c r="F2033" s="41"/>
      <c r="G2033" s="41"/>
      <c r="H2033" s="41"/>
      <c r="I2033" s="41"/>
      <c r="J2033" s="42"/>
      <c r="K2033" s="41"/>
      <c r="L2033" s="41"/>
      <c r="M2033" s="127"/>
      <c r="N2033" s="41"/>
      <c r="O2033" s="41"/>
      <c r="P2033" s="41"/>
      <c r="Q2033" s="42"/>
      <c r="R2033" s="35"/>
      <c r="S2033" s="35"/>
      <c r="T2033" s="35"/>
      <c r="U2033" s="35"/>
      <c r="V2033" s="121"/>
      <c r="W2033" s="42"/>
      <c r="X2033" s="42"/>
      <c r="Y2033" s="42"/>
      <c r="Z2033" s="42"/>
      <c r="AA2033" s="42"/>
      <c r="AB2033" s="42"/>
      <c r="AC2033" s="42"/>
      <c r="AD2033" s="42"/>
      <c r="AE2033" s="42"/>
      <c r="AF2033" s="42"/>
      <c r="AG2033" s="42"/>
      <c r="AH2033" s="42"/>
      <c r="AI2033" s="42"/>
      <c r="AJ2033" s="42"/>
      <c r="AK2033" s="42"/>
      <c r="AL2033" s="42"/>
      <c r="AM2033" s="42"/>
    </row>
    <row r="2034" spans="1:39" x14ac:dyDescent="0.25">
      <c r="A2034" s="38" t="s">
        <v>2385</v>
      </c>
      <c r="B2034" s="42"/>
      <c r="C2034" s="42"/>
      <c r="D2034" s="42"/>
      <c r="E2034" s="41"/>
      <c r="F2034" s="41"/>
      <c r="G2034" s="41"/>
      <c r="H2034" s="41"/>
      <c r="I2034" s="41"/>
      <c r="J2034" s="42"/>
      <c r="K2034" s="41"/>
      <c r="L2034" s="41"/>
      <c r="M2034" s="127"/>
      <c r="N2034" s="41"/>
      <c r="O2034" s="41"/>
      <c r="P2034" s="41"/>
      <c r="Q2034" s="42"/>
      <c r="R2034" s="35"/>
      <c r="S2034" s="35"/>
      <c r="T2034" s="35"/>
      <c r="U2034" s="35"/>
      <c r="V2034" s="121"/>
      <c r="W2034" s="42"/>
      <c r="X2034" s="42"/>
      <c r="Y2034" s="42"/>
      <c r="Z2034" s="42"/>
      <c r="AA2034" s="42"/>
      <c r="AB2034" s="42"/>
      <c r="AC2034" s="42"/>
      <c r="AD2034" s="42"/>
      <c r="AE2034" s="42"/>
      <c r="AF2034" s="42"/>
      <c r="AG2034" s="42"/>
      <c r="AH2034" s="42"/>
      <c r="AI2034" s="42"/>
      <c r="AJ2034" s="42"/>
      <c r="AK2034" s="42"/>
      <c r="AL2034" s="42"/>
      <c r="AM2034" s="42"/>
    </row>
    <row r="2035" spans="1:39" x14ac:dyDescent="0.25">
      <c r="A2035" s="38" t="s">
        <v>2386</v>
      </c>
      <c r="B2035" s="42"/>
      <c r="C2035" s="42"/>
      <c r="D2035" s="42"/>
      <c r="E2035" s="41"/>
      <c r="F2035" s="41"/>
      <c r="G2035" s="41"/>
      <c r="H2035" s="41"/>
      <c r="I2035" s="41"/>
      <c r="J2035" s="42"/>
      <c r="K2035" s="41"/>
      <c r="L2035" s="41"/>
      <c r="M2035" s="127"/>
      <c r="N2035" s="41"/>
      <c r="O2035" s="41"/>
      <c r="P2035" s="41"/>
      <c r="Q2035" s="42"/>
      <c r="R2035" s="35"/>
      <c r="S2035" s="35"/>
      <c r="T2035" s="35"/>
      <c r="U2035" s="35"/>
      <c r="V2035" s="121"/>
      <c r="W2035" s="42"/>
      <c r="X2035" s="42"/>
      <c r="Y2035" s="42"/>
      <c r="Z2035" s="42"/>
      <c r="AA2035" s="42"/>
      <c r="AB2035" s="42"/>
      <c r="AC2035" s="42"/>
      <c r="AD2035" s="42"/>
      <c r="AE2035" s="42"/>
      <c r="AF2035" s="42"/>
      <c r="AG2035" s="42"/>
      <c r="AH2035" s="42"/>
      <c r="AI2035" s="42"/>
      <c r="AJ2035" s="42"/>
      <c r="AK2035" s="42"/>
      <c r="AL2035" s="42"/>
      <c r="AM2035" s="42"/>
    </row>
    <row r="2036" spans="1:39" x14ac:dyDescent="0.25">
      <c r="A2036" s="38" t="s">
        <v>2387</v>
      </c>
      <c r="B2036" s="42"/>
      <c r="C2036" s="42"/>
      <c r="D2036" s="42"/>
      <c r="E2036" s="41"/>
      <c r="F2036" s="41"/>
      <c r="G2036" s="41"/>
      <c r="H2036" s="41"/>
      <c r="I2036" s="41"/>
      <c r="J2036" s="42"/>
      <c r="K2036" s="41"/>
      <c r="L2036" s="41"/>
      <c r="M2036" s="127"/>
      <c r="N2036" s="41"/>
      <c r="O2036" s="41"/>
      <c r="P2036" s="41"/>
      <c r="Q2036" s="42"/>
      <c r="R2036" s="35"/>
      <c r="S2036" s="35"/>
      <c r="T2036" s="35"/>
      <c r="U2036" s="35"/>
      <c r="V2036" s="121"/>
      <c r="W2036" s="42"/>
      <c r="X2036" s="42"/>
      <c r="Y2036" s="42"/>
      <c r="Z2036" s="42"/>
      <c r="AA2036" s="42"/>
      <c r="AB2036" s="42"/>
      <c r="AC2036" s="42"/>
      <c r="AD2036" s="42"/>
      <c r="AE2036" s="42"/>
      <c r="AF2036" s="42"/>
      <c r="AG2036" s="42"/>
      <c r="AH2036" s="42"/>
      <c r="AI2036" s="42"/>
      <c r="AJ2036" s="42"/>
      <c r="AK2036" s="42"/>
      <c r="AL2036" s="42"/>
      <c r="AM2036" s="42"/>
    </row>
    <row r="2037" spans="1:39" x14ac:dyDescent="0.25">
      <c r="A2037" s="38" t="s">
        <v>2388</v>
      </c>
      <c r="B2037" s="42"/>
      <c r="C2037" s="42"/>
      <c r="D2037" s="42"/>
      <c r="E2037" s="41"/>
      <c r="F2037" s="41"/>
      <c r="G2037" s="41"/>
      <c r="H2037" s="41"/>
      <c r="I2037" s="41"/>
      <c r="J2037" s="42"/>
      <c r="K2037" s="41"/>
      <c r="L2037" s="41"/>
      <c r="M2037" s="127"/>
      <c r="N2037" s="41"/>
      <c r="O2037" s="41"/>
      <c r="P2037" s="41"/>
      <c r="Q2037" s="42"/>
      <c r="R2037" s="35"/>
      <c r="S2037" s="35"/>
      <c r="T2037" s="35"/>
      <c r="U2037" s="35"/>
      <c r="V2037" s="121"/>
      <c r="W2037" s="42"/>
      <c r="X2037" s="42"/>
      <c r="Y2037" s="42"/>
      <c r="Z2037" s="42"/>
      <c r="AA2037" s="42"/>
      <c r="AB2037" s="42"/>
      <c r="AC2037" s="42"/>
      <c r="AD2037" s="42"/>
      <c r="AE2037" s="42"/>
      <c r="AF2037" s="42"/>
      <c r="AG2037" s="42"/>
      <c r="AH2037" s="42"/>
      <c r="AI2037" s="42"/>
      <c r="AJ2037" s="42"/>
      <c r="AK2037" s="42"/>
      <c r="AL2037" s="42"/>
      <c r="AM2037" s="42"/>
    </row>
    <row r="2038" spans="1:39" x14ac:dyDescent="0.25">
      <c r="A2038" s="38" t="s">
        <v>2389</v>
      </c>
      <c r="B2038" s="42"/>
      <c r="C2038" s="42"/>
      <c r="D2038" s="42"/>
      <c r="E2038" s="41"/>
      <c r="F2038" s="41"/>
      <c r="G2038" s="41"/>
      <c r="H2038" s="41"/>
      <c r="I2038" s="41"/>
      <c r="J2038" s="42"/>
      <c r="K2038" s="41"/>
      <c r="L2038" s="41"/>
      <c r="M2038" s="127"/>
      <c r="N2038" s="41"/>
      <c r="O2038" s="41"/>
      <c r="P2038" s="41"/>
      <c r="Q2038" s="42"/>
      <c r="R2038" s="35"/>
      <c r="S2038" s="35"/>
      <c r="T2038" s="35"/>
      <c r="U2038" s="35"/>
      <c r="V2038" s="121"/>
      <c r="W2038" s="42"/>
      <c r="X2038" s="42"/>
      <c r="Y2038" s="42"/>
      <c r="Z2038" s="42"/>
      <c r="AA2038" s="42"/>
      <c r="AB2038" s="42"/>
      <c r="AC2038" s="42"/>
      <c r="AD2038" s="42"/>
      <c r="AE2038" s="42"/>
      <c r="AF2038" s="42"/>
      <c r="AG2038" s="42"/>
      <c r="AH2038" s="42"/>
      <c r="AI2038" s="42"/>
      <c r="AJ2038" s="42"/>
      <c r="AK2038" s="42"/>
      <c r="AL2038" s="42"/>
      <c r="AM2038" s="42"/>
    </row>
    <row r="2039" spans="1:39" x14ac:dyDescent="0.25">
      <c r="A2039" s="35"/>
      <c r="B2039" s="42"/>
      <c r="C2039" s="42"/>
      <c r="D2039" s="42"/>
      <c r="E2039" s="41"/>
      <c r="F2039" s="41"/>
      <c r="G2039" s="41"/>
      <c r="H2039" s="41"/>
      <c r="I2039" s="41"/>
      <c r="J2039" s="42"/>
      <c r="K2039" s="41"/>
      <c r="L2039" s="41"/>
      <c r="M2039" s="127"/>
      <c r="N2039" s="41"/>
      <c r="O2039" s="41"/>
      <c r="P2039" s="41"/>
      <c r="Q2039" s="42"/>
      <c r="R2039" s="35"/>
      <c r="S2039" s="35"/>
      <c r="T2039" s="35"/>
      <c r="U2039" s="35"/>
      <c r="V2039" s="121"/>
      <c r="W2039" s="42"/>
      <c r="X2039" s="42"/>
      <c r="Y2039" s="42"/>
      <c r="Z2039" s="42"/>
      <c r="AA2039" s="42"/>
      <c r="AB2039" s="42"/>
      <c r="AC2039" s="42"/>
      <c r="AD2039" s="42"/>
      <c r="AE2039" s="42"/>
      <c r="AF2039" s="42"/>
      <c r="AG2039" s="42"/>
      <c r="AH2039" s="42"/>
      <c r="AI2039" s="42"/>
      <c r="AJ2039" s="42"/>
      <c r="AK2039" s="42"/>
      <c r="AL2039" s="42"/>
      <c r="AM2039" s="42"/>
    </row>
    <row r="2040" spans="1:39" x14ac:dyDescent="0.25">
      <c r="A2040" s="35"/>
      <c r="B2040" s="42"/>
      <c r="C2040" s="42"/>
      <c r="D2040" s="42"/>
      <c r="E2040" s="41"/>
      <c r="F2040" s="41"/>
      <c r="G2040" s="41"/>
      <c r="H2040" s="41"/>
      <c r="I2040" s="41"/>
      <c r="J2040" s="42"/>
      <c r="K2040" s="41"/>
      <c r="L2040" s="41"/>
      <c r="M2040" s="127"/>
      <c r="N2040" s="41"/>
      <c r="O2040" s="41"/>
      <c r="P2040" s="41"/>
      <c r="Q2040" s="42"/>
      <c r="R2040" s="35"/>
      <c r="S2040" s="35"/>
      <c r="T2040" s="35"/>
      <c r="U2040" s="35"/>
      <c r="V2040" s="121"/>
      <c r="W2040" s="42"/>
      <c r="X2040" s="42"/>
      <c r="Y2040" s="42"/>
      <c r="Z2040" s="42"/>
      <c r="AA2040" s="42"/>
      <c r="AB2040" s="42"/>
      <c r="AC2040" s="42"/>
      <c r="AD2040" s="42"/>
      <c r="AE2040" s="42"/>
      <c r="AF2040" s="42"/>
      <c r="AG2040" s="42"/>
      <c r="AH2040" s="42"/>
      <c r="AI2040" s="42"/>
      <c r="AJ2040" s="42"/>
      <c r="AK2040" s="42"/>
      <c r="AL2040" s="42"/>
      <c r="AM2040" s="42"/>
    </row>
    <row r="2041" spans="1:39" x14ac:dyDescent="0.25">
      <c r="A2041" s="35"/>
      <c r="B2041" s="42"/>
      <c r="C2041" s="42"/>
      <c r="D2041" s="42"/>
      <c r="E2041" s="41"/>
      <c r="F2041" s="41"/>
      <c r="G2041" s="41"/>
      <c r="H2041" s="41"/>
      <c r="I2041" s="41"/>
      <c r="J2041" s="42"/>
      <c r="K2041" s="41"/>
      <c r="L2041" s="41"/>
      <c r="M2041" s="127"/>
      <c r="N2041" s="41"/>
      <c r="O2041" s="41"/>
      <c r="P2041" s="41"/>
      <c r="Q2041" s="42"/>
      <c r="R2041" s="35"/>
      <c r="S2041" s="35"/>
      <c r="T2041" s="35"/>
      <c r="U2041" s="35"/>
      <c r="V2041" s="121"/>
      <c r="W2041" s="42"/>
      <c r="X2041" s="42"/>
      <c r="Y2041" s="42"/>
      <c r="Z2041" s="42"/>
      <c r="AA2041" s="42"/>
      <c r="AB2041" s="42"/>
      <c r="AC2041" s="42"/>
      <c r="AD2041" s="42"/>
      <c r="AE2041" s="42"/>
      <c r="AF2041" s="42"/>
      <c r="AG2041" s="42"/>
      <c r="AH2041" s="42"/>
      <c r="AI2041" s="42"/>
      <c r="AJ2041" s="42"/>
      <c r="AK2041" s="42"/>
      <c r="AL2041" s="42"/>
      <c r="AM2041" s="42"/>
    </row>
    <row r="2042" spans="1:39" x14ac:dyDescent="0.25">
      <c r="A2042" s="35"/>
      <c r="B2042" s="42"/>
      <c r="C2042" s="42"/>
      <c r="D2042" s="42"/>
      <c r="E2042" s="41"/>
      <c r="F2042" s="41"/>
      <c r="G2042" s="41"/>
      <c r="H2042" s="41"/>
      <c r="I2042" s="41"/>
      <c r="J2042" s="42"/>
      <c r="K2042" s="41"/>
      <c r="L2042" s="41"/>
      <c r="M2042" s="127"/>
      <c r="N2042" s="41"/>
      <c r="O2042" s="41"/>
      <c r="P2042" s="41"/>
      <c r="Q2042" s="42"/>
      <c r="R2042" s="35"/>
      <c r="S2042" s="35"/>
      <c r="T2042" s="35"/>
      <c r="U2042" s="35"/>
      <c r="V2042" s="121"/>
      <c r="W2042" s="42"/>
      <c r="X2042" s="42"/>
      <c r="Y2042" s="42"/>
      <c r="Z2042" s="42"/>
      <c r="AA2042" s="42"/>
      <c r="AB2042" s="42"/>
      <c r="AC2042" s="42"/>
      <c r="AD2042" s="42"/>
      <c r="AE2042" s="42"/>
      <c r="AF2042" s="42"/>
      <c r="AG2042" s="42"/>
      <c r="AH2042" s="42"/>
      <c r="AI2042" s="42"/>
      <c r="AJ2042" s="42"/>
      <c r="AK2042" s="42"/>
      <c r="AL2042" s="42"/>
      <c r="AM2042" s="42"/>
    </row>
    <row r="2043" spans="1:39" x14ac:dyDescent="0.25">
      <c r="A2043" s="35"/>
      <c r="B2043" s="42"/>
      <c r="C2043" s="42"/>
      <c r="D2043" s="42"/>
      <c r="E2043" s="41"/>
      <c r="F2043" s="41"/>
      <c r="G2043" s="41"/>
      <c r="H2043" s="41"/>
      <c r="I2043" s="41"/>
      <c r="J2043" s="42"/>
      <c r="K2043" s="41"/>
      <c r="L2043" s="41"/>
      <c r="M2043" s="127"/>
      <c r="N2043" s="41"/>
      <c r="O2043" s="41"/>
      <c r="P2043" s="41"/>
      <c r="Q2043" s="42"/>
      <c r="R2043" s="35"/>
      <c r="S2043" s="35"/>
      <c r="T2043" s="35"/>
      <c r="U2043" s="35"/>
      <c r="V2043" s="121"/>
      <c r="W2043" s="42"/>
      <c r="X2043" s="42"/>
      <c r="Y2043" s="42"/>
      <c r="Z2043" s="42"/>
      <c r="AA2043" s="42"/>
      <c r="AB2043" s="42"/>
      <c r="AC2043" s="42"/>
      <c r="AD2043" s="42"/>
      <c r="AE2043" s="42"/>
      <c r="AF2043" s="42"/>
      <c r="AG2043" s="42"/>
      <c r="AH2043" s="42"/>
      <c r="AI2043" s="42"/>
      <c r="AJ2043" s="42"/>
      <c r="AK2043" s="42"/>
      <c r="AL2043" s="42"/>
      <c r="AM2043" s="42"/>
    </row>
    <row r="2044" spans="1:39" x14ac:dyDescent="0.25">
      <c r="A2044" s="35"/>
      <c r="B2044" s="42"/>
      <c r="C2044" s="42"/>
      <c r="D2044" s="42"/>
      <c r="E2044" s="41"/>
      <c r="F2044" s="41"/>
      <c r="G2044" s="41"/>
      <c r="H2044" s="41"/>
      <c r="I2044" s="41"/>
      <c r="J2044" s="42"/>
      <c r="K2044" s="41"/>
      <c r="L2044" s="41"/>
      <c r="M2044" s="127"/>
      <c r="N2044" s="41"/>
      <c r="O2044" s="41"/>
      <c r="P2044" s="41"/>
      <c r="Q2044" s="42"/>
      <c r="R2044" s="35"/>
      <c r="S2044" s="35"/>
      <c r="T2044" s="35"/>
      <c r="U2044" s="35"/>
      <c r="V2044" s="121"/>
      <c r="W2044" s="42"/>
      <c r="X2044" s="42"/>
      <c r="Y2044" s="42"/>
      <c r="Z2044" s="42"/>
      <c r="AA2044" s="42"/>
      <c r="AB2044" s="42"/>
      <c r="AC2044" s="42"/>
      <c r="AD2044" s="42"/>
      <c r="AE2044" s="42"/>
      <c r="AF2044" s="42"/>
      <c r="AG2044" s="42"/>
      <c r="AH2044" s="42"/>
      <c r="AI2044" s="42"/>
      <c r="AJ2044" s="42"/>
      <c r="AK2044" s="42"/>
      <c r="AL2044" s="42"/>
      <c r="AM2044" s="42"/>
    </row>
    <row r="2045" spans="1:39" x14ac:dyDescent="0.25">
      <c r="A2045" s="35"/>
      <c r="B2045" s="42"/>
      <c r="C2045" s="42"/>
      <c r="D2045" s="42"/>
      <c r="E2045" s="41"/>
      <c r="F2045" s="41"/>
      <c r="G2045" s="41"/>
      <c r="H2045" s="41"/>
      <c r="I2045" s="41"/>
      <c r="J2045" s="42"/>
      <c r="K2045" s="41"/>
      <c r="L2045" s="41"/>
      <c r="M2045" s="127"/>
      <c r="N2045" s="41"/>
      <c r="O2045" s="41"/>
      <c r="P2045" s="41"/>
      <c r="Q2045" s="42"/>
      <c r="R2045" s="35"/>
      <c r="S2045" s="35"/>
      <c r="T2045" s="35"/>
      <c r="U2045" s="35"/>
      <c r="V2045" s="121"/>
      <c r="W2045" s="42"/>
      <c r="X2045" s="42"/>
      <c r="Y2045" s="42"/>
      <c r="Z2045" s="42"/>
      <c r="AA2045" s="42"/>
      <c r="AB2045" s="42"/>
      <c r="AC2045" s="42"/>
      <c r="AD2045" s="42"/>
      <c r="AE2045" s="42"/>
      <c r="AF2045" s="42"/>
      <c r="AG2045" s="42"/>
      <c r="AH2045" s="42"/>
      <c r="AI2045" s="42"/>
      <c r="AJ2045" s="42"/>
      <c r="AK2045" s="42"/>
      <c r="AL2045" s="42"/>
      <c r="AM2045" s="42"/>
    </row>
    <row r="2046" spans="1:39" x14ac:dyDescent="0.25">
      <c r="A2046" s="35"/>
      <c r="B2046" s="42"/>
      <c r="C2046" s="42"/>
      <c r="D2046" s="42"/>
      <c r="E2046" s="41"/>
      <c r="F2046" s="41"/>
      <c r="G2046" s="41"/>
      <c r="H2046" s="41"/>
      <c r="I2046" s="41"/>
      <c r="J2046" s="42"/>
      <c r="K2046" s="41"/>
      <c r="L2046" s="41"/>
      <c r="M2046" s="127"/>
      <c r="N2046" s="41"/>
      <c r="O2046" s="41"/>
      <c r="P2046" s="41"/>
      <c r="Q2046" s="42"/>
      <c r="R2046" s="35"/>
      <c r="S2046" s="35"/>
      <c r="T2046" s="35"/>
      <c r="U2046" s="35"/>
      <c r="V2046" s="121"/>
      <c r="W2046" s="42"/>
      <c r="X2046" s="42"/>
      <c r="Y2046" s="42"/>
      <c r="Z2046" s="42"/>
      <c r="AA2046" s="42"/>
      <c r="AB2046" s="42"/>
      <c r="AC2046" s="42"/>
      <c r="AD2046" s="42"/>
      <c r="AE2046" s="42"/>
      <c r="AF2046" s="42"/>
      <c r="AG2046" s="42"/>
      <c r="AH2046" s="42"/>
      <c r="AI2046" s="42"/>
      <c r="AJ2046" s="42"/>
      <c r="AK2046" s="42"/>
      <c r="AL2046" s="42"/>
      <c r="AM2046" s="42"/>
    </row>
    <row r="2047" spans="1:39" x14ac:dyDescent="0.25">
      <c r="A2047" s="35"/>
      <c r="B2047" s="42"/>
      <c r="C2047" s="42"/>
      <c r="D2047" s="42"/>
      <c r="E2047" s="41"/>
      <c r="F2047" s="41"/>
      <c r="G2047" s="41"/>
      <c r="H2047" s="41"/>
      <c r="I2047" s="41"/>
      <c r="J2047" s="42"/>
      <c r="K2047" s="41"/>
      <c r="L2047" s="41"/>
      <c r="M2047" s="127"/>
      <c r="N2047" s="41"/>
      <c r="O2047" s="41"/>
      <c r="P2047" s="41"/>
      <c r="Q2047" s="42"/>
      <c r="R2047" s="35"/>
      <c r="S2047" s="35"/>
      <c r="T2047" s="35"/>
      <c r="U2047" s="35"/>
      <c r="V2047" s="121"/>
      <c r="W2047" s="42"/>
      <c r="X2047" s="42"/>
      <c r="Y2047" s="42"/>
      <c r="Z2047" s="42"/>
      <c r="AA2047" s="42"/>
      <c r="AB2047" s="42"/>
      <c r="AC2047" s="42"/>
      <c r="AD2047" s="42"/>
      <c r="AE2047" s="42"/>
      <c r="AF2047" s="42"/>
      <c r="AG2047" s="42"/>
      <c r="AH2047" s="42"/>
      <c r="AI2047" s="42"/>
      <c r="AJ2047" s="42"/>
      <c r="AK2047" s="42"/>
      <c r="AL2047" s="42"/>
      <c r="AM2047" s="42"/>
    </row>
    <row r="2048" spans="1:39" x14ac:dyDescent="0.25">
      <c r="A2048" s="35"/>
      <c r="B2048" s="42"/>
      <c r="C2048" s="42"/>
      <c r="D2048" s="42"/>
      <c r="E2048" s="41"/>
      <c r="F2048" s="41"/>
      <c r="G2048" s="41"/>
      <c r="H2048" s="41"/>
      <c r="I2048" s="41"/>
      <c r="J2048" s="42"/>
      <c r="K2048" s="41"/>
      <c r="L2048" s="41"/>
      <c r="M2048" s="127"/>
      <c r="N2048" s="41"/>
      <c r="O2048" s="41"/>
      <c r="P2048" s="41"/>
      <c r="Q2048" s="42"/>
      <c r="R2048" s="35"/>
      <c r="S2048" s="35"/>
      <c r="T2048" s="35"/>
      <c r="U2048" s="35"/>
      <c r="V2048" s="121"/>
      <c r="W2048" s="42"/>
      <c r="X2048" s="42"/>
      <c r="Y2048" s="42"/>
      <c r="Z2048" s="42"/>
      <c r="AA2048" s="42"/>
      <c r="AB2048" s="42"/>
      <c r="AC2048" s="42"/>
      <c r="AD2048" s="42"/>
      <c r="AE2048" s="42"/>
      <c r="AF2048" s="42"/>
      <c r="AG2048" s="42"/>
      <c r="AH2048" s="42"/>
      <c r="AI2048" s="42"/>
      <c r="AJ2048" s="42"/>
      <c r="AK2048" s="42"/>
      <c r="AL2048" s="42"/>
      <c r="AM2048" s="42"/>
    </row>
    <row r="2049" spans="1:39" x14ac:dyDescent="0.25">
      <c r="A2049" s="35"/>
      <c r="B2049" s="42"/>
      <c r="C2049" s="42"/>
      <c r="D2049" s="42"/>
      <c r="E2049" s="41"/>
      <c r="F2049" s="41"/>
      <c r="G2049" s="41"/>
      <c r="H2049" s="41"/>
      <c r="I2049" s="41"/>
      <c r="J2049" s="42"/>
      <c r="K2049" s="41"/>
      <c r="L2049" s="41"/>
      <c r="M2049" s="127"/>
      <c r="N2049" s="41"/>
      <c r="O2049" s="41"/>
      <c r="P2049" s="41"/>
      <c r="Q2049" s="42"/>
      <c r="R2049" s="35"/>
      <c r="S2049" s="35"/>
      <c r="T2049" s="35"/>
      <c r="U2049" s="35"/>
      <c r="V2049" s="121"/>
      <c r="W2049" s="42"/>
      <c r="X2049" s="42"/>
      <c r="Y2049" s="42"/>
      <c r="Z2049" s="42"/>
      <c r="AA2049" s="42"/>
      <c r="AB2049" s="42"/>
      <c r="AC2049" s="42"/>
      <c r="AD2049" s="42"/>
      <c r="AE2049" s="42"/>
      <c r="AF2049" s="42"/>
      <c r="AG2049" s="42"/>
      <c r="AH2049" s="42"/>
      <c r="AI2049" s="42"/>
      <c r="AJ2049" s="42"/>
      <c r="AK2049" s="42"/>
      <c r="AL2049" s="42"/>
      <c r="AM2049" s="42"/>
    </row>
    <row r="2050" spans="1:39" x14ac:dyDescent="0.25">
      <c r="A2050" s="35"/>
      <c r="B2050" s="42"/>
      <c r="C2050" s="42"/>
      <c r="D2050" s="42"/>
      <c r="E2050" s="41"/>
      <c r="F2050" s="41"/>
      <c r="G2050" s="41"/>
      <c r="H2050" s="41"/>
      <c r="I2050" s="41"/>
      <c r="J2050" s="42"/>
      <c r="K2050" s="41"/>
      <c r="L2050" s="41"/>
      <c r="M2050" s="127"/>
      <c r="N2050" s="41"/>
      <c r="O2050" s="41"/>
      <c r="P2050" s="41"/>
      <c r="Q2050" s="42"/>
      <c r="R2050" s="35"/>
      <c r="S2050" s="35"/>
      <c r="T2050" s="35"/>
      <c r="U2050" s="35"/>
      <c r="V2050" s="121"/>
      <c r="W2050" s="42"/>
      <c r="X2050" s="42"/>
      <c r="Y2050" s="42"/>
      <c r="Z2050" s="42"/>
      <c r="AA2050" s="42"/>
      <c r="AB2050" s="42"/>
      <c r="AC2050" s="42"/>
      <c r="AD2050" s="42"/>
      <c r="AE2050" s="42"/>
      <c r="AF2050" s="42"/>
      <c r="AG2050" s="42"/>
      <c r="AH2050" s="42"/>
      <c r="AI2050" s="42"/>
      <c r="AJ2050" s="42"/>
      <c r="AK2050" s="42"/>
      <c r="AL2050" s="42"/>
      <c r="AM2050" s="42"/>
    </row>
    <row r="2051" spans="1:39" x14ac:dyDescent="0.25">
      <c r="A2051" s="35"/>
      <c r="B2051" s="42"/>
      <c r="C2051" s="42"/>
      <c r="D2051" s="42"/>
      <c r="E2051" s="41"/>
      <c r="F2051" s="41"/>
      <c r="G2051" s="41"/>
      <c r="H2051" s="41"/>
      <c r="I2051" s="41"/>
      <c r="J2051" s="42"/>
      <c r="K2051" s="41"/>
      <c r="L2051" s="41"/>
      <c r="M2051" s="127"/>
      <c r="N2051" s="41"/>
      <c r="O2051" s="41"/>
      <c r="P2051" s="41"/>
      <c r="Q2051" s="42"/>
      <c r="R2051" s="35"/>
      <c r="S2051" s="35"/>
      <c r="T2051" s="35"/>
      <c r="U2051" s="35"/>
      <c r="V2051" s="121"/>
      <c r="W2051" s="42"/>
      <c r="X2051" s="42"/>
      <c r="Y2051" s="42"/>
      <c r="Z2051" s="42"/>
      <c r="AA2051" s="42"/>
      <c r="AB2051" s="42"/>
      <c r="AC2051" s="42"/>
      <c r="AD2051" s="42"/>
      <c r="AE2051" s="42"/>
      <c r="AF2051" s="42"/>
      <c r="AG2051" s="42"/>
      <c r="AH2051" s="42"/>
      <c r="AI2051" s="42"/>
      <c r="AJ2051" s="42"/>
      <c r="AK2051" s="42"/>
      <c r="AL2051" s="42"/>
      <c r="AM2051" s="42"/>
    </row>
    <row r="2052" spans="1:39" x14ac:dyDescent="0.25">
      <c r="A2052" s="35"/>
      <c r="B2052" s="42"/>
      <c r="C2052" s="42"/>
      <c r="D2052" s="42"/>
      <c r="E2052" s="41"/>
      <c r="F2052" s="41"/>
      <c r="G2052" s="41"/>
      <c r="H2052" s="41"/>
      <c r="I2052" s="41"/>
      <c r="J2052" s="42"/>
      <c r="K2052" s="41"/>
      <c r="L2052" s="41"/>
      <c r="M2052" s="127"/>
      <c r="N2052" s="41"/>
      <c r="O2052" s="41"/>
      <c r="P2052" s="41"/>
      <c r="Q2052" s="42"/>
      <c r="R2052" s="35"/>
      <c r="S2052" s="35"/>
      <c r="T2052" s="35"/>
      <c r="U2052" s="35"/>
      <c r="V2052" s="121"/>
      <c r="W2052" s="42"/>
      <c r="X2052" s="42"/>
      <c r="Y2052" s="42"/>
      <c r="Z2052" s="42"/>
      <c r="AA2052" s="42"/>
      <c r="AB2052" s="42"/>
      <c r="AC2052" s="42"/>
      <c r="AD2052" s="42"/>
      <c r="AE2052" s="42"/>
      <c r="AF2052" s="42"/>
      <c r="AG2052" s="42"/>
      <c r="AH2052" s="42"/>
      <c r="AI2052" s="42"/>
      <c r="AJ2052" s="42"/>
      <c r="AK2052" s="42"/>
      <c r="AL2052" s="42"/>
      <c r="AM2052" s="42"/>
    </row>
    <row r="2053" spans="1:39" x14ac:dyDescent="0.25">
      <c r="A2053" s="35"/>
      <c r="B2053" s="42"/>
      <c r="C2053" s="42"/>
      <c r="D2053" s="42"/>
      <c r="E2053" s="41"/>
      <c r="F2053" s="41"/>
      <c r="G2053" s="41"/>
      <c r="H2053" s="41"/>
      <c r="I2053" s="41"/>
      <c r="J2053" s="42"/>
      <c r="K2053" s="41"/>
      <c r="L2053" s="41"/>
      <c r="M2053" s="127"/>
      <c r="N2053" s="41"/>
      <c r="O2053" s="41"/>
      <c r="P2053" s="41"/>
      <c r="Q2053" s="42"/>
      <c r="R2053" s="35"/>
      <c r="S2053" s="35"/>
      <c r="T2053" s="35"/>
      <c r="U2053" s="35"/>
      <c r="V2053" s="121"/>
      <c r="W2053" s="42"/>
      <c r="X2053" s="42"/>
      <c r="Y2053" s="42"/>
      <c r="Z2053" s="42"/>
      <c r="AA2053" s="42"/>
      <c r="AB2053" s="42"/>
      <c r="AC2053" s="42"/>
      <c r="AD2053" s="42"/>
      <c r="AE2053" s="42"/>
      <c r="AF2053" s="42"/>
      <c r="AG2053" s="42"/>
      <c r="AH2053" s="42"/>
      <c r="AI2053" s="42"/>
      <c r="AJ2053" s="42"/>
      <c r="AK2053" s="42"/>
      <c r="AL2053" s="42"/>
      <c r="AM2053" s="42"/>
    </row>
    <row r="2054" spans="1:39" x14ac:dyDescent="0.25">
      <c r="A2054" s="35"/>
      <c r="B2054" s="42"/>
      <c r="C2054" s="42"/>
      <c r="D2054" s="42"/>
      <c r="E2054" s="41"/>
      <c r="F2054" s="41"/>
      <c r="G2054" s="41"/>
      <c r="H2054" s="41"/>
      <c r="I2054" s="41"/>
      <c r="J2054" s="42"/>
      <c r="K2054" s="41"/>
      <c r="L2054" s="41"/>
      <c r="M2054" s="127"/>
      <c r="N2054" s="41"/>
      <c r="O2054" s="41"/>
      <c r="P2054" s="41"/>
      <c r="Q2054" s="42"/>
      <c r="R2054" s="35"/>
      <c r="S2054" s="35"/>
      <c r="T2054" s="35"/>
      <c r="U2054" s="35"/>
      <c r="V2054" s="121"/>
      <c r="W2054" s="42"/>
      <c r="X2054" s="42"/>
      <c r="Y2054" s="42"/>
      <c r="Z2054" s="42"/>
      <c r="AA2054" s="42"/>
      <c r="AB2054" s="42"/>
      <c r="AC2054" s="42"/>
      <c r="AD2054" s="42"/>
      <c r="AE2054" s="42"/>
      <c r="AF2054" s="42"/>
      <c r="AG2054" s="42"/>
      <c r="AH2054" s="42"/>
      <c r="AI2054" s="42"/>
      <c r="AJ2054" s="42"/>
      <c r="AK2054" s="42"/>
      <c r="AL2054" s="42"/>
      <c r="AM2054" s="42"/>
    </row>
    <row r="2055" spans="1:39" x14ac:dyDescent="0.25">
      <c r="A2055" s="35"/>
      <c r="B2055" s="42"/>
      <c r="C2055" s="42"/>
      <c r="D2055" s="42"/>
      <c r="E2055" s="41"/>
      <c r="F2055" s="41"/>
      <c r="G2055" s="41"/>
      <c r="H2055" s="41"/>
      <c r="I2055" s="41"/>
      <c r="J2055" s="42"/>
      <c r="K2055" s="41"/>
      <c r="L2055" s="41"/>
      <c r="M2055" s="127"/>
      <c r="N2055" s="41"/>
      <c r="O2055" s="41"/>
      <c r="P2055" s="41"/>
      <c r="Q2055" s="42"/>
      <c r="R2055" s="35"/>
      <c r="S2055" s="35"/>
      <c r="T2055" s="35"/>
      <c r="U2055" s="35"/>
      <c r="V2055" s="121"/>
      <c r="W2055" s="42"/>
      <c r="X2055" s="42"/>
      <c r="Y2055" s="42"/>
      <c r="Z2055" s="42"/>
      <c r="AA2055" s="42"/>
      <c r="AB2055" s="42"/>
      <c r="AC2055" s="42"/>
      <c r="AD2055" s="42"/>
      <c r="AE2055" s="42"/>
      <c r="AF2055" s="42"/>
      <c r="AG2055" s="42"/>
      <c r="AH2055" s="42"/>
      <c r="AI2055" s="42"/>
      <c r="AJ2055" s="42"/>
      <c r="AK2055" s="42"/>
      <c r="AL2055" s="42"/>
      <c r="AM2055" s="42"/>
    </row>
    <row r="2056" spans="1:39" x14ac:dyDescent="0.25">
      <c r="A2056" s="35"/>
      <c r="B2056" s="42"/>
      <c r="C2056" s="42"/>
      <c r="D2056" s="42"/>
      <c r="E2056" s="41"/>
      <c r="F2056" s="41"/>
      <c r="G2056" s="41"/>
      <c r="H2056" s="41"/>
      <c r="I2056" s="41"/>
      <c r="J2056" s="42"/>
      <c r="K2056" s="41"/>
      <c r="L2056" s="41"/>
      <c r="M2056" s="127"/>
      <c r="N2056" s="41"/>
      <c r="O2056" s="41"/>
      <c r="P2056" s="41"/>
      <c r="Q2056" s="42"/>
      <c r="R2056" s="35"/>
      <c r="S2056" s="35"/>
      <c r="T2056" s="35"/>
      <c r="U2056" s="35"/>
      <c r="V2056" s="121"/>
      <c r="W2056" s="42"/>
      <c r="X2056" s="42"/>
      <c r="Y2056" s="42"/>
      <c r="Z2056" s="42"/>
      <c r="AA2056" s="42"/>
      <c r="AB2056" s="42"/>
      <c r="AC2056" s="42"/>
      <c r="AD2056" s="42"/>
      <c r="AE2056" s="42"/>
      <c r="AF2056" s="42"/>
      <c r="AG2056" s="42"/>
      <c r="AH2056" s="42"/>
      <c r="AI2056" s="42"/>
      <c r="AJ2056" s="42"/>
      <c r="AK2056" s="42"/>
      <c r="AL2056" s="42"/>
      <c r="AM2056" s="42"/>
    </row>
    <row r="2057" spans="1:39" x14ac:dyDescent="0.25">
      <c r="A2057" s="35"/>
      <c r="B2057" s="42"/>
      <c r="C2057" s="42"/>
      <c r="D2057" s="42"/>
      <c r="E2057" s="41"/>
      <c r="F2057" s="41"/>
      <c r="G2057" s="41"/>
      <c r="H2057" s="41"/>
      <c r="I2057" s="41"/>
      <c r="J2057" s="42"/>
      <c r="K2057" s="41"/>
      <c r="L2057" s="41"/>
      <c r="M2057" s="127"/>
      <c r="N2057" s="41"/>
      <c r="O2057" s="41"/>
      <c r="P2057" s="41"/>
      <c r="Q2057" s="42"/>
      <c r="R2057" s="35"/>
      <c r="S2057" s="35"/>
      <c r="T2057" s="35"/>
      <c r="U2057" s="35"/>
      <c r="V2057" s="121"/>
      <c r="W2057" s="42"/>
      <c r="X2057" s="42"/>
      <c r="Y2057" s="42"/>
      <c r="Z2057" s="42"/>
      <c r="AA2057" s="42"/>
      <c r="AB2057" s="42"/>
      <c r="AC2057" s="42"/>
      <c r="AD2057" s="42"/>
      <c r="AE2057" s="42"/>
      <c r="AF2057" s="42"/>
      <c r="AG2057" s="42"/>
      <c r="AH2057" s="42"/>
      <c r="AI2057" s="42"/>
      <c r="AJ2057" s="42"/>
      <c r="AK2057" s="42"/>
      <c r="AL2057" s="42"/>
      <c r="AM2057" s="42"/>
    </row>
    <row r="2058" spans="1:39" x14ac:dyDescent="0.25">
      <c r="A2058" s="35"/>
      <c r="B2058" s="42"/>
      <c r="C2058" s="42"/>
      <c r="D2058" s="42"/>
      <c r="E2058" s="41"/>
      <c r="F2058" s="41"/>
      <c r="G2058" s="41"/>
      <c r="H2058" s="41"/>
      <c r="I2058" s="41"/>
      <c r="J2058" s="42"/>
      <c r="K2058" s="41"/>
      <c r="L2058" s="41"/>
      <c r="M2058" s="127"/>
      <c r="N2058" s="41"/>
      <c r="O2058" s="41"/>
      <c r="P2058" s="41"/>
      <c r="Q2058" s="42"/>
      <c r="R2058" s="35"/>
      <c r="S2058" s="35"/>
      <c r="T2058" s="35"/>
      <c r="U2058" s="35"/>
      <c r="V2058" s="121"/>
      <c r="W2058" s="42"/>
      <c r="X2058" s="42"/>
      <c r="Y2058" s="42"/>
      <c r="Z2058" s="42"/>
      <c r="AA2058" s="42"/>
      <c r="AB2058" s="42"/>
      <c r="AC2058" s="42"/>
      <c r="AD2058" s="42"/>
      <c r="AE2058" s="42"/>
      <c r="AF2058" s="42"/>
      <c r="AG2058" s="42"/>
      <c r="AH2058" s="42"/>
      <c r="AI2058" s="42"/>
      <c r="AJ2058" s="42"/>
      <c r="AK2058" s="42"/>
      <c r="AL2058" s="42"/>
      <c r="AM2058" s="42"/>
    </row>
    <row r="2059" spans="1:39" x14ac:dyDescent="0.25">
      <c r="A2059" s="35"/>
      <c r="B2059" s="42"/>
      <c r="C2059" s="42"/>
      <c r="D2059" s="42"/>
      <c r="E2059" s="41"/>
      <c r="F2059" s="41"/>
      <c r="G2059" s="41"/>
      <c r="H2059" s="41"/>
      <c r="I2059" s="41"/>
      <c r="J2059" s="42"/>
      <c r="K2059" s="41"/>
      <c r="L2059" s="41"/>
      <c r="M2059" s="127"/>
      <c r="N2059" s="41"/>
      <c r="O2059" s="41"/>
      <c r="P2059" s="41"/>
      <c r="Q2059" s="42"/>
      <c r="R2059" s="35"/>
      <c r="S2059" s="35"/>
      <c r="T2059" s="35"/>
      <c r="U2059" s="35"/>
      <c r="V2059" s="121"/>
      <c r="W2059" s="42"/>
      <c r="X2059" s="42"/>
      <c r="Y2059" s="42"/>
      <c r="Z2059" s="42"/>
      <c r="AA2059" s="42"/>
      <c r="AB2059" s="42"/>
      <c r="AC2059" s="42"/>
      <c r="AD2059" s="42"/>
      <c r="AE2059" s="42"/>
      <c r="AF2059" s="42"/>
      <c r="AG2059" s="42"/>
      <c r="AH2059" s="42"/>
      <c r="AI2059" s="42"/>
      <c r="AJ2059" s="42"/>
      <c r="AK2059" s="42"/>
      <c r="AL2059" s="42"/>
      <c r="AM2059" s="42"/>
    </row>
    <row r="2060" spans="1:39" x14ac:dyDescent="0.25">
      <c r="A2060" s="35"/>
      <c r="B2060" s="42"/>
      <c r="C2060" s="42"/>
      <c r="D2060" s="42"/>
      <c r="E2060" s="41"/>
      <c r="F2060" s="41"/>
      <c r="G2060" s="41"/>
      <c r="H2060" s="41"/>
      <c r="I2060" s="41"/>
      <c r="J2060" s="42"/>
      <c r="K2060" s="41"/>
      <c r="L2060" s="41"/>
      <c r="M2060" s="127"/>
      <c r="N2060" s="41"/>
      <c r="O2060" s="41"/>
      <c r="P2060" s="41"/>
      <c r="Q2060" s="42"/>
      <c r="R2060" s="35"/>
      <c r="S2060" s="35"/>
      <c r="T2060" s="35"/>
      <c r="U2060" s="35"/>
      <c r="V2060" s="121"/>
      <c r="W2060" s="42"/>
      <c r="X2060" s="42"/>
      <c r="Y2060" s="42"/>
      <c r="Z2060" s="42"/>
      <c r="AA2060" s="42"/>
      <c r="AB2060" s="42"/>
      <c r="AC2060" s="42"/>
      <c r="AD2060" s="42"/>
      <c r="AE2060" s="42"/>
      <c r="AF2060" s="42"/>
      <c r="AG2060" s="42"/>
      <c r="AH2060" s="42"/>
      <c r="AI2060" s="42"/>
      <c r="AJ2060" s="42"/>
      <c r="AK2060" s="42"/>
      <c r="AL2060" s="42"/>
      <c r="AM2060" s="42"/>
    </row>
    <row r="2061" spans="1:39" x14ac:dyDescent="0.25">
      <c r="A2061" s="35"/>
      <c r="B2061" s="42"/>
      <c r="C2061" s="42"/>
      <c r="D2061" s="42"/>
      <c r="E2061" s="41"/>
      <c r="F2061" s="41"/>
      <c r="G2061" s="41"/>
      <c r="H2061" s="41"/>
      <c r="I2061" s="41"/>
      <c r="J2061" s="42"/>
      <c r="K2061" s="41"/>
      <c r="L2061" s="41"/>
      <c r="M2061" s="127"/>
      <c r="N2061" s="41"/>
      <c r="O2061" s="41"/>
      <c r="P2061" s="41"/>
      <c r="Q2061" s="42"/>
      <c r="R2061" s="35"/>
      <c r="S2061" s="35"/>
      <c r="T2061" s="35"/>
      <c r="U2061" s="35"/>
      <c r="V2061" s="121"/>
      <c r="W2061" s="42"/>
      <c r="X2061" s="42"/>
      <c r="Y2061" s="42"/>
      <c r="Z2061" s="42"/>
      <c r="AA2061" s="42"/>
      <c r="AB2061" s="42"/>
      <c r="AC2061" s="42"/>
      <c r="AD2061" s="42"/>
      <c r="AE2061" s="42"/>
      <c r="AF2061" s="42"/>
      <c r="AG2061" s="42"/>
      <c r="AH2061" s="42"/>
      <c r="AI2061" s="42"/>
      <c r="AJ2061" s="42"/>
      <c r="AK2061" s="42"/>
      <c r="AL2061" s="42"/>
      <c r="AM2061" s="42"/>
    </row>
    <row r="2062" spans="1:39" x14ac:dyDescent="0.25">
      <c r="A2062" s="35"/>
      <c r="B2062" s="42"/>
      <c r="C2062" s="42"/>
      <c r="D2062" s="42"/>
      <c r="E2062" s="41"/>
      <c r="F2062" s="41"/>
      <c r="G2062" s="41"/>
      <c r="H2062" s="41"/>
      <c r="I2062" s="41"/>
      <c r="J2062" s="42"/>
      <c r="K2062" s="41"/>
      <c r="L2062" s="41"/>
      <c r="M2062" s="127"/>
      <c r="N2062" s="41"/>
      <c r="O2062" s="41"/>
      <c r="P2062" s="41"/>
      <c r="Q2062" s="42"/>
      <c r="R2062" s="35"/>
      <c r="S2062" s="35"/>
      <c r="T2062" s="35"/>
      <c r="U2062" s="35"/>
      <c r="V2062" s="121"/>
      <c r="W2062" s="42"/>
      <c r="X2062" s="42"/>
      <c r="Y2062" s="42"/>
      <c r="Z2062" s="42"/>
      <c r="AA2062" s="42"/>
      <c r="AB2062" s="42"/>
      <c r="AC2062" s="42"/>
      <c r="AD2062" s="42"/>
      <c r="AE2062" s="42"/>
      <c r="AF2062" s="42"/>
      <c r="AG2062" s="42"/>
      <c r="AH2062" s="42"/>
      <c r="AI2062" s="42"/>
      <c r="AJ2062" s="42"/>
      <c r="AK2062" s="42"/>
      <c r="AL2062" s="42"/>
      <c r="AM2062" s="42"/>
    </row>
    <row r="2063" spans="1:39" x14ac:dyDescent="0.25">
      <c r="A2063" s="35"/>
      <c r="B2063" s="42"/>
      <c r="C2063" s="42"/>
      <c r="D2063" s="42"/>
      <c r="E2063" s="41"/>
      <c r="F2063" s="41"/>
      <c r="G2063" s="41"/>
      <c r="H2063" s="41"/>
      <c r="I2063" s="41"/>
      <c r="J2063" s="42"/>
      <c r="K2063" s="41"/>
      <c r="L2063" s="41"/>
      <c r="M2063" s="127"/>
      <c r="N2063" s="41"/>
      <c r="O2063" s="41"/>
      <c r="P2063" s="41"/>
      <c r="Q2063" s="42"/>
      <c r="R2063" s="35"/>
      <c r="S2063" s="35"/>
      <c r="T2063" s="35"/>
      <c r="U2063" s="35"/>
      <c r="V2063" s="121"/>
      <c r="W2063" s="42"/>
      <c r="X2063" s="42"/>
      <c r="Y2063" s="42"/>
      <c r="Z2063" s="42"/>
      <c r="AA2063" s="42"/>
      <c r="AB2063" s="42"/>
      <c r="AC2063" s="42"/>
      <c r="AD2063" s="42"/>
      <c r="AE2063" s="42"/>
      <c r="AF2063" s="42"/>
      <c r="AG2063" s="42"/>
      <c r="AH2063" s="42"/>
      <c r="AI2063" s="42"/>
      <c r="AJ2063" s="42"/>
      <c r="AK2063" s="42"/>
      <c r="AL2063" s="42"/>
      <c r="AM2063" s="42"/>
    </row>
    <row r="2064" spans="1:39" x14ac:dyDescent="0.25">
      <c r="A2064" s="35"/>
      <c r="B2064" s="42"/>
      <c r="C2064" s="42"/>
      <c r="D2064" s="42"/>
      <c r="E2064" s="41"/>
      <c r="F2064" s="41"/>
      <c r="G2064" s="41"/>
      <c r="H2064" s="41"/>
      <c r="I2064" s="41"/>
      <c r="J2064" s="42"/>
      <c r="K2064" s="41"/>
      <c r="L2064" s="41"/>
      <c r="M2064" s="127"/>
      <c r="N2064" s="41"/>
      <c r="O2064" s="41"/>
      <c r="P2064" s="41"/>
      <c r="Q2064" s="42"/>
      <c r="R2064" s="35"/>
      <c r="S2064" s="35"/>
      <c r="T2064" s="35"/>
      <c r="U2064" s="35"/>
      <c r="V2064" s="121"/>
      <c r="W2064" s="42"/>
      <c r="X2064" s="42"/>
      <c r="Y2064" s="42"/>
      <c r="Z2064" s="42"/>
      <c r="AA2064" s="42"/>
      <c r="AB2064" s="42"/>
      <c r="AC2064" s="42"/>
      <c r="AD2064" s="42"/>
      <c r="AE2064" s="42"/>
      <c r="AF2064" s="42"/>
      <c r="AG2064" s="42"/>
      <c r="AH2064" s="42"/>
      <c r="AI2064" s="42"/>
      <c r="AJ2064" s="42"/>
      <c r="AK2064" s="42"/>
      <c r="AL2064" s="42"/>
      <c r="AM2064" s="42"/>
    </row>
    <row r="2065" spans="1:39" x14ac:dyDescent="0.25">
      <c r="A2065" s="35"/>
      <c r="B2065" s="42"/>
      <c r="C2065" s="42"/>
      <c r="D2065" s="42"/>
      <c r="E2065" s="41"/>
      <c r="F2065" s="41"/>
      <c r="G2065" s="41"/>
      <c r="H2065" s="41"/>
      <c r="I2065" s="41"/>
      <c r="J2065" s="42"/>
      <c r="K2065" s="41"/>
      <c r="L2065" s="41"/>
      <c r="M2065" s="127"/>
      <c r="N2065" s="41"/>
      <c r="O2065" s="41"/>
      <c r="P2065" s="41"/>
      <c r="Q2065" s="42"/>
      <c r="R2065" s="35"/>
      <c r="S2065" s="35"/>
      <c r="T2065" s="35"/>
      <c r="U2065" s="35"/>
      <c r="V2065" s="121"/>
      <c r="W2065" s="42"/>
      <c r="X2065" s="42"/>
      <c r="Y2065" s="42"/>
      <c r="Z2065" s="42"/>
      <c r="AA2065" s="42"/>
      <c r="AB2065" s="42"/>
      <c r="AC2065" s="42"/>
      <c r="AD2065" s="42"/>
      <c r="AE2065" s="42"/>
      <c r="AF2065" s="42"/>
      <c r="AG2065" s="42"/>
      <c r="AH2065" s="42"/>
      <c r="AI2065" s="42"/>
      <c r="AJ2065" s="42"/>
      <c r="AK2065" s="42"/>
      <c r="AL2065" s="42"/>
      <c r="AM2065" s="42"/>
    </row>
    <row r="2066" spans="1:39" x14ac:dyDescent="0.25">
      <c r="A2066" s="35"/>
      <c r="B2066" s="42"/>
      <c r="C2066" s="42"/>
      <c r="D2066" s="42"/>
      <c r="E2066" s="41"/>
      <c r="F2066" s="41"/>
      <c r="G2066" s="41"/>
      <c r="H2066" s="41"/>
      <c r="I2066" s="41"/>
      <c r="J2066" s="42"/>
      <c r="K2066" s="41"/>
      <c r="L2066" s="41"/>
      <c r="M2066" s="127"/>
      <c r="N2066" s="41"/>
      <c r="O2066" s="41"/>
      <c r="P2066" s="41"/>
      <c r="Q2066" s="42"/>
      <c r="R2066" s="35"/>
      <c r="S2066" s="35"/>
      <c r="T2066" s="35"/>
      <c r="U2066" s="35"/>
      <c r="V2066" s="121"/>
      <c r="W2066" s="42"/>
      <c r="X2066" s="42"/>
      <c r="Y2066" s="42"/>
      <c r="Z2066" s="42"/>
      <c r="AA2066" s="42"/>
      <c r="AB2066" s="42"/>
      <c r="AC2066" s="42"/>
      <c r="AD2066" s="42"/>
      <c r="AE2066" s="42"/>
      <c r="AF2066" s="42"/>
      <c r="AG2066" s="42"/>
      <c r="AH2066" s="42"/>
      <c r="AI2066" s="42"/>
      <c r="AJ2066" s="42"/>
      <c r="AK2066" s="42"/>
      <c r="AL2066" s="42"/>
      <c r="AM2066" s="42"/>
    </row>
    <row r="2067" spans="1:39" x14ac:dyDescent="0.25">
      <c r="A2067" s="35"/>
      <c r="B2067" s="42"/>
      <c r="C2067" s="42"/>
      <c r="D2067" s="42"/>
      <c r="E2067" s="41"/>
      <c r="F2067" s="41"/>
      <c r="G2067" s="41"/>
      <c r="H2067" s="41"/>
      <c r="I2067" s="41"/>
      <c r="J2067" s="42"/>
      <c r="K2067" s="41"/>
      <c r="L2067" s="41"/>
      <c r="M2067" s="127"/>
      <c r="N2067" s="41"/>
      <c r="O2067" s="41"/>
      <c r="P2067" s="41"/>
      <c r="Q2067" s="42"/>
      <c r="R2067" s="35"/>
      <c r="S2067" s="35"/>
      <c r="T2067" s="35"/>
      <c r="U2067" s="35"/>
      <c r="V2067" s="121"/>
      <c r="W2067" s="42"/>
      <c r="X2067" s="42"/>
      <c r="Y2067" s="42"/>
      <c r="Z2067" s="42"/>
      <c r="AA2067" s="42"/>
      <c r="AB2067" s="42"/>
      <c r="AC2067" s="42"/>
      <c r="AD2067" s="42"/>
      <c r="AE2067" s="42"/>
      <c r="AF2067" s="42"/>
      <c r="AG2067" s="42"/>
      <c r="AH2067" s="42"/>
      <c r="AI2067" s="42"/>
      <c r="AJ2067" s="42"/>
      <c r="AK2067" s="42"/>
      <c r="AL2067" s="42"/>
      <c r="AM2067" s="42"/>
    </row>
    <row r="2068" spans="1:39" x14ac:dyDescent="0.25">
      <c r="A2068" s="35"/>
      <c r="B2068" s="42"/>
      <c r="C2068" s="42"/>
      <c r="D2068" s="42"/>
      <c r="E2068" s="41"/>
      <c r="F2068" s="41"/>
      <c r="G2068" s="41"/>
      <c r="H2068" s="41"/>
      <c r="I2068" s="41"/>
      <c r="J2068" s="42"/>
      <c r="K2068" s="41"/>
      <c r="L2068" s="41"/>
      <c r="M2068" s="127"/>
      <c r="N2068" s="41"/>
      <c r="O2068" s="41"/>
      <c r="P2068" s="41"/>
      <c r="Q2068" s="42"/>
      <c r="R2068" s="35"/>
      <c r="S2068" s="35"/>
      <c r="T2068" s="35"/>
      <c r="U2068" s="35"/>
      <c r="V2068" s="121"/>
      <c r="W2068" s="42"/>
      <c r="X2068" s="42"/>
      <c r="Y2068" s="42"/>
      <c r="Z2068" s="42"/>
      <c r="AA2068" s="42"/>
      <c r="AB2068" s="42"/>
      <c r="AC2068" s="42"/>
      <c r="AD2068" s="42"/>
      <c r="AE2068" s="42"/>
      <c r="AF2068" s="42"/>
      <c r="AG2068" s="42"/>
      <c r="AH2068" s="42"/>
      <c r="AI2068" s="42"/>
      <c r="AJ2068" s="42"/>
      <c r="AK2068" s="42"/>
      <c r="AL2068" s="42"/>
      <c r="AM2068" s="42"/>
    </row>
    <row r="2069" spans="1:39" x14ac:dyDescent="0.25">
      <c r="A2069" s="35"/>
      <c r="B2069" s="42"/>
      <c r="C2069" s="42"/>
      <c r="D2069" s="42"/>
      <c r="E2069" s="41"/>
      <c r="F2069" s="41"/>
      <c r="G2069" s="41"/>
      <c r="H2069" s="41"/>
      <c r="I2069" s="41"/>
      <c r="J2069" s="42"/>
      <c r="K2069" s="41"/>
      <c r="L2069" s="41"/>
      <c r="M2069" s="127"/>
      <c r="N2069" s="41"/>
      <c r="O2069" s="41"/>
      <c r="P2069" s="41"/>
      <c r="Q2069" s="42"/>
      <c r="R2069" s="35"/>
      <c r="S2069" s="35"/>
      <c r="T2069" s="35"/>
      <c r="U2069" s="35"/>
      <c r="V2069" s="121"/>
      <c r="W2069" s="42"/>
      <c r="X2069" s="42"/>
      <c r="Y2069" s="42"/>
      <c r="Z2069" s="42"/>
      <c r="AA2069" s="42"/>
      <c r="AB2069" s="42"/>
      <c r="AC2069" s="42"/>
      <c r="AD2069" s="42"/>
      <c r="AE2069" s="42"/>
      <c r="AF2069" s="42"/>
      <c r="AG2069" s="42"/>
      <c r="AH2069" s="42"/>
      <c r="AI2069" s="42"/>
      <c r="AJ2069" s="42"/>
      <c r="AK2069" s="42"/>
      <c r="AL2069" s="42"/>
      <c r="AM2069" s="42"/>
    </row>
    <row r="2070" spans="1:39" x14ac:dyDescent="0.25">
      <c r="A2070" s="35"/>
      <c r="B2070" s="42"/>
      <c r="C2070" s="42"/>
      <c r="D2070" s="42"/>
      <c r="E2070" s="41"/>
      <c r="F2070" s="41"/>
      <c r="G2070" s="41"/>
      <c r="H2070" s="41"/>
      <c r="I2070" s="41"/>
      <c r="J2070" s="42"/>
      <c r="K2070" s="41"/>
      <c r="L2070" s="41"/>
      <c r="M2070" s="127"/>
      <c r="N2070" s="41"/>
      <c r="O2070" s="41"/>
      <c r="P2070" s="41"/>
      <c r="Q2070" s="42"/>
      <c r="R2070" s="35"/>
      <c r="S2070" s="35"/>
      <c r="T2070" s="35"/>
      <c r="U2070" s="35"/>
      <c r="V2070" s="121"/>
      <c r="W2070" s="42"/>
      <c r="X2070" s="42"/>
      <c r="Y2070" s="42"/>
      <c r="Z2070" s="42"/>
      <c r="AA2070" s="42"/>
      <c r="AB2070" s="42"/>
      <c r="AC2070" s="42"/>
      <c r="AD2070" s="42"/>
      <c r="AE2070" s="42"/>
      <c r="AF2070" s="42"/>
      <c r="AG2070" s="42"/>
      <c r="AH2070" s="42"/>
      <c r="AI2070" s="42"/>
      <c r="AJ2070" s="42"/>
      <c r="AK2070" s="42"/>
      <c r="AL2070" s="42"/>
      <c r="AM2070" s="42"/>
    </row>
    <row r="2071" spans="1:39" x14ac:dyDescent="0.25">
      <c r="A2071" s="35"/>
      <c r="B2071" s="42"/>
      <c r="C2071" s="42"/>
      <c r="D2071" s="42"/>
      <c r="E2071" s="41"/>
      <c r="F2071" s="41"/>
      <c r="G2071" s="41"/>
      <c r="H2071" s="41"/>
      <c r="I2071" s="41"/>
      <c r="J2071" s="42"/>
      <c r="K2071" s="41"/>
      <c r="L2071" s="41"/>
      <c r="M2071" s="127"/>
      <c r="N2071" s="41"/>
      <c r="O2071" s="41"/>
      <c r="P2071" s="41"/>
      <c r="Q2071" s="42"/>
      <c r="R2071" s="35"/>
      <c r="S2071" s="35"/>
      <c r="T2071" s="35"/>
      <c r="U2071" s="35"/>
      <c r="V2071" s="121"/>
      <c r="W2071" s="42"/>
      <c r="X2071" s="42"/>
      <c r="Y2071" s="42"/>
      <c r="Z2071" s="42"/>
      <c r="AA2071" s="42"/>
      <c r="AB2071" s="42"/>
      <c r="AC2071" s="42"/>
      <c r="AD2071" s="42"/>
      <c r="AE2071" s="42"/>
      <c r="AF2071" s="42"/>
      <c r="AG2071" s="42"/>
      <c r="AH2071" s="42"/>
      <c r="AI2071" s="42"/>
      <c r="AJ2071" s="42"/>
      <c r="AK2071" s="42"/>
      <c r="AL2071" s="42"/>
      <c r="AM2071" s="42"/>
    </row>
    <row r="2072" spans="1:39" x14ac:dyDescent="0.25">
      <c r="A2072" s="35"/>
      <c r="B2072" s="42"/>
      <c r="C2072" s="42"/>
      <c r="D2072" s="42"/>
      <c r="E2072" s="41"/>
      <c r="F2072" s="41"/>
      <c r="G2072" s="41"/>
      <c r="H2072" s="41"/>
      <c r="I2072" s="41"/>
      <c r="J2072" s="42"/>
      <c r="K2072" s="41"/>
      <c r="L2072" s="41"/>
      <c r="M2072" s="127"/>
      <c r="N2072" s="41"/>
      <c r="O2072" s="41"/>
      <c r="P2072" s="41"/>
      <c r="Q2072" s="42"/>
      <c r="R2072" s="35"/>
      <c r="S2072" s="35"/>
      <c r="T2072" s="35"/>
      <c r="U2072" s="35"/>
      <c r="V2072" s="121"/>
      <c r="W2072" s="42"/>
      <c r="X2072" s="42"/>
      <c r="Y2072" s="42"/>
      <c r="Z2072" s="42"/>
      <c r="AA2072" s="42"/>
      <c r="AB2072" s="42"/>
      <c r="AC2072" s="42"/>
      <c r="AD2072" s="42"/>
      <c r="AE2072" s="42"/>
      <c r="AF2072" s="42"/>
      <c r="AG2072" s="42"/>
      <c r="AH2072" s="42"/>
      <c r="AI2072" s="42"/>
      <c r="AJ2072" s="42"/>
      <c r="AK2072" s="42"/>
      <c r="AL2072" s="42"/>
      <c r="AM2072" s="42"/>
    </row>
    <row r="2073" spans="1:39" x14ac:dyDescent="0.25">
      <c r="A2073" s="35"/>
      <c r="B2073" s="42"/>
      <c r="C2073" s="42"/>
      <c r="D2073" s="42"/>
      <c r="E2073" s="41"/>
      <c r="F2073" s="41"/>
      <c r="G2073" s="41"/>
      <c r="H2073" s="41"/>
      <c r="I2073" s="41"/>
      <c r="J2073" s="42"/>
      <c r="K2073" s="41"/>
      <c r="L2073" s="41"/>
      <c r="M2073" s="127"/>
      <c r="N2073" s="41"/>
      <c r="O2073" s="41"/>
      <c r="P2073" s="41"/>
      <c r="Q2073" s="42"/>
      <c r="R2073" s="35"/>
      <c r="S2073" s="35"/>
      <c r="T2073" s="35"/>
      <c r="U2073" s="35"/>
      <c r="V2073" s="121"/>
      <c r="W2073" s="42"/>
      <c r="X2073" s="42"/>
      <c r="Y2073" s="42"/>
      <c r="Z2073" s="42"/>
      <c r="AA2073" s="42"/>
      <c r="AB2073" s="42"/>
      <c r="AC2073" s="42"/>
      <c r="AD2073" s="42"/>
      <c r="AE2073" s="42"/>
      <c r="AF2073" s="42"/>
      <c r="AG2073" s="42"/>
      <c r="AH2073" s="42"/>
      <c r="AI2073" s="42"/>
      <c r="AJ2073" s="42"/>
      <c r="AK2073" s="42"/>
      <c r="AL2073" s="42"/>
      <c r="AM2073" s="42"/>
    </row>
    <row r="2074" spans="1:39" x14ac:dyDescent="0.25">
      <c r="A2074" s="35"/>
      <c r="B2074" s="42"/>
      <c r="C2074" s="42"/>
      <c r="D2074" s="42"/>
      <c r="E2074" s="41"/>
      <c r="F2074" s="41"/>
      <c r="G2074" s="41"/>
      <c r="H2074" s="41"/>
      <c r="I2074" s="41"/>
      <c r="J2074" s="42"/>
      <c r="K2074" s="41"/>
      <c r="L2074" s="41"/>
      <c r="M2074" s="127"/>
      <c r="N2074" s="41"/>
      <c r="O2074" s="41"/>
      <c r="P2074" s="41"/>
      <c r="Q2074" s="42"/>
      <c r="R2074" s="35"/>
      <c r="S2074" s="35"/>
      <c r="T2074" s="35"/>
      <c r="U2074" s="35"/>
      <c r="V2074" s="121"/>
      <c r="W2074" s="42"/>
      <c r="X2074" s="42"/>
      <c r="Y2074" s="42"/>
      <c r="Z2074" s="42"/>
      <c r="AA2074" s="42"/>
      <c r="AB2074" s="42"/>
      <c r="AC2074" s="42"/>
      <c r="AD2074" s="42"/>
      <c r="AE2074" s="42"/>
      <c r="AF2074" s="42"/>
      <c r="AG2074" s="42"/>
      <c r="AH2074" s="42"/>
      <c r="AI2074" s="42"/>
      <c r="AJ2074" s="42"/>
      <c r="AK2074" s="42"/>
      <c r="AL2074" s="42"/>
      <c r="AM2074" s="42"/>
    </row>
    <row r="2075" spans="1:39" x14ac:dyDescent="0.25">
      <c r="A2075" s="35"/>
      <c r="B2075" s="42"/>
      <c r="C2075" s="42"/>
      <c r="D2075" s="42"/>
      <c r="E2075" s="41"/>
      <c r="F2075" s="41"/>
      <c r="G2075" s="41"/>
      <c r="H2075" s="41"/>
      <c r="I2075" s="41"/>
      <c r="J2075" s="42"/>
      <c r="K2075" s="41"/>
      <c r="L2075" s="41"/>
      <c r="M2075" s="127"/>
      <c r="N2075" s="41"/>
      <c r="O2075" s="41"/>
      <c r="P2075" s="41"/>
      <c r="Q2075" s="42"/>
      <c r="R2075" s="35"/>
      <c r="S2075" s="35"/>
      <c r="T2075" s="35"/>
      <c r="U2075" s="35"/>
      <c r="V2075" s="121"/>
      <c r="W2075" s="42"/>
      <c r="X2075" s="42"/>
      <c r="Y2075" s="42"/>
      <c r="Z2075" s="42"/>
      <c r="AA2075" s="42"/>
      <c r="AB2075" s="42"/>
      <c r="AC2075" s="42"/>
      <c r="AD2075" s="42"/>
      <c r="AE2075" s="42"/>
      <c r="AF2075" s="42"/>
      <c r="AG2075" s="42"/>
      <c r="AH2075" s="42"/>
      <c r="AI2075" s="42"/>
      <c r="AJ2075" s="42"/>
      <c r="AK2075" s="42"/>
      <c r="AL2075" s="42"/>
      <c r="AM2075" s="42"/>
    </row>
    <row r="2076" spans="1:39" x14ac:dyDescent="0.25">
      <c r="A2076" s="35"/>
      <c r="B2076" s="42"/>
      <c r="C2076" s="42"/>
      <c r="D2076" s="42"/>
      <c r="E2076" s="41"/>
      <c r="F2076" s="41"/>
      <c r="G2076" s="41"/>
      <c r="H2076" s="41"/>
      <c r="I2076" s="41"/>
      <c r="J2076" s="42"/>
      <c r="K2076" s="41"/>
      <c r="L2076" s="41"/>
      <c r="M2076" s="127"/>
      <c r="N2076" s="41"/>
      <c r="O2076" s="41"/>
      <c r="P2076" s="41"/>
      <c r="Q2076" s="42"/>
      <c r="R2076" s="35"/>
      <c r="S2076" s="35"/>
      <c r="T2076" s="35"/>
      <c r="U2076" s="35"/>
      <c r="V2076" s="121"/>
      <c r="W2076" s="42"/>
      <c r="X2076" s="42"/>
      <c r="Y2076" s="42"/>
      <c r="Z2076" s="42"/>
      <c r="AA2076" s="42"/>
      <c r="AB2076" s="42"/>
      <c r="AC2076" s="42"/>
      <c r="AD2076" s="42"/>
      <c r="AE2076" s="42"/>
      <c r="AF2076" s="42"/>
      <c r="AG2076" s="42"/>
      <c r="AH2076" s="42"/>
      <c r="AI2076" s="42"/>
      <c r="AJ2076" s="42"/>
      <c r="AK2076" s="42"/>
      <c r="AL2076" s="42"/>
      <c r="AM2076" s="42"/>
    </row>
    <row r="2077" spans="1:39" x14ac:dyDescent="0.25">
      <c r="A2077" s="35"/>
      <c r="B2077" s="42"/>
      <c r="C2077" s="42"/>
      <c r="D2077" s="42"/>
      <c r="E2077" s="41"/>
      <c r="F2077" s="41"/>
      <c r="G2077" s="41"/>
      <c r="H2077" s="41"/>
      <c r="I2077" s="41"/>
      <c r="J2077" s="42"/>
      <c r="K2077" s="41"/>
      <c r="L2077" s="41"/>
      <c r="M2077" s="127"/>
      <c r="N2077" s="41"/>
      <c r="O2077" s="41"/>
      <c r="P2077" s="41"/>
      <c r="Q2077" s="42"/>
      <c r="R2077" s="35"/>
      <c r="S2077" s="35"/>
      <c r="T2077" s="35"/>
      <c r="U2077" s="35"/>
      <c r="V2077" s="121"/>
      <c r="W2077" s="42"/>
      <c r="X2077" s="42"/>
      <c r="Y2077" s="42"/>
      <c r="Z2077" s="42"/>
      <c r="AA2077" s="42"/>
      <c r="AB2077" s="42"/>
      <c r="AC2077" s="42"/>
      <c r="AD2077" s="42"/>
      <c r="AE2077" s="42"/>
      <c r="AF2077" s="42"/>
      <c r="AG2077" s="42"/>
      <c r="AH2077" s="42"/>
      <c r="AI2077" s="42"/>
      <c r="AJ2077" s="42"/>
      <c r="AK2077" s="42"/>
      <c r="AL2077" s="42"/>
      <c r="AM2077" s="42"/>
    </row>
    <row r="2078" spans="1:39" x14ac:dyDescent="0.25">
      <c r="A2078" s="35"/>
      <c r="B2078" s="42"/>
      <c r="C2078" s="42"/>
      <c r="D2078" s="42"/>
      <c r="E2078" s="41"/>
      <c r="F2078" s="41"/>
      <c r="G2078" s="41"/>
      <c r="H2078" s="41"/>
      <c r="I2078" s="41"/>
      <c r="J2078" s="42"/>
      <c r="K2078" s="41"/>
      <c r="L2078" s="41"/>
      <c r="M2078" s="127"/>
      <c r="N2078" s="41"/>
      <c r="O2078" s="41"/>
      <c r="P2078" s="41"/>
      <c r="Q2078" s="42"/>
      <c r="R2078" s="35"/>
      <c r="S2078" s="35"/>
      <c r="T2078" s="35"/>
      <c r="U2078" s="35"/>
      <c r="V2078" s="121"/>
      <c r="W2078" s="42"/>
      <c r="X2078" s="42"/>
      <c r="Y2078" s="42"/>
      <c r="Z2078" s="42"/>
      <c r="AA2078" s="42"/>
      <c r="AB2078" s="42"/>
      <c r="AC2078" s="42"/>
      <c r="AD2078" s="42"/>
      <c r="AE2078" s="42"/>
      <c r="AF2078" s="42"/>
      <c r="AG2078" s="42"/>
      <c r="AH2078" s="42"/>
      <c r="AI2078" s="42"/>
      <c r="AJ2078" s="42"/>
      <c r="AK2078" s="42"/>
      <c r="AL2078" s="42"/>
      <c r="AM2078" s="42"/>
    </row>
    <row r="2079" spans="1:39" x14ac:dyDescent="0.25">
      <c r="A2079" s="35"/>
      <c r="B2079" s="42"/>
      <c r="C2079" s="42"/>
      <c r="D2079" s="42"/>
      <c r="E2079" s="41"/>
      <c r="F2079" s="41"/>
      <c r="G2079" s="41"/>
      <c r="H2079" s="41"/>
      <c r="I2079" s="41"/>
      <c r="J2079" s="42"/>
      <c r="K2079" s="41"/>
      <c r="L2079" s="41"/>
      <c r="M2079" s="127"/>
      <c r="N2079" s="41"/>
      <c r="O2079" s="41"/>
      <c r="P2079" s="41"/>
      <c r="Q2079" s="42"/>
      <c r="R2079" s="35"/>
      <c r="S2079" s="35"/>
      <c r="T2079" s="35"/>
      <c r="U2079" s="35"/>
      <c r="V2079" s="121"/>
      <c r="W2079" s="42"/>
      <c r="X2079" s="42"/>
      <c r="Y2079" s="42"/>
      <c r="Z2079" s="42"/>
      <c r="AA2079" s="42"/>
      <c r="AB2079" s="42"/>
      <c r="AC2079" s="42"/>
      <c r="AD2079" s="42"/>
      <c r="AE2079" s="42"/>
      <c r="AF2079" s="42"/>
      <c r="AG2079" s="42"/>
      <c r="AH2079" s="42"/>
      <c r="AI2079" s="42"/>
      <c r="AJ2079" s="42"/>
      <c r="AK2079" s="42"/>
      <c r="AL2079" s="42"/>
      <c r="AM2079" s="42"/>
    </row>
    <row r="2080" spans="1:39" x14ac:dyDescent="0.25">
      <c r="A2080" s="35"/>
      <c r="B2080" s="42"/>
      <c r="C2080" s="42"/>
      <c r="D2080" s="42"/>
      <c r="E2080" s="41"/>
      <c r="F2080" s="41"/>
      <c r="G2080" s="41"/>
      <c r="H2080" s="41"/>
      <c r="I2080" s="41"/>
      <c r="J2080" s="42"/>
      <c r="K2080" s="41"/>
      <c r="L2080" s="41"/>
      <c r="M2080" s="127"/>
      <c r="N2080" s="41"/>
      <c r="O2080" s="41"/>
      <c r="P2080" s="41"/>
      <c r="Q2080" s="42"/>
      <c r="R2080" s="35"/>
      <c r="S2080" s="35"/>
      <c r="T2080" s="35"/>
      <c r="U2080" s="35"/>
      <c r="V2080" s="121"/>
      <c r="W2080" s="42"/>
      <c r="X2080" s="42"/>
      <c r="Y2080" s="42"/>
      <c r="Z2080" s="42"/>
      <c r="AA2080" s="42"/>
      <c r="AB2080" s="42"/>
      <c r="AC2080" s="42"/>
      <c r="AD2080" s="42"/>
      <c r="AE2080" s="42"/>
      <c r="AF2080" s="42"/>
      <c r="AG2080" s="42"/>
      <c r="AH2080" s="42"/>
      <c r="AI2080" s="42"/>
      <c r="AJ2080" s="42"/>
      <c r="AK2080" s="42"/>
      <c r="AL2080" s="42"/>
      <c r="AM2080" s="42"/>
    </row>
    <row r="2081" spans="1:39" x14ac:dyDescent="0.25">
      <c r="A2081" s="35"/>
      <c r="B2081" s="42"/>
      <c r="C2081" s="42"/>
      <c r="D2081" s="42"/>
      <c r="E2081" s="41"/>
      <c r="F2081" s="41"/>
      <c r="G2081" s="41"/>
      <c r="H2081" s="41"/>
      <c r="I2081" s="41"/>
      <c r="J2081" s="42"/>
      <c r="K2081" s="41"/>
      <c r="L2081" s="41"/>
      <c r="M2081" s="127"/>
      <c r="N2081" s="41"/>
      <c r="O2081" s="41"/>
      <c r="P2081" s="41"/>
      <c r="Q2081" s="42"/>
      <c r="R2081" s="35"/>
      <c r="S2081" s="35"/>
      <c r="T2081" s="35"/>
      <c r="U2081" s="35"/>
      <c r="V2081" s="121"/>
      <c r="W2081" s="42"/>
      <c r="X2081" s="42"/>
      <c r="Y2081" s="42"/>
      <c r="Z2081" s="42"/>
      <c r="AA2081" s="42"/>
      <c r="AB2081" s="42"/>
      <c r="AC2081" s="42"/>
      <c r="AD2081" s="42"/>
      <c r="AE2081" s="42"/>
      <c r="AF2081" s="42"/>
      <c r="AG2081" s="42"/>
      <c r="AH2081" s="42"/>
      <c r="AI2081" s="42"/>
      <c r="AJ2081" s="42"/>
      <c r="AK2081" s="42"/>
      <c r="AL2081" s="42"/>
      <c r="AM2081" s="42"/>
    </row>
    <row r="2082" spans="1:39" x14ac:dyDescent="0.25">
      <c r="A2082" s="35"/>
      <c r="B2082" s="42"/>
      <c r="C2082" s="42"/>
      <c r="D2082" s="42"/>
      <c r="E2082" s="41"/>
      <c r="F2082" s="41"/>
      <c r="G2082" s="41"/>
      <c r="H2082" s="41"/>
      <c r="I2082" s="41"/>
      <c r="J2082" s="42"/>
      <c r="K2082" s="41"/>
      <c r="L2082" s="41"/>
      <c r="M2082" s="127"/>
      <c r="N2082" s="41"/>
      <c r="O2082" s="41"/>
      <c r="P2082" s="41"/>
      <c r="Q2082" s="42"/>
      <c r="R2082" s="35"/>
      <c r="S2082" s="35"/>
      <c r="T2082" s="35"/>
      <c r="U2082" s="35"/>
      <c r="V2082" s="121"/>
      <c r="W2082" s="42"/>
      <c r="X2082" s="42"/>
      <c r="Y2082" s="42"/>
      <c r="Z2082" s="42"/>
      <c r="AA2082" s="42"/>
      <c r="AB2082" s="42"/>
      <c r="AC2082" s="42"/>
      <c r="AD2082" s="42"/>
      <c r="AE2082" s="42"/>
      <c r="AF2082" s="42"/>
      <c r="AG2082" s="42"/>
      <c r="AH2082" s="42"/>
      <c r="AI2082" s="42"/>
      <c r="AJ2082" s="42"/>
      <c r="AK2082" s="42"/>
      <c r="AL2082" s="42"/>
      <c r="AM2082" s="42"/>
    </row>
    <row r="2083" spans="1:39" x14ac:dyDescent="0.25">
      <c r="A2083" s="35"/>
      <c r="B2083" s="42"/>
      <c r="C2083" s="42"/>
      <c r="D2083" s="42"/>
      <c r="E2083" s="41"/>
      <c r="F2083" s="41"/>
      <c r="G2083" s="41"/>
      <c r="H2083" s="41"/>
      <c r="I2083" s="41"/>
      <c r="J2083" s="42"/>
      <c r="K2083" s="41"/>
      <c r="L2083" s="41"/>
      <c r="M2083" s="127"/>
      <c r="N2083" s="41"/>
      <c r="O2083" s="41"/>
      <c r="P2083" s="41"/>
      <c r="Q2083" s="42"/>
      <c r="R2083" s="35"/>
      <c r="S2083" s="35"/>
      <c r="T2083" s="35"/>
      <c r="U2083" s="35"/>
      <c r="V2083" s="121"/>
      <c r="W2083" s="42"/>
      <c r="X2083" s="42"/>
      <c r="Y2083" s="42"/>
      <c r="Z2083" s="42"/>
      <c r="AA2083" s="42"/>
      <c r="AB2083" s="42"/>
      <c r="AC2083" s="42"/>
      <c r="AD2083" s="42"/>
      <c r="AE2083" s="42"/>
      <c r="AF2083" s="42"/>
      <c r="AG2083" s="42"/>
      <c r="AH2083" s="42"/>
      <c r="AI2083" s="42"/>
      <c r="AJ2083" s="42"/>
      <c r="AK2083" s="42"/>
      <c r="AL2083" s="42"/>
      <c r="AM2083" s="42"/>
    </row>
    <row r="2084" spans="1:39" x14ac:dyDescent="0.25">
      <c r="A2084" s="35"/>
      <c r="B2084" s="42"/>
      <c r="C2084" s="42"/>
      <c r="D2084" s="42"/>
      <c r="E2084" s="41"/>
      <c r="F2084" s="41"/>
      <c r="G2084" s="41"/>
      <c r="H2084" s="41"/>
      <c r="I2084" s="41"/>
      <c r="J2084" s="42"/>
      <c r="K2084" s="41"/>
      <c r="L2084" s="41"/>
      <c r="M2084" s="127"/>
      <c r="N2084" s="41"/>
      <c r="O2084" s="41"/>
      <c r="P2084" s="41"/>
      <c r="Q2084" s="42"/>
      <c r="R2084" s="35"/>
      <c r="S2084" s="35"/>
      <c r="T2084" s="35"/>
      <c r="U2084" s="35"/>
      <c r="V2084" s="121"/>
      <c r="W2084" s="42"/>
      <c r="X2084" s="42"/>
      <c r="Y2084" s="42"/>
      <c r="Z2084" s="42"/>
      <c r="AA2084" s="42"/>
      <c r="AB2084" s="42"/>
      <c r="AC2084" s="42"/>
      <c r="AD2084" s="42"/>
      <c r="AE2084" s="42"/>
      <c r="AF2084" s="42"/>
      <c r="AG2084" s="42"/>
      <c r="AH2084" s="42"/>
      <c r="AI2084" s="42"/>
      <c r="AJ2084" s="42"/>
      <c r="AK2084" s="42"/>
      <c r="AL2084" s="42"/>
      <c r="AM2084" s="42"/>
    </row>
    <row r="2085" spans="1:39" x14ac:dyDescent="0.25">
      <c r="A2085" s="35"/>
      <c r="B2085" s="42"/>
      <c r="C2085" s="42"/>
      <c r="D2085" s="42"/>
      <c r="E2085" s="41"/>
      <c r="F2085" s="41"/>
      <c r="G2085" s="41"/>
      <c r="H2085" s="41"/>
      <c r="I2085" s="41"/>
      <c r="J2085" s="42"/>
      <c r="K2085" s="41"/>
      <c r="L2085" s="41"/>
      <c r="M2085" s="127"/>
      <c r="N2085" s="41"/>
      <c r="O2085" s="41"/>
      <c r="P2085" s="41"/>
      <c r="Q2085" s="42"/>
      <c r="R2085" s="35"/>
      <c r="S2085" s="35"/>
      <c r="T2085" s="35"/>
      <c r="U2085" s="35"/>
      <c r="V2085" s="121"/>
      <c r="W2085" s="42"/>
      <c r="X2085" s="42"/>
      <c r="Y2085" s="42"/>
      <c r="Z2085" s="42"/>
      <c r="AA2085" s="42"/>
      <c r="AB2085" s="42"/>
      <c r="AC2085" s="42"/>
      <c r="AD2085" s="42"/>
      <c r="AE2085" s="42"/>
      <c r="AF2085" s="42"/>
      <c r="AG2085" s="42"/>
      <c r="AH2085" s="42"/>
      <c r="AI2085" s="42"/>
      <c r="AJ2085" s="42"/>
      <c r="AK2085" s="42"/>
      <c r="AL2085" s="42"/>
      <c r="AM2085" s="42"/>
    </row>
    <row r="2086" spans="1:39" x14ac:dyDescent="0.25">
      <c r="A2086" s="35"/>
      <c r="B2086" s="42"/>
      <c r="C2086" s="42"/>
      <c r="D2086" s="42"/>
      <c r="E2086" s="41"/>
      <c r="F2086" s="41"/>
      <c r="G2086" s="41"/>
      <c r="H2086" s="41"/>
      <c r="I2086" s="41"/>
      <c r="J2086" s="42"/>
      <c r="K2086" s="41"/>
      <c r="L2086" s="41"/>
      <c r="M2086" s="127"/>
      <c r="N2086" s="41"/>
      <c r="O2086" s="41"/>
      <c r="P2086" s="41"/>
      <c r="Q2086" s="42"/>
      <c r="R2086" s="35"/>
      <c r="S2086" s="35"/>
      <c r="T2086" s="35"/>
      <c r="U2086" s="35"/>
      <c r="V2086" s="121"/>
      <c r="W2086" s="42"/>
      <c r="X2086" s="42"/>
      <c r="Y2086" s="42"/>
      <c r="Z2086" s="42"/>
      <c r="AA2086" s="42"/>
      <c r="AB2086" s="42"/>
      <c r="AC2086" s="42"/>
      <c r="AD2086" s="42"/>
      <c r="AE2086" s="42"/>
      <c r="AF2086" s="42"/>
      <c r="AG2086" s="42"/>
      <c r="AH2086" s="42"/>
      <c r="AI2086" s="42"/>
      <c r="AJ2086" s="42"/>
      <c r="AK2086" s="42"/>
      <c r="AL2086" s="42"/>
      <c r="AM2086" s="42"/>
    </row>
    <row r="2087" spans="1:39" x14ac:dyDescent="0.25">
      <c r="A2087" s="35"/>
      <c r="B2087" s="42"/>
      <c r="C2087" s="42"/>
      <c r="D2087" s="42"/>
      <c r="E2087" s="41"/>
      <c r="F2087" s="41"/>
      <c r="G2087" s="41"/>
      <c r="H2087" s="41"/>
      <c r="I2087" s="41"/>
      <c r="J2087" s="42"/>
      <c r="K2087" s="41"/>
      <c r="L2087" s="41"/>
      <c r="M2087" s="127"/>
      <c r="N2087" s="41"/>
      <c r="O2087" s="41"/>
      <c r="P2087" s="41"/>
      <c r="Q2087" s="42"/>
      <c r="R2087" s="35"/>
      <c r="S2087" s="35"/>
      <c r="T2087" s="35"/>
      <c r="U2087" s="35"/>
      <c r="V2087" s="121"/>
      <c r="W2087" s="42"/>
      <c r="X2087" s="42"/>
      <c r="Y2087" s="42"/>
      <c r="Z2087" s="42"/>
      <c r="AA2087" s="42"/>
      <c r="AB2087" s="42"/>
      <c r="AC2087" s="42"/>
      <c r="AD2087" s="42"/>
      <c r="AE2087" s="42"/>
      <c r="AF2087" s="42"/>
      <c r="AG2087" s="42"/>
      <c r="AH2087" s="42"/>
      <c r="AI2087" s="42"/>
      <c r="AJ2087" s="42"/>
      <c r="AK2087" s="42"/>
      <c r="AL2087" s="42"/>
      <c r="AM2087" s="42"/>
    </row>
    <row r="2088" spans="1:39" x14ac:dyDescent="0.25">
      <c r="A2088" s="35"/>
      <c r="B2088" s="42"/>
      <c r="C2088" s="42"/>
      <c r="D2088" s="42"/>
      <c r="E2088" s="41"/>
      <c r="F2088" s="41"/>
      <c r="G2088" s="41"/>
      <c r="H2088" s="41"/>
      <c r="I2088" s="41"/>
      <c r="J2088" s="42"/>
      <c r="K2088" s="41"/>
      <c r="L2088" s="41"/>
      <c r="M2088" s="127"/>
      <c r="N2088" s="41"/>
      <c r="O2088" s="41"/>
      <c r="P2088" s="41"/>
      <c r="Q2088" s="42"/>
      <c r="R2088" s="35"/>
      <c r="S2088" s="35"/>
      <c r="T2088" s="35"/>
      <c r="U2088" s="35"/>
      <c r="V2088" s="121"/>
      <c r="W2088" s="42"/>
      <c r="X2088" s="42"/>
      <c r="Y2088" s="42"/>
      <c r="Z2088" s="42"/>
      <c r="AA2088" s="42"/>
      <c r="AB2088" s="42"/>
      <c r="AC2088" s="42"/>
      <c r="AD2088" s="42"/>
      <c r="AE2088" s="42"/>
      <c r="AF2088" s="42"/>
      <c r="AG2088" s="42"/>
      <c r="AH2088" s="42"/>
      <c r="AI2088" s="42"/>
      <c r="AJ2088" s="42"/>
      <c r="AK2088" s="42"/>
      <c r="AL2088" s="42"/>
      <c r="AM2088" s="42"/>
    </row>
    <row r="2089" spans="1:39" x14ac:dyDescent="0.25">
      <c r="A2089" s="35"/>
      <c r="B2089" s="42"/>
      <c r="C2089" s="42"/>
      <c r="D2089" s="42"/>
      <c r="E2089" s="41"/>
      <c r="F2089" s="41"/>
      <c r="G2089" s="41"/>
      <c r="H2089" s="41"/>
      <c r="I2089" s="41"/>
      <c r="J2089" s="42"/>
      <c r="K2089" s="41"/>
      <c r="L2089" s="41"/>
      <c r="M2089" s="127"/>
      <c r="N2089" s="41"/>
      <c r="O2089" s="41"/>
      <c r="P2089" s="41"/>
      <c r="Q2089" s="42"/>
      <c r="R2089" s="35"/>
      <c r="S2089" s="35"/>
      <c r="T2089" s="35"/>
      <c r="U2089" s="35"/>
      <c r="V2089" s="121"/>
      <c r="W2089" s="42"/>
      <c r="X2089" s="42"/>
      <c r="Y2089" s="42"/>
      <c r="Z2089" s="42"/>
      <c r="AA2089" s="42"/>
      <c r="AB2089" s="42"/>
      <c r="AC2089" s="42"/>
      <c r="AD2089" s="42"/>
      <c r="AE2089" s="42"/>
      <c r="AF2089" s="42"/>
      <c r="AG2089" s="42"/>
      <c r="AH2089" s="42"/>
      <c r="AI2089" s="42"/>
      <c r="AJ2089" s="42"/>
      <c r="AK2089" s="42"/>
      <c r="AL2089" s="42"/>
      <c r="AM2089" s="42"/>
    </row>
    <row r="2090" spans="1:39" x14ac:dyDescent="0.25">
      <c r="A2090" s="35"/>
      <c r="B2090" s="42"/>
      <c r="C2090" s="42"/>
      <c r="D2090" s="42"/>
      <c r="E2090" s="41"/>
      <c r="F2090" s="41"/>
      <c r="G2090" s="41"/>
      <c r="H2090" s="41"/>
      <c r="I2090" s="41"/>
      <c r="J2090" s="42"/>
      <c r="K2090" s="41"/>
      <c r="L2090" s="41"/>
      <c r="M2090" s="127"/>
      <c r="N2090" s="41"/>
      <c r="O2090" s="41"/>
      <c r="P2090" s="41"/>
      <c r="Q2090" s="42"/>
      <c r="R2090" s="35"/>
      <c r="S2090" s="35"/>
      <c r="T2090" s="35"/>
      <c r="U2090" s="35"/>
      <c r="V2090" s="121"/>
      <c r="W2090" s="42"/>
      <c r="X2090" s="42"/>
      <c r="Y2090" s="42"/>
      <c r="Z2090" s="42"/>
      <c r="AA2090" s="42"/>
      <c r="AB2090" s="42"/>
      <c r="AC2090" s="42"/>
      <c r="AD2090" s="42"/>
      <c r="AE2090" s="42"/>
      <c r="AF2090" s="42"/>
      <c r="AG2090" s="42"/>
      <c r="AH2090" s="42"/>
      <c r="AI2090" s="42"/>
      <c r="AJ2090" s="42"/>
      <c r="AK2090" s="42"/>
      <c r="AL2090" s="42"/>
      <c r="AM2090" s="42"/>
    </row>
    <row r="2091" spans="1:39" x14ac:dyDescent="0.25">
      <c r="A2091" s="35"/>
      <c r="B2091" s="42"/>
      <c r="C2091" s="42"/>
      <c r="D2091" s="42"/>
      <c r="E2091" s="41"/>
      <c r="F2091" s="41"/>
      <c r="G2091" s="41"/>
      <c r="H2091" s="41"/>
      <c r="I2091" s="41"/>
      <c r="J2091" s="42"/>
      <c r="K2091" s="41"/>
      <c r="L2091" s="41"/>
      <c r="M2091" s="127"/>
      <c r="N2091" s="41"/>
      <c r="O2091" s="41"/>
      <c r="P2091" s="41"/>
      <c r="Q2091" s="42"/>
      <c r="R2091" s="35"/>
      <c r="S2091" s="35"/>
      <c r="T2091" s="35"/>
      <c r="U2091" s="35"/>
      <c r="V2091" s="121"/>
      <c r="W2091" s="42"/>
      <c r="X2091" s="42"/>
      <c r="Y2091" s="42"/>
      <c r="Z2091" s="42"/>
      <c r="AA2091" s="42"/>
      <c r="AB2091" s="42"/>
      <c r="AC2091" s="42"/>
      <c r="AD2091" s="42"/>
      <c r="AE2091" s="42"/>
      <c r="AF2091" s="42"/>
      <c r="AG2091" s="42"/>
      <c r="AH2091" s="42"/>
      <c r="AI2091" s="42"/>
      <c r="AJ2091" s="42"/>
      <c r="AK2091" s="42"/>
      <c r="AL2091" s="42"/>
      <c r="AM2091" s="42"/>
    </row>
    <row r="2092" spans="1:39" x14ac:dyDescent="0.25">
      <c r="A2092" s="35"/>
      <c r="B2092" s="42"/>
      <c r="C2092" s="42"/>
      <c r="D2092" s="42"/>
      <c r="E2092" s="41"/>
      <c r="F2092" s="41"/>
      <c r="G2092" s="41"/>
      <c r="H2092" s="41"/>
      <c r="I2092" s="41"/>
      <c r="J2092" s="42"/>
      <c r="K2092" s="41"/>
      <c r="L2092" s="41"/>
      <c r="M2092" s="127"/>
      <c r="N2092" s="41"/>
      <c r="O2092" s="41"/>
      <c r="P2092" s="41"/>
      <c r="Q2092" s="42"/>
      <c r="R2092" s="35"/>
      <c r="S2092" s="35"/>
      <c r="T2092" s="35"/>
      <c r="U2092" s="35"/>
      <c r="V2092" s="121"/>
      <c r="W2092" s="42"/>
      <c r="X2092" s="42"/>
      <c r="Y2092" s="42"/>
      <c r="Z2092" s="42"/>
      <c r="AA2092" s="42"/>
      <c r="AB2092" s="42"/>
      <c r="AC2092" s="42"/>
      <c r="AD2092" s="42"/>
      <c r="AE2092" s="42"/>
      <c r="AF2092" s="42"/>
      <c r="AG2092" s="42"/>
      <c r="AH2092" s="42"/>
      <c r="AI2092" s="42"/>
      <c r="AJ2092" s="42"/>
      <c r="AK2092" s="42"/>
      <c r="AL2092" s="42"/>
      <c r="AM2092" s="42"/>
    </row>
    <row r="2093" spans="1:39" x14ac:dyDescent="0.25">
      <c r="A2093" s="35"/>
      <c r="B2093" s="42"/>
      <c r="C2093" s="42"/>
      <c r="D2093" s="42"/>
      <c r="E2093" s="41"/>
      <c r="F2093" s="41"/>
      <c r="G2093" s="41"/>
      <c r="H2093" s="41"/>
      <c r="I2093" s="41"/>
      <c r="J2093" s="42"/>
      <c r="K2093" s="41"/>
      <c r="L2093" s="41"/>
      <c r="M2093" s="127"/>
      <c r="N2093" s="41"/>
      <c r="O2093" s="41"/>
      <c r="P2093" s="41"/>
      <c r="Q2093" s="42"/>
      <c r="R2093" s="35"/>
      <c r="S2093" s="35"/>
      <c r="T2093" s="35"/>
      <c r="U2093" s="35"/>
      <c r="V2093" s="121"/>
      <c r="W2093" s="42"/>
      <c r="X2093" s="42"/>
      <c r="Y2093" s="42"/>
      <c r="Z2093" s="42"/>
      <c r="AA2093" s="42"/>
      <c r="AB2093" s="42"/>
      <c r="AC2093" s="42"/>
      <c r="AD2093" s="42"/>
      <c r="AE2093" s="42"/>
      <c r="AF2093" s="42"/>
      <c r="AG2093" s="42"/>
      <c r="AH2093" s="42"/>
      <c r="AI2093" s="42"/>
      <c r="AJ2093" s="42"/>
      <c r="AK2093" s="42"/>
      <c r="AL2093" s="42"/>
      <c r="AM2093" s="42"/>
    </row>
    <row r="2094" spans="1:39" x14ac:dyDescent="0.25">
      <c r="A2094" s="35"/>
      <c r="B2094" s="42"/>
      <c r="C2094" s="42"/>
      <c r="D2094" s="42"/>
      <c r="E2094" s="41"/>
      <c r="F2094" s="41"/>
      <c r="G2094" s="41"/>
      <c r="H2094" s="41"/>
      <c r="I2094" s="41"/>
      <c r="J2094" s="42"/>
      <c r="K2094" s="41"/>
      <c r="L2094" s="41"/>
      <c r="M2094" s="127"/>
      <c r="N2094" s="41"/>
      <c r="O2094" s="41"/>
      <c r="P2094" s="41"/>
      <c r="Q2094" s="42"/>
      <c r="R2094" s="35"/>
      <c r="S2094" s="35"/>
      <c r="T2094" s="35"/>
      <c r="U2094" s="35"/>
      <c r="V2094" s="121"/>
      <c r="W2094" s="42"/>
      <c r="X2094" s="42"/>
      <c r="Y2094" s="42"/>
      <c r="Z2094" s="42"/>
      <c r="AA2094" s="42"/>
      <c r="AB2094" s="42"/>
      <c r="AC2094" s="42"/>
      <c r="AD2094" s="42"/>
      <c r="AE2094" s="42"/>
      <c r="AF2094" s="42"/>
      <c r="AG2094" s="42"/>
      <c r="AH2094" s="42"/>
      <c r="AI2094" s="42"/>
      <c r="AJ2094" s="42"/>
      <c r="AK2094" s="42"/>
      <c r="AL2094" s="42"/>
      <c r="AM2094" s="42"/>
    </row>
    <row r="2095" spans="1:39" x14ac:dyDescent="0.25">
      <c r="A2095" s="35"/>
      <c r="B2095" s="42"/>
      <c r="C2095" s="42"/>
      <c r="D2095" s="42"/>
      <c r="E2095" s="41"/>
      <c r="F2095" s="41"/>
      <c r="G2095" s="41"/>
      <c r="H2095" s="41"/>
      <c r="I2095" s="41"/>
      <c r="J2095" s="42"/>
      <c r="K2095" s="41"/>
      <c r="L2095" s="41"/>
      <c r="M2095" s="127"/>
      <c r="N2095" s="41"/>
      <c r="O2095" s="41"/>
      <c r="P2095" s="41"/>
      <c r="Q2095" s="42"/>
      <c r="R2095" s="35"/>
      <c r="S2095" s="35"/>
      <c r="T2095" s="35"/>
      <c r="U2095" s="35"/>
      <c r="V2095" s="121"/>
      <c r="W2095" s="42"/>
      <c r="X2095" s="42"/>
      <c r="Y2095" s="42"/>
      <c r="Z2095" s="42"/>
      <c r="AA2095" s="42"/>
      <c r="AB2095" s="42"/>
      <c r="AC2095" s="42"/>
      <c r="AD2095" s="42"/>
      <c r="AE2095" s="42"/>
      <c r="AF2095" s="42"/>
      <c r="AG2095" s="42"/>
      <c r="AH2095" s="42"/>
      <c r="AI2095" s="42"/>
      <c r="AJ2095" s="42"/>
      <c r="AK2095" s="42"/>
      <c r="AL2095" s="42"/>
      <c r="AM2095" s="42"/>
    </row>
    <row r="2096" spans="1:39" x14ac:dyDescent="0.25">
      <c r="A2096" s="35"/>
      <c r="B2096" s="42"/>
      <c r="C2096" s="42"/>
      <c r="D2096" s="42"/>
      <c r="E2096" s="41"/>
      <c r="F2096" s="41"/>
      <c r="G2096" s="41"/>
      <c r="H2096" s="41"/>
      <c r="I2096" s="41"/>
      <c r="J2096" s="42"/>
      <c r="K2096" s="41"/>
      <c r="L2096" s="41"/>
      <c r="M2096" s="127"/>
      <c r="N2096" s="41"/>
      <c r="O2096" s="41"/>
      <c r="P2096" s="41"/>
      <c r="Q2096" s="42"/>
      <c r="R2096" s="35"/>
      <c r="S2096" s="35"/>
      <c r="T2096" s="35"/>
      <c r="U2096" s="35"/>
      <c r="V2096" s="121"/>
      <c r="W2096" s="42"/>
      <c r="X2096" s="42"/>
      <c r="Y2096" s="42"/>
      <c r="Z2096" s="42"/>
      <c r="AA2096" s="42"/>
      <c r="AB2096" s="42"/>
      <c r="AC2096" s="42"/>
      <c r="AD2096" s="42"/>
      <c r="AE2096" s="42"/>
      <c r="AF2096" s="42"/>
      <c r="AG2096" s="42"/>
      <c r="AH2096" s="42"/>
      <c r="AI2096" s="42"/>
      <c r="AJ2096" s="42"/>
      <c r="AK2096" s="42"/>
      <c r="AL2096" s="42"/>
      <c r="AM2096" s="42"/>
    </row>
    <row r="2097" spans="1:39" x14ac:dyDescent="0.25">
      <c r="A2097" s="35"/>
      <c r="B2097" s="42"/>
      <c r="C2097" s="42"/>
      <c r="D2097" s="42"/>
      <c r="E2097" s="41"/>
      <c r="F2097" s="41"/>
      <c r="G2097" s="41"/>
      <c r="H2097" s="41"/>
      <c r="I2097" s="41"/>
      <c r="J2097" s="42"/>
      <c r="K2097" s="41"/>
      <c r="L2097" s="41"/>
      <c r="M2097" s="127"/>
      <c r="N2097" s="41"/>
      <c r="O2097" s="41"/>
      <c r="P2097" s="41"/>
      <c r="Q2097" s="42"/>
      <c r="R2097" s="35"/>
      <c r="S2097" s="35"/>
      <c r="T2097" s="35"/>
      <c r="U2097" s="35"/>
      <c r="V2097" s="121"/>
      <c r="W2097" s="42"/>
      <c r="X2097" s="42"/>
      <c r="Y2097" s="42"/>
      <c r="Z2097" s="42"/>
      <c r="AA2097" s="42"/>
      <c r="AB2097" s="42"/>
      <c r="AC2097" s="42"/>
      <c r="AD2097" s="42"/>
      <c r="AE2097" s="42"/>
      <c r="AF2097" s="42"/>
      <c r="AG2097" s="42"/>
      <c r="AH2097" s="42"/>
      <c r="AI2097" s="42"/>
      <c r="AJ2097" s="42"/>
      <c r="AK2097" s="42"/>
      <c r="AL2097" s="42"/>
      <c r="AM2097" s="42"/>
    </row>
    <row r="2098" spans="1:39" x14ac:dyDescent="0.25">
      <c r="A2098" s="35"/>
      <c r="B2098" s="42"/>
      <c r="C2098" s="42"/>
      <c r="D2098" s="42"/>
      <c r="E2098" s="41"/>
      <c r="F2098" s="41"/>
      <c r="G2098" s="41"/>
      <c r="H2098" s="41"/>
      <c r="I2098" s="41"/>
      <c r="J2098" s="42"/>
      <c r="K2098" s="41"/>
      <c r="L2098" s="41"/>
      <c r="M2098" s="127"/>
      <c r="N2098" s="41"/>
      <c r="O2098" s="41"/>
      <c r="P2098" s="41"/>
      <c r="Q2098" s="42"/>
      <c r="R2098" s="35"/>
      <c r="S2098" s="35"/>
      <c r="T2098" s="35"/>
      <c r="U2098" s="35"/>
      <c r="V2098" s="121"/>
      <c r="W2098" s="42"/>
      <c r="X2098" s="42"/>
      <c r="Y2098" s="42"/>
      <c r="Z2098" s="42"/>
      <c r="AA2098" s="42"/>
      <c r="AB2098" s="42"/>
      <c r="AC2098" s="42"/>
      <c r="AD2098" s="42"/>
      <c r="AE2098" s="42"/>
      <c r="AF2098" s="42"/>
      <c r="AG2098" s="42"/>
      <c r="AH2098" s="42"/>
      <c r="AI2098" s="42"/>
      <c r="AJ2098" s="42"/>
      <c r="AK2098" s="42"/>
      <c r="AL2098" s="42"/>
      <c r="AM2098" s="42"/>
    </row>
    <row r="2099" spans="1:39" x14ac:dyDescent="0.25">
      <c r="A2099" s="35"/>
      <c r="B2099" s="42"/>
      <c r="C2099" s="42"/>
      <c r="D2099" s="42"/>
      <c r="E2099" s="41"/>
      <c r="F2099" s="41"/>
      <c r="G2099" s="41"/>
      <c r="H2099" s="41"/>
      <c r="I2099" s="41"/>
      <c r="J2099" s="42"/>
      <c r="K2099" s="41"/>
      <c r="L2099" s="41"/>
      <c r="M2099" s="127"/>
      <c r="N2099" s="41"/>
      <c r="O2099" s="41"/>
      <c r="P2099" s="41"/>
      <c r="Q2099" s="42"/>
      <c r="R2099" s="35"/>
      <c r="S2099" s="35"/>
      <c r="T2099" s="35"/>
      <c r="U2099" s="35"/>
      <c r="V2099" s="121"/>
      <c r="W2099" s="42"/>
      <c r="X2099" s="42"/>
      <c r="Y2099" s="42"/>
      <c r="Z2099" s="42"/>
      <c r="AA2099" s="42"/>
      <c r="AB2099" s="42"/>
      <c r="AC2099" s="42"/>
      <c r="AD2099" s="42"/>
      <c r="AE2099" s="42"/>
      <c r="AF2099" s="42"/>
      <c r="AG2099" s="42"/>
      <c r="AH2099" s="42"/>
      <c r="AI2099" s="42"/>
      <c r="AJ2099" s="42"/>
      <c r="AK2099" s="42"/>
      <c r="AL2099" s="42"/>
      <c r="AM2099" s="42"/>
    </row>
    <row r="2100" spans="1:39" x14ac:dyDescent="0.25">
      <c r="A2100" s="35"/>
      <c r="B2100" s="42"/>
      <c r="C2100" s="42"/>
      <c r="D2100" s="42"/>
      <c r="E2100" s="41"/>
      <c r="F2100" s="41"/>
      <c r="G2100" s="41"/>
      <c r="H2100" s="41"/>
      <c r="I2100" s="41"/>
      <c r="J2100" s="42"/>
      <c r="K2100" s="41"/>
      <c r="L2100" s="41"/>
      <c r="M2100" s="127"/>
      <c r="N2100" s="41"/>
      <c r="O2100" s="41"/>
      <c r="P2100" s="41"/>
      <c r="Q2100" s="42"/>
      <c r="R2100" s="35"/>
      <c r="S2100" s="35"/>
      <c r="T2100" s="35"/>
      <c r="U2100" s="35"/>
      <c r="V2100" s="121"/>
      <c r="W2100" s="42"/>
      <c r="X2100" s="42"/>
      <c r="Y2100" s="42"/>
      <c r="Z2100" s="42"/>
      <c r="AA2100" s="42"/>
      <c r="AB2100" s="42"/>
      <c r="AC2100" s="42"/>
      <c r="AD2100" s="42"/>
      <c r="AE2100" s="42"/>
      <c r="AF2100" s="42"/>
      <c r="AG2100" s="42"/>
      <c r="AH2100" s="42"/>
      <c r="AI2100" s="42"/>
      <c r="AJ2100" s="42"/>
      <c r="AK2100" s="42"/>
      <c r="AL2100" s="42"/>
      <c r="AM2100" s="42"/>
    </row>
    <row r="2101" spans="1:39" x14ac:dyDescent="0.25">
      <c r="A2101" s="35"/>
      <c r="B2101" s="42"/>
      <c r="C2101" s="42"/>
      <c r="D2101" s="42"/>
      <c r="E2101" s="41"/>
      <c r="F2101" s="41"/>
      <c r="G2101" s="41"/>
      <c r="H2101" s="41"/>
      <c r="I2101" s="41"/>
      <c r="J2101" s="42"/>
      <c r="K2101" s="41"/>
      <c r="L2101" s="41"/>
      <c r="M2101" s="127"/>
      <c r="N2101" s="41"/>
      <c r="O2101" s="41"/>
      <c r="P2101" s="41"/>
      <c r="Q2101" s="42"/>
      <c r="R2101" s="35"/>
      <c r="S2101" s="35"/>
      <c r="T2101" s="35"/>
      <c r="U2101" s="35"/>
      <c r="V2101" s="121"/>
      <c r="W2101" s="42"/>
      <c r="X2101" s="42"/>
      <c r="Y2101" s="42"/>
      <c r="Z2101" s="42"/>
      <c r="AA2101" s="42"/>
      <c r="AB2101" s="42"/>
      <c r="AC2101" s="42"/>
      <c r="AD2101" s="42"/>
      <c r="AE2101" s="42"/>
      <c r="AF2101" s="42"/>
      <c r="AG2101" s="42"/>
      <c r="AH2101" s="42"/>
      <c r="AI2101" s="42"/>
      <c r="AJ2101" s="42"/>
      <c r="AK2101" s="42"/>
      <c r="AL2101" s="42"/>
      <c r="AM2101" s="42"/>
    </row>
    <row r="2102" spans="1:39" x14ac:dyDescent="0.25">
      <c r="A2102" s="35"/>
      <c r="B2102" s="42"/>
      <c r="C2102" s="42"/>
      <c r="D2102" s="42"/>
      <c r="E2102" s="41"/>
      <c r="F2102" s="41"/>
      <c r="G2102" s="41"/>
      <c r="H2102" s="41"/>
      <c r="I2102" s="41"/>
      <c r="J2102" s="42"/>
      <c r="K2102" s="41"/>
      <c r="L2102" s="41"/>
      <c r="M2102" s="127"/>
      <c r="N2102" s="41"/>
      <c r="O2102" s="41"/>
      <c r="P2102" s="41"/>
      <c r="Q2102" s="42"/>
      <c r="R2102" s="35"/>
      <c r="S2102" s="35"/>
      <c r="T2102" s="35"/>
      <c r="U2102" s="35"/>
      <c r="V2102" s="121"/>
      <c r="W2102" s="42"/>
      <c r="X2102" s="42"/>
      <c r="Y2102" s="42"/>
      <c r="Z2102" s="42"/>
      <c r="AA2102" s="42"/>
      <c r="AB2102" s="42"/>
      <c r="AC2102" s="42"/>
      <c r="AD2102" s="42"/>
      <c r="AE2102" s="42"/>
      <c r="AF2102" s="42"/>
      <c r="AG2102" s="42"/>
      <c r="AH2102" s="42"/>
      <c r="AI2102" s="42"/>
      <c r="AJ2102" s="42"/>
      <c r="AK2102" s="42"/>
      <c r="AL2102" s="42"/>
      <c r="AM2102" s="42"/>
    </row>
    <row r="2103" spans="1:39" x14ac:dyDescent="0.25">
      <c r="A2103" s="35"/>
      <c r="B2103" s="42"/>
      <c r="C2103" s="42"/>
      <c r="D2103" s="42"/>
      <c r="E2103" s="41"/>
      <c r="F2103" s="41"/>
      <c r="G2103" s="41"/>
      <c r="H2103" s="41"/>
      <c r="I2103" s="41"/>
      <c r="J2103" s="42"/>
      <c r="K2103" s="41"/>
      <c r="L2103" s="41"/>
      <c r="M2103" s="127"/>
      <c r="N2103" s="41"/>
      <c r="O2103" s="41"/>
      <c r="P2103" s="41"/>
      <c r="Q2103" s="42"/>
      <c r="R2103" s="35"/>
      <c r="S2103" s="35"/>
      <c r="T2103" s="35"/>
      <c r="U2103" s="35"/>
      <c r="V2103" s="121"/>
      <c r="W2103" s="42"/>
      <c r="X2103" s="42"/>
      <c r="Y2103" s="42"/>
      <c r="Z2103" s="42"/>
      <c r="AA2103" s="42"/>
      <c r="AB2103" s="42"/>
      <c r="AC2103" s="42"/>
      <c r="AD2103" s="42"/>
      <c r="AE2103" s="42"/>
      <c r="AF2103" s="42"/>
      <c r="AG2103" s="42"/>
      <c r="AH2103" s="42"/>
      <c r="AI2103" s="42"/>
      <c r="AJ2103" s="42"/>
      <c r="AK2103" s="42"/>
      <c r="AL2103" s="42"/>
      <c r="AM2103" s="42"/>
    </row>
    <row r="2104" spans="1:39" x14ac:dyDescent="0.25">
      <c r="A2104" s="35"/>
      <c r="B2104" s="42"/>
      <c r="C2104" s="42"/>
      <c r="D2104" s="42"/>
      <c r="E2104" s="41"/>
      <c r="F2104" s="41"/>
      <c r="G2104" s="41"/>
      <c r="H2104" s="41"/>
      <c r="I2104" s="41"/>
      <c r="J2104" s="42"/>
      <c r="K2104" s="41"/>
      <c r="L2104" s="41"/>
      <c r="M2104" s="127"/>
      <c r="N2104" s="41"/>
      <c r="O2104" s="41"/>
      <c r="P2104" s="41"/>
      <c r="Q2104" s="42"/>
      <c r="R2104" s="35"/>
      <c r="S2104" s="35"/>
      <c r="T2104" s="35"/>
      <c r="U2104" s="35"/>
      <c r="V2104" s="121"/>
      <c r="W2104" s="42"/>
      <c r="X2104" s="42"/>
      <c r="Y2104" s="42"/>
      <c r="Z2104" s="42"/>
      <c r="AA2104" s="42"/>
      <c r="AB2104" s="42"/>
      <c r="AC2104" s="42"/>
      <c r="AD2104" s="42"/>
      <c r="AE2104" s="42"/>
      <c r="AF2104" s="42"/>
      <c r="AG2104" s="42"/>
      <c r="AH2104" s="42"/>
      <c r="AI2104" s="42"/>
      <c r="AJ2104" s="42"/>
      <c r="AK2104" s="42"/>
      <c r="AL2104" s="42"/>
      <c r="AM2104" s="42"/>
    </row>
    <row r="2105" spans="1:39" x14ac:dyDescent="0.25">
      <c r="A2105" s="35"/>
      <c r="B2105" s="42"/>
      <c r="C2105" s="42"/>
      <c r="D2105" s="42"/>
      <c r="E2105" s="41"/>
      <c r="F2105" s="41"/>
      <c r="G2105" s="41"/>
      <c r="H2105" s="41"/>
      <c r="I2105" s="41"/>
      <c r="J2105" s="42"/>
      <c r="K2105" s="41"/>
      <c r="L2105" s="41"/>
      <c r="M2105" s="127"/>
      <c r="N2105" s="41"/>
      <c r="O2105" s="41"/>
      <c r="P2105" s="41"/>
      <c r="Q2105" s="42"/>
      <c r="R2105" s="35"/>
      <c r="S2105" s="35"/>
      <c r="T2105" s="35"/>
      <c r="U2105" s="35"/>
      <c r="V2105" s="121"/>
      <c r="W2105" s="42"/>
      <c r="X2105" s="42"/>
      <c r="Y2105" s="42"/>
      <c r="Z2105" s="42"/>
      <c r="AA2105" s="42"/>
      <c r="AB2105" s="42"/>
      <c r="AC2105" s="42"/>
      <c r="AD2105" s="42"/>
      <c r="AE2105" s="42"/>
      <c r="AF2105" s="42"/>
      <c r="AG2105" s="42"/>
      <c r="AH2105" s="42"/>
      <c r="AI2105" s="42"/>
      <c r="AJ2105" s="42"/>
      <c r="AK2105" s="42"/>
      <c r="AL2105" s="42"/>
      <c r="AM2105" s="42"/>
    </row>
    <row r="2106" spans="1:39" x14ac:dyDescent="0.25">
      <c r="A2106" s="35"/>
      <c r="B2106" s="42"/>
      <c r="C2106" s="42"/>
      <c r="D2106" s="42"/>
      <c r="E2106" s="41"/>
      <c r="F2106" s="41"/>
      <c r="G2106" s="41"/>
      <c r="H2106" s="41"/>
      <c r="I2106" s="41"/>
      <c r="J2106" s="42"/>
      <c r="K2106" s="41"/>
      <c r="L2106" s="41"/>
      <c r="M2106" s="127"/>
      <c r="N2106" s="41"/>
      <c r="O2106" s="41"/>
      <c r="P2106" s="41"/>
      <c r="Q2106" s="42"/>
      <c r="R2106" s="35"/>
      <c r="S2106" s="35"/>
      <c r="T2106" s="35"/>
      <c r="U2106" s="35"/>
      <c r="V2106" s="121"/>
      <c r="W2106" s="42"/>
      <c r="X2106" s="42"/>
      <c r="Y2106" s="42"/>
      <c r="Z2106" s="42"/>
      <c r="AA2106" s="42"/>
      <c r="AB2106" s="42"/>
      <c r="AC2106" s="42"/>
      <c r="AD2106" s="42"/>
      <c r="AE2106" s="42"/>
      <c r="AF2106" s="42"/>
      <c r="AG2106" s="42"/>
      <c r="AH2106" s="42"/>
      <c r="AI2106" s="42"/>
      <c r="AJ2106" s="42"/>
      <c r="AK2106" s="42"/>
      <c r="AL2106" s="42"/>
      <c r="AM2106" s="42"/>
    </row>
    <row r="2107" spans="1:39" x14ac:dyDescent="0.25">
      <c r="A2107" s="35"/>
      <c r="B2107" s="42"/>
      <c r="C2107" s="42"/>
      <c r="D2107" s="42"/>
      <c r="E2107" s="41"/>
      <c r="F2107" s="41"/>
      <c r="G2107" s="41"/>
      <c r="H2107" s="41"/>
      <c r="I2107" s="41"/>
      <c r="J2107" s="42"/>
      <c r="K2107" s="41"/>
      <c r="L2107" s="41"/>
      <c r="M2107" s="127"/>
      <c r="N2107" s="41"/>
      <c r="O2107" s="41"/>
      <c r="P2107" s="41"/>
      <c r="Q2107" s="42"/>
      <c r="R2107" s="35"/>
      <c r="S2107" s="35"/>
      <c r="T2107" s="35"/>
      <c r="U2107" s="35"/>
      <c r="V2107" s="121"/>
      <c r="W2107" s="42"/>
      <c r="X2107" s="42"/>
      <c r="Y2107" s="42"/>
      <c r="Z2107" s="42"/>
      <c r="AA2107" s="42"/>
      <c r="AB2107" s="42"/>
      <c r="AC2107" s="42"/>
      <c r="AD2107" s="42"/>
      <c r="AE2107" s="42"/>
      <c r="AF2107" s="42"/>
      <c r="AG2107" s="42"/>
      <c r="AH2107" s="42"/>
      <c r="AI2107" s="42"/>
      <c r="AJ2107" s="42"/>
      <c r="AK2107" s="42"/>
      <c r="AL2107" s="42"/>
      <c r="AM2107" s="42"/>
    </row>
    <row r="2108" spans="1:39" x14ac:dyDescent="0.25">
      <c r="A2108" s="35"/>
      <c r="B2108" s="42"/>
      <c r="C2108" s="42"/>
      <c r="D2108" s="42"/>
      <c r="E2108" s="41"/>
      <c r="F2108" s="41"/>
      <c r="G2108" s="41"/>
      <c r="H2108" s="41"/>
      <c r="I2108" s="41"/>
      <c r="J2108" s="42"/>
      <c r="K2108" s="41"/>
      <c r="L2108" s="41"/>
      <c r="M2108" s="127"/>
      <c r="N2108" s="41"/>
      <c r="O2108" s="41"/>
      <c r="P2108" s="41"/>
      <c r="Q2108" s="42"/>
      <c r="R2108" s="35"/>
      <c r="S2108" s="35"/>
      <c r="T2108" s="35"/>
      <c r="U2108" s="35"/>
      <c r="V2108" s="121"/>
      <c r="W2108" s="42"/>
      <c r="X2108" s="42"/>
      <c r="Y2108" s="42"/>
      <c r="Z2108" s="42"/>
      <c r="AA2108" s="42"/>
      <c r="AB2108" s="42"/>
      <c r="AC2108" s="42"/>
      <c r="AD2108" s="42"/>
      <c r="AE2108" s="42"/>
      <c r="AF2108" s="42"/>
      <c r="AG2108" s="42"/>
      <c r="AH2108" s="42"/>
      <c r="AI2108" s="42"/>
      <c r="AJ2108" s="42"/>
      <c r="AK2108" s="42"/>
      <c r="AL2108" s="42"/>
      <c r="AM2108" s="42"/>
    </row>
    <row r="2109" spans="1:39" x14ac:dyDescent="0.25">
      <c r="A2109" s="35"/>
      <c r="B2109" s="42"/>
      <c r="C2109" s="42"/>
      <c r="D2109" s="42"/>
      <c r="E2109" s="41"/>
      <c r="F2109" s="41"/>
      <c r="G2109" s="41"/>
      <c r="H2109" s="41"/>
      <c r="I2109" s="41"/>
      <c r="J2109" s="42"/>
      <c r="K2109" s="41"/>
      <c r="L2109" s="41"/>
      <c r="M2109" s="127"/>
      <c r="N2109" s="41"/>
      <c r="O2109" s="41"/>
      <c r="P2109" s="41"/>
      <c r="Q2109" s="42"/>
      <c r="R2109" s="35"/>
      <c r="S2109" s="35"/>
      <c r="T2109" s="35"/>
      <c r="U2109" s="35"/>
      <c r="V2109" s="121"/>
      <c r="W2109" s="42"/>
      <c r="X2109" s="42"/>
      <c r="Y2109" s="42"/>
      <c r="Z2109" s="42"/>
      <c r="AA2109" s="42"/>
      <c r="AB2109" s="42"/>
      <c r="AC2109" s="42"/>
      <c r="AD2109" s="42"/>
      <c r="AE2109" s="42"/>
      <c r="AF2109" s="42"/>
      <c r="AG2109" s="42"/>
      <c r="AH2109" s="42"/>
      <c r="AI2109" s="42"/>
      <c r="AJ2109" s="42"/>
      <c r="AK2109" s="42"/>
      <c r="AL2109" s="42"/>
      <c r="AM2109" s="42"/>
    </row>
    <row r="2110" spans="1:39" x14ac:dyDescent="0.25">
      <c r="A2110" s="35"/>
      <c r="B2110" s="42"/>
      <c r="C2110" s="42"/>
      <c r="D2110" s="42"/>
      <c r="E2110" s="41"/>
      <c r="F2110" s="41"/>
      <c r="G2110" s="41"/>
      <c r="H2110" s="41"/>
      <c r="I2110" s="41"/>
      <c r="J2110" s="42"/>
      <c r="K2110" s="41"/>
      <c r="L2110" s="41"/>
      <c r="M2110" s="127"/>
      <c r="N2110" s="41"/>
      <c r="O2110" s="41"/>
      <c r="P2110" s="41"/>
      <c r="Q2110" s="42"/>
      <c r="R2110" s="35"/>
      <c r="S2110" s="35"/>
      <c r="T2110" s="35"/>
      <c r="U2110" s="35"/>
      <c r="V2110" s="121"/>
      <c r="W2110" s="42"/>
      <c r="X2110" s="42"/>
      <c r="Y2110" s="42"/>
      <c r="Z2110" s="42"/>
      <c r="AA2110" s="42"/>
      <c r="AB2110" s="42"/>
      <c r="AC2110" s="42"/>
      <c r="AD2110" s="42"/>
      <c r="AE2110" s="42"/>
      <c r="AF2110" s="42"/>
      <c r="AG2110" s="42"/>
      <c r="AH2110" s="42"/>
      <c r="AI2110" s="42"/>
      <c r="AJ2110" s="42"/>
      <c r="AK2110" s="42"/>
      <c r="AL2110" s="42"/>
      <c r="AM2110" s="42"/>
    </row>
    <row r="2111" spans="1:39" x14ac:dyDescent="0.25">
      <c r="A2111" s="35"/>
      <c r="B2111" s="42"/>
      <c r="C2111" s="42"/>
      <c r="D2111" s="42"/>
      <c r="E2111" s="41"/>
      <c r="F2111" s="41"/>
      <c r="G2111" s="41"/>
      <c r="H2111" s="41"/>
      <c r="I2111" s="41"/>
      <c r="J2111" s="42"/>
      <c r="K2111" s="41"/>
      <c r="L2111" s="41"/>
      <c r="M2111" s="127"/>
      <c r="N2111" s="41"/>
      <c r="O2111" s="41"/>
      <c r="P2111" s="41"/>
      <c r="Q2111" s="42"/>
      <c r="R2111" s="35"/>
      <c r="S2111" s="35"/>
      <c r="T2111" s="35"/>
      <c r="U2111" s="35"/>
      <c r="V2111" s="121"/>
      <c r="W2111" s="42"/>
      <c r="X2111" s="42"/>
      <c r="Y2111" s="42"/>
      <c r="Z2111" s="42"/>
      <c r="AA2111" s="42"/>
      <c r="AB2111" s="42"/>
      <c r="AC2111" s="42"/>
      <c r="AD2111" s="42"/>
      <c r="AE2111" s="42"/>
      <c r="AF2111" s="42"/>
      <c r="AG2111" s="42"/>
      <c r="AH2111" s="42"/>
      <c r="AI2111" s="42"/>
      <c r="AJ2111" s="42"/>
      <c r="AK2111" s="42"/>
      <c r="AL2111" s="42"/>
      <c r="AM2111" s="42"/>
    </row>
    <row r="2112" spans="1:39" x14ac:dyDescent="0.25">
      <c r="A2112" s="35"/>
      <c r="B2112" s="42"/>
      <c r="C2112" s="42"/>
      <c r="D2112" s="42"/>
      <c r="E2112" s="41"/>
      <c r="F2112" s="41"/>
      <c r="G2112" s="41"/>
      <c r="H2112" s="41"/>
      <c r="I2112" s="41"/>
      <c r="J2112" s="42"/>
      <c r="K2112" s="41"/>
      <c r="L2112" s="41"/>
      <c r="M2112" s="127"/>
      <c r="N2112" s="41"/>
      <c r="O2112" s="41"/>
      <c r="P2112" s="41"/>
      <c r="Q2112" s="42"/>
      <c r="R2112" s="35"/>
      <c r="S2112" s="35"/>
      <c r="T2112" s="35"/>
      <c r="U2112" s="35"/>
      <c r="V2112" s="121"/>
      <c r="W2112" s="42"/>
      <c r="X2112" s="42"/>
      <c r="Y2112" s="42"/>
      <c r="Z2112" s="42"/>
      <c r="AA2112" s="42"/>
      <c r="AB2112" s="42"/>
      <c r="AC2112" s="42"/>
      <c r="AD2112" s="42"/>
      <c r="AE2112" s="42"/>
      <c r="AF2112" s="42"/>
      <c r="AG2112" s="42"/>
      <c r="AH2112" s="42"/>
      <c r="AI2112" s="42"/>
      <c r="AJ2112" s="42"/>
      <c r="AK2112" s="42"/>
      <c r="AL2112" s="42"/>
      <c r="AM2112" s="42"/>
    </row>
    <row r="2113" spans="1:39" x14ac:dyDescent="0.25">
      <c r="A2113" s="35"/>
      <c r="B2113" s="42"/>
      <c r="C2113" s="42"/>
      <c r="D2113" s="42"/>
      <c r="E2113" s="41"/>
      <c r="F2113" s="41"/>
      <c r="G2113" s="41"/>
      <c r="H2113" s="41"/>
      <c r="I2113" s="41"/>
      <c r="J2113" s="42"/>
      <c r="K2113" s="41"/>
      <c r="L2113" s="41"/>
      <c r="M2113" s="127"/>
      <c r="N2113" s="41"/>
      <c r="O2113" s="41"/>
      <c r="P2113" s="41"/>
      <c r="Q2113" s="42"/>
      <c r="R2113" s="35"/>
      <c r="S2113" s="35"/>
      <c r="T2113" s="35"/>
      <c r="U2113" s="35"/>
      <c r="V2113" s="121"/>
      <c r="W2113" s="42"/>
      <c r="X2113" s="42"/>
      <c r="Y2113" s="42"/>
      <c r="Z2113" s="42"/>
      <c r="AA2113" s="42"/>
      <c r="AB2113" s="42"/>
      <c r="AC2113" s="42"/>
      <c r="AD2113" s="42"/>
      <c r="AE2113" s="42"/>
      <c r="AF2113" s="42"/>
      <c r="AG2113" s="42"/>
      <c r="AH2113" s="42"/>
      <c r="AI2113" s="42"/>
      <c r="AJ2113" s="42"/>
      <c r="AK2113" s="42"/>
      <c r="AL2113" s="42"/>
      <c r="AM2113" s="42"/>
    </row>
    <row r="2114" spans="1:39" x14ac:dyDescent="0.25">
      <c r="A2114" s="35"/>
      <c r="B2114" s="42"/>
      <c r="C2114" s="42"/>
      <c r="D2114" s="42"/>
      <c r="E2114" s="41"/>
      <c r="F2114" s="41"/>
      <c r="G2114" s="41"/>
      <c r="H2114" s="41"/>
      <c r="I2114" s="41"/>
      <c r="J2114" s="42"/>
      <c r="K2114" s="41"/>
      <c r="L2114" s="41"/>
      <c r="M2114" s="127"/>
      <c r="N2114" s="41"/>
      <c r="O2114" s="41"/>
      <c r="P2114" s="41"/>
      <c r="Q2114" s="42"/>
      <c r="R2114" s="35"/>
      <c r="S2114" s="35"/>
      <c r="T2114" s="35"/>
      <c r="U2114" s="35"/>
      <c r="V2114" s="121"/>
      <c r="W2114" s="42"/>
      <c r="X2114" s="42"/>
      <c r="Y2114" s="42"/>
      <c r="Z2114" s="42"/>
      <c r="AA2114" s="42"/>
      <c r="AB2114" s="42"/>
      <c r="AC2114" s="42"/>
      <c r="AD2114" s="42"/>
      <c r="AE2114" s="42"/>
      <c r="AF2114" s="42"/>
      <c r="AG2114" s="42"/>
      <c r="AH2114" s="42"/>
      <c r="AI2114" s="42"/>
      <c r="AJ2114" s="42"/>
      <c r="AK2114" s="42"/>
      <c r="AL2114" s="42"/>
      <c r="AM2114" s="42"/>
    </row>
    <row r="2115" spans="1:39" x14ac:dyDescent="0.25">
      <c r="A2115" s="35"/>
      <c r="B2115" s="42"/>
      <c r="C2115" s="42"/>
      <c r="D2115" s="42"/>
      <c r="E2115" s="41"/>
      <c r="F2115" s="41"/>
      <c r="G2115" s="41"/>
      <c r="H2115" s="41"/>
      <c r="I2115" s="41"/>
      <c r="J2115" s="42"/>
      <c r="K2115" s="41"/>
      <c r="L2115" s="41"/>
      <c r="M2115" s="127"/>
      <c r="N2115" s="41"/>
      <c r="O2115" s="41"/>
      <c r="P2115" s="41"/>
      <c r="Q2115" s="42"/>
      <c r="R2115" s="35"/>
      <c r="S2115" s="35"/>
      <c r="T2115" s="35"/>
      <c r="U2115" s="35"/>
      <c r="V2115" s="121"/>
      <c r="W2115" s="42"/>
      <c r="X2115" s="42"/>
      <c r="Y2115" s="42"/>
      <c r="Z2115" s="42"/>
      <c r="AA2115" s="42"/>
      <c r="AB2115" s="42"/>
      <c r="AC2115" s="42"/>
      <c r="AD2115" s="42"/>
      <c r="AE2115" s="42"/>
      <c r="AF2115" s="42"/>
      <c r="AG2115" s="42"/>
      <c r="AH2115" s="42"/>
      <c r="AI2115" s="42"/>
      <c r="AJ2115" s="42"/>
      <c r="AK2115" s="42"/>
      <c r="AL2115" s="42"/>
      <c r="AM2115" s="42"/>
    </row>
    <row r="2116" spans="1:39" x14ac:dyDescent="0.25">
      <c r="A2116" s="35"/>
      <c r="B2116" s="42"/>
      <c r="C2116" s="42"/>
      <c r="D2116" s="42"/>
      <c r="E2116" s="41"/>
      <c r="F2116" s="41"/>
      <c r="G2116" s="41"/>
      <c r="H2116" s="41"/>
      <c r="I2116" s="41"/>
      <c r="J2116" s="42"/>
      <c r="K2116" s="41"/>
      <c r="L2116" s="41"/>
      <c r="M2116" s="127"/>
      <c r="N2116" s="41"/>
      <c r="O2116" s="41"/>
      <c r="P2116" s="41"/>
      <c r="Q2116" s="42"/>
      <c r="R2116" s="35"/>
      <c r="S2116" s="35"/>
      <c r="T2116" s="35"/>
      <c r="U2116" s="35"/>
      <c r="V2116" s="121"/>
      <c r="W2116" s="42"/>
      <c r="X2116" s="42"/>
      <c r="Y2116" s="42"/>
      <c r="Z2116" s="42"/>
      <c r="AA2116" s="42"/>
      <c r="AB2116" s="42"/>
      <c r="AC2116" s="42"/>
      <c r="AD2116" s="42"/>
      <c r="AE2116" s="42"/>
      <c r="AF2116" s="42"/>
      <c r="AG2116" s="42"/>
      <c r="AH2116" s="42"/>
      <c r="AI2116" s="42"/>
      <c r="AJ2116" s="42"/>
      <c r="AK2116" s="42"/>
      <c r="AL2116" s="42"/>
      <c r="AM2116" s="42"/>
    </row>
    <row r="2117" spans="1:39" x14ac:dyDescent="0.25">
      <c r="A2117" s="35"/>
      <c r="B2117" s="42"/>
      <c r="C2117" s="42"/>
      <c r="D2117" s="42"/>
      <c r="E2117" s="41"/>
      <c r="F2117" s="41"/>
      <c r="G2117" s="41"/>
      <c r="H2117" s="41"/>
      <c r="I2117" s="41"/>
      <c r="J2117" s="42"/>
      <c r="K2117" s="41"/>
      <c r="L2117" s="41"/>
      <c r="M2117" s="127"/>
      <c r="N2117" s="41"/>
      <c r="O2117" s="41"/>
      <c r="P2117" s="41"/>
      <c r="Q2117" s="42"/>
      <c r="R2117" s="35"/>
      <c r="S2117" s="35"/>
      <c r="T2117" s="35"/>
      <c r="U2117" s="35"/>
      <c r="V2117" s="121"/>
      <c r="W2117" s="42"/>
      <c r="X2117" s="42"/>
      <c r="Y2117" s="42"/>
      <c r="Z2117" s="42"/>
      <c r="AA2117" s="42"/>
      <c r="AB2117" s="42"/>
      <c r="AC2117" s="42"/>
      <c r="AD2117" s="42"/>
      <c r="AE2117" s="42"/>
      <c r="AF2117" s="42"/>
      <c r="AG2117" s="42"/>
      <c r="AH2117" s="42"/>
      <c r="AI2117" s="42"/>
      <c r="AJ2117" s="42"/>
      <c r="AK2117" s="42"/>
      <c r="AL2117" s="42"/>
      <c r="AM2117" s="42"/>
    </row>
    <row r="2118" spans="1:39" x14ac:dyDescent="0.25">
      <c r="A2118" s="35"/>
      <c r="B2118" s="42"/>
      <c r="C2118" s="42"/>
      <c r="D2118" s="42"/>
      <c r="E2118" s="41"/>
      <c r="F2118" s="41"/>
      <c r="G2118" s="41"/>
      <c r="H2118" s="41"/>
      <c r="I2118" s="41"/>
      <c r="J2118" s="42"/>
      <c r="K2118" s="41"/>
      <c r="L2118" s="41"/>
      <c r="M2118" s="127"/>
      <c r="N2118" s="41"/>
      <c r="O2118" s="41"/>
      <c r="P2118" s="41"/>
      <c r="Q2118" s="42"/>
      <c r="R2118" s="35"/>
      <c r="S2118" s="35"/>
      <c r="T2118" s="35"/>
      <c r="U2118" s="35"/>
      <c r="V2118" s="121"/>
      <c r="W2118" s="42"/>
      <c r="X2118" s="42"/>
      <c r="Y2118" s="42"/>
      <c r="Z2118" s="42"/>
      <c r="AA2118" s="42"/>
      <c r="AB2118" s="42"/>
      <c r="AC2118" s="42"/>
      <c r="AD2118" s="42"/>
      <c r="AE2118" s="42"/>
      <c r="AF2118" s="42"/>
      <c r="AG2118" s="42"/>
      <c r="AH2118" s="42"/>
      <c r="AI2118" s="42"/>
      <c r="AJ2118" s="42"/>
      <c r="AK2118" s="42"/>
      <c r="AL2118" s="42"/>
      <c r="AM2118" s="42"/>
    </row>
    <row r="2119" spans="1:39" x14ac:dyDescent="0.25">
      <c r="A2119" s="35"/>
      <c r="B2119" s="42"/>
      <c r="C2119" s="42"/>
      <c r="D2119" s="42"/>
      <c r="E2119" s="41"/>
      <c r="F2119" s="41"/>
      <c r="G2119" s="41"/>
      <c r="H2119" s="41"/>
      <c r="I2119" s="41"/>
      <c r="J2119" s="42"/>
      <c r="K2119" s="41"/>
      <c r="L2119" s="41"/>
      <c r="M2119" s="127"/>
      <c r="N2119" s="41"/>
      <c r="O2119" s="41"/>
      <c r="P2119" s="41"/>
      <c r="Q2119" s="42"/>
      <c r="R2119" s="35"/>
      <c r="S2119" s="35"/>
      <c r="T2119" s="35"/>
      <c r="U2119" s="35"/>
      <c r="V2119" s="121"/>
      <c r="W2119" s="42"/>
      <c r="X2119" s="42"/>
      <c r="Y2119" s="42"/>
      <c r="Z2119" s="42"/>
      <c r="AA2119" s="42"/>
      <c r="AB2119" s="42"/>
      <c r="AC2119" s="42"/>
      <c r="AD2119" s="42"/>
      <c r="AE2119" s="42"/>
      <c r="AF2119" s="42"/>
      <c r="AG2119" s="42"/>
      <c r="AH2119" s="42"/>
      <c r="AI2119" s="42"/>
      <c r="AJ2119" s="42"/>
      <c r="AK2119" s="42"/>
      <c r="AL2119" s="42"/>
      <c r="AM2119" s="42"/>
    </row>
    <row r="2120" spans="1:39" x14ac:dyDescent="0.25">
      <c r="A2120" s="35"/>
      <c r="B2120" s="42"/>
      <c r="C2120" s="42"/>
      <c r="D2120" s="42"/>
      <c r="E2120" s="41"/>
      <c r="F2120" s="41"/>
      <c r="G2120" s="41"/>
      <c r="H2120" s="41"/>
      <c r="I2120" s="41"/>
      <c r="J2120" s="42"/>
      <c r="K2120" s="41"/>
      <c r="L2120" s="41"/>
      <c r="M2120" s="127"/>
      <c r="N2120" s="41"/>
      <c r="O2120" s="41"/>
      <c r="P2120" s="41"/>
      <c r="Q2120" s="42"/>
      <c r="R2120" s="35"/>
      <c r="S2120" s="35"/>
      <c r="T2120" s="35"/>
      <c r="U2120" s="35"/>
      <c r="V2120" s="121"/>
      <c r="W2120" s="42"/>
      <c r="X2120" s="42"/>
      <c r="Y2120" s="42"/>
      <c r="Z2120" s="42"/>
      <c r="AA2120" s="42"/>
      <c r="AB2120" s="42"/>
      <c r="AC2120" s="42"/>
      <c r="AD2120" s="42"/>
      <c r="AE2120" s="42"/>
      <c r="AF2120" s="42"/>
      <c r="AG2120" s="42"/>
      <c r="AH2120" s="42"/>
      <c r="AI2120" s="42"/>
      <c r="AJ2120" s="42"/>
      <c r="AK2120" s="42"/>
      <c r="AL2120" s="42"/>
      <c r="AM2120" s="42"/>
    </row>
    <row r="2121" spans="1:39" x14ac:dyDescent="0.25">
      <c r="A2121" s="35"/>
      <c r="B2121" s="42"/>
      <c r="C2121" s="42"/>
      <c r="D2121" s="42"/>
      <c r="E2121" s="41"/>
      <c r="F2121" s="41"/>
      <c r="G2121" s="41"/>
      <c r="H2121" s="41"/>
      <c r="I2121" s="41"/>
      <c r="J2121" s="42"/>
      <c r="K2121" s="41"/>
      <c r="L2121" s="41"/>
      <c r="M2121" s="127"/>
      <c r="N2121" s="41"/>
      <c r="O2121" s="41"/>
      <c r="P2121" s="41"/>
      <c r="Q2121" s="42"/>
      <c r="R2121" s="35"/>
      <c r="S2121" s="35"/>
      <c r="T2121" s="35"/>
      <c r="U2121" s="35"/>
      <c r="V2121" s="121"/>
      <c r="W2121" s="42"/>
      <c r="X2121" s="42"/>
      <c r="Y2121" s="42"/>
      <c r="Z2121" s="42"/>
      <c r="AA2121" s="42"/>
      <c r="AB2121" s="42"/>
      <c r="AC2121" s="42"/>
      <c r="AD2121" s="42"/>
      <c r="AE2121" s="42"/>
      <c r="AF2121" s="42"/>
      <c r="AG2121" s="42"/>
      <c r="AH2121" s="42"/>
      <c r="AI2121" s="42"/>
      <c r="AJ2121" s="42"/>
      <c r="AK2121" s="42"/>
      <c r="AL2121" s="42"/>
      <c r="AM2121" s="42"/>
    </row>
    <row r="2122" spans="1:39" x14ac:dyDescent="0.25">
      <c r="A2122" s="35"/>
      <c r="B2122" s="42"/>
      <c r="C2122" s="42"/>
      <c r="D2122" s="42"/>
      <c r="E2122" s="41"/>
      <c r="F2122" s="41"/>
      <c r="G2122" s="41"/>
      <c r="H2122" s="41"/>
      <c r="I2122" s="41"/>
      <c r="J2122" s="42"/>
      <c r="K2122" s="41"/>
      <c r="L2122" s="41"/>
      <c r="M2122" s="127"/>
      <c r="N2122" s="41"/>
      <c r="O2122" s="41"/>
      <c r="P2122" s="41"/>
      <c r="Q2122" s="42"/>
      <c r="R2122" s="35"/>
      <c r="S2122" s="35"/>
      <c r="T2122" s="35"/>
      <c r="U2122" s="35"/>
      <c r="V2122" s="121"/>
      <c r="W2122" s="42"/>
      <c r="X2122" s="42"/>
      <c r="Y2122" s="42"/>
      <c r="Z2122" s="42"/>
      <c r="AA2122" s="42"/>
      <c r="AB2122" s="42"/>
      <c r="AC2122" s="42"/>
      <c r="AD2122" s="42"/>
      <c r="AE2122" s="42"/>
      <c r="AF2122" s="42"/>
      <c r="AG2122" s="42"/>
      <c r="AH2122" s="42"/>
      <c r="AI2122" s="42"/>
      <c r="AJ2122" s="42"/>
      <c r="AK2122" s="42"/>
      <c r="AL2122" s="42"/>
      <c r="AM2122" s="42"/>
    </row>
    <row r="2123" spans="1:39" x14ac:dyDescent="0.25">
      <c r="A2123" s="35"/>
      <c r="B2123" s="42"/>
      <c r="C2123" s="42"/>
      <c r="D2123" s="42"/>
      <c r="E2123" s="41"/>
      <c r="F2123" s="41"/>
      <c r="G2123" s="41"/>
      <c r="H2123" s="41"/>
      <c r="I2123" s="41"/>
      <c r="J2123" s="42"/>
      <c r="K2123" s="41"/>
      <c r="L2123" s="41"/>
      <c r="M2123" s="127"/>
      <c r="N2123" s="41"/>
      <c r="O2123" s="41"/>
      <c r="P2123" s="41"/>
      <c r="Q2123" s="42"/>
      <c r="R2123" s="35"/>
      <c r="S2123" s="35"/>
      <c r="T2123" s="35"/>
      <c r="U2123" s="35"/>
      <c r="V2123" s="121"/>
      <c r="W2123" s="42"/>
      <c r="X2123" s="42"/>
      <c r="Y2123" s="42"/>
      <c r="Z2123" s="42"/>
      <c r="AA2123" s="42"/>
      <c r="AB2123" s="42"/>
      <c r="AC2123" s="42"/>
      <c r="AD2123" s="42"/>
      <c r="AE2123" s="42"/>
      <c r="AF2123" s="42"/>
      <c r="AG2123" s="42"/>
      <c r="AH2123" s="42"/>
      <c r="AI2123" s="42"/>
      <c r="AJ2123" s="42"/>
      <c r="AK2123" s="42"/>
      <c r="AL2123" s="42"/>
      <c r="AM2123" s="42"/>
    </row>
    <row r="2124" spans="1:39" x14ac:dyDescent="0.25">
      <c r="A2124" s="35"/>
      <c r="B2124" s="42"/>
      <c r="C2124" s="42"/>
      <c r="D2124" s="42"/>
      <c r="E2124" s="41"/>
      <c r="F2124" s="41"/>
      <c r="G2124" s="41"/>
      <c r="H2124" s="41"/>
      <c r="I2124" s="41"/>
      <c r="J2124" s="42"/>
      <c r="K2124" s="41"/>
      <c r="L2124" s="41"/>
      <c r="M2124" s="127"/>
      <c r="N2124" s="41"/>
      <c r="O2124" s="41"/>
      <c r="P2124" s="41"/>
      <c r="Q2124" s="42"/>
      <c r="R2124" s="35"/>
      <c r="S2124" s="35"/>
      <c r="T2124" s="35"/>
      <c r="U2124" s="35"/>
      <c r="V2124" s="121"/>
      <c r="W2124" s="42"/>
      <c r="X2124" s="42"/>
      <c r="Y2124" s="42"/>
      <c r="Z2124" s="42"/>
      <c r="AA2124" s="42"/>
      <c r="AB2124" s="42"/>
      <c r="AC2124" s="42"/>
      <c r="AD2124" s="42"/>
      <c r="AE2124" s="42"/>
      <c r="AF2124" s="42"/>
      <c r="AG2124" s="42"/>
      <c r="AH2124" s="42"/>
      <c r="AI2124" s="42"/>
      <c r="AJ2124" s="42"/>
      <c r="AK2124" s="42"/>
      <c r="AL2124" s="42"/>
      <c r="AM2124" s="42"/>
    </row>
    <row r="2125" spans="1:39" x14ac:dyDescent="0.25">
      <c r="A2125" s="35"/>
      <c r="B2125" s="42"/>
      <c r="C2125" s="42"/>
      <c r="D2125" s="42"/>
      <c r="E2125" s="41"/>
      <c r="F2125" s="41"/>
      <c r="G2125" s="41"/>
      <c r="H2125" s="41"/>
      <c r="I2125" s="41"/>
      <c r="J2125" s="42"/>
      <c r="K2125" s="41"/>
      <c r="L2125" s="41"/>
      <c r="M2125" s="127"/>
      <c r="N2125" s="41"/>
      <c r="O2125" s="41"/>
      <c r="P2125" s="41"/>
      <c r="Q2125" s="42"/>
      <c r="R2125" s="35"/>
      <c r="S2125" s="35"/>
      <c r="T2125" s="35"/>
      <c r="U2125" s="35"/>
      <c r="V2125" s="121"/>
      <c r="W2125" s="42"/>
      <c r="X2125" s="42"/>
      <c r="Y2125" s="42"/>
      <c r="Z2125" s="42"/>
      <c r="AA2125" s="42"/>
      <c r="AB2125" s="42"/>
      <c r="AC2125" s="42"/>
      <c r="AD2125" s="42"/>
      <c r="AE2125" s="42"/>
      <c r="AF2125" s="42"/>
      <c r="AG2125" s="42"/>
      <c r="AH2125" s="42"/>
      <c r="AI2125" s="42"/>
      <c r="AJ2125" s="42"/>
      <c r="AK2125" s="42"/>
      <c r="AL2125" s="42"/>
      <c r="AM2125" s="42"/>
    </row>
    <row r="2126" spans="1:39" x14ac:dyDescent="0.25">
      <c r="A2126" s="35"/>
      <c r="B2126" s="42"/>
      <c r="C2126" s="42"/>
      <c r="D2126" s="42"/>
      <c r="E2126" s="41"/>
      <c r="F2126" s="41"/>
      <c r="G2126" s="41"/>
      <c r="H2126" s="41"/>
      <c r="I2126" s="41"/>
      <c r="J2126" s="42"/>
      <c r="K2126" s="41"/>
      <c r="L2126" s="41"/>
      <c r="M2126" s="127"/>
      <c r="N2126" s="41"/>
      <c r="O2126" s="41"/>
      <c r="P2126" s="41"/>
      <c r="Q2126" s="42"/>
      <c r="R2126" s="35"/>
      <c r="S2126" s="35"/>
      <c r="T2126" s="35"/>
      <c r="U2126" s="35"/>
      <c r="V2126" s="121"/>
      <c r="W2126" s="42"/>
      <c r="X2126" s="42"/>
      <c r="Y2126" s="42"/>
      <c r="Z2126" s="42"/>
      <c r="AA2126" s="42"/>
      <c r="AB2126" s="42"/>
      <c r="AC2126" s="42"/>
      <c r="AD2126" s="42"/>
      <c r="AE2126" s="42"/>
      <c r="AF2126" s="42"/>
      <c r="AG2126" s="42"/>
      <c r="AH2126" s="42"/>
      <c r="AI2126" s="42"/>
      <c r="AJ2126" s="42"/>
      <c r="AK2126" s="42"/>
      <c r="AL2126" s="42"/>
      <c r="AM2126" s="42"/>
    </row>
    <row r="2127" spans="1:39" x14ac:dyDescent="0.25">
      <c r="A2127" s="35"/>
      <c r="B2127" s="42"/>
      <c r="C2127" s="42"/>
      <c r="D2127" s="42"/>
      <c r="E2127" s="41"/>
      <c r="F2127" s="41"/>
      <c r="G2127" s="41"/>
      <c r="H2127" s="41"/>
      <c r="I2127" s="41"/>
      <c r="J2127" s="42"/>
      <c r="K2127" s="41"/>
      <c r="L2127" s="41"/>
      <c r="M2127" s="127"/>
      <c r="N2127" s="41"/>
      <c r="O2127" s="41"/>
      <c r="P2127" s="41"/>
      <c r="Q2127" s="42"/>
      <c r="R2127" s="35"/>
      <c r="S2127" s="35"/>
      <c r="T2127" s="35"/>
      <c r="U2127" s="35"/>
      <c r="V2127" s="121"/>
      <c r="W2127" s="42"/>
      <c r="X2127" s="42"/>
      <c r="Y2127" s="42"/>
      <c r="Z2127" s="42"/>
      <c r="AA2127" s="42"/>
      <c r="AB2127" s="42"/>
      <c r="AC2127" s="42"/>
      <c r="AD2127" s="42"/>
      <c r="AE2127" s="42"/>
      <c r="AF2127" s="42"/>
      <c r="AG2127" s="42"/>
      <c r="AH2127" s="42"/>
      <c r="AI2127" s="42"/>
      <c r="AJ2127" s="42"/>
      <c r="AK2127" s="42"/>
      <c r="AL2127" s="42"/>
      <c r="AM2127" s="42"/>
    </row>
    <row r="2128" spans="1:39" x14ac:dyDescent="0.25">
      <c r="A2128" s="35"/>
      <c r="B2128" s="42"/>
      <c r="C2128" s="42"/>
      <c r="D2128" s="42"/>
      <c r="E2128" s="41"/>
      <c r="F2128" s="41"/>
      <c r="G2128" s="41"/>
      <c r="H2128" s="41"/>
      <c r="I2128" s="41"/>
      <c r="J2128" s="42"/>
      <c r="K2128" s="41"/>
      <c r="L2128" s="41"/>
      <c r="M2128" s="127"/>
      <c r="N2128" s="41"/>
      <c r="O2128" s="41"/>
      <c r="P2128" s="41"/>
      <c r="Q2128" s="42"/>
      <c r="R2128" s="35"/>
      <c r="S2128" s="35"/>
      <c r="T2128" s="35"/>
      <c r="U2128" s="35"/>
      <c r="V2128" s="121"/>
      <c r="W2128" s="42"/>
      <c r="X2128" s="42"/>
      <c r="Y2128" s="42"/>
      <c r="Z2128" s="42"/>
      <c r="AA2128" s="42"/>
      <c r="AB2128" s="42"/>
      <c r="AC2128" s="42"/>
      <c r="AD2128" s="42"/>
      <c r="AE2128" s="42"/>
      <c r="AF2128" s="42"/>
      <c r="AG2128" s="42"/>
      <c r="AH2128" s="42"/>
      <c r="AI2128" s="42"/>
      <c r="AJ2128" s="42"/>
      <c r="AK2128" s="42"/>
      <c r="AL2128" s="42"/>
      <c r="AM2128" s="42"/>
    </row>
    <row r="2129" spans="1:39" x14ac:dyDescent="0.25">
      <c r="A2129" s="35"/>
      <c r="B2129" s="42"/>
      <c r="C2129" s="42"/>
      <c r="D2129" s="42"/>
      <c r="E2129" s="41"/>
      <c r="F2129" s="41"/>
      <c r="G2129" s="41"/>
      <c r="H2129" s="41"/>
      <c r="I2129" s="41"/>
      <c r="J2129" s="42"/>
      <c r="K2129" s="41"/>
      <c r="L2129" s="41"/>
      <c r="M2129" s="127"/>
      <c r="N2129" s="41"/>
      <c r="O2129" s="41"/>
      <c r="P2129" s="41"/>
      <c r="Q2129" s="42"/>
      <c r="R2129" s="35"/>
      <c r="S2129" s="35"/>
      <c r="T2129" s="35"/>
      <c r="U2129" s="35"/>
      <c r="V2129" s="121"/>
      <c r="W2129" s="42"/>
      <c r="X2129" s="42"/>
      <c r="Y2129" s="42"/>
      <c r="Z2129" s="42"/>
      <c r="AA2129" s="42"/>
      <c r="AB2129" s="42"/>
      <c r="AC2129" s="42"/>
      <c r="AD2129" s="42"/>
      <c r="AE2129" s="42"/>
      <c r="AF2129" s="42"/>
      <c r="AG2129" s="42"/>
      <c r="AH2129" s="42"/>
      <c r="AI2129" s="42"/>
      <c r="AJ2129" s="42"/>
      <c r="AK2129" s="42"/>
      <c r="AL2129" s="42"/>
      <c r="AM2129" s="42"/>
    </row>
    <row r="2130" spans="1:39" x14ac:dyDescent="0.25">
      <c r="A2130" s="35"/>
      <c r="B2130" s="42"/>
      <c r="C2130" s="42"/>
      <c r="D2130" s="42"/>
      <c r="E2130" s="41"/>
      <c r="F2130" s="41"/>
      <c r="G2130" s="41"/>
      <c r="H2130" s="41"/>
      <c r="I2130" s="41"/>
      <c r="J2130" s="42"/>
      <c r="K2130" s="41"/>
      <c r="L2130" s="41"/>
      <c r="M2130" s="127"/>
      <c r="N2130" s="41"/>
      <c r="O2130" s="41"/>
      <c r="P2130" s="41"/>
      <c r="Q2130" s="42"/>
      <c r="R2130" s="35"/>
      <c r="S2130" s="35"/>
      <c r="T2130" s="35"/>
      <c r="U2130" s="35"/>
      <c r="V2130" s="121"/>
      <c r="W2130" s="42"/>
      <c r="X2130" s="42"/>
      <c r="Y2130" s="42"/>
      <c r="Z2130" s="42"/>
      <c r="AA2130" s="42"/>
      <c r="AB2130" s="42"/>
      <c r="AC2130" s="42"/>
      <c r="AD2130" s="42"/>
      <c r="AE2130" s="42"/>
      <c r="AF2130" s="42"/>
      <c r="AG2130" s="42"/>
      <c r="AH2130" s="42"/>
      <c r="AI2130" s="42"/>
      <c r="AJ2130" s="42"/>
      <c r="AK2130" s="42"/>
      <c r="AL2130" s="42"/>
      <c r="AM2130" s="42"/>
    </row>
    <row r="2131" spans="1:39" x14ac:dyDescent="0.25">
      <c r="A2131" s="35"/>
      <c r="B2131" s="42"/>
      <c r="C2131" s="42"/>
      <c r="D2131" s="42"/>
      <c r="E2131" s="41"/>
      <c r="F2131" s="41"/>
      <c r="G2131" s="41"/>
      <c r="H2131" s="41"/>
      <c r="I2131" s="41"/>
      <c r="J2131" s="42"/>
      <c r="K2131" s="41"/>
      <c r="L2131" s="41"/>
      <c r="M2131" s="127"/>
      <c r="N2131" s="41"/>
      <c r="O2131" s="41"/>
      <c r="P2131" s="41"/>
      <c r="Q2131" s="42"/>
      <c r="R2131" s="35"/>
      <c r="S2131" s="35"/>
      <c r="T2131" s="35"/>
      <c r="U2131" s="35"/>
      <c r="V2131" s="121"/>
      <c r="W2131" s="42"/>
      <c r="X2131" s="42"/>
      <c r="Y2131" s="42"/>
      <c r="Z2131" s="42"/>
      <c r="AA2131" s="42"/>
      <c r="AB2131" s="42"/>
      <c r="AC2131" s="42"/>
      <c r="AD2131" s="42"/>
      <c r="AE2131" s="42"/>
      <c r="AF2131" s="42"/>
      <c r="AG2131" s="42"/>
      <c r="AH2131" s="42"/>
      <c r="AI2131" s="42"/>
      <c r="AJ2131" s="42"/>
      <c r="AK2131" s="42"/>
      <c r="AL2131" s="42"/>
      <c r="AM2131" s="42"/>
    </row>
    <row r="2132" spans="1:39" x14ac:dyDescent="0.25">
      <c r="A2132" s="35"/>
      <c r="B2132" s="42"/>
      <c r="C2132" s="42"/>
      <c r="D2132" s="42"/>
      <c r="E2132" s="41"/>
      <c r="F2132" s="41"/>
      <c r="G2132" s="41"/>
      <c r="H2132" s="41"/>
      <c r="I2132" s="41"/>
      <c r="J2132" s="42"/>
      <c r="K2132" s="41"/>
      <c r="L2132" s="41"/>
      <c r="M2132" s="127"/>
      <c r="N2132" s="41"/>
      <c r="O2132" s="41"/>
      <c r="P2132" s="41"/>
      <c r="Q2132" s="42"/>
      <c r="R2132" s="35"/>
      <c r="S2132" s="35"/>
      <c r="T2132" s="35"/>
      <c r="U2132" s="35"/>
      <c r="V2132" s="121"/>
      <c r="W2132" s="42"/>
      <c r="X2132" s="42"/>
      <c r="Y2132" s="42"/>
      <c r="Z2132" s="42"/>
      <c r="AA2132" s="42"/>
      <c r="AB2132" s="42"/>
      <c r="AC2132" s="42"/>
      <c r="AD2132" s="42"/>
      <c r="AE2132" s="42"/>
      <c r="AF2132" s="42"/>
      <c r="AG2132" s="42"/>
      <c r="AH2132" s="42"/>
      <c r="AI2132" s="42"/>
      <c r="AJ2132" s="42"/>
      <c r="AK2132" s="42"/>
      <c r="AL2132" s="42"/>
      <c r="AM2132" s="42"/>
    </row>
    <row r="2133" spans="1:39" x14ac:dyDescent="0.25">
      <c r="A2133" s="35"/>
      <c r="B2133" s="42"/>
      <c r="C2133" s="42"/>
      <c r="D2133" s="42"/>
      <c r="E2133" s="41"/>
      <c r="F2133" s="41"/>
      <c r="G2133" s="41"/>
      <c r="H2133" s="41"/>
      <c r="I2133" s="41"/>
      <c r="J2133" s="42"/>
      <c r="K2133" s="41"/>
      <c r="L2133" s="41"/>
      <c r="M2133" s="127"/>
      <c r="N2133" s="41"/>
      <c r="O2133" s="41"/>
      <c r="P2133" s="41"/>
      <c r="Q2133" s="42"/>
      <c r="R2133" s="35"/>
      <c r="S2133" s="35"/>
      <c r="T2133" s="35"/>
      <c r="U2133" s="35"/>
      <c r="V2133" s="121"/>
      <c r="W2133" s="42"/>
      <c r="X2133" s="42"/>
      <c r="Y2133" s="42"/>
      <c r="Z2133" s="42"/>
      <c r="AA2133" s="42"/>
      <c r="AB2133" s="42"/>
      <c r="AC2133" s="42"/>
      <c r="AD2133" s="42"/>
      <c r="AE2133" s="42"/>
      <c r="AF2133" s="42"/>
      <c r="AG2133" s="42"/>
      <c r="AH2133" s="42"/>
      <c r="AI2133" s="42"/>
      <c r="AJ2133" s="42"/>
      <c r="AK2133" s="42"/>
      <c r="AL2133" s="42"/>
      <c r="AM2133" s="42"/>
    </row>
    <row r="2134" spans="1:39" x14ac:dyDescent="0.25">
      <c r="A2134" s="35"/>
      <c r="B2134" s="42"/>
      <c r="C2134" s="42"/>
      <c r="D2134" s="42"/>
      <c r="E2134" s="41"/>
      <c r="F2134" s="41"/>
      <c r="G2134" s="41"/>
      <c r="H2134" s="41"/>
      <c r="I2134" s="41"/>
      <c r="J2134" s="42"/>
      <c r="K2134" s="41"/>
      <c r="L2134" s="41"/>
      <c r="M2134" s="127"/>
      <c r="N2134" s="41"/>
      <c r="O2134" s="41"/>
      <c r="P2134" s="41"/>
      <c r="Q2134" s="42"/>
      <c r="R2134" s="35"/>
      <c r="S2134" s="35"/>
      <c r="T2134" s="35"/>
      <c r="U2134" s="35"/>
      <c r="V2134" s="121"/>
      <c r="W2134" s="42"/>
      <c r="X2134" s="42"/>
      <c r="Y2134" s="42"/>
      <c r="Z2134" s="42"/>
      <c r="AA2134" s="42"/>
      <c r="AB2134" s="42"/>
      <c r="AC2134" s="42"/>
      <c r="AD2134" s="42"/>
      <c r="AE2134" s="42"/>
      <c r="AF2134" s="42"/>
      <c r="AG2134" s="42"/>
      <c r="AH2134" s="42"/>
      <c r="AI2134" s="42"/>
      <c r="AJ2134" s="42"/>
      <c r="AK2134" s="42"/>
      <c r="AL2134" s="42"/>
      <c r="AM2134" s="42"/>
    </row>
    <row r="2135" spans="1:39" x14ac:dyDescent="0.25">
      <c r="A2135" s="35"/>
      <c r="B2135" s="42"/>
      <c r="C2135" s="42"/>
      <c r="D2135" s="42"/>
      <c r="E2135" s="41"/>
      <c r="F2135" s="41"/>
      <c r="G2135" s="41"/>
      <c r="H2135" s="41"/>
      <c r="I2135" s="41"/>
      <c r="J2135" s="42"/>
      <c r="K2135" s="41"/>
      <c r="L2135" s="41"/>
      <c r="M2135" s="127"/>
      <c r="N2135" s="41"/>
      <c r="O2135" s="41"/>
      <c r="P2135" s="41"/>
      <c r="Q2135" s="42"/>
      <c r="R2135" s="35"/>
      <c r="S2135" s="35"/>
      <c r="T2135" s="35"/>
      <c r="U2135" s="35"/>
      <c r="V2135" s="121"/>
      <c r="W2135" s="42"/>
      <c r="X2135" s="42"/>
      <c r="Y2135" s="42"/>
      <c r="Z2135" s="42"/>
      <c r="AA2135" s="42"/>
      <c r="AB2135" s="42"/>
      <c r="AC2135" s="42"/>
      <c r="AD2135" s="42"/>
      <c r="AE2135" s="42"/>
      <c r="AF2135" s="42"/>
      <c r="AG2135" s="42"/>
      <c r="AH2135" s="42"/>
      <c r="AI2135" s="42"/>
      <c r="AJ2135" s="42"/>
      <c r="AK2135" s="42"/>
      <c r="AL2135" s="42"/>
      <c r="AM2135" s="42"/>
    </row>
    <row r="2136" spans="1:39" x14ac:dyDescent="0.25">
      <c r="A2136" s="35"/>
      <c r="B2136" s="42"/>
      <c r="C2136" s="42"/>
      <c r="D2136" s="42"/>
      <c r="E2136" s="41"/>
      <c r="F2136" s="41"/>
      <c r="G2136" s="41"/>
      <c r="H2136" s="41"/>
      <c r="I2136" s="41"/>
      <c r="J2136" s="42"/>
      <c r="K2136" s="41"/>
      <c r="L2136" s="41"/>
      <c r="M2136" s="127"/>
      <c r="N2136" s="41"/>
      <c r="O2136" s="41"/>
      <c r="P2136" s="41"/>
      <c r="Q2136" s="42"/>
      <c r="R2136" s="35"/>
      <c r="S2136" s="35"/>
      <c r="T2136" s="35"/>
      <c r="U2136" s="35"/>
      <c r="V2136" s="121"/>
      <c r="W2136" s="42"/>
      <c r="X2136" s="42"/>
      <c r="Y2136" s="42"/>
      <c r="Z2136" s="42"/>
      <c r="AA2136" s="42"/>
      <c r="AB2136" s="42"/>
      <c r="AC2136" s="42"/>
      <c r="AD2136" s="42"/>
      <c r="AE2136" s="42"/>
      <c r="AF2136" s="42"/>
      <c r="AG2136" s="42"/>
      <c r="AH2136" s="42"/>
      <c r="AI2136" s="42"/>
      <c r="AJ2136" s="42"/>
      <c r="AK2136" s="42"/>
      <c r="AL2136" s="42"/>
      <c r="AM2136" s="42"/>
    </row>
    <row r="2137" spans="1:39" x14ac:dyDescent="0.25">
      <c r="A2137" s="35"/>
      <c r="B2137" s="42"/>
      <c r="C2137" s="42"/>
      <c r="D2137" s="42"/>
      <c r="E2137" s="41"/>
      <c r="F2137" s="41"/>
      <c r="G2137" s="41"/>
      <c r="H2137" s="41"/>
      <c r="I2137" s="41"/>
      <c r="J2137" s="42"/>
      <c r="K2137" s="41"/>
      <c r="L2137" s="41"/>
      <c r="M2137" s="127"/>
      <c r="N2137" s="41"/>
      <c r="O2137" s="41"/>
      <c r="P2137" s="41"/>
      <c r="Q2137" s="42"/>
      <c r="R2137" s="35"/>
      <c r="S2137" s="35"/>
      <c r="T2137" s="35"/>
      <c r="U2137" s="35"/>
      <c r="V2137" s="121"/>
      <c r="W2137" s="42"/>
      <c r="X2137" s="42"/>
      <c r="Y2137" s="42"/>
      <c r="Z2137" s="42"/>
      <c r="AA2137" s="42"/>
      <c r="AB2137" s="42"/>
      <c r="AC2137" s="42"/>
      <c r="AD2137" s="42"/>
      <c r="AE2137" s="42"/>
      <c r="AF2137" s="42"/>
      <c r="AG2137" s="42"/>
      <c r="AH2137" s="42"/>
      <c r="AI2137" s="42"/>
      <c r="AJ2137" s="42"/>
      <c r="AK2137" s="42"/>
      <c r="AL2137" s="42"/>
      <c r="AM2137" s="42"/>
    </row>
    <row r="2138" spans="1:39" x14ac:dyDescent="0.25">
      <c r="A2138" s="35"/>
      <c r="B2138" s="42"/>
      <c r="C2138" s="42"/>
      <c r="D2138" s="42"/>
      <c r="E2138" s="41"/>
      <c r="F2138" s="41"/>
      <c r="G2138" s="41"/>
      <c r="H2138" s="41"/>
      <c r="I2138" s="41"/>
      <c r="J2138" s="42"/>
      <c r="K2138" s="41"/>
      <c r="L2138" s="41"/>
      <c r="M2138" s="127"/>
      <c r="N2138" s="41"/>
      <c r="O2138" s="41"/>
      <c r="P2138" s="41"/>
      <c r="Q2138" s="42"/>
      <c r="R2138" s="35"/>
      <c r="S2138" s="35"/>
      <c r="T2138" s="35"/>
      <c r="U2138" s="35"/>
      <c r="V2138" s="121"/>
      <c r="W2138" s="42"/>
      <c r="X2138" s="42"/>
      <c r="Y2138" s="42"/>
      <c r="Z2138" s="42"/>
      <c r="AA2138" s="42"/>
      <c r="AB2138" s="42"/>
      <c r="AC2138" s="42"/>
      <c r="AD2138" s="42"/>
      <c r="AE2138" s="42"/>
      <c r="AF2138" s="42"/>
      <c r="AG2138" s="42"/>
      <c r="AH2138" s="42"/>
      <c r="AI2138" s="42"/>
      <c r="AJ2138" s="42"/>
      <c r="AK2138" s="42"/>
      <c r="AL2138" s="42"/>
      <c r="AM2138" s="42"/>
    </row>
    <row r="2139" spans="1:39" x14ac:dyDescent="0.25">
      <c r="A2139" s="35"/>
      <c r="B2139" s="42"/>
      <c r="C2139" s="42"/>
      <c r="D2139" s="42"/>
      <c r="E2139" s="41"/>
      <c r="F2139" s="41"/>
      <c r="G2139" s="41"/>
      <c r="H2139" s="41"/>
      <c r="I2139" s="41"/>
      <c r="J2139" s="42"/>
      <c r="K2139" s="41"/>
      <c r="L2139" s="41"/>
      <c r="M2139" s="127"/>
      <c r="N2139" s="41"/>
      <c r="O2139" s="41"/>
      <c r="P2139" s="41"/>
      <c r="Q2139" s="42"/>
      <c r="R2139" s="35"/>
      <c r="S2139" s="35"/>
      <c r="T2139" s="35"/>
      <c r="U2139" s="35"/>
      <c r="V2139" s="121"/>
      <c r="W2139" s="42"/>
      <c r="X2139" s="42"/>
      <c r="Y2139" s="42"/>
      <c r="Z2139" s="42"/>
      <c r="AA2139" s="42"/>
      <c r="AB2139" s="42"/>
      <c r="AC2139" s="42"/>
      <c r="AD2139" s="42"/>
      <c r="AE2139" s="42"/>
      <c r="AF2139" s="42"/>
      <c r="AG2139" s="42"/>
      <c r="AH2139" s="42"/>
      <c r="AI2139" s="42"/>
      <c r="AJ2139" s="42"/>
      <c r="AK2139" s="42"/>
      <c r="AL2139" s="42"/>
      <c r="AM2139" s="42"/>
    </row>
    <row r="2140" spans="1:39" x14ac:dyDescent="0.25">
      <c r="A2140" s="35"/>
      <c r="B2140" s="42"/>
      <c r="C2140" s="42"/>
      <c r="D2140" s="42"/>
      <c r="E2140" s="41"/>
      <c r="F2140" s="41"/>
      <c r="G2140" s="41"/>
      <c r="H2140" s="41"/>
      <c r="I2140" s="41"/>
      <c r="J2140" s="42"/>
      <c r="K2140" s="41"/>
      <c r="L2140" s="41"/>
      <c r="M2140" s="127"/>
      <c r="N2140" s="41"/>
      <c r="O2140" s="41"/>
      <c r="P2140" s="41"/>
      <c r="Q2140" s="42"/>
      <c r="R2140" s="35"/>
      <c r="S2140" s="35"/>
      <c r="T2140" s="35"/>
      <c r="U2140" s="35"/>
      <c r="V2140" s="121"/>
      <c r="W2140" s="42"/>
      <c r="X2140" s="42"/>
      <c r="Y2140" s="42"/>
      <c r="Z2140" s="42"/>
      <c r="AA2140" s="42"/>
      <c r="AB2140" s="42"/>
      <c r="AC2140" s="42"/>
      <c r="AD2140" s="42"/>
      <c r="AE2140" s="42"/>
      <c r="AF2140" s="42"/>
      <c r="AG2140" s="42"/>
      <c r="AH2140" s="42"/>
      <c r="AI2140" s="42"/>
      <c r="AJ2140" s="42"/>
      <c r="AK2140" s="42"/>
      <c r="AL2140" s="42"/>
      <c r="AM2140" s="42"/>
    </row>
    <row r="2141" spans="1:39" x14ac:dyDescent="0.25">
      <c r="A2141" s="35"/>
      <c r="B2141" s="42"/>
      <c r="C2141" s="42"/>
      <c r="D2141" s="42"/>
      <c r="E2141" s="41"/>
      <c r="F2141" s="41"/>
      <c r="G2141" s="41"/>
      <c r="H2141" s="41"/>
      <c r="I2141" s="41"/>
      <c r="J2141" s="42"/>
      <c r="K2141" s="41"/>
      <c r="L2141" s="41"/>
      <c r="M2141" s="127"/>
      <c r="N2141" s="41"/>
      <c r="O2141" s="41"/>
      <c r="P2141" s="41"/>
      <c r="Q2141" s="42"/>
      <c r="R2141" s="35"/>
      <c r="S2141" s="35"/>
      <c r="T2141" s="35"/>
      <c r="U2141" s="35"/>
      <c r="V2141" s="121"/>
      <c r="W2141" s="42"/>
      <c r="X2141" s="42"/>
      <c r="Y2141" s="42"/>
      <c r="Z2141" s="42"/>
      <c r="AA2141" s="42"/>
      <c r="AB2141" s="42"/>
      <c r="AC2141" s="42"/>
      <c r="AD2141" s="42"/>
      <c r="AE2141" s="42"/>
      <c r="AF2141" s="42"/>
      <c r="AG2141" s="42"/>
      <c r="AH2141" s="42"/>
      <c r="AI2141" s="42"/>
      <c r="AJ2141" s="42"/>
      <c r="AK2141" s="42"/>
      <c r="AL2141" s="42"/>
      <c r="AM2141" s="42"/>
    </row>
    <row r="2142" spans="1:39" x14ac:dyDescent="0.25">
      <c r="A2142" s="35"/>
      <c r="B2142" s="42"/>
      <c r="C2142" s="42"/>
      <c r="D2142" s="42"/>
      <c r="E2142" s="41"/>
      <c r="F2142" s="41"/>
      <c r="G2142" s="41"/>
      <c r="H2142" s="41"/>
      <c r="I2142" s="41"/>
      <c r="J2142" s="42"/>
      <c r="K2142" s="41"/>
      <c r="L2142" s="41"/>
      <c r="M2142" s="127"/>
      <c r="N2142" s="41"/>
      <c r="O2142" s="41"/>
      <c r="P2142" s="41"/>
      <c r="Q2142" s="42"/>
      <c r="R2142" s="35"/>
      <c r="S2142" s="35"/>
      <c r="T2142" s="35"/>
      <c r="U2142" s="35"/>
      <c r="V2142" s="121"/>
      <c r="W2142" s="42"/>
      <c r="X2142" s="42"/>
      <c r="Y2142" s="42"/>
      <c r="Z2142" s="42"/>
      <c r="AA2142" s="42"/>
      <c r="AB2142" s="42"/>
      <c r="AC2142" s="42"/>
      <c r="AD2142" s="42"/>
      <c r="AE2142" s="42"/>
      <c r="AF2142" s="42"/>
      <c r="AG2142" s="42"/>
      <c r="AH2142" s="42"/>
      <c r="AI2142" s="42"/>
      <c r="AJ2142" s="42"/>
      <c r="AK2142" s="42"/>
      <c r="AL2142" s="42"/>
      <c r="AM2142" s="42"/>
    </row>
    <row r="2143" spans="1:39" x14ac:dyDescent="0.25">
      <c r="A2143" s="35"/>
      <c r="B2143" s="42"/>
      <c r="C2143" s="42"/>
      <c r="D2143" s="42"/>
      <c r="E2143" s="41"/>
      <c r="F2143" s="41"/>
      <c r="G2143" s="41"/>
      <c r="H2143" s="41"/>
      <c r="I2143" s="41"/>
      <c r="J2143" s="42"/>
      <c r="K2143" s="41"/>
      <c r="L2143" s="41"/>
      <c r="M2143" s="127"/>
      <c r="N2143" s="41"/>
      <c r="O2143" s="41"/>
      <c r="P2143" s="41"/>
      <c r="Q2143" s="42"/>
      <c r="R2143" s="35"/>
      <c r="S2143" s="35"/>
      <c r="T2143" s="35"/>
      <c r="U2143" s="35"/>
      <c r="V2143" s="121"/>
      <c r="W2143" s="42"/>
      <c r="X2143" s="42"/>
      <c r="Y2143" s="42"/>
      <c r="Z2143" s="42"/>
      <c r="AA2143" s="42"/>
      <c r="AB2143" s="42"/>
      <c r="AC2143" s="42"/>
      <c r="AD2143" s="42"/>
      <c r="AE2143" s="42"/>
      <c r="AF2143" s="42"/>
      <c r="AG2143" s="42"/>
      <c r="AH2143" s="42"/>
      <c r="AI2143" s="42"/>
      <c r="AJ2143" s="42"/>
      <c r="AK2143" s="42"/>
      <c r="AL2143" s="42"/>
      <c r="AM2143" s="42"/>
    </row>
    <row r="2144" spans="1:39" x14ac:dyDescent="0.25">
      <c r="A2144" s="35"/>
      <c r="B2144" s="42"/>
      <c r="C2144" s="42"/>
      <c r="D2144" s="42"/>
      <c r="E2144" s="41"/>
      <c r="F2144" s="41"/>
      <c r="G2144" s="41"/>
      <c r="H2144" s="41"/>
      <c r="I2144" s="41"/>
      <c r="J2144" s="42"/>
      <c r="K2144" s="41"/>
      <c r="L2144" s="41"/>
      <c r="M2144" s="127"/>
      <c r="N2144" s="41"/>
      <c r="O2144" s="41"/>
      <c r="P2144" s="41"/>
      <c r="Q2144" s="42"/>
      <c r="R2144" s="35"/>
      <c r="S2144" s="35"/>
      <c r="T2144" s="35"/>
      <c r="U2144" s="35"/>
      <c r="V2144" s="121"/>
      <c r="W2144" s="42"/>
      <c r="X2144" s="42"/>
      <c r="Y2144" s="42"/>
      <c r="Z2144" s="42"/>
      <c r="AA2144" s="42"/>
      <c r="AB2144" s="42"/>
      <c r="AC2144" s="42"/>
      <c r="AD2144" s="42"/>
      <c r="AE2144" s="42"/>
      <c r="AF2144" s="42"/>
      <c r="AG2144" s="42"/>
      <c r="AH2144" s="42"/>
      <c r="AI2144" s="42"/>
      <c r="AJ2144" s="42"/>
      <c r="AK2144" s="42"/>
      <c r="AL2144" s="42"/>
      <c r="AM2144" s="42"/>
    </row>
    <row r="2145" spans="1:39" x14ac:dyDescent="0.25">
      <c r="A2145" s="35"/>
      <c r="B2145" s="42"/>
      <c r="C2145" s="42"/>
      <c r="D2145" s="42"/>
      <c r="E2145" s="41"/>
      <c r="F2145" s="41"/>
      <c r="G2145" s="41"/>
      <c r="H2145" s="41"/>
      <c r="I2145" s="41"/>
      <c r="J2145" s="42"/>
      <c r="K2145" s="41"/>
      <c r="L2145" s="41"/>
      <c r="M2145" s="127"/>
      <c r="N2145" s="41"/>
      <c r="O2145" s="41"/>
      <c r="P2145" s="41"/>
      <c r="Q2145" s="42"/>
      <c r="R2145" s="35"/>
      <c r="S2145" s="35"/>
      <c r="T2145" s="35"/>
      <c r="U2145" s="35"/>
      <c r="V2145" s="121"/>
      <c r="W2145" s="42"/>
      <c r="X2145" s="42"/>
      <c r="Y2145" s="42"/>
      <c r="Z2145" s="42"/>
      <c r="AA2145" s="42"/>
      <c r="AB2145" s="42"/>
      <c r="AC2145" s="42"/>
      <c r="AD2145" s="42"/>
      <c r="AE2145" s="42"/>
      <c r="AF2145" s="42"/>
      <c r="AG2145" s="42"/>
      <c r="AH2145" s="42"/>
      <c r="AI2145" s="42"/>
      <c r="AJ2145" s="42"/>
      <c r="AK2145" s="42"/>
      <c r="AL2145" s="42"/>
      <c r="AM2145" s="42"/>
    </row>
    <row r="2146" spans="1:39" x14ac:dyDescent="0.25">
      <c r="A2146" s="35"/>
      <c r="B2146" s="42"/>
      <c r="C2146" s="42"/>
      <c r="D2146" s="42"/>
      <c r="E2146" s="41"/>
      <c r="F2146" s="41"/>
      <c r="G2146" s="41"/>
      <c r="H2146" s="41"/>
      <c r="I2146" s="41"/>
      <c r="J2146" s="42"/>
      <c r="K2146" s="41"/>
      <c r="L2146" s="41"/>
      <c r="M2146" s="127"/>
      <c r="N2146" s="41"/>
      <c r="O2146" s="41"/>
      <c r="P2146" s="41"/>
      <c r="Q2146" s="42"/>
      <c r="R2146" s="35"/>
      <c r="S2146" s="35"/>
      <c r="T2146" s="35"/>
      <c r="U2146" s="35"/>
      <c r="V2146" s="121"/>
      <c r="W2146" s="42"/>
      <c r="X2146" s="42"/>
      <c r="Y2146" s="42"/>
      <c r="Z2146" s="42"/>
      <c r="AA2146" s="42"/>
      <c r="AB2146" s="42"/>
      <c r="AC2146" s="42"/>
      <c r="AD2146" s="42"/>
      <c r="AE2146" s="42"/>
      <c r="AF2146" s="42"/>
      <c r="AG2146" s="42"/>
      <c r="AH2146" s="42"/>
      <c r="AI2146" s="42"/>
      <c r="AJ2146" s="42"/>
      <c r="AK2146" s="42"/>
      <c r="AL2146" s="42"/>
      <c r="AM2146" s="42"/>
    </row>
    <row r="2147" spans="1:39" x14ac:dyDescent="0.25">
      <c r="A2147" s="35"/>
      <c r="B2147" s="42"/>
      <c r="C2147" s="42"/>
      <c r="D2147" s="42"/>
      <c r="E2147" s="41"/>
      <c r="F2147" s="41"/>
      <c r="G2147" s="41"/>
      <c r="H2147" s="41"/>
      <c r="I2147" s="41"/>
      <c r="J2147" s="42"/>
      <c r="K2147" s="41"/>
      <c r="L2147" s="41"/>
      <c r="M2147" s="127"/>
      <c r="N2147" s="41"/>
      <c r="O2147" s="41"/>
      <c r="P2147" s="41"/>
      <c r="Q2147" s="42"/>
      <c r="R2147" s="35"/>
      <c r="S2147" s="35"/>
      <c r="T2147" s="35"/>
      <c r="U2147" s="35"/>
      <c r="V2147" s="121"/>
      <c r="W2147" s="42"/>
      <c r="X2147" s="42"/>
      <c r="Y2147" s="42"/>
      <c r="Z2147" s="42"/>
      <c r="AA2147" s="42"/>
      <c r="AB2147" s="42"/>
      <c r="AC2147" s="42"/>
      <c r="AD2147" s="42"/>
      <c r="AE2147" s="42"/>
      <c r="AF2147" s="42"/>
      <c r="AG2147" s="42"/>
      <c r="AH2147" s="42"/>
      <c r="AI2147" s="42"/>
      <c r="AJ2147" s="42"/>
      <c r="AK2147" s="42"/>
      <c r="AL2147" s="42"/>
      <c r="AM2147" s="42"/>
    </row>
    <row r="2148" spans="1:39" x14ac:dyDescent="0.25">
      <c r="A2148" s="35"/>
      <c r="B2148" s="42"/>
      <c r="C2148" s="42"/>
      <c r="D2148" s="42"/>
      <c r="E2148" s="41"/>
      <c r="F2148" s="41"/>
      <c r="G2148" s="41"/>
      <c r="H2148" s="41"/>
      <c r="I2148" s="41"/>
      <c r="J2148" s="42"/>
      <c r="K2148" s="41"/>
      <c r="L2148" s="41"/>
      <c r="M2148" s="127"/>
      <c r="N2148" s="41"/>
      <c r="O2148" s="41"/>
      <c r="P2148" s="41"/>
      <c r="Q2148" s="42"/>
      <c r="R2148" s="35"/>
      <c r="S2148" s="35"/>
      <c r="T2148" s="35"/>
      <c r="U2148" s="35"/>
      <c r="V2148" s="121"/>
      <c r="W2148" s="42"/>
      <c r="X2148" s="42"/>
      <c r="Y2148" s="42"/>
      <c r="Z2148" s="42"/>
      <c r="AA2148" s="42"/>
      <c r="AB2148" s="42"/>
      <c r="AC2148" s="42"/>
      <c r="AD2148" s="42"/>
      <c r="AE2148" s="42"/>
      <c r="AF2148" s="42"/>
      <c r="AG2148" s="42"/>
      <c r="AH2148" s="42"/>
      <c r="AI2148" s="42"/>
      <c r="AJ2148" s="42"/>
      <c r="AK2148" s="42"/>
      <c r="AL2148" s="42"/>
      <c r="AM2148" s="42"/>
    </row>
    <row r="2149" spans="1:39" x14ac:dyDescent="0.25">
      <c r="A2149" s="35"/>
      <c r="B2149" s="42"/>
      <c r="C2149" s="42"/>
      <c r="D2149" s="42"/>
      <c r="E2149" s="41"/>
      <c r="F2149" s="41"/>
      <c r="G2149" s="41"/>
      <c r="H2149" s="41"/>
      <c r="I2149" s="41"/>
      <c r="J2149" s="42"/>
      <c r="K2149" s="41"/>
      <c r="L2149" s="41"/>
      <c r="M2149" s="127"/>
      <c r="N2149" s="41"/>
      <c r="O2149" s="41"/>
      <c r="P2149" s="41"/>
      <c r="Q2149" s="42"/>
      <c r="R2149" s="35"/>
      <c r="S2149" s="35"/>
      <c r="T2149" s="35"/>
      <c r="U2149" s="35"/>
      <c r="V2149" s="121"/>
      <c r="W2149" s="42"/>
      <c r="X2149" s="42"/>
      <c r="Y2149" s="42"/>
      <c r="Z2149" s="42"/>
      <c r="AA2149" s="42"/>
      <c r="AB2149" s="42"/>
      <c r="AC2149" s="42"/>
      <c r="AD2149" s="42"/>
      <c r="AE2149" s="42"/>
      <c r="AF2149" s="42"/>
      <c r="AG2149" s="42"/>
      <c r="AH2149" s="42"/>
      <c r="AI2149" s="42"/>
      <c r="AJ2149" s="42"/>
      <c r="AK2149" s="42"/>
      <c r="AL2149" s="42"/>
      <c r="AM2149" s="42"/>
    </row>
    <row r="2150" spans="1:39" x14ac:dyDescent="0.25">
      <c r="A2150" s="35"/>
      <c r="B2150" s="42"/>
      <c r="C2150" s="42"/>
      <c r="D2150" s="42"/>
      <c r="E2150" s="41"/>
      <c r="F2150" s="41"/>
      <c r="G2150" s="41"/>
      <c r="H2150" s="41"/>
      <c r="I2150" s="41"/>
      <c r="J2150" s="42"/>
      <c r="K2150" s="41"/>
      <c r="L2150" s="41"/>
      <c r="M2150" s="127"/>
      <c r="N2150" s="41"/>
      <c r="O2150" s="41"/>
      <c r="P2150" s="41"/>
      <c r="Q2150" s="42"/>
      <c r="R2150" s="35"/>
      <c r="S2150" s="35"/>
      <c r="T2150" s="35"/>
      <c r="U2150" s="35"/>
      <c r="V2150" s="121"/>
      <c r="W2150" s="42"/>
      <c r="X2150" s="42"/>
      <c r="Y2150" s="42"/>
      <c r="Z2150" s="42"/>
      <c r="AA2150" s="42"/>
      <c r="AB2150" s="42"/>
      <c r="AC2150" s="42"/>
      <c r="AD2150" s="42"/>
      <c r="AE2150" s="42"/>
      <c r="AF2150" s="42"/>
      <c r="AG2150" s="42"/>
      <c r="AH2150" s="42"/>
      <c r="AI2150" s="42"/>
      <c r="AJ2150" s="42"/>
      <c r="AK2150" s="42"/>
      <c r="AL2150" s="42"/>
      <c r="AM2150" s="42"/>
    </row>
    <row r="2151" spans="1:39" x14ac:dyDescent="0.25">
      <c r="A2151" s="35"/>
      <c r="B2151" s="42"/>
      <c r="C2151" s="42"/>
      <c r="D2151" s="42"/>
      <c r="E2151" s="41"/>
      <c r="F2151" s="41"/>
      <c r="G2151" s="41"/>
      <c r="H2151" s="41"/>
      <c r="I2151" s="41"/>
      <c r="J2151" s="42"/>
      <c r="K2151" s="41"/>
      <c r="L2151" s="41"/>
      <c r="M2151" s="127"/>
      <c r="N2151" s="41"/>
      <c r="O2151" s="41"/>
      <c r="P2151" s="41"/>
      <c r="Q2151" s="42"/>
      <c r="R2151" s="35"/>
      <c r="S2151" s="35"/>
      <c r="T2151" s="35"/>
      <c r="U2151" s="35"/>
      <c r="V2151" s="121"/>
      <c r="W2151" s="42"/>
      <c r="X2151" s="42"/>
      <c r="Y2151" s="42"/>
      <c r="Z2151" s="42"/>
      <c r="AA2151" s="42"/>
      <c r="AB2151" s="42"/>
      <c r="AC2151" s="42"/>
      <c r="AD2151" s="42"/>
      <c r="AE2151" s="42"/>
      <c r="AF2151" s="42"/>
      <c r="AG2151" s="42"/>
      <c r="AH2151" s="42"/>
      <c r="AI2151" s="42"/>
      <c r="AJ2151" s="42"/>
      <c r="AK2151" s="42"/>
      <c r="AL2151" s="42"/>
      <c r="AM2151" s="42"/>
    </row>
    <row r="2152" spans="1:39" x14ac:dyDescent="0.25">
      <c r="A2152" s="35"/>
      <c r="B2152" s="42"/>
      <c r="C2152" s="42"/>
      <c r="D2152" s="42"/>
      <c r="E2152" s="41"/>
      <c r="F2152" s="41"/>
      <c r="G2152" s="41"/>
      <c r="H2152" s="41"/>
      <c r="I2152" s="41"/>
      <c r="J2152" s="42"/>
      <c r="K2152" s="41"/>
      <c r="L2152" s="41"/>
      <c r="M2152" s="127"/>
      <c r="N2152" s="41"/>
      <c r="O2152" s="41"/>
      <c r="P2152" s="41"/>
      <c r="Q2152" s="42"/>
      <c r="R2152" s="35"/>
      <c r="S2152" s="35"/>
      <c r="T2152" s="35"/>
      <c r="U2152" s="35"/>
      <c r="V2152" s="121"/>
      <c r="W2152" s="42"/>
      <c r="X2152" s="42"/>
      <c r="Y2152" s="42"/>
      <c r="Z2152" s="42"/>
      <c r="AA2152" s="42"/>
      <c r="AB2152" s="42"/>
      <c r="AC2152" s="42"/>
      <c r="AD2152" s="42"/>
      <c r="AE2152" s="42"/>
      <c r="AF2152" s="42"/>
      <c r="AG2152" s="42"/>
      <c r="AH2152" s="42"/>
      <c r="AI2152" s="42"/>
      <c r="AJ2152" s="42"/>
      <c r="AK2152" s="42"/>
      <c r="AL2152" s="42"/>
      <c r="AM2152" s="42"/>
    </row>
    <row r="2153" spans="1:39" x14ac:dyDescent="0.25">
      <c r="A2153" s="35"/>
      <c r="B2153" s="42"/>
      <c r="C2153" s="42"/>
      <c r="D2153" s="42"/>
      <c r="E2153" s="41"/>
      <c r="F2153" s="41"/>
      <c r="G2153" s="41"/>
      <c r="H2153" s="41"/>
      <c r="I2153" s="41"/>
      <c r="J2153" s="42"/>
      <c r="K2153" s="41"/>
      <c r="L2153" s="41"/>
      <c r="M2153" s="127"/>
      <c r="N2153" s="41"/>
      <c r="O2153" s="41"/>
      <c r="P2153" s="41"/>
      <c r="Q2153" s="42"/>
      <c r="R2153" s="35"/>
      <c r="S2153" s="35"/>
      <c r="T2153" s="35"/>
      <c r="U2153" s="35"/>
      <c r="V2153" s="121"/>
      <c r="W2153" s="42"/>
      <c r="X2153" s="42"/>
      <c r="Y2153" s="42"/>
      <c r="Z2153" s="42"/>
      <c r="AA2153" s="42"/>
      <c r="AB2153" s="42"/>
      <c r="AC2153" s="42"/>
      <c r="AD2153" s="42"/>
      <c r="AE2153" s="42"/>
      <c r="AF2153" s="42"/>
      <c r="AG2153" s="42"/>
      <c r="AH2153" s="42"/>
      <c r="AI2153" s="42"/>
      <c r="AJ2153" s="42"/>
      <c r="AK2153" s="42"/>
      <c r="AL2153" s="42"/>
      <c r="AM2153" s="42"/>
    </row>
    <row r="2154" spans="1:39" x14ac:dyDescent="0.25">
      <c r="A2154" s="35"/>
      <c r="B2154" s="42"/>
      <c r="C2154" s="42"/>
      <c r="D2154" s="42"/>
      <c r="E2154" s="41"/>
      <c r="F2154" s="41"/>
      <c r="G2154" s="41"/>
      <c r="H2154" s="41"/>
      <c r="I2154" s="41"/>
      <c r="J2154" s="42"/>
      <c r="K2154" s="41"/>
      <c r="L2154" s="41"/>
      <c r="M2154" s="127"/>
      <c r="N2154" s="41"/>
      <c r="O2154" s="41"/>
      <c r="P2154" s="41"/>
      <c r="Q2154" s="42"/>
      <c r="R2154" s="35"/>
      <c r="S2154" s="35"/>
      <c r="T2154" s="35"/>
      <c r="U2154" s="35"/>
      <c r="V2154" s="121"/>
      <c r="W2154" s="42"/>
      <c r="X2154" s="42"/>
      <c r="Y2154" s="42"/>
      <c r="Z2154" s="42"/>
      <c r="AA2154" s="42"/>
      <c r="AB2154" s="42"/>
      <c r="AC2154" s="42"/>
      <c r="AD2154" s="42"/>
      <c r="AE2154" s="42"/>
      <c r="AF2154" s="42"/>
      <c r="AG2154" s="42"/>
      <c r="AH2154" s="42"/>
      <c r="AI2154" s="42"/>
      <c r="AJ2154" s="42"/>
      <c r="AK2154" s="42"/>
      <c r="AL2154" s="42"/>
      <c r="AM2154" s="42"/>
    </row>
    <row r="2155" spans="1:39" x14ac:dyDescent="0.25">
      <c r="A2155" s="35"/>
      <c r="B2155" s="42"/>
      <c r="C2155" s="42"/>
      <c r="D2155" s="42"/>
      <c r="E2155" s="41"/>
      <c r="F2155" s="41"/>
      <c r="G2155" s="41"/>
      <c r="H2155" s="41"/>
      <c r="I2155" s="41"/>
      <c r="J2155" s="42"/>
      <c r="K2155" s="41"/>
      <c r="L2155" s="41"/>
      <c r="M2155" s="127"/>
      <c r="N2155" s="41"/>
      <c r="O2155" s="41"/>
      <c r="P2155" s="41"/>
      <c r="Q2155" s="42"/>
      <c r="R2155" s="35"/>
      <c r="S2155" s="35"/>
      <c r="T2155" s="35"/>
      <c r="U2155" s="35"/>
      <c r="V2155" s="121"/>
      <c r="W2155" s="42"/>
      <c r="X2155" s="42"/>
      <c r="Y2155" s="42"/>
      <c r="Z2155" s="42"/>
      <c r="AA2155" s="42"/>
      <c r="AB2155" s="42"/>
      <c r="AC2155" s="42"/>
      <c r="AD2155" s="42"/>
      <c r="AE2155" s="42"/>
      <c r="AF2155" s="42"/>
      <c r="AG2155" s="42"/>
      <c r="AH2155" s="42"/>
      <c r="AI2155" s="42"/>
      <c r="AJ2155" s="42"/>
      <c r="AK2155" s="42"/>
      <c r="AL2155" s="42"/>
      <c r="AM2155" s="42"/>
    </row>
    <row r="2156" spans="1:39" x14ac:dyDescent="0.25">
      <c r="A2156" s="35"/>
      <c r="B2156" s="42"/>
      <c r="C2156" s="42"/>
      <c r="D2156" s="42"/>
      <c r="E2156" s="41"/>
      <c r="F2156" s="41"/>
      <c r="G2156" s="41"/>
      <c r="H2156" s="41"/>
      <c r="I2156" s="41"/>
      <c r="J2156" s="42"/>
      <c r="K2156" s="41"/>
      <c r="L2156" s="41"/>
      <c r="M2156" s="127"/>
      <c r="N2156" s="41"/>
      <c r="O2156" s="41"/>
      <c r="P2156" s="41"/>
      <c r="Q2156" s="42"/>
      <c r="R2156" s="35"/>
      <c r="S2156" s="35"/>
      <c r="T2156" s="35"/>
      <c r="U2156" s="35"/>
      <c r="V2156" s="121"/>
      <c r="W2156" s="42"/>
      <c r="X2156" s="42"/>
      <c r="Y2156" s="42"/>
      <c r="Z2156" s="42"/>
      <c r="AA2156" s="42"/>
      <c r="AB2156" s="42"/>
      <c r="AC2156" s="42"/>
      <c r="AD2156" s="42"/>
      <c r="AE2156" s="42"/>
      <c r="AF2156" s="42"/>
      <c r="AG2156" s="42"/>
      <c r="AH2156" s="42"/>
      <c r="AI2156" s="42"/>
      <c r="AJ2156" s="42"/>
      <c r="AK2156" s="42"/>
      <c r="AL2156" s="42"/>
      <c r="AM2156" s="42"/>
    </row>
    <row r="2157" spans="1:39" x14ac:dyDescent="0.25">
      <c r="A2157" s="35"/>
      <c r="B2157" s="42"/>
      <c r="C2157" s="42"/>
      <c r="D2157" s="42"/>
      <c r="E2157" s="41"/>
      <c r="F2157" s="41"/>
      <c r="G2157" s="41"/>
      <c r="H2157" s="41"/>
      <c r="I2157" s="41"/>
      <c r="J2157" s="42"/>
      <c r="K2157" s="41"/>
      <c r="L2157" s="41"/>
      <c r="M2157" s="127"/>
      <c r="N2157" s="41"/>
      <c r="O2157" s="41"/>
      <c r="P2157" s="41"/>
      <c r="Q2157" s="42"/>
      <c r="R2157" s="35"/>
      <c r="S2157" s="35"/>
      <c r="T2157" s="35"/>
      <c r="U2157" s="35"/>
      <c r="V2157" s="121"/>
      <c r="W2157" s="42"/>
      <c r="X2157" s="42"/>
      <c r="Y2157" s="42"/>
      <c r="Z2157" s="42"/>
      <c r="AA2157" s="42"/>
      <c r="AB2157" s="42"/>
      <c r="AC2157" s="42"/>
      <c r="AD2157" s="42"/>
      <c r="AE2157" s="42"/>
      <c r="AF2157" s="42"/>
      <c r="AG2157" s="42"/>
      <c r="AH2157" s="42"/>
      <c r="AI2157" s="42"/>
      <c r="AJ2157" s="42"/>
      <c r="AK2157" s="42"/>
      <c r="AL2157" s="42"/>
      <c r="AM2157" s="42"/>
    </row>
    <row r="2158" spans="1:39" x14ac:dyDescent="0.25">
      <c r="A2158" s="35"/>
      <c r="B2158" s="42"/>
      <c r="C2158" s="42"/>
      <c r="D2158" s="42"/>
      <c r="E2158" s="41"/>
      <c r="F2158" s="41"/>
      <c r="G2158" s="41"/>
      <c r="H2158" s="41"/>
      <c r="I2158" s="41"/>
      <c r="J2158" s="42"/>
      <c r="K2158" s="41"/>
      <c r="L2158" s="41"/>
      <c r="M2158" s="127"/>
      <c r="N2158" s="41"/>
      <c r="O2158" s="41"/>
      <c r="P2158" s="41"/>
      <c r="Q2158" s="42"/>
      <c r="R2158" s="35"/>
      <c r="S2158" s="35"/>
      <c r="T2158" s="35"/>
      <c r="U2158" s="35"/>
      <c r="V2158" s="121"/>
      <c r="W2158" s="42"/>
      <c r="X2158" s="42"/>
      <c r="Y2158" s="42"/>
      <c r="Z2158" s="42"/>
      <c r="AA2158" s="42"/>
      <c r="AB2158" s="42"/>
      <c r="AC2158" s="42"/>
      <c r="AD2158" s="42"/>
      <c r="AE2158" s="42"/>
      <c r="AF2158" s="42"/>
      <c r="AG2158" s="42"/>
      <c r="AH2158" s="42"/>
      <c r="AI2158" s="42"/>
      <c r="AJ2158" s="42"/>
      <c r="AK2158" s="42"/>
      <c r="AL2158" s="42"/>
      <c r="AM2158" s="42"/>
    </row>
    <row r="2159" spans="1:39" x14ac:dyDescent="0.25">
      <c r="A2159" s="35"/>
      <c r="B2159" s="42"/>
      <c r="C2159" s="42"/>
      <c r="D2159" s="42"/>
      <c r="E2159" s="41"/>
      <c r="F2159" s="41"/>
      <c r="G2159" s="41"/>
      <c r="H2159" s="41"/>
      <c r="I2159" s="41"/>
      <c r="J2159" s="42"/>
      <c r="K2159" s="41"/>
      <c r="L2159" s="41"/>
      <c r="M2159" s="127"/>
      <c r="N2159" s="41"/>
      <c r="O2159" s="41"/>
      <c r="P2159" s="41"/>
      <c r="Q2159" s="42"/>
      <c r="R2159" s="35"/>
      <c r="S2159" s="35"/>
      <c r="T2159" s="35"/>
      <c r="U2159" s="35"/>
      <c r="V2159" s="121"/>
      <c r="W2159" s="42"/>
      <c r="X2159" s="42"/>
      <c r="Y2159" s="42"/>
      <c r="Z2159" s="42"/>
      <c r="AA2159" s="42"/>
      <c r="AB2159" s="42"/>
      <c r="AC2159" s="42"/>
      <c r="AD2159" s="42"/>
      <c r="AE2159" s="42"/>
      <c r="AF2159" s="42"/>
      <c r="AG2159" s="42"/>
      <c r="AH2159" s="42"/>
      <c r="AI2159" s="42"/>
      <c r="AJ2159" s="42"/>
      <c r="AK2159" s="42"/>
      <c r="AL2159" s="42"/>
      <c r="AM2159" s="42"/>
    </row>
    <row r="2160" spans="1:39" x14ac:dyDescent="0.25">
      <c r="A2160" s="35"/>
      <c r="B2160" s="42"/>
      <c r="C2160" s="42"/>
      <c r="D2160" s="42"/>
      <c r="E2160" s="41"/>
      <c r="F2160" s="41"/>
      <c r="G2160" s="41"/>
      <c r="H2160" s="41"/>
      <c r="I2160" s="41"/>
      <c r="J2160" s="42"/>
      <c r="K2160" s="41"/>
      <c r="L2160" s="41"/>
      <c r="M2160" s="127"/>
      <c r="N2160" s="41"/>
      <c r="O2160" s="41"/>
      <c r="P2160" s="41"/>
      <c r="Q2160" s="42"/>
      <c r="R2160" s="35"/>
      <c r="S2160" s="35"/>
      <c r="T2160" s="35"/>
      <c r="U2160" s="35"/>
      <c r="V2160" s="121"/>
      <c r="W2160" s="42"/>
      <c r="X2160" s="42"/>
      <c r="Y2160" s="42"/>
      <c r="Z2160" s="42"/>
      <c r="AA2160" s="42"/>
      <c r="AB2160" s="42"/>
      <c r="AC2160" s="42"/>
      <c r="AD2160" s="42"/>
      <c r="AE2160" s="42"/>
      <c r="AF2160" s="42"/>
      <c r="AG2160" s="42"/>
      <c r="AH2160" s="42"/>
      <c r="AI2160" s="42"/>
      <c r="AJ2160" s="42"/>
      <c r="AK2160" s="42"/>
      <c r="AL2160" s="42"/>
      <c r="AM2160" s="42"/>
    </row>
    <row r="2161" spans="1:39" x14ac:dyDescent="0.25">
      <c r="A2161" s="35"/>
      <c r="B2161" s="42"/>
      <c r="C2161" s="42"/>
      <c r="D2161" s="42"/>
      <c r="E2161" s="41"/>
      <c r="F2161" s="41"/>
      <c r="G2161" s="41"/>
      <c r="H2161" s="41"/>
      <c r="I2161" s="41"/>
      <c r="J2161" s="42"/>
      <c r="K2161" s="41"/>
      <c r="L2161" s="41"/>
      <c r="M2161" s="127"/>
      <c r="N2161" s="41"/>
      <c r="O2161" s="41"/>
      <c r="P2161" s="41"/>
      <c r="Q2161" s="42"/>
      <c r="R2161" s="35"/>
      <c r="S2161" s="35"/>
      <c r="T2161" s="35"/>
      <c r="U2161" s="35"/>
      <c r="V2161" s="121"/>
      <c r="W2161" s="42"/>
      <c r="X2161" s="42"/>
      <c r="Y2161" s="42"/>
      <c r="Z2161" s="42"/>
      <c r="AA2161" s="42"/>
      <c r="AB2161" s="42"/>
      <c r="AC2161" s="42"/>
      <c r="AD2161" s="42"/>
      <c r="AE2161" s="42"/>
      <c r="AF2161" s="42"/>
      <c r="AG2161" s="42"/>
      <c r="AH2161" s="42"/>
      <c r="AI2161" s="42"/>
      <c r="AJ2161" s="42"/>
      <c r="AK2161" s="42"/>
      <c r="AL2161" s="42"/>
      <c r="AM2161" s="42"/>
    </row>
    <row r="2162" spans="1:39" x14ac:dyDescent="0.25">
      <c r="A2162" s="35"/>
      <c r="B2162" s="42"/>
      <c r="C2162" s="42"/>
      <c r="D2162" s="42"/>
      <c r="E2162" s="41"/>
      <c r="F2162" s="41"/>
      <c r="G2162" s="41"/>
      <c r="H2162" s="41"/>
      <c r="I2162" s="41"/>
      <c r="J2162" s="42"/>
      <c r="K2162" s="41"/>
      <c r="L2162" s="41"/>
      <c r="M2162" s="127"/>
      <c r="N2162" s="41"/>
      <c r="O2162" s="41"/>
      <c r="P2162" s="41"/>
      <c r="Q2162" s="42"/>
      <c r="R2162" s="35"/>
      <c r="S2162" s="35"/>
      <c r="T2162" s="35"/>
      <c r="U2162" s="35"/>
      <c r="V2162" s="121"/>
      <c r="W2162" s="42"/>
      <c r="X2162" s="42"/>
      <c r="Y2162" s="42"/>
      <c r="Z2162" s="42"/>
      <c r="AA2162" s="42"/>
      <c r="AB2162" s="42"/>
      <c r="AC2162" s="42"/>
      <c r="AD2162" s="42"/>
      <c r="AE2162" s="42"/>
      <c r="AF2162" s="42"/>
      <c r="AG2162" s="42"/>
      <c r="AH2162" s="42"/>
      <c r="AI2162" s="42"/>
      <c r="AJ2162" s="42"/>
      <c r="AK2162" s="42"/>
      <c r="AL2162" s="42"/>
      <c r="AM2162" s="42"/>
    </row>
    <row r="2163" spans="1:39" x14ac:dyDescent="0.25">
      <c r="A2163" s="35"/>
      <c r="B2163" s="42"/>
      <c r="C2163" s="42"/>
      <c r="D2163" s="42"/>
      <c r="E2163" s="41"/>
      <c r="F2163" s="41"/>
      <c r="G2163" s="41"/>
      <c r="H2163" s="41"/>
      <c r="I2163" s="41"/>
      <c r="J2163" s="42"/>
      <c r="K2163" s="41"/>
      <c r="L2163" s="41"/>
      <c r="M2163" s="127"/>
      <c r="N2163" s="41"/>
      <c r="O2163" s="41"/>
      <c r="P2163" s="41"/>
      <c r="Q2163" s="42"/>
      <c r="R2163" s="35"/>
      <c r="S2163" s="35"/>
      <c r="T2163" s="35"/>
      <c r="U2163" s="35"/>
      <c r="V2163" s="121"/>
      <c r="W2163" s="42"/>
      <c r="X2163" s="42"/>
      <c r="Y2163" s="42"/>
      <c r="Z2163" s="42"/>
      <c r="AA2163" s="42"/>
      <c r="AB2163" s="42"/>
      <c r="AC2163" s="42"/>
      <c r="AD2163" s="42"/>
      <c r="AE2163" s="42"/>
      <c r="AF2163" s="42"/>
      <c r="AG2163" s="42"/>
      <c r="AH2163" s="42"/>
      <c r="AI2163" s="42"/>
      <c r="AJ2163" s="42"/>
      <c r="AK2163" s="42"/>
      <c r="AL2163" s="42"/>
      <c r="AM2163" s="42"/>
    </row>
    <row r="2164" spans="1:39" x14ac:dyDescent="0.25">
      <c r="A2164" s="35"/>
      <c r="B2164" s="42"/>
      <c r="C2164" s="42"/>
      <c r="D2164" s="42"/>
      <c r="E2164" s="41"/>
      <c r="F2164" s="41"/>
      <c r="G2164" s="41"/>
      <c r="H2164" s="41"/>
      <c r="I2164" s="41"/>
      <c r="J2164" s="42"/>
      <c r="K2164" s="41"/>
      <c r="L2164" s="41"/>
      <c r="M2164" s="127"/>
      <c r="N2164" s="41"/>
      <c r="O2164" s="41"/>
      <c r="P2164" s="41"/>
      <c r="Q2164" s="42"/>
      <c r="R2164" s="35"/>
      <c r="S2164" s="35"/>
      <c r="T2164" s="35"/>
      <c r="U2164" s="35"/>
      <c r="V2164" s="121"/>
      <c r="W2164" s="42"/>
      <c r="X2164" s="42"/>
      <c r="Y2164" s="42"/>
      <c r="Z2164" s="42"/>
      <c r="AA2164" s="42"/>
      <c r="AB2164" s="42"/>
      <c r="AC2164" s="42"/>
      <c r="AD2164" s="42"/>
      <c r="AE2164" s="42"/>
      <c r="AF2164" s="42"/>
      <c r="AG2164" s="42"/>
      <c r="AH2164" s="42"/>
      <c r="AI2164" s="42"/>
      <c r="AJ2164" s="42"/>
      <c r="AK2164" s="42"/>
      <c r="AL2164" s="42"/>
      <c r="AM2164" s="42"/>
    </row>
    <row r="2165" spans="1:39" x14ac:dyDescent="0.25">
      <c r="A2165" s="35"/>
      <c r="B2165" s="42"/>
      <c r="C2165" s="42"/>
      <c r="D2165" s="42"/>
      <c r="E2165" s="41"/>
      <c r="F2165" s="41"/>
      <c r="G2165" s="41"/>
      <c r="H2165" s="41"/>
      <c r="I2165" s="41"/>
      <c r="J2165" s="42"/>
      <c r="K2165" s="41"/>
      <c r="L2165" s="41"/>
      <c r="M2165" s="127"/>
      <c r="N2165" s="41"/>
      <c r="O2165" s="41"/>
      <c r="P2165" s="41"/>
      <c r="Q2165" s="42"/>
      <c r="R2165" s="35"/>
      <c r="S2165" s="35"/>
      <c r="T2165" s="35"/>
      <c r="U2165" s="35"/>
      <c r="V2165" s="121"/>
      <c r="W2165" s="42"/>
      <c r="X2165" s="42"/>
      <c r="Y2165" s="42"/>
      <c r="Z2165" s="42"/>
      <c r="AA2165" s="42"/>
      <c r="AB2165" s="42"/>
      <c r="AC2165" s="42"/>
      <c r="AD2165" s="42"/>
      <c r="AE2165" s="42"/>
      <c r="AF2165" s="42"/>
      <c r="AG2165" s="42"/>
      <c r="AH2165" s="42"/>
      <c r="AI2165" s="42"/>
      <c r="AJ2165" s="42"/>
      <c r="AK2165" s="42"/>
      <c r="AL2165" s="42"/>
      <c r="AM2165" s="42"/>
    </row>
    <row r="2166" spans="1:39" x14ac:dyDescent="0.25">
      <c r="A2166" s="35"/>
      <c r="B2166" s="42"/>
      <c r="C2166" s="42"/>
      <c r="D2166" s="42"/>
      <c r="E2166" s="41"/>
      <c r="F2166" s="41"/>
      <c r="G2166" s="41"/>
      <c r="H2166" s="41"/>
      <c r="I2166" s="41"/>
      <c r="J2166" s="42"/>
      <c r="K2166" s="41"/>
      <c r="L2166" s="41"/>
      <c r="M2166" s="127"/>
      <c r="N2166" s="41"/>
      <c r="O2166" s="41"/>
      <c r="P2166" s="41"/>
      <c r="Q2166" s="42"/>
      <c r="R2166" s="35"/>
      <c r="S2166" s="35"/>
      <c r="T2166" s="35"/>
      <c r="U2166" s="35"/>
      <c r="V2166" s="121"/>
      <c r="W2166" s="42"/>
      <c r="X2166" s="42"/>
      <c r="Y2166" s="42"/>
      <c r="Z2166" s="42"/>
      <c r="AA2166" s="42"/>
      <c r="AB2166" s="42"/>
      <c r="AC2166" s="42"/>
      <c r="AD2166" s="42"/>
      <c r="AE2166" s="42"/>
      <c r="AF2166" s="42"/>
      <c r="AG2166" s="42"/>
      <c r="AH2166" s="42"/>
      <c r="AI2166" s="42"/>
      <c r="AJ2166" s="42"/>
      <c r="AK2166" s="42"/>
      <c r="AL2166" s="42"/>
      <c r="AM2166" s="42"/>
    </row>
    <row r="2167" spans="1:39" x14ac:dyDescent="0.25">
      <c r="A2167" s="35"/>
      <c r="B2167" s="42"/>
      <c r="C2167" s="42"/>
      <c r="D2167" s="42"/>
      <c r="E2167" s="41"/>
      <c r="F2167" s="41"/>
      <c r="G2167" s="41"/>
      <c r="H2167" s="41"/>
      <c r="I2167" s="41"/>
      <c r="J2167" s="42"/>
      <c r="K2167" s="41"/>
      <c r="L2167" s="41"/>
      <c r="M2167" s="127"/>
      <c r="N2167" s="41"/>
      <c r="O2167" s="41"/>
      <c r="P2167" s="41"/>
      <c r="Q2167" s="42"/>
      <c r="R2167" s="35"/>
      <c r="S2167" s="35"/>
      <c r="T2167" s="35"/>
      <c r="U2167" s="35"/>
      <c r="V2167" s="121"/>
      <c r="W2167" s="42"/>
      <c r="X2167" s="42"/>
      <c r="Y2167" s="42"/>
      <c r="Z2167" s="42"/>
      <c r="AA2167" s="42"/>
      <c r="AB2167" s="42"/>
      <c r="AC2167" s="42"/>
      <c r="AD2167" s="42"/>
      <c r="AE2167" s="42"/>
      <c r="AF2167" s="42"/>
      <c r="AG2167" s="42"/>
      <c r="AH2167" s="42"/>
      <c r="AI2167" s="42"/>
      <c r="AJ2167" s="42"/>
      <c r="AK2167" s="42"/>
      <c r="AL2167" s="42"/>
      <c r="AM2167" s="42"/>
    </row>
    <row r="2168" spans="1:39" x14ac:dyDescent="0.25">
      <c r="A2168" s="35"/>
      <c r="B2168" s="42"/>
      <c r="C2168" s="42"/>
      <c r="D2168" s="42"/>
      <c r="E2168" s="41"/>
      <c r="F2168" s="41"/>
      <c r="G2168" s="41"/>
      <c r="H2168" s="41"/>
      <c r="I2168" s="41"/>
      <c r="J2168" s="42"/>
      <c r="K2168" s="41"/>
      <c r="L2168" s="41"/>
      <c r="M2168" s="127"/>
      <c r="N2168" s="41"/>
      <c r="O2168" s="41"/>
      <c r="P2168" s="41"/>
      <c r="Q2168" s="42"/>
      <c r="R2168" s="35"/>
      <c r="S2168" s="35"/>
      <c r="T2168" s="35"/>
      <c r="U2168" s="35"/>
      <c r="V2168" s="121"/>
      <c r="W2168" s="42"/>
      <c r="X2168" s="42"/>
      <c r="Y2168" s="42"/>
      <c r="Z2168" s="42"/>
      <c r="AA2168" s="42"/>
      <c r="AB2168" s="42"/>
      <c r="AC2168" s="42"/>
      <c r="AD2168" s="42"/>
      <c r="AE2168" s="42"/>
      <c r="AF2168" s="42"/>
      <c r="AG2168" s="42"/>
      <c r="AH2168" s="42"/>
      <c r="AI2168" s="42"/>
      <c r="AJ2168" s="42"/>
      <c r="AK2168" s="42"/>
      <c r="AL2168" s="42"/>
      <c r="AM2168" s="42"/>
    </row>
    <row r="2169" spans="1:39" x14ac:dyDescent="0.25">
      <c r="A2169" s="35"/>
      <c r="B2169" s="42"/>
      <c r="C2169" s="42"/>
      <c r="D2169" s="42"/>
      <c r="E2169" s="41"/>
      <c r="F2169" s="41"/>
      <c r="G2169" s="41"/>
      <c r="H2169" s="41"/>
      <c r="I2169" s="41"/>
      <c r="J2169" s="42"/>
      <c r="K2169" s="41"/>
      <c r="L2169" s="41"/>
      <c r="M2169" s="127"/>
      <c r="N2169" s="41"/>
      <c r="O2169" s="41"/>
      <c r="P2169" s="41"/>
      <c r="Q2169" s="42"/>
      <c r="R2169" s="35"/>
      <c r="S2169" s="35"/>
      <c r="T2169" s="35"/>
      <c r="U2169" s="35"/>
      <c r="V2169" s="121"/>
      <c r="W2169" s="42"/>
      <c r="X2169" s="42"/>
      <c r="Y2169" s="42"/>
      <c r="Z2169" s="42"/>
      <c r="AA2169" s="42"/>
      <c r="AB2169" s="42"/>
      <c r="AC2169" s="42"/>
      <c r="AD2169" s="42"/>
      <c r="AE2169" s="42"/>
      <c r="AF2169" s="42"/>
      <c r="AG2169" s="42"/>
      <c r="AH2169" s="42"/>
      <c r="AI2169" s="42"/>
      <c r="AJ2169" s="42"/>
      <c r="AK2169" s="42"/>
      <c r="AL2169" s="42"/>
      <c r="AM2169" s="42"/>
    </row>
    <row r="2170" spans="1:39" x14ac:dyDescent="0.25">
      <c r="A2170" s="35"/>
      <c r="B2170" s="42"/>
      <c r="C2170" s="42"/>
      <c r="D2170" s="42"/>
      <c r="E2170" s="41"/>
      <c r="F2170" s="41"/>
      <c r="G2170" s="41"/>
      <c r="H2170" s="41"/>
      <c r="I2170" s="41"/>
      <c r="J2170" s="42"/>
      <c r="K2170" s="41"/>
      <c r="L2170" s="41"/>
      <c r="M2170" s="127"/>
      <c r="N2170" s="41"/>
      <c r="O2170" s="41"/>
      <c r="P2170" s="41"/>
      <c r="Q2170" s="42"/>
      <c r="R2170" s="35"/>
      <c r="S2170" s="35"/>
      <c r="T2170" s="35"/>
      <c r="U2170" s="35"/>
      <c r="V2170" s="121"/>
      <c r="W2170" s="42"/>
      <c r="X2170" s="42"/>
      <c r="Y2170" s="42"/>
      <c r="Z2170" s="42"/>
      <c r="AA2170" s="42"/>
      <c r="AB2170" s="42"/>
      <c r="AC2170" s="42"/>
      <c r="AD2170" s="42"/>
      <c r="AE2170" s="42"/>
      <c r="AF2170" s="42"/>
      <c r="AG2170" s="42"/>
      <c r="AH2170" s="42"/>
      <c r="AI2170" s="42"/>
      <c r="AJ2170" s="42"/>
      <c r="AK2170" s="42"/>
      <c r="AL2170" s="42"/>
      <c r="AM2170" s="42"/>
    </row>
    <row r="2171" spans="1:39" x14ac:dyDescent="0.25">
      <c r="A2171" s="35"/>
      <c r="B2171" s="42"/>
      <c r="C2171" s="42"/>
      <c r="D2171" s="42"/>
      <c r="E2171" s="41"/>
      <c r="F2171" s="41"/>
      <c r="G2171" s="41"/>
      <c r="H2171" s="41"/>
      <c r="I2171" s="41"/>
      <c r="J2171" s="42"/>
      <c r="K2171" s="41"/>
      <c r="L2171" s="41"/>
      <c r="M2171" s="127"/>
      <c r="N2171" s="41"/>
      <c r="O2171" s="41"/>
      <c r="P2171" s="41"/>
      <c r="Q2171" s="42"/>
      <c r="R2171" s="35"/>
      <c r="S2171" s="35"/>
      <c r="T2171" s="35"/>
      <c r="U2171" s="35"/>
      <c r="V2171" s="121"/>
      <c r="W2171" s="42"/>
      <c r="X2171" s="42"/>
      <c r="Y2171" s="42"/>
      <c r="Z2171" s="42"/>
      <c r="AA2171" s="42"/>
      <c r="AB2171" s="42"/>
      <c r="AC2171" s="42"/>
      <c r="AD2171" s="42"/>
      <c r="AE2171" s="42"/>
      <c r="AF2171" s="42"/>
      <c r="AG2171" s="42"/>
      <c r="AH2171" s="42"/>
      <c r="AI2171" s="42"/>
      <c r="AJ2171" s="42"/>
      <c r="AK2171" s="42"/>
      <c r="AL2171" s="42"/>
      <c r="AM2171" s="42"/>
    </row>
    <row r="2172" spans="1:39" x14ac:dyDescent="0.25">
      <c r="A2172" s="35"/>
      <c r="B2172" s="42"/>
      <c r="C2172" s="42"/>
      <c r="D2172" s="42"/>
      <c r="E2172" s="41"/>
      <c r="F2172" s="41"/>
      <c r="G2172" s="41"/>
      <c r="H2172" s="41"/>
      <c r="I2172" s="41"/>
      <c r="J2172" s="42"/>
      <c r="K2172" s="41"/>
      <c r="L2172" s="41"/>
      <c r="M2172" s="127"/>
      <c r="N2172" s="41"/>
      <c r="O2172" s="41"/>
      <c r="P2172" s="41"/>
      <c r="Q2172" s="42"/>
      <c r="R2172" s="35"/>
      <c r="S2172" s="35"/>
      <c r="T2172" s="35"/>
      <c r="U2172" s="35"/>
      <c r="V2172" s="121"/>
      <c r="W2172" s="42"/>
      <c r="X2172" s="42"/>
      <c r="Y2172" s="42"/>
      <c r="Z2172" s="42"/>
      <c r="AA2172" s="42"/>
      <c r="AB2172" s="42"/>
      <c r="AC2172" s="42"/>
      <c r="AD2172" s="42"/>
      <c r="AE2172" s="42"/>
      <c r="AF2172" s="42"/>
      <c r="AG2172" s="42"/>
      <c r="AH2172" s="42"/>
      <c r="AI2172" s="42"/>
      <c r="AJ2172" s="42"/>
      <c r="AK2172" s="42"/>
      <c r="AL2172" s="42"/>
      <c r="AM2172" s="42"/>
    </row>
    <row r="2173" spans="1:39" x14ac:dyDescent="0.25">
      <c r="A2173" s="35"/>
      <c r="B2173" s="42"/>
      <c r="C2173" s="42"/>
      <c r="D2173" s="42"/>
      <c r="E2173" s="41"/>
      <c r="F2173" s="41"/>
      <c r="G2173" s="41"/>
      <c r="H2173" s="41"/>
      <c r="I2173" s="41"/>
      <c r="J2173" s="42"/>
      <c r="K2173" s="41"/>
      <c r="L2173" s="41"/>
      <c r="M2173" s="127"/>
      <c r="N2173" s="41"/>
      <c r="O2173" s="41"/>
      <c r="P2173" s="41"/>
      <c r="Q2173" s="42"/>
      <c r="R2173" s="35"/>
      <c r="S2173" s="35"/>
      <c r="T2173" s="35"/>
      <c r="U2173" s="35"/>
      <c r="V2173" s="121"/>
      <c r="W2173" s="42"/>
      <c r="X2173" s="42"/>
      <c r="Y2173" s="42"/>
      <c r="Z2173" s="42"/>
      <c r="AA2173" s="42"/>
      <c r="AB2173" s="42"/>
      <c r="AC2173" s="42"/>
      <c r="AD2173" s="42"/>
      <c r="AE2173" s="42"/>
      <c r="AF2173" s="42"/>
      <c r="AG2173" s="42"/>
      <c r="AH2173" s="42"/>
      <c r="AI2173" s="42"/>
      <c r="AJ2173" s="42"/>
      <c r="AK2173" s="42"/>
      <c r="AL2173" s="42"/>
      <c r="AM2173" s="42"/>
    </row>
    <row r="2174" spans="1:39" x14ac:dyDescent="0.25">
      <c r="A2174" s="35"/>
      <c r="B2174" s="42"/>
      <c r="C2174" s="42"/>
      <c r="D2174" s="42"/>
      <c r="E2174" s="41"/>
      <c r="F2174" s="41"/>
      <c r="G2174" s="41"/>
      <c r="H2174" s="41"/>
      <c r="I2174" s="41"/>
      <c r="J2174" s="42"/>
      <c r="K2174" s="41"/>
      <c r="L2174" s="41"/>
      <c r="M2174" s="127"/>
      <c r="N2174" s="41"/>
      <c r="O2174" s="41"/>
      <c r="P2174" s="41"/>
      <c r="Q2174" s="42"/>
      <c r="R2174" s="35"/>
      <c r="S2174" s="35"/>
      <c r="T2174" s="35"/>
      <c r="U2174" s="35"/>
      <c r="V2174" s="121"/>
      <c r="W2174" s="42"/>
      <c r="X2174" s="42"/>
      <c r="Y2174" s="42"/>
      <c r="Z2174" s="42"/>
      <c r="AA2174" s="42"/>
      <c r="AB2174" s="42"/>
      <c r="AC2174" s="42"/>
      <c r="AD2174" s="42"/>
      <c r="AE2174" s="42"/>
      <c r="AF2174" s="42"/>
      <c r="AG2174" s="42"/>
      <c r="AH2174" s="42"/>
      <c r="AI2174" s="42"/>
      <c r="AJ2174" s="42"/>
      <c r="AK2174" s="42"/>
      <c r="AL2174" s="42"/>
      <c r="AM2174" s="42"/>
    </row>
    <row r="2175" spans="1:39" x14ac:dyDescent="0.25">
      <c r="A2175" s="35"/>
      <c r="B2175" s="42"/>
      <c r="C2175" s="42"/>
      <c r="D2175" s="42"/>
      <c r="E2175" s="41"/>
      <c r="F2175" s="41"/>
      <c r="G2175" s="41"/>
      <c r="H2175" s="41"/>
      <c r="I2175" s="41"/>
      <c r="J2175" s="42"/>
      <c r="K2175" s="41"/>
      <c r="L2175" s="41"/>
      <c r="M2175" s="127"/>
      <c r="N2175" s="41"/>
      <c r="O2175" s="41"/>
      <c r="P2175" s="41"/>
      <c r="Q2175" s="42"/>
      <c r="R2175" s="35"/>
      <c r="S2175" s="35"/>
      <c r="T2175" s="35"/>
      <c r="U2175" s="35"/>
      <c r="V2175" s="121"/>
      <c r="W2175" s="42"/>
      <c r="X2175" s="42"/>
      <c r="Y2175" s="42"/>
      <c r="Z2175" s="42"/>
      <c r="AA2175" s="42"/>
      <c r="AB2175" s="42"/>
      <c r="AC2175" s="42"/>
      <c r="AD2175" s="42"/>
      <c r="AE2175" s="42"/>
      <c r="AF2175" s="42"/>
      <c r="AG2175" s="42"/>
      <c r="AH2175" s="42"/>
      <c r="AI2175" s="42"/>
      <c r="AJ2175" s="42"/>
      <c r="AK2175" s="42"/>
      <c r="AL2175" s="42"/>
      <c r="AM2175" s="42"/>
    </row>
    <row r="2176" spans="1:39" x14ac:dyDescent="0.25">
      <c r="A2176" s="35"/>
      <c r="B2176" s="42"/>
      <c r="C2176" s="42"/>
      <c r="D2176" s="42"/>
      <c r="E2176" s="41"/>
      <c r="F2176" s="41"/>
      <c r="G2176" s="41"/>
      <c r="H2176" s="41"/>
      <c r="I2176" s="41"/>
      <c r="J2176" s="42"/>
      <c r="K2176" s="41"/>
      <c r="L2176" s="41"/>
      <c r="M2176" s="127"/>
      <c r="N2176" s="41"/>
      <c r="O2176" s="41"/>
      <c r="P2176" s="41"/>
      <c r="Q2176" s="42"/>
      <c r="R2176" s="35"/>
      <c r="S2176" s="35"/>
      <c r="T2176" s="35"/>
      <c r="U2176" s="35"/>
      <c r="V2176" s="121"/>
      <c r="W2176" s="42"/>
      <c r="X2176" s="42"/>
      <c r="Y2176" s="42"/>
      <c r="Z2176" s="42"/>
      <c r="AA2176" s="42"/>
      <c r="AB2176" s="42"/>
      <c r="AC2176" s="42"/>
      <c r="AD2176" s="42"/>
      <c r="AE2176" s="42"/>
      <c r="AF2176" s="42"/>
      <c r="AG2176" s="42"/>
      <c r="AH2176" s="42"/>
      <c r="AI2176" s="42"/>
      <c r="AJ2176" s="42"/>
      <c r="AK2176" s="42"/>
      <c r="AL2176" s="42"/>
      <c r="AM2176" s="42"/>
    </row>
    <row r="2177" spans="1:39" x14ac:dyDescent="0.25">
      <c r="A2177" s="35"/>
      <c r="B2177" s="42"/>
      <c r="C2177" s="42"/>
      <c r="D2177" s="42"/>
      <c r="E2177" s="41"/>
      <c r="F2177" s="41"/>
      <c r="G2177" s="41"/>
      <c r="H2177" s="41"/>
      <c r="I2177" s="41"/>
      <c r="J2177" s="42"/>
      <c r="K2177" s="41"/>
      <c r="L2177" s="41"/>
      <c r="M2177" s="127"/>
      <c r="N2177" s="41"/>
      <c r="O2177" s="41"/>
      <c r="P2177" s="41"/>
      <c r="Q2177" s="42"/>
      <c r="R2177" s="35"/>
      <c r="S2177" s="35"/>
      <c r="T2177" s="35"/>
      <c r="U2177" s="35"/>
      <c r="V2177" s="121"/>
      <c r="W2177" s="42"/>
      <c r="X2177" s="42"/>
      <c r="Y2177" s="42"/>
      <c r="Z2177" s="42"/>
      <c r="AA2177" s="42"/>
      <c r="AB2177" s="42"/>
      <c r="AC2177" s="42"/>
      <c r="AD2177" s="42"/>
      <c r="AE2177" s="42"/>
      <c r="AF2177" s="42"/>
      <c r="AG2177" s="42"/>
      <c r="AH2177" s="42"/>
      <c r="AI2177" s="42"/>
      <c r="AJ2177" s="42"/>
      <c r="AK2177" s="42"/>
      <c r="AL2177" s="42"/>
      <c r="AM2177" s="42"/>
    </row>
    <row r="2178" spans="1:39" x14ac:dyDescent="0.25">
      <c r="A2178" s="35"/>
      <c r="B2178" s="42"/>
      <c r="C2178" s="42"/>
      <c r="D2178" s="42"/>
      <c r="E2178" s="41"/>
      <c r="F2178" s="41"/>
      <c r="G2178" s="41"/>
      <c r="H2178" s="41"/>
      <c r="I2178" s="41"/>
      <c r="J2178" s="42"/>
      <c r="K2178" s="41"/>
      <c r="L2178" s="41"/>
      <c r="M2178" s="127"/>
      <c r="N2178" s="41"/>
      <c r="O2178" s="41"/>
      <c r="P2178" s="41"/>
      <c r="Q2178" s="42"/>
      <c r="R2178" s="35"/>
      <c r="S2178" s="35"/>
      <c r="T2178" s="35"/>
      <c r="U2178" s="35"/>
      <c r="V2178" s="121"/>
      <c r="W2178" s="42"/>
      <c r="X2178" s="42"/>
      <c r="Y2178" s="42"/>
      <c r="Z2178" s="42"/>
      <c r="AA2178" s="42"/>
      <c r="AB2178" s="42"/>
      <c r="AC2178" s="42"/>
      <c r="AD2178" s="42"/>
      <c r="AE2178" s="42"/>
      <c r="AF2178" s="42"/>
      <c r="AG2178" s="42"/>
      <c r="AH2178" s="42"/>
      <c r="AI2178" s="42"/>
      <c r="AJ2178" s="42"/>
      <c r="AK2178" s="42"/>
      <c r="AL2178" s="42"/>
      <c r="AM2178" s="42"/>
    </row>
    <row r="2179" spans="1:39" x14ac:dyDescent="0.25">
      <c r="A2179" s="35"/>
      <c r="B2179" s="42"/>
      <c r="C2179" s="42"/>
      <c r="D2179" s="42"/>
      <c r="E2179" s="41"/>
      <c r="F2179" s="41"/>
      <c r="G2179" s="41"/>
      <c r="H2179" s="41"/>
      <c r="I2179" s="41"/>
      <c r="J2179" s="42"/>
      <c r="K2179" s="41"/>
      <c r="L2179" s="41"/>
      <c r="M2179" s="127"/>
      <c r="N2179" s="41"/>
      <c r="O2179" s="41"/>
      <c r="P2179" s="41"/>
      <c r="Q2179" s="42"/>
      <c r="R2179" s="35"/>
      <c r="S2179" s="35"/>
      <c r="T2179" s="35"/>
      <c r="U2179" s="35"/>
      <c r="V2179" s="121"/>
      <c r="W2179" s="42"/>
      <c r="X2179" s="42"/>
      <c r="Y2179" s="42"/>
      <c r="Z2179" s="42"/>
      <c r="AA2179" s="42"/>
      <c r="AB2179" s="42"/>
      <c r="AC2179" s="42"/>
      <c r="AD2179" s="42"/>
      <c r="AE2179" s="42"/>
      <c r="AF2179" s="42"/>
      <c r="AG2179" s="42"/>
      <c r="AH2179" s="42"/>
      <c r="AI2179" s="42"/>
      <c r="AJ2179" s="42"/>
      <c r="AK2179" s="42"/>
      <c r="AL2179" s="42"/>
      <c r="AM2179" s="42"/>
    </row>
    <row r="2180" spans="1:39" x14ac:dyDescent="0.25">
      <c r="A2180" s="35"/>
      <c r="B2180" s="42"/>
      <c r="C2180" s="42"/>
      <c r="D2180" s="42"/>
      <c r="E2180" s="41"/>
      <c r="F2180" s="41"/>
      <c r="G2180" s="41"/>
      <c r="H2180" s="41"/>
      <c r="I2180" s="41"/>
      <c r="J2180" s="42"/>
      <c r="K2180" s="41"/>
      <c r="L2180" s="41"/>
      <c r="M2180" s="127"/>
      <c r="N2180" s="41"/>
      <c r="O2180" s="41"/>
      <c r="P2180" s="41"/>
      <c r="Q2180" s="42"/>
      <c r="R2180" s="35"/>
      <c r="S2180" s="35"/>
      <c r="T2180" s="35"/>
      <c r="U2180" s="35"/>
      <c r="V2180" s="121"/>
      <c r="W2180" s="42"/>
      <c r="X2180" s="42"/>
      <c r="Y2180" s="42"/>
      <c r="Z2180" s="42"/>
      <c r="AA2180" s="42"/>
      <c r="AB2180" s="42"/>
      <c r="AC2180" s="42"/>
      <c r="AD2180" s="42"/>
      <c r="AE2180" s="42"/>
      <c r="AF2180" s="42"/>
      <c r="AG2180" s="42"/>
      <c r="AH2180" s="42"/>
      <c r="AI2180" s="42"/>
      <c r="AJ2180" s="42"/>
      <c r="AK2180" s="42"/>
      <c r="AL2180" s="42"/>
      <c r="AM2180" s="42"/>
    </row>
    <row r="2181" spans="1:39" x14ac:dyDescent="0.25">
      <c r="A2181" s="35"/>
      <c r="B2181" s="42"/>
      <c r="C2181" s="42"/>
      <c r="D2181" s="42"/>
      <c r="E2181" s="41"/>
      <c r="F2181" s="41"/>
      <c r="G2181" s="41"/>
      <c r="H2181" s="41"/>
      <c r="I2181" s="41"/>
      <c r="J2181" s="42"/>
      <c r="K2181" s="41"/>
      <c r="L2181" s="41"/>
      <c r="M2181" s="127"/>
      <c r="N2181" s="41"/>
      <c r="O2181" s="41"/>
      <c r="P2181" s="41"/>
      <c r="Q2181" s="42"/>
      <c r="R2181" s="35"/>
      <c r="S2181" s="35"/>
      <c r="T2181" s="35"/>
      <c r="U2181" s="35"/>
      <c r="V2181" s="121"/>
      <c r="W2181" s="42"/>
      <c r="X2181" s="42"/>
      <c r="Y2181" s="42"/>
      <c r="Z2181" s="42"/>
      <c r="AA2181" s="42"/>
      <c r="AB2181" s="42"/>
      <c r="AC2181" s="42"/>
      <c r="AD2181" s="42"/>
      <c r="AE2181" s="42"/>
      <c r="AF2181" s="42"/>
      <c r="AG2181" s="42"/>
      <c r="AH2181" s="42"/>
      <c r="AI2181" s="42"/>
      <c r="AJ2181" s="42"/>
      <c r="AK2181" s="42"/>
      <c r="AL2181" s="42"/>
      <c r="AM2181" s="42"/>
    </row>
    <row r="2182" spans="1:39" x14ac:dyDescent="0.25">
      <c r="A2182" s="35"/>
      <c r="B2182" s="42"/>
      <c r="C2182" s="42"/>
      <c r="D2182" s="42"/>
      <c r="E2182" s="41"/>
      <c r="F2182" s="41"/>
      <c r="G2182" s="41"/>
      <c r="H2182" s="41"/>
      <c r="I2182" s="41"/>
      <c r="J2182" s="42"/>
      <c r="K2182" s="41"/>
      <c r="L2182" s="41"/>
      <c r="M2182" s="127"/>
      <c r="N2182" s="41"/>
      <c r="O2182" s="41"/>
      <c r="P2182" s="41"/>
      <c r="Q2182" s="42"/>
      <c r="R2182" s="35"/>
      <c r="S2182" s="35"/>
      <c r="T2182" s="35"/>
      <c r="U2182" s="35"/>
      <c r="V2182" s="121"/>
      <c r="W2182" s="42"/>
      <c r="X2182" s="42"/>
      <c r="Y2182" s="42"/>
      <c r="Z2182" s="42"/>
      <c r="AA2182" s="42"/>
      <c r="AB2182" s="42"/>
      <c r="AC2182" s="42"/>
      <c r="AD2182" s="42"/>
      <c r="AE2182" s="42"/>
      <c r="AF2182" s="42"/>
      <c r="AG2182" s="42"/>
      <c r="AH2182" s="42"/>
      <c r="AI2182" s="42"/>
      <c r="AJ2182" s="42"/>
      <c r="AK2182" s="42"/>
      <c r="AL2182" s="42"/>
      <c r="AM2182" s="42"/>
    </row>
    <row r="2183" spans="1:39" x14ac:dyDescent="0.25">
      <c r="A2183" s="35"/>
      <c r="B2183" s="42"/>
      <c r="C2183" s="42"/>
      <c r="D2183" s="42"/>
      <c r="E2183" s="41"/>
      <c r="F2183" s="41"/>
      <c r="G2183" s="41"/>
      <c r="H2183" s="41"/>
      <c r="I2183" s="41"/>
      <c r="J2183" s="42"/>
      <c r="K2183" s="41"/>
      <c r="L2183" s="41"/>
      <c r="M2183" s="127"/>
      <c r="N2183" s="41"/>
      <c r="O2183" s="41"/>
      <c r="P2183" s="41"/>
      <c r="Q2183" s="42"/>
      <c r="R2183" s="35"/>
      <c r="S2183" s="35"/>
      <c r="T2183" s="35"/>
      <c r="U2183" s="35"/>
      <c r="V2183" s="121"/>
      <c r="W2183" s="42"/>
      <c r="X2183" s="42"/>
      <c r="Y2183" s="42"/>
      <c r="Z2183" s="42"/>
      <c r="AA2183" s="42"/>
      <c r="AB2183" s="42"/>
      <c r="AC2183" s="42"/>
      <c r="AD2183" s="42"/>
      <c r="AE2183" s="42"/>
      <c r="AF2183" s="42"/>
      <c r="AG2183" s="42"/>
      <c r="AH2183" s="42"/>
      <c r="AI2183" s="42"/>
      <c r="AJ2183" s="42"/>
      <c r="AK2183" s="42"/>
      <c r="AL2183" s="42"/>
      <c r="AM2183" s="42"/>
    </row>
    <row r="2184" spans="1:39" x14ac:dyDescent="0.25">
      <c r="A2184" s="35"/>
      <c r="B2184" s="42"/>
      <c r="C2184" s="42"/>
      <c r="D2184" s="42"/>
      <c r="E2184" s="41"/>
      <c r="F2184" s="41"/>
      <c r="G2184" s="41"/>
      <c r="H2184" s="41"/>
      <c r="I2184" s="41"/>
      <c r="J2184" s="42"/>
      <c r="K2184" s="41"/>
      <c r="L2184" s="41"/>
      <c r="M2184" s="127"/>
      <c r="N2184" s="41"/>
      <c r="O2184" s="41"/>
      <c r="P2184" s="41"/>
      <c r="Q2184" s="42"/>
      <c r="R2184" s="35"/>
      <c r="S2184" s="35"/>
      <c r="T2184" s="35"/>
      <c r="U2184" s="35"/>
      <c r="V2184" s="121"/>
      <c r="W2184" s="42"/>
      <c r="X2184" s="42"/>
      <c r="Y2184" s="42"/>
      <c r="Z2184" s="42"/>
      <c r="AA2184" s="42"/>
      <c r="AB2184" s="42"/>
      <c r="AC2184" s="42"/>
      <c r="AD2184" s="42"/>
      <c r="AE2184" s="42"/>
      <c r="AF2184" s="42"/>
      <c r="AG2184" s="42"/>
      <c r="AH2184" s="42"/>
      <c r="AI2184" s="42"/>
      <c r="AJ2184" s="42"/>
      <c r="AK2184" s="42"/>
      <c r="AL2184" s="42"/>
      <c r="AM2184" s="42"/>
    </row>
    <row r="2185" spans="1:39" x14ac:dyDescent="0.25">
      <c r="A2185" s="35"/>
      <c r="B2185" s="42"/>
      <c r="C2185" s="42"/>
      <c r="D2185" s="42"/>
      <c r="E2185" s="41"/>
      <c r="F2185" s="41"/>
      <c r="G2185" s="41"/>
      <c r="H2185" s="41"/>
      <c r="I2185" s="41"/>
      <c r="J2185" s="42"/>
      <c r="K2185" s="41"/>
      <c r="L2185" s="41"/>
      <c r="M2185" s="127"/>
      <c r="N2185" s="41"/>
      <c r="O2185" s="41"/>
      <c r="P2185" s="41"/>
      <c r="Q2185" s="42"/>
      <c r="R2185" s="35"/>
      <c r="S2185" s="35"/>
      <c r="T2185" s="35"/>
      <c r="U2185" s="35"/>
      <c r="V2185" s="121"/>
      <c r="W2185" s="42"/>
      <c r="X2185" s="42"/>
      <c r="Y2185" s="42"/>
      <c r="Z2185" s="42"/>
      <c r="AA2185" s="42"/>
      <c r="AB2185" s="42"/>
      <c r="AC2185" s="42"/>
      <c r="AD2185" s="42"/>
      <c r="AE2185" s="42"/>
      <c r="AF2185" s="42"/>
      <c r="AG2185" s="42"/>
      <c r="AH2185" s="42"/>
      <c r="AI2185" s="42"/>
      <c r="AJ2185" s="42"/>
      <c r="AK2185" s="42"/>
      <c r="AL2185" s="42"/>
      <c r="AM2185" s="42"/>
    </row>
    <row r="2186" spans="1:39" x14ac:dyDescent="0.25">
      <c r="A2186" s="35"/>
      <c r="B2186" s="42"/>
      <c r="C2186" s="42"/>
      <c r="D2186" s="42"/>
      <c r="E2186" s="41"/>
      <c r="F2186" s="41"/>
      <c r="G2186" s="41"/>
      <c r="H2186" s="41"/>
      <c r="I2186" s="41"/>
      <c r="J2186" s="42"/>
      <c r="K2186" s="41"/>
      <c r="L2186" s="41"/>
      <c r="M2186" s="127"/>
      <c r="N2186" s="41"/>
      <c r="O2186" s="41"/>
      <c r="P2186" s="41"/>
      <c r="Q2186" s="42"/>
      <c r="R2186" s="35"/>
      <c r="S2186" s="35"/>
      <c r="T2186" s="35"/>
      <c r="U2186" s="35"/>
      <c r="V2186" s="121"/>
      <c r="W2186" s="42"/>
      <c r="X2186" s="42"/>
      <c r="Y2186" s="42"/>
      <c r="Z2186" s="42"/>
      <c r="AA2186" s="42"/>
      <c r="AB2186" s="42"/>
      <c r="AC2186" s="42"/>
      <c r="AD2186" s="42"/>
      <c r="AE2186" s="42"/>
      <c r="AF2186" s="42"/>
      <c r="AG2186" s="42"/>
      <c r="AH2186" s="42"/>
      <c r="AI2186" s="42"/>
      <c r="AJ2186" s="42"/>
      <c r="AK2186" s="42"/>
      <c r="AL2186" s="42"/>
      <c r="AM2186" s="42"/>
    </row>
    <row r="2187" spans="1:39" x14ac:dyDescent="0.25">
      <c r="A2187" s="35"/>
      <c r="B2187" s="42"/>
      <c r="C2187" s="42"/>
      <c r="D2187" s="42"/>
      <c r="E2187" s="41"/>
      <c r="F2187" s="41"/>
      <c r="G2187" s="41"/>
      <c r="H2187" s="41"/>
      <c r="I2187" s="41"/>
      <c r="J2187" s="42"/>
      <c r="K2187" s="41"/>
      <c r="L2187" s="41"/>
      <c r="M2187" s="127"/>
      <c r="N2187" s="41"/>
      <c r="O2187" s="41"/>
      <c r="P2187" s="41"/>
      <c r="Q2187" s="42"/>
      <c r="R2187" s="35"/>
      <c r="S2187" s="35"/>
      <c r="T2187" s="35"/>
      <c r="U2187" s="35"/>
      <c r="V2187" s="121"/>
      <c r="W2187" s="42"/>
      <c r="X2187" s="42"/>
      <c r="Y2187" s="42"/>
      <c r="Z2187" s="42"/>
      <c r="AA2187" s="42"/>
      <c r="AB2187" s="42"/>
      <c r="AC2187" s="42"/>
      <c r="AD2187" s="42"/>
      <c r="AE2187" s="42"/>
      <c r="AF2187" s="42"/>
      <c r="AG2187" s="42"/>
      <c r="AH2187" s="42"/>
      <c r="AI2187" s="42"/>
      <c r="AJ2187" s="42"/>
      <c r="AK2187" s="42"/>
      <c r="AL2187" s="42"/>
      <c r="AM2187" s="42"/>
    </row>
    <row r="2188" spans="1:39" x14ac:dyDescent="0.25">
      <c r="A2188" s="35"/>
      <c r="B2188" s="42"/>
      <c r="C2188" s="42"/>
      <c r="D2188" s="42"/>
      <c r="E2188" s="41"/>
      <c r="F2188" s="41"/>
      <c r="G2188" s="41"/>
      <c r="H2188" s="41"/>
      <c r="I2188" s="41"/>
      <c r="J2188" s="42"/>
      <c r="K2188" s="41"/>
      <c r="L2188" s="41"/>
      <c r="M2188" s="127"/>
      <c r="N2188" s="41"/>
      <c r="O2188" s="41"/>
      <c r="P2188" s="41"/>
      <c r="Q2188" s="42"/>
      <c r="R2188" s="35"/>
      <c r="S2188" s="35"/>
      <c r="T2188" s="35"/>
      <c r="U2188" s="35"/>
      <c r="V2188" s="121"/>
      <c r="W2188" s="42"/>
      <c r="X2188" s="42"/>
      <c r="Y2188" s="42"/>
      <c r="Z2188" s="42"/>
      <c r="AA2188" s="42"/>
      <c r="AB2188" s="42"/>
      <c r="AC2188" s="42"/>
      <c r="AD2188" s="42"/>
      <c r="AE2188" s="42"/>
      <c r="AF2188" s="42"/>
      <c r="AG2188" s="42"/>
      <c r="AH2188" s="42"/>
      <c r="AI2188" s="42"/>
      <c r="AJ2188" s="42"/>
      <c r="AK2188" s="42"/>
      <c r="AL2188" s="42"/>
      <c r="AM2188" s="42"/>
    </row>
    <row r="2189" spans="1:39" x14ac:dyDescent="0.25">
      <c r="A2189" s="35"/>
      <c r="B2189" s="42"/>
      <c r="C2189" s="42"/>
      <c r="D2189" s="42"/>
      <c r="E2189" s="41"/>
      <c r="F2189" s="41"/>
      <c r="G2189" s="41"/>
      <c r="H2189" s="41"/>
      <c r="I2189" s="41"/>
      <c r="J2189" s="42"/>
      <c r="K2189" s="41"/>
      <c r="L2189" s="41"/>
      <c r="M2189" s="127"/>
      <c r="N2189" s="41"/>
      <c r="O2189" s="41"/>
      <c r="P2189" s="41"/>
      <c r="Q2189" s="42"/>
      <c r="R2189" s="35"/>
      <c r="S2189" s="35"/>
      <c r="T2189" s="35"/>
      <c r="U2189" s="35"/>
      <c r="V2189" s="121"/>
      <c r="W2189" s="42"/>
      <c r="X2189" s="42"/>
      <c r="Y2189" s="42"/>
      <c r="Z2189" s="42"/>
      <c r="AA2189" s="42"/>
      <c r="AB2189" s="42"/>
      <c r="AC2189" s="42"/>
      <c r="AD2189" s="42"/>
      <c r="AE2189" s="42"/>
      <c r="AF2189" s="42"/>
      <c r="AG2189" s="42"/>
      <c r="AH2189" s="42"/>
      <c r="AI2189" s="42"/>
      <c r="AJ2189" s="42"/>
      <c r="AK2189" s="42"/>
      <c r="AL2189" s="42"/>
      <c r="AM2189" s="42"/>
    </row>
    <row r="2190" spans="1:39" x14ac:dyDescent="0.25">
      <c r="A2190" s="35"/>
      <c r="B2190" s="42"/>
      <c r="C2190" s="42"/>
      <c r="D2190" s="42"/>
      <c r="E2190" s="41"/>
      <c r="F2190" s="41"/>
      <c r="G2190" s="41"/>
      <c r="H2190" s="41"/>
      <c r="I2190" s="41"/>
      <c r="J2190" s="42"/>
      <c r="K2190" s="41"/>
      <c r="L2190" s="41"/>
      <c r="M2190" s="127"/>
      <c r="N2190" s="41"/>
      <c r="O2190" s="41"/>
      <c r="P2190" s="41"/>
      <c r="Q2190" s="42"/>
      <c r="R2190" s="35"/>
      <c r="S2190" s="35"/>
      <c r="T2190" s="35"/>
      <c r="U2190" s="35"/>
      <c r="V2190" s="121"/>
      <c r="W2190" s="42"/>
      <c r="X2190" s="42"/>
      <c r="Y2190" s="42"/>
      <c r="Z2190" s="42"/>
      <c r="AA2190" s="42"/>
      <c r="AB2190" s="42"/>
      <c r="AC2190" s="42"/>
      <c r="AD2190" s="42"/>
      <c r="AE2190" s="42"/>
      <c r="AF2190" s="42"/>
      <c r="AG2190" s="42"/>
      <c r="AH2190" s="42"/>
      <c r="AI2190" s="42"/>
      <c r="AJ2190" s="42"/>
      <c r="AK2190" s="42"/>
      <c r="AL2190" s="42"/>
      <c r="AM2190" s="42"/>
    </row>
    <row r="2191" spans="1:39" x14ac:dyDescent="0.25">
      <c r="A2191" s="35"/>
      <c r="B2191" s="42"/>
      <c r="C2191" s="42"/>
      <c r="D2191" s="42"/>
      <c r="E2191" s="41"/>
      <c r="F2191" s="41"/>
      <c r="G2191" s="41"/>
      <c r="H2191" s="41"/>
      <c r="I2191" s="41"/>
      <c r="J2191" s="42"/>
      <c r="K2191" s="41"/>
      <c r="L2191" s="41"/>
      <c r="M2191" s="127"/>
      <c r="N2191" s="41"/>
      <c r="O2191" s="41"/>
      <c r="P2191" s="41"/>
      <c r="Q2191" s="42"/>
      <c r="R2191" s="35"/>
      <c r="S2191" s="35"/>
      <c r="T2191" s="35"/>
      <c r="U2191" s="35"/>
      <c r="V2191" s="121"/>
      <c r="W2191" s="42"/>
      <c r="X2191" s="42"/>
      <c r="Y2191" s="42"/>
      <c r="Z2191" s="42"/>
      <c r="AA2191" s="42"/>
      <c r="AB2191" s="42"/>
      <c r="AC2191" s="42"/>
      <c r="AD2191" s="42"/>
      <c r="AE2191" s="42"/>
      <c r="AF2191" s="42"/>
      <c r="AG2191" s="42"/>
      <c r="AH2191" s="42"/>
      <c r="AI2191" s="42"/>
      <c r="AJ2191" s="42"/>
      <c r="AK2191" s="42"/>
      <c r="AL2191" s="42"/>
      <c r="AM2191" s="42"/>
    </row>
    <row r="2192" spans="1:39" x14ac:dyDescent="0.25">
      <c r="A2192" s="35"/>
      <c r="B2192" s="42"/>
      <c r="C2192" s="42"/>
      <c r="D2192" s="42"/>
      <c r="E2192" s="41"/>
      <c r="F2192" s="41"/>
      <c r="G2192" s="41"/>
      <c r="H2192" s="41"/>
      <c r="I2192" s="41"/>
      <c r="J2192" s="42"/>
      <c r="K2192" s="41"/>
      <c r="L2192" s="41"/>
      <c r="M2192" s="127"/>
      <c r="N2192" s="41"/>
      <c r="O2192" s="41"/>
      <c r="P2192" s="41"/>
      <c r="Q2192" s="42"/>
      <c r="R2192" s="35"/>
      <c r="S2192" s="35"/>
      <c r="T2192" s="35"/>
      <c r="U2192" s="35"/>
      <c r="V2192" s="121"/>
      <c r="W2192" s="42"/>
      <c r="X2192" s="42"/>
      <c r="Y2192" s="42"/>
      <c r="Z2192" s="42"/>
      <c r="AA2192" s="42"/>
      <c r="AB2192" s="42"/>
      <c r="AC2192" s="42"/>
      <c r="AD2192" s="42"/>
      <c r="AE2192" s="42"/>
      <c r="AF2192" s="42"/>
      <c r="AG2192" s="42"/>
      <c r="AH2192" s="42"/>
      <c r="AI2192" s="42"/>
      <c r="AJ2192" s="42"/>
      <c r="AK2192" s="42"/>
      <c r="AL2192" s="42"/>
      <c r="AM2192" s="42"/>
    </row>
    <row r="2193" spans="1:39" x14ac:dyDescent="0.25">
      <c r="A2193" s="35"/>
      <c r="B2193" s="42"/>
      <c r="C2193" s="42"/>
      <c r="D2193" s="42"/>
      <c r="E2193" s="41"/>
      <c r="F2193" s="41"/>
      <c r="G2193" s="41"/>
      <c r="H2193" s="41"/>
      <c r="I2193" s="41"/>
      <c r="J2193" s="42"/>
      <c r="K2193" s="41"/>
      <c r="L2193" s="41"/>
      <c r="M2193" s="127"/>
      <c r="N2193" s="41"/>
      <c r="O2193" s="41"/>
      <c r="P2193" s="41"/>
      <c r="Q2193" s="42"/>
      <c r="R2193" s="35"/>
      <c r="S2193" s="35"/>
      <c r="T2193" s="35"/>
      <c r="U2193" s="35"/>
      <c r="V2193" s="121"/>
      <c r="W2193" s="42"/>
      <c r="X2193" s="42"/>
      <c r="Y2193" s="42"/>
      <c r="Z2193" s="42"/>
      <c r="AA2193" s="42"/>
      <c r="AB2193" s="42"/>
      <c r="AC2193" s="42"/>
      <c r="AD2193" s="42"/>
      <c r="AE2193" s="42"/>
      <c r="AF2193" s="42"/>
      <c r="AG2193" s="42"/>
      <c r="AH2193" s="42"/>
      <c r="AI2193" s="42"/>
      <c r="AJ2193" s="42"/>
      <c r="AK2193" s="42"/>
      <c r="AL2193" s="42"/>
      <c r="AM2193" s="42"/>
    </row>
    <row r="2194" spans="1:39" x14ac:dyDescent="0.25">
      <c r="A2194" s="35"/>
      <c r="B2194" s="42"/>
      <c r="C2194" s="42"/>
      <c r="D2194" s="42"/>
      <c r="E2194" s="41"/>
      <c r="F2194" s="41"/>
      <c r="G2194" s="41"/>
      <c r="H2194" s="41"/>
      <c r="I2194" s="41"/>
      <c r="J2194" s="42"/>
      <c r="K2194" s="41"/>
      <c r="L2194" s="41"/>
      <c r="M2194" s="127"/>
      <c r="N2194" s="41"/>
      <c r="O2194" s="41"/>
      <c r="P2194" s="41"/>
      <c r="Q2194" s="42"/>
      <c r="R2194" s="35"/>
      <c r="S2194" s="35"/>
      <c r="T2194" s="35"/>
      <c r="U2194" s="35"/>
      <c r="V2194" s="121"/>
      <c r="W2194" s="42"/>
      <c r="X2194" s="42"/>
      <c r="Y2194" s="42"/>
      <c r="Z2194" s="42"/>
      <c r="AA2194" s="42"/>
      <c r="AB2194" s="42"/>
      <c r="AC2194" s="42"/>
      <c r="AD2194" s="42"/>
      <c r="AE2194" s="42"/>
      <c r="AF2194" s="42"/>
      <c r="AG2194" s="42"/>
      <c r="AH2194" s="42"/>
      <c r="AI2194" s="42"/>
      <c r="AJ2194" s="42"/>
      <c r="AK2194" s="42"/>
      <c r="AL2194" s="42"/>
      <c r="AM2194" s="42"/>
    </row>
    <row r="2195" spans="1:39" x14ac:dyDescent="0.25">
      <c r="A2195" s="35"/>
      <c r="B2195" s="42"/>
      <c r="C2195" s="42"/>
      <c r="D2195" s="42"/>
      <c r="E2195" s="41"/>
      <c r="F2195" s="41"/>
      <c r="G2195" s="41"/>
      <c r="H2195" s="41"/>
      <c r="I2195" s="41"/>
      <c r="J2195" s="42"/>
      <c r="K2195" s="41"/>
      <c r="L2195" s="41"/>
      <c r="M2195" s="127"/>
      <c r="N2195" s="41"/>
      <c r="O2195" s="41"/>
      <c r="P2195" s="41"/>
      <c r="Q2195" s="42"/>
      <c r="R2195" s="35"/>
      <c r="S2195" s="35"/>
      <c r="T2195" s="35"/>
      <c r="U2195" s="35"/>
      <c r="V2195" s="121"/>
      <c r="W2195" s="42"/>
      <c r="X2195" s="42"/>
      <c r="Y2195" s="42"/>
      <c r="Z2195" s="42"/>
      <c r="AA2195" s="42"/>
      <c r="AB2195" s="42"/>
      <c r="AC2195" s="42"/>
      <c r="AD2195" s="42"/>
      <c r="AE2195" s="42"/>
      <c r="AF2195" s="42"/>
      <c r="AG2195" s="42"/>
      <c r="AH2195" s="42"/>
      <c r="AI2195" s="42"/>
      <c r="AJ2195" s="42"/>
      <c r="AK2195" s="42"/>
      <c r="AL2195" s="42"/>
      <c r="AM2195" s="42"/>
    </row>
    <row r="2196" spans="1:39" x14ac:dyDescent="0.25">
      <c r="A2196" s="35"/>
      <c r="B2196" s="42"/>
      <c r="C2196" s="42"/>
      <c r="D2196" s="42"/>
      <c r="E2196" s="41"/>
      <c r="F2196" s="41"/>
      <c r="G2196" s="41"/>
      <c r="H2196" s="41"/>
      <c r="I2196" s="41"/>
      <c r="J2196" s="42"/>
      <c r="K2196" s="41"/>
      <c r="L2196" s="41"/>
      <c r="M2196" s="127"/>
      <c r="N2196" s="41"/>
      <c r="O2196" s="41"/>
      <c r="P2196" s="41"/>
      <c r="Q2196" s="42"/>
      <c r="R2196" s="35"/>
      <c r="S2196" s="35"/>
      <c r="T2196" s="35"/>
      <c r="U2196" s="35"/>
      <c r="V2196" s="121"/>
      <c r="W2196" s="42"/>
      <c r="X2196" s="42"/>
      <c r="Y2196" s="42"/>
      <c r="Z2196" s="42"/>
      <c r="AA2196" s="42"/>
      <c r="AB2196" s="42"/>
      <c r="AC2196" s="42"/>
      <c r="AD2196" s="42"/>
      <c r="AE2196" s="42"/>
      <c r="AF2196" s="42"/>
      <c r="AG2196" s="42"/>
      <c r="AH2196" s="42"/>
      <c r="AI2196" s="42"/>
      <c r="AJ2196" s="42"/>
      <c r="AK2196" s="42"/>
      <c r="AL2196" s="42"/>
      <c r="AM2196" s="42"/>
    </row>
    <row r="2197" spans="1:39" x14ac:dyDescent="0.25">
      <c r="A2197" s="35"/>
      <c r="B2197" s="42"/>
      <c r="C2197" s="42"/>
      <c r="D2197" s="42"/>
      <c r="E2197" s="41"/>
      <c r="F2197" s="41"/>
      <c r="G2197" s="41"/>
      <c r="H2197" s="41"/>
      <c r="I2197" s="41"/>
      <c r="J2197" s="42"/>
      <c r="K2197" s="41"/>
      <c r="L2197" s="41"/>
      <c r="M2197" s="127"/>
      <c r="N2197" s="41"/>
      <c r="O2197" s="41"/>
      <c r="P2197" s="41"/>
      <c r="Q2197" s="42"/>
      <c r="R2197" s="35"/>
      <c r="S2197" s="35"/>
      <c r="T2197" s="35"/>
      <c r="U2197" s="35"/>
      <c r="V2197" s="121"/>
      <c r="W2197" s="42"/>
      <c r="X2197" s="42"/>
      <c r="Y2197" s="42"/>
      <c r="Z2197" s="42"/>
      <c r="AA2197" s="42"/>
      <c r="AB2197" s="42"/>
      <c r="AC2197" s="42"/>
      <c r="AD2197" s="42"/>
      <c r="AE2197" s="42"/>
      <c r="AF2197" s="42"/>
      <c r="AG2197" s="42"/>
      <c r="AH2197" s="42"/>
      <c r="AI2197" s="42"/>
      <c r="AJ2197" s="42"/>
      <c r="AK2197" s="42"/>
      <c r="AL2197" s="42"/>
      <c r="AM2197" s="42"/>
    </row>
    <row r="2198" spans="1:39" x14ac:dyDescent="0.25">
      <c r="A2198" s="35"/>
      <c r="B2198" s="42"/>
      <c r="C2198" s="42"/>
      <c r="D2198" s="42"/>
      <c r="E2198" s="41"/>
      <c r="F2198" s="41"/>
      <c r="G2198" s="41"/>
      <c r="H2198" s="41"/>
      <c r="I2198" s="41"/>
      <c r="J2198" s="42"/>
      <c r="K2198" s="41"/>
      <c r="L2198" s="41"/>
      <c r="M2198" s="127"/>
      <c r="N2198" s="41"/>
      <c r="O2198" s="41"/>
      <c r="P2198" s="41"/>
      <c r="Q2198" s="42"/>
      <c r="R2198" s="35"/>
      <c r="S2198" s="35"/>
      <c r="T2198" s="35"/>
      <c r="U2198" s="35"/>
      <c r="V2198" s="121"/>
      <c r="W2198" s="42"/>
      <c r="X2198" s="42"/>
      <c r="Y2198" s="42"/>
      <c r="Z2198" s="42"/>
      <c r="AA2198" s="42"/>
      <c r="AB2198" s="42"/>
      <c r="AC2198" s="42"/>
      <c r="AD2198" s="42"/>
      <c r="AE2198" s="42"/>
      <c r="AF2198" s="42"/>
      <c r="AG2198" s="42"/>
      <c r="AH2198" s="42"/>
      <c r="AI2198" s="42"/>
      <c r="AJ2198" s="42"/>
      <c r="AK2198" s="42"/>
      <c r="AL2198" s="42"/>
      <c r="AM2198" s="42"/>
    </row>
    <row r="2199" spans="1:39" x14ac:dyDescent="0.25">
      <c r="A2199" s="35"/>
      <c r="B2199" s="42"/>
      <c r="C2199" s="42"/>
      <c r="D2199" s="42"/>
      <c r="E2199" s="41"/>
      <c r="F2199" s="41"/>
      <c r="G2199" s="41"/>
      <c r="H2199" s="41"/>
      <c r="I2199" s="41"/>
      <c r="J2199" s="42"/>
      <c r="K2199" s="41"/>
      <c r="L2199" s="41"/>
      <c r="M2199" s="127"/>
      <c r="N2199" s="41"/>
      <c r="O2199" s="41"/>
      <c r="P2199" s="41"/>
      <c r="Q2199" s="42"/>
      <c r="R2199" s="35"/>
      <c r="S2199" s="35"/>
      <c r="T2199" s="35"/>
      <c r="U2199" s="35"/>
      <c r="V2199" s="121"/>
      <c r="W2199" s="42"/>
      <c r="X2199" s="42"/>
      <c r="Y2199" s="42"/>
      <c r="Z2199" s="42"/>
      <c r="AA2199" s="42"/>
      <c r="AB2199" s="42"/>
      <c r="AC2199" s="42"/>
      <c r="AD2199" s="42"/>
      <c r="AE2199" s="42"/>
      <c r="AF2199" s="42"/>
      <c r="AG2199" s="42"/>
      <c r="AH2199" s="42"/>
      <c r="AI2199" s="42"/>
      <c r="AJ2199" s="42"/>
      <c r="AK2199" s="42"/>
      <c r="AL2199" s="42"/>
      <c r="AM2199" s="42"/>
    </row>
    <row r="2200" spans="1:39" x14ac:dyDescent="0.25">
      <c r="A2200" s="35"/>
      <c r="B2200" s="42"/>
      <c r="C2200" s="42"/>
      <c r="D2200" s="42"/>
      <c r="E2200" s="41"/>
      <c r="F2200" s="41"/>
      <c r="G2200" s="41"/>
      <c r="H2200" s="41"/>
      <c r="I2200" s="41"/>
      <c r="J2200" s="42"/>
      <c r="K2200" s="41"/>
      <c r="L2200" s="41"/>
      <c r="M2200" s="127"/>
      <c r="N2200" s="41"/>
      <c r="O2200" s="41"/>
      <c r="P2200" s="41"/>
      <c r="Q2200" s="42"/>
      <c r="R2200" s="35"/>
      <c r="S2200" s="35"/>
      <c r="T2200" s="35"/>
      <c r="U2200" s="35"/>
      <c r="V2200" s="121"/>
      <c r="W2200" s="42"/>
      <c r="X2200" s="42"/>
      <c r="Y2200" s="42"/>
      <c r="Z2200" s="42"/>
      <c r="AA2200" s="42"/>
      <c r="AB2200" s="42"/>
      <c r="AC2200" s="42"/>
      <c r="AD2200" s="42"/>
      <c r="AE2200" s="42"/>
      <c r="AF2200" s="42"/>
      <c r="AG2200" s="42"/>
      <c r="AH2200" s="42"/>
      <c r="AI2200" s="42"/>
      <c r="AJ2200" s="42"/>
      <c r="AK2200" s="42"/>
      <c r="AL2200" s="42"/>
      <c r="AM2200" s="42"/>
    </row>
    <row r="2201" spans="1:39" x14ac:dyDescent="0.25">
      <c r="A2201" s="35"/>
      <c r="B2201" s="42"/>
      <c r="C2201" s="42"/>
      <c r="D2201" s="42"/>
      <c r="E2201" s="41"/>
      <c r="F2201" s="41"/>
      <c r="G2201" s="41"/>
      <c r="H2201" s="41"/>
      <c r="I2201" s="41"/>
      <c r="J2201" s="42"/>
      <c r="K2201" s="41"/>
      <c r="L2201" s="41"/>
      <c r="M2201" s="127"/>
      <c r="N2201" s="41"/>
      <c r="O2201" s="41"/>
      <c r="P2201" s="41"/>
      <c r="Q2201" s="42"/>
      <c r="R2201" s="35"/>
      <c r="S2201" s="35"/>
      <c r="T2201" s="35"/>
      <c r="U2201" s="35"/>
      <c r="V2201" s="121"/>
      <c r="W2201" s="42"/>
      <c r="X2201" s="42"/>
      <c r="Y2201" s="42"/>
      <c r="Z2201" s="42"/>
      <c r="AA2201" s="42"/>
      <c r="AB2201" s="42"/>
      <c r="AC2201" s="42"/>
      <c r="AD2201" s="42"/>
      <c r="AE2201" s="42"/>
      <c r="AF2201" s="42"/>
      <c r="AG2201" s="42"/>
      <c r="AH2201" s="42"/>
      <c r="AI2201" s="42"/>
      <c r="AJ2201" s="42"/>
      <c r="AK2201" s="42"/>
      <c r="AL2201" s="42"/>
      <c r="AM2201" s="42"/>
    </row>
    <row r="2202" spans="1:39" x14ac:dyDescent="0.25">
      <c r="A2202" s="35"/>
      <c r="B2202" s="42"/>
      <c r="C2202" s="42"/>
      <c r="D2202" s="42"/>
      <c r="E2202" s="41"/>
      <c r="F2202" s="41"/>
      <c r="G2202" s="41"/>
      <c r="H2202" s="41"/>
      <c r="I2202" s="41"/>
      <c r="J2202" s="42"/>
      <c r="K2202" s="41"/>
      <c r="L2202" s="41"/>
      <c r="M2202" s="127"/>
      <c r="N2202" s="41"/>
      <c r="O2202" s="41"/>
      <c r="P2202" s="41"/>
      <c r="Q2202" s="42"/>
      <c r="R2202" s="35"/>
      <c r="S2202" s="35"/>
      <c r="T2202" s="35"/>
      <c r="U2202" s="35"/>
      <c r="V2202" s="121"/>
      <c r="W2202" s="42"/>
      <c r="X2202" s="42"/>
      <c r="Y2202" s="42"/>
      <c r="Z2202" s="42"/>
      <c r="AA2202" s="42"/>
      <c r="AB2202" s="42"/>
      <c r="AC2202" s="42"/>
      <c r="AD2202" s="42"/>
      <c r="AE2202" s="42"/>
      <c r="AF2202" s="42"/>
      <c r="AG2202" s="42"/>
      <c r="AH2202" s="42"/>
      <c r="AI2202" s="42"/>
      <c r="AJ2202" s="42"/>
      <c r="AK2202" s="42"/>
      <c r="AL2202" s="42"/>
      <c r="AM2202" s="42"/>
    </row>
    <row r="2203" spans="1:39" x14ac:dyDescent="0.25">
      <c r="A2203" s="35"/>
      <c r="B2203" s="42"/>
      <c r="C2203" s="42"/>
      <c r="D2203" s="42"/>
      <c r="E2203" s="41"/>
      <c r="F2203" s="41"/>
      <c r="G2203" s="41"/>
      <c r="H2203" s="41"/>
      <c r="I2203" s="41"/>
      <c r="J2203" s="42"/>
      <c r="K2203" s="41"/>
      <c r="L2203" s="41"/>
      <c r="M2203" s="127"/>
      <c r="N2203" s="41"/>
      <c r="O2203" s="41"/>
      <c r="P2203" s="41"/>
      <c r="Q2203" s="42"/>
      <c r="R2203" s="35"/>
      <c r="S2203" s="35"/>
      <c r="T2203" s="35"/>
      <c r="U2203" s="35"/>
      <c r="V2203" s="121"/>
      <c r="W2203" s="42"/>
      <c r="X2203" s="42"/>
      <c r="Y2203" s="42"/>
      <c r="Z2203" s="42"/>
      <c r="AA2203" s="42"/>
      <c r="AB2203" s="42"/>
      <c r="AC2203" s="42"/>
      <c r="AD2203" s="42"/>
      <c r="AE2203" s="42"/>
      <c r="AF2203" s="42"/>
      <c r="AG2203" s="42"/>
      <c r="AH2203" s="42"/>
      <c r="AI2203" s="42"/>
      <c r="AJ2203" s="42"/>
      <c r="AK2203" s="42"/>
      <c r="AL2203" s="42"/>
      <c r="AM2203" s="42"/>
    </row>
    <row r="2204" spans="1:39" x14ac:dyDescent="0.25">
      <c r="A2204" s="35"/>
      <c r="B2204" s="42"/>
      <c r="C2204" s="42"/>
      <c r="D2204" s="42"/>
      <c r="E2204" s="41"/>
      <c r="F2204" s="41"/>
      <c r="G2204" s="41"/>
      <c r="H2204" s="41"/>
      <c r="I2204" s="41"/>
      <c r="J2204" s="42"/>
      <c r="K2204" s="41"/>
      <c r="L2204" s="41"/>
      <c r="M2204" s="127"/>
      <c r="N2204" s="41"/>
      <c r="O2204" s="41"/>
      <c r="P2204" s="41"/>
      <c r="Q2204" s="42"/>
      <c r="R2204" s="35"/>
      <c r="S2204" s="35"/>
      <c r="T2204" s="35"/>
      <c r="U2204" s="35"/>
      <c r="V2204" s="121"/>
      <c r="W2204" s="42"/>
      <c r="X2204" s="42"/>
      <c r="Y2204" s="42"/>
      <c r="Z2204" s="42"/>
      <c r="AA2204" s="42"/>
      <c r="AB2204" s="42"/>
      <c r="AC2204" s="42"/>
      <c r="AD2204" s="42"/>
      <c r="AE2204" s="42"/>
      <c r="AF2204" s="42"/>
      <c r="AG2204" s="42"/>
      <c r="AH2204" s="42"/>
      <c r="AI2204" s="42"/>
      <c r="AJ2204" s="42"/>
      <c r="AK2204" s="42"/>
      <c r="AL2204" s="42"/>
      <c r="AM2204" s="42"/>
    </row>
    <row r="2205" spans="1:39" x14ac:dyDescent="0.25">
      <c r="A2205" s="35"/>
      <c r="B2205" s="42"/>
      <c r="C2205" s="42"/>
      <c r="D2205" s="42"/>
      <c r="E2205" s="41"/>
      <c r="F2205" s="41"/>
      <c r="G2205" s="41"/>
      <c r="H2205" s="41"/>
      <c r="I2205" s="41"/>
      <c r="J2205" s="42"/>
      <c r="K2205" s="41"/>
      <c r="L2205" s="41"/>
      <c r="M2205" s="127"/>
      <c r="N2205" s="41"/>
      <c r="O2205" s="41"/>
      <c r="P2205" s="41"/>
      <c r="Q2205" s="42"/>
      <c r="R2205" s="35"/>
      <c r="S2205" s="35"/>
      <c r="T2205" s="35"/>
      <c r="U2205" s="35"/>
      <c r="V2205" s="121"/>
      <c r="W2205" s="42"/>
      <c r="X2205" s="42"/>
      <c r="Y2205" s="42"/>
      <c r="Z2205" s="42"/>
      <c r="AA2205" s="42"/>
      <c r="AB2205" s="42"/>
      <c r="AC2205" s="42"/>
      <c r="AD2205" s="42"/>
      <c r="AE2205" s="42"/>
      <c r="AF2205" s="42"/>
      <c r="AG2205" s="42"/>
      <c r="AH2205" s="42"/>
      <c r="AI2205" s="42"/>
      <c r="AJ2205" s="42"/>
      <c r="AK2205" s="42"/>
      <c r="AL2205" s="42"/>
      <c r="AM2205" s="42"/>
    </row>
    <row r="2206" spans="1:39" x14ac:dyDescent="0.25">
      <c r="A2206" s="35"/>
      <c r="B2206" s="42"/>
      <c r="C2206" s="42"/>
      <c r="D2206" s="42"/>
      <c r="E2206" s="41"/>
      <c r="F2206" s="41"/>
      <c r="G2206" s="41"/>
      <c r="H2206" s="41"/>
      <c r="I2206" s="41"/>
      <c r="J2206" s="42"/>
      <c r="K2206" s="41"/>
      <c r="L2206" s="41"/>
      <c r="M2206" s="127"/>
      <c r="N2206" s="41"/>
      <c r="O2206" s="41"/>
      <c r="P2206" s="41"/>
      <c r="Q2206" s="42"/>
      <c r="R2206" s="35"/>
      <c r="S2206" s="35"/>
      <c r="T2206" s="35"/>
      <c r="U2206" s="35"/>
      <c r="V2206" s="121"/>
      <c r="W2206" s="42"/>
      <c r="X2206" s="42"/>
      <c r="Y2206" s="42"/>
      <c r="Z2206" s="42"/>
      <c r="AA2206" s="42"/>
      <c r="AB2206" s="42"/>
      <c r="AC2206" s="42"/>
      <c r="AD2206" s="42"/>
      <c r="AE2206" s="42"/>
      <c r="AF2206" s="42"/>
      <c r="AG2206" s="42"/>
      <c r="AH2206" s="42"/>
      <c r="AI2206" s="42"/>
      <c r="AJ2206" s="42"/>
      <c r="AK2206" s="42"/>
      <c r="AL2206" s="42"/>
      <c r="AM2206" s="42"/>
    </row>
    <row r="2207" spans="1:39" x14ac:dyDescent="0.25">
      <c r="A2207" s="35"/>
      <c r="B2207" s="42"/>
      <c r="C2207" s="42"/>
      <c r="D2207" s="42"/>
      <c r="E2207" s="41"/>
      <c r="F2207" s="41"/>
      <c r="G2207" s="41"/>
      <c r="H2207" s="41"/>
      <c r="I2207" s="41"/>
      <c r="J2207" s="42"/>
      <c r="K2207" s="41"/>
      <c r="L2207" s="41"/>
      <c r="M2207" s="127"/>
      <c r="N2207" s="41"/>
      <c r="O2207" s="41"/>
      <c r="P2207" s="41"/>
      <c r="Q2207" s="42"/>
      <c r="R2207" s="35"/>
      <c r="S2207" s="35"/>
      <c r="T2207" s="35"/>
      <c r="U2207" s="35"/>
      <c r="V2207" s="121"/>
      <c r="W2207" s="42"/>
      <c r="X2207" s="42"/>
      <c r="Y2207" s="42"/>
      <c r="Z2207" s="42"/>
      <c r="AA2207" s="42"/>
      <c r="AB2207" s="42"/>
      <c r="AC2207" s="42"/>
      <c r="AD2207" s="42"/>
      <c r="AE2207" s="42"/>
      <c r="AF2207" s="42"/>
      <c r="AG2207" s="42"/>
      <c r="AH2207" s="42"/>
      <c r="AI2207" s="42"/>
      <c r="AJ2207" s="42"/>
      <c r="AK2207" s="42"/>
      <c r="AL2207" s="42"/>
      <c r="AM2207" s="42"/>
    </row>
    <row r="2208" spans="1:39" x14ac:dyDescent="0.25">
      <c r="A2208" s="35"/>
      <c r="B2208" s="42"/>
      <c r="C2208" s="42"/>
      <c r="D2208" s="42"/>
      <c r="E2208" s="41"/>
      <c r="F2208" s="41"/>
      <c r="G2208" s="41"/>
      <c r="H2208" s="41"/>
      <c r="I2208" s="41"/>
      <c r="J2208" s="42"/>
      <c r="K2208" s="41"/>
      <c r="L2208" s="41"/>
      <c r="M2208" s="127"/>
      <c r="N2208" s="41"/>
      <c r="O2208" s="41"/>
      <c r="P2208" s="41"/>
      <c r="Q2208" s="42"/>
      <c r="R2208" s="35"/>
      <c r="S2208" s="35"/>
      <c r="T2208" s="35"/>
      <c r="U2208" s="35"/>
      <c r="V2208" s="121"/>
      <c r="W2208" s="42"/>
      <c r="X2208" s="42"/>
      <c r="Y2208" s="42"/>
      <c r="Z2208" s="42"/>
      <c r="AA2208" s="42"/>
      <c r="AB2208" s="42"/>
      <c r="AC2208" s="42"/>
      <c r="AD2208" s="42"/>
      <c r="AE2208" s="42"/>
      <c r="AF2208" s="42"/>
      <c r="AG2208" s="42"/>
      <c r="AH2208" s="42"/>
      <c r="AI2208" s="42"/>
      <c r="AJ2208" s="42"/>
      <c r="AK2208" s="42"/>
      <c r="AL2208" s="42"/>
      <c r="AM2208" s="42"/>
    </row>
    <row r="2209" spans="1:39" x14ac:dyDescent="0.25">
      <c r="A2209" s="35"/>
      <c r="B2209" s="42"/>
      <c r="C2209" s="42"/>
      <c r="D2209" s="42"/>
      <c r="E2209" s="41"/>
      <c r="F2209" s="41"/>
      <c r="G2209" s="41"/>
      <c r="H2209" s="41"/>
      <c r="I2209" s="41"/>
      <c r="J2209" s="42"/>
      <c r="K2209" s="41"/>
      <c r="L2209" s="41"/>
      <c r="M2209" s="127"/>
      <c r="N2209" s="41"/>
      <c r="O2209" s="41"/>
      <c r="P2209" s="41"/>
      <c r="Q2209" s="42"/>
      <c r="R2209" s="35"/>
      <c r="S2209" s="35"/>
      <c r="T2209" s="35"/>
      <c r="U2209" s="35"/>
      <c r="V2209" s="121"/>
      <c r="W2209" s="42"/>
      <c r="X2209" s="42"/>
      <c r="Y2209" s="42"/>
      <c r="Z2209" s="42"/>
      <c r="AA2209" s="42"/>
      <c r="AB2209" s="42"/>
      <c r="AC2209" s="42"/>
      <c r="AD2209" s="42"/>
      <c r="AE2209" s="42"/>
      <c r="AF2209" s="42"/>
      <c r="AG2209" s="42"/>
      <c r="AH2209" s="42"/>
      <c r="AI2209" s="42"/>
      <c r="AJ2209" s="42"/>
      <c r="AK2209" s="42"/>
      <c r="AL2209" s="42"/>
      <c r="AM2209" s="42"/>
    </row>
    <row r="2210" spans="1:39" x14ac:dyDescent="0.25">
      <c r="A2210" s="35"/>
      <c r="B2210" s="42"/>
      <c r="C2210" s="42"/>
      <c r="D2210" s="42"/>
      <c r="E2210" s="41"/>
      <c r="F2210" s="41"/>
      <c r="G2210" s="41"/>
      <c r="H2210" s="41"/>
      <c r="I2210" s="41"/>
      <c r="J2210" s="42"/>
      <c r="K2210" s="41"/>
      <c r="L2210" s="41"/>
      <c r="M2210" s="127"/>
      <c r="N2210" s="41"/>
      <c r="O2210" s="41"/>
      <c r="P2210" s="41"/>
      <c r="Q2210" s="42"/>
      <c r="R2210" s="35"/>
      <c r="S2210" s="35"/>
      <c r="T2210" s="35"/>
      <c r="U2210" s="35"/>
      <c r="V2210" s="121"/>
      <c r="W2210" s="42"/>
      <c r="X2210" s="42"/>
      <c r="Y2210" s="42"/>
      <c r="Z2210" s="42"/>
      <c r="AA2210" s="42"/>
      <c r="AB2210" s="42"/>
      <c r="AC2210" s="42"/>
      <c r="AD2210" s="42"/>
      <c r="AE2210" s="42"/>
      <c r="AF2210" s="42"/>
      <c r="AG2210" s="42"/>
      <c r="AH2210" s="42"/>
      <c r="AI2210" s="42"/>
      <c r="AJ2210" s="42"/>
      <c r="AK2210" s="42"/>
      <c r="AL2210" s="42"/>
      <c r="AM2210" s="42"/>
    </row>
    <row r="2211" spans="1:39" x14ac:dyDescent="0.25">
      <c r="A2211" s="35"/>
      <c r="B2211" s="42"/>
      <c r="C2211" s="42"/>
      <c r="D2211" s="42"/>
      <c r="E2211" s="41"/>
      <c r="F2211" s="41"/>
      <c r="G2211" s="41"/>
      <c r="H2211" s="41"/>
      <c r="I2211" s="41"/>
      <c r="J2211" s="42"/>
      <c r="K2211" s="41"/>
      <c r="L2211" s="41"/>
      <c r="M2211" s="127"/>
      <c r="N2211" s="41"/>
      <c r="O2211" s="41"/>
      <c r="P2211" s="41"/>
      <c r="Q2211" s="42"/>
      <c r="R2211" s="35"/>
      <c r="S2211" s="35"/>
      <c r="T2211" s="35"/>
      <c r="U2211" s="35"/>
      <c r="V2211" s="121"/>
      <c r="W2211" s="42"/>
      <c r="X2211" s="42"/>
      <c r="Y2211" s="42"/>
      <c r="Z2211" s="42"/>
      <c r="AA2211" s="42"/>
      <c r="AB2211" s="42"/>
      <c r="AC2211" s="42"/>
      <c r="AD2211" s="42"/>
      <c r="AE2211" s="42"/>
      <c r="AF2211" s="42"/>
      <c r="AG2211" s="42"/>
      <c r="AH2211" s="42"/>
      <c r="AI2211" s="42"/>
      <c r="AJ2211" s="42"/>
      <c r="AK2211" s="42"/>
      <c r="AL2211" s="42"/>
      <c r="AM2211" s="42"/>
    </row>
    <row r="2212" spans="1:39" x14ac:dyDescent="0.25">
      <c r="A2212" s="35"/>
      <c r="B2212" s="42"/>
      <c r="C2212" s="42"/>
      <c r="D2212" s="42"/>
      <c r="E2212" s="41"/>
      <c r="F2212" s="41"/>
      <c r="G2212" s="41"/>
      <c r="H2212" s="41"/>
      <c r="I2212" s="41"/>
      <c r="J2212" s="42"/>
      <c r="K2212" s="41"/>
      <c r="L2212" s="41"/>
      <c r="M2212" s="127"/>
      <c r="N2212" s="41"/>
      <c r="O2212" s="41"/>
      <c r="P2212" s="41"/>
      <c r="Q2212" s="42"/>
      <c r="R2212" s="35"/>
      <c r="S2212" s="35"/>
      <c r="T2212" s="35"/>
      <c r="U2212" s="35"/>
      <c r="V2212" s="121"/>
      <c r="W2212" s="42"/>
      <c r="X2212" s="42"/>
      <c r="Y2212" s="42"/>
      <c r="Z2212" s="42"/>
      <c r="AA2212" s="42"/>
      <c r="AB2212" s="42"/>
      <c r="AC2212" s="42"/>
      <c r="AD2212" s="42"/>
      <c r="AE2212" s="42"/>
      <c r="AF2212" s="42"/>
      <c r="AG2212" s="42"/>
      <c r="AH2212" s="42"/>
      <c r="AI2212" s="42"/>
      <c r="AJ2212" s="42"/>
      <c r="AK2212" s="42"/>
      <c r="AL2212" s="42"/>
      <c r="AM2212" s="42"/>
    </row>
    <row r="2213" spans="1:39" x14ac:dyDescent="0.25">
      <c r="A2213" s="35"/>
      <c r="B2213" s="42"/>
      <c r="C2213" s="42"/>
      <c r="D2213" s="42"/>
      <c r="E2213" s="41"/>
      <c r="F2213" s="41"/>
      <c r="G2213" s="41"/>
      <c r="H2213" s="41"/>
      <c r="I2213" s="41"/>
      <c r="J2213" s="42"/>
      <c r="K2213" s="41"/>
      <c r="L2213" s="41"/>
      <c r="M2213" s="127"/>
      <c r="N2213" s="41"/>
      <c r="O2213" s="41"/>
      <c r="P2213" s="41"/>
      <c r="Q2213" s="42"/>
      <c r="R2213" s="35"/>
      <c r="S2213" s="35"/>
      <c r="T2213" s="35"/>
      <c r="U2213" s="35"/>
      <c r="V2213" s="121"/>
      <c r="W2213" s="42"/>
      <c r="X2213" s="42"/>
      <c r="Y2213" s="42"/>
      <c r="Z2213" s="42"/>
      <c r="AA2213" s="42"/>
      <c r="AB2213" s="42"/>
      <c r="AC2213" s="42"/>
      <c r="AD2213" s="42"/>
      <c r="AE2213" s="42"/>
      <c r="AF2213" s="42"/>
      <c r="AG2213" s="42"/>
      <c r="AH2213" s="42"/>
      <c r="AI2213" s="42"/>
      <c r="AJ2213" s="42"/>
      <c r="AK2213" s="42"/>
      <c r="AL2213" s="42"/>
      <c r="AM2213" s="42"/>
    </row>
    <row r="2214" spans="1:39" x14ac:dyDescent="0.25">
      <c r="A2214" s="35"/>
      <c r="B2214" s="42"/>
      <c r="C2214" s="42"/>
      <c r="D2214" s="42"/>
      <c r="E2214" s="41"/>
      <c r="F2214" s="41"/>
      <c r="G2214" s="41"/>
      <c r="H2214" s="41"/>
      <c r="I2214" s="41"/>
      <c r="J2214" s="42"/>
      <c r="K2214" s="41"/>
      <c r="L2214" s="41"/>
      <c r="M2214" s="127"/>
      <c r="N2214" s="41"/>
      <c r="O2214" s="41"/>
      <c r="P2214" s="41"/>
      <c r="Q2214" s="42"/>
      <c r="R2214" s="35"/>
      <c r="S2214" s="35"/>
      <c r="T2214" s="35"/>
      <c r="U2214" s="35"/>
      <c r="V2214" s="121"/>
      <c r="W2214" s="42"/>
      <c r="X2214" s="42"/>
      <c r="Y2214" s="42"/>
      <c r="Z2214" s="42"/>
      <c r="AA2214" s="42"/>
      <c r="AB2214" s="42"/>
      <c r="AC2214" s="42"/>
      <c r="AD2214" s="42"/>
      <c r="AE2214" s="42"/>
      <c r="AF2214" s="42"/>
      <c r="AG2214" s="42"/>
      <c r="AH2214" s="42"/>
      <c r="AI2214" s="42"/>
      <c r="AJ2214" s="42"/>
      <c r="AK2214" s="42"/>
      <c r="AL2214" s="42"/>
      <c r="AM2214" s="42"/>
    </row>
    <row r="2215" spans="1:39" x14ac:dyDescent="0.25">
      <c r="A2215" s="35"/>
      <c r="B2215" s="42"/>
      <c r="C2215" s="42"/>
      <c r="D2215" s="42"/>
      <c r="E2215" s="41"/>
      <c r="F2215" s="41"/>
      <c r="G2215" s="41"/>
      <c r="H2215" s="41"/>
      <c r="I2215" s="41"/>
      <c r="J2215" s="42"/>
      <c r="K2215" s="41"/>
      <c r="L2215" s="41"/>
      <c r="M2215" s="127"/>
      <c r="N2215" s="41"/>
      <c r="O2215" s="41"/>
      <c r="P2215" s="41"/>
      <c r="Q2215" s="42"/>
      <c r="R2215" s="35"/>
      <c r="S2215" s="35"/>
      <c r="T2215" s="35"/>
      <c r="U2215" s="35"/>
      <c r="V2215" s="121"/>
      <c r="W2215" s="42"/>
      <c r="X2215" s="42"/>
      <c r="Y2215" s="42"/>
      <c r="Z2215" s="42"/>
      <c r="AA2215" s="42"/>
      <c r="AB2215" s="42"/>
      <c r="AC2215" s="42"/>
      <c r="AD2215" s="42"/>
      <c r="AE2215" s="42"/>
      <c r="AF2215" s="42"/>
      <c r="AG2215" s="42"/>
      <c r="AH2215" s="42"/>
      <c r="AI2215" s="42"/>
      <c r="AJ2215" s="42"/>
      <c r="AK2215" s="42"/>
      <c r="AL2215" s="42"/>
      <c r="AM2215" s="42"/>
    </row>
    <row r="2216" spans="1:39" x14ac:dyDescent="0.25">
      <c r="A2216" s="35"/>
      <c r="B2216" s="42"/>
      <c r="C2216" s="42"/>
      <c r="D2216" s="42"/>
      <c r="E2216" s="41"/>
      <c r="F2216" s="41"/>
      <c r="G2216" s="41"/>
      <c r="H2216" s="41"/>
      <c r="I2216" s="41"/>
      <c r="J2216" s="42"/>
      <c r="K2216" s="41"/>
      <c r="L2216" s="41"/>
      <c r="M2216" s="127"/>
      <c r="N2216" s="41"/>
      <c r="O2216" s="41"/>
      <c r="P2216" s="41"/>
      <c r="Q2216" s="42"/>
      <c r="R2216" s="35"/>
      <c r="S2216" s="35"/>
      <c r="T2216" s="35"/>
      <c r="U2216" s="35"/>
      <c r="V2216" s="121"/>
      <c r="W2216" s="42"/>
      <c r="X2216" s="42"/>
      <c r="Y2216" s="42"/>
      <c r="Z2216" s="42"/>
      <c r="AA2216" s="42"/>
      <c r="AB2216" s="42"/>
      <c r="AC2216" s="42"/>
      <c r="AD2216" s="42"/>
      <c r="AE2216" s="42"/>
      <c r="AF2216" s="42"/>
      <c r="AG2216" s="42"/>
      <c r="AH2216" s="42"/>
      <c r="AI2216" s="42"/>
      <c r="AJ2216" s="42"/>
      <c r="AK2216" s="42"/>
      <c r="AL2216" s="42"/>
      <c r="AM2216" s="42"/>
    </row>
    <row r="2217" spans="1:39" x14ac:dyDescent="0.25">
      <c r="A2217" s="35"/>
      <c r="B2217" s="42"/>
      <c r="C2217" s="42"/>
      <c r="D2217" s="42"/>
      <c r="E2217" s="41"/>
      <c r="F2217" s="41"/>
      <c r="G2217" s="41"/>
      <c r="H2217" s="41"/>
      <c r="I2217" s="41"/>
      <c r="J2217" s="42"/>
      <c r="K2217" s="41"/>
      <c r="L2217" s="41"/>
      <c r="M2217" s="127"/>
      <c r="N2217" s="41"/>
      <c r="O2217" s="41"/>
      <c r="P2217" s="41"/>
      <c r="Q2217" s="42"/>
      <c r="R2217" s="35"/>
      <c r="S2217" s="35"/>
      <c r="T2217" s="35"/>
      <c r="U2217" s="35"/>
      <c r="V2217" s="121"/>
      <c r="W2217" s="42"/>
      <c r="X2217" s="42"/>
      <c r="Y2217" s="42"/>
      <c r="Z2217" s="42"/>
      <c r="AA2217" s="42"/>
      <c r="AB2217" s="42"/>
      <c r="AC2217" s="42"/>
      <c r="AD2217" s="42"/>
      <c r="AE2217" s="42"/>
      <c r="AF2217" s="42"/>
      <c r="AG2217" s="42"/>
      <c r="AH2217" s="42"/>
      <c r="AI2217" s="42"/>
      <c r="AJ2217" s="42"/>
      <c r="AK2217" s="42"/>
      <c r="AL2217" s="42"/>
      <c r="AM2217" s="42"/>
    </row>
    <row r="2218" spans="1:39" x14ac:dyDescent="0.25">
      <c r="A2218" s="35"/>
      <c r="B2218" s="42"/>
      <c r="C2218" s="42"/>
      <c r="D2218" s="42"/>
      <c r="E2218" s="41"/>
      <c r="F2218" s="41"/>
      <c r="G2218" s="41"/>
      <c r="H2218" s="41"/>
      <c r="I2218" s="41"/>
      <c r="J2218" s="42"/>
      <c r="K2218" s="41"/>
      <c r="L2218" s="41"/>
      <c r="M2218" s="127"/>
      <c r="N2218" s="41"/>
      <c r="O2218" s="41"/>
      <c r="P2218" s="41"/>
      <c r="Q2218" s="42"/>
      <c r="R2218" s="35"/>
      <c r="S2218" s="35"/>
      <c r="T2218" s="35"/>
      <c r="U2218" s="35"/>
      <c r="V2218" s="121"/>
      <c r="W2218" s="42"/>
      <c r="X2218" s="42"/>
      <c r="Y2218" s="42"/>
      <c r="Z2218" s="42"/>
      <c r="AA2218" s="42"/>
      <c r="AB2218" s="42"/>
      <c r="AC2218" s="42"/>
      <c r="AD2218" s="42"/>
      <c r="AE2218" s="42"/>
      <c r="AF2218" s="42"/>
      <c r="AG2218" s="42"/>
      <c r="AH2218" s="42"/>
      <c r="AI2218" s="42"/>
      <c r="AJ2218" s="42"/>
      <c r="AK2218" s="42"/>
      <c r="AL2218" s="42"/>
      <c r="AM2218" s="42"/>
    </row>
    <row r="2219" spans="1:39" x14ac:dyDescent="0.25">
      <c r="A2219" s="35"/>
      <c r="B2219" s="42"/>
      <c r="C2219" s="42"/>
      <c r="D2219" s="42"/>
      <c r="E2219" s="41"/>
      <c r="F2219" s="41"/>
      <c r="G2219" s="41"/>
      <c r="H2219" s="41"/>
      <c r="I2219" s="41"/>
      <c r="J2219" s="42"/>
      <c r="K2219" s="41"/>
      <c r="L2219" s="41"/>
      <c r="M2219" s="127"/>
      <c r="N2219" s="41"/>
      <c r="O2219" s="41"/>
      <c r="P2219" s="41"/>
      <c r="Q2219" s="42"/>
      <c r="R2219" s="35"/>
      <c r="S2219" s="35"/>
      <c r="T2219" s="35"/>
      <c r="U2219" s="35"/>
      <c r="V2219" s="121"/>
      <c r="W2219" s="42"/>
      <c r="X2219" s="42"/>
      <c r="Y2219" s="42"/>
      <c r="Z2219" s="42"/>
      <c r="AA2219" s="42"/>
      <c r="AB2219" s="42"/>
      <c r="AC2219" s="42"/>
      <c r="AD2219" s="42"/>
      <c r="AE2219" s="42"/>
      <c r="AF2219" s="42"/>
      <c r="AG2219" s="42"/>
      <c r="AH2219" s="42"/>
      <c r="AI2219" s="42"/>
      <c r="AJ2219" s="42"/>
      <c r="AK2219" s="42"/>
      <c r="AL2219" s="42"/>
      <c r="AM2219" s="42"/>
    </row>
    <row r="2220" spans="1:39" x14ac:dyDescent="0.25">
      <c r="A2220" s="35"/>
      <c r="B2220" s="42"/>
      <c r="C2220" s="42"/>
      <c r="D2220" s="42"/>
      <c r="E2220" s="41"/>
      <c r="F2220" s="41"/>
      <c r="G2220" s="41"/>
      <c r="H2220" s="41"/>
      <c r="I2220" s="41"/>
      <c r="J2220" s="42"/>
      <c r="K2220" s="41"/>
      <c r="L2220" s="41"/>
      <c r="M2220" s="127"/>
      <c r="N2220" s="41"/>
      <c r="O2220" s="41"/>
      <c r="P2220" s="41"/>
      <c r="Q2220" s="42"/>
      <c r="R2220" s="35"/>
      <c r="S2220" s="35"/>
      <c r="T2220" s="35"/>
      <c r="U2220" s="35"/>
      <c r="V2220" s="121"/>
      <c r="W2220" s="42"/>
      <c r="X2220" s="42"/>
      <c r="Y2220" s="42"/>
      <c r="Z2220" s="42"/>
      <c r="AA2220" s="42"/>
      <c r="AB2220" s="42"/>
      <c r="AC2220" s="42"/>
      <c r="AD2220" s="42"/>
      <c r="AE2220" s="42"/>
      <c r="AF2220" s="42"/>
      <c r="AG2220" s="42"/>
      <c r="AH2220" s="42"/>
      <c r="AI2220" s="42"/>
      <c r="AJ2220" s="42"/>
      <c r="AK2220" s="42"/>
      <c r="AL2220" s="42"/>
      <c r="AM2220" s="42"/>
    </row>
    <row r="2221" spans="1:39" x14ac:dyDescent="0.25">
      <c r="A2221" s="35"/>
      <c r="B2221" s="42"/>
      <c r="C2221" s="42"/>
      <c r="D2221" s="42"/>
      <c r="E2221" s="41"/>
      <c r="F2221" s="41"/>
      <c r="G2221" s="41"/>
      <c r="H2221" s="41"/>
      <c r="I2221" s="41"/>
      <c r="J2221" s="42"/>
      <c r="K2221" s="41"/>
      <c r="L2221" s="41"/>
      <c r="M2221" s="127"/>
      <c r="N2221" s="41"/>
      <c r="O2221" s="41"/>
      <c r="P2221" s="41"/>
      <c r="Q2221" s="42"/>
      <c r="R2221" s="35"/>
      <c r="S2221" s="35"/>
      <c r="T2221" s="35"/>
      <c r="U2221" s="35"/>
      <c r="V2221" s="121"/>
      <c r="W2221" s="42"/>
      <c r="X2221" s="42"/>
      <c r="Y2221" s="42"/>
      <c r="Z2221" s="42"/>
      <c r="AA2221" s="42"/>
      <c r="AB2221" s="42"/>
      <c r="AC2221" s="42"/>
      <c r="AD2221" s="42"/>
      <c r="AE2221" s="42"/>
      <c r="AF2221" s="42"/>
      <c r="AG2221" s="42"/>
      <c r="AH2221" s="42"/>
      <c r="AI2221" s="42"/>
      <c r="AJ2221" s="42"/>
      <c r="AK2221" s="42"/>
      <c r="AL2221" s="42"/>
      <c r="AM2221" s="42"/>
    </row>
    <row r="2222" spans="1:39" x14ac:dyDescent="0.25">
      <c r="A2222" s="35"/>
      <c r="B2222" s="42"/>
      <c r="C2222" s="42"/>
      <c r="D2222" s="42"/>
      <c r="E2222" s="41"/>
      <c r="F2222" s="41"/>
      <c r="G2222" s="41"/>
      <c r="H2222" s="41"/>
      <c r="I2222" s="41"/>
      <c r="J2222" s="42"/>
      <c r="K2222" s="41"/>
      <c r="L2222" s="41"/>
      <c r="M2222" s="127"/>
      <c r="N2222" s="41"/>
      <c r="O2222" s="41"/>
      <c r="P2222" s="41"/>
      <c r="Q2222" s="42"/>
      <c r="R2222" s="35"/>
      <c r="S2222" s="35"/>
      <c r="T2222" s="35"/>
      <c r="U2222" s="35"/>
      <c r="V2222" s="121"/>
      <c r="W2222" s="42"/>
      <c r="X2222" s="42"/>
      <c r="Y2222" s="42"/>
      <c r="Z2222" s="42"/>
      <c r="AA2222" s="42"/>
      <c r="AB2222" s="42"/>
      <c r="AC2222" s="42"/>
      <c r="AD2222" s="42"/>
      <c r="AE2222" s="42"/>
      <c r="AF2222" s="42"/>
      <c r="AG2222" s="42"/>
      <c r="AH2222" s="42"/>
      <c r="AI2222" s="42"/>
      <c r="AJ2222" s="42"/>
      <c r="AK2222" s="42"/>
      <c r="AL2222" s="42"/>
      <c r="AM2222" s="42"/>
    </row>
    <row r="2223" spans="1:39" x14ac:dyDescent="0.25">
      <c r="A2223" s="35"/>
      <c r="B2223" s="42"/>
      <c r="C2223" s="42"/>
      <c r="D2223" s="42"/>
      <c r="E2223" s="41"/>
      <c r="F2223" s="41"/>
      <c r="G2223" s="41"/>
      <c r="H2223" s="41"/>
      <c r="I2223" s="41"/>
      <c r="J2223" s="42"/>
      <c r="K2223" s="41"/>
      <c r="L2223" s="41"/>
      <c r="M2223" s="127"/>
      <c r="N2223" s="41"/>
      <c r="O2223" s="41"/>
      <c r="P2223" s="41"/>
      <c r="Q2223" s="42"/>
      <c r="R2223" s="35"/>
      <c r="S2223" s="35"/>
      <c r="T2223" s="35"/>
      <c r="U2223" s="35"/>
      <c r="V2223" s="121"/>
      <c r="W2223" s="42"/>
      <c r="X2223" s="42"/>
      <c r="Y2223" s="42"/>
      <c r="Z2223" s="42"/>
      <c r="AA2223" s="42"/>
      <c r="AB2223" s="42"/>
      <c r="AC2223" s="42"/>
      <c r="AD2223" s="42"/>
      <c r="AE2223" s="42"/>
      <c r="AF2223" s="42"/>
      <c r="AG2223" s="42"/>
      <c r="AH2223" s="42"/>
      <c r="AI2223" s="42"/>
      <c r="AJ2223" s="42"/>
      <c r="AK2223" s="42"/>
      <c r="AL2223" s="42"/>
      <c r="AM2223" s="42"/>
    </row>
    <row r="2224" spans="1:39" x14ac:dyDescent="0.25">
      <c r="A2224" s="35"/>
      <c r="B2224" s="42"/>
      <c r="C2224" s="42"/>
      <c r="D2224" s="42"/>
      <c r="E2224" s="41"/>
      <c r="F2224" s="41"/>
      <c r="G2224" s="41"/>
      <c r="H2224" s="41"/>
      <c r="I2224" s="41"/>
      <c r="J2224" s="42"/>
      <c r="K2224" s="41"/>
      <c r="L2224" s="41"/>
      <c r="M2224" s="127"/>
      <c r="N2224" s="41"/>
      <c r="O2224" s="41"/>
      <c r="P2224" s="41"/>
      <c r="Q2224" s="42"/>
      <c r="R2224" s="35"/>
      <c r="S2224" s="35"/>
      <c r="T2224" s="35"/>
      <c r="U2224" s="35"/>
      <c r="V2224" s="121"/>
      <c r="W2224" s="42"/>
      <c r="X2224" s="42"/>
      <c r="Y2224" s="42"/>
      <c r="Z2224" s="42"/>
      <c r="AA2224" s="42"/>
      <c r="AB2224" s="42"/>
      <c r="AC2224" s="42"/>
      <c r="AD2224" s="42"/>
      <c r="AE2224" s="42"/>
      <c r="AF2224" s="42"/>
      <c r="AG2224" s="42"/>
      <c r="AH2224" s="42"/>
      <c r="AI2224" s="42"/>
      <c r="AJ2224" s="42"/>
      <c r="AK2224" s="42"/>
      <c r="AL2224" s="42"/>
      <c r="AM2224" s="42"/>
    </row>
    <row r="2225" spans="1:39" x14ac:dyDescent="0.25">
      <c r="A2225" s="35"/>
      <c r="B2225" s="42"/>
      <c r="C2225" s="42"/>
      <c r="D2225" s="42"/>
      <c r="E2225" s="41"/>
      <c r="F2225" s="41"/>
      <c r="G2225" s="41"/>
      <c r="H2225" s="41"/>
      <c r="I2225" s="41"/>
      <c r="J2225" s="42"/>
      <c r="K2225" s="41"/>
      <c r="L2225" s="41"/>
      <c r="M2225" s="127"/>
      <c r="N2225" s="41"/>
      <c r="O2225" s="41"/>
      <c r="P2225" s="41"/>
      <c r="Q2225" s="42"/>
      <c r="R2225" s="35"/>
      <c r="S2225" s="35"/>
      <c r="T2225" s="35"/>
      <c r="U2225" s="35"/>
      <c r="V2225" s="121"/>
      <c r="W2225" s="42"/>
      <c r="X2225" s="42"/>
      <c r="Y2225" s="42"/>
      <c r="Z2225" s="42"/>
      <c r="AA2225" s="42"/>
      <c r="AB2225" s="42"/>
      <c r="AC2225" s="42"/>
      <c r="AD2225" s="42"/>
      <c r="AE2225" s="42"/>
      <c r="AF2225" s="42"/>
      <c r="AG2225" s="42"/>
      <c r="AH2225" s="42"/>
      <c r="AI2225" s="42"/>
      <c r="AJ2225" s="42"/>
      <c r="AK2225" s="42"/>
      <c r="AL2225" s="42"/>
      <c r="AM2225" s="42"/>
    </row>
    <row r="2226" spans="1:39" x14ac:dyDescent="0.25">
      <c r="A2226" s="35"/>
      <c r="B2226" s="42"/>
      <c r="C2226" s="42"/>
      <c r="D2226" s="42"/>
      <c r="E2226" s="41"/>
      <c r="F2226" s="41"/>
      <c r="G2226" s="41"/>
      <c r="H2226" s="41"/>
      <c r="I2226" s="41"/>
      <c r="J2226" s="42"/>
      <c r="K2226" s="41"/>
      <c r="L2226" s="41"/>
      <c r="M2226" s="127"/>
      <c r="N2226" s="41"/>
      <c r="O2226" s="41"/>
      <c r="P2226" s="41"/>
      <c r="Q2226" s="42"/>
      <c r="R2226" s="35"/>
      <c r="S2226" s="35"/>
      <c r="T2226" s="35"/>
      <c r="U2226" s="35"/>
      <c r="V2226" s="121"/>
      <c r="W2226" s="42"/>
      <c r="X2226" s="42"/>
      <c r="Y2226" s="42"/>
      <c r="Z2226" s="42"/>
      <c r="AA2226" s="42"/>
      <c r="AB2226" s="42"/>
      <c r="AC2226" s="42"/>
      <c r="AD2226" s="42"/>
      <c r="AE2226" s="42"/>
      <c r="AF2226" s="42"/>
      <c r="AG2226" s="42"/>
      <c r="AH2226" s="42"/>
      <c r="AI2226" s="42"/>
      <c r="AJ2226" s="42"/>
      <c r="AK2226" s="42"/>
      <c r="AL2226" s="42"/>
      <c r="AM2226" s="42"/>
    </row>
    <row r="2227" spans="1:39" x14ac:dyDescent="0.25">
      <c r="A2227" s="35"/>
      <c r="B2227" s="42"/>
      <c r="C2227" s="42"/>
      <c r="D2227" s="42"/>
      <c r="E2227" s="41"/>
      <c r="F2227" s="41"/>
      <c r="G2227" s="41"/>
      <c r="H2227" s="41"/>
      <c r="I2227" s="41"/>
      <c r="J2227" s="42"/>
      <c r="K2227" s="41"/>
      <c r="L2227" s="41"/>
      <c r="M2227" s="127"/>
      <c r="N2227" s="41"/>
      <c r="O2227" s="41"/>
      <c r="P2227" s="41"/>
      <c r="Q2227" s="42"/>
      <c r="R2227" s="35"/>
      <c r="S2227" s="35"/>
      <c r="T2227" s="35"/>
      <c r="U2227" s="35"/>
      <c r="V2227" s="121"/>
      <c r="W2227" s="42"/>
      <c r="X2227" s="42"/>
      <c r="Y2227" s="42"/>
      <c r="Z2227" s="42"/>
      <c r="AA2227" s="42"/>
      <c r="AB2227" s="42"/>
      <c r="AC2227" s="42"/>
      <c r="AD2227" s="42"/>
      <c r="AE2227" s="42"/>
      <c r="AF2227" s="42"/>
      <c r="AG2227" s="42"/>
      <c r="AH2227" s="42"/>
      <c r="AI2227" s="42"/>
      <c r="AJ2227" s="42"/>
      <c r="AK2227" s="42"/>
      <c r="AL2227" s="42"/>
      <c r="AM2227" s="42"/>
    </row>
    <row r="2228" spans="1:39" x14ac:dyDescent="0.25">
      <c r="A2228" s="35"/>
      <c r="B2228" s="42"/>
      <c r="C2228" s="42"/>
      <c r="D2228" s="42"/>
      <c r="E2228" s="41"/>
      <c r="F2228" s="41"/>
      <c r="G2228" s="41"/>
      <c r="H2228" s="41"/>
      <c r="I2228" s="41"/>
      <c r="J2228" s="42"/>
      <c r="K2228" s="41"/>
      <c r="L2228" s="41"/>
      <c r="M2228" s="127"/>
      <c r="N2228" s="41"/>
      <c r="O2228" s="41"/>
      <c r="P2228" s="41"/>
      <c r="Q2228" s="42"/>
      <c r="R2228" s="35"/>
      <c r="S2228" s="35"/>
      <c r="T2228" s="35"/>
      <c r="U2228" s="35"/>
      <c r="V2228" s="121"/>
      <c r="W2228" s="42"/>
      <c r="X2228" s="42"/>
      <c r="Y2228" s="42"/>
      <c r="Z2228" s="42"/>
      <c r="AA2228" s="42"/>
      <c r="AB2228" s="42"/>
      <c r="AC2228" s="42"/>
      <c r="AD2228" s="42"/>
      <c r="AE2228" s="42"/>
      <c r="AF2228" s="42"/>
      <c r="AG2228" s="42"/>
      <c r="AH2228" s="42"/>
      <c r="AI2228" s="42"/>
      <c r="AJ2228" s="42"/>
      <c r="AK2228" s="42"/>
      <c r="AL2228" s="42"/>
      <c r="AM2228" s="42"/>
    </row>
    <row r="2229" spans="1:39" x14ac:dyDescent="0.25">
      <c r="A2229" s="35"/>
      <c r="B2229" s="42"/>
      <c r="C2229" s="42"/>
      <c r="D2229" s="42"/>
      <c r="E2229" s="41"/>
      <c r="F2229" s="41"/>
      <c r="G2229" s="41"/>
      <c r="H2229" s="41"/>
      <c r="I2229" s="41"/>
      <c r="J2229" s="42"/>
      <c r="K2229" s="41"/>
      <c r="L2229" s="41"/>
      <c r="M2229" s="127"/>
      <c r="N2229" s="41"/>
      <c r="O2229" s="41"/>
      <c r="P2229" s="41"/>
      <c r="Q2229" s="42"/>
      <c r="R2229" s="35"/>
      <c r="S2229" s="35"/>
      <c r="T2229" s="35"/>
      <c r="U2229" s="35"/>
      <c r="V2229" s="121"/>
      <c r="W2229" s="42"/>
      <c r="X2229" s="42"/>
      <c r="Y2229" s="42"/>
      <c r="Z2229" s="42"/>
      <c r="AA2229" s="42"/>
      <c r="AB2229" s="42"/>
      <c r="AC2229" s="42"/>
      <c r="AD2229" s="42"/>
      <c r="AE2229" s="42"/>
      <c r="AF2229" s="42"/>
      <c r="AG2229" s="42"/>
      <c r="AH2229" s="42"/>
      <c r="AI2229" s="42"/>
      <c r="AJ2229" s="42"/>
      <c r="AK2229" s="42"/>
      <c r="AL2229" s="42"/>
      <c r="AM2229" s="42"/>
    </row>
    <row r="2230" spans="1:39" x14ac:dyDescent="0.25">
      <c r="A2230" s="35"/>
      <c r="B2230" s="42"/>
      <c r="C2230" s="42"/>
      <c r="D2230" s="42"/>
      <c r="E2230" s="41"/>
      <c r="F2230" s="41"/>
      <c r="G2230" s="41"/>
      <c r="H2230" s="41"/>
      <c r="I2230" s="41"/>
      <c r="J2230" s="42"/>
      <c r="K2230" s="41"/>
      <c r="L2230" s="41"/>
      <c r="M2230" s="127"/>
      <c r="N2230" s="41"/>
      <c r="O2230" s="41"/>
      <c r="P2230" s="41"/>
      <c r="Q2230" s="42"/>
      <c r="R2230" s="35"/>
      <c r="S2230" s="35"/>
      <c r="T2230" s="35"/>
      <c r="U2230" s="35"/>
      <c r="V2230" s="121"/>
      <c r="W2230" s="42"/>
      <c r="X2230" s="42"/>
      <c r="Y2230" s="42"/>
      <c r="Z2230" s="42"/>
      <c r="AA2230" s="42"/>
      <c r="AB2230" s="42"/>
      <c r="AC2230" s="42"/>
      <c r="AD2230" s="42"/>
      <c r="AE2230" s="42"/>
      <c r="AF2230" s="42"/>
      <c r="AG2230" s="42"/>
      <c r="AH2230" s="42"/>
      <c r="AI2230" s="42"/>
      <c r="AJ2230" s="42"/>
      <c r="AK2230" s="42"/>
      <c r="AL2230" s="42"/>
      <c r="AM2230" s="42"/>
    </row>
    <row r="2231" spans="1:39" x14ac:dyDescent="0.25">
      <c r="A2231" s="35"/>
      <c r="B2231" s="42"/>
      <c r="C2231" s="42"/>
      <c r="D2231" s="42"/>
      <c r="E2231" s="41"/>
      <c r="F2231" s="41"/>
      <c r="G2231" s="41"/>
      <c r="H2231" s="41"/>
      <c r="I2231" s="41"/>
      <c r="J2231" s="42"/>
      <c r="K2231" s="41"/>
      <c r="L2231" s="41"/>
      <c r="M2231" s="127"/>
      <c r="N2231" s="41"/>
      <c r="O2231" s="41"/>
      <c r="P2231" s="41"/>
      <c r="Q2231" s="42"/>
      <c r="R2231" s="35"/>
      <c r="S2231" s="35"/>
      <c r="T2231" s="35"/>
      <c r="U2231" s="35"/>
      <c r="V2231" s="121"/>
      <c r="W2231" s="42"/>
      <c r="X2231" s="42"/>
      <c r="Y2231" s="42"/>
      <c r="Z2231" s="42"/>
      <c r="AA2231" s="42"/>
      <c r="AB2231" s="42"/>
      <c r="AC2231" s="42"/>
      <c r="AD2231" s="42"/>
      <c r="AE2231" s="42"/>
      <c r="AF2231" s="42"/>
      <c r="AG2231" s="42"/>
      <c r="AH2231" s="42"/>
      <c r="AI2231" s="42"/>
      <c r="AJ2231" s="42"/>
      <c r="AK2231" s="42"/>
      <c r="AL2231" s="42"/>
      <c r="AM2231" s="42"/>
    </row>
    <row r="2232" spans="1:39" x14ac:dyDescent="0.25">
      <c r="A2232" s="35"/>
      <c r="B2232" s="42"/>
      <c r="C2232" s="42"/>
      <c r="D2232" s="42"/>
      <c r="E2232" s="41"/>
      <c r="F2232" s="41"/>
      <c r="G2232" s="41"/>
      <c r="H2232" s="41"/>
      <c r="I2232" s="41"/>
      <c r="J2232" s="42"/>
      <c r="K2232" s="41"/>
      <c r="L2232" s="41"/>
      <c r="M2232" s="127"/>
      <c r="N2232" s="41"/>
      <c r="O2232" s="41"/>
      <c r="P2232" s="41"/>
      <c r="Q2232" s="42"/>
      <c r="R2232" s="35"/>
      <c r="S2232" s="35"/>
      <c r="T2232" s="35"/>
      <c r="U2232" s="35"/>
      <c r="V2232" s="121"/>
      <c r="W2232" s="42"/>
      <c r="X2232" s="42"/>
      <c r="Y2232" s="42"/>
      <c r="Z2232" s="42"/>
      <c r="AA2232" s="42"/>
      <c r="AB2232" s="42"/>
      <c r="AC2232" s="42"/>
      <c r="AD2232" s="42"/>
      <c r="AE2232" s="42"/>
      <c r="AF2232" s="42"/>
      <c r="AG2232" s="42"/>
      <c r="AH2232" s="42"/>
      <c r="AI2232" s="42"/>
      <c r="AJ2232" s="42"/>
      <c r="AK2232" s="42"/>
      <c r="AL2232" s="42"/>
      <c r="AM2232" s="42"/>
    </row>
    <row r="2233" spans="1:39" x14ac:dyDescent="0.25">
      <c r="A2233" s="35"/>
      <c r="B2233" s="42"/>
      <c r="C2233" s="42"/>
      <c r="D2233" s="42"/>
      <c r="E2233" s="41"/>
      <c r="F2233" s="41"/>
      <c r="G2233" s="41"/>
      <c r="H2233" s="41"/>
      <c r="I2233" s="41"/>
      <c r="J2233" s="42"/>
      <c r="K2233" s="41"/>
      <c r="L2233" s="41"/>
      <c r="M2233" s="127"/>
      <c r="N2233" s="41"/>
      <c r="O2233" s="41"/>
      <c r="P2233" s="41"/>
      <c r="Q2233" s="42"/>
      <c r="R2233" s="35"/>
      <c r="S2233" s="35"/>
      <c r="T2233" s="35"/>
      <c r="U2233" s="35"/>
      <c r="V2233" s="121"/>
      <c r="W2233" s="42"/>
      <c r="X2233" s="42"/>
      <c r="Y2233" s="42"/>
      <c r="Z2233" s="42"/>
      <c r="AA2233" s="42"/>
      <c r="AB2233" s="42"/>
      <c r="AC2233" s="42"/>
      <c r="AD2233" s="42"/>
      <c r="AE2233" s="42"/>
      <c r="AF2233" s="42"/>
      <c r="AG2233" s="42"/>
      <c r="AH2233" s="42"/>
      <c r="AI2233" s="42"/>
      <c r="AJ2233" s="42"/>
      <c r="AK2233" s="42"/>
      <c r="AL2233" s="42"/>
      <c r="AM2233" s="42"/>
    </row>
    <row r="2234" spans="1:39" x14ac:dyDescent="0.25">
      <c r="A2234" s="35"/>
      <c r="B2234" s="42"/>
      <c r="C2234" s="42"/>
      <c r="D2234" s="42"/>
      <c r="E2234" s="41"/>
      <c r="F2234" s="41"/>
      <c r="G2234" s="41"/>
      <c r="H2234" s="41"/>
      <c r="I2234" s="41"/>
      <c r="J2234" s="42"/>
      <c r="K2234" s="41"/>
      <c r="L2234" s="41"/>
      <c r="M2234" s="127"/>
      <c r="N2234" s="41"/>
      <c r="O2234" s="41"/>
      <c r="P2234" s="41"/>
      <c r="Q2234" s="42"/>
      <c r="R2234" s="35"/>
      <c r="S2234" s="35"/>
      <c r="T2234" s="35"/>
      <c r="U2234" s="35"/>
      <c r="V2234" s="121"/>
      <c r="W2234" s="42"/>
      <c r="X2234" s="42"/>
      <c r="Y2234" s="42"/>
      <c r="Z2234" s="42"/>
      <c r="AA2234" s="42"/>
      <c r="AB2234" s="42"/>
      <c r="AC2234" s="42"/>
      <c r="AD2234" s="42"/>
      <c r="AE2234" s="42"/>
      <c r="AF2234" s="42"/>
      <c r="AG2234" s="42"/>
      <c r="AH2234" s="42"/>
      <c r="AI2234" s="42"/>
      <c r="AJ2234" s="42"/>
      <c r="AK2234" s="42"/>
      <c r="AL2234" s="42"/>
      <c r="AM2234" s="42"/>
    </row>
    <row r="2235" spans="1:39" x14ac:dyDescent="0.25">
      <c r="A2235" s="35"/>
      <c r="B2235" s="42"/>
      <c r="C2235" s="42"/>
      <c r="D2235" s="42"/>
      <c r="E2235" s="41"/>
      <c r="F2235" s="41"/>
      <c r="G2235" s="41"/>
      <c r="H2235" s="41"/>
      <c r="I2235" s="41"/>
      <c r="J2235" s="42"/>
      <c r="K2235" s="41"/>
      <c r="L2235" s="41"/>
      <c r="M2235" s="127"/>
      <c r="N2235" s="41"/>
      <c r="O2235" s="41"/>
      <c r="P2235" s="41"/>
      <c r="Q2235" s="42"/>
      <c r="R2235" s="35"/>
      <c r="S2235" s="35"/>
      <c r="T2235" s="35"/>
      <c r="U2235" s="35"/>
      <c r="V2235" s="121"/>
      <c r="W2235" s="42"/>
      <c r="X2235" s="42"/>
      <c r="Y2235" s="42"/>
      <c r="Z2235" s="42"/>
      <c r="AA2235" s="42"/>
      <c r="AB2235" s="42"/>
      <c r="AC2235" s="42"/>
      <c r="AD2235" s="42"/>
      <c r="AE2235" s="42"/>
      <c r="AF2235" s="42"/>
      <c r="AG2235" s="42"/>
      <c r="AH2235" s="42"/>
      <c r="AI2235" s="42"/>
      <c r="AJ2235" s="42"/>
      <c r="AK2235" s="42"/>
      <c r="AL2235" s="42"/>
      <c r="AM2235" s="42"/>
    </row>
    <row r="2236" spans="1:39" x14ac:dyDescent="0.25">
      <c r="A2236" s="35"/>
      <c r="B2236" s="42"/>
      <c r="C2236" s="42"/>
      <c r="D2236" s="42"/>
      <c r="E2236" s="41"/>
      <c r="F2236" s="41"/>
      <c r="G2236" s="41"/>
      <c r="H2236" s="41"/>
      <c r="I2236" s="41"/>
      <c r="J2236" s="42"/>
      <c r="K2236" s="41"/>
      <c r="L2236" s="41"/>
      <c r="M2236" s="127"/>
      <c r="N2236" s="41"/>
      <c r="O2236" s="41"/>
      <c r="P2236" s="41"/>
      <c r="Q2236" s="42"/>
      <c r="R2236" s="35"/>
      <c r="S2236" s="35"/>
      <c r="T2236" s="35"/>
      <c r="U2236" s="35"/>
      <c r="V2236" s="121"/>
      <c r="W2236" s="42"/>
      <c r="X2236" s="42"/>
      <c r="Y2236" s="42"/>
      <c r="Z2236" s="42"/>
      <c r="AA2236" s="42"/>
      <c r="AB2236" s="42"/>
      <c r="AC2236" s="42"/>
      <c r="AD2236" s="42"/>
      <c r="AE2236" s="42"/>
      <c r="AF2236" s="42"/>
      <c r="AG2236" s="42"/>
      <c r="AH2236" s="42"/>
      <c r="AI2236" s="42"/>
      <c r="AJ2236" s="42"/>
      <c r="AK2236" s="42"/>
      <c r="AL2236" s="42"/>
      <c r="AM2236" s="42"/>
    </row>
    <row r="2237" spans="1:39" x14ac:dyDescent="0.25">
      <c r="A2237" s="35"/>
      <c r="B2237" s="42"/>
      <c r="C2237" s="42"/>
      <c r="D2237" s="42"/>
      <c r="E2237" s="41"/>
      <c r="F2237" s="41"/>
      <c r="G2237" s="41"/>
      <c r="H2237" s="41"/>
      <c r="I2237" s="41"/>
      <c r="J2237" s="42"/>
      <c r="K2237" s="41"/>
      <c r="L2237" s="41"/>
      <c r="M2237" s="127"/>
      <c r="N2237" s="41"/>
      <c r="O2237" s="41"/>
      <c r="P2237" s="41"/>
      <c r="Q2237" s="42"/>
      <c r="R2237" s="35"/>
      <c r="S2237" s="35"/>
      <c r="T2237" s="35"/>
      <c r="U2237" s="35"/>
      <c r="V2237" s="121"/>
      <c r="W2237" s="42"/>
      <c r="X2237" s="42"/>
      <c r="Y2237" s="42"/>
      <c r="Z2237" s="42"/>
      <c r="AA2237" s="42"/>
      <c r="AB2237" s="42"/>
      <c r="AC2237" s="42"/>
      <c r="AD2237" s="42"/>
      <c r="AE2237" s="42"/>
      <c r="AF2237" s="42"/>
      <c r="AG2237" s="42"/>
      <c r="AH2237" s="42"/>
      <c r="AI2237" s="42"/>
      <c r="AJ2237" s="42"/>
      <c r="AK2237" s="42"/>
      <c r="AL2237" s="42"/>
      <c r="AM2237" s="42"/>
    </row>
    <row r="2238" spans="1:39" x14ac:dyDescent="0.25">
      <c r="A2238" s="35"/>
      <c r="B2238" s="42"/>
      <c r="C2238" s="42"/>
      <c r="D2238" s="42"/>
      <c r="E2238" s="41"/>
      <c r="F2238" s="41"/>
      <c r="G2238" s="41"/>
      <c r="H2238" s="41"/>
      <c r="I2238" s="41"/>
      <c r="J2238" s="42"/>
      <c r="K2238" s="41"/>
      <c r="L2238" s="41"/>
      <c r="M2238" s="127"/>
      <c r="N2238" s="41"/>
      <c r="O2238" s="41"/>
      <c r="P2238" s="41"/>
      <c r="Q2238" s="42"/>
      <c r="R2238" s="35"/>
      <c r="S2238" s="35"/>
      <c r="T2238" s="35"/>
      <c r="U2238" s="35"/>
      <c r="V2238" s="121"/>
      <c r="W2238" s="42"/>
      <c r="X2238" s="42"/>
      <c r="Y2238" s="42"/>
      <c r="Z2238" s="42"/>
      <c r="AA2238" s="42"/>
      <c r="AB2238" s="42"/>
      <c r="AC2238" s="42"/>
      <c r="AD2238" s="42"/>
      <c r="AE2238" s="42"/>
      <c r="AF2238" s="42"/>
      <c r="AG2238" s="42"/>
      <c r="AH2238" s="42"/>
      <c r="AI2238" s="42"/>
      <c r="AJ2238" s="42"/>
      <c r="AK2238" s="42"/>
      <c r="AL2238" s="42"/>
      <c r="AM2238" s="42"/>
    </row>
    <row r="2239" spans="1:39" x14ac:dyDescent="0.25">
      <c r="A2239" s="35"/>
      <c r="B2239" s="42"/>
      <c r="C2239" s="42"/>
      <c r="D2239" s="42"/>
      <c r="E2239" s="41"/>
      <c r="F2239" s="41"/>
      <c r="G2239" s="41"/>
      <c r="H2239" s="41"/>
      <c r="I2239" s="41"/>
      <c r="J2239" s="42"/>
      <c r="K2239" s="41"/>
      <c r="L2239" s="41"/>
      <c r="M2239" s="127"/>
      <c r="N2239" s="41"/>
      <c r="O2239" s="41"/>
      <c r="P2239" s="41"/>
      <c r="Q2239" s="42"/>
      <c r="R2239" s="35"/>
      <c r="S2239" s="35"/>
      <c r="T2239" s="35"/>
      <c r="U2239" s="35"/>
      <c r="V2239" s="121"/>
      <c r="W2239" s="42"/>
      <c r="X2239" s="42"/>
      <c r="Y2239" s="42"/>
      <c r="Z2239" s="42"/>
      <c r="AA2239" s="42"/>
      <c r="AB2239" s="42"/>
      <c r="AC2239" s="42"/>
      <c r="AD2239" s="42"/>
      <c r="AE2239" s="42"/>
      <c r="AF2239" s="42"/>
      <c r="AG2239" s="42"/>
      <c r="AH2239" s="42"/>
      <c r="AI2239" s="42"/>
      <c r="AJ2239" s="42"/>
      <c r="AK2239" s="42"/>
      <c r="AL2239" s="42"/>
      <c r="AM2239" s="42"/>
    </row>
    <row r="2240" spans="1:39" x14ac:dyDescent="0.25">
      <c r="A2240" s="35"/>
      <c r="B2240" s="42"/>
      <c r="C2240" s="42"/>
      <c r="D2240" s="42"/>
      <c r="E2240" s="41"/>
      <c r="F2240" s="41"/>
      <c r="G2240" s="41"/>
      <c r="H2240" s="41"/>
      <c r="I2240" s="41"/>
      <c r="J2240" s="42"/>
      <c r="K2240" s="41"/>
      <c r="L2240" s="41"/>
      <c r="M2240" s="127"/>
      <c r="N2240" s="41"/>
      <c r="O2240" s="41"/>
      <c r="P2240" s="41"/>
      <c r="Q2240" s="42"/>
      <c r="R2240" s="35"/>
      <c r="S2240" s="35"/>
      <c r="T2240" s="35"/>
      <c r="U2240" s="35"/>
      <c r="V2240" s="121"/>
      <c r="W2240" s="42"/>
      <c r="X2240" s="42"/>
      <c r="Y2240" s="42"/>
      <c r="Z2240" s="42"/>
      <c r="AA2240" s="42"/>
      <c r="AB2240" s="42"/>
      <c r="AC2240" s="42"/>
      <c r="AD2240" s="42"/>
      <c r="AE2240" s="42"/>
      <c r="AF2240" s="42"/>
      <c r="AG2240" s="42"/>
      <c r="AH2240" s="42"/>
      <c r="AI2240" s="42"/>
      <c r="AJ2240" s="42"/>
      <c r="AK2240" s="42"/>
      <c r="AL2240" s="42"/>
      <c r="AM2240" s="42"/>
    </row>
    <row r="2241" spans="1:39" x14ac:dyDescent="0.25">
      <c r="A2241" s="35"/>
      <c r="B2241" s="42"/>
      <c r="C2241" s="42"/>
      <c r="D2241" s="42"/>
      <c r="E2241" s="41"/>
      <c r="F2241" s="41"/>
      <c r="G2241" s="41"/>
      <c r="H2241" s="41"/>
      <c r="I2241" s="41"/>
      <c r="J2241" s="42"/>
      <c r="K2241" s="41"/>
      <c r="L2241" s="41"/>
      <c r="M2241" s="127"/>
      <c r="N2241" s="41"/>
      <c r="O2241" s="41"/>
      <c r="P2241" s="41"/>
      <c r="Q2241" s="42"/>
      <c r="R2241" s="35"/>
      <c r="S2241" s="35"/>
      <c r="T2241" s="35"/>
      <c r="U2241" s="35"/>
      <c r="V2241" s="121"/>
      <c r="W2241" s="42"/>
      <c r="X2241" s="42"/>
      <c r="Y2241" s="42"/>
      <c r="Z2241" s="42"/>
      <c r="AA2241" s="42"/>
      <c r="AB2241" s="42"/>
      <c r="AC2241" s="42"/>
      <c r="AD2241" s="42"/>
      <c r="AE2241" s="42"/>
      <c r="AF2241" s="42"/>
      <c r="AG2241" s="42"/>
      <c r="AH2241" s="42"/>
      <c r="AI2241" s="42"/>
      <c r="AJ2241" s="42"/>
      <c r="AK2241" s="42"/>
      <c r="AL2241" s="42"/>
      <c r="AM2241" s="42"/>
    </row>
    <row r="2242" spans="1:39" x14ac:dyDescent="0.25">
      <c r="A2242" s="35"/>
      <c r="B2242" s="42"/>
      <c r="C2242" s="42"/>
      <c r="D2242" s="42"/>
      <c r="E2242" s="41"/>
      <c r="F2242" s="41"/>
      <c r="G2242" s="41"/>
      <c r="H2242" s="41"/>
      <c r="I2242" s="41"/>
      <c r="J2242" s="42"/>
      <c r="K2242" s="41"/>
      <c r="L2242" s="41"/>
      <c r="M2242" s="127"/>
      <c r="N2242" s="41"/>
      <c r="O2242" s="41"/>
      <c r="P2242" s="41"/>
      <c r="Q2242" s="42"/>
      <c r="R2242" s="35"/>
      <c r="S2242" s="35"/>
      <c r="T2242" s="35"/>
      <c r="U2242" s="35"/>
      <c r="V2242" s="121"/>
      <c r="W2242" s="42"/>
      <c r="X2242" s="42"/>
      <c r="Y2242" s="42"/>
      <c r="Z2242" s="42"/>
      <c r="AA2242" s="42"/>
      <c r="AB2242" s="42"/>
      <c r="AC2242" s="42"/>
      <c r="AD2242" s="42"/>
      <c r="AE2242" s="42"/>
      <c r="AF2242" s="42"/>
      <c r="AG2242" s="42"/>
      <c r="AH2242" s="42"/>
      <c r="AI2242" s="42"/>
      <c r="AJ2242" s="42"/>
      <c r="AK2242" s="42"/>
      <c r="AL2242" s="42"/>
      <c r="AM2242" s="42"/>
    </row>
    <row r="2243" spans="1:39" x14ac:dyDescent="0.25">
      <c r="A2243" s="35"/>
      <c r="B2243" s="42"/>
      <c r="C2243" s="42"/>
      <c r="D2243" s="42"/>
      <c r="E2243" s="41"/>
      <c r="F2243" s="41"/>
      <c r="G2243" s="41"/>
      <c r="H2243" s="41"/>
      <c r="I2243" s="41"/>
      <c r="J2243" s="42"/>
      <c r="K2243" s="41"/>
      <c r="L2243" s="41"/>
      <c r="M2243" s="127"/>
      <c r="N2243" s="41"/>
      <c r="O2243" s="41"/>
      <c r="P2243" s="41"/>
      <c r="Q2243" s="42"/>
      <c r="R2243" s="35"/>
      <c r="S2243" s="35"/>
      <c r="T2243" s="35"/>
      <c r="U2243" s="35"/>
      <c r="V2243" s="121"/>
      <c r="W2243" s="42"/>
      <c r="X2243" s="42"/>
      <c r="Y2243" s="42"/>
      <c r="Z2243" s="42"/>
      <c r="AA2243" s="42"/>
      <c r="AB2243" s="42"/>
      <c r="AC2243" s="42"/>
      <c r="AD2243" s="42"/>
      <c r="AE2243" s="42"/>
      <c r="AF2243" s="42"/>
      <c r="AG2243" s="42"/>
      <c r="AH2243" s="42"/>
      <c r="AI2243" s="42"/>
      <c r="AJ2243" s="42"/>
      <c r="AK2243" s="42"/>
      <c r="AL2243" s="42"/>
      <c r="AM2243" s="42"/>
    </row>
    <row r="2244" spans="1:39" x14ac:dyDescent="0.25">
      <c r="A2244" s="35"/>
      <c r="B2244" s="42"/>
      <c r="C2244" s="42"/>
      <c r="D2244" s="42"/>
      <c r="E2244" s="41"/>
      <c r="F2244" s="41"/>
      <c r="G2244" s="41"/>
      <c r="H2244" s="41"/>
      <c r="I2244" s="41"/>
      <c r="J2244" s="42"/>
      <c r="K2244" s="41"/>
      <c r="L2244" s="41"/>
      <c r="M2244" s="127"/>
      <c r="N2244" s="41"/>
      <c r="O2244" s="41"/>
      <c r="P2244" s="41"/>
      <c r="Q2244" s="42"/>
      <c r="R2244" s="35"/>
      <c r="S2244" s="35"/>
      <c r="T2244" s="35"/>
      <c r="U2244" s="35"/>
      <c r="V2244" s="121"/>
      <c r="W2244" s="42"/>
      <c r="X2244" s="42"/>
      <c r="Y2244" s="42"/>
      <c r="Z2244" s="42"/>
      <c r="AA2244" s="42"/>
      <c r="AB2244" s="42"/>
      <c r="AC2244" s="42"/>
      <c r="AD2244" s="42"/>
      <c r="AE2244" s="42"/>
      <c r="AF2244" s="42"/>
      <c r="AG2244" s="42"/>
      <c r="AH2244" s="42"/>
      <c r="AI2244" s="42"/>
      <c r="AJ2244" s="42"/>
      <c r="AK2244" s="42"/>
      <c r="AL2244" s="42"/>
      <c r="AM2244" s="42"/>
    </row>
    <row r="2245" spans="1:39" x14ac:dyDescent="0.25">
      <c r="A2245" s="35"/>
      <c r="B2245" s="42"/>
      <c r="C2245" s="42"/>
      <c r="D2245" s="42"/>
      <c r="E2245" s="41"/>
      <c r="F2245" s="41"/>
      <c r="G2245" s="41"/>
      <c r="H2245" s="41"/>
      <c r="I2245" s="41"/>
      <c r="J2245" s="42"/>
      <c r="K2245" s="41"/>
      <c r="L2245" s="41"/>
      <c r="M2245" s="127"/>
      <c r="N2245" s="41"/>
      <c r="O2245" s="41"/>
      <c r="P2245" s="41"/>
      <c r="Q2245" s="42"/>
      <c r="R2245" s="35"/>
      <c r="S2245" s="35"/>
      <c r="T2245" s="35"/>
      <c r="U2245" s="35"/>
      <c r="V2245" s="121"/>
      <c r="W2245" s="42"/>
      <c r="X2245" s="42"/>
      <c r="Y2245" s="42"/>
      <c r="Z2245" s="42"/>
      <c r="AA2245" s="42"/>
      <c r="AB2245" s="42"/>
      <c r="AC2245" s="42"/>
      <c r="AD2245" s="42"/>
      <c r="AE2245" s="42"/>
      <c r="AF2245" s="42"/>
      <c r="AG2245" s="42"/>
      <c r="AH2245" s="42"/>
      <c r="AI2245" s="42"/>
      <c r="AJ2245" s="42"/>
      <c r="AK2245" s="42"/>
      <c r="AL2245" s="42"/>
      <c r="AM2245" s="42"/>
    </row>
    <row r="2246" spans="1:39" x14ac:dyDescent="0.25">
      <c r="A2246" s="35"/>
      <c r="B2246" s="42"/>
      <c r="C2246" s="42"/>
      <c r="D2246" s="42"/>
      <c r="E2246" s="41"/>
      <c r="F2246" s="41"/>
      <c r="G2246" s="41"/>
      <c r="H2246" s="41"/>
      <c r="I2246" s="41"/>
      <c r="J2246" s="42"/>
      <c r="K2246" s="41"/>
      <c r="L2246" s="41"/>
      <c r="M2246" s="127"/>
      <c r="N2246" s="41"/>
      <c r="O2246" s="41"/>
      <c r="P2246" s="41"/>
      <c r="Q2246" s="42"/>
      <c r="R2246" s="35"/>
      <c r="S2246" s="35"/>
      <c r="T2246" s="35"/>
      <c r="U2246" s="35"/>
      <c r="V2246" s="121"/>
      <c r="W2246" s="42"/>
      <c r="X2246" s="42"/>
      <c r="Y2246" s="42"/>
      <c r="Z2246" s="42"/>
      <c r="AA2246" s="42"/>
      <c r="AB2246" s="42"/>
      <c r="AC2246" s="42"/>
      <c r="AD2246" s="42"/>
      <c r="AE2246" s="42"/>
      <c r="AF2246" s="42"/>
      <c r="AG2246" s="42"/>
      <c r="AH2246" s="42"/>
      <c r="AI2246" s="42"/>
      <c r="AJ2246" s="42"/>
      <c r="AK2246" s="42"/>
      <c r="AL2246" s="42"/>
      <c r="AM2246" s="42"/>
    </row>
    <row r="2247" spans="1:39" x14ac:dyDescent="0.25">
      <c r="A2247" s="35"/>
      <c r="B2247" s="42"/>
      <c r="C2247" s="42"/>
      <c r="D2247" s="42"/>
      <c r="E2247" s="41"/>
      <c r="F2247" s="41"/>
      <c r="G2247" s="41"/>
      <c r="H2247" s="41"/>
      <c r="I2247" s="41"/>
      <c r="J2247" s="42"/>
      <c r="K2247" s="41"/>
      <c r="L2247" s="41"/>
      <c r="M2247" s="127"/>
      <c r="N2247" s="41"/>
      <c r="O2247" s="41"/>
      <c r="P2247" s="41"/>
      <c r="Q2247" s="42"/>
      <c r="R2247" s="35"/>
      <c r="S2247" s="35"/>
      <c r="T2247" s="35"/>
      <c r="U2247" s="35"/>
      <c r="V2247" s="121"/>
      <c r="W2247" s="42"/>
      <c r="X2247" s="42"/>
      <c r="Y2247" s="42"/>
      <c r="Z2247" s="42"/>
      <c r="AA2247" s="42"/>
      <c r="AB2247" s="42"/>
      <c r="AC2247" s="42"/>
      <c r="AD2247" s="42"/>
      <c r="AE2247" s="42"/>
      <c r="AF2247" s="42"/>
      <c r="AG2247" s="42"/>
      <c r="AH2247" s="42"/>
      <c r="AI2247" s="42"/>
      <c r="AJ2247" s="42"/>
      <c r="AK2247" s="42"/>
      <c r="AL2247" s="42"/>
      <c r="AM2247" s="42"/>
    </row>
    <row r="2248" spans="1:39" x14ac:dyDescent="0.25">
      <c r="A2248" s="35"/>
      <c r="B2248" s="42"/>
      <c r="C2248" s="42"/>
      <c r="D2248" s="42"/>
      <c r="E2248" s="41"/>
      <c r="F2248" s="41"/>
      <c r="G2248" s="41"/>
      <c r="H2248" s="41"/>
      <c r="I2248" s="41"/>
      <c r="J2248" s="42"/>
      <c r="K2248" s="41"/>
      <c r="L2248" s="41"/>
      <c r="M2248" s="127"/>
      <c r="N2248" s="41"/>
      <c r="O2248" s="41"/>
      <c r="P2248" s="41"/>
      <c r="Q2248" s="42"/>
      <c r="R2248" s="35"/>
      <c r="S2248" s="35"/>
      <c r="T2248" s="35"/>
      <c r="U2248" s="35"/>
      <c r="V2248" s="121"/>
      <c r="W2248" s="42"/>
      <c r="X2248" s="42"/>
      <c r="Y2248" s="42"/>
      <c r="Z2248" s="42"/>
      <c r="AA2248" s="42"/>
      <c r="AB2248" s="42"/>
      <c r="AC2248" s="42"/>
      <c r="AD2248" s="42"/>
      <c r="AE2248" s="42"/>
      <c r="AF2248" s="42"/>
      <c r="AG2248" s="42"/>
      <c r="AH2248" s="42"/>
      <c r="AI2248" s="42"/>
      <c r="AJ2248" s="42"/>
      <c r="AK2248" s="42"/>
      <c r="AL2248" s="42"/>
      <c r="AM2248" s="42"/>
    </row>
    <row r="2249" spans="1:39" x14ac:dyDescent="0.25">
      <c r="A2249" s="35"/>
      <c r="B2249" s="42"/>
      <c r="C2249" s="42"/>
      <c r="D2249" s="42"/>
      <c r="E2249" s="41"/>
      <c r="F2249" s="41"/>
      <c r="G2249" s="41"/>
      <c r="H2249" s="41"/>
      <c r="I2249" s="41"/>
      <c r="J2249" s="42"/>
      <c r="K2249" s="41"/>
      <c r="L2249" s="41"/>
      <c r="M2249" s="127"/>
      <c r="N2249" s="41"/>
      <c r="O2249" s="41"/>
      <c r="P2249" s="41"/>
      <c r="Q2249" s="42"/>
      <c r="R2249" s="35"/>
      <c r="S2249" s="35"/>
      <c r="T2249" s="35"/>
      <c r="U2249" s="35"/>
      <c r="V2249" s="121"/>
      <c r="W2249" s="42"/>
      <c r="X2249" s="42"/>
      <c r="Y2249" s="42"/>
      <c r="Z2249" s="42"/>
      <c r="AA2249" s="42"/>
      <c r="AB2249" s="42"/>
      <c r="AC2249" s="42"/>
      <c r="AD2249" s="42"/>
      <c r="AE2249" s="42"/>
      <c r="AF2249" s="42"/>
      <c r="AG2249" s="42"/>
      <c r="AH2249" s="42"/>
      <c r="AI2249" s="42"/>
      <c r="AJ2249" s="42"/>
      <c r="AK2249" s="42"/>
      <c r="AL2249" s="42"/>
      <c r="AM2249" s="42"/>
    </row>
    <row r="2250" spans="1:39" x14ac:dyDescent="0.25">
      <c r="A2250" s="35"/>
      <c r="B2250" s="42"/>
      <c r="C2250" s="42"/>
      <c r="D2250" s="42"/>
      <c r="E2250" s="41"/>
      <c r="F2250" s="41"/>
      <c r="G2250" s="41"/>
      <c r="H2250" s="41"/>
      <c r="I2250" s="41"/>
      <c r="J2250" s="42"/>
      <c r="K2250" s="41"/>
      <c r="L2250" s="41"/>
      <c r="M2250" s="127"/>
      <c r="N2250" s="41"/>
      <c r="O2250" s="41"/>
      <c r="P2250" s="41"/>
      <c r="Q2250" s="42"/>
      <c r="R2250" s="35"/>
      <c r="S2250" s="35"/>
      <c r="T2250" s="35"/>
      <c r="U2250" s="35"/>
      <c r="V2250" s="121"/>
      <c r="W2250" s="42"/>
      <c r="X2250" s="42"/>
      <c r="Y2250" s="42"/>
      <c r="Z2250" s="42"/>
      <c r="AA2250" s="42"/>
      <c r="AB2250" s="42"/>
      <c r="AC2250" s="42"/>
      <c r="AD2250" s="42"/>
      <c r="AE2250" s="42"/>
      <c r="AF2250" s="42"/>
      <c r="AG2250" s="42"/>
      <c r="AH2250" s="42"/>
      <c r="AI2250" s="42"/>
      <c r="AJ2250" s="42"/>
      <c r="AK2250" s="42"/>
      <c r="AL2250" s="42"/>
      <c r="AM2250" s="42"/>
    </row>
    <row r="2251" spans="1:39" x14ac:dyDescent="0.25">
      <c r="A2251" s="35"/>
      <c r="B2251" s="42"/>
      <c r="C2251" s="42"/>
      <c r="D2251" s="42"/>
      <c r="E2251" s="41"/>
      <c r="F2251" s="41"/>
      <c r="G2251" s="41"/>
      <c r="H2251" s="41"/>
      <c r="I2251" s="41"/>
      <c r="J2251" s="42"/>
      <c r="K2251" s="41"/>
      <c r="L2251" s="41"/>
      <c r="M2251" s="127"/>
      <c r="N2251" s="41"/>
      <c r="O2251" s="41"/>
      <c r="P2251" s="41"/>
      <c r="Q2251" s="42"/>
      <c r="R2251" s="35"/>
      <c r="S2251" s="35"/>
      <c r="T2251" s="35"/>
      <c r="U2251" s="35"/>
      <c r="V2251" s="121"/>
      <c r="W2251" s="42"/>
      <c r="X2251" s="42"/>
      <c r="Y2251" s="42"/>
      <c r="Z2251" s="42"/>
      <c r="AA2251" s="42"/>
      <c r="AB2251" s="42"/>
      <c r="AC2251" s="42"/>
      <c r="AD2251" s="42"/>
      <c r="AE2251" s="42"/>
      <c r="AF2251" s="42"/>
      <c r="AG2251" s="42"/>
      <c r="AH2251" s="42"/>
      <c r="AI2251" s="42"/>
      <c r="AJ2251" s="42"/>
      <c r="AK2251" s="42"/>
      <c r="AL2251" s="42"/>
      <c r="AM2251" s="42"/>
    </row>
    <row r="2252" spans="1:39" x14ac:dyDescent="0.25">
      <c r="A2252" s="35"/>
      <c r="B2252" s="42"/>
      <c r="C2252" s="42"/>
      <c r="D2252" s="42"/>
      <c r="E2252" s="41"/>
      <c r="F2252" s="41"/>
      <c r="G2252" s="41"/>
      <c r="H2252" s="41"/>
      <c r="I2252" s="41"/>
      <c r="J2252" s="42"/>
      <c r="K2252" s="41"/>
      <c r="L2252" s="41"/>
      <c r="M2252" s="127"/>
      <c r="N2252" s="41"/>
      <c r="O2252" s="41"/>
      <c r="P2252" s="41"/>
      <c r="Q2252" s="42"/>
      <c r="R2252" s="35"/>
      <c r="S2252" s="35"/>
      <c r="T2252" s="35"/>
      <c r="U2252" s="35"/>
      <c r="V2252" s="121"/>
      <c r="W2252" s="42"/>
      <c r="X2252" s="42"/>
      <c r="Y2252" s="42"/>
      <c r="Z2252" s="42"/>
      <c r="AA2252" s="42"/>
      <c r="AB2252" s="42"/>
      <c r="AC2252" s="42"/>
      <c r="AD2252" s="42"/>
      <c r="AE2252" s="42"/>
      <c r="AF2252" s="42"/>
      <c r="AG2252" s="42"/>
      <c r="AH2252" s="42"/>
      <c r="AI2252" s="42"/>
      <c r="AJ2252" s="42"/>
      <c r="AK2252" s="42"/>
      <c r="AL2252" s="42"/>
      <c r="AM2252" s="42"/>
    </row>
    <row r="2253" spans="1:39" x14ac:dyDescent="0.25">
      <c r="A2253" s="35"/>
      <c r="B2253" s="42"/>
      <c r="C2253" s="42"/>
      <c r="D2253" s="42"/>
      <c r="E2253" s="41"/>
      <c r="F2253" s="41"/>
      <c r="G2253" s="41"/>
      <c r="H2253" s="41"/>
      <c r="I2253" s="41"/>
      <c r="J2253" s="42"/>
      <c r="K2253" s="41"/>
      <c r="L2253" s="41"/>
      <c r="M2253" s="127"/>
      <c r="N2253" s="41"/>
      <c r="O2253" s="41"/>
      <c r="P2253" s="41"/>
      <c r="Q2253" s="42"/>
      <c r="R2253" s="35"/>
      <c r="S2253" s="35"/>
      <c r="T2253" s="35"/>
      <c r="U2253" s="35"/>
      <c r="V2253" s="121"/>
      <c r="W2253" s="42"/>
      <c r="X2253" s="42"/>
      <c r="Y2253" s="42"/>
      <c r="Z2253" s="42"/>
      <c r="AA2253" s="42"/>
      <c r="AB2253" s="42"/>
      <c r="AC2253" s="42"/>
      <c r="AD2253" s="42"/>
      <c r="AE2253" s="42"/>
      <c r="AF2253" s="42"/>
      <c r="AG2253" s="42"/>
      <c r="AH2253" s="42"/>
      <c r="AI2253" s="42"/>
      <c r="AJ2253" s="42"/>
      <c r="AK2253" s="42"/>
      <c r="AL2253" s="42"/>
      <c r="AM2253" s="42"/>
    </row>
    <row r="2254" spans="1:39" x14ac:dyDescent="0.25">
      <c r="A2254" s="35"/>
      <c r="B2254" s="42"/>
      <c r="C2254" s="42"/>
      <c r="D2254" s="42"/>
      <c r="E2254" s="41"/>
      <c r="F2254" s="41"/>
      <c r="G2254" s="41"/>
      <c r="H2254" s="41"/>
      <c r="I2254" s="41"/>
      <c r="J2254" s="42"/>
      <c r="K2254" s="41"/>
      <c r="L2254" s="41"/>
      <c r="M2254" s="127"/>
      <c r="N2254" s="41"/>
      <c r="O2254" s="41"/>
      <c r="P2254" s="41"/>
      <c r="Q2254" s="42"/>
      <c r="R2254" s="35"/>
      <c r="S2254" s="35"/>
      <c r="T2254" s="35"/>
      <c r="U2254" s="35"/>
      <c r="V2254" s="121"/>
      <c r="W2254" s="42"/>
      <c r="X2254" s="42"/>
      <c r="Y2254" s="42"/>
      <c r="Z2254" s="42"/>
      <c r="AA2254" s="42"/>
      <c r="AB2254" s="42"/>
      <c r="AC2254" s="42"/>
      <c r="AD2254" s="42"/>
      <c r="AE2254" s="42"/>
      <c r="AF2254" s="42"/>
      <c r="AG2254" s="42"/>
      <c r="AH2254" s="42"/>
      <c r="AI2254" s="42"/>
      <c r="AJ2254" s="42"/>
      <c r="AK2254" s="42"/>
      <c r="AL2254" s="42"/>
      <c r="AM2254" s="42"/>
    </row>
    <row r="2255" spans="1:39" x14ac:dyDescent="0.25">
      <c r="A2255" s="35"/>
      <c r="B2255" s="42"/>
      <c r="C2255" s="42"/>
      <c r="D2255" s="42"/>
      <c r="E2255" s="41"/>
      <c r="F2255" s="41"/>
      <c r="G2255" s="41"/>
      <c r="H2255" s="41"/>
      <c r="I2255" s="41"/>
      <c r="J2255" s="42"/>
      <c r="K2255" s="41"/>
      <c r="L2255" s="41"/>
      <c r="M2255" s="127"/>
      <c r="N2255" s="41"/>
      <c r="O2255" s="41"/>
      <c r="P2255" s="41"/>
      <c r="Q2255" s="42"/>
      <c r="R2255" s="35"/>
      <c r="S2255" s="35"/>
      <c r="T2255" s="35"/>
      <c r="U2255" s="35"/>
      <c r="V2255" s="121"/>
      <c r="W2255" s="42"/>
      <c r="X2255" s="42"/>
      <c r="Y2255" s="42"/>
      <c r="Z2255" s="42"/>
      <c r="AA2255" s="42"/>
      <c r="AB2255" s="42"/>
      <c r="AC2255" s="42"/>
      <c r="AD2255" s="42"/>
      <c r="AE2255" s="42"/>
      <c r="AF2255" s="42"/>
      <c r="AG2255" s="42"/>
      <c r="AH2255" s="42"/>
      <c r="AI2255" s="42"/>
      <c r="AJ2255" s="42"/>
      <c r="AK2255" s="42"/>
      <c r="AL2255" s="42"/>
      <c r="AM2255" s="42"/>
    </row>
    <row r="2256" spans="1:39" x14ac:dyDescent="0.25">
      <c r="A2256" s="35"/>
      <c r="B2256" s="42"/>
      <c r="C2256" s="42"/>
      <c r="D2256" s="42"/>
      <c r="E2256" s="41"/>
      <c r="F2256" s="41"/>
      <c r="G2256" s="41"/>
      <c r="H2256" s="41"/>
      <c r="I2256" s="41"/>
      <c r="J2256" s="42"/>
      <c r="K2256" s="41"/>
      <c r="L2256" s="41"/>
      <c r="M2256" s="127"/>
      <c r="N2256" s="41"/>
      <c r="O2256" s="41"/>
      <c r="P2256" s="41"/>
      <c r="Q2256" s="42"/>
      <c r="R2256" s="35"/>
      <c r="S2256" s="35"/>
      <c r="T2256" s="35"/>
      <c r="U2256" s="35"/>
      <c r="V2256" s="121"/>
      <c r="W2256" s="42"/>
      <c r="X2256" s="42"/>
      <c r="Y2256" s="42"/>
      <c r="Z2256" s="42"/>
      <c r="AA2256" s="42"/>
      <c r="AB2256" s="42"/>
      <c r="AC2256" s="42"/>
      <c r="AD2256" s="42"/>
      <c r="AE2256" s="42"/>
      <c r="AF2256" s="42"/>
      <c r="AG2256" s="42"/>
      <c r="AH2256" s="42"/>
      <c r="AI2256" s="42"/>
      <c r="AJ2256" s="42"/>
      <c r="AK2256" s="42"/>
      <c r="AL2256" s="42"/>
      <c r="AM2256" s="42"/>
    </row>
    <row r="2257" spans="1:39" x14ac:dyDescent="0.25">
      <c r="A2257" s="35"/>
      <c r="B2257" s="42"/>
      <c r="C2257" s="42"/>
      <c r="D2257" s="42"/>
      <c r="E2257" s="41"/>
      <c r="F2257" s="41"/>
      <c r="G2257" s="41"/>
      <c r="H2257" s="41"/>
      <c r="I2257" s="41"/>
      <c r="J2257" s="42"/>
      <c r="K2257" s="41"/>
      <c r="L2257" s="41"/>
      <c r="M2257" s="127"/>
      <c r="N2257" s="41"/>
      <c r="O2257" s="41"/>
      <c r="P2257" s="41"/>
      <c r="Q2257" s="42"/>
      <c r="R2257" s="35"/>
      <c r="S2257" s="35"/>
      <c r="T2257" s="35"/>
      <c r="U2257" s="35"/>
      <c r="V2257" s="121"/>
      <c r="W2257" s="42"/>
      <c r="X2257" s="42"/>
      <c r="Y2257" s="42"/>
      <c r="Z2257" s="42"/>
      <c r="AA2257" s="42"/>
      <c r="AB2257" s="42"/>
      <c r="AC2257" s="42"/>
      <c r="AD2257" s="42"/>
      <c r="AE2257" s="42"/>
      <c r="AF2257" s="42"/>
      <c r="AG2257" s="42"/>
      <c r="AH2257" s="42"/>
      <c r="AI2257" s="42"/>
      <c r="AJ2257" s="42"/>
      <c r="AK2257" s="42"/>
      <c r="AL2257" s="42"/>
      <c r="AM2257" s="42"/>
    </row>
    <row r="2258" spans="1:39" x14ac:dyDescent="0.25">
      <c r="A2258" s="35"/>
      <c r="B2258" s="42"/>
      <c r="C2258" s="42"/>
      <c r="D2258" s="42"/>
      <c r="E2258" s="41"/>
      <c r="F2258" s="41"/>
      <c r="G2258" s="41"/>
      <c r="H2258" s="41"/>
      <c r="I2258" s="41"/>
      <c r="J2258" s="42"/>
      <c r="K2258" s="41"/>
      <c r="L2258" s="41"/>
      <c r="M2258" s="127"/>
      <c r="N2258" s="41"/>
      <c r="O2258" s="41"/>
      <c r="P2258" s="41"/>
      <c r="Q2258" s="42"/>
      <c r="R2258" s="35"/>
      <c r="S2258" s="35"/>
      <c r="T2258" s="35"/>
      <c r="U2258" s="35"/>
      <c r="V2258" s="121"/>
      <c r="W2258" s="42"/>
      <c r="X2258" s="42"/>
      <c r="Y2258" s="42"/>
      <c r="Z2258" s="42"/>
      <c r="AA2258" s="42"/>
      <c r="AB2258" s="42"/>
      <c r="AC2258" s="42"/>
      <c r="AD2258" s="42"/>
      <c r="AE2258" s="42"/>
      <c r="AF2258" s="42"/>
      <c r="AG2258" s="42"/>
      <c r="AH2258" s="42"/>
      <c r="AI2258" s="42"/>
      <c r="AJ2258" s="42"/>
      <c r="AK2258" s="42"/>
      <c r="AL2258" s="42"/>
      <c r="AM2258" s="42"/>
    </row>
    <row r="2259" spans="1:39" x14ac:dyDescent="0.25">
      <c r="A2259" s="35"/>
      <c r="B2259" s="42"/>
      <c r="C2259" s="42"/>
      <c r="D2259" s="42"/>
      <c r="E2259" s="41"/>
      <c r="F2259" s="41"/>
      <c r="G2259" s="41"/>
      <c r="H2259" s="41"/>
      <c r="I2259" s="41"/>
      <c r="J2259" s="42"/>
      <c r="K2259" s="41"/>
      <c r="L2259" s="41"/>
      <c r="M2259" s="127"/>
      <c r="N2259" s="41"/>
      <c r="O2259" s="41"/>
      <c r="P2259" s="41"/>
      <c r="Q2259" s="42"/>
      <c r="R2259" s="35"/>
      <c r="S2259" s="35"/>
      <c r="T2259" s="35"/>
      <c r="U2259" s="35"/>
      <c r="V2259" s="121"/>
      <c r="W2259" s="42"/>
      <c r="X2259" s="42"/>
      <c r="Y2259" s="42"/>
      <c r="Z2259" s="42"/>
      <c r="AA2259" s="42"/>
      <c r="AB2259" s="42"/>
      <c r="AC2259" s="42"/>
      <c r="AD2259" s="42"/>
      <c r="AE2259" s="42"/>
      <c r="AF2259" s="42"/>
      <c r="AG2259" s="42"/>
      <c r="AH2259" s="42"/>
      <c r="AI2259" s="42"/>
      <c r="AJ2259" s="42"/>
      <c r="AK2259" s="42"/>
      <c r="AL2259" s="42"/>
      <c r="AM2259" s="42"/>
    </row>
    <row r="2260" spans="1:39" x14ac:dyDescent="0.25">
      <c r="A2260" s="35"/>
      <c r="B2260" s="42"/>
      <c r="C2260" s="42"/>
      <c r="D2260" s="42"/>
      <c r="E2260" s="41"/>
      <c r="F2260" s="41"/>
      <c r="G2260" s="41"/>
      <c r="H2260" s="41"/>
      <c r="I2260" s="41"/>
      <c r="J2260" s="42"/>
      <c r="K2260" s="41"/>
      <c r="L2260" s="41"/>
      <c r="M2260" s="127"/>
      <c r="N2260" s="41"/>
      <c r="O2260" s="41"/>
      <c r="P2260" s="41"/>
      <c r="Q2260" s="42"/>
      <c r="R2260" s="35"/>
      <c r="S2260" s="35"/>
      <c r="T2260" s="35"/>
      <c r="U2260" s="35"/>
      <c r="V2260" s="121"/>
      <c r="W2260" s="42"/>
      <c r="X2260" s="42"/>
      <c r="Y2260" s="42"/>
      <c r="Z2260" s="42"/>
      <c r="AA2260" s="42"/>
      <c r="AB2260" s="42"/>
      <c r="AC2260" s="42"/>
      <c r="AD2260" s="42"/>
      <c r="AE2260" s="42"/>
      <c r="AF2260" s="42"/>
      <c r="AG2260" s="42"/>
      <c r="AH2260" s="42"/>
      <c r="AI2260" s="42"/>
      <c r="AJ2260" s="42"/>
      <c r="AK2260" s="42"/>
      <c r="AL2260" s="42"/>
      <c r="AM2260" s="42"/>
    </row>
    <row r="2261" spans="1:39" x14ac:dyDescent="0.25">
      <c r="A2261" s="35"/>
      <c r="B2261" s="42"/>
      <c r="C2261" s="42"/>
      <c r="D2261" s="42"/>
      <c r="E2261" s="41"/>
      <c r="F2261" s="41"/>
      <c r="G2261" s="41"/>
      <c r="H2261" s="41"/>
      <c r="I2261" s="41"/>
      <c r="J2261" s="42"/>
      <c r="K2261" s="41"/>
      <c r="L2261" s="41"/>
      <c r="M2261" s="127"/>
      <c r="N2261" s="41"/>
      <c r="O2261" s="41"/>
      <c r="P2261" s="41"/>
      <c r="Q2261" s="42"/>
      <c r="R2261" s="35"/>
      <c r="S2261" s="35"/>
      <c r="T2261" s="35"/>
      <c r="U2261" s="35"/>
      <c r="V2261" s="121"/>
      <c r="W2261" s="42"/>
      <c r="X2261" s="42"/>
      <c r="Y2261" s="42"/>
      <c r="Z2261" s="42"/>
      <c r="AA2261" s="42"/>
      <c r="AB2261" s="42"/>
      <c r="AC2261" s="42"/>
      <c r="AD2261" s="42"/>
      <c r="AE2261" s="42"/>
      <c r="AF2261" s="42"/>
      <c r="AG2261" s="42"/>
      <c r="AH2261" s="42"/>
      <c r="AI2261" s="42"/>
      <c r="AJ2261" s="42"/>
      <c r="AK2261" s="42"/>
      <c r="AL2261" s="42"/>
      <c r="AM2261" s="42"/>
    </row>
    <row r="2262" spans="1:39" x14ac:dyDescent="0.25">
      <c r="A2262" s="35"/>
      <c r="B2262" s="42"/>
      <c r="C2262" s="42"/>
      <c r="D2262" s="42"/>
      <c r="E2262" s="41"/>
      <c r="F2262" s="41"/>
      <c r="G2262" s="41"/>
      <c r="H2262" s="41"/>
      <c r="I2262" s="41"/>
      <c r="J2262" s="42"/>
      <c r="K2262" s="41"/>
      <c r="L2262" s="41"/>
      <c r="M2262" s="127"/>
      <c r="N2262" s="41"/>
      <c r="O2262" s="41"/>
      <c r="P2262" s="41"/>
      <c r="Q2262" s="42"/>
      <c r="R2262" s="35"/>
      <c r="S2262" s="35"/>
      <c r="T2262" s="35"/>
      <c r="U2262" s="35"/>
      <c r="V2262" s="121"/>
      <c r="W2262" s="42"/>
      <c r="X2262" s="42"/>
      <c r="Y2262" s="42"/>
      <c r="Z2262" s="42"/>
      <c r="AA2262" s="42"/>
      <c r="AB2262" s="42"/>
      <c r="AC2262" s="42"/>
      <c r="AD2262" s="42"/>
      <c r="AE2262" s="42"/>
      <c r="AF2262" s="42"/>
      <c r="AG2262" s="42"/>
      <c r="AH2262" s="42"/>
      <c r="AI2262" s="42"/>
      <c r="AJ2262" s="42"/>
      <c r="AK2262" s="42"/>
      <c r="AL2262" s="42"/>
      <c r="AM2262" s="42"/>
    </row>
    <row r="2263" spans="1:39" x14ac:dyDescent="0.25">
      <c r="A2263" s="35"/>
      <c r="B2263" s="42"/>
      <c r="C2263" s="42"/>
      <c r="D2263" s="42"/>
      <c r="E2263" s="41"/>
      <c r="F2263" s="41"/>
      <c r="G2263" s="41"/>
      <c r="H2263" s="41"/>
      <c r="I2263" s="41"/>
      <c r="J2263" s="42"/>
      <c r="K2263" s="41"/>
      <c r="L2263" s="41"/>
      <c r="M2263" s="127"/>
      <c r="N2263" s="41"/>
      <c r="O2263" s="41"/>
      <c r="P2263" s="41"/>
      <c r="Q2263" s="42"/>
      <c r="R2263" s="35"/>
      <c r="S2263" s="35"/>
      <c r="T2263" s="35"/>
      <c r="U2263" s="35"/>
      <c r="V2263" s="121"/>
      <c r="W2263" s="42"/>
      <c r="X2263" s="42"/>
      <c r="Y2263" s="42"/>
      <c r="Z2263" s="42"/>
      <c r="AA2263" s="42"/>
      <c r="AB2263" s="42"/>
      <c r="AC2263" s="42"/>
      <c r="AD2263" s="42"/>
      <c r="AE2263" s="42"/>
      <c r="AF2263" s="42"/>
      <c r="AG2263" s="42"/>
      <c r="AH2263" s="42"/>
      <c r="AI2263" s="42"/>
      <c r="AJ2263" s="42"/>
      <c r="AK2263" s="42"/>
      <c r="AL2263" s="42"/>
      <c r="AM2263" s="42"/>
    </row>
    <row r="2264" spans="1:39" x14ac:dyDescent="0.25">
      <c r="A2264" s="35"/>
      <c r="B2264" s="42"/>
      <c r="C2264" s="42"/>
      <c r="D2264" s="42"/>
      <c r="E2264" s="41"/>
      <c r="F2264" s="41"/>
      <c r="G2264" s="41"/>
      <c r="H2264" s="41"/>
      <c r="I2264" s="41"/>
      <c r="J2264" s="42"/>
      <c r="K2264" s="41"/>
      <c r="L2264" s="41"/>
      <c r="M2264" s="127"/>
      <c r="N2264" s="41"/>
      <c r="O2264" s="41"/>
      <c r="P2264" s="41"/>
      <c r="Q2264" s="42"/>
      <c r="R2264" s="35"/>
      <c r="S2264" s="35"/>
      <c r="T2264" s="35"/>
      <c r="U2264" s="35"/>
      <c r="V2264" s="121"/>
      <c r="W2264" s="42"/>
      <c r="X2264" s="42"/>
      <c r="Y2264" s="42"/>
      <c r="Z2264" s="42"/>
      <c r="AA2264" s="42"/>
      <c r="AB2264" s="42"/>
      <c r="AC2264" s="42"/>
      <c r="AD2264" s="42"/>
      <c r="AE2264" s="42"/>
      <c r="AF2264" s="42"/>
      <c r="AG2264" s="42"/>
      <c r="AH2264" s="42"/>
      <c r="AI2264" s="42"/>
      <c r="AJ2264" s="42"/>
      <c r="AK2264" s="42"/>
      <c r="AL2264" s="42"/>
      <c r="AM2264" s="42"/>
    </row>
    <row r="2265" spans="1:39" x14ac:dyDescent="0.25">
      <c r="A2265" s="35"/>
      <c r="B2265" s="42"/>
      <c r="C2265" s="42"/>
      <c r="D2265" s="42"/>
      <c r="E2265" s="41"/>
      <c r="F2265" s="41"/>
      <c r="G2265" s="41"/>
      <c r="H2265" s="41"/>
      <c r="I2265" s="41"/>
      <c r="J2265" s="42"/>
      <c r="K2265" s="41"/>
      <c r="L2265" s="41"/>
      <c r="M2265" s="127"/>
      <c r="N2265" s="41"/>
      <c r="O2265" s="41"/>
      <c r="P2265" s="41"/>
      <c r="Q2265" s="42"/>
      <c r="R2265" s="35"/>
      <c r="S2265" s="35"/>
      <c r="T2265" s="35"/>
      <c r="U2265" s="35"/>
      <c r="V2265" s="121"/>
      <c r="W2265" s="42"/>
      <c r="X2265" s="42"/>
      <c r="Y2265" s="42"/>
      <c r="Z2265" s="42"/>
      <c r="AA2265" s="42"/>
      <c r="AB2265" s="42"/>
      <c r="AC2265" s="42"/>
      <c r="AD2265" s="42"/>
      <c r="AE2265" s="42"/>
      <c r="AF2265" s="42"/>
      <c r="AG2265" s="42"/>
      <c r="AH2265" s="42"/>
      <c r="AI2265" s="42"/>
      <c r="AJ2265" s="42"/>
      <c r="AK2265" s="42"/>
      <c r="AL2265" s="42"/>
      <c r="AM2265" s="42"/>
    </row>
    <row r="2266" spans="1:39" x14ac:dyDescent="0.25">
      <c r="A2266" s="35"/>
      <c r="B2266" s="42"/>
      <c r="C2266" s="42"/>
      <c r="D2266" s="42"/>
      <c r="E2266" s="41"/>
      <c r="F2266" s="41"/>
      <c r="G2266" s="41"/>
      <c r="H2266" s="41"/>
      <c r="I2266" s="41"/>
      <c r="J2266" s="42"/>
      <c r="K2266" s="41"/>
      <c r="L2266" s="41"/>
      <c r="M2266" s="127"/>
      <c r="N2266" s="41"/>
      <c r="O2266" s="41"/>
      <c r="P2266" s="41"/>
      <c r="Q2266" s="42"/>
      <c r="R2266" s="35"/>
      <c r="S2266" s="35"/>
      <c r="T2266" s="35"/>
      <c r="U2266" s="35"/>
      <c r="V2266" s="121"/>
      <c r="W2266" s="42"/>
      <c r="X2266" s="42"/>
      <c r="Y2266" s="42"/>
      <c r="Z2266" s="42"/>
      <c r="AA2266" s="42"/>
      <c r="AB2266" s="42"/>
      <c r="AC2266" s="42"/>
      <c r="AD2266" s="42"/>
      <c r="AE2266" s="42"/>
      <c r="AF2266" s="42"/>
      <c r="AG2266" s="42"/>
      <c r="AH2266" s="42"/>
      <c r="AI2266" s="42"/>
      <c r="AJ2266" s="42"/>
      <c r="AK2266" s="42"/>
      <c r="AL2266" s="42"/>
      <c r="AM2266" s="42"/>
    </row>
    <row r="2267" spans="1:39" x14ac:dyDescent="0.25">
      <c r="A2267" s="35"/>
      <c r="B2267" s="42"/>
      <c r="C2267" s="42"/>
      <c r="D2267" s="42"/>
      <c r="E2267" s="41"/>
      <c r="F2267" s="41"/>
      <c r="G2267" s="41"/>
      <c r="H2267" s="41"/>
      <c r="I2267" s="41"/>
      <c r="J2267" s="42"/>
      <c r="K2267" s="41"/>
      <c r="L2267" s="41"/>
      <c r="M2267" s="127"/>
      <c r="N2267" s="41"/>
      <c r="O2267" s="41"/>
      <c r="P2267" s="41"/>
      <c r="Q2267" s="42"/>
      <c r="R2267" s="35"/>
      <c r="S2267" s="35"/>
      <c r="T2267" s="35"/>
      <c r="U2267" s="35"/>
      <c r="V2267" s="121"/>
      <c r="W2267" s="42"/>
      <c r="X2267" s="42"/>
      <c r="Y2267" s="42"/>
      <c r="Z2267" s="42"/>
      <c r="AA2267" s="42"/>
      <c r="AB2267" s="42"/>
      <c r="AC2267" s="42"/>
      <c r="AD2267" s="42"/>
      <c r="AE2267" s="42"/>
      <c r="AF2267" s="42"/>
      <c r="AG2267" s="42"/>
      <c r="AH2267" s="42"/>
      <c r="AI2267" s="42"/>
      <c r="AJ2267" s="42"/>
      <c r="AK2267" s="42"/>
      <c r="AL2267" s="42"/>
      <c r="AM2267" s="42"/>
    </row>
    <row r="2268" spans="1:39" x14ac:dyDescent="0.25">
      <c r="A2268" s="35"/>
      <c r="B2268" s="42"/>
      <c r="C2268" s="42"/>
      <c r="D2268" s="42"/>
      <c r="E2268" s="41"/>
      <c r="F2268" s="41"/>
      <c r="G2268" s="41"/>
      <c r="H2268" s="41"/>
      <c r="I2268" s="41"/>
      <c r="J2268" s="42"/>
      <c r="K2268" s="41"/>
      <c r="L2268" s="41"/>
      <c r="M2268" s="127"/>
      <c r="N2268" s="41"/>
      <c r="O2268" s="41"/>
      <c r="P2268" s="41"/>
      <c r="Q2268" s="42"/>
      <c r="R2268" s="35"/>
      <c r="S2268" s="35"/>
      <c r="T2268" s="35"/>
      <c r="U2268" s="35"/>
      <c r="V2268" s="121"/>
      <c r="W2268" s="42"/>
      <c r="X2268" s="42"/>
      <c r="Y2268" s="42"/>
      <c r="Z2268" s="42"/>
      <c r="AA2268" s="42"/>
      <c r="AB2268" s="42"/>
      <c r="AC2268" s="42"/>
      <c r="AD2268" s="42"/>
      <c r="AE2268" s="42"/>
      <c r="AF2268" s="42"/>
      <c r="AG2268" s="42"/>
      <c r="AH2268" s="42"/>
      <c r="AI2268" s="42"/>
      <c r="AJ2268" s="42"/>
      <c r="AK2268" s="42"/>
      <c r="AL2268" s="42"/>
      <c r="AM2268" s="42"/>
    </row>
    <row r="2269" spans="1:39" x14ac:dyDescent="0.25">
      <c r="A2269" s="35"/>
      <c r="B2269" s="42"/>
      <c r="C2269" s="42"/>
      <c r="D2269" s="42"/>
      <c r="E2269" s="41"/>
      <c r="F2269" s="41"/>
      <c r="G2269" s="41"/>
      <c r="H2269" s="41"/>
      <c r="I2269" s="41"/>
      <c r="J2269" s="42"/>
      <c r="K2269" s="41"/>
      <c r="L2269" s="41"/>
      <c r="M2269" s="127"/>
      <c r="N2269" s="41"/>
      <c r="O2269" s="41"/>
      <c r="P2269" s="41"/>
      <c r="Q2269" s="42"/>
      <c r="R2269" s="35"/>
      <c r="S2269" s="35"/>
      <c r="T2269" s="35"/>
      <c r="U2269" s="35"/>
      <c r="V2269" s="121"/>
      <c r="W2269" s="42"/>
      <c r="X2269" s="42"/>
      <c r="Y2269" s="42"/>
      <c r="Z2269" s="42"/>
      <c r="AA2269" s="42"/>
      <c r="AB2269" s="42"/>
      <c r="AC2269" s="42"/>
      <c r="AD2269" s="42"/>
      <c r="AE2269" s="42"/>
      <c r="AF2269" s="42"/>
      <c r="AG2269" s="42"/>
      <c r="AH2269" s="42"/>
      <c r="AI2269" s="42"/>
      <c r="AJ2269" s="42"/>
      <c r="AK2269" s="42"/>
      <c r="AL2269" s="42"/>
      <c r="AM2269" s="42"/>
    </row>
    <row r="2270" spans="1:39" x14ac:dyDescent="0.25">
      <c r="A2270" s="35"/>
      <c r="B2270" s="42"/>
      <c r="C2270" s="42"/>
      <c r="D2270" s="42"/>
      <c r="E2270" s="41"/>
      <c r="F2270" s="41"/>
      <c r="G2270" s="41"/>
      <c r="H2270" s="41"/>
      <c r="I2270" s="41"/>
      <c r="J2270" s="42"/>
      <c r="K2270" s="41"/>
      <c r="L2270" s="41"/>
      <c r="M2270" s="127"/>
      <c r="N2270" s="41"/>
      <c r="O2270" s="41"/>
      <c r="P2270" s="41"/>
      <c r="Q2270" s="42"/>
      <c r="R2270" s="35"/>
      <c r="S2270" s="35"/>
      <c r="T2270" s="35"/>
      <c r="U2270" s="35"/>
      <c r="V2270" s="121"/>
      <c r="W2270" s="42"/>
      <c r="X2270" s="42"/>
      <c r="Y2270" s="42"/>
      <c r="Z2270" s="42"/>
      <c r="AA2270" s="42"/>
      <c r="AB2270" s="42"/>
      <c r="AC2270" s="42"/>
      <c r="AD2270" s="42"/>
      <c r="AE2270" s="42"/>
      <c r="AF2270" s="42"/>
      <c r="AG2270" s="42"/>
      <c r="AH2270" s="42"/>
      <c r="AI2270" s="42"/>
      <c r="AJ2270" s="42"/>
      <c r="AK2270" s="42"/>
      <c r="AL2270" s="42"/>
      <c r="AM2270" s="42"/>
    </row>
    <row r="2271" spans="1:39" x14ac:dyDescent="0.25">
      <c r="A2271" s="35"/>
      <c r="B2271" s="42"/>
      <c r="C2271" s="42"/>
      <c r="D2271" s="42"/>
      <c r="E2271" s="41"/>
      <c r="F2271" s="41"/>
      <c r="G2271" s="41"/>
      <c r="H2271" s="41"/>
      <c r="I2271" s="41"/>
      <c r="J2271" s="42"/>
      <c r="K2271" s="41"/>
      <c r="L2271" s="41"/>
      <c r="M2271" s="127"/>
      <c r="N2271" s="41"/>
      <c r="O2271" s="41"/>
      <c r="P2271" s="41"/>
      <c r="Q2271" s="42"/>
      <c r="R2271" s="35"/>
      <c r="S2271" s="35"/>
      <c r="T2271" s="35"/>
      <c r="U2271" s="35"/>
      <c r="V2271" s="121"/>
      <c r="W2271" s="42"/>
      <c r="X2271" s="42"/>
      <c r="Y2271" s="42"/>
      <c r="Z2271" s="42"/>
      <c r="AA2271" s="42"/>
      <c r="AB2271" s="42"/>
      <c r="AC2271" s="42"/>
      <c r="AD2271" s="42"/>
      <c r="AE2271" s="42"/>
      <c r="AF2271" s="42"/>
      <c r="AG2271" s="42"/>
      <c r="AH2271" s="42"/>
      <c r="AI2271" s="42"/>
      <c r="AJ2271" s="42"/>
      <c r="AK2271" s="42"/>
      <c r="AL2271" s="42"/>
      <c r="AM2271" s="42"/>
    </row>
    <row r="2272" spans="1:39" x14ac:dyDescent="0.25">
      <c r="A2272" s="35"/>
      <c r="B2272" s="42"/>
      <c r="C2272" s="42"/>
      <c r="D2272" s="42"/>
      <c r="E2272" s="41"/>
      <c r="F2272" s="41"/>
      <c r="G2272" s="41"/>
      <c r="H2272" s="41"/>
      <c r="I2272" s="41"/>
      <c r="J2272" s="42"/>
      <c r="K2272" s="41"/>
      <c r="L2272" s="41"/>
      <c r="M2272" s="127"/>
      <c r="N2272" s="41"/>
      <c r="O2272" s="41"/>
      <c r="P2272" s="41"/>
      <c r="Q2272" s="42"/>
      <c r="R2272" s="35"/>
      <c r="S2272" s="35"/>
      <c r="T2272" s="35"/>
      <c r="U2272" s="35"/>
      <c r="V2272" s="121"/>
      <c r="W2272" s="42"/>
      <c r="X2272" s="42"/>
      <c r="Y2272" s="42"/>
      <c r="Z2272" s="42"/>
      <c r="AA2272" s="42"/>
      <c r="AB2272" s="42"/>
      <c r="AC2272" s="42"/>
      <c r="AD2272" s="42"/>
      <c r="AE2272" s="42"/>
      <c r="AF2272" s="42"/>
      <c r="AG2272" s="42"/>
      <c r="AH2272" s="42"/>
      <c r="AI2272" s="42"/>
      <c r="AJ2272" s="42"/>
      <c r="AK2272" s="42"/>
      <c r="AL2272" s="42"/>
      <c r="AM2272" s="42"/>
    </row>
    <row r="2273" spans="1:39" x14ac:dyDescent="0.25">
      <c r="A2273" s="35"/>
      <c r="B2273" s="42"/>
      <c r="C2273" s="42"/>
      <c r="D2273" s="42"/>
      <c r="E2273" s="41"/>
      <c r="F2273" s="41"/>
      <c r="G2273" s="41"/>
      <c r="H2273" s="41"/>
      <c r="I2273" s="41"/>
      <c r="J2273" s="42"/>
      <c r="K2273" s="41"/>
      <c r="L2273" s="41"/>
      <c r="M2273" s="127"/>
      <c r="N2273" s="41"/>
      <c r="O2273" s="41"/>
      <c r="P2273" s="41"/>
      <c r="Q2273" s="42"/>
      <c r="R2273" s="35"/>
      <c r="S2273" s="35"/>
      <c r="T2273" s="35"/>
      <c r="U2273" s="35"/>
      <c r="V2273" s="121"/>
      <c r="W2273" s="42"/>
      <c r="X2273" s="42"/>
      <c r="Y2273" s="42"/>
      <c r="Z2273" s="42"/>
      <c r="AA2273" s="42"/>
      <c r="AB2273" s="42"/>
      <c r="AC2273" s="42"/>
      <c r="AD2273" s="42"/>
      <c r="AE2273" s="42"/>
      <c r="AF2273" s="42"/>
      <c r="AG2273" s="42"/>
      <c r="AH2273" s="42"/>
      <c r="AI2273" s="42"/>
      <c r="AJ2273" s="42"/>
      <c r="AK2273" s="42"/>
      <c r="AL2273" s="42"/>
      <c r="AM2273" s="42"/>
    </row>
    <row r="2274" spans="1:39" x14ac:dyDescent="0.25">
      <c r="A2274" s="35"/>
      <c r="B2274" s="42"/>
      <c r="C2274" s="42"/>
      <c r="D2274" s="42"/>
      <c r="E2274" s="41"/>
      <c r="F2274" s="41"/>
      <c r="G2274" s="41"/>
      <c r="H2274" s="41"/>
      <c r="I2274" s="41"/>
      <c r="J2274" s="42"/>
      <c r="K2274" s="41"/>
      <c r="L2274" s="41"/>
      <c r="M2274" s="127"/>
      <c r="N2274" s="41"/>
      <c r="O2274" s="41"/>
      <c r="P2274" s="41"/>
      <c r="Q2274" s="42"/>
      <c r="R2274" s="35"/>
      <c r="S2274" s="35"/>
      <c r="T2274" s="35"/>
      <c r="U2274" s="35"/>
      <c r="V2274" s="121"/>
      <c r="W2274" s="42"/>
      <c r="X2274" s="42"/>
      <c r="Y2274" s="42"/>
      <c r="Z2274" s="42"/>
      <c r="AA2274" s="42"/>
      <c r="AB2274" s="42"/>
      <c r="AC2274" s="42"/>
      <c r="AD2274" s="42"/>
      <c r="AE2274" s="42"/>
      <c r="AF2274" s="42"/>
      <c r="AG2274" s="42"/>
      <c r="AH2274" s="42"/>
      <c r="AI2274" s="42"/>
      <c r="AJ2274" s="42"/>
      <c r="AK2274" s="42"/>
      <c r="AL2274" s="42"/>
      <c r="AM2274" s="42"/>
    </row>
    <row r="2275" spans="1:39" x14ac:dyDescent="0.25">
      <c r="A2275" s="35"/>
      <c r="B2275" s="42"/>
      <c r="C2275" s="42"/>
      <c r="D2275" s="42"/>
      <c r="E2275" s="41"/>
      <c r="F2275" s="41"/>
      <c r="G2275" s="41"/>
      <c r="H2275" s="41"/>
      <c r="I2275" s="41"/>
      <c r="J2275" s="42"/>
      <c r="K2275" s="41"/>
      <c r="L2275" s="41"/>
      <c r="M2275" s="127"/>
      <c r="N2275" s="41"/>
      <c r="O2275" s="41"/>
      <c r="P2275" s="41"/>
      <c r="Q2275" s="42"/>
      <c r="R2275" s="35"/>
      <c r="S2275" s="35"/>
      <c r="T2275" s="35"/>
      <c r="U2275" s="35"/>
      <c r="V2275" s="121"/>
      <c r="W2275" s="42"/>
      <c r="X2275" s="42"/>
      <c r="Y2275" s="42"/>
      <c r="Z2275" s="42"/>
      <c r="AA2275" s="42"/>
      <c r="AB2275" s="42"/>
      <c r="AC2275" s="42"/>
      <c r="AD2275" s="42"/>
      <c r="AE2275" s="42"/>
      <c r="AF2275" s="42"/>
      <c r="AG2275" s="42"/>
      <c r="AH2275" s="42"/>
      <c r="AI2275" s="42"/>
      <c r="AJ2275" s="42"/>
      <c r="AK2275" s="42"/>
      <c r="AL2275" s="42"/>
      <c r="AM2275" s="42"/>
    </row>
    <row r="2276" spans="1:39" x14ac:dyDescent="0.25">
      <c r="A2276" s="35"/>
      <c r="B2276" s="42"/>
      <c r="C2276" s="42"/>
      <c r="D2276" s="42"/>
      <c r="E2276" s="41"/>
      <c r="F2276" s="41"/>
      <c r="G2276" s="41"/>
      <c r="H2276" s="41"/>
      <c r="I2276" s="41"/>
      <c r="J2276" s="42"/>
      <c r="K2276" s="41"/>
      <c r="L2276" s="41"/>
      <c r="M2276" s="127"/>
      <c r="N2276" s="41"/>
      <c r="O2276" s="41"/>
      <c r="P2276" s="41"/>
      <c r="Q2276" s="42"/>
      <c r="R2276" s="35"/>
      <c r="S2276" s="35"/>
      <c r="T2276" s="35"/>
      <c r="U2276" s="35"/>
      <c r="V2276" s="121"/>
      <c r="W2276" s="42"/>
      <c r="X2276" s="42"/>
      <c r="Y2276" s="42"/>
      <c r="Z2276" s="42"/>
      <c r="AA2276" s="42"/>
      <c r="AB2276" s="42"/>
      <c r="AC2276" s="42"/>
      <c r="AD2276" s="42"/>
      <c r="AE2276" s="42"/>
      <c r="AF2276" s="42"/>
      <c r="AG2276" s="42"/>
      <c r="AH2276" s="42"/>
      <c r="AI2276" s="42"/>
      <c r="AJ2276" s="42"/>
      <c r="AK2276" s="42"/>
      <c r="AL2276" s="42"/>
      <c r="AM2276" s="42"/>
    </row>
    <row r="2277" spans="1:39" x14ac:dyDescent="0.25">
      <c r="A2277" s="35"/>
      <c r="B2277" s="42"/>
      <c r="C2277" s="42"/>
      <c r="D2277" s="42"/>
      <c r="E2277" s="41"/>
      <c r="F2277" s="41"/>
      <c r="G2277" s="41"/>
      <c r="H2277" s="41"/>
      <c r="I2277" s="41"/>
      <c r="J2277" s="42"/>
      <c r="K2277" s="41"/>
      <c r="L2277" s="41"/>
      <c r="M2277" s="127"/>
      <c r="N2277" s="41"/>
      <c r="O2277" s="41"/>
      <c r="P2277" s="41"/>
      <c r="Q2277" s="42"/>
      <c r="R2277" s="35"/>
      <c r="S2277" s="35"/>
      <c r="T2277" s="35"/>
      <c r="U2277" s="35"/>
      <c r="V2277" s="121"/>
      <c r="W2277" s="42"/>
      <c r="X2277" s="42"/>
      <c r="Y2277" s="42"/>
      <c r="Z2277" s="42"/>
      <c r="AA2277" s="42"/>
      <c r="AB2277" s="42"/>
      <c r="AC2277" s="42"/>
      <c r="AD2277" s="42"/>
      <c r="AE2277" s="42"/>
      <c r="AF2277" s="42"/>
      <c r="AG2277" s="42"/>
      <c r="AH2277" s="42"/>
      <c r="AI2277" s="42"/>
      <c r="AJ2277" s="42"/>
      <c r="AK2277" s="42"/>
      <c r="AL2277" s="42"/>
      <c r="AM2277" s="42"/>
    </row>
    <row r="2278" spans="1:39" x14ac:dyDescent="0.25">
      <c r="A2278" s="35"/>
      <c r="B2278" s="42"/>
      <c r="C2278" s="42"/>
      <c r="D2278" s="42"/>
      <c r="E2278" s="41"/>
      <c r="F2278" s="41"/>
      <c r="G2278" s="41"/>
      <c r="H2278" s="41"/>
      <c r="I2278" s="41"/>
      <c r="J2278" s="42"/>
      <c r="K2278" s="41"/>
      <c r="L2278" s="41"/>
      <c r="M2278" s="127"/>
      <c r="N2278" s="41"/>
      <c r="O2278" s="41"/>
      <c r="P2278" s="41"/>
      <c r="Q2278" s="42"/>
      <c r="R2278" s="35"/>
      <c r="S2278" s="35"/>
      <c r="T2278" s="35"/>
      <c r="U2278" s="35"/>
      <c r="V2278" s="121"/>
      <c r="W2278" s="42"/>
      <c r="X2278" s="42"/>
      <c r="Y2278" s="42"/>
      <c r="Z2278" s="42"/>
      <c r="AA2278" s="42"/>
      <c r="AB2278" s="42"/>
      <c r="AC2278" s="42"/>
      <c r="AD2278" s="42"/>
      <c r="AE2278" s="42"/>
      <c r="AF2278" s="42"/>
      <c r="AG2278" s="42"/>
      <c r="AH2278" s="42"/>
      <c r="AI2278" s="42"/>
      <c r="AJ2278" s="42"/>
      <c r="AK2278" s="42"/>
      <c r="AL2278" s="42"/>
      <c r="AM2278" s="42"/>
    </row>
    <row r="2279" spans="1:39" x14ac:dyDescent="0.25">
      <c r="A2279" s="35"/>
      <c r="B2279" s="42"/>
      <c r="C2279" s="42"/>
      <c r="D2279" s="42"/>
      <c r="E2279" s="41"/>
      <c r="F2279" s="41"/>
      <c r="G2279" s="41"/>
      <c r="H2279" s="41"/>
      <c r="I2279" s="41"/>
      <c r="J2279" s="42"/>
      <c r="K2279" s="41"/>
      <c r="L2279" s="41"/>
      <c r="M2279" s="127"/>
      <c r="N2279" s="41"/>
      <c r="O2279" s="41"/>
      <c r="P2279" s="41"/>
      <c r="Q2279" s="42"/>
      <c r="R2279" s="35"/>
      <c r="S2279" s="35"/>
      <c r="T2279" s="35"/>
      <c r="U2279" s="35"/>
      <c r="V2279" s="121"/>
      <c r="W2279" s="42"/>
      <c r="X2279" s="42"/>
      <c r="Y2279" s="42"/>
      <c r="Z2279" s="42"/>
      <c r="AA2279" s="42"/>
      <c r="AB2279" s="42"/>
      <c r="AC2279" s="42"/>
      <c r="AD2279" s="42"/>
      <c r="AE2279" s="42"/>
      <c r="AF2279" s="42"/>
      <c r="AG2279" s="42"/>
      <c r="AH2279" s="42"/>
      <c r="AI2279" s="42"/>
      <c r="AJ2279" s="42"/>
      <c r="AK2279" s="42"/>
      <c r="AL2279" s="42"/>
      <c r="AM2279" s="42"/>
    </row>
    <row r="2280" spans="1:39" x14ac:dyDescent="0.25">
      <c r="A2280" s="35"/>
      <c r="B2280" s="42"/>
      <c r="C2280" s="42"/>
      <c r="D2280" s="42"/>
      <c r="E2280" s="41"/>
      <c r="F2280" s="41"/>
      <c r="G2280" s="41"/>
      <c r="H2280" s="41"/>
      <c r="I2280" s="41"/>
      <c r="J2280" s="42"/>
      <c r="K2280" s="41"/>
      <c r="L2280" s="41"/>
      <c r="M2280" s="127"/>
      <c r="N2280" s="41"/>
      <c r="O2280" s="41"/>
      <c r="P2280" s="41"/>
      <c r="Q2280" s="42"/>
      <c r="R2280" s="35"/>
      <c r="S2280" s="35"/>
      <c r="T2280" s="35"/>
      <c r="U2280" s="35"/>
      <c r="V2280" s="121"/>
      <c r="W2280" s="42"/>
      <c r="X2280" s="42"/>
      <c r="Y2280" s="42"/>
      <c r="Z2280" s="42"/>
      <c r="AA2280" s="42"/>
      <c r="AB2280" s="42"/>
      <c r="AC2280" s="42"/>
      <c r="AD2280" s="42"/>
      <c r="AE2280" s="42"/>
      <c r="AF2280" s="42"/>
      <c r="AG2280" s="42"/>
      <c r="AH2280" s="42"/>
      <c r="AI2280" s="42"/>
      <c r="AJ2280" s="42"/>
      <c r="AK2280" s="42"/>
      <c r="AL2280" s="42"/>
      <c r="AM2280" s="42"/>
    </row>
    <row r="2281" spans="1:39" x14ac:dyDescent="0.25">
      <c r="A2281" s="35"/>
      <c r="B2281" s="42"/>
      <c r="C2281" s="42"/>
      <c r="D2281" s="42"/>
      <c r="E2281" s="41"/>
      <c r="F2281" s="41"/>
      <c r="G2281" s="41"/>
      <c r="H2281" s="41"/>
      <c r="I2281" s="41"/>
      <c r="J2281" s="42"/>
      <c r="K2281" s="41"/>
      <c r="L2281" s="41"/>
      <c r="M2281" s="127"/>
      <c r="N2281" s="41"/>
      <c r="O2281" s="41"/>
      <c r="P2281" s="41"/>
      <c r="Q2281" s="42"/>
      <c r="R2281" s="35"/>
      <c r="S2281" s="35"/>
      <c r="T2281" s="35"/>
      <c r="U2281" s="35"/>
      <c r="V2281" s="121"/>
      <c r="W2281" s="42"/>
      <c r="X2281" s="42"/>
      <c r="Y2281" s="42"/>
      <c r="Z2281" s="42"/>
      <c r="AA2281" s="42"/>
      <c r="AB2281" s="42"/>
      <c r="AC2281" s="42"/>
      <c r="AD2281" s="42"/>
      <c r="AE2281" s="42"/>
      <c r="AF2281" s="42"/>
      <c r="AG2281" s="42"/>
      <c r="AH2281" s="42"/>
      <c r="AI2281" s="42"/>
      <c r="AJ2281" s="42"/>
      <c r="AK2281" s="42"/>
      <c r="AL2281" s="42"/>
      <c r="AM2281" s="42"/>
    </row>
    <row r="2282" spans="1:39" x14ac:dyDescent="0.25">
      <c r="A2282" s="35"/>
      <c r="B2282" s="42"/>
      <c r="C2282" s="42"/>
      <c r="D2282" s="42"/>
      <c r="E2282" s="41"/>
      <c r="F2282" s="41"/>
      <c r="G2282" s="41"/>
      <c r="H2282" s="41"/>
      <c r="I2282" s="41"/>
      <c r="J2282" s="42"/>
      <c r="K2282" s="41"/>
      <c r="L2282" s="41"/>
      <c r="M2282" s="127"/>
      <c r="N2282" s="41"/>
      <c r="O2282" s="41"/>
      <c r="P2282" s="41"/>
      <c r="Q2282" s="42"/>
      <c r="R2282" s="35"/>
      <c r="S2282" s="35"/>
      <c r="T2282" s="35"/>
      <c r="U2282" s="35"/>
      <c r="V2282" s="121"/>
      <c r="W2282" s="42"/>
      <c r="X2282" s="42"/>
      <c r="Y2282" s="42"/>
      <c r="Z2282" s="42"/>
      <c r="AA2282" s="42"/>
      <c r="AB2282" s="42"/>
      <c r="AC2282" s="42"/>
      <c r="AD2282" s="42"/>
      <c r="AE2282" s="42"/>
      <c r="AF2282" s="42"/>
      <c r="AG2282" s="42"/>
      <c r="AH2282" s="42"/>
      <c r="AI2282" s="42"/>
      <c r="AJ2282" s="42"/>
      <c r="AK2282" s="42"/>
      <c r="AL2282" s="42"/>
      <c r="AM2282" s="42"/>
    </row>
    <row r="2283" spans="1:39" x14ac:dyDescent="0.25">
      <c r="A2283" s="35"/>
      <c r="B2283" s="42"/>
      <c r="C2283" s="42"/>
      <c r="D2283" s="42"/>
      <c r="E2283" s="41"/>
      <c r="F2283" s="41"/>
      <c r="G2283" s="41"/>
      <c r="H2283" s="41"/>
      <c r="I2283" s="41"/>
      <c r="J2283" s="42"/>
      <c r="K2283" s="41"/>
      <c r="L2283" s="41"/>
      <c r="M2283" s="127"/>
      <c r="N2283" s="41"/>
      <c r="O2283" s="41"/>
      <c r="P2283" s="41"/>
      <c r="Q2283" s="42"/>
      <c r="R2283" s="35"/>
      <c r="S2283" s="35"/>
      <c r="T2283" s="35"/>
      <c r="U2283" s="35"/>
      <c r="V2283" s="121"/>
      <c r="W2283" s="42"/>
      <c r="X2283" s="42"/>
      <c r="Y2283" s="42"/>
      <c r="Z2283" s="42"/>
      <c r="AA2283" s="42"/>
      <c r="AB2283" s="42"/>
      <c r="AC2283" s="42"/>
      <c r="AD2283" s="42"/>
      <c r="AE2283" s="42"/>
      <c r="AF2283" s="42"/>
      <c r="AG2283" s="42"/>
      <c r="AH2283" s="42"/>
      <c r="AI2283" s="42"/>
      <c r="AJ2283" s="42"/>
      <c r="AK2283" s="42"/>
      <c r="AL2283" s="42"/>
      <c r="AM2283" s="42"/>
    </row>
    <row r="2284" spans="1:39" x14ac:dyDescent="0.25">
      <c r="A2284" s="35"/>
      <c r="B2284" s="42"/>
      <c r="C2284" s="42"/>
      <c r="D2284" s="42"/>
      <c r="E2284" s="41"/>
      <c r="F2284" s="41"/>
      <c r="G2284" s="41"/>
      <c r="H2284" s="41"/>
      <c r="I2284" s="41"/>
      <c r="J2284" s="42"/>
      <c r="K2284" s="41"/>
      <c r="L2284" s="41"/>
      <c r="M2284" s="127"/>
      <c r="N2284" s="41"/>
      <c r="O2284" s="41"/>
      <c r="P2284" s="41"/>
      <c r="Q2284" s="42"/>
      <c r="R2284" s="35"/>
      <c r="S2284" s="35"/>
      <c r="T2284" s="35"/>
      <c r="U2284" s="35"/>
      <c r="V2284" s="121"/>
      <c r="W2284" s="42"/>
      <c r="X2284" s="42"/>
      <c r="Y2284" s="42"/>
      <c r="Z2284" s="42"/>
      <c r="AA2284" s="42"/>
      <c r="AB2284" s="42"/>
      <c r="AC2284" s="42"/>
      <c r="AD2284" s="42"/>
      <c r="AE2284" s="42"/>
      <c r="AF2284" s="42"/>
      <c r="AG2284" s="42"/>
      <c r="AH2284" s="42"/>
      <c r="AI2284" s="42"/>
      <c r="AJ2284" s="42"/>
      <c r="AK2284" s="42"/>
      <c r="AL2284" s="42"/>
      <c r="AM2284" s="42"/>
    </row>
    <row r="2285" spans="1:39" x14ac:dyDescent="0.25">
      <c r="A2285" s="35"/>
      <c r="B2285" s="42"/>
      <c r="C2285" s="42"/>
      <c r="D2285" s="42"/>
      <c r="E2285" s="41"/>
      <c r="F2285" s="41"/>
      <c r="G2285" s="41"/>
      <c r="H2285" s="41"/>
      <c r="I2285" s="41"/>
      <c r="J2285" s="42"/>
      <c r="K2285" s="41"/>
      <c r="L2285" s="41"/>
      <c r="M2285" s="127"/>
      <c r="N2285" s="41"/>
      <c r="O2285" s="41"/>
      <c r="P2285" s="41"/>
      <c r="Q2285" s="42"/>
      <c r="R2285" s="35"/>
      <c r="S2285" s="35"/>
      <c r="T2285" s="35"/>
      <c r="U2285" s="35"/>
      <c r="V2285" s="121"/>
      <c r="W2285" s="42"/>
      <c r="X2285" s="42"/>
      <c r="Y2285" s="42"/>
      <c r="Z2285" s="42"/>
      <c r="AA2285" s="42"/>
      <c r="AB2285" s="42"/>
      <c r="AC2285" s="42"/>
      <c r="AD2285" s="42"/>
      <c r="AE2285" s="42"/>
      <c r="AF2285" s="42"/>
      <c r="AG2285" s="42"/>
      <c r="AH2285" s="42"/>
      <c r="AI2285" s="42"/>
      <c r="AJ2285" s="42"/>
      <c r="AK2285" s="42"/>
      <c r="AL2285" s="42"/>
      <c r="AM2285" s="42"/>
    </row>
    <row r="2286" spans="1:39" x14ac:dyDescent="0.25">
      <c r="A2286" s="35"/>
      <c r="B2286" s="42"/>
      <c r="C2286" s="42"/>
      <c r="D2286" s="42"/>
      <c r="E2286" s="41"/>
      <c r="F2286" s="41"/>
      <c r="G2286" s="41"/>
      <c r="H2286" s="41"/>
      <c r="I2286" s="41"/>
      <c r="J2286" s="42"/>
      <c r="K2286" s="41"/>
      <c r="L2286" s="41"/>
      <c r="M2286" s="127"/>
      <c r="N2286" s="41"/>
      <c r="O2286" s="41"/>
      <c r="P2286" s="41"/>
      <c r="Q2286" s="42"/>
      <c r="R2286" s="35"/>
      <c r="S2286" s="35"/>
      <c r="T2286" s="35"/>
      <c r="U2286" s="35"/>
      <c r="V2286" s="121"/>
      <c r="W2286" s="42"/>
      <c r="X2286" s="42"/>
      <c r="Y2286" s="42"/>
      <c r="Z2286" s="42"/>
      <c r="AA2286" s="42"/>
      <c r="AB2286" s="42"/>
      <c r="AC2286" s="42"/>
      <c r="AD2286" s="42"/>
      <c r="AE2286" s="42"/>
      <c r="AF2286" s="42"/>
      <c r="AG2286" s="42"/>
      <c r="AH2286" s="42"/>
      <c r="AI2286" s="42"/>
      <c r="AJ2286" s="42"/>
      <c r="AK2286" s="42"/>
      <c r="AL2286" s="42"/>
      <c r="AM2286" s="42"/>
    </row>
    <row r="2287" spans="1:39" x14ac:dyDescent="0.25">
      <c r="A2287" s="35"/>
      <c r="B2287" s="42"/>
      <c r="C2287" s="42"/>
      <c r="D2287" s="42"/>
      <c r="E2287" s="41"/>
      <c r="F2287" s="41"/>
      <c r="G2287" s="41"/>
      <c r="H2287" s="41"/>
      <c r="I2287" s="41"/>
      <c r="J2287" s="42"/>
      <c r="K2287" s="41"/>
      <c r="L2287" s="41"/>
      <c r="M2287" s="127"/>
      <c r="N2287" s="41"/>
      <c r="O2287" s="41"/>
      <c r="P2287" s="41"/>
      <c r="Q2287" s="42"/>
      <c r="R2287" s="35"/>
      <c r="S2287" s="35"/>
      <c r="T2287" s="35"/>
      <c r="U2287" s="35"/>
      <c r="V2287" s="121"/>
      <c r="W2287" s="42"/>
      <c r="X2287" s="42"/>
      <c r="Y2287" s="42"/>
      <c r="Z2287" s="42"/>
      <c r="AA2287" s="42"/>
      <c r="AB2287" s="42"/>
      <c r="AC2287" s="42"/>
      <c r="AD2287" s="42"/>
      <c r="AE2287" s="42"/>
      <c r="AF2287" s="42"/>
      <c r="AG2287" s="42"/>
      <c r="AH2287" s="42"/>
      <c r="AI2287" s="42"/>
      <c r="AJ2287" s="42"/>
      <c r="AK2287" s="42"/>
      <c r="AL2287" s="42"/>
      <c r="AM2287" s="42"/>
    </row>
    <row r="2288" spans="1:39" x14ac:dyDescent="0.25">
      <c r="A2288" s="35"/>
      <c r="B2288" s="42"/>
      <c r="C2288" s="42"/>
      <c r="D2288" s="42"/>
      <c r="E2288" s="41"/>
      <c r="F2288" s="41"/>
      <c r="G2288" s="41"/>
      <c r="H2288" s="41"/>
      <c r="I2288" s="41"/>
      <c r="J2288" s="42"/>
      <c r="K2288" s="41"/>
      <c r="L2288" s="41"/>
      <c r="M2288" s="127"/>
      <c r="N2288" s="41"/>
      <c r="O2288" s="41"/>
      <c r="P2288" s="41"/>
      <c r="Q2288" s="42"/>
      <c r="R2288" s="35"/>
      <c r="S2288" s="35"/>
      <c r="T2288" s="35"/>
      <c r="U2288" s="35"/>
      <c r="V2288" s="121"/>
      <c r="W2288" s="42"/>
      <c r="X2288" s="42"/>
      <c r="Y2288" s="42"/>
      <c r="Z2288" s="42"/>
      <c r="AA2288" s="42"/>
      <c r="AB2288" s="42"/>
      <c r="AC2288" s="42"/>
      <c r="AD2288" s="42"/>
      <c r="AE2288" s="42"/>
      <c r="AF2288" s="42"/>
      <c r="AG2288" s="42"/>
      <c r="AH2288" s="42"/>
      <c r="AI2288" s="42"/>
      <c r="AJ2288" s="42"/>
      <c r="AK2288" s="42"/>
      <c r="AL2288" s="42"/>
      <c r="AM2288" s="42"/>
    </row>
    <row r="2289" spans="1:39" x14ac:dyDescent="0.25">
      <c r="A2289" s="35"/>
      <c r="B2289" s="42"/>
      <c r="C2289" s="42"/>
      <c r="D2289" s="42"/>
      <c r="E2289" s="41"/>
      <c r="F2289" s="41"/>
      <c r="G2289" s="41"/>
      <c r="H2289" s="41"/>
      <c r="I2289" s="41"/>
      <c r="J2289" s="42"/>
      <c r="K2289" s="41"/>
      <c r="L2289" s="41"/>
      <c r="M2289" s="127"/>
      <c r="N2289" s="41"/>
      <c r="O2289" s="41"/>
      <c r="P2289" s="41"/>
      <c r="Q2289" s="42"/>
      <c r="R2289" s="35"/>
      <c r="S2289" s="35"/>
      <c r="T2289" s="35"/>
      <c r="U2289" s="35"/>
      <c r="V2289" s="121"/>
      <c r="W2289" s="42"/>
      <c r="X2289" s="42"/>
      <c r="Y2289" s="42"/>
      <c r="Z2289" s="42"/>
      <c r="AA2289" s="42"/>
      <c r="AB2289" s="42"/>
      <c r="AC2289" s="42"/>
      <c r="AD2289" s="42"/>
      <c r="AE2289" s="42"/>
      <c r="AF2289" s="42"/>
      <c r="AG2289" s="42"/>
      <c r="AH2289" s="42"/>
      <c r="AI2289" s="42"/>
      <c r="AJ2289" s="42"/>
      <c r="AK2289" s="42"/>
      <c r="AL2289" s="42"/>
      <c r="AM2289" s="42"/>
    </row>
    <row r="2290" spans="1:39" x14ac:dyDescent="0.25">
      <c r="A2290" s="35"/>
      <c r="B2290" s="42"/>
      <c r="C2290" s="42"/>
      <c r="D2290" s="42"/>
      <c r="E2290" s="41"/>
      <c r="F2290" s="41"/>
      <c r="G2290" s="41"/>
      <c r="H2290" s="41"/>
      <c r="I2290" s="41"/>
      <c r="J2290" s="42"/>
      <c r="K2290" s="41"/>
      <c r="L2290" s="41"/>
      <c r="M2290" s="127"/>
      <c r="N2290" s="41"/>
      <c r="O2290" s="41"/>
      <c r="P2290" s="41"/>
      <c r="Q2290" s="42"/>
      <c r="R2290" s="35"/>
      <c r="S2290" s="35"/>
      <c r="T2290" s="35"/>
      <c r="U2290" s="35"/>
      <c r="V2290" s="121"/>
      <c r="W2290" s="42"/>
      <c r="X2290" s="42"/>
      <c r="Y2290" s="42"/>
      <c r="Z2290" s="42"/>
      <c r="AA2290" s="42"/>
      <c r="AB2290" s="42"/>
      <c r="AC2290" s="42"/>
      <c r="AD2290" s="42"/>
      <c r="AE2290" s="42"/>
      <c r="AF2290" s="42"/>
      <c r="AG2290" s="42"/>
      <c r="AH2290" s="42"/>
      <c r="AI2290" s="42"/>
      <c r="AJ2290" s="42"/>
      <c r="AK2290" s="42"/>
      <c r="AL2290" s="42"/>
      <c r="AM2290" s="42"/>
    </row>
    <row r="2291" spans="1:39" x14ac:dyDescent="0.25">
      <c r="A2291" s="35"/>
      <c r="B2291" s="42"/>
      <c r="C2291" s="42"/>
      <c r="D2291" s="42"/>
      <c r="E2291" s="41"/>
      <c r="F2291" s="41"/>
      <c r="G2291" s="41"/>
      <c r="H2291" s="41"/>
      <c r="I2291" s="41"/>
      <c r="J2291" s="42"/>
      <c r="K2291" s="41"/>
      <c r="L2291" s="41"/>
      <c r="M2291" s="127"/>
      <c r="N2291" s="41"/>
      <c r="O2291" s="41"/>
      <c r="P2291" s="41"/>
      <c r="Q2291" s="42"/>
      <c r="R2291" s="35"/>
      <c r="S2291" s="35"/>
      <c r="T2291" s="35"/>
      <c r="U2291" s="35"/>
      <c r="V2291" s="121"/>
      <c r="W2291" s="42"/>
      <c r="X2291" s="42"/>
      <c r="Y2291" s="42"/>
      <c r="Z2291" s="42"/>
      <c r="AA2291" s="42"/>
      <c r="AB2291" s="42"/>
      <c r="AC2291" s="42"/>
      <c r="AD2291" s="42"/>
      <c r="AE2291" s="42"/>
      <c r="AF2291" s="42"/>
      <c r="AG2291" s="42"/>
      <c r="AH2291" s="42"/>
      <c r="AI2291" s="42"/>
      <c r="AJ2291" s="42"/>
      <c r="AK2291" s="42"/>
      <c r="AL2291" s="42"/>
      <c r="AM2291" s="42"/>
    </row>
    <row r="2292" spans="1:39" x14ac:dyDescent="0.25">
      <c r="A2292" s="35"/>
      <c r="B2292" s="42"/>
      <c r="C2292" s="42"/>
      <c r="D2292" s="42"/>
      <c r="E2292" s="41"/>
      <c r="F2292" s="41"/>
      <c r="G2292" s="41"/>
      <c r="H2292" s="41"/>
      <c r="I2292" s="41"/>
      <c r="J2292" s="42"/>
      <c r="K2292" s="41"/>
      <c r="L2292" s="41"/>
      <c r="M2292" s="127"/>
      <c r="N2292" s="41"/>
      <c r="O2292" s="41"/>
      <c r="P2292" s="41"/>
      <c r="Q2292" s="42"/>
      <c r="R2292" s="35"/>
      <c r="S2292" s="35"/>
      <c r="T2292" s="35"/>
      <c r="U2292" s="35"/>
      <c r="V2292" s="121"/>
      <c r="W2292" s="42"/>
      <c r="X2292" s="42"/>
      <c r="Y2292" s="42"/>
      <c r="Z2292" s="42"/>
      <c r="AA2292" s="42"/>
      <c r="AB2292" s="42"/>
      <c r="AC2292" s="42"/>
      <c r="AD2292" s="42"/>
      <c r="AE2292" s="42"/>
      <c r="AF2292" s="42"/>
      <c r="AG2292" s="42"/>
      <c r="AH2292" s="42"/>
      <c r="AI2292" s="42"/>
      <c r="AJ2292" s="42"/>
      <c r="AK2292" s="42"/>
      <c r="AL2292" s="42"/>
      <c r="AM2292" s="42"/>
    </row>
    <row r="2293" spans="1:39" x14ac:dyDescent="0.25">
      <c r="A2293" s="35"/>
      <c r="B2293" s="42"/>
      <c r="C2293" s="42"/>
      <c r="D2293" s="42"/>
      <c r="E2293" s="41"/>
      <c r="F2293" s="41"/>
      <c r="G2293" s="41"/>
      <c r="H2293" s="41"/>
      <c r="I2293" s="41"/>
      <c r="J2293" s="42"/>
      <c r="K2293" s="41"/>
      <c r="L2293" s="41"/>
      <c r="M2293" s="127"/>
      <c r="N2293" s="41"/>
      <c r="O2293" s="41"/>
      <c r="P2293" s="41"/>
      <c r="Q2293" s="42"/>
      <c r="R2293" s="35"/>
      <c r="S2293" s="35"/>
      <c r="T2293" s="35"/>
      <c r="U2293" s="35"/>
      <c r="V2293" s="121"/>
      <c r="W2293" s="42"/>
      <c r="X2293" s="42"/>
      <c r="Y2293" s="42"/>
      <c r="Z2293" s="42"/>
      <c r="AA2293" s="42"/>
      <c r="AB2293" s="42"/>
      <c r="AC2293" s="42"/>
      <c r="AD2293" s="42"/>
      <c r="AE2293" s="42"/>
      <c r="AF2293" s="42"/>
      <c r="AG2293" s="42"/>
      <c r="AH2293" s="42"/>
      <c r="AI2293" s="42"/>
      <c r="AJ2293" s="42"/>
      <c r="AK2293" s="42"/>
      <c r="AL2293" s="42"/>
      <c r="AM2293" s="42"/>
    </row>
    <row r="2294" spans="1:39" x14ac:dyDescent="0.25">
      <c r="A2294" s="35"/>
      <c r="B2294" s="42"/>
      <c r="C2294" s="42"/>
      <c r="D2294" s="42"/>
      <c r="E2294" s="41"/>
      <c r="F2294" s="41"/>
      <c r="G2294" s="41"/>
      <c r="H2294" s="41"/>
      <c r="I2294" s="41"/>
      <c r="J2294" s="42"/>
      <c r="K2294" s="41"/>
      <c r="L2294" s="41"/>
      <c r="M2294" s="127"/>
      <c r="N2294" s="41"/>
      <c r="O2294" s="41"/>
      <c r="P2294" s="41"/>
      <c r="Q2294" s="42"/>
      <c r="R2294" s="35"/>
      <c r="S2294" s="35"/>
      <c r="T2294" s="35"/>
      <c r="U2294" s="35"/>
      <c r="V2294" s="121"/>
      <c r="W2294" s="42"/>
      <c r="X2294" s="42"/>
      <c r="Y2294" s="42"/>
      <c r="Z2294" s="42"/>
      <c r="AA2294" s="42"/>
      <c r="AB2294" s="42"/>
      <c r="AC2294" s="42"/>
      <c r="AD2294" s="42"/>
      <c r="AE2294" s="42"/>
      <c r="AF2294" s="42"/>
      <c r="AG2294" s="42"/>
      <c r="AH2294" s="42"/>
      <c r="AI2294" s="42"/>
      <c r="AJ2294" s="42"/>
      <c r="AK2294" s="42"/>
      <c r="AL2294" s="42"/>
      <c r="AM2294" s="42"/>
    </row>
    <row r="2295" spans="1:39" x14ac:dyDescent="0.25">
      <c r="A2295" s="35"/>
      <c r="B2295" s="42"/>
      <c r="C2295" s="42"/>
      <c r="D2295" s="42"/>
      <c r="E2295" s="41"/>
      <c r="F2295" s="41"/>
      <c r="G2295" s="41"/>
      <c r="H2295" s="41"/>
      <c r="I2295" s="41"/>
      <c r="J2295" s="42"/>
      <c r="K2295" s="41"/>
      <c r="L2295" s="41"/>
      <c r="M2295" s="127"/>
      <c r="N2295" s="41"/>
      <c r="O2295" s="41"/>
      <c r="P2295" s="41"/>
      <c r="Q2295" s="42"/>
      <c r="R2295" s="35"/>
      <c r="S2295" s="35"/>
      <c r="T2295" s="35"/>
      <c r="U2295" s="35"/>
      <c r="V2295" s="121"/>
      <c r="W2295" s="42"/>
      <c r="X2295" s="42"/>
      <c r="Y2295" s="42"/>
      <c r="Z2295" s="42"/>
      <c r="AA2295" s="42"/>
      <c r="AB2295" s="42"/>
      <c r="AC2295" s="42"/>
      <c r="AD2295" s="42"/>
      <c r="AE2295" s="42"/>
      <c r="AF2295" s="42"/>
      <c r="AG2295" s="42"/>
      <c r="AH2295" s="42"/>
      <c r="AI2295" s="42"/>
      <c r="AJ2295" s="42"/>
      <c r="AK2295" s="42"/>
      <c r="AL2295" s="42"/>
      <c r="AM2295" s="42"/>
    </row>
    <row r="2296" spans="1:39" x14ac:dyDescent="0.25">
      <c r="A2296" s="35"/>
      <c r="B2296" s="42"/>
      <c r="C2296" s="42"/>
      <c r="D2296" s="42"/>
      <c r="E2296" s="41"/>
      <c r="F2296" s="41"/>
      <c r="G2296" s="41"/>
      <c r="H2296" s="41"/>
      <c r="I2296" s="41"/>
      <c r="J2296" s="42"/>
      <c r="K2296" s="41"/>
      <c r="L2296" s="41"/>
      <c r="M2296" s="127"/>
      <c r="N2296" s="41"/>
      <c r="O2296" s="41"/>
      <c r="P2296" s="41"/>
      <c r="Q2296" s="42"/>
      <c r="R2296" s="35"/>
      <c r="S2296" s="35"/>
      <c r="T2296" s="35"/>
      <c r="U2296" s="35"/>
      <c r="V2296" s="121"/>
      <c r="W2296" s="42"/>
      <c r="X2296" s="42"/>
      <c r="Y2296" s="42"/>
      <c r="Z2296" s="42"/>
      <c r="AA2296" s="42"/>
      <c r="AB2296" s="42"/>
      <c r="AC2296" s="42"/>
      <c r="AD2296" s="42"/>
      <c r="AE2296" s="42"/>
      <c r="AF2296" s="42"/>
      <c r="AG2296" s="42"/>
      <c r="AH2296" s="42"/>
      <c r="AI2296" s="42"/>
      <c r="AJ2296" s="42"/>
      <c r="AK2296" s="42"/>
      <c r="AL2296" s="42"/>
      <c r="AM2296" s="42"/>
    </row>
    <row r="2297" spans="1:39" x14ac:dyDescent="0.25">
      <c r="A2297" s="35"/>
      <c r="B2297" s="42"/>
      <c r="C2297" s="42"/>
      <c r="D2297" s="42"/>
      <c r="E2297" s="41"/>
      <c r="F2297" s="41"/>
      <c r="G2297" s="41"/>
      <c r="H2297" s="41"/>
      <c r="I2297" s="41"/>
      <c r="J2297" s="42"/>
      <c r="K2297" s="41"/>
      <c r="L2297" s="41"/>
      <c r="M2297" s="127"/>
      <c r="N2297" s="41"/>
      <c r="O2297" s="41"/>
      <c r="P2297" s="41"/>
      <c r="Q2297" s="42"/>
      <c r="R2297" s="35"/>
      <c r="S2297" s="35"/>
      <c r="T2297" s="35"/>
      <c r="U2297" s="35"/>
      <c r="V2297" s="121"/>
      <c r="W2297" s="42"/>
      <c r="X2297" s="42"/>
      <c r="Y2297" s="42"/>
      <c r="Z2297" s="42"/>
      <c r="AA2297" s="42"/>
      <c r="AB2297" s="42"/>
      <c r="AC2297" s="42"/>
      <c r="AD2297" s="42"/>
      <c r="AE2297" s="42"/>
      <c r="AF2297" s="42"/>
      <c r="AG2297" s="42"/>
      <c r="AH2297" s="42"/>
      <c r="AI2297" s="42"/>
      <c r="AJ2297" s="42"/>
      <c r="AK2297" s="42"/>
      <c r="AL2297" s="42"/>
      <c r="AM2297" s="42"/>
    </row>
    <row r="2298" spans="1:39" x14ac:dyDescent="0.25">
      <c r="A2298" s="35"/>
      <c r="B2298" s="42"/>
      <c r="C2298" s="42"/>
      <c r="D2298" s="42"/>
      <c r="E2298" s="41"/>
      <c r="F2298" s="41"/>
      <c r="G2298" s="41"/>
      <c r="H2298" s="41"/>
      <c r="I2298" s="41"/>
      <c r="J2298" s="42"/>
      <c r="K2298" s="41"/>
      <c r="L2298" s="41"/>
      <c r="M2298" s="127"/>
      <c r="N2298" s="41"/>
      <c r="O2298" s="41"/>
      <c r="P2298" s="41"/>
      <c r="Q2298" s="42"/>
      <c r="R2298" s="35"/>
      <c r="S2298" s="35"/>
      <c r="T2298" s="35"/>
      <c r="U2298" s="35"/>
      <c r="V2298" s="121"/>
      <c r="W2298" s="42"/>
      <c r="X2298" s="42"/>
      <c r="Y2298" s="42"/>
      <c r="Z2298" s="42"/>
      <c r="AA2298" s="42"/>
      <c r="AB2298" s="42"/>
      <c r="AC2298" s="42"/>
      <c r="AD2298" s="42"/>
      <c r="AE2298" s="42"/>
      <c r="AF2298" s="42"/>
      <c r="AG2298" s="42"/>
      <c r="AH2298" s="42"/>
      <c r="AI2298" s="42"/>
      <c r="AJ2298" s="42"/>
      <c r="AK2298" s="42"/>
      <c r="AL2298" s="42"/>
      <c r="AM2298" s="42"/>
    </row>
    <row r="2299" spans="1:39" x14ac:dyDescent="0.25">
      <c r="A2299" s="35"/>
      <c r="B2299" s="42"/>
      <c r="C2299" s="42"/>
      <c r="D2299" s="42"/>
      <c r="E2299" s="41"/>
      <c r="F2299" s="41"/>
      <c r="G2299" s="41"/>
      <c r="H2299" s="41"/>
      <c r="I2299" s="41"/>
      <c r="J2299" s="42"/>
      <c r="K2299" s="41"/>
      <c r="L2299" s="41"/>
      <c r="M2299" s="127"/>
      <c r="N2299" s="41"/>
      <c r="O2299" s="41"/>
      <c r="P2299" s="41"/>
      <c r="Q2299" s="42"/>
      <c r="R2299" s="35"/>
      <c r="S2299" s="35"/>
      <c r="T2299" s="35"/>
      <c r="U2299" s="35"/>
      <c r="V2299" s="121"/>
      <c r="W2299" s="42"/>
      <c r="X2299" s="42"/>
      <c r="Y2299" s="42"/>
      <c r="Z2299" s="42"/>
      <c r="AA2299" s="42"/>
      <c r="AB2299" s="42"/>
      <c r="AC2299" s="42"/>
      <c r="AD2299" s="42"/>
      <c r="AE2299" s="42"/>
      <c r="AF2299" s="42"/>
      <c r="AG2299" s="42"/>
      <c r="AH2299" s="42"/>
      <c r="AI2299" s="42"/>
      <c r="AJ2299" s="42"/>
      <c r="AK2299" s="42"/>
      <c r="AL2299" s="42"/>
      <c r="AM2299" s="42"/>
    </row>
    <row r="2300" spans="1:39" x14ac:dyDescent="0.25">
      <c r="A2300" s="35"/>
      <c r="B2300" s="42"/>
      <c r="C2300" s="42"/>
      <c r="D2300" s="42"/>
      <c r="E2300" s="41"/>
      <c r="F2300" s="41"/>
      <c r="G2300" s="41"/>
      <c r="H2300" s="41"/>
      <c r="I2300" s="41"/>
      <c r="J2300" s="42"/>
      <c r="K2300" s="41"/>
      <c r="L2300" s="41"/>
      <c r="M2300" s="127"/>
      <c r="N2300" s="41"/>
      <c r="O2300" s="41"/>
      <c r="P2300" s="41"/>
      <c r="Q2300" s="42"/>
      <c r="R2300" s="35"/>
      <c r="S2300" s="35"/>
      <c r="T2300" s="35"/>
      <c r="U2300" s="35"/>
      <c r="V2300" s="121"/>
      <c r="W2300" s="42"/>
      <c r="X2300" s="42"/>
      <c r="Y2300" s="42"/>
      <c r="Z2300" s="42"/>
      <c r="AA2300" s="42"/>
      <c r="AB2300" s="42"/>
      <c r="AC2300" s="42"/>
      <c r="AD2300" s="42"/>
      <c r="AE2300" s="42"/>
      <c r="AF2300" s="42"/>
      <c r="AG2300" s="42"/>
      <c r="AH2300" s="42"/>
      <c r="AI2300" s="42"/>
      <c r="AJ2300" s="42"/>
      <c r="AK2300" s="42"/>
      <c r="AL2300" s="42"/>
      <c r="AM2300" s="42"/>
    </row>
    <row r="2301" spans="1:39" x14ac:dyDescent="0.25">
      <c r="A2301" s="35"/>
      <c r="B2301" s="42"/>
      <c r="C2301" s="42"/>
      <c r="D2301" s="42"/>
      <c r="E2301" s="41"/>
      <c r="F2301" s="41"/>
      <c r="G2301" s="41"/>
      <c r="H2301" s="41"/>
      <c r="I2301" s="41"/>
      <c r="J2301" s="42"/>
      <c r="K2301" s="41"/>
      <c r="L2301" s="41"/>
      <c r="M2301" s="127"/>
      <c r="N2301" s="41"/>
      <c r="O2301" s="41"/>
      <c r="P2301" s="41"/>
      <c r="Q2301" s="42"/>
      <c r="R2301" s="35"/>
      <c r="S2301" s="35"/>
      <c r="T2301" s="35"/>
      <c r="U2301" s="35"/>
      <c r="V2301" s="121"/>
      <c r="W2301" s="42"/>
      <c r="X2301" s="42"/>
      <c r="Y2301" s="42"/>
      <c r="Z2301" s="42"/>
      <c r="AA2301" s="42"/>
      <c r="AB2301" s="42"/>
      <c r="AC2301" s="42"/>
      <c r="AD2301" s="42"/>
      <c r="AE2301" s="42"/>
      <c r="AF2301" s="42"/>
      <c r="AG2301" s="42"/>
      <c r="AH2301" s="42"/>
      <c r="AI2301" s="42"/>
      <c r="AJ2301" s="42"/>
      <c r="AK2301" s="42"/>
      <c r="AL2301" s="42"/>
      <c r="AM2301" s="42"/>
    </row>
    <row r="2302" spans="1:39" x14ac:dyDescent="0.25">
      <c r="A2302" s="35"/>
      <c r="B2302" s="42"/>
      <c r="C2302" s="42"/>
      <c r="D2302" s="42"/>
      <c r="E2302" s="41"/>
      <c r="F2302" s="41"/>
      <c r="G2302" s="41"/>
      <c r="H2302" s="41"/>
      <c r="I2302" s="41"/>
      <c r="J2302" s="42"/>
      <c r="K2302" s="41"/>
      <c r="L2302" s="41"/>
      <c r="M2302" s="127"/>
      <c r="N2302" s="41"/>
      <c r="O2302" s="41"/>
      <c r="P2302" s="41"/>
      <c r="Q2302" s="42"/>
      <c r="R2302" s="35"/>
      <c r="S2302" s="35"/>
      <c r="T2302" s="35"/>
      <c r="U2302" s="35"/>
      <c r="V2302" s="121"/>
      <c r="W2302" s="42"/>
      <c r="X2302" s="42"/>
      <c r="Y2302" s="42"/>
      <c r="Z2302" s="42"/>
      <c r="AA2302" s="42"/>
      <c r="AB2302" s="42"/>
      <c r="AC2302" s="42"/>
      <c r="AD2302" s="42"/>
      <c r="AE2302" s="42"/>
      <c r="AF2302" s="42"/>
      <c r="AG2302" s="42"/>
      <c r="AH2302" s="42"/>
      <c r="AI2302" s="42"/>
      <c r="AJ2302" s="42"/>
      <c r="AK2302" s="42"/>
      <c r="AL2302" s="42"/>
      <c r="AM2302" s="42"/>
    </row>
    <row r="2303" spans="1:39" x14ac:dyDescent="0.25">
      <c r="A2303" s="35"/>
      <c r="B2303" s="42"/>
      <c r="C2303" s="42"/>
      <c r="D2303" s="42"/>
      <c r="E2303" s="41"/>
      <c r="F2303" s="41"/>
      <c r="G2303" s="41"/>
      <c r="H2303" s="41"/>
      <c r="I2303" s="41"/>
      <c r="J2303" s="42"/>
      <c r="K2303" s="41"/>
      <c r="L2303" s="41"/>
      <c r="M2303" s="127"/>
      <c r="N2303" s="41"/>
      <c r="O2303" s="41"/>
      <c r="P2303" s="41"/>
      <c r="Q2303" s="42"/>
      <c r="R2303" s="35"/>
      <c r="S2303" s="35"/>
      <c r="T2303" s="35"/>
      <c r="U2303" s="35"/>
      <c r="V2303" s="121"/>
      <c r="W2303" s="42"/>
      <c r="X2303" s="42"/>
      <c r="Y2303" s="42"/>
      <c r="Z2303" s="42"/>
      <c r="AA2303" s="42"/>
      <c r="AB2303" s="42"/>
      <c r="AC2303" s="42"/>
      <c r="AD2303" s="42"/>
      <c r="AE2303" s="42"/>
      <c r="AF2303" s="42"/>
      <c r="AG2303" s="42"/>
      <c r="AH2303" s="42"/>
      <c r="AI2303" s="42"/>
      <c r="AJ2303" s="42"/>
      <c r="AK2303" s="42"/>
      <c r="AL2303" s="42"/>
      <c r="AM2303" s="42"/>
    </row>
    <row r="2304" spans="1:39" x14ac:dyDescent="0.25">
      <c r="A2304" s="35"/>
      <c r="B2304" s="42"/>
      <c r="C2304" s="42"/>
      <c r="D2304" s="42"/>
      <c r="E2304" s="41"/>
      <c r="F2304" s="41"/>
      <c r="G2304" s="41"/>
      <c r="H2304" s="41"/>
      <c r="I2304" s="41"/>
      <c r="J2304" s="42"/>
      <c r="K2304" s="41"/>
      <c r="L2304" s="41"/>
      <c r="M2304" s="127"/>
      <c r="N2304" s="41"/>
      <c r="O2304" s="41"/>
      <c r="P2304" s="41"/>
      <c r="Q2304" s="42"/>
      <c r="R2304" s="35"/>
      <c r="S2304" s="35"/>
      <c r="T2304" s="35"/>
      <c r="U2304" s="35"/>
      <c r="V2304" s="121"/>
      <c r="W2304" s="42"/>
      <c r="X2304" s="42"/>
      <c r="Y2304" s="42"/>
      <c r="Z2304" s="42"/>
      <c r="AA2304" s="42"/>
      <c r="AB2304" s="42"/>
      <c r="AC2304" s="42"/>
      <c r="AD2304" s="42"/>
      <c r="AE2304" s="42"/>
      <c r="AF2304" s="42"/>
      <c r="AG2304" s="42"/>
      <c r="AH2304" s="42"/>
      <c r="AI2304" s="42"/>
      <c r="AJ2304" s="42"/>
      <c r="AK2304" s="42"/>
      <c r="AL2304" s="42"/>
      <c r="AM2304" s="42"/>
    </row>
    <row r="2305" spans="1:39" x14ac:dyDescent="0.25">
      <c r="A2305" s="35"/>
      <c r="B2305" s="42"/>
      <c r="C2305" s="42"/>
      <c r="D2305" s="42"/>
      <c r="E2305" s="41"/>
      <c r="F2305" s="41"/>
      <c r="G2305" s="41"/>
      <c r="H2305" s="41"/>
      <c r="I2305" s="41"/>
      <c r="J2305" s="42"/>
      <c r="K2305" s="41"/>
      <c r="L2305" s="41"/>
      <c r="M2305" s="127"/>
      <c r="N2305" s="41"/>
      <c r="O2305" s="41"/>
      <c r="P2305" s="41"/>
      <c r="Q2305" s="42"/>
      <c r="R2305" s="35"/>
      <c r="S2305" s="35"/>
      <c r="T2305" s="35"/>
      <c r="U2305" s="35"/>
      <c r="V2305" s="121"/>
      <c r="W2305" s="42"/>
      <c r="X2305" s="42"/>
      <c r="Y2305" s="42"/>
      <c r="Z2305" s="42"/>
      <c r="AA2305" s="42"/>
      <c r="AB2305" s="42"/>
      <c r="AC2305" s="42"/>
      <c r="AD2305" s="42"/>
      <c r="AE2305" s="42"/>
      <c r="AF2305" s="42"/>
      <c r="AG2305" s="42"/>
      <c r="AH2305" s="42"/>
      <c r="AI2305" s="42"/>
      <c r="AJ2305" s="42"/>
      <c r="AK2305" s="42"/>
      <c r="AL2305" s="42"/>
      <c r="AM2305" s="42"/>
    </row>
    <row r="2306" spans="1:39" x14ac:dyDescent="0.25">
      <c r="A2306" s="35"/>
      <c r="B2306" s="42"/>
      <c r="C2306" s="42"/>
      <c r="D2306" s="42"/>
      <c r="E2306" s="41"/>
      <c r="F2306" s="41"/>
      <c r="G2306" s="41"/>
      <c r="H2306" s="41"/>
      <c r="I2306" s="41"/>
      <c r="J2306" s="42"/>
      <c r="K2306" s="41"/>
      <c r="L2306" s="41"/>
      <c r="M2306" s="127"/>
      <c r="N2306" s="41"/>
      <c r="O2306" s="41"/>
      <c r="P2306" s="41"/>
      <c r="Q2306" s="42"/>
      <c r="R2306" s="35"/>
      <c r="S2306" s="35"/>
      <c r="T2306" s="35"/>
      <c r="U2306" s="35"/>
      <c r="V2306" s="121"/>
      <c r="W2306" s="42"/>
      <c r="X2306" s="42"/>
      <c r="Y2306" s="42"/>
      <c r="Z2306" s="42"/>
      <c r="AA2306" s="42"/>
      <c r="AB2306" s="42"/>
      <c r="AC2306" s="42"/>
      <c r="AD2306" s="42"/>
      <c r="AE2306" s="42"/>
      <c r="AF2306" s="42"/>
      <c r="AG2306" s="42"/>
      <c r="AH2306" s="42"/>
      <c r="AI2306" s="42"/>
      <c r="AJ2306" s="42"/>
      <c r="AK2306" s="42"/>
      <c r="AL2306" s="42"/>
      <c r="AM2306" s="42"/>
    </row>
    <row r="2307" spans="1:39" x14ac:dyDescent="0.25">
      <c r="A2307" s="35"/>
      <c r="B2307" s="42"/>
      <c r="C2307" s="42"/>
      <c r="D2307" s="42"/>
      <c r="E2307" s="41"/>
      <c r="F2307" s="41"/>
      <c r="G2307" s="41"/>
      <c r="H2307" s="41"/>
      <c r="I2307" s="41"/>
      <c r="J2307" s="42"/>
      <c r="K2307" s="41"/>
      <c r="L2307" s="41"/>
      <c r="M2307" s="127"/>
      <c r="N2307" s="41"/>
      <c r="O2307" s="41"/>
      <c r="P2307" s="41"/>
      <c r="Q2307" s="42"/>
      <c r="R2307" s="35"/>
      <c r="S2307" s="35"/>
      <c r="T2307" s="35"/>
      <c r="U2307" s="35"/>
      <c r="V2307" s="121"/>
      <c r="W2307" s="42"/>
      <c r="X2307" s="42"/>
      <c r="Y2307" s="42"/>
      <c r="Z2307" s="42"/>
      <c r="AA2307" s="42"/>
      <c r="AB2307" s="42"/>
      <c r="AC2307" s="42"/>
      <c r="AD2307" s="42"/>
      <c r="AE2307" s="42"/>
      <c r="AF2307" s="42"/>
      <c r="AG2307" s="42"/>
      <c r="AH2307" s="42"/>
      <c r="AI2307" s="42"/>
      <c r="AJ2307" s="42"/>
      <c r="AK2307" s="42"/>
      <c r="AL2307" s="42"/>
      <c r="AM2307" s="42"/>
    </row>
    <row r="2308" spans="1:39" x14ac:dyDescent="0.25">
      <c r="A2308" s="35"/>
      <c r="B2308" s="42"/>
      <c r="C2308" s="42"/>
      <c r="D2308" s="42"/>
      <c r="E2308" s="41"/>
      <c r="F2308" s="41"/>
      <c r="G2308" s="41"/>
      <c r="H2308" s="41"/>
      <c r="I2308" s="41"/>
      <c r="J2308" s="42"/>
      <c r="K2308" s="41"/>
      <c r="L2308" s="41"/>
      <c r="M2308" s="127"/>
      <c r="N2308" s="41"/>
      <c r="O2308" s="41"/>
      <c r="P2308" s="41"/>
      <c r="Q2308" s="42"/>
      <c r="R2308" s="35"/>
      <c r="S2308" s="35"/>
      <c r="T2308" s="35"/>
      <c r="U2308" s="35"/>
      <c r="V2308" s="121"/>
      <c r="W2308" s="42"/>
      <c r="X2308" s="42"/>
      <c r="Y2308" s="42"/>
      <c r="Z2308" s="42"/>
      <c r="AA2308" s="42"/>
      <c r="AB2308" s="42"/>
      <c r="AC2308" s="42"/>
      <c r="AD2308" s="42"/>
      <c r="AE2308" s="42"/>
      <c r="AF2308" s="42"/>
      <c r="AG2308" s="42"/>
      <c r="AH2308" s="42"/>
      <c r="AI2308" s="42"/>
      <c r="AJ2308" s="42"/>
      <c r="AK2308" s="42"/>
      <c r="AL2308" s="42"/>
      <c r="AM2308" s="42"/>
    </row>
    <row r="2309" spans="1:39" x14ac:dyDescent="0.25">
      <c r="A2309" s="35"/>
      <c r="B2309" s="42"/>
      <c r="C2309" s="42"/>
      <c r="D2309" s="42"/>
      <c r="E2309" s="41"/>
      <c r="F2309" s="41"/>
      <c r="G2309" s="41"/>
      <c r="H2309" s="41"/>
      <c r="I2309" s="41"/>
      <c r="J2309" s="42"/>
      <c r="K2309" s="41"/>
      <c r="L2309" s="41"/>
      <c r="M2309" s="127"/>
      <c r="N2309" s="41"/>
      <c r="O2309" s="41"/>
      <c r="P2309" s="41"/>
      <c r="Q2309" s="42"/>
      <c r="R2309" s="35"/>
      <c r="S2309" s="35"/>
      <c r="T2309" s="35"/>
      <c r="U2309" s="35"/>
      <c r="V2309" s="121"/>
      <c r="W2309" s="42"/>
      <c r="X2309" s="42"/>
      <c r="Y2309" s="42"/>
      <c r="Z2309" s="42"/>
      <c r="AA2309" s="42"/>
      <c r="AB2309" s="42"/>
      <c r="AC2309" s="42"/>
      <c r="AD2309" s="42"/>
      <c r="AE2309" s="42"/>
      <c r="AF2309" s="42"/>
      <c r="AG2309" s="42"/>
      <c r="AH2309" s="42"/>
      <c r="AI2309" s="42"/>
      <c r="AJ2309" s="42"/>
      <c r="AK2309" s="42"/>
      <c r="AL2309" s="42"/>
      <c r="AM2309" s="42"/>
    </row>
    <row r="2310" spans="1:39" x14ac:dyDescent="0.25">
      <c r="A2310" s="35"/>
      <c r="B2310" s="42"/>
      <c r="C2310" s="42"/>
      <c r="D2310" s="42"/>
      <c r="E2310" s="41"/>
      <c r="F2310" s="41"/>
      <c r="G2310" s="41"/>
      <c r="H2310" s="41"/>
      <c r="I2310" s="41"/>
      <c r="J2310" s="42"/>
      <c r="K2310" s="41"/>
      <c r="L2310" s="41"/>
      <c r="M2310" s="127"/>
      <c r="N2310" s="41"/>
      <c r="O2310" s="41"/>
      <c r="P2310" s="41"/>
      <c r="Q2310" s="42"/>
      <c r="R2310" s="35"/>
      <c r="S2310" s="35"/>
      <c r="T2310" s="35"/>
      <c r="U2310" s="35"/>
      <c r="V2310" s="121"/>
      <c r="W2310" s="42"/>
      <c r="X2310" s="42"/>
      <c r="Y2310" s="42"/>
      <c r="Z2310" s="42"/>
      <c r="AA2310" s="42"/>
      <c r="AB2310" s="42"/>
      <c r="AC2310" s="42"/>
      <c r="AD2310" s="42"/>
      <c r="AE2310" s="42"/>
      <c r="AF2310" s="42"/>
      <c r="AG2310" s="42"/>
      <c r="AH2310" s="42"/>
      <c r="AI2310" s="42"/>
      <c r="AJ2310" s="42"/>
      <c r="AK2310" s="42"/>
      <c r="AL2310" s="42"/>
      <c r="AM2310" s="42"/>
    </row>
    <row r="2311" spans="1:39" x14ac:dyDescent="0.25">
      <c r="A2311" s="35"/>
      <c r="B2311" s="42"/>
      <c r="C2311" s="42"/>
      <c r="D2311" s="42"/>
      <c r="E2311" s="41"/>
      <c r="F2311" s="41"/>
      <c r="G2311" s="41"/>
      <c r="H2311" s="41"/>
      <c r="I2311" s="41"/>
      <c r="J2311" s="42"/>
      <c r="K2311" s="41"/>
      <c r="L2311" s="41"/>
      <c r="M2311" s="127"/>
      <c r="N2311" s="41"/>
      <c r="O2311" s="41"/>
      <c r="P2311" s="41"/>
      <c r="Q2311" s="42"/>
      <c r="R2311" s="35"/>
      <c r="S2311" s="35"/>
      <c r="T2311" s="35"/>
      <c r="U2311" s="35"/>
      <c r="V2311" s="121"/>
      <c r="W2311" s="42"/>
      <c r="X2311" s="42"/>
      <c r="Y2311" s="42"/>
      <c r="Z2311" s="42"/>
      <c r="AA2311" s="42"/>
      <c r="AB2311" s="42"/>
      <c r="AC2311" s="42"/>
      <c r="AD2311" s="42"/>
      <c r="AE2311" s="42"/>
      <c r="AF2311" s="42"/>
      <c r="AG2311" s="42"/>
      <c r="AH2311" s="42"/>
      <c r="AI2311" s="42"/>
      <c r="AJ2311" s="42"/>
      <c r="AK2311" s="42"/>
      <c r="AL2311" s="42"/>
      <c r="AM2311" s="42"/>
    </row>
    <row r="2312" spans="1:39" x14ac:dyDescent="0.25">
      <c r="A2312" s="35"/>
      <c r="B2312" s="42"/>
      <c r="C2312" s="42"/>
      <c r="D2312" s="42"/>
      <c r="E2312" s="41"/>
      <c r="F2312" s="41"/>
      <c r="G2312" s="41"/>
      <c r="H2312" s="41"/>
      <c r="I2312" s="41"/>
      <c r="J2312" s="42"/>
      <c r="K2312" s="41"/>
      <c r="L2312" s="41"/>
      <c r="M2312" s="127"/>
      <c r="N2312" s="41"/>
      <c r="O2312" s="41"/>
      <c r="P2312" s="41"/>
      <c r="Q2312" s="42"/>
      <c r="R2312" s="35"/>
      <c r="S2312" s="35"/>
      <c r="T2312" s="35"/>
      <c r="U2312" s="35"/>
      <c r="V2312" s="121"/>
      <c r="W2312" s="42"/>
      <c r="X2312" s="42"/>
      <c r="Y2312" s="42"/>
      <c r="Z2312" s="42"/>
      <c r="AA2312" s="42"/>
      <c r="AB2312" s="42"/>
      <c r="AC2312" s="42"/>
      <c r="AD2312" s="42"/>
      <c r="AE2312" s="42"/>
      <c r="AF2312" s="42"/>
      <c r="AG2312" s="42"/>
      <c r="AH2312" s="42"/>
      <c r="AI2312" s="42"/>
      <c r="AJ2312" s="42"/>
      <c r="AK2312" s="42"/>
      <c r="AL2312" s="42"/>
      <c r="AM2312" s="42"/>
    </row>
    <row r="2313" spans="1:39" x14ac:dyDescent="0.25">
      <c r="A2313" s="35"/>
      <c r="B2313" s="42"/>
      <c r="C2313" s="42"/>
      <c r="D2313" s="42"/>
      <c r="E2313" s="41"/>
      <c r="F2313" s="41"/>
      <c r="G2313" s="41"/>
      <c r="H2313" s="41"/>
      <c r="I2313" s="41"/>
      <c r="J2313" s="42"/>
      <c r="K2313" s="41"/>
      <c r="L2313" s="41"/>
      <c r="M2313" s="127"/>
      <c r="N2313" s="41"/>
      <c r="O2313" s="41"/>
      <c r="P2313" s="41"/>
      <c r="Q2313" s="42"/>
      <c r="R2313" s="35"/>
      <c r="S2313" s="35"/>
      <c r="T2313" s="35"/>
      <c r="U2313" s="35"/>
      <c r="V2313" s="121"/>
      <c r="W2313" s="42"/>
      <c r="X2313" s="42"/>
      <c r="Y2313" s="42"/>
      <c r="Z2313" s="42"/>
      <c r="AA2313" s="42"/>
      <c r="AB2313" s="42"/>
      <c r="AC2313" s="42"/>
      <c r="AD2313" s="42"/>
      <c r="AE2313" s="42"/>
      <c r="AF2313" s="42"/>
      <c r="AG2313" s="42"/>
      <c r="AH2313" s="42"/>
      <c r="AI2313" s="42"/>
      <c r="AJ2313" s="42"/>
      <c r="AK2313" s="42"/>
      <c r="AL2313" s="42"/>
      <c r="AM2313" s="42"/>
    </row>
    <row r="2314" spans="1:39" x14ac:dyDescent="0.25">
      <c r="A2314" s="35"/>
      <c r="B2314" s="42"/>
      <c r="C2314" s="42"/>
      <c r="D2314" s="42"/>
      <c r="E2314" s="41"/>
      <c r="F2314" s="41"/>
      <c r="G2314" s="41"/>
      <c r="H2314" s="41"/>
      <c r="I2314" s="41"/>
      <c r="J2314" s="42"/>
      <c r="K2314" s="41"/>
      <c r="L2314" s="41"/>
      <c r="M2314" s="127"/>
      <c r="N2314" s="41"/>
      <c r="O2314" s="41"/>
      <c r="P2314" s="41"/>
      <c r="Q2314" s="42"/>
      <c r="R2314" s="35"/>
      <c r="S2314" s="35"/>
      <c r="T2314" s="35"/>
      <c r="U2314" s="35"/>
      <c r="V2314" s="121"/>
      <c r="W2314" s="42"/>
      <c r="X2314" s="42"/>
      <c r="Y2314" s="42"/>
      <c r="Z2314" s="42"/>
      <c r="AA2314" s="42"/>
      <c r="AB2314" s="42"/>
      <c r="AC2314" s="42"/>
      <c r="AD2314" s="42"/>
      <c r="AE2314" s="42"/>
      <c r="AF2314" s="42"/>
      <c r="AG2314" s="42"/>
      <c r="AH2314" s="42"/>
      <c r="AI2314" s="42"/>
      <c r="AJ2314" s="42"/>
      <c r="AK2314" s="42"/>
      <c r="AL2314" s="42"/>
      <c r="AM2314" s="42"/>
    </row>
    <row r="2315" spans="1:39" x14ac:dyDescent="0.25">
      <c r="A2315" s="35"/>
      <c r="B2315" s="42"/>
      <c r="C2315" s="42"/>
      <c r="D2315" s="42"/>
      <c r="E2315" s="41"/>
      <c r="F2315" s="41"/>
      <c r="G2315" s="41"/>
      <c r="H2315" s="41"/>
      <c r="I2315" s="41"/>
      <c r="J2315" s="42"/>
      <c r="K2315" s="41"/>
      <c r="L2315" s="41"/>
      <c r="M2315" s="127"/>
      <c r="N2315" s="41"/>
      <c r="O2315" s="41"/>
      <c r="P2315" s="41"/>
      <c r="Q2315" s="42"/>
      <c r="R2315" s="35"/>
      <c r="S2315" s="35"/>
      <c r="T2315" s="35"/>
      <c r="U2315" s="35"/>
      <c r="V2315" s="121"/>
      <c r="W2315" s="42"/>
      <c r="X2315" s="42"/>
      <c r="Y2315" s="42"/>
      <c r="Z2315" s="42"/>
      <c r="AA2315" s="42"/>
      <c r="AB2315" s="42"/>
      <c r="AC2315" s="42"/>
      <c r="AD2315" s="42"/>
      <c r="AE2315" s="42"/>
      <c r="AF2315" s="42"/>
      <c r="AG2315" s="42"/>
      <c r="AH2315" s="42"/>
      <c r="AI2315" s="42"/>
      <c r="AJ2315" s="42"/>
      <c r="AK2315" s="42"/>
      <c r="AL2315" s="42"/>
      <c r="AM2315" s="42"/>
    </row>
    <row r="2316" spans="1:39" x14ac:dyDescent="0.25">
      <c r="A2316" s="35"/>
      <c r="B2316" s="42"/>
      <c r="C2316" s="42"/>
      <c r="D2316" s="42"/>
      <c r="E2316" s="41"/>
      <c r="F2316" s="41"/>
      <c r="G2316" s="41"/>
      <c r="H2316" s="41"/>
      <c r="I2316" s="41"/>
      <c r="J2316" s="42"/>
      <c r="K2316" s="41"/>
      <c r="L2316" s="41"/>
      <c r="M2316" s="127"/>
      <c r="N2316" s="41"/>
      <c r="O2316" s="41"/>
      <c r="P2316" s="41"/>
      <c r="Q2316" s="42"/>
      <c r="R2316" s="35"/>
      <c r="S2316" s="35"/>
      <c r="T2316" s="35"/>
      <c r="U2316" s="35"/>
      <c r="V2316" s="121"/>
      <c r="W2316" s="42"/>
      <c r="X2316" s="42"/>
      <c r="Y2316" s="42"/>
      <c r="Z2316" s="42"/>
      <c r="AA2316" s="42"/>
      <c r="AB2316" s="42"/>
      <c r="AC2316" s="42"/>
      <c r="AD2316" s="42"/>
      <c r="AE2316" s="42"/>
      <c r="AF2316" s="42"/>
      <c r="AG2316" s="42"/>
      <c r="AH2316" s="42"/>
      <c r="AI2316" s="42"/>
      <c r="AJ2316" s="42"/>
      <c r="AK2316" s="42"/>
      <c r="AL2316" s="42"/>
      <c r="AM2316" s="42"/>
    </row>
    <row r="2317" spans="1:39" x14ac:dyDescent="0.25">
      <c r="A2317" s="35"/>
      <c r="B2317" s="42"/>
      <c r="C2317" s="42"/>
      <c r="D2317" s="42"/>
      <c r="E2317" s="41"/>
      <c r="F2317" s="41"/>
      <c r="G2317" s="41"/>
      <c r="H2317" s="41"/>
      <c r="I2317" s="41"/>
      <c r="J2317" s="42"/>
      <c r="K2317" s="41"/>
      <c r="L2317" s="41"/>
      <c r="M2317" s="127"/>
      <c r="N2317" s="41"/>
      <c r="O2317" s="41"/>
      <c r="P2317" s="41"/>
      <c r="Q2317" s="42"/>
      <c r="R2317" s="35"/>
      <c r="S2317" s="35"/>
      <c r="T2317" s="35"/>
      <c r="U2317" s="35"/>
      <c r="V2317" s="121"/>
      <c r="W2317" s="42"/>
      <c r="X2317" s="42"/>
      <c r="Y2317" s="42"/>
      <c r="Z2317" s="42"/>
      <c r="AA2317" s="42"/>
      <c r="AB2317" s="42"/>
      <c r="AC2317" s="42"/>
      <c r="AD2317" s="42"/>
      <c r="AE2317" s="42"/>
      <c r="AF2317" s="42"/>
      <c r="AG2317" s="42"/>
      <c r="AH2317" s="42"/>
      <c r="AI2317" s="42"/>
      <c r="AJ2317" s="42"/>
      <c r="AK2317" s="42"/>
      <c r="AL2317" s="42"/>
      <c r="AM2317" s="42"/>
    </row>
    <row r="2318" spans="1:39" x14ac:dyDescent="0.25">
      <c r="A2318" s="35"/>
      <c r="B2318" s="42"/>
      <c r="C2318" s="42"/>
      <c r="D2318" s="42"/>
      <c r="E2318" s="41"/>
      <c r="F2318" s="41"/>
      <c r="G2318" s="41"/>
      <c r="H2318" s="41"/>
      <c r="I2318" s="41"/>
      <c r="J2318" s="42"/>
      <c r="K2318" s="41"/>
      <c r="L2318" s="41"/>
      <c r="M2318" s="127"/>
      <c r="N2318" s="41"/>
      <c r="O2318" s="41"/>
      <c r="P2318" s="41"/>
      <c r="Q2318" s="42"/>
      <c r="R2318" s="35"/>
      <c r="S2318" s="35"/>
      <c r="T2318" s="35"/>
      <c r="U2318" s="35"/>
      <c r="V2318" s="121"/>
      <c r="W2318" s="42"/>
      <c r="X2318" s="42"/>
      <c r="Y2318" s="42"/>
      <c r="Z2318" s="42"/>
      <c r="AA2318" s="42"/>
      <c r="AB2318" s="42"/>
      <c r="AC2318" s="42"/>
      <c r="AD2318" s="42"/>
      <c r="AE2318" s="42"/>
      <c r="AF2318" s="42"/>
      <c r="AG2318" s="42"/>
      <c r="AH2318" s="42"/>
      <c r="AI2318" s="42"/>
      <c r="AJ2318" s="42"/>
      <c r="AK2318" s="42"/>
      <c r="AL2318" s="42"/>
      <c r="AM2318" s="42"/>
    </row>
    <row r="2319" spans="1:39" x14ac:dyDescent="0.25">
      <c r="A2319" s="35"/>
      <c r="B2319" s="42"/>
      <c r="C2319" s="42"/>
      <c r="D2319" s="42"/>
      <c r="E2319" s="41"/>
      <c r="F2319" s="41"/>
      <c r="G2319" s="41"/>
      <c r="H2319" s="41"/>
      <c r="I2319" s="41"/>
      <c r="J2319" s="42"/>
      <c r="K2319" s="41"/>
      <c r="L2319" s="41"/>
      <c r="M2319" s="127"/>
      <c r="N2319" s="41"/>
      <c r="O2319" s="41"/>
      <c r="P2319" s="41"/>
      <c r="Q2319" s="42"/>
      <c r="R2319" s="35"/>
      <c r="S2319" s="35"/>
      <c r="T2319" s="35"/>
      <c r="U2319" s="35"/>
      <c r="V2319" s="121"/>
      <c r="W2319" s="42"/>
      <c r="X2319" s="42"/>
      <c r="Y2319" s="42"/>
      <c r="Z2319" s="42"/>
      <c r="AA2319" s="42"/>
      <c r="AB2319" s="42"/>
      <c r="AC2319" s="42"/>
      <c r="AD2319" s="42"/>
      <c r="AE2319" s="42"/>
      <c r="AF2319" s="42"/>
      <c r="AG2319" s="42"/>
      <c r="AH2319" s="42"/>
      <c r="AI2319" s="42"/>
      <c r="AJ2319" s="42"/>
      <c r="AK2319" s="42"/>
      <c r="AL2319" s="42"/>
      <c r="AM2319" s="42"/>
    </row>
    <row r="2320" spans="1:39" x14ac:dyDescent="0.25">
      <c r="A2320" s="35"/>
      <c r="B2320" s="42"/>
      <c r="C2320" s="42"/>
      <c r="D2320" s="42"/>
      <c r="E2320" s="41"/>
      <c r="F2320" s="41"/>
      <c r="G2320" s="41"/>
      <c r="H2320" s="41"/>
      <c r="I2320" s="41"/>
      <c r="J2320" s="42"/>
      <c r="K2320" s="41"/>
      <c r="L2320" s="41"/>
      <c r="M2320" s="127"/>
      <c r="N2320" s="41"/>
      <c r="O2320" s="41"/>
      <c r="P2320" s="41"/>
      <c r="Q2320" s="42"/>
      <c r="R2320" s="35"/>
      <c r="S2320" s="35"/>
      <c r="T2320" s="35"/>
      <c r="U2320" s="35"/>
      <c r="V2320" s="121"/>
      <c r="W2320" s="42"/>
      <c r="X2320" s="42"/>
      <c r="Y2320" s="42"/>
      <c r="Z2320" s="42"/>
      <c r="AA2320" s="42"/>
      <c r="AB2320" s="42"/>
      <c r="AC2320" s="42"/>
      <c r="AD2320" s="42"/>
      <c r="AE2320" s="42"/>
      <c r="AF2320" s="42"/>
      <c r="AG2320" s="42"/>
      <c r="AH2320" s="42"/>
      <c r="AI2320" s="42"/>
      <c r="AJ2320" s="42"/>
      <c r="AK2320" s="42"/>
      <c r="AL2320" s="42"/>
      <c r="AM2320" s="42"/>
    </row>
    <row r="2321" spans="1:39" x14ac:dyDescent="0.25">
      <c r="A2321" s="35"/>
      <c r="B2321" s="42"/>
      <c r="C2321" s="42"/>
      <c r="D2321" s="42"/>
      <c r="E2321" s="41"/>
      <c r="F2321" s="41"/>
      <c r="G2321" s="41"/>
      <c r="H2321" s="41"/>
      <c r="I2321" s="41"/>
      <c r="J2321" s="42"/>
      <c r="K2321" s="41"/>
      <c r="L2321" s="41"/>
      <c r="M2321" s="127"/>
      <c r="N2321" s="41"/>
      <c r="O2321" s="41"/>
      <c r="P2321" s="41"/>
      <c r="Q2321" s="42"/>
      <c r="R2321" s="35"/>
      <c r="S2321" s="35"/>
      <c r="T2321" s="35"/>
      <c r="U2321" s="35"/>
      <c r="V2321" s="121"/>
      <c r="W2321" s="42"/>
      <c r="X2321" s="42"/>
      <c r="Y2321" s="42"/>
      <c r="Z2321" s="42"/>
      <c r="AA2321" s="42"/>
      <c r="AB2321" s="42"/>
      <c r="AC2321" s="42"/>
      <c r="AD2321" s="42"/>
      <c r="AE2321" s="42"/>
      <c r="AF2321" s="42"/>
      <c r="AG2321" s="42"/>
      <c r="AH2321" s="42"/>
      <c r="AI2321" s="42"/>
      <c r="AJ2321" s="42"/>
      <c r="AK2321" s="42"/>
      <c r="AL2321" s="42"/>
      <c r="AM2321" s="42"/>
    </row>
    <row r="2322" spans="1:39" x14ac:dyDescent="0.25">
      <c r="A2322" s="35"/>
      <c r="B2322" s="42"/>
      <c r="C2322" s="42"/>
      <c r="D2322" s="42"/>
      <c r="E2322" s="41"/>
      <c r="F2322" s="41"/>
      <c r="G2322" s="41"/>
      <c r="H2322" s="41"/>
      <c r="I2322" s="41"/>
      <c r="J2322" s="42"/>
      <c r="K2322" s="41"/>
      <c r="L2322" s="41"/>
      <c r="M2322" s="127"/>
      <c r="N2322" s="41"/>
      <c r="O2322" s="41"/>
      <c r="P2322" s="41"/>
      <c r="Q2322" s="42"/>
      <c r="R2322" s="35"/>
      <c r="S2322" s="35"/>
      <c r="T2322" s="35"/>
      <c r="U2322" s="35"/>
      <c r="V2322" s="121"/>
      <c r="W2322" s="42"/>
      <c r="X2322" s="42"/>
      <c r="Y2322" s="42"/>
      <c r="Z2322" s="42"/>
      <c r="AA2322" s="42"/>
      <c r="AB2322" s="42"/>
      <c r="AC2322" s="42"/>
      <c r="AD2322" s="42"/>
      <c r="AE2322" s="42"/>
      <c r="AF2322" s="42"/>
      <c r="AG2322" s="42"/>
      <c r="AH2322" s="42"/>
      <c r="AI2322" s="42"/>
      <c r="AJ2322" s="42"/>
      <c r="AK2322" s="42"/>
      <c r="AL2322" s="42"/>
      <c r="AM2322" s="42"/>
    </row>
    <row r="2323" spans="1:39" x14ac:dyDescent="0.25">
      <c r="A2323" s="35"/>
      <c r="B2323" s="42"/>
      <c r="C2323" s="42"/>
      <c r="D2323" s="42"/>
      <c r="E2323" s="41"/>
      <c r="F2323" s="41"/>
      <c r="G2323" s="41"/>
      <c r="H2323" s="41"/>
      <c r="I2323" s="41"/>
      <c r="J2323" s="42"/>
      <c r="K2323" s="41"/>
      <c r="L2323" s="41"/>
      <c r="M2323" s="127"/>
      <c r="N2323" s="41"/>
      <c r="O2323" s="41"/>
      <c r="P2323" s="41"/>
      <c r="Q2323" s="42"/>
      <c r="R2323" s="35"/>
      <c r="S2323" s="35"/>
      <c r="T2323" s="35"/>
      <c r="U2323" s="35"/>
      <c r="V2323" s="121"/>
      <c r="W2323" s="42"/>
      <c r="X2323" s="42"/>
      <c r="Y2323" s="42"/>
      <c r="Z2323" s="42"/>
      <c r="AA2323" s="42"/>
      <c r="AB2323" s="42"/>
      <c r="AC2323" s="42"/>
      <c r="AD2323" s="42"/>
      <c r="AE2323" s="42"/>
      <c r="AF2323" s="42"/>
      <c r="AG2323" s="42"/>
      <c r="AH2323" s="42"/>
      <c r="AI2323" s="42"/>
      <c r="AJ2323" s="42"/>
      <c r="AK2323" s="42"/>
      <c r="AL2323" s="42"/>
      <c r="AM2323" s="42"/>
    </row>
    <row r="2324" spans="1:39" x14ac:dyDescent="0.25">
      <c r="A2324" s="35"/>
      <c r="B2324" s="42"/>
      <c r="C2324" s="42"/>
      <c r="D2324" s="42"/>
      <c r="E2324" s="41"/>
      <c r="F2324" s="41"/>
      <c r="G2324" s="41"/>
      <c r="H2324" s="41"/>
      <c r="I2324" s="41"/>
      <c r="J2324" s="42"/>
      <c r="K2324" s="41"/>
      <c r="L2324" s="41"/>
      <c r="M2324" s="127"/>
      <c r="N2324" s="41"/>
      <c r="O2324" s="41"/>
      <c r="P2324" s="41"/>
      <c r="Q2324" s="42"/>
      <c r="R2324" s="35"/>
      <c r="S2324" s="35"/>
      <c r="T2324" s="35"/>
      <c r="U2324" s="35"/>
      <c r="V2324" s="121"/>
      <c r="W2324" s="42"/>
      <c r="X2324" s="42"/>
      <c r="Y2324" s="42"/>
      <c r="Z2324" s="42"/>
      <c r="AA2324" s="42"/>
      <c r="AB2324" s="42"/>
      <c r="AC2324" s="42"/>
      <c r="AD2324" s="42"/>
      <c r="AE2324" s="42"/>
      <c r="AF2324" s="42"/>
      <c r="AG2324" s="42"/>
      <c r="AH2324" s="42"/>
      <c r="AI2324" s="42"/>
      <c r="AJ2324" s="42"/>
      <c r="AK2324" s="42"/>
      <c r="AL2324" s="42"/>
      <c r="AM2324" s="42"/>
    </row>
    <row r="2325" spans="1:39" x14ac:dyDescent="0.25">
      <c r="A2325" s="35"/>
      <c r="B2325" s="42"/>
      <c r="C2325" s="42"/>
      <c r="D2325" s="42"/>
      <c r="E2325" s="41"/>
      <c r="F2325" s="41"/>
      <c r="G2325" s="41"/>
      <c r="H2325" s="41"/>
      <c r="I2325" s="41"/>
      <c r="J2325" s="42"/>
      <c r="K2325" s="41"/>
      <c r="L2325" s="41"/>
      <c r="M2325" s="127"/>
      <c r="N2325" s="41"/>
      <c r="O2325" s="41"/>
      <c r="P2325" s="41"/>
      <c r="Q2325" s="42"/>
      <c r="R2325" s="35"/>
      <c r="S2325" s="35"/>
      <c r="T2325" s="35"/>
      <c r="U2325" s="35"/>
      <c r="V2325" s="121"/>
      <c r="W2325" s="42"/>
      <c r="X2325" s="42"/>
      <c r="Y2325" s="42"/>
      <c r="Z2325" s="42"/>
      <c r="AA2325" s="42"/>
      <c r="AB2325" s="42"/>
      <c r="AC2325" s="42"/>
      <c r="AD2325" s="42"/>
      <c r="AE2325" s="42"/>
      <c r="AF2325" s="42"/>
      <c r="AG2325" s="42"/>
      <c r="AH2325" s="42"/>
      <c r="AI2325" s="42"/>
      <c r="AJ2325" s="42"/>
      <c r="AK2325" s="42"/>
      <c r="AL2325" s="42"/>
      <c r="AM2325" s="42"/>
    </row>
    <row r="2326" spans="1:39" x14ac:dyDescent="0.25">
      <c r="A2326" s="35"/>
      <c r="B2326" s="42"/>
      <c r="C2326" s="42"/>
      <c r="D2326" s="42"/>
      <c r="E2326" s="41"/>
      <c r="F2326" s="41"/>
      <c r="G2326" s="41"/>
      <c r="H2326" s="41"/>
      <c r="I2326" s="41"/>
      <c r="J2326" s="42"/>
      <c r="K2326" s="41"/>
      <c r="L2326" s="41"/>
      <c r="M2326" s="127"/>
      <c r="N2326" s="41"/>
      <c r="O2326" s="41"/>
      <c r="P2326" s="41"/>
      <c r="Q2326" s="42"/>
      <c r="R2326" s="35"/>
      <c r="S2326" s="35"/>
      <c r="T2326" s="35"/>
      <c r="U2326" s="35"/>
      <c r="V2326" s="121"/>
      <c r="W2326" s="42"/>
      <c r="X2326" s="42"/>
      <c r="Y2326" s="42"/>
      <c r="Z2326" s="42"/>
      <c r="AA2326" s="42"/>
      <c r="AB2326" s="42"/>
      <c r="AC2326" s="42"/>
      <c r="AD2326" s="42"/>
      <c r="AE2326" s="42"/>
      <c r="AF2326" s="42"/>
      <c r="AG2326" s="42"/>
      <c r="AH2326" s="42"/>
      <c r="AI2326" s="42"/>
      <c r="AJ2326" s="42"/>
      <c r="AK2326" s="42"/>
      <c r="AL2326" s="42"/>
      <c r="AM2326" s="42"/>
    </row>
    <row r="2327" spans="1:39" x14ac:dyDescent="0.25">
      <c r="A2327" s="35"/>
      <c r="B2327" s="42"/>
      <c r="C2327" s="42"/>
      <c r="D2327" s="42"/>
      <c r="E2327" s="41"/>
      <c r="F2327" s="41"/>
      <c r="G2327" s="41"/>
      <c r="H2327" s="41"/>
      <c r="I2327" s="41"/>
      <c r="J2327" s="42"/>
      <c r="K2327" s="41"/>
      <c r="L2327" s="41"/>
      <c r="M2327" s="127"/>
      <c r="N2327" s="41"/>
      <c r="O2327" s="41"/>
      <c r="P2327" s="41"/>
      <c r="Q2327" s="42"/>
      <c r="R2327" s="35"/>
      <c r="S2327" s="35"/>
      <c r="T2327" s="35"/>
      <c r="U2327" s="35"/>
      <c r="V2327" s="121"/>
      <c r="W2327" s="42"/>
      <c r="X2327" s="42"/>
      <c r="Y2327" s="42"/>
      <c r="Z2327" s="42"/>
      <c r="AA2327" s="42"/>
      <c r="AB2327" s="42"/>
      <c r="AC2327" s="42"/>
      <c r="AD2327" s="42"/>
      <c r="AE2327" s="42"/>
      <c r="AF2327" s="42"/>
      <c r="AG2327" s="42"/>
      <c r="AH2327" s="42"/>
      <c r="AI2327" s="42"/>
      <c r="AJ2327" s="42"/>
      <c r="AK2327" s="42"/>
      <c r="AL2327" s="42"/>
      <c r="AM2327" s="42"/>
    </row>
    <row r="2328" spans="1:39" x14ac:dyDescent="0.25">
      <c r="A2328" s="35"/>
      <c r="B2328" s="42"/>
      <c r="C2328" s="42"/>
      <c r="D2328" s="42"/>
      <c r="E2328" s="41"/>
      <c r="F2328" s="41"/>
      <c r="G2328" s="41"/>
      <c r="H2328" s="41"/>
      <c r="I2328" s="41"/>
      <c r="J2328" s="42"/>
      <c r="K2328" s="41"/>
      <c r="L2328" s="41"/>
      <c r="M2328" s="127"/>
      <c r="N2328" s="41"/>
      <c r="O2328" s="41"/>
      <c r="P2328" s="41"/>
      <c r="Q2328" s="42"/>
      <c r="R2328" s="35"/>
      <c r="S2328" s="35"/>
      <c r="T2328" s="35"/>
      <c r="U2328" s="35"/>
      <c r="V2328" s="121"/>
      <c r="W2328" s="42"/>
      <c r="X2328" s="42"/>
      <c r="Y2328" s="42"/>
      <c r="Z2328" s="42"/>
      <c r="AA2328" s="42"/>
      <c r="AB2328" s="42"/>
      <c r="AC2328" s="42"/>
      <c r="AD2328" s="42"/>
      <c r="AE2328" s="42"/>
      <c r="AF2328" s="42"/>
      <c r="AG2328" s="42"/>
      <c r="AH2328" s="42"/>
      <c r="AI2328" s="42"/>
      <c r="AJ2328" s="42"/>
      <c r="AK2328" s="42"/>
      <c r="AL2328" s="42"/>
      <c r="AM2328" s="42"/>
    </row>
    <row r="2329" spans="1:39" x14ac:dyDescent="0.25">
      <c r="A2329" s="35"/>
      <c r="B2329" s="42"/>
      <c r="C2329" s="42"/>
      <c r="D2329" s="42"/>
      <c r="E2329" s="41"/>
      <c r="F2329" s="41"/>
      <c r="G2329" s="41"/>
      <c r="H2329" s="41"/>
      <c r="I2329" s="41"/>
      <c r="J2329" s="42"/>
      <c r="K2329" s="41"/>
      <c r="L2329" s="41"/>
      <c r="M2329" s="127"/>
      <c r="N2329" s="41"/>
      <c r="O2329" s="41"/>
      <c r="P2329" s="41"/>
      <c r="Q2329" s="42"/>
      <c r="R2329" s="35"/>
      <c r="S2329" s="35"/>
      <c r="T2329" s="35"/>
      <c r="U2329" s="35"/>
      <c r="V2329" s="121"/>
      <c r="W2329" s="42"/>
      <c r="X2329" s="42"/>
      <c r="Y2329" s="42"/>
      <c r="Z2329" s="42"/>
      <c r="AA2329" s="42"/>
      <c r="AB2329" s="42"/>
      <c r="AC2329" s="42"/>
      <c r="AD2329" s="42"/>
      <c r="AE2329" s="42"/>
      <c r="AF2329" s="42"/>
      <c r="AG2329" s="42"/>
      <c r="AH2329" s="42"/>
      <c r="AI2329" s="42"/>
      <c r="AJ2329" s="42"/>
      <c r="AK2329" s="42"/>
      <c r="AL2329" s="42"/>
      <c r="AM2329" s="42"/>
    </row>
    <row r="2330" spans="1:39" x14ac:dyDescent="0.25">
      <c r="A2330" s="35"/>
      <c r="B2330" s="42"/>
      <c r="C2330" s="42"/>
      <c r="D2330" s="42"/>
      <c r="E2330" s="41"/>
      <c r="F2330" s="41"/>
      <c r="G2330" s="41"/>
      <c r="H2330" s="41"/>
      <c r="I2330" s="41"/>
      <c r="J2330" s="42"/>
      <c r="K2330" s="41"/>
      <c r="L2330" s="41"/>
      <c r="M2330" s="127"/>
      <c r="N2330" s="41"/>
      <c r="O2330" s="41"/>
      <c r="P2330" s="41"/>
      <c r="Q2330" s="42"/>
      <c r="R2330" s="35"/>
      <c r="S2330" s="35"/>
      <c r="T2330" s="35"/>
      <c r="U2330" s="35"/>
      <c r="V2330" s="121"/>
      <c r="W2330" s="42"/>
      <c r="X2330" s="42"/>
      <c r="Y2330" s="42"/>
      <c r="Z2330" s="42"/>
      <c r="AA2330" s="42"/>
      <c r="AB2330" s="42"/>
      <c r="AC2330" s="42"/>
      <c r="AD2330" s="42"/>
      <c r="AE2330" s="42"/>
      <c r="AF2330" s="42"/>
      <c r="AG2330" s="42"/>
      <c r="AH2330" s="42"/>
      <c r="AI2330" s="42"/>
      <c r="AJ2330" s="42"/>
      <c r="AK2330" s="42"/>
      <c r="AL2330" s="42"/>
      <c r="AM2330" s="42"/>
    </row>
    <row r="2331" spans="1:39" x14ac:dyDescent="0.25">
      <c r="A2331" s="35"/>
      <c r="B2331" s="42"/>
      <c r="C2331" s="42"/>
      <c r="D2331" s="42"/>
      <c r="E2331" s="41"/>
      <c r="F2331" s="41"/>
      <c r="G2331" s="41"/>
      <c r="H2331" s="41"/>
      <c r="I2331" s="41"/>
      <c r="J2331" s="42"/>
      <c r="K2331" s="41"/>
      <c r="L2331" s="41"/>
      <c r="M2331" s="127"/>
      <c r="N2331" s="41"/>
      <c r="O2331" s="41"/>
      <c r="P2331" s="41"/>
      <c r="Q2331" s="42"/>
      <c r="R2331" s="35"/>
      <c r="S2331" s="35"/>
      <c r="T2331" s="35"/>
      <c r="U2331" s="35"/>
      <c r="V2331" s="121"/>
      <c r="W2331" s="42"/>
      <c r="X2331" s="42"/>
      <c r="Y2331" s="42"/>
      <c r="Z2331" s="42"/>
      <c r="AA2331" s="42"/>
      <c r="AB2331" s="42"/>
      <c r="AC2331" s="42"/>
      <c r="AD2331" s="42"/>
      <c r="AE2331" s="42"/>
      <c r="AF2331" s="42"/>
      <c r="AG2331" s="42"/>
      <c r="AH2331" s="42"/>
      <c r="AI2331" s="42"/>
      <c r="AJ2331" s="42"/>
      <c r="AK2331" s="42"/>
      <c r="AL2331" s="42"/>
      <c r="AM2331" s="42"/>
    </row>
    <row r="2332" spans="1:39" x14ac:dyDescent="0.25">
      <c r="A2332" s="35"/>
      <c r="B2332" s="42"/>
      <c r="C2332" s="42"/>
      <c r="D2332" s="42"/>
      <c r="E2332" s="41"/>
      <c r="F2332" s="41"/>
      <c r="G2332" s="41"/>
      <c r="H2332" s="41"/>
      <c r="I2332" s="41"/>
      <c r="J2332" s="42"/>
      <c r="K2332" s="41"/>
      <c r="L2332" s="41"/>
      <c r="M2332" s="127"/>
      <c r="N2332" s="41"/>
      <c r="O2332" s="41"/>
      <c r="P2332" s="41"/>
      <c r="Q2332" s="42"/>
      <c r="R2332" s="35"/>
      <c r="S2332" s="35"/>
      <c r="T2332" s="35"/>
      <c r="U2332" s="35"/>
      <c r="V2332" s="121"/>
      <c r="W2332" s="42"/>
      <c r="X2332" s="42"/>
      <c r="Y2332" s="42"/>
      <c r="Z2332" s="42"/>
      <c r="AA2332" s="42"/>
      <c r="AB2332" s="42"/>
      <c r="AC2332" s="42"/>
      <c r="AD2332" s="42"/>
      <c r="AE2332" s="42"/>
      <c r="AF2332" s="42"/>
      <c r="AG2332" s="42"/>
      <c r="AH2332" s="42"/>
      <c r="AI2332" s="42"/>
      <c r="AJ2332" s="42"/>
      <c r="AK2332" s="42"/>
      <c r="AL2332" s="42"/>
      <c r="AM2332" s="42"/>
    </row>
    <row r="2333" spans="1:39" x14ac:dyDescent="0.25">
      <c r="A2333" s="35"/>
      <c r="B2333" s="42"/>
      <c r="C2333" s="42"/>
      <c r="D2333" s="42"/>
      <c r="E2333" s="41"/>
      <c r="F2333" s="41"/>
      <c r="G2333" s="41"/>
      <c r="H2333" s="41"/>
      <c r="I2333" s="41"/>
      <c r="J2333" s="42"/>
      <c r="K2333" s="41"/>
      <c r="L2333" s="41"/>
      <c r="M2333" s="127"/>
      <c r="N2333" s="41"/>
      <c r="O2333" s="41"/>
      <c r="P2333" s="41"/>
      <c r="Q2333" s="42"/>
      <c r="R2333" s="35"/>
      <c r="S2333" s="35"/>
      <c r="T2333" s="35"/>
      <c r="U2333" s="35"/>
      <c r="V2333" s="121"/>
      <c r="W2333" s="42"/>
      <c r="X2333" s="42"/>
      <c r="Y2333" s="42"/>
      <c r="Z2333" s="42"/>
      <c r="AA2333" s="42"/>
      <c r="AB2333" s="42"/>
      <c r="AC2333" s="42"/>
      <c r="AD2333" s="42"/>
      <c r="AE2333" s="42"/>
      <c r="AF2333" s="42"/>
      <c r="AG2333" s="42"/>
      <c r="AH2333" s="42"/>
      <c r="AI2333" s="42"/>
      <c r="AJ2333" s="42"/>
      <c r="AK2333" s="42"/>
      <c r="AL2333" s="42"/>
      <c r="AM2333" s="42"/>
    </row>
    <row r="2334" spans="1:39" x14ac:dyDescent="0.25">
      <c r="A2334" s="35"/>
      <c r="B2334" s="42"/>
      <c r="C2334" s="42"/>
      <c r="D2334" s="42"/>
      <c r="E2334" s="41"/>
      <c r="F2334" s="41"/>
      <c r="G2334" s="41"/>
      <c r="H2334" s="41"/>
      <c r="I2334" s="41"/>
      <c r="J2334" s="42"/>
      <c r="K2334" s="41"/>
      <c r="L2334" s="41"/>
      <c r="M2334" s="127"/>
      <c r="N2334" s="41"/>
      <c r="O2334" s="41"/>
      <c r="P2334" s="41"/>
      <c r="Q2334" s="42"/>
      <c r="R2334" s="35"/>
      <c r="S2334" s="35"/>
      <c r="T2334" s="35"/>
      <c r="U2334" s="35"/>
      <c r="V2334" s="121"/>
      <c r="W2334" s="42"/>
      <c r="X2334" s="42"/>
      <c r="Y2334" s="42"/>
      <c r="Z2334" s="42"/>
      <c r="AA2334" s="42"/>
      <c r="AB2334" s="42"/>
      <c r="AC2334" s="42"/>
      <c r="AD2334" s="42"/>
      <c r="AE2334" s="42"/>
      <c r="AF2334" s="42"/>
      <c r="AG2334" s="42"/>
      <c r="AH2334" s="42"/>
      <c r="AI2334" s="42"/>
      <c r="AJ2334" s="42"/>
      <c r="AK2334" s="42"/>
      <c r="AL2334" s="42"/>
      <c r="AM2334" s="42"/>
    </row>
    <row r="2335" spans="1:39" x14ac:dyDescent="0.25">
      <c r="A2335" s="35"/>
      <c r="B2335" s="42"/>
      <c r="C2335" s="42"/>
      <c r="D2335" s="42"/>
      <c r="E2335" s="41"/>
      <c r="F2335" s="41"/>
      <c r="G2335" s="41"/>
      <c r="H2335" s="41"/>
      <c r="I2335" s="41"/>
      <c r="J2335" s="42"/>
      <c r="K2335" s="41"/>
      <c r="L2335" s="41"/>
      <c r="M2335" s="127"/>
      <c r="N2335" s="41"/>
      <c r="O2335" s="41"/>
      <c r="P2335" s="41"/>
      <c r="Q2335" s="42"/>
      <c r="R2335" s="35"/>
      <c r="S2335" s="35"/>
      <c r="T2335" s="35"/>
      <c r="U2335" s="35"/>
      <c r="V2335" s="121"/>
      <c r="W2335" s="42"/>
      <c r="X2335" s="42"/>
      <c r="Y2335" s="42"/>
      <c r="Z2335" s="42"/>
      <c r="AA2335" s="42"/>
      <c r="AB2335" s="42"/>
      <c r="AC2335" s="42"/>
      <c r="AD2335" s="42"/>
      <c r="AE2335" s="42"/>
      <c r="AF2335" s="42"/>
      <c r="AG2335" s="42"/>
      <c r="AH2335" s="42"/>
      <c r="AI2335" s="42"/>
      <c r="AJ2335" s="42"/>
      <c r="AK2335" s="42"/>
      <c r="AL2335" s="42"/>
      <c r="AM2335" s="42"/>
    </row>
    <row r="2336" spans="1:39" x14ac:dyDescent="0.25">
      <c r="A2336" s="35"/>
      <c r="B2336" s="42"/>
      <c r="C2336" s="42"/>
      <c r="D2336" s="42"/>
      <c r="E2336" s="41"/>
      <c r="F2336" s="41"/>
      <c r="G2336" s="41"/>
      <c r="H2336" s="41"/>
      <c r="I2336" s="41"/>
      <c r="J2336" s="42"/>
      <c r="K2336" s="41"/>
      <c r="L2336" s="41"/>
      <c r="M2336" s="127"/>
      <c r="N2336" s="41"/>
      <c r="O2336" s="41"/>
      <c r="P2336" s="41"/>
      <c r="Q2336" s="42"/>
      <c r="R2336" s="35"/>
      <c r="S2336" s="35"/>
      <c r="T2336" s="35"/>
      <c r="U2336" s="35"/>
      <c r="V2336" s="121"/>
      <c r="W2336" s="42"/>
      <c r="X2336" s="42"/>
      <c r="Y2336" s="42"/>
      <c r="Z2336" s="42"/>
      <c r="AA2336" s="42"/>
      <c r="AB2336" s="42"/>
      <c r="AC2336" s="42"/>
      <c r="AD2336" s="42"/>
      <c r="AE2336" s="42"/>
      <c r="AF2336" s="42"/>
      <c r="AG2336" s="42"/>
      <c r="AH2336" s="42"/>
      <c r="AI2336" s="42"/>
      <c r="AJ2336" s="42"/>
      <c r="AK2336" s="42"/>
      <c r="AL2336" s="42"/>
      <c r="AM2336" s="42"/>
    </row>
    <row r="2337" spans="1:39" x14ac:dyDescent="0.25">
      <c r="A2337" s="35"/>
      <c r="B2337" s="42"/>
      <c r="C2337" s="42"/>
      <c r="D2337" s="42"/>
      <c r="E2337" s="41"/>
      <c r="F2337" s="41"/>
      <c r="G2337" s="41"/>
      <c r="H2337" s="41"/>
      <c r="I2337" s="41"/>
      <c r="J2337" s="42"/>
      <c r="K2337" s="41"/>
      <c r="L2337" s="41"/>
      <c r="M2337" s="127"/>
      <c r="N2337" s="41"/>
      <c r="O2337" s="41"/>
      <c r="P2337" s="41"/>
      <c r="Q2337" s="42"/>
      <c r="R2337" s="35"/>
      <c r="S2337" s="35"/>
      <c r="T2337" s="35"/>
      <c r="U2337" s="35"/>
      <c r="V2337" s="121"/>
      <c r="W2337" s="42"/>
      <c r="X2337" s="42"/>
      <c r="Y2337" s="42"/>
      <c r="Z2337" s="42"/>
      <c r="AA2337" s="42"/>
      <c r="AB2337" s="42"/>
      <c r="AC2337" s="42"/>
      <c r="AD2337" s="42"/>
      <c r="AE2337" s="42"/>
      <c r="AF2337" s="42"/>
      <c r="AG2337" s="42"/>
      <c r="AH2337" s="42"/>
      <c r="AI2337" s="42"/>
      <c r="AJ2337" s="42"/>
      <c r="AK2337" s="42"/>
      <c r="AL2337" s="42"/>
      <c r="AM2337" s="42"/>
    </row>
    <row r="2338" spans="1:39" x14ac:dyDescent="0.25">
      <c r="A2338" s="35"/>
      <c r="B2338" s="42"/>
      <c r="C2338" s="42"/>
      <c r="D2338" s="42"/>
      <c r="E2338" s="41"/>
      <c r="F2338" s="41"/>
      <c r="G2338" s="41"/>
      <c r="H2338" s="41"/>
      <c r="I2338" s="41"/>
      <c r="J2338" s="42"/>
      <c r="K2338" s="41"/>
      <c r="L2338" s="41"/>
      <c r="M2338" s="127"/>
      <c r="N2338" s="41"/>
      <c r="O2338" s="41"/>
      <c r="P2338" s="41"/>
      <c r="Q2338" s="42"/>
      <c r="R2338" s="35"/>
      <c r="S2338" s="35"/>
      <c r="T2338" s="35"/>
      <c r="U2338" s="35"/>
      <c r="V2338" s="121"/>
      <c r="W2338" s="42"/>
      <c r="X2338" s="42"/>
      <c r="Y2338" s="42"/>
      <c r="Z2338" s="42"/>
      <c r="AA2338" s="42"/>
      <c r="AB2338" s="42"/>
      <c r="AC2338" s="42"/>
      <c r="AD2338" s="42"/>
      <c r="AE2338" s="42"/>
      <c r="AF2338" s="42"/>
      <c r="AG2338" s="42"/>
      <c r="AH2338" s="42"/>
      <c r="AI2338" s="42"/>
      <c r="AJ2338" s="42"/>
      <c r="AK2338" s="42"/>
      <c r="AL2338" s="42"/>
      <c r="AM2338" s="42"/>
    </row>
    <row r="2339" spans="1:39" x14ac:dyDescent="0.25">
      <c r="A2339" s="35"/>
      <c r="B2339" s="42"/>
      <c r="C2339" s="42"/>
      <c r="D2339" s="42"/>
      <c r="E2339" s="41"/>
      <c r="F2339" s="41"/>
      <c r="G2339" s="41"/>
      <c r="H2339" s="41"/>
      <c r="I2339" s="41"/>
      <c r="J2339" s="42"/>
      <c r="K2339" s="41"/>
      <c r="L2339" s="41"/>
      <c r="M2339" s="127"/>
      <c r="N2339" s="41"/>
      <c r="O2339" s="41"/>
      <c r="P2339" s="41"/>
      <c r="Q2339" s="42"/>
      <c r="R2339" s="35"/>
      <c r="S2339" s="35"/>
      <c r="T2339" s="35"/>
      <c r="U2339" s="35"/>
      <c r="V2339" s="121"/>
      <c r="W2339" s="42"/>
      <c r="X2339" s="42"/>
      <c r="Y2339" s="42"/>
      <c r="Z2339" s="42"/>
      <c r="AA2339" s="42"/>
      <c r="AB2339" s="42"/>
      <c r="AC2339" s="42"/>
      <c r="AD2339" s="42"/>
      <c r="AE2339" s="42"/>
      <c r="AF2339" s="42"/>
      <c r="AG2339" s="42"/>
      <c r="AH2339" s="42"/>
      <c r="AI2339" s="42"/>
      <c r="AJ2339" s="42"/>
      <c r="AK2339" s="42"/>
      <c r="AL2339" s="42"/>
      <c r="AM2339" s="42"/>
    </row>
    <row r="2340" spans="1:39" x14ac:dyDescent="0.25">
      <c r="A2340" s="35"/>
      <c r="B2340" s="42"/>
      <c r="C2340" s="42"/>
      <c r="D2340" s="42"/>
      <c r="E2340" s="41"/>
      <c r="F2340" s="41"/>
      <c r="G2340" s="41"/>
      <c r="H2340" s="41"/>
      <c r="I2340" s="41"/>
      <c r="J2340" s="42"/>
      <c r="K2340" s="41"/>
      <c r="L2340" s="41"/>
      <c r="M2340" s="127"/>
      <c r="N2340" s="41"/>
      <c r="O2340" s="41"/>
      <c r="P2340" s="41"/>
      <c r="Q2340" s="42"/>
      <c r="R2340" s="35"/>
      <c r="S2340" s="35"/>
      <c r="T2340" s="35"/>
      <c r="U2340" s="35"/>
      <c r="V2340" s="121"/>
      <c r="W2340" s="42"/>
      <c r="X2340" s="42"/>
      <c r="Y2340" s="42"/>
      <c r="Z2340" s="42"/>
      <c r="AA2340" s="42"/>
      <c r="AB2340" s="42"/>
      <c r="AC2340" s="42"/>
      <c r="AD2340" s="42"/>
      <c r="AE2340" s="42"/>
      <c r="AF2340" s="42"/>
      <c r="AG2340" s="42"/>
      <c r="AH2340" s="42"/>
      <c r="AI2340" s="42"/>
      <c r="AJ2340" s="42"/>
      <c r="AK2340" s="42"/>
      <c r="AL2340" s="42"/>
      <c r="AM2340" s="42"/>
    </row>
    <row r="2341" spans="1:39" x14ac:dyDescent="0.25">
      <c r="A2341" s="35"/>
      <c r="B2341" s="42"/>
      <c r="C2341" s="42"/>
      <c r="D2341" s="42"/>
      <c r="E2341" s="41"/>
      <c r="F2341" s="41"/>
      <c r="G2341" s="41"/>
      <c r="H2341" s="41"/>
      <c r="I2341" s="41"/>
      <c r="J2341" s="42"/>
      <c r="K2341" s="41"/>
      <c r="L2341" s="41"/>
      <c r="M2341" s="127"/>
      <c r="N2341" s="41"/>
      <c r="O2341" s="41"/>
      <c r="P2341" s="41"/>
      <c r="Q2341" s="42"/>
      <c r="R2341" s="35"/>
      <c r="S2341" s="35"/>
      <c r="T2341" s="35"/>
      <c r="U2341" s="35"/>
      <c r="V2341" s="121"/>
      <c r="W2341" s="42"/>
      <c r="X2341" s="42"/>
      <c r="Y2341" s="42"/>
      <c r="Z2341" s="42"/>
      <c r="AA2341" s="42"/>
      <c r="AB2341" s="42"/>
      <c r="AC2341" s="42"/>
      <c r="AD2341" s="42"/>
      <c r="AE2341" s="42"/>
      <c r="AF2341" s="42"/>
      <c r="AG2341" s="42"/>
      <c r="AH2341" s="42"/>
      <c r="AI2341" s="42"/>
      <c r="AJ2341" s="42"/>
      <c r="AK2341" s="42"/>
      <c r="AL2341" s="42"/>
      <c r="AM2341" s="42"/>
    </row>
    <row r="2342" spans="1:39" x14ac:dyDescent="0.25">
      <c r="A2342" s="35"/>
      <c r="B2342" s="42"/>
      <c r="C2342" s="42"/>
      <c r="D2342" s="42"/>
      <c r="E2342" s="41"/>
      <c r="F2342" s="41"/>
      <c r="G2342" s="41"/>
      <c r="H2342" s="41"/>
      <c r="I2342" s="41"/>
      <c r="J2342" s="42"/>
      <c r="K2342" s="41"/>
      <c r="L2342" s="41"/>
      <c r="M2342" s="127"/>
      <c r="N2342" s="41"/>
      <c r="O2342" s="41"/>
      <c r="P2342" s="41"/>
      <c r="Q2342" s="42"/>
      <c r="R2342" s="35"/>
      <c r="S2342" s="35"/>
      <c r="T2342" s="35"/>
      <c r="U2342" s="35"/>
      <c r="V2342" s="121"/>
      <c r="W2342" s="42"/>
      <c r="X2342" s="42"/>
      <c r="Y2342" s="42"/>
      <c r="Z2342" s="42"/>
      <c r="AA2342" s="42"/>
      <c r="AB2342" s="42"/>
      <c r="AC2342" s="42"/>
      <c r="AD2342" s="42"/>
      <c r="AE2342" s="42"/>
      <c r="AF2342" s="42"/>
      <c r="AG2342" s="42"/>
      <c r="AH2342" s="42"/>
      <c r="AI2342" s="42"/>
      <c r="AJ2342" s="42"/>
      <c r="AK2342" s="42"/>
      <c r="AL2342" s="42"/>
      <c r="AM2342" s="42"/>
    </row>
    <row r="2343" spans="1:39" x14ac:dyDescent="0.25">
      <c r="A2343" s="35"/>
      <c r="B2343" s="42"/>
      <c r="C2343" s="42"/>
      <c r="D2343" s="42"/>
      <c r="E2343" s="41"/>
      <c r="F2343" s="41"/>
      <c r="G2343" s="41"/>
      <c r="H2343" s="41"/>
      <c r="I2343" s="41"/>
      <c r="J2343" s="42"/>
      <c r="K2343" s="41"/>
      <c r="L2343" s="41"/>
      <c r="M2343" s="127"/>
      <c r="N2343" s="41"/>
      <c r="O2343" s="41"/>
      <c r="P2343" s="41"/>
      <c r="Q2343" s="42"/>
      <c r="R2343" s="35"/>
      <c r="S2343" s="35"/>
      <c r="T2343" s="35"/>
      <c r="U2343" s="35"/>
      <c r="V2343" s="121"/>
      <c r="W2343" s="42"/>
      <c r="X2343" s="42"/>
      <c r="Y2343" s="42"/>
      <c r="Z2343" s="42"/>
      <c r="AA2343" s="42"/>
      <c r="AB2343" s="42"/>
      <c r="AC2343" s="42"/>
      <c r="AD2343" s="42"/>
      <c r="AE2343" s="42"/>
      <c r="AF2343" s="42"/>
      <c r="AG2343" s="42"/>
      <c r="AH2343" s="42"/>
      <c r="AI2343" s="42"/>
      <c r="AJ2343" s="42"/>
      <c r="AK2343" s="42"/>
      <c r="AL2343" s="42"/>
      <c r="AM2343" s="42"/>
    </row>
    <row r="2344" spans="1:39" x14ac:dyDescent="0.25">
      <c r="A2344" s="35"/>
      <c r="B2344" s="42"/>
      <c r="C2344" s="42"/>
      <c r="D2344" s="42"/>
      <c r="E2344" s="41"/>
      <c r="F2344" s="41"/>
      <c r="G2344" s="41"/>
      <c r="H2344" s="41"/>
      <c r="I2344" s="41"/>
      <c r="J2344" s="42"/>
      <c r="K2344" s="41"/>
      <c r="L2344" s="41"/>
      <c r="M2344" s="127"/>
      <c r="N2344" s="41"/>
      <c r="O2344" s="41"/>
      <c r="P2344" s="41"/>
      <c r="Q2344" s="42"/>
      <c r="R2344" s="35"/>
      <c r="S2344" s="35"/>
      <c r="T2344" s="35"/>
      <c r="U2344" s="35"/>
      <c r="V2344" s="121"/>
      <c r="W2344" s="42"/>
      <c r="X2344" s="42"/>
      <c r="Y2344" s="42"/>
      <c r="Z2344" s="42"/>
      <c r="AA2344" s="42"/>
      <c r="AB2344" s="42"/>
      <c r="AC2344" s="42"/>
      <c r="AD2344" s="42"/>
      <c r="AE2344" s="42"/>
      <c r="AF2344" s="42"/>
      <c r="AG2344" s="42"/>
      <c r="AH2344" s="42"/>
      <c r="AI2344" s="42"/>
      <c r="AJ2344" s="42"/>
      <c r="AK2344" s="42"/>
      <c r="AL2344" s="42"/>
      <c r="AM2344" s="42"/>
    </row>
    <row r="2345" spans="1:39" x14ac:dyDescent="0.25">
      <c r="A2345" s="35"/>
      <c r="B2345" s="42"/>
      <c r="C2345" s="42"/>
      <c r="D2345" s="42"/>
      <c r="E2345" s="41"/>
      <c r="F2345" s="41"/>
      <c r="G2345" s="41"/>
      <c r="H2345" s="41"/>
      <c r="I2345" s="41"/>
      <c r="J2345" s="42"/>
      <c r="K2345" s="41"/>
      <c r="L2345" s="41"/>
      <c r="M2345" s="127"/>
      <c r="N2345" s="41"/>
      <c r="O2345" s="41"/>
      <c r="P2345" s="41"/>
      <c r="Q2345" s="42"/>
      <c r="R2345" s="35"/>
      <c r="S2345" s="35"/>
      <c r="T2345" s="35"/>
      <c r="U2345" s="35"/>
      <c r="V2345" s="121"/>
      <c r="W2345" s="42"/>
      <c r="X2345" s="42"/>
      <c r="Y2345" s="42"/>
      <c r="Z2345" s="42"/>
      <c r="AA2345" s="42"/>
      <c r="AB2345" s="42"/>
      <c r="AC2345" s="42"/>
      <c r="AD2345" s="42"/>
      <c r="AE2345" s="42"/>
      <c r="AF2345" s="42"/>
      <c r="AG2345" s="42"/>
      <c r="AH2345" s="42"/>
      <c r="AI2345" s="42"/>
      <c r="AJ2345" s="42"/>
      <c r="AK2345" s="42"/>
      <c r="AL2345" s="42"/>
      <c r="AM2345" s="42"/>
    </row>
    <row r="2346" spans="1:39" x14ac:dyDescent="0.25">
      <c r="A2346" s="35"/>
      <c r="B2346" s="42"/>
      <c r="C2346" s="42"/>
      <c r="D2346" s="42"/>
      <c r="E2346" s="41"/>
      <c r="F2346" s="41"/>
      <c r="G2346" s="41"/>
      <c r="H2346" s="41"/>
      <c r="I2346" s="41"/>
      <c r="J2346" s="42"/>
      <c r="K2346" s="41"/>
      <c r="L2346" s="41"/>
      <c r="M2346" s="127"/>
      <c r="N2346" s="41"/>
      <c r="O2346" s="41"/>
      <c r="P2346" s="41"/>
      <c r="Q2346" s="42"/>
      <c r="R2346" s="35"/>
      <c r="S2346" s="35"/>
      <c r="T2346" s="35"/>
      <c r="U2346" s="35"/>
      <c r="V2346" s="121"/>
      <c r="W2346" s="42"/>
      <c r="X2346" s="42"/>
      <c r="Y2346" s="42"/>
      <c r="Z2346" s="42"/>
      <c r="AA2346" s="42"/>
      <c r="AB2346" s="42"/>
      <c r="AC2346" s="42"/>
      <c r="AD2346" s="42"/>
      <c r="AE2346" s="42"/>
      <c r="AF2346" s="42"/>
      <c r="AG2346" s="42"/>
      <c r="AH2346" s="42"/>
      <c r="AI2346" s="42"/>
      <c r="AJ2346" s="42"/>
      <c r="AK2346" s="42"/>
      <c r="AL2346" s="42"/>
      <c r="AM2346" s="42"/>
    </row>
    <row r="2347" spans="1:39" x14ac:dyDescent="0.25">
      <c r="A2347" s="35"/>
      <c r="B2347" s="42"/>
      <c r="C2347" s="42"/>
      <c r="D2347" s="42"/>
      <c r="E2347" s="41"/>
      <c r="F2347" s="41"/>
      <c r="G2347" s="41"/>
      <c r="H2347" s="41"/>
      <c r="I2347" s="41"/>
      <c r="J2347" s="42"/>
      <c r="K2347" s="41"/>
      <c r="L2347" s="41"/>
      <c r="M2347" s="127"/>
      <c r="N2347" s="41"/>
      <c r="O2347" s="41"/>
      <c r="P2347" s="41"/>
      <c r="Q2347" s="42"/>
      <c r="R2347" s="35"/>
      <c r="S2347" s="35"/>
      <c r="T2347" s="35"/>
      <c r="U2347" s="35"/>
      <c r="V2347" s="121"/>
      <c r="W2347" s="42"/>
      <c r="X2347" s="42"/>
      <c r="Y2347" s="42"/>
      <c r="Z2347" s="42"/>
      <c r="AA2347" s="42"/>
      <c r="AB2347" s="42"/>
      <c r="AC2347" s="42"/>
      <c r="AD2347" s="42"/>
      <c r="AE2347" s="42"/>
      <c r="AF2347" s="42"/>
      <c r="AG2347" s="42"/>
      <c r="AH2347" s="42"/>
      <c r="AI2347" s="42"/>
      <c r="AJ2347" s="42"/>
      <c r="AK2347" s="42"/>
      <c r="AL2347" s="42"/>
      <c r="AM2347" s="42"/>
    </row>
    <row r="2348" spans="1:39" x14ac:dyDescent="0.25">
      <c r="A2348" s="35"/>
      <c r="B2348" s="42"/>
      <c r="C2348" s="42"/>
      <c r="D2348" s="42"/>
      <c r="E2348" s="41"/>
      <c r="F2348" s="41"/>
      <c r="G2348" s="41"/>
      <c r="H2348" s="41"/>
      <c r="I2348" s="41"/>
      <c r="J2348" s="42"/>
      <c r="K2348" s="41"/>
      <c r="L2348" s="41"/>
      <c r="M2348" s="127"/>
      <c r="N2348" s="41"/>
      <c r="O2348" s="41"/>
      <c r="P2348" s="41"/>
      <c r="Q2348" s="42"/>
      <c r="R2348" s="35"/>
      <c r="S2348" s="35"/>
      <c r="T2348" s="35"/>
      <c r="U2348" s="35"/>
      <c r="V2348" s="121"/>
      <c r="W2348" s="42"/>
      <c r="X2348" s="42"/>
      <c r="Y2348" s="42"/>
      <c r="Z2348" s="42"/>
      <c r="AA2348" s="42"/>
      <c r="AB2348" s="42"/>
      <c r="AC2348" s="42"/>
      <c r="AD2348" s="42"/>
      <c r="AE2348" s="42"/>
      <c r="AF2348" s="42"/>
      <c r="AG2348" s="42"/>
      <c r="AH2348" s="42"/>
      <c r="AI2348" s="42"/>
      <c r="AJ2348" s="42"/>
      <c r="AK2348" s="42"/>
      <c r="AL2348" s="42"/>
      <c r="AM2348" s="42"/>
    </row>
    <row r="2349" spans="1:39" x14ac:dyDescent="0.25">
      <c r="A2349" s="35"/>
      <c r="B2349" s="42"/>
      <c r="C2349" s="42"/>
      <c r="D2349" s="42"/>
      <c r="E2349" s="41"/>
      <c r="F2349" s="41"/>
      <c r="G2349" s="41"/>
      <c r="H2349" s="41"/>
      <c r="I2349" s="41"/>
      <c r="J2349" s="42"/>
      <c r="K2349" s="41"/>
      <c r="L2349" s="41"/>
      <c r="M2349" s="127"/>
      <c r="N2349" s="41"/>
      <c r="O2349" s="41"/>
      <c r="P2349" s="41"/>
      <c r="Q2349" s="42"/>
      <c r="R2349" s="35"/>
      <c r="S2349" s="35"/>
      <c r="T2349" s="35"/>
      <c r="U2349" s="35"/>
      <c r="V2349" s="121"/>
      <c r="W2349" s="42"/>
      <c r="X2349" s="42"/>
      <c r="Y2349" s="42"/>
      <c r="Z2349" s="42"/>
      <c r="AA2349" s="42"/>
      <c r="AB2349" s="42"/>
      <c r="AC2349" s="42"/>
      <c r="AD2349" s="42"/>
      <c r="AE2349" s="42"/>
      <c r="AF2349" s="42"/>
      <c r="AG2349" s="42"/>
      <c r="AH2349" s="42"/>
      <c r="AI2349" s="42"/>
      <c r="AJ2349" s="42"/>
      <c r="AK2349" s="42"/>
      <c r="AL2349" s="42"/>
      <c r="AM2349" s="42"/>
    </row>
    <row r="2350" spans="1:39" x14ac:dyDescent="0.25">
      <c r="A2350" s="35"/>
      <c r="B2350" s="42"/>
      <c r="C2350" s="42"/>
      <c r="D2350" s="42"/>
      <c r="E2350" s="41"/>
      <c r="F2350" s="41"/>
      <c r="G2350" s="41"/>
      <c r="H2350" s="41"/>
      <c r="I2350" s="41"/>
      <c r="J2350" s="42"/>
      <c r="K2350" s="41"/>
      <c r="L2350" s="41"/>
      <c r="M2350" s="127"/>
      <c r="N2350" s="41"/>
      <c r="O2350" s="41"/>
      <c r="P2350" s="41"/>
      <c r="Q2350" s="42"/>
      <c r="R2350" s="35"/>
      <c r="S2350" s="35"/>
      <c r="T2350" s="35"/>
      <c r="U2350" s="35"/>
      <c r="V2350" s="121"/>
      <c r="W2350" s="42"/>
      <c r="X2350" s="42"/>
      <c r="Y2350" s="42"/>
      <c r="Z2350" s="42"/>
      <c r="AA2350" s="42"/>
      <c r="AB2350" s="42"/>
      <c r="AC2350" s="42"/>
      <c r="AD2350" s="42"/>
      <c r="AE2350" s="42"/>
      <c r="AF2350" s="42"/>
      <c r="AG2350" s="42"/>
      <c r="AH2350" s="42"/>
      <c r="AI2350" s="42"/>
      <c r="AJ2350" s="42"/>
      <c r="AK2350" s="42"/>
      <c r="AL2350" s="42"/>
      <c r="AM2350" s="42"/>
    </row>
    <row r="2351" spans="1:39" x14ac:dyDescent="0.25">
      <c r="A2351" s="35"/>
      <c r="B2351" s="42"/>
      <c r="C2351" s="42"/>
      <c r="D2351" s="42"/>
      <c r="E2351" s="41"/>
      <c r="F2351" s="41"/>
      <c r="G2351" s="41"/>
      <c r="H2351" s="41"/>
      <c r="I2351" s="41"/>
      <c r="J2351" s="42"/>
      <c r="K2351" s="41"/>
      <c r="L2351" s="41"/>
      <c r="M2351" s="127"/>
      <c r="N2351" s="41"/>
      <c r="O2351" s="41"/>
      <c r="P2351" s="41"/>
      <c r="Q2351" s="42"/>
      <c r="R2351" s="35"/>
      <c r="S2351" s="35"/>
      <c r="T2351" s="35"/>
      <c r="U2351" s="35"/>
      <c r="V2351" s="121"/>
      <c r="W2351" s="42"/>
      <c r="X2351" s="42"/>
      <c r="Y2351" s="42"/>
      <c r="Z2351" s="42"/>
      <c r="AA2351" s="42"/>
      <c r="AB2351" s="42"/>
      <c r="AC2351" s="42"/>
      <c r="AD2351" s="42"/>
      <c r="AE2351" s="42"/>
      <c r="AF2351" s="42"/>
      <c r="AG2351" s="42"/>
      <c r="AH2351" s="42"/>
      <c r="AI2351" s="42"/>
      <c r="AJ2351" s="42"/>
      <c r="AK2351" s="42"/>
      <c r="AL2351" s="42"/>
      <c r="AM2351" s="42"/>
    </row>
    <row r="2352" spans="1:39" x14ac:dyDescent="0.25">
      <c r="A2352" s="35"/>
      <c r="B2352" s="42"/>
      <c r="C2352" s="42"/>
      <c r="D2352" s="42"/>
      <c r="E2352" s="41"/>
      <c r="F2352" s="41"/>
      <c r="G2352" s="41"/>
      <c r="H2352" s="41"/>
      <c r="I2352" s="41"/>
      <c r="J2352" s="42"/>
      <c r="K2352" s="41"/>
      <c r="L2352" s="41"/>
      <c r="M2352" s="127"/>
      <c r="N2352" s="41"/>
      <c r="O2352" s="41"/>
      <c r="P2352" s="41"/>
      <c r="Q2352" s="42"/>
      <c r="R2352" s="35"/>
      <c r="S2352" s="35"/>
      <c r="T2352" s="35"/>
      <c r="U2352" s="35"/>
      <c r="V2352" s="121"/>
      <c r="W2352" s="42"/>
      <c r="X2352" s="42"/>
      <c r="Y2352" s="42"/>
      <c r="Z2352" s="42"/>
      <c r="AA2352" s="42"/>
      <c r="AB2352" s="42"/>
      <c r="AC2352" s="42"/>
      <c r="AD2352" s="42"/>
      <c r="AE2352" s="42"/>
      <c r="AF2352" s="42"/>
      <c r="AG2352" s="42"/>
      <c r="AH2352" s="42"/>
      <c r="AI2352" s="42"/>
      <c r="AJ2352" s="42"/>
      <c r="AK2352" s="42"/>
      <c r="AL2352" s="42"/>
      <c r="AM2352" s="42"/>
    </row>
    <row r="2353" spans="1:39" x14ac:dyDescent="0.25">
      <c r="A2353" s="35"/>
      <c r="B2353" s="42"/>
      <c r="C2353" s="42"/>
      <c r="D2353" s="42"/>
      <c r="E2353" s="41"/>
      <c r="F2353" s="41"/>
      <c r="G2353" s="41"/>
      <c r="H2353" s="41"/>
      <c r="I2353" s="41"/>
      <c r="J2353" s="42"/>
      <c r="K2353" s="41"/>
      <c r="L2353" s="41"/>
      <c r="M2353" s="127"/>
      <c r="N2353" s="41"/>
      <c r="O2353" s="41"/>
      <c r="P2353" s="41"/>
      <c r="Q2353" s="42"/>
      <c r="R2353" s="35"/>
      <c r="S2353" s="35"/>
      <c r="T2353" s="35"/>
      <c r="U2353" s="35"/>
      <c r="V2353" s="121"/>
      <c r="W2353" s="42"/>
      <c r="X2353" s="42"/>
      <c r="Y2353" s="42"/>
      <c r="Z2353" s="42"/>
      <c r="AA2353" s="42"/>
      <c r="AB2353" s="42"/>
      <c r="AC2353" s="42"/>
      <c r="AD2353" s="42"/>
      <c r="AE2353" s="42"/>
      <c r="AF2353" s="42"/>
      <c r="AG2353" s="42"/>
      <c r="AH2353" s="42"/>
      <c r="AI2353" s="42"/>
      <c r="AJ2353" s="42"/>
      <c r="AK2353" s="42"/>
      <c r="AL2353" s="42"/>
      <c r="AM2353" s="42"/>
    </row>
    <row r="2354" spans="1:39" x14ac:dyDescent="0.25">
      <c r="A2354" s="35"/>
      <c r="B2354" s="42"/>
      <c r="C2354" s="42"/>
      <c r="D2354" s="42"/>
      <c r="E2354" s="41"/>
      <c r="F2354" s="41"/>
      <c r="G2354" s="41"/>
      <c r="H2354" s="41"/>
      <c r="I2354" s="41"/>
      <c r="J2354" s="42"/>
      <c r="K2354" s="41"/>
      <c r="L2354" s="41"/>
      <c r="M2354" s="127"/>
      <c r="N2354" s="41"/>
      <c r="O2354" s="41"/>
      <c r="P2354" s="41"/>
      <c r="Q2354" s="42"/>
      <c r="R2354" s="35"/>
      <c r="S2354" s="35"/>
      <c r="T2354" s="35"/>
      <c r="U2354" s="35"/>
      <c r="V2354" s="121"/>
      <c r="W2354" s="42"/>
      <c r="X2354" s="42"/>
      <c r="Y2354" s="42"/>
      <c r="Z2354" s="42"/>
      <c r="AA2354" s="42"/>
      <c r="AB2354" s="42"/>
      <c r="AC2354" s="42"/>
      <c r="AD2354" s="42"/>
      <c r="AE2354" s="42"/>
      <c r="AF2354" s="42"/>
      <c r="AG2354" s="42"/>
      <c r="AH2354" s="42"/>
      <c r="AI2354" s="42"/>
      <c r="AJ2354" s="42"/>
      <c r="AK2354" s="42"/>
      <c r="AL2354" s="42"/>
      <c r="AM2354" s="42"/>
    </row>
    <row r="2355" spans="1:39" x14ac:dyDescent="0.25">
      <c r="A2355" s="35"/>
      <c r="B2355" s="42"/>
      <c r="C2355" s="42"/>
      <c r="D2355" s="42"/>
      <c r="E2355" s="41"/>
      <c r="F2355" s="41"/>
      <c r="G2355" s="41"/>
      <c r="H2355" s="41"/>
      <c r="I2355" s="41"/>
      <c r="J2355" s="42"/>
      <c r="K2355" s="41"/>
      <c r="L2355" s="41"/>
      <c r="M2355" s="127"/>
      <c r="N2355" s="41"/>
      <c r="O2355" s="41"/>
      <c r="P2355" s="41"/>
      <c r="Q2355" s="42"/>
      <c r="R2355" s="35"/>
      <c r="S2355" s="35"/>
      <c r="T2355" s="35"/>
      <c r="U2355" s="35"/>
      <c r="V2355" s="121"/>
      <c r="W2355" s="42"/>
      <c r="X2355" s="42"/>
      <c r="Y2355" s="42"/>
      <c r="Z2355" s="42"/>
      <c r="AA2355" s="42"/>
      <c r="AB2355" s="42"/>
      <c r="AC2355" s="42"/>
      <c r="AD2355" s="42"/>
      <c r="AE2355" s="42"/>
      <c r="AF2355" s="42"/>
      <c r="AG2355" s="42"/>
      <c r="AH2355" s="42"/>
      <c r="AI2355" s="42"/>
      <c r="AJ2355" s="42"/>
      <c r="AK2355" s="42"/>
      <c r="AL2355" s="42"/>
      <c r="AM2355" s="42"/>
    </row>
    <row r="2356" spans="1:39" x14ac:dyDescent="0.25">
      <c r="A2356" s="35"/>
      <c r="B2356" s="42"/>
      <c r="C2356" s="42"/>
      <c r="D2356" s="42"/>
      <c r="E2356" s="41"/>
      <c r="F2356" s="41"/>
      <c r="G2356" s="41"/>
      <c r="H2356" s="41"/>
      <c r="I2356" s="41"/>
      <c r="J2356" s="42"/>
      <c r="K2356" s="41"/>
      <c r="L2356" s="41"/>
      <c r="M2356" s="127"/>
      <c r="N2356" s="41"/>
      <c r="O2356" s="41"/>
      <c r="P2356" s="41"/>
      <c r="Q2356" s="42"/>
      <c r="R2356" s="35"/>
      <c r="S2356" s="35"/>
      <c r="T2356" s="35"/>
      <c r="U2356" s="35"/>
      <c r="V2356" s="121"/>
      <c r="W2356" s="42"/>
      <c r="X2356" s="42"/>
      <c r="Y2356" s="42"/>
      <c r="Z2356" s="42"/>
      <c r="AA2356" s="42"/>
      <c r="AB2356" s="42"/>
      <c r="AC2356" s="42"/>
      <c r="AD2356" s="42"/>
      <c r="AE2356" s="42"/>
      <c r="AF2356" s="42"/>
      <c r="AG2356" s="42"/>
      <c r="AH2356" s="42"/>
      <c r="AI2356" s="42"/>
      <c r="AJ2356" s="42"/>
      <c r="AK2356" s="42"/>
      <c r="AL2356" s="42"/>
      <c r="AM2356" s="42"/>
    </row>
    <row r="2357" spans="1:39" x14ac:dyDescent="0.25">
      <c r="A2357" s="35"/>
      <c r="B2357" s="42"/>
      <c r="C2357" s="42"/>
      <c r="D2357" s="42"/>
      <c r="E2357" s="41"/>
      <c r="F2357" s="41"/>
      <c r="G2357" s="41"/>
      <c r="H2357" s="41"/>
      <c r="I2357" s="41"/>
      <c r="J2357" s="42"/>
      <c r="K2357" s="41"/>
      <c r="L2357" s="41"/>
      <c r="M2357" s="127"/>
      <c r="N2357" s="41"/>
      <c r="O2357" s="41"/>
      <c r="P2357" s="41"/>
      <c r="Q2357" s="42"/>
      <c r="R2357" s="35"/>
      <c r="S2357" s="35"/>
      <c r="T2357" s="35"/>
      <c r="U2357" s="35"/>
      <c r="V2357" s="121"/>
      <c r="W2357" s="42"/>
      <c r="X2357" s="42"/>
      <c r="Y2357" s="42"/>
      <c r="Z2357" s="42"/>
      <c r="AA2357" s="42"/>
      <c r="AB2357" s="42"/>
      <c r="AC2357" s="42"/>
      <c r="AD2357" s="42"/>
      <c r="AE2357" s="42"/>
      <c r="AF2357" s="42"/>
      <c r="AG2357" s="42"/>
      <c r="AH2357" s="42"/>
      <c r="AI2357" s="42"/>
      <c r="AJ2357" s="42"/>
      <c r="AK2357" s="42"/>
      <c r="AL2357" s="42"/>
      <c r="AM2357" s="42"/>
    </row>
    <row r="2358" spans="1:39" x14ac:dyDescent="0.25">
      <c r="A2358" s="35"/>
      <c r="B2358" s="42"/>
      <c r="C2358" s="42"/>
      <c r="D2358" s="42"/>
      <c r="E2358" s="41"/>
      <c r="F2358" s="41"/>
      <c r="G2358" s="41"/>
      <c r="H2358" s="41"/>
      <c r="I2358" s="41"/>
      <c r="J2358" s="42"/>
      <c r="K2358" s="41"/>
      <c r="L2358" s="41"/>
      <c r="M2358" s="127"/>
      <c r="N2358" s="41"/>
      <c r="O2358" s="41"/>
      <c r="P2358" s="41"/>
      <c r="Q2358" s="42"/>
      <c r="R2358" s="35"/>
      <c r="S2358" s="35"/>
      <c r="T2358" s="35"/>
      <c r="U2358" s="35"/>
      <c r="V2358" s="121"/>
      <c r="W2358" s="42"/>
      <c r="X2358" s="42"/>
      <c r="Y2358" s="42"/>
      <c r="Z2358" s="42"/>
      <c r="AA2358" s="42"/>
      <c r="AB2358" s="42"/>
      <c r="AC2358" s="42"/>
      <c r="AD2358" s="42"/>
      <c r="AE2358" s="42"/>
      <c r="AF2358" s="42"/>
      <c r="AG2358" s="42"/>
      <c r="AH2358" s="42"/>
      <c r="AI2358" s="42"/>
      <c r="AJ2358" s="42"/>
      <c r="AK2358" s="42"/>
      <c r="AL2358" s="42"/>
      <c r="AM2358" s="42"/>
    </row>
    <row r="2359" spans="1:39" x14ac:dyDescent="0.25">
      <c r="A2359" s="35"/>
      <c r="B2359" s="42"/>
      <c r="C2359" s="42"/>
      <c r="D2359" s="42"/>
      <c r="E2359" s="41"/>
      <c r="F2359" s="41"/>
      <c r="G2359" s="41"/>
      <c r="H2359" s="41"/>
      <c r="I2359" s="41"/>
      <c r="J2359" s="42"/>
      <c r="K2359" s="41"/>
      <c r="L2359" s="41"/>
      <c r="M2359" s="127"/>
      <c r="N2359" s="41"/>
      <c r="O2359" s="41"/>
      <c r="P2359" s="41"/>
      <c r="Q2359" s="42"/>
      <c r="R2359" s="35"/>
      <c r="S2359" s="35"/>
      <c r="T2359" s="35"/>
      <c r="U2359" s="35"/>
      <c r="V2359" s="121"/>
      <c r="W2359" s="42"/>
      <c r="X2359" s="42"/>
      <c r="Y2359" s="42"/>
      <c r="Z2359" s="42"/>
      <c r="AA2359" s="42"/>
      <c r="AB2359" s="42"/>
      <c r="AC2359" s="42"/>
      <c r="AD2359" s="42"/>
      <c r="AE2359" s="42"/>
      <c r="AF2359" s="42"/>
      <c r="AG2359" s="42"/>
      <c r="AH2359" s="42"/>
      <c r="AI2359" s="42"/>
      <c r="AJ2359" s="42"/>
      <c r="AK2359" s="42"/>
      <c r="AL2359" s="42"/>
      <c r="AM2359" s="42"/>
    </row>
    <row r="2360" spans="1:39" x14ac:dyDescent="0.25">
      <c r="A2360" s="35"/>
      <c r="B2360" s="42"/>
      <c r="C2360" s="42"/>
      <c r="D2360" s="42"/>
      <c r="E2360" s="41"/>
      <c r="F2360" s="41"/>
      <c r="G2360" s="41"/>
      <c r="H2360" s="41"/>
      <c r="I2360" s="41"/>
      <c r="J2360" s="42"/>
      <c r="K2360" s="41"/>
      <c r="L2360" s="41"/>
      <c r="M2360" s="127"/>
      <c r="N2360" s="41"/>
      <c r="O2360" s="41"/>
      <c r="P2360" s="41"/>
      <c r="Q2360" s="42"/>
      <c r="R2360" s="35"/>
      <c r="S2360" s="35"/>
      <c r="T2360" s="35"/>
      <c r="U2360" s="35"/>
      <c r="V2360" s="121"/>
      <c r="W2360" s="42"/>
      <c r="X2360" s="42"/>
      <c r="Y2360" s="42"/>
      <c r="Z2360" s="42"/>
      <c r="AA2360" s="42"/>
      <c r="AB2360" s="42"/>
      <c r="AC2360" s="42"/>
      <c r="AD2360" s="42"/>
      <c r="AE2360" s="42"/>
      <c r="AF2360" s="42"/>
      <c r="AG2360" s="42"/>
      <c r="AH2360" s="42"/>
      <c r="AI2360" s="42"/>
      <c r="AJ2360" s="42"/>
      <c r="AK2360" s="42"/>
      <c r="AL2360" s="42"/>
      <c r="AM2360" s="42"/>
    </row>
    <row r="2361" spans="1:39" x14ac:dyDescent="0.25">
      <c r="A2361" s="35"/>
      <c r="B2361" s="42"/>
      <c r="C2361" s="42"/>
      <c r="D2361" s="42"/>
      <c r="E2361" s="41"/>
      <c r="F2361" s="41"/>
      <c r="G2361" s="41"/>
      <c r="H2361" s="41"/>
      <c r="I2361" s="41"/>
      <c r="J2361" s="42"/>
      <c r="K2361" s="41"/>
      <c r="L2361" s="41"/>
      <c r="M2361" s="127"/>
      <c r="N2361" s="41"/>
      <c r="O2361" s="41"/>
      <c r="P2361" s="41"/>
      <c r="Q2361" s="42"/>
      <c r="R2361" s="35"/>
      <c r="S2361" s="35"/>
      <c r="T2361" s="35"/>
      <c r="U2361" s="35"/>
      <c r="V2361" s="121"/>
      <c r="W2361" s="42"/>
      <c r="X2361" s="42"/>
      <c r="Y2361" s="42"/>
      <c r="Z2361" s="42"/>
      <c r="AA2361" s="42"/>
      <c r="AB2361" s="42"/>
      <c r="AC2361" s="42"/>
      <c r="AD2361" s="42"/>
      <c r="AE2361" s="42"/>
      <c r="AF2361" s="42"/>
      <c r="AG2361" s="42"/>
      <c r="AH2361" s="42"/>
      <c r="AI2361" s="42"/>
      <c r="AJ2361" s="42"/>
      <c r="AK2361" s="42"/>
      <c r="AL2361" s="42"/>
      <c r="AM2361" s="42"/>
    </row>
    <row r="2362" spans="1:39" x14ac:dyDescent="0.25">
      <c r="A2362" s="35"/>
      <c r="B2362" s="42"/>
      <c r="C2362" s="42"/>
      <c r="D2362" s="42"/>
      <c r="E2362" s="41"/>
      <c r="F2362" s="41"/>
      <c r="G2362" s="41"/>
      <c r="H2362" s="41"/>
      <c r="I2362" s="41"/>
      <c r="J2362" s="42"/>
      <c r="K2362" s="41"/>
      <c r="L2362" s="41"/>
      <c r="M2362" s="127"/>
      <c r="N2362" s="41"/>
      <c r="O2362" s="41"/>
      <c r="P2362" s="41"/>
      <c r="Q2362" s="42"/>
      <c r="R2362" s="35"/>
      <c r="S2362" s="35"/>
      <c r="T2362" s="35"/>
      <c r="U2362" s="35"/>
      <c r="V2362" s="121"/>
      <c r="W2362" s="42"/>
      <c r="X2362" s="42"/>
      <c r="Y2362" s="42"/>
      <c r="Z2362" s="42"/>
      <c r="AA2362" s="42"/>
      <c r="AB2362" s="42"/>
      <c r="AC2362" s="42"/>
      <c r="AD2362" s="42"/>
      <c r="AE2362" s="42"/>
      <c r="AF2362" s="42"/>
      <c r="AG2362" s="42"/>
      <c r="AH2362" s="42"/>
      <c r="AI2362" s="42"/>
      <c r="AJ2362" s="42"/>
      <c r="AK2362" s="42"/>
      <c r="AL2362" s="42"/>
      <c r="AM2362" s="42"/>
    </row>
    <row r="2363" spans="1:39" x14ac:dyDescent="0.25">
      <c r="A2363" s="35"/>
      <c r="B2363" s="42"/>
      <c r="C2363" s="42"/>
      <c r="D2363" s="42"/>
      <c r="E2363" s="41"/>
      <c r="F2363" s="41"/>
      <c r="G2363" s="41"/>
      <c r="H2363" s="41"/>
      <c r="I2363" s="41"/>
      <c r="J2363" s="42"/>
      <c r="K2363" s="41"/>
      <c r="L2363" s="41"/>
      <c r="M2363" s="127"/>
      <c r="N2363" s="41"/>
      <c r="O2363" s="41"/>
      <c r="P2363" s="41"/>
      <c r="Q2363" s="42"/>
      <c r="R2363" s="35"/>
      <c r="S2363" s="35"/>
      <c r="T2363" s="35"/>
      <c r="U2363" s="35"/>
      <c r="V2363" s="121"/>
      <c r="W2363" s="42"/>
      <c r="X2363" s="42"/>
      <c r="Y2363" s="42"/>
      <c r="Z2363" s="42"/>
      <c r="AA2363" s="42"/>
      <c r="AB2363" s="42"/>
      <c r="AC2363" s="42"/>
      <c r="AD2363" s="42"/>
      <c r="AE2363" s="42"/>
      <c r="AF2363" s="42"/>
      <c r="AG2363" s="42"/>
      <c r="AH2363" s="42"/>
      <c r="AI2363" s="42"/>
      <c r="AJ2363" s="42"/>
      <c r="AK2363" s="42"/>
      <c r="AL2363" s="42"/>
      <c r="AM2363" s="42"/>
    </row>
    <row r="2364" spans="1:39" x14ac:dyDescent="0.25">
      <c r="A2364" s="35"/>
      <c r="B2364" s="42"/>
      <c r="C2364" s="42"/>
      <c r="D2364" s="42"/>
      <c r="E2364" s="41"/>
      <c r="F2364" s="41"/>
      <c r="G2364" s="41"/>
      <c r="H2364" s="41"/>
      <c r="I2364" s="41"/>
      <c r="J2364" s="42"/>
      <c r="K2364" s="41"/>
      <c r="L2364" s="41"/>
      <c r="M2364" s="127"/>
      <c r="N2364" s="41"/>
      <c r="O2364" s="41"/>
      <c r="P2364" s="41"/>
      <c r="Q2364" s="42"/>
      <c r="R2364" s="35"/>
      <c r="S2364" s="35"/>
      <c r="T2364" s="35"/>
      <c r="U2364" s="35"/>
      <c r="V2364" s="121"/>
      <c r="W2364" s="42"/>
      <c r="X2364" s="42"/>
      <c r="Y2364" s="42"/>
      <c r="Z2364" s="42"/>
      <c r="AA2364" s="42"/>
      <c r="AB2364" s="42"/>
      <c r="AC2364" s="42"/>
      <c r="AD2364" s="42"/>
      <c r="AE2364" s="42"/>
      <c r="AF2364" s="42"/>
      <c r="AG2364" s="42"/>
      <c r="AH2364" s="42"/>
      <c r="AI2364" s="42"/>
      <c r="AJ2364" s="42"/>
      <c r="AK2364" s="42"/>
      <c r="AL2364" s="42"/>
      <c r="AM2364" s="42"/>
    </row>
    <row r="2365" spans="1:39" x14ac:dyDescent="0.25">
      <c r="A2365" s="35"/>
      <c r="B2365" s="42"/>
      <c r="C2365" s="42"/>
      <c r="D2365" s="42"/>
      <c r="E2365" s="41"/>
      <c r="F2365" s="41"/>
      <c r="G2365" s="41"/>
      <c r="H2365" s="41"/>
      <c r="I2365" s="41"/>
      <c r="J2365" s="42"/>
      <c r="K2365" s="41"/>
      <c r="L2365" s="41"/>
      <c r="M2365" s="127"/>
      <c r="N2365" s="41"/>
      <c r="O2365" s="41"/>
      <c r="P2365" s="41"/>
      <c r="Q2365" s="42"/>
      <c r="R2365" s="35"/>
      <c r="S2365" s="35"/>
      <c r="T2365" s="35"/>
      <c r="U2365" s="35"/>
      <c r="V2365" s="121"/>
      <c r="W2365" s="42"/>
      <c r="X2365" s="42"/>
      <c r="Y2365" s="42"/>
      <c r="Z2365" s="42"/>
      <c r="AA2365" s="42"/>
      <c r="AB2365" s="42"/>
      <c r="AC2365" s="42"/>
      <c r="AD2365" s="42"/>
      <c r="AE2365" s="42"/>
      <c r="AF2365" s="42"/>
      <c r="AG2365" s="42"/>
      <c r="AH2365" s="42"/>
      <c r="AI2365" s="42"/>
      <c r="AJ2365" s="42"/>
      <c r="AK2365" s="42"/>
      <c r="AL2365" s="42"/>
      <c r="AM2365" s="42"/>
    </row>
    <row r="2366" spans="1:39" x14ac:dyDescent="0.25">
      <c r="A2366" s="35"/>
      <c r="B2366" s="42"/>
      <c r="C2366" s="42"/>
      <c r="D2366" s="42"/>
      <c r="E2366" s="41"/>
      <c r="F2366" s="41"/>
      <c r="G2366" s="41"/>
      <c r="H2366" s="41"/>
      <c r="I2366" s="41"/>
      <c r="J2366" s="42"/>
      <c r="K2366" s="41"/>
      <c r="L2366" s="41"/>
      <c r="M2366" s="127"/>
      <c r="N2366" s="41"/>
      <c r="O2366" s="41"/>
      <c r="P2366" s="41"/>
      <c r="Q2366" s="42"/>
      <c r="R2366" s="35"/>
      <c r="S2366" s="35"/>
      <c r="T2366" s="35"/>
      <c r="U2366" s="35"/>
      <c r="V2366" s="121"/>
      <c r="W2366" s="42"/>
      <c r="X2366" s="42"/>
      <c r="Y2366" s="42"/>
      <c r="Z2366" s="42"/>
      <c r="AA2366" s="42"/>
      <c r="AB2366" s="42"/>
      <c r="AC2366" s="42"/>
      <c r="AD2366" s="42"/>
      <c r="AE2366" s="42"/>
      <c r="AF2366" s="42"/>
      <c r="AG2366" s="42"/>
      <c r="AH2366" s="42"/>
      <c r="AI2366" s="42"/>
      <c r="AJ2366" s="42"/>
      <c r="AK2366" s="42"/>
      <c r="AL2366" s="42"/>
      <c r="AM2366" s="42"/>
    </row>
    <row r="2367" spans="1:39" x14ac:dyDescent="0.25">
      <c r="A2367" s="35"/>
      <c r="B2367" s="42"/>
      <c r="C2367" s="42"/>
      <c r="D2367" s="42"/>
      <c r="E2367" s="41"/>
      <c r="F2367" s="41"/>
      <c r="G2367" s="41"/>
      <c r="H2367" s="41"/>
      <c r="I2367" s="41"/>
      <c r="J2367" s="42"/>
      <c r="K2367" s="41"/>
      <c r="L2367" s="41"/>
      <c r="M2367" s="127"/>
      <c r="N2367" s="41"/>
      <c r="O2367" s="41"/>
      <c r="P2367" s="41"/>
      <c r="Q2367" s="42"/>
      <c r="R2367" s="35"/>
      <c r="S2367" s="35"/>
      <c r="T2367" s="35"/>
      <c r="U2367" s="35"/>
      <c r="V2367" s="121"/>
      <c r="W2367" s="42"/>
      <c r="X2367" s="42"/>
      <c r="Y2367" s="42"/>
      <c r="Z2367" s="42"/>
      <c r="AA2367" s="42"/>
      <c r="AB2367" s="42"/>
      <c r="AC2367" s="42"/>
      <c r="AD2367" s="42"/>
      <c r="AE2367" s="42"/>
      <c r="AF2367" s="42"/>
      <c r="AG2367" s="42"/>
      <c r="AH2367" s="42"/>
      <c r="AI2367" s="42"/>
      <c r="AJ2367" s="42"/>
      <c r="AK2367" s="42"/>
      <c r="AL2367" s="42"/>
      <c r="AM2367" s="42"/>
    </row>
    <row r="2368" spans="1:39" x14ac:dyDescent="0.25">
      <c r="A2368" s="35"/>
      <c r="B2368" s="42"/>
      <c r="C2368" s="42"/>
      <c r="D2368" s="42"/>
      <c r="E2368" s="41"/>
      <c r="F2368" s="41"/>
      <c r="G2368" s="41"/>
      <c r="H2368" s="41"/>
      <c r="I2368" s="41"/>
      <c r="J2368" s="42"/>
      <c r="K2368" s="41"/>
      <c r="L2368" s="41"/>
      <c r="M2368" s="127"/>
      <c r="N2368" s="41"/>
      <c r="O2368" s="41"/>
      <c r="P2368" s="41"/>
      <c r="Q2368" s="42"/>
      <c r="R2368" s="35"/>
      <c r="S2368" s="35"/>
      <c r="T2368" s="35"/>
      <c r="U2368" s="35"/>
      <c r="V2368" s="121"/>
      <c r="W2368" s="42"/>
      <c r="X2368" s="42"/>
      <c r="Y2368" s="42"/>
      <c r="Z2368" s="42"/>
      <c r="AA2368" s="42"/>
      <c r="AB2368" s="42"/>
      <c r="AC2368" s="42"/>
      <c r="AD2368" s="42"/>
      <c r="AE2368" s="42"/>
      <c r="AF2368" s="42"/>
      <c r="AG2368" s="42"/>
      <c r="AH2368" s="42"/>
      <c r="AI2368" s="42"/>
      <c r="AJ2368" s="42"/>
      <c r="AK2368" s="42"/>
      <c r="AL2368" s="42"/>
      <c r="AM2368" s="42"/>
    </row>
    <row r="2369" spans="1:39" x14ac:dyDescent="0.25">
      <c r="A2369" s="35"/>
      <c r="B2369" s="42"/>
      <c r="C2369" s="42"/>
      <c r="D2369" s="42"/>
      <c r="E2369" s="41"/>
      <c r="F2369" s="41"/>
      <c r="G2369" s="41"/>
      <c r="H2369" s="41"/>
      <c r="I2369" s="41"/>
      <c r="J2369" s="42"/>
      <c r="K2369" s="41"/>
      <c r="L2369" s="41"/>
      <c r="M2369" s="127"/>
      <c r="N2369" s="41"/>
      <c r="O2369" s="41"/>
      <c r="P2369" s="41"/>
      <c r="Q2369" s="42"/>
      <c r="R2369" s="35"/>
      <c r="S2369" s="35"/>
      <c r="T2369" s="35"/>
      <c r="U2369" s="35"/>
      <c r="V2369" s="121"/>
      <c r="W2369" s="42"/>
      <c r="X2369" s="42"/>
      <c r="Y2369" s="42"/>
      <c r="Z2369" s="42"/>
      <c r="AA2369" s="42"/>
      <c r="AB2369" s="42"/>
      <c r="AC2369" s="42"/>
      <c r="AD2369" s="42"/>
      <c r="AE2369" s="42"/>
      <c r="AF2369" s="42"/>
      <c r="AG2369" s="42"/>
      <c r="AH2369" s="42"/>
      <c r="AI2369" s="42"/>
      <c r="AJ2369" s="42"/>
      <c r="AK2369" s="42"/>
      <c r="AL2369" s="42"/>
      <c r="AM2369" s="42"/>
    </row>
    <row r="2370" spans="1:39" x14ac:dyDescent="0.25">
      <c r="A2370" s="35"/>
      <c r="B2370" s="42"/>
      <c r="C2370" s="42"/>
      <c r="D2370" s="42"/>
      <c r="E2370" s="41"/>
      <c r="F2370" s="41"/>
      <c r="G2370" s="41"/>
      <c r="H2370" s="41"/>
      <c r="I2370" s="41"/>
      <c r="J2370" s="42"/>
      <c r="K2370" s="41"/>
      <c r="L2370" s="41"/>
      <c r="M2370" s="127"/>
      <c r="N2370" s="41"/>
      <c r="O2370" s="41"/>
      <c r="P2370" s="41"/>
      <c r="Q2370" s="42"/>
      <c r="R2370" s="35"/>
      <c r="S2370" s="35"/>
      <c r="T2370" s="35"/>
      <c r="U2370" s="35"/>
      <c r="V2370" s="121"/>
      <c r="W2370" s="42"/>
      <c r="X2370" s="42"/>
      <c r="Y2370" s="42"/>
      <c r="Z2370" s="42"/>
      <c r="AA2370" s="42"/>
      <c r="AB2370" s="42"/>
      <c r="AC2370" s="42"/>
      <c r="AD2370" s="42"/>
      <c r="AE2370" s="42"/>
      <c r="AF2370" s="42"/>
      <c r="AG2370" s="42"/>
      <c r="AH2370" s="42"/>
      <c r="AI2370" s="42"/>
      <c r="AJ2370" s="42"/>
      <c r="AK2370" s="42"/>
      <c r="AL2370" s="42"/>
      <c r="AM2370" s="42"/>
    </row>
    <row r="2371" spans="1:39" x14ac:dyDescent="0.25">
      <c r="A2371" s="35"/>
      <c r="B2371" s="42"/>
      <c r="C2371" s="42"/>
      <c r="D2371" s="42"/>
      <c r="E2371" s="41"/>
      <c r="F2371" s="41"/>
      <c r="G2371" s="41"/>
      <c r="H2371" s="41"/>
      <c r="I2371" s="41"/>
      <c r="J2371" s="42"/>
      <c r="K2371" s="41"/>
      <c r="L2371" s="41"/>
      <c r="M2371" s="127"/>
      <c r="N2371" s="41"/>
      <c r="O2371" s="41"/>
      <c r="P2371" s="41"/>
      <c r="Q2371" s="42"/>
      <c r="R2371" s="35"/>
      <c r="S2371" s="35"/>
      <c r="T2371" s="35"/>
      <c r="U2371" s="35"/>
      <c r="V2371" s="121"/>
      <c r="W2371" s="42"/>
      <c r="X2371" s="42"/>
      <c r="Y2371" s="42"/>
      <c r="Z2371" s="42"/>
      <c r="AA2371" s="42"/>
      <c r="AB2371" s="42"/>
      <c r="AC2371" s="42"/>
      <c r="AD2371" s="42"/>
      <c r="AE2371" s="42"/>
      <c r="AF2371" s="42"/>
      <c r="AG2371" s="42"/>
      <c r="AH2371" s="42"/>
      <c r="AI2371" s="42"/>
      <c r="AJ2371" s="42"/>
      <c r="AK2371" s="42"/>
      <c r="AL2371" s="42"/>
      <c r="AM2371" s="42"/>
    </row>
    <row r="2372" spans="1:39" x14ac:dyDescent="0.25">
      <c r="A2372" s="35"/>
      <c r="B2372" s="42"/>
      <c r="C2372" s="42"/>
      <c r="D2372" s="42"/>
      <c r="E2372" s="41"/>
      <c r="F2372" s="41"/>
      <c r="G2372" s="41"/>
      <c r="H2372" s="41"/>
      <c r="I2372" s="41"/>
      <c r="J2372" s="42"/>
      <c r="K2372" s="41"/>
      <c r="L2372" s="41"/>
      <c r="M2372" s="127"/>
      <c r="N2372" s="41"/>
      <c r="O2372" s="41"/>
      <c r="P2372" s="41"/>
      <c r="Q2372" s="42"/>
      <c r="R2372" s="35"/>
      <c r="S2372" s="35"/>
      <c r="T2372" s="35"/>
      <c r="U2372" s="35"/>
      <c r="V2372" s="121"/>
      <c r="W2372" s="42"/>
      <c r="X2372" s="42"/>
      <c r="Y2372" s="42"/>
      <c r="Z2372" s="42"/>
      <c r="AA2372" s="42"/>
      <c r="AB2372" s="42"/>
      <c r="AC2372" s="42"/>
      <c r="AD2372" s="42"/>
      <c r="AE2372" s="42"/>
      <c r="AF2372" s="42"/>
      <c r="AG2372" s="42"/>
      <c r="AH2372" s="42"/>
      <c r="AI2372" s="42"/>
      <c r="AJ2372" s="42"/>
      <c r="AK2372" s="42"/>
      <c r="AL2372" s="42"/>
      <c r="AM2372" s="42"/>
    </row>
    <row r="2373" spans="1:39" x14ac:dyDescent="0.25">
      <c r="A2373" s="35"/>
      <c r="B2373" s="42"/>
      <c r="C2373" s="42"/>
      <c r="D2373" s="42"/>
      <c r="E2373" s="41"/>
      <c r="F2373" s="41"/>
      <c r="G2373" s="41"/>
      <c r="H2373" s="41"/>
      <c r="I2373" s="41"/>
      <c r="J2373" s="42"/>
      <c r="K2373" s="41"/>
      <c r="L2373" s="41"/>
      <c r="M2373" s="127"/>
      <c r="N2373" s="41"/>
      <c r="O2373" s="41"/>
      <c r="P2373" s="41"/>
      <c r="Q2373" s="42"/>
      <c r="R2373" s="35"/>
      <c r="S2373" s="35"/>
      <c r="T2373" s="35"/>
      <c r="U2373" s="35"/>
      <c r="V2373" s="121"/>
      <c r="W2373" s="42"/>
      <c r="X2373" s="42"/>
      <c r="Y2373" s="42"/>
      <c r="Z2373" s="42"/>
      <c r="AA2373" s="42"/>
      <c r="AB2373" s="42"/>
      <c r="AC2373" s="42"/>
      <c r="AD2373" s="42"/>
      <c r="AE2373" s="42"/>
      <c r="AF2373" s="42"/>
      <c r="AG2373" s="42"/>
      <c r="AH2373" s="42"/>
      <c r="AI2373" s="42"/>
      <c r="AJ2373" s="42"/>
      <c r="AK2373" s="42"/>
      <c r="AL2373" s="42"/>
      <c r="AM2373" s="42"/>
    </row>
    <row r="2374" spans="1:39" x14ac:dyDescent="0.25">
      <c r="A2374" s="35"/>
      <c r="B2374" s="42"/>
      <c r="C2374" s="42"/>
      <c r="D2374" s="42"/>
      <c r="E2374" s="41"/>
      <c r="F2374" s="41"/>
      <c r="G2374" s="41"/>
      <c r="H2374" s="41"/>
      <c r="I2374" s="41"/>
      <c r="J2374" s="42"/>
      <c r="K2374" s="41"/>
      <c r="L2374" s="41"/>
      <c r="M2374" s="127"/>
      <c r="N2374" s="41"/>
      <c r="O2374" s="41"/>
      <c r="P2374" s="41"/>
      <c r="Q2374" s="42"/>
      <c r="R2374" s="35"/>
      <c r="S2374" s="35"/>
      <c r="T2374" s="35"/>
      <c r="U2374" s="35"/>
      <c r="V2374" s="121"/>
      <c r="W2374" s="42"/>
      <c r="X2374" s="42"/>
      <c r="Y2374" s="42"/>
      <c r="Z2374" s="42"/>
      <c r="AA2374" s="42"/>
      <c r="AB2374" s="42"/>
      <c r="AC2374" s="42"/>
      <c r="AD2374" s="42"/>
      <c r="AE2374" s="42"/>
      <c r="AF2374" s="42"/>
      <c r="AG2374" s="42"/>
      <c r="AH2374" s="42"/>
      <c r="AI2374" s="42"/>
      <c r="AJ2374" s="42"/>
      <c r="AK2374" s="42"/>
      <c r="AL2374" s="42"/>
      <c r="AM2374" s="42"/>
    </row>
    <row r="2375" spans="1:39" x14ac:dyDescent="0.25">
      <c r="A2375" s="35"/>
      <c r="B2375" s="42"/>
      <c r="C2375" s="42"/>
      <c r="D2375" s="42"/>
      <c r="E2375" s="41"/>
      <c r="F2375" s="41"/>
      <c r="G2375" s="41"/>
      <c r="H2375" s="41"/>
      <c r="I2375" s="41"/>
      <c r="J2375" s="42"/>
      <c r="K2375" s="41"/>
      <c r="L2375" s="41"/>
      <c r="M2375" s="127"/>
      <c r="N2375" s="41"/>
      <c r="O2375" s="41"/>
      <c r="P2375" s="41"/>
      <c r="Q2375" s="42"/>
      <c r="R2375" s="35"/>
      <c r="S2375" s="35"/>
      <c r="T2375" s="35"/>
      <c r="U2375" s="35"/>
      <c r="V2375" s="121"/>
      <c r="W2375" s="42"/>
      <c r="X2375" s="42"/>
      <c r="Y2375" s="42"/>
      <c r="Z2375" s="42"/>
      <c r="AA2375" s="42"/>
      <c r="AB2375" s="42"/>
      <c r="AC2375" s="42"/>
      <c r="AD2375" s="42"/>
      <c r="AE2375" s="42"/>
      <c r="AF2375" s="42"/>
      <c r="AG2375" s="42"/>
      <c r="AH2375" s="42"/>
      <c r="AI2375" s="42"/>
      <c r="AJ2375" s="42"/>
      <c r="AK2375" s="42"/>
      <c r="AL2375" s="42"/>
      <c r="AM2375" s="42"/>
    </row>
    <row r="2376" spans="1:39" x14ac:dyDescent="0.25">
      <c r="A2376" s="35"/>
      <c r="B2376" s="42"/>
      <c r="C2376" s="42"/>
      <c r="D2376" s="42"/>
      <c r="E2376" s="41"/>
      <c r="F2376" s="41"/>
      <c r="G2376" s="41"/>
      <c r="H2376" s="41"/>
      <c r="I2376" s="41"/>
      <c r="J2376" s="42"/>
      <c r="K2376" s="41"/>
      <c r="L2376" s="41"/>
      <c r="M2376" s="127"/>
      <c r="N2376" s="41"/>
      <c r="O2376" s="41"/>
      <c r="P2376" s="41"/>
      <c r="Q2376" s="42"/>
      <c r="R2376" s="35"/>
      <c r="S2376" s="35"/>
      <c r="T2376" s="35"/>
      <c r="U2376" s="35"/>
      <c r="V2376" s="121"/>
      <c r="W2376" s="42"/>
      <c r="X2376" s="42"/>
      <c r="Y2376" s="42"/>
      <c r="Z2376" s="42"/>
      <c r="AA2376" s="42"/>
      <c r="AB2376" s="42"/>
      <c r="AC2376" s="42"/>
      <c r="AD2376" s="42"/>
      <c r="AE2376" s="42"/>
      <c r="AF2376" s="42"/>
      <c r="AG2376" s="42"/>
      <c r="AH2376" s="42"/>
      <c r="AI2376" s="42"/>
      <c r="AJ2376" s="42"/>
      <c r="AK2376" s="42"/>
      <c r="AL2376" s="42"/>
      <c r="AM2376" s="42"/>
    </row>
    <row r="2377" spans="1:39" x14ac:dyDescent="0.25">
      <c r="A2377" s="35"/>
      <c r="B2377" s="42"/>
      <c r="C2377" s="42"/>
      <c r="D2377" s="42"/>
      <c r="E2377" s="41"/>
      <c r="F2377" s="41"/>
      <c r="G2377" s="41"/>
      <c r="H2377" s="41"/>
      <c r="I2377" s="41"/>
      <c r="J2377" s="42"/>
      <c r="K2377" s="41"/>
      <c r="L2377" s="41"/>
      <c r="M2377" s="127"/>
      <c r="N2377" s="41"/>
      <c r="O2377" s="41"/>
      <c r="P2377" s="41"/>
      <c r="Q2377" s="42"/>
      <c r="R2377" s="35"/>
      <c r="S2377" s="35"/>
      <c r="T2377" s="35"/>
      <c r="U2377" s="35"/>
      <c r="V2377" s="121"/>
      <c r="W2377" s="42"/>
      <c r="X2377" s="42"/>
      <c r="Y2377" s="42"/>
      <c r="Z2377" s="42"/>
      <c r="AA2377" s="42"/>
      <c r="AB2377" s="42"/>
      <c r="AC2377" s="42"/>
      <c r="AD2377" s="42"/>
      <c r="AE2377" s="42"/>
      <c r="AF2377" s="42"/>
      <c r="AG2377" s="42"/>
      <c r="AH2377" s="42"/>
      <c r="AI2377" s="42"/>
      <c r="AJ2377" s="42"/>
      <c r="AK2377" s="42"/>
      <c r="AL2377" s="42"/>
      <c r="AM2377" s="42"/>
    </row>
    <row r="2378" spans="1:39" x14ac:dyDescent="0.25">
      <c r="A2378" s="35"/>
      <c r="B2378" s="42"/>
      <c r="C2378" s="42"/>
      <c r="D2378" s="42"/>
      <c r="E2378" s="41"/>
      <c r="F2378" s="41"/>
      <c r="G2378" s="41"/>
      <c r="H2378" s="41"/>
      <c r="I2378" s="41"/>
      <c r="J2378" s="42"/>
      <c r="K2378" s="41"/>
      <c r="L2378" s="41"/>
      <c r="M2378" s="127"/>
      <c r="N2378" s="41"/>
      <c r="O2378" s="41"/>
      <c r="P2378" s="41"/>
      <c r="Q2378" s="42"/>
      <c r="R2378" s="35"/>
      <c r="S2378" s="35"/>
      <c r="T2378" s="35"/>
      <c r="U2378" s="35"/>
      <c r="V2378" s="121"/>
      <c r="W2378" s="42"/>
      <c r="X2378" s="42"/>
      <c r="Y2378" s="42"/>
      <c r="Z2378" s="42"/>
      <c r="AA2378" s="42"/>
      <c r="AB2378" s="42"/>
      <c r="AC2378" s="42"/>
      <c r="AD2378" s="42"/>
      <c r="AE2378" s="42"/>
      <c r="AF2378" s="42"/>
      <c r="AG2378" s="42"/>
      <c r="AH2378" s="42"/>
      <c r="AI2378" s="42"/>
      <c r="AJ2378" s="42"/>
      <c r="AK2378" s="42"/>
      <c r="AL2378" s="42"/>
      <c r="AM2378" s="42"/>
    </row>
    <row r="2379" spans="1:39" x14ac:dyDescent="0.25">
      <c r="A2379" s="35"/>
      <c r="B2379" s="42"/>
      <c r="C2379" s="42"/>
      <c r="D2379" s="42"/>
      <c r="E2379" s="41"/>
      <c r="F2379" s="41"/>
      <c r="G2379" s="41"/>
      <c r="H2379" s="41"/>
      <c r="I2379" s="41"/>
      <c r="J2379" s="42"/>
      <c r="K2379" s="41"/>
      <c r="L2379" s="41"/>
      <c r="M2379" s="127"/>
      <c r="N2379" s="41"/>
      <c r="O2379" s="41"/>
      <c r="P2379" s="41"/>
      <c r="Q2379" s="42"/>
      <c r="R2379" s="35"/>
      <c r="S2379" s="35"/>
      <c r="T2379" s="35"/>
      <c r="U2379" s="35"/>
      <c r="V2379" s="121"/>
      <c r="W2379" s="42"/>
      <c r="X2379" s="42"/>
      <c r="Y2379" s="42"/>
      <c r="Z2379" s="42"/>
      <c r="AA2379" s="42"/>
      <c r="AB2379" s="42"/>
      <c r="AC2379" s="42"/>
      <c r="AD2379" s="42"/>
      <c r="AE2379" s="42"/>
      <c r="AF2379" s="42"/>
      <c r="AG2379" s="42"/>
      <c r="AH2379" s="42"/>
      <c r="AI2379" s="42"/>
      <c r="AJ2379" s="42"/>
      <c r="AK2379" s="42"/>
      <c r="AL2379" s="42"/>
      <c r="AM2379" s="42"/>
    </row>
    <row r="2380" spans="1:39" x14ac:dyDescent="0.25">
      <c r="A2380" s="35"/>
      <c r="B2380" s="42"/>
      <c r="C2380" s="42"/>
      <c r="D2380" s="42"/>
      <c r="E2380" s="41"/>
      <c r="F2380" s="41"/>
      <c r="G2380" s="41"/>
      <c r="H2380" s="41"/>
      <c r="I2380" s="41"/>
      <c r="J2380" s="42"/>
      <c r="K2380" s="41"/>
      <c r="L2380" s="41"/>
      <c r="M2380" s="127"/>
      <c r="N2380" s="41"/>
      <c r="O2380" s="41"/>
      <c r="P2380" s="41"/>
      <c r="Q2380" s="42"/>
      <c r="R2380" s="35"/>
      <c r="S2380" s="35"/>
      <c r="T2380" s="35"/>
      <c r="U2380" s="35"/>
      <c r="V2380" s="121"/>
      <c r="W2380" s="42"/>
      <c r="X2380" s="42"/>
      <c r="Y2380" s="42"/>
      <c r="Z2380" s="42"/>
      <c r="AA2380" s="42"/>
      <c r="AB2380" s="42"/>
      <c r="AC2380" s="42"/>
      <c r="AD2380" s="42"/>
      <c r="AE2380" s="42"/>
      <c r="AF2380" s="42"/>
      <c r="AG2380" s="42"/>
      <c r="AH2380" s="42"/>
      <c r="AI2380" s="42"/>
      <c r="AJ2380" s="42"/>
      <c r="AK2380" s="42"/>
      <c r="AL2380" s="42"/>
      <c r="AM2380" s="42"/>
    </row>
    <row r="2381" spans="1:39" x14ac:dyDescent="0.25">
      <c r="A2381" s="35"/>
      <c r="B2381" s="42"/>
      <c r="C2381" s="42"/>
      <c r="D2381" s="42"/>
      <c r="E2381" s="41"/>
      <c r="F2381" s="41"/>
      <c r="G2381" s="41"/>
      <c r="H2381" s="41"/>
      <c r="I2381" s="41"/>
      <c r="J2381" s="42"/>
      <c r="K2381" s="41"/>
      <c r="L2381" s="41"/>
      <c r="M2381" s="127"/>
      <c r="N2381" s="41"/>
      <c r="O2381" s="41"/>
      <c r="P2381" s="41"/>
      <c r="Q2381" s="42"/>
      <c r="R2381" s="35"/>
      <c r="S2381" s="35"/>
      <c r="T2381" s="35"/>
      <c r="U2381" s="35"/>
      <c r="V2381" s="121"/>
      <c r="W2381" s="42"/>
      <c r="X2381" s="42"/>
      <c r="Y2381" s="42"/>
      <c r="Z2381" s="42"/>
      <c r="AA2381" s="42"/>
      <c r="AB2381" s="42"/>
      <c r="AC2381" s="42"/>
      <c r="AD2381" s="42"/>
      <c r="AE2381" s="42"/>
      <c r="AF2381" s="42"/>
      <c r="AG2381" s="42"/>
      <c r="AH2381" s="42"/>
      <c r="AI2381" s="42"/>
      <c r="AJ2381" s="42"/>
      <c r="AK2381" s="42"/>
      <c r="AL2381" s="42"/>
      <c r="AM2381" s="42"/>
    </row>
    <row r="2382" spans="1:39" x14ac:dyDescent="0.25">
      <c r="A2382" s="35"/>
      <c r="B2382" s="42"/>
      <c r="C2382" s="42"/>
      <c r="D2382" s="42"/>
      <c r="E2382" s="41"/>
      <c r="F2382" s="41"/>
      <c r="G2382" s="41"/>
      <c r="H2382" s="41"/>
      <c r="I2382" s="41"/>
      <c r="J2382" s="42"/>
      <c r="K2382" s="41"/>
      <c r="L2382" s="41"/>
      <c r="M2382" s="127"/>
      <c r="N2382" s="41"/>
      <c r="O2382" s="41"/>
      <c r="P2382" s="41"/>
      <c r="Q2382" s="42"/>
      <c r="R2382" s="35"/>
      <c r="S2382" s="35"/>
      <c r="T2382" s="35"/>
      <c r="U2382" s="35"/>
      <c r="V2382" s="121"/>
      <c r="W2382" s="42"/>
      <c r="X2382" s="42"/>
      <c r="Y2382" s="42"/>
      <c r="Z2382" s="42"/>
      <c r="AA2382" s="42"/>
      <c r="AB2382" s="42"/>
      <c r="AC2382" s="42"/>
      <c r="AD2382" s="42"/>
      <c r="AE2382" s="42"/>
      <c r="AF2382" s="42"/>
      <c r="AG2382" s="42"/>
      <c r="AH2382" s="42"/>
      <c r="AI2382" s="42"/>
      <c r="AJ2382" s="42"/>
      <c r="AK2382" s="42"/>
      <c r="AL2382" s="42"/>
      <c r="AM2382" s="42"/>
    </row>
    <row r="2383" spans="1:39" x14ac:dyDescent="0.25">
      <c r="A2383" s="35"/>
      <c r="B2383" s="42"/>
      <c r="C2383" s="42"/>
      <c r="D2383" s="42"/>
      <c r="E2383" s="41"/>
      <c r="F2383" s="41"/>
      <c r="G2383" s="41"/>
      <c r="H2383" s="41"/>
      <c r="I2383" s="41"/>
      <c r="J2383" s="42"/>
      <c r="K2383" s="41"/>
      <c r="L2383" s="41"/>
      <c r="M2383" s="127"/>
      <c r="N2383" s="41"/>
      <c r="O2383" s="41"/>
      <c r="P2383" s="41"/>
      <c r="Q2383" s="42"/>
      <c r="R2383" s="35"/>
      <c r="S2383" s="35"/>
      <c r="T2383" s="35"/>
      <c r="U2383" s="35"/>
      <c r="V2383" s="121"/>
      <c r="W2383" s="42"/>
      <c r="X2383" s="42"/>
      <c r="Y2383" s="42"/>
      <c r="Z2383" s="42"/>
      <c r="AA2383" s="42"/>
      <c r="AB2383" s="42"/>
      <c r="AC2383" s="42"/>
      <c r="AD2383" s="42"/>
      <c r="AE2383" s="42"/>
      <c r="AF2383" s="42"/>
      <c r="AG2383" s="42"/>
      <c r="AH2383" s="42"/>
      <c r="AI2383" s="42"/>
      <c r="AJ2383" s="42"/>
      <c r="AK2383" s="42"/>
      <c r="AL2383" s="42"/>
      <c r="AM2383" s="42"/>
    </row>
    <row r="2384" spans="1:39" x14ac:dyDescent="0.25">
      <c r="A2384" s="35"/>
      <c r="B2384" s="42"/>
      <c r="C2384" s="42"/>
      <c r="D2384" s="42"/>
      <c r="E2384" s="41"/>
      <c r="F2384" s="41"/>
      <c r="G2384" s="41"/>
      <c r="H2384" s="41"/>
      <c r="I2384" s="41"/>
      <c r="J2384" s="42"/>
      <c r="K2384" s="41"/>
      <c r="L2384" s="41"/>
      <c r="M2384" s="127"/>
      <c r="N2384" s="41"/>
      <c r="O2384" s="41"/>
      <c r="P2384" s="41"/>
      <c r="Q2384" s="42"/>
      <c r="R2384" s="35"/>
      <c r="S2384" s="35"/>
      <c r="T2384" s="35"/>
      <c r="U2384" s="35"/>
      <c r="V2384" s="121"/>
      <c r="W2384" s="42"/>
      <c r="X2384" s="42"/>
      <c r="Y2384" s="42"/>
      <c r="Z2384" s="42"/>
      <c r="AA2384" s="42"/>
      <c r="AB2384" s="42"/>
      <c r="AC2384" s="42"/>
      <c r="AD2384" s="42"/>
      <c r="AE2384" s="42"/>
      <c r="AF2384" s="42"/>
      <c r="AG2384" s="42"/>
      <c r="AH2384" s="42"/>
      <c r="AI2384" s="42"/>
      <c r="AJ2384" s="42"/>
      <c r="AK2384" s="42"/>
      <c r="AL2384" s="42"/>
      <c r="AM2384" s="42"/>
    </row>
    <row r="2385" spans="1:39" x14ac:dyDescent="0.25">
      <c r="A2385" s="35"/>
      <c r="B2385" s="42"/>
      <c r="C2385" s="42"/>
      <c r="D2385" s="42"/>
      <c r="E2385" s="41"/>
      <c r="F2385" s="41"/>
      <c r="G2385" s="41"/>
      <c r="H2385" s="41"/>
      <c r="I2385" s="41"/>
      <c r="J2385" s="42"/>
      <c r="K2385" s="41"/>
      <c r="L2385" s="41"/>
      <c r="M2385" s="127"/>
      <c r="N2385" s="41"/>
      <c r="O2385" s="41"/>
      <c r="P2385" s="41"/>
      <c r="Q2385" s="42"/>
      <c r="R2385" s="35"/>
      <c r="S2385" s="35"/>
      <c r="T2385" s="35"/>
      <c r="U2385" s="35"/>
      <c r="V2385" s="121"/>
      <c r="W2385" s="42"/>
      <c r="X2385" s="42"/>
      <c r="Y2385" s="42"/>
      <c r="Z2385" s="42"/>
      <c r="AA2385" s="42"/>
      <c r="AB2385" s="42"/>
      <c r="AC2385" s="42"/>
      <c r="AD2385" s="42"/>
      <c r="AE2385" s="42"/>
      <c r="AF2385" s="42"/>
      <c r="AG2385" s="42"/>
      <c r="AH2385" s="42"/>
      <c r="AI2385" s="42"/>
      <c r="AJ2385" s="42"/>
      <c r="AK2385" s="42"/>
      <c r="AL2385" s="42"/>
      <c r="AM2385" s="42"/>
    </row>
    <row r="2386" spans="1:39" x14ac:dyDescent="0.25">
      <c r="A2386" s="35"/>
      <c r="B2386" s="42"/>
      <c r="C2386" s="42"/>
      <c r="D2386" s="42"/>
      <c r="E2386" s="41"/>
      <c r="F2386" s="41"/>
      <c r="G2386" s="41"/>
      <c r="H2386" s="41"/>
      <c r="I2386" s="41"/>
      <c r="J2386" s="42"/>
      <c r="K2386" s="41"/>
      <c r="L2386" s="41"/>
      <c r="M2386" s="127"/>
      <c r="N2386" s="41"/>
      <c r="O2386" s="41"/>
      <c r="P2386" s="41"/>
      <c r="Q2386" s="42"/>
      <c r="R2386" s="35"/>
      <c r="S2386" s="35"/>
      <c r="T2386" s="35"/>
      <c r="U2386" s="35"/>
      <c r="V2386" s="121"/>
      <c r="W2386" s="42"/>
      <c r="X2386" s="42"/>
      <c r="Y2386" s="42"/>
      <c r="Z2386" s="42"/>
      <c r="AA2386" s="42"/>
      <c r="AB2386" s="42"/>
      <c r="AC2386" s="42"/>
      <c r="AD2386" s="42"/>
      <c r="AE2386" s="42"/>
      <c r="AF2386" s="42"/>
      <c r="AG2386" s="42"/>
      <c r="AH2386" s="42"/>
      <c r="AI2386" s="42"/>
      <c r="AJ2386" s="42"/>
      <c r="AK2386" s="42"/>
      <c r="AL2386" s="42"/>
      <c r="AM2386" s="42"/>
    </row>
    <row r="2387" spans="1:39" x14ac:dyDescent="0.25">
      <c r="A2387" s="35"/>
      <c r="B2387" s="42"/>
      <c r="C2387" s="42"/>
      <c r="D2387" s="42"/>
      <c r="E2387" s="41"/>
      <c r="F2387" s="41"/>
      <c r="G2387" s="41"/>
      <c r="H2387" s="41"/>
      <c r="I2387" s="41"/>
      <c r="J2387" s="42"/>
      <c r="K2387" s="41"/>
      <c r="L2387" s="41"/>
      <c r="M2387" s="127"/>
      <c r="N2387" s="41"/>
      <c r="O2387" s="41"/>
      <c r="P2387" s="41"/>
      <c r="Q2387" s="42"/>
      <c r="R2387" s="35"/>
      <c r="S2387" s="35"/>
      <c r="T2387" s="35"/>
      <c r="U2387" s="35"/>
      <c r="V2387" s="121"/>
      <c r="W2387" s="42"/>
      <c r="X2387" s="42"/>
      <c r="Y2387" s="42"/>
      <c r="Z2387" s="42"/>
      <c r="AA2387" s="42"/>
      <c r="AB2387" s="42"/>
      <c r="AC2387" s="42"/>
      <c r="AD2387" s="42"/>
      <c r="AE2387" s="42"/>
      <c r="AF2387" s="42"/>
      <c r="AG2387" s="42"/>
      <c r="AH2387" s="42"/>
      <c r="AI2387" s="42"/>
      <c r="AJ2387" s="42"/>
      <c r="AK2387" s="42"/>
      <c r="AL2387" s="42"/>
      <c r="AM2387" s="42"/>
    </row>
    <row r="2388" spans="1:39" x14ac:dyDescent="0.25">
      <c r="A2388" s="35"/>
      <c r="B2388" s="42"/>
      <c r="C2388" s="42"/>
      <c r="D2388" s="42"/>
      <c r="E2388" s="41"/>
      <c r="F2388" s="41"/>
      <c r="G2388" s="41"/>
      <c r="H2388" s="41"/>
      <c r="I2388" s="41"/>
      <c r="J2388" s="42"/>
      <c r="K2388" s="41"/>
      <c r="L2388" s="41"/>
      <c r="M2388" s="127"/>
      <c r="N2388" s="41"/>
      <c r="O2388" s="41"/>
      <c r="P2388" s="41"/>
      <c r="Q2388" s="42"/>
      <c r="R2388" s="35"/>
      <c r="S2388" s="35"/>
      <c r="T2388" s="35"/>
      <c r="U2388" s="35"/>
      <c r="V2388" s="121"/>
      <c r="W2388" s="42"/>
      <c r="X2388" s="42"/>
      <c r="Y2388" s="42"/>
      <c r="Z2388" s="42"/>
      <c r="AA2388" s="42"/>
      <c r="AB2388" s="42"/>
      <c r="AC2388" s="42"/>
      <c r="AD2388" s="42"/>
      <c r="AE2388" s="42"/>
      <c r="AF2388" s="42"/>
      <c r="AG2388" s="42"/>
      <c r="AH2388" s="42"/>
      <c r="AI2388" s="42"/>
      <c r="AJ2388" s="42"/>
      <c r="AK2388" s="42"/>
      <c r="AL2388" s="42"/>
      <c r="AM2388" s="42"/>
    </row>
    <row r="2389" spans="1:39" x14ac:dyDescent="0.25">
      <c r="A2389" s="35"/>
      <c r="B2389" s="42"/>
      <c r="C2389" s="42"/>
      <c r="D2389" s="42"/>
      <c r="E2389" s="41"/>
      <c r="F2389" s="41"/>
      <c r="G2389" s="41"/>
      <c r="H2389" s="41"/>
      <c r="I2389" s="41"/>
      <c r="J2389" s="42"/>
      <c r="K2389" s="41"/>
      <c r="L2389" s="41"/>
      <c r="M2389" s="127"/>
      <c r="N2389" s="41"/>
      <c r="O2389" s="41"/>
      <c r="P2389" s="41"/>
      <c r="Q2389" s="42"/>
      <c r="R2389" s="35"/>
      <c r="S2389" s="35"/>
      <c r="T2389" s="35"/>
      <c r="U2389" s="35"/>
      <c r="V2389" s="121"/>
      <c r="W2389" s="42"/>
      <c r="X2389" s="42"/>
      <c r="Y2389" s="42"/>
      <c r="Z2389" s="42"/>
      <c r="AA2389" s="42"/>
      <c r="AB2389" s="42"/>
      <c r="AC2389" s="42"/>
      <c r="AD2389" s="42"/>
      <c r="AE2389" s="42"/>
      <c r="AF2389" s="42"/>
      <c r="AG2389" s="42"/>
      <c r="AH2389" s="42"/>
      <c r="AI2389" s="42"/>
      <c r="AJ2389" s="42"/>
      <c r="AK2389" s="42"/>
      <c r="AL2389" s="42"/>
      <c r="AM2389" s="42"/>
    </row>
    <row r="2390" spans="1:39" x14ac:dyDescent="0.25">
      <c r="A2390" s="35"/>
      <c r="B2390" s="42"/>
      <c r="C2390" s="42"/>
      <c r="D2390" s="42"/>
      <c r="E2390" s="41"/>
      <c r="F2390" s="41"/>
      <c r="G2390" s="41"/>
      <c r="H2390" s="41"/>
      <c r="I2390" s="41"/>
      <c r="J2390" s="42"/>
      <c r="K2390" s="41"/>
      <c r="L2390" s="41"/>
      <c r="M2390" s="127"/>
      <c r="N2390" s="41"/>
      <c r="O2390" s="41"/>
      <c r="P2390" s="41"/>
      <c r="Q2390" s="42"/>
      <c r="R2390" s="35"/>
      <c r="S2390" s="35"/>
      <c r="T2390" s="35"/>
      <c r="U2390" s="35"/>
      <c r="V2390" s="121"/>
      <c r="W2390" s="42"/>
      <c r="X2390" s="42"/>
      <c r="Y2390" s="42"/>
      <c r="Z2390" s="42"/>
      <c r="AA2390" s="42"/>
      <c r="AB2390" s="42"/>
      <c r="AC2390" s="42"/>
      <c r="AD2390" s="42"/>
      <c r="AE2390" s="42"/>
      <c r="AF2390" s="42"/>
      <c r="AG2390" s="42"/>
      <c r="AH2390" s="42"/>
      <c r="AI2390" s="42"/>
      <c r="AJ2390" s="42"/>
      <c r="AK2390" s="42"/>
      <c r="AL2390" s="42"/>
      <c r="AM2390" s="42"/>
    </row>
    <row r="2391" spans="1:39" x14ac:dyDescent="0.25">
      <c r="A2391" s="35"/>
      <c r="B2391" s="42"/>
      <c r="C2391" s="42"/>
      <c r="D2391" s="42"/>
      <c r="E2391" s="41"/>
      <c r="F2391" s="41"/>
      <c r="G2391" s="41"/>
      <c r="H2391" s="41"/>
      <c r="I2391" s="41"/>
      <c r="J2391" s="42"/>
      <c r="K2391" s="41"/>
      <c r="L2391" s="41"/>
      <c r="M2391" s="127"/>
      <c r="N2391" s="41"/>
      <c r="O2391" s="41"/>
      <c r="P2391" s="41"/>
      <c r="Q2391" s="42"/>
      <c r="R2391" s="35"/>
      <c r="S2391" s="35"/>
      <c r="T2391" s="35"/>
      <c r="U2391" s="35"/>
      <c r="V2391" s="121"/>
      <c r="W2391" s="42"/>
      <c r="X2391" s="42"/>
      <c r="Y2391" s="42"/>
      <c r="Z2391" s="42"/>
      <c r="AA2391" s="42"/>
      <c r="AB2391" s="42"/>
      <c r="AC2391" s="42"/>
      <c r="AD2391" s="42"/>
      <c r="AE2391" s="42"/>
      <c r="AF2391" s="42"/>
      <c r="AG2391" s="42"/>
      <c r="AH2391" s="42"/>
      <c r="AI2391" s="42"/>
      <c r="AJ2391" s="42"/>
      <c r="AK2391" s="42"/>
      <c r="AL2391" s="42"/>
      <c r="AM2391" s="42"/>
    </row>
    <row r="2392" spans="1:39" x14ac:dyDescent="0.25">
      <c r="A2392" s="35"/>
      <c r="B2392" s="42"/>
      <c r="C2392" s="42"/>
      <c r="D2392" s="42"/>
      <c r="E2392" s="41"/>
      <c r="F2392" s="41"/>
      <c r="G2392" s="41"/>
      <c r="H2392" s="41"/>
      <c r="I2392" s="41"/>
      <c r="J2392" s="42"/>
      <c r="K2392" s="41"/>
      <c r="L2392" s="41"/>
      <c r="M2392" s="127"/>
      <c r="N2392" s="41"/>
      <c r="O2392" s="41"/>
      <c r="P2392" s="41"/>
      <c r="Q2392" s="42"/>
      <c r="R2392" s="35"/>
      <c r="S2392" s="35"/>
      <c r="T2392" s="35"/>
      <c r="U2392" s="35"/>
      <c r="V2392" s="121"/>
      <c r="W2392" s="42"/>
      <c r="X2392" s="42"/>
      <c r="Y2392" s="42"/>
      <c r="Z2392" s="42"/>
      <c r="AA2392" s="42"/>
      <c r="AB2392" s="42"/>
      <c r="AC2392" s="42"/>
      <c r="AD2392" s="42"/>
      <c r="AE2392" s="42"/>
      <c r="AF2392" s="42"/>
      <c r="AG2392" s="42"/>
      <c r="AH2392" s="42"/>
      <c r="AI2392" s="42"/>
      <c r="AJ2392" s="42"/>
      <c r="AK2392" s="42"/>
      <c r="AL2392" s="42"/>
      <c r="AM2392" s="42"/>
    </row>
    <row r="2393" spans="1:39" x14ac:dyDescent="0.25">
      <c r="A2393" s="35"/>
      <c r="B2393" s="42"/>
      <c r="C2393" s="42"/>
      <c r="D2393" s="42"/>
      <c r="E2393" s="41"/>
      <c r="F2393" s="41"/>
      <c r="G2393" s="41"/>
      <c r="H2393" s="41"/>
      <c r="I2393" s="41"/>
      <c r="J2393" s="42"/>
      <c r="K2393" s="41"/>
      <c r="L2393" s="41"/>
      <c r="M2393" s="127"/>
      <c r="N2393" s="41"/>
      <c r="O2393" s="41"/>
      <c r="P2393" s="41"/>
      <c r="Q2393" s="42"/>
      <c r="R2393" s="35"/>
      <c r="S2393" s="35"/>
      <c r="T2393" s="35"/>
      <c r="U2393" s="35"/>
      <c r="V2393" s="121"/>
      <c r="W2393" s="42"/>
      <c r="X2393" s="42"/>
      <c r="Y2393" s="42"/>
      <c r="Z2393" s="42"/>
      <c r="AA2393" s="42"/>
      <c r="AB2393" s="42"/>
      <c r="AC2393" s="42"/>
      <c r="AD2393" s="42"/>
      <c r="AE2393" s="42"/>
      <c r="AF2393" s="42"/>
      <c r="AG2393" s="42"/>
      <c r="AH2393" s="42"/>
      <c r="AI2393" s="42"/>
      <c r="AJ2393" s="42"/>
      <c r="AK2393" s="42"/>
      <c r="AL2393" s="42"/>
      <c r="AM2393" s="42"/>
    </row>
    <row r="2394" spans="1:39" x14ac:dyDescent="0.25">
      <c r="A2394" s="35"/>
      <c r="B2394" s="42"/>
      <c r="C2394" s="42"/>
      <c r="D2394" s="42"/>
      <c r="E2394" s="41"/>
      <c r="F2394" s="41"/>
      <c r="G2394" s="41"/>
      <c r="H2394" s="41"/>
      <c r="I2394" s="41"/>
      <c r="J2394" s="42"/>
      <c r="K2394" s="41"/>
      <c r="L2394" s="41"/>
      <c r="M2394" s="127"/>
      <c r="N2394" s="41"/>
      <c r="O2394" s="41"/>
      <c r="P2394" s="41"/>
      <c r="Q2394" s="42"/>
      <c r="R2394" s="35"/>
      <c r="S2394" s="35"/>
      <c r="T2394" s="35"/>
      <c r="U2394" s="35"/>
      <c r="V2394" s="121"/>
      <c r="W2394" s="42"/>
      <c r="X2394" s="42"/>
      <c r="Y2394" s="42"/>
      <c r="Z2394" s="42"/>
      <c r="AA2394" s="42"/>
      <c r="AB2394" s="42"/>
      <c r="AC2394" s="42"/>
      <c r="AD2394" s="42"/>
      <c r="AE2394" s="42"/>
      <c r="AF2394" s="42"/>
      <c r="AG2394" s="42"/>
      <c r="AH2394" s="42"/>
      <c r="AI2394" s="42"/>
      <c r="AJ2394" s="42"/>
      <c r="AK2394" s="42"/>
      <c r="AL2394" s="42"/>
      <c r="AM2394" s="42"/>
    </row>
    <row r="2395" spans="1:39" x14ac:dyDescent="0.25">
      <c r="A2395" s="35"/>
      <c r="B2395" s="42"/>
      <c r="C2395" s="42"/>
      <c r="D2395" s="42"/>
      <c r="E2395" s="41"/>
      <c r="F2395" s="41"/>
      <c r="G2395" s="41"/>
      <c r="H2395" s="41"/>
      <c r="I2395" s="41"/>
      <c r="J2395" s="42"/>
      <c r="K2395" s="41"/>
      <c r="L2395" s="41"/>
      <c r="M2395" s="127"/>
      <c r="N2395" s="41"/>
      <c r="O2395" s="41"/>
      <c r="P2395" s="41"/>
      <c r="Q2395" s="42"/>
      <c r="R2395" s="35"/>
      <c r="S2395" s="35"/>
      <c r="T2395" s="35"/>
      <c r="U2395" s="35"/>
      <c r="V2395" s="121"/>
      <c r="W2395" s="42"/>
      <c r="X2395" s="42"/>
      <c r="Y2395" s="42"/>
      <c r="Z2395" s="42"/>
      <c r="AA2395" s="42"/>
      <c r="AB2395" s="42"/>
      <c r="AC2395" s="42"/>
      <c r="AD2395" s="42"/>
      <c r="AE2395" s="42"/>
      <c r="AF2395" s="42"/>
      <c r="AG2395" s="42"/>
      <c r="AH2395" s="42"/>
      <c r="AI2395" s="42"/>
      <c r="AJ2395" s="42"/>
      <c r="AK2395" s="42"/>
      <c r="AL2395" s="42"/>
      <c r="AM2395" s="42"/>
    </row>
    <row r="2396" spans="1:39" x14ac:dyDescent="0.25">
      <c r="A2396" s="35"/>
      <c r="B2396" s="42"/>
      <c r="C2396" s="42"/>
      <c r="D2396" s="42"/>
      <c r="E2396" s="41"/>
      <c r="F2396" s="41"/>
      <c r="G2396" s="41"/>
      <c r="H2396" s="41"/>
      <c r="I2396" s="41"/>
      <c r="J2396" s="42"/>
      <c r="K2396" s="41"/>
      <c r="L2396" s="41"/>
      <c r="M2396" s="127"/>
      <c r="N2396" s="41"/>
      <c r="O2396" s="41"/>
      <c r="P2396" s="41"/>
      <c r="Q2396" s="42"/>
      <c r="R2396" s="35"/>
      <c r="S2396" s="35"/>
      <c r="T2396" s="35"/>
      <c r="U2396" s="35"/>
      <c r="V2396" s="121"/>
      <c r="W2396" s="42"/>
      <c r="X2396" s="42"/>
      <c r="Y2396" s="42"/>
      <c r="Z2396" s="42"/>
      <c r="AA2396" s="42"/>
      <c r="AB2396" s="42"/>
      <c r="AC2396" s="42"/>
      <c r="AD2396" s="42"/>
      <c r="AE2396" s="42"/>
      <c r="AF2396" s="42"/>
      <c r="AG2396" s="42"/>
      <c r="AH2396" s="42"/>
      <c r="AI2396" s="42"/>
      <c r="AJ2396" s="42"/>
      <c r="AK2396" s="42"/>
      <c r="AL2396" s="42"/>
      <c r="AM2396" s="42"/>
    </row>
    <row r="2397" spans="1:39" x14ac:dyDescent="0.25">
      <c r="A2397" s="35"/>
      <c r="B2397" s="42"/>
      <c r="C2397" s="42"/>
      <c r="D2397" s="42"/>
      <c r="E2397" s="41"/>
      <c r="F2397" s="41"/>
      <c r="G2397" s="41"/>
      <c r="H2397" s="41"/>
      <c r="I2397" s="41"/>
      <c r="J2397" s="42"/>
      <c r="K2397" s="41"/>
      <c r="L2397" s="41"/>
      <c r="M2397" s="127"/>
      <c r="N2397" s="41"/>
      <c r="O2397" s="41"/>
      <c r="P2397" s="41"/>
      <c r="Q2397" s="42"/>
      <c r="R2397" s="35"/>
      <c r="S2397" s="35"/>
      <c r="T2397" s="35"/>
      <c r="U2397" s="35"/>
      <c r="V2397" s="121"/>
      <c r="W2397" s="42"/>
      <c r="X2397" s="42"/>
      <c r="Y2397" s="42"/>
      <c r="Z2397" s="42"/>
      <c r="AA2397" s="42"/>
      <c r="AB2397" s="42"/>
      <c r="AC2397" s="42"/>
      <c r="AD2397" s="42"/>
      <c r="AE2397" s="42"/>
      <c r="AF2397" s="42"/>
      <c r="AG2397" s="42"/>
      <c r="AH2397" s="42"/>
      <c r="AI2397" s="42"/>
      <c r="AJ2397" s="42"/>
      <c r="AK2397" s="42"/>
      <c r="AL2397" s="42"/>
      <c r="AM2397" s="42"/>
    </row>
    <row r="2398" spans="1:39" x14ac:dyDescent="0.25">
      <c r="A2398" s="35"/>
      <c r="B2398" s="42"/>
      <c r="C2398" s="42"/>
      <c r="D2398" s="42"/>
      <c r="E2398" s="41"/>
      <c r="F2398" s="41"/>
      <c r="G2398" s="41"/>
      <c r="H2398" s="41"/>
      <c r="I2398" s="41"/>
      <c r="J2398" s="42"/>
      <c r="K2398" s="41"/>
      <c r="L2398" s="41"/>
      <c r="M2398" s="127"/>
      <c r="N2398" s="41"/>
      <c r="O2398" s="41"/>
      <c r="P2398" s="41"/>
      <c r="Q2398" s="42"/>
      <c r="R2398" s="35"/>
      <c r="S2398" s="35"/>
      <c r="T2398" s="35"/>
      <c r="U2398" s="35"/>
      <c r="V2398" s="121"/>
      <c r="W2398" s="42"/>
      <c r="X2398" s="42"/>
      <c r="Y2398" s="42"/>
      <c r="Z2398" s="42"/>
      <c r="AA2398" s="42"/>
      <c r="AB2398" s="42"/>
      <c r="AC2398" s="42"/>
      <c r="AD2398" s="42"/>
      <c r="AE2398" s="42"/>
      <c r="AF2398" s="42"/>
      <c r="AG2398" s="42"/>
      <c r="AH2398" s="42"/>
      <c r="AI2398" s="42"/>
      <c r="AJ2398" s="42"/>
      <c r="AK2398" s="42"/>
      <c r="AL2398" s="42"/>
      <c r="AM2398" s="42"/>
    </row>
    <row r="2399" spans="1:39" x14ac:dyDescent="0.25">
      <c r="A2399" s="35"/>
      <c r="B2399" s="42"/>
      <c r="C2399" s="42"/>
      <c r="D2399" s="42"/>
      <c r="E2399" s="41"/>
      <c r="F2399" s="41"/>
      <c r="G2399" s="41"/>
      <c r="H2399" s="41"/>
      <c r="I2399" s="41"/>
      <c r="J2399" s="42"/>
      <c r="K2399" s="41"/>
      <c r="L2399" s="41"/>
      <c r="M2399" s="127"/>
      <c r="N2399" s="41"/>
      <c r="O2399" s="41"/>
      <c r="P2399" s="41"/>
      <c r="Q2399" s="42"/>
      <c r="R2399" s="35"/>
      <c r="S2399" s="35"/>
      <c r="T2399" s="35"/>
      <c r="U2399" s="35"/>
      <c r="V2399" s="121"/>
      <c r="W2399" s="42"/>
      <c r="X2399" s="42"/>
      <c r="Y2399" s="42"/>
      <c r="Z2399" s="42"/>
      <c r="AA2399" s="42"/>
      <c r="AB2399" s="42"/>
      <c r="AC2399" s="42"/>
      <c r="AD2399" s="42"/>
      <c r="AE2399" s="42"/>
      <c r="AF2399" s="42"/>
      <c r="AG2399" s="42"/>
      <c r="AH2399" s="42"/>
      <c r="AI2399" s="42"/>
      <c r="AJ2399" s="42"/>
      <c r="AK2399" s="42"/>
      <c r="AL2399" s="42"/>
      <c r="AM2399" s="42"/>
    </row>
    <row r="2400" spans="1:39" x14ac:dyDescent="0.25">
      <c r="A2400" s="35"/>
      <c r="B2400" s="42"/>
      <c r="C2400" s="42"/>
      <c r="D2400" s="42"/>
      <c r="E2400" s="41"/>
      <c r="F2400" s="41"/>
      <c r="G2400" s="41"/>
      <c r="H2400" s="41"/>
      <c r="I2400" s="41"/>
      <c r="J2400" s="42"/>
      <c r="K2400" s="41"/>
      <c r="L2400" s="41"/>
      <c r="M2400" s="127"/>
      <c r="N2400" s="41"/>
      <c r="O2400" s="41"/>
      <c r="P2400" s="41"/>
      <c r="Q2400" s="42"/>
      <c r="R2400" s="35"/>
      <c r="S2400" s="35"/>
      <c r="T2400" s="35"/>
      <c r="U2400" s="35"/>
      <c r="V2400" s="121"/>
      <c r="W2400" s="42"/>
      <c r="X2400" s="42"/>
      <c r="Y2400" s="42"/>
      <c r="Z2400" s="42"/>
      <c r="AA2400" s="42"/>
      <c r="AB2400" s="42"/>
      <c r="AC2400" s="42"/>
      <c r="AD2400" s="42"/>
      <c r="AE2400" s="42"/>
      <c r="AF2400" s="42"/>
      <c r="AG2400" s="42"/>
      <c r="AH2400" s="42"/>
      <c r="AI2400" s="42"/>
      <c r="AJ2400" s="42"/>
      <c r="AK2400" s="42"/>
      <c r="AL2400" s="42"/>
      <c r="AM2400" s="42"/>
    </row>
    <row r="2401" spans="1:39" x14ac:dyDescent="0.25">
      <c r="A2401" s="35"/>
      <c r="B2401" s="42"/>
      <c r="C2401" s="42"/>
      <c r="D2401" s="42"/>
      <c r="E2401" s="41"/>
      <c r="F2401" s="41"/>
      <c r="G2401" s="41"/>
      <c r="H2401" s="41"/>
      <c r="I2401" s="41"/>
      <c r="J2401" s="42"/>
      <c r="K2401" s="41"/>
      <c r="L2401" s="41"/>
      <c r="M2401" s="127"/>
      <c r="N2401" s="41"/>
      <c r="O2401" s="41"/>
      <c r="P2401" s="41"/>
      <c r="Q2401" s="42"/>
      <c r="R2401" s="35"/>
      <c r="S2401" s="35"/>
      <c r="T2401" s="35"/>
      <c r="U2401" s="35"/>
      <c r="V2401" s="121"/>
      <c r="W2401" s="42"/>
      <c r="X2401" s="42"/>
      <c r="Y2401" s="42"/>
      <c r="Z2401" s="42"/>
      <c r="AA2401" s="42"/>
      <c r="AB2401" s="42"/>
      <c r="AC2401" s="42"/>
      <c r="AD2401" s="42"/>
      <c r="AE2401" s="42"/>
      <c r="AF2401" s="42"/>
      <c r="AG2401" s="42"/>
      <c r="AH2401" s="42"/>
      <c r="AI2401" s="42"/>
      <c r="AJ2401" s="42"/>
      <c r="AK2401" s="42"/>
      <c r="AL2401" s="42"/>
      <c r="AM2401" s="42"/>
    </row>
    <row r="2402" spans="1:39" x14ac:dyDescent="0.25">
      <c r="A2402" s="35"/>
      <c r="B2402" s="42"/>
      <c r="C2402" s="42"/>
      <c r="D2402" s="42"/>
      <c r="E2402" s="41"/>
      <c r="F2402" s="41"/>
      <c r="G2402" s="41"/>
      <c r="H2402" s="41"/>
      <c r="I2402" s="41"/>
      <c r="J2402" s="42"/>
      <c r="K2402" s="41"/>
      <c r="L2402" s="41"/>
      <c r="M2402" s="127"/>
      <c r="N2402" s="41"/>
      <c r="O2402" s="41"/>
      <c r="P2402" s="41"/>
      <c r="Q2402" s="42"/>
      <c r="R2402" s="35"/>
      <c r="S2402" s="35"/>
      <c r="T2402" s="35"/>
      <c r="U2402" s="35"/>
      <c r="V2402" s="121"/>
      <c r="W2402" s="42"/>
      <c r="X2402" s="42"/>
      <c r="Y2402" s="42"/>
      <c r="Z2402" s="42"/>
      <c r="AA2402" s="42"/>
      <c r="AB2402" s="42"/>
      <c r="AC2402" s="42"/>
      <c r="AD2402" s="42"/>
      <c r="AE2402" s="42"/>
      <c r="AF2402" s="42"/>
      <c r="AG2402" s="42"/>
      <c r="AH2402" s="42"/>
      <c r="AI2402" s="42"/>
      <c r="AJ2402" s="42"/>
      <c r="AK2402" s="42"/>
      <c r="AL2402" s="42"/>
      <c r="AM2402" s="42"/>
    </row>
    <row r="2403" spans="1:39" x14ac:dyDescent="0.25">
      <c r="A2403" s="35"/>
      <c r="B2403" s="42"/>
      <c r="C2403" s="42"/>
      <c r="D2403" s="42"/>
      <c r="E2403" s="41"/>
      <c r="F2403" s="41"/>
      <c r="G2403" s="41"/>
      <c r="H2403" s="41"/>
      <c r="I2403" s="41"/>
      <c r="J2403" s="42"/>
      <c r="K2403" s="41"/>
      <c r="L2403" s="41"/>
      <c r="M2403" s="127"/>
      <c r="N2403" s="41"/>
      <c r="O2403" s="41"/>
      <c r="P2403" s="41"/>
      <c r="Q2403" s="42"/>
      <c r="R2403" s="35"/>
      <c r="S2403" s="35"/>
      <c r="T2403" s="35"/>
      <c r="U2403" s="35"/>
      <c r="V2403" s="121"/>
      <c r="W2403" s="42"/>
      <c r="X2403" s="42"/>
      <c r="Y2403" s="42"/>
      <c r="Z2403" s="42"/>
      <c r="AA2403" s="42"/>
      <c r="AB2403" s="42"/>
      <c r="AC2403" s="42"/>
      <c r="AD2403" s="42"/>
      <c r="AE2403" s="42"/>
      <c r="AF2403" s="42"/>
      <c r="AG2403" s="42"/>
      <c r="AH2403" s="42"/>
      <c r="AI2403" s="42"/>
      <c r="AJ2403" s="42"/>
      <c r="AK2403" s="42"/>
      <c r="AL2403" s="42"/>
      <c r="AM2403" s="42"/>
    </row>
    <row r="2404" spans="1:39" x14ac:dyDescent="0.25">
      <c r="A2404" s="35"/>
      <c r="B2404" s="42"/>
      <c r="C2404" s="42"/>
      <c r="D2404" s="42"/>
      <c r="E2404" s="41"/>
      <c r="F2404" s="41"/>
      <c r="G2404" s="41"/>
      <c r="H2404" s="41"/>
      <c r="I2404" s="41"/>
      <c r="J2404" s="42"/>
      <c r="K2404" s="41"/>
      <c r="L2404" s="41"/>
      <c r="M2404" s="127"/>
      <c r="N2404" s="41"/>
      <c r="O2404" s="41"/>
      <c r="P2404" s="41"/>
      <c r="Q2404" s="42"/>
      <c r="R2404" s="35"/>
      <c r="S2404" s="35"/>
      <c r="T2404" s="35"/>
      <c r="U2404" s="35"/>
      <c r="V2404" s="121"/>
      <c r="W2404" s="42"/>
      <c r="X2404" s="42"/>
      <c r="Y2404" s="42"/>
      <c r="Z2404" s="42"/>
      <c r="AA2404" s="42"/>
      <c r="AB2404" s="42"/>
      <c r="AC2404" s="42"/>
      <c r="AD2404" s="42"/>
      <c r="AE2404" s="42"/>
      <c r="AF2404" s="42"/>
      <c r="AG2404" s="42"/>
      <c r="AH2404" s="42"/>
      <c r="AI2404" s="42"/>
      <c r="AJ2404" s="42"/>
      <c r="AK2404" s="42"/>
      <c r="AL2404" s="42"/>
      <c r="AM2404" s="42"/>
    </row>
    <row r="2405" spans="1:39" x14ac:dyDescent="0.25">
      <c r="A2405" s="35"/>
      <c r="B2405" s="42"/>
      <c r="C2405" s="42"/>
      <c r="D2405" s="42"/>
      <c r="E2405" s="41"/>
      <c r="F2405" s="41"/>
      <c r="G2405" s="41"/>
      <c r="H2405" s="41"/>
      <c r="I2405" s="41"/>
      <c r="J2405" s="42"/>
      <c r="K2405" s="41"/>
      <c r="L2405" s="41"/>
      <c r="M2405" s="127"/>
      <c r="N2405" s="41"/>
      <c r="O2405" s="41"/>
      <c r="P2405" s="41"/>
      <c r="Q2405" s="42"/>
      <c r="R2405" s="35"/>
      <c r="S2405" s="35"/>
      <c r="T2405" s="35"/>
      <c r="U2405" s="35"/>
      <c r="V2405" s="121"/>
      <c r="W2405" s="42"/>
      <c r="X2405" s="42"/>
      <c r="Y2405" s="42"/>
      <c r="Z2405" s="42"/>
      <c r="AA2405" s="42"/>
      <c r="AB2405" s="42"/>
      <c r="AC2405" s="42"/>
      <c r="AD2405" s="42"/>
      <c r="AE2405" s="42"/>
      <c r="AF2405" s="42"/>
      <c r="AG2405" s="42"/>
      <c r="AH2405" s="42"/>
      <c r="AI2405" s="42"/>
      <c r="AJ2405" s="42"/>
      <c r="AK2405" s="42"/>
      <c r="AL2405" s="42"/>
      <c r="AM2405" s="42"/>
    </row>
    <row r="2406" spans="1:39" x14ac:dyDescent="0.25">
      <c r="A2406" s="35"/>
      <c r="B2406" s="42"/>
      <c r="C2406" s="42"/>
      <c r="D2406" s="42"/>
      <c r="E2406" s="41"/>
      <c r="F2406" s="41"/>
      <c r="G2406" s="41"/>
      <c r="H2406" s="41"/>
      <c r="I2406" s="41"/>
      <c r="J2406" s="42"/>
      <c r="K2406" s="41"/>
      <c r="L2406" s="41"/>
      <c r="M2406" s="127"/>
      <c r="N2406" s="41"/>
      <c r="O2406" s="41"/>
      <c r="P2406" s="41"/>
      <c r="Q2406" s="42"/>
      <c r="R2406" s="35"/>
      <c r="S2406" s="35"/>
      <c r="T2406" s="35"/>
      <c r="U2406" s="35"/>
      <c r="V2406" s="121"/>
      <c r="W2406" s="42"/>
      <c r="X2406" s="42"/>
      <c r="Y2406" s="42"/>
      <c r="Z2406" s="42"/>
      <c r="AA2406" s="42"/>
      <c r="AB2406" s="42"/>
      <c r="AC2406" s="42"/>
      <c r="AD2406" s="42"/>
      <c r="AE2406" s="42"/>
      <c r="AF2406" s="42"/>
      <c r="AG2406" s="42"/>
      <c r="AH2406" s="42"/>
      <c r="AI2406" s="42"/>
      <c r="AJ2406" s="42"/>
      <c r="AK2406" s="42"/>
      <c r="AL2406" s="42"/>
      <c r="AM2406" s="42"/>
    </row>
    <row r="2407" spans="1:39" x14ac:dyDescent="0.25">
      <c r="A2407" s="35"/>
      <c r="B2407" s="42"/>
      <c r="C2407" s="42"/>
      <c r="D2407" s="42"/>
      <c r="E2407" s="41"/>
      <c r="F2407" s="41"/>
      <c r="G2407" s="41"/>
      <c r="H2407" s="41"/>
      <c r="I2407" s="41"/>
      <c r="J2407" s="42"/>
      <c r="K2407" s="41"/>
      <c r="L2407" s="41"/>
      <c r="M2407" s="127"/>
      <c r="N2407" s="41"/>
      <c r="O2407" s="41"/>
      <c r="P2407" s="41"/>
      <c r="Q2407" s="42"/>
      <c r="R2407" s="35"/>
      <c r="S2407" s="35"/>
      <c r="T2407" s="35"/>
      <c r="U2407" s="35"/>
      <c r="V2407" s="121"/>
      <c r="W2407" s="42"/>
      <c r="X2407" s="42"/>
      <c r="Y2407" s="42"/>
      <c r="Z2407" s="42"/>
      <c r="AA2407" s="42"/>
      <c r="AB2407" s="42"/>
      <c r="AC2407" s="42"/>
      <c r="AD2407" s="42"/>
      <c r="AE2407" s="42"/>
      <c r="AF2407" s="42"/>
      <c r="AG2407" s="42"/>
      <c r="AH2407" s="42"/>
      <c r="AI2407" s="42"/>
      <c r="AJ2407" s="42"/>
      <c r="AK2407" s="42"/>
      <c r="AL2407" s="42"/>
      <c r="AM2407" s="42"/>
    </row>
    <row r="2408" spans="1:39" x14ac:dyDescent="0.25">
      <c r="A2408" s="35"/>
      <c r="B2408" s="42"/>
      <c r="C2408" s="42"/>
      <c r="D2408" s="42"/>
      <c r="E2408" s="41"/>
      <c r="F2408" s="41"/>
      <c r="G2408" s="41"/>
      <c r="H2408" s="41"/>
      <c r="I2408" s="41"/>
      <c r="J2408" s="42"/>
      <c r="K2408" s="41"/>
      <c r="L2408" s="41"/>
      <c r="M2408" s="127"/>
      <c r="N2408" s="41"/>
      <c r="O2408" s="41"/>
      <c r="P2408" s="41"/>
      <c r="Q2408" s="42"/>
      <c r="R2408" s="35"/>
      <c r="S2408" s="35"/>
      <c r="T2408" s="35"/>
      <c r="U2408" s="35"/>
      <c r="V2408" s="121"/>
      <c r="W2408" s="42"/>
      <c r="X2408" s="42"/>
      <c r="Y2408" s="42"/>
      <c r="Z2408" s="42"/>
      <c r="AA2408" s="42"/>
      <c r="AB2408" s="42"/>
      <c r="AC2408" s="42"/>
      <c r="AD2408" s="42"/>
      <c r="AE2408" s="42"/>
      <c r="AF2408" s="42"/>
      <c r="AG2408" s="42"/>
      <c r="AH2408" s="42"/>
      <c r="AI2408" s="42"/>
      <c r="AJ2408" s="42"/>
      <c r="AK2408" s="42"/>
      <c r="AL2408" s="42"/>
      <c r="AM2408" s="42"/>
    </row>
    <row r="2409" spans="1:39" x14ac:dyDescent="0.25">
      <c r="A2409" s="35"/>
      <c r="B2409" s="42"/>
      <c r="C2409" s="42"/>
      <c r="D2409" s="42"/>
      <c r="E2409" s="41"/>
      <c r="F2409" s="41"/>
      <c r="G2409" s="41"/>
      <c r="H2409" s="41"/>
      <c r="I2409" s="41"/>
      <c r="J2409" s="42"/>
      <c r="K2409" s="41"/>
      <c r="L2409" s="41"/>
      <c r="M2409" s="127"/>
      <c r="N2409" s="41"/>
      <c r="O2409" s="41"/>
      <c r="P2409" s="41"/>
      <c r="Q2409" s="42"/>
      <c r="R2409" s="35"/>
      <c r="S2409" s="35"/>
      <c r="T2409" s="35"/>
      <c r="U2409" s="35"/>
      <c r="V2409" s="121"/>
      <c r="W2409" s="42"/>
      <c r="X2409" s="42"/>
      <c r="Y2409" s="42"/>
      <c r="Z2409" s="42"/>
      <c r="AA2409" s="42"/>
      <c r="AB2409" s="42"/>
      <c r="AC2409" s="42"/>
      <c r="AD2409" s="42"/>
      <c r="AE2409" s="42"/>
      <c r="AF2409" s="42"/>
      <c r="AG2409" s="42"/>
      <c r="AH2409" s="42"/>
      <c r="AI2409" s="42"/>
      <c r="AJ2409" s="42"/>
      <c r="AK2409" s="42"/>
      <c r="AL2409" s="42"/>
      <c r="AM2409" s="42"/>
    </row>
    <row r="2410" spans="1:39" x14ac:dyDescent="0.25">
      <c r="A2410" s="35"/>
      <c r="B2410" s="42"/>
      <c r="C2410" s="42"/>
      <c r="D2410" s="42"/>
      <c r="E2410" s="41"/>
      <c r="F2410" s="41"/>
      <c r="G2410" s="41"/>
      <c r="H2410" s="41"/>
      <c r="I2410" s="41"/>
      <c r="J2410" s="42"/>
      <c r="K2410" s="41"/>
      <c r="L2410" s="41"/>
      <c r="M2410" s="127"/>
      <c r="N2410" s="41"/>
      <c r="O2410" s="41"/>
      <c r="P2410" s="41"/>
      <c r="Q2410" s="42"/>
      <c r="R2410" s="35"/>
      <c r="S2410" s="35"/>
      <c r="T2410" s="35"/>
      <c r="U2410" s="35"/>
      <c r="V2410" s="121"/>
      <c r="W2410" s="42"/>
      <c r="X2410" s="42"/>
      <c r="Y2410" s="42"/>
      <c r="Z2410" s="42"/>
      <c r="AA2410" s="42"/>
      <c r="AB2410" s="42"/>
      <c r="AC2410" s="42"/>
      <c r="AD2410" s="42"/>
      <c r="AE2410" s="42"/>
      <c r="AF2410" s="42"/>
      <c r="AG2410" s="42"/>
      <c r="AH2410" s="42"/>
      <c r="AI2410" s="42"/>
      <c r="AJ2410" s="42"/>
      <c r="AK2410" s="42"/>
      <c r="AL2410" s="42"/>
      <c r="AM2410" s="42"/>
    </row>
    <row r="2411" spans="1:39" x14ac:dyDescent="0.25">
      <c r="A2411" s="35"/>
      <c r="B2411" s="42"/>
      <c r="C2411" s="42"/>
      <c r="D2411" s="42"/>
      <c r="E2411" s="41"/>
      <c r="F2411" s="41"/>
      <c r="G2411" s="41"/>
      <c r="H2411" s="41"/>
      <c r="I2411" s="41"/>
      <c r="J2411" s="42"/>
      <c r="K2411" s="41"/>
      <c r="L2411" s="41"/>
      <c r="M2411" s="127"/>
      <c r="N2411" s="41"/>
      <c r="O2411" s="41"/>
      <c r="P2411" s="41"/>
      <c r="Q2411" s="42"/>
      <c r="R2411" s="35"/>
      <c r="S2411" s="35"/>
      <c r="T2411" s="35"/>
      <c r="U2411" s="35"/>
      <c r="V2411" s="121"/>
      <c r="W2411" s="42"/>
      <c r="X2411" s="42"/>
      <c r="Y2411" s="42"/>
      <c r="Z2411" s="42"/>
      <c r="AA2411" s="42"/>
      <c r="AB2411" s="42"/>
      <c r="AC2411" s="42"/>
      <c r="AD2411" s="42"/>
      <c r="AE2411" s="42"/>
      <c r="AF2411" s="42"/>
      <c r="AG2411" s="42"/>
      <c r="AH2411" s="42"/>
      <c r="AI2411" s="42"/>
      <c r="AJ2411" s="42"/>
      <c r="AK2411" s="42"/>
      <c r="AL2411" s="42"/>
      <c r="AM2411" s="42"/>
    </row>
    <row r="2412" spans="1:39" x14ac:dyDescent="0.25">
      <c r="A2412" s="35"/>
      <c r="B2412" s="42"/>
      <c r="C2412" s="42"/>
      <c r="D2412" s="42"/>
      <c r="E2412" s="41"/>
      <c r="F2412" s="41"/>
      <c r="G2412" s="41"/>
      <c r="H2412" s="41"/>
      <c r="I2412" s="41"/>
      <c r="J2412" s="42"/>
      <c r="K2412" s="41"/>
      <c r="L2412" s="41"/>
      <c r="M2412" s="127"/>
      <c r="N2412" s="41"/>
      <c r="O2412" s="41"/>
      <c r="P2412" s="41"/>
      <c r="Q2412" s="42"/>
      <c r="R2412" s="35"/>
      <c r="S2412" s="35"/>
      <c r="T2412" s="35"/>
      <c r="U2412" s="35"/>
      <c r="V2412" s="121"/>
      <c r="W2412" s="42"/>
      <c r="X2412" s="42"/>
      <c r="Y2412" s="42"/>
      <c r="Z2412" s="42"/>
      <c r="AA2412" s="42"/>
      <c r="AB2412" s="42"/>
      <c r="AC2412" s="42"/>
      <c r="AD2412" s="42"/>
      <c r="AE2412" s="42"/>
      <c r="AF2412" s="42"/>
      <c r="AG2412" s="42"/>
      <c r="AH2412" s="42"/>
      <c r="AI2412" s="42"/>
      <c r="AJ2412" s="42"/>
      <c r="AK2412" s="42"/>
      <c r="AL2412" s="42"/>
      <c r="AM2412" s="42"/>
    </row>
    <row r="2413" spans="1:39" x14ac:dyDescent="0.25">
      <c r="A2413" s="35"/>
      <c r="B2413" s="42"/>
      <c r="C2413" s="42"/>
      <c r="D2413" s="42"/>
      <c r="E2413" s="41"/>
      <c r="F2413" s="41"/>
      <c r="G2413" s="41"/>
      <c r="H2413" s="41"/>
      <c r="I2413" s="41"/>
      <c r="J2413" s="42"/>
      <c r="K2413" s="41"/>
      <c r="L2413" s="41"/>
      <c r="M2413" s="127"/>
      <c r="N2413" s="41"/>
      <c r="O2413" s="41"/>
      <c r="P2413" s="41"/>
      <c r="Q2413" s="42"/>
      <c r="R2413" s="35"/>
      <c r="S2413" s="35"/>
      <c r="T2413" s="35"/>
      <c r="U2413" s="35"/>
      <c r="V2413" s="121"/>
      <c r="W2413" s="42"/>
      <c r="X2413" s="42"/>
      <c r="Y2413" s="42"/>
      <c r="Z2413" s="42"/>
      <c r="AA2413" s="42"/>
      <c r="AB2413" s="42"/>
      <c r="AC2413" s="42"/>
      <c r="AD2413" s="42"/>
      <c r="AE2413" s="42"/>
      <c r="AF2413" s="42"/>
      <c r="AG2413" s="42"/>
      <c r="AH2413" s="42"/>
      <c r="AI2413" s="42"/>
      <c r="AJ2413" s="42"/>
      <c r="AK2413" s="42"/>
      <c r="AL2413" s="42"/>
      <c r="AM2413" s="42"/>
    </row>
    <row r="2414" spans="1:39" x14ac:dyDescent="0.25">
      <c r="A2414" s="35"/>
      <c r="B2414" s="42"/>
      <c r="C2414" s="42"/>
      <c r="D2414" s="42"/>
      <c r="E2414" s="41"/>
      <c r="F2414" s="41"/>
      <c r="G2414" s="41"/>
      <c r="H2414" s="41"/>
      <c r="I2414" s="41"/>
      <c r="J2414" s="42"/>
      <c r="K2414" s="41"/>
      <c r="L2414" s="41"/>
      <c r="M2414" s="127"/>
      <c r="N2414" s="41"/>
      <c r="O2414" s="41"/>
      <c r="P2414" s="41"/>
      <c r="Q2414" s="42"/>
      <c r="R2414" s="35"/>
      <c r="S2414" s="35"/>
      <c r="T2414" s="35"/>
      <c r="U2414" s="35"/>
      <c r="V2414" s="121"/>
      <c r="W2414" s="42"/>
      <c r="X2414" s="42"/>
      <c r="Y2414" s="42"/>
      <c r="Z2414" s="42"/>
      <c r="AA2414" s="42"/>
      <c r="AB2414" s="42"/>
      <c r="AC2414" s="42"/>
      <c r="AD2414" s="42"/>
      <c r="AE2414" s="42"/>
      <c r="AF2414" s="42"/>
      <c r="AG2414" s="42"/>
      <c r="AH2414" s="42"/>
      <c r="AI2414" s="42"/>
      <c r="AJ2414" s="42"/>
      <c r="AK2414" s="42"/>
      <c r="AL2414" s="42"/>
      <c r="AM2414" s="42"/>
    </row>
    <row r="2415" spans="1:39" x14ac:dyDescent="0.25">
      <c r="A2415" s="35"/>
      <c r="B2415" s="42"/>
      <c r="C2415" s="42"/>
      <c r="D2415" s="42"/>
      <c r="E2415" s="41"/>
      <c r="F2415" s="41"/>
      <c r="G2415" s="41"/>
      <c r="H2415" s="41"/>
      <c r="I2415" s="41"/>
      <c r="J2415" s="42"/>
      <c r="K2415" s="41"/>
      <c r="L2415" s="41"/>
      <c r="M2415" s="127"/>
      <c r="N2415" s="41"/>
      <c r="O2415" s="41"/>
      <c r="P2415" s="41"/>
      <c r="Q2415" s="42"/>
      <c r="R2415" s="35"/>
      <c r="S2415" s="35"/>
      <c r="T2415" s="35"/>
      <c r="U2415" s="35"/>
      <c r="V2415" s="121"/>
      <c r="W2415" s="42"/>
      <c r="X2415" s="42"/>
      <c r="Y2415" s="42"/>
      <c r="Z2415" s="42"/>
      <c r="AA2415" s="42"/>
      <c r="AB2415" s="42"/>
      <c r="AC2415" s="42"/>
      <c r="AD2415" s="42"/>
      <c r="AE2415" s="42"/>
      <c r="AF2415" s="42"/>
      <c r="AG2415" s="42"/>
      <c r="AH2415" s="42"/>
      <c r="AI2415" s="42"/>
      <c r="AJ2415" s="42"/>
      <c r="AK2415" s="42"/>
      <c r="AL2415" s="42"/>
      <c r="AM2415" s="42"/>
    </row>
    <row r="2416" spans="1:39" x14ac:dyDescent="0.25">
      <c r="A2416" s="35"/>
      <c r="B2416" s="42"/>
      <c r="C2416" s="42"/>
      <c r="D2416" s="42"/>
      <c r="E2416" s="41"/>
      <c r="F2416" s="41"/>
      <c r="G2416" s="41"/>
      <c r="H2416" s="41"/>
      <c r="I2416" s="41"/>
      <c r="J2416" s="42"/>
      <c r="K2416" s="41"/>
      <c r="L2416" s="41"/>
      <c r="M2416" s="127"/>
      <c r="N2416" s="41"/>
      <c r="O2416" s="41"/>
      <c r="P2416" s="41"/>
      <c r="Q2416" s="42"/>
      <c r="R2416" s="35"/>
      <c r="S2416" s="35"/>
      <c r="T2416" s="35"/>
      <c r="U2416" s="35"/>
      <c r="V2416" s="121"/>
      <c r="W2416" s="42"/>
      <c r="X2416" s="42"/>
      <c r="Y2416" s="42"/>
      <c r="Z2416" s="42"/>
      <c r="AA2416" s="42"/>
      <c r="AB2416" s="42"/>
      <c r="AC2416" s="42"/>
      <c r="AD2416" s="42"/>
      <c r="AE2416" s="42"/>
      <c r="AF2416" s="42"/>
      <c r="AG2416" s="42"/>
      <c r="AH2416" s="42"/>
      <c r="AI2416" s="42"/>
      <c r="AJ2416" s="42"/>
      <c r="AK2416" s="42"/>
      <c r="AL2416" s="42"/>
      <c r="AM2416" s="42"/>
    </row>
    <row r="2417" spans="1:39" x14ac:dyDescent="0.25">
      <c r="A2417" s="35"/>
      <c r="B2417" s="42"/>
      <c r="C2417" s="42"/>
      <c r="D2417" s="42"/>
      <c r="E2417" s="41"/>
      <c r="F2417" s="41"/>
      <c r="G2417" s="41"/>
      <c r="H2417" s="41"/>
      <c r="I2417" s="41"/>
      <c r="J2417" s="42"/>
      <c r="K2417" s="41"/>
      <c r="L2417" s="41"/>
      <c r="M2417" s="127"/>
      <c r="N2417" s="41"/>
      <c r="O2417" s="41"/>
      <c r="P2417" s="41"/>
      <c r="Q2417" s="42"/>
      <c r="R2417" s="35"/>
      <c r="S2417" s="35"/>
      <c r="T2417" s="35"/>
      <c r="U2417" s="35"/>
      <c r="V2417" s="121"/>
      <c r="W2417" s="42"/>
      <c r="X2417" s="42"/>
      <c r="Y2417" s="42"/>
      <c r="Z2417" s="42"/>
      <c r="AA2417" s="42"/>
      <c r="AB2417" s="42"/>
      <c r="AC2417" s="42"/>
      <c r="AD2417" s="42"/>
      <c r="AE2417" s="42"/>
      <c r="AF2417" s="42"/>
      <c r="AG2417" s="42"/>
      <c r="AH2417" s="42"/>
      <c r="AI2417" s="42"/>
      <c r="AJ2417" s="42"/>
      <c r="AK2417" s="42"/>
      <c r="AL2417" s="42"/>
      <c r="AM2417" s="42"/>
    </row>
    <row r="2418" spans="1:39" x14ac:dyDescent="0.25">
      <c r="A2418" s="35"/>
      <c r="B2418" s="42"/>
      <c r="C2418" s="42"/>
      <c r="D2418" s="42"/>
      <c r="E2418" s="41"/>
      <c r="F2418" s="41"/>
      <c r="G2418" s="41"/>
      <c r="H2418" s="41"/>
      <c r="I2418" s="41"/>
      <c r="J2418" s="42"/>
      <c r="K2418" s="41"/>
      <c r="L2418" s="41"/>
      <c r="M2418" s="127"/>
      <c r="N2418" s="41"/>
      <c r="O2418" s="41"/>
      <c r="P2418" s="41"/>
      <c r="Q2418" s="42"/>
      <c r="R2418" s="35"/>
      <c r="S2418" s="35"/>
      <c r="T2418" s="35"/>
      <c r="U2418" s="35"/>
      <c r="V2418" s="121"/>
      <c r="W2418" s="42"/>
      <c r="X2418" s="42"/>
      <c r="Y2418" s="42"/>
      <c r="Z2418" s="42"/>
      <c r="AA2418" s="42"/>
      <c r="AB2418" s="42"/>
      <c r="AC2418" s="42"/>
      <c r="AD2418" s="42"/>
      <c r="AE2418" s="42"/>
      <c r="AF2418" s="42"/>
      <c r="AG2418" s="42"/>
      <c r="AH2418" s="42"/>
      <c r="AI2418" s="42"/>
      <c r="AJ2418" s="42"/>
      <c r="AK2418" s="42"/>
      <c r="AL2418" s="42"/>
      <c r="AM2418" s="42"/>
    </row>
    <row r="2419" spans="1:39" x14ac:dyDescent="0.25">
      <c r="A2419" s="35"/>
      <c r="B2419" s="42"/>
      <c r="C2419" s="42"/>
      <c r="D2419" s="42"/>
      <c r="E2419" s="41"/>
      <c r="F2419" s="41"/>
      <c r="G2419" s="41"/>
      <c r="H2419" s="41"/>
      <c r="I2419" s="41"/>
      <c r="J2419" s="42"/>
      <c r="K2419" s="41"/>
      <c r="L2419" s="41"/>
      <c r="M2419" s="127"/>
      <c r="N2419" s="41"/>
      <c r="O2419" s="41"/>
      <c r="P2419" s="41"/>
      <c r="Q2419" s="42"/>
      <c r="R2419" s="35"/>
      <c r="S2419" s="35"/>
      <c r="T2419" s="35"/>
      <c r="U2419" s="35"/>
      <c r="V2419" s="121"/>
      <c r="W2419" s="42"/>
      <c r="X2419" s="42"/>
      <c r="Y2419" s="42"/>
      <c r="Z2419" s="42"/>
      <c r="AA2419" s="42"/>
      <c r="AB2419" s="42"/>
      <c r="AC2419" s="42"/>
      <c r="AD2419" s="42"/>
      <c r="AE2419" s="42"/>
      <c r="AF2419" s="42"/>
      <c r="AG2419" s="42"/>
      <c r="AH2419" s="42"/>
      <c r="AI2419" s="42"/>
      <c r="AJ2419" s="42"/>
      <c r="AK2419" s="42"/>
      <c r="AL2419" s="42"/>
      <c r="AM2419" s="42"/>
    </row>
    <row r="2420" spans="1:39" x14ac:dyDescent="0.25">
      <c r="A2420" s="35"/>
      <c r="B2420" s="42"/>
      <c r="C2420" s="42"/>
      <c r="D2420" s="42"/>
      <c r="E2420" s="41"/>
      <c r="F2420" s="41"/>
      <c r="G2420" s="41"/>
      <c r="H2420" s="41"/>
      <c r="I2420" s="41"/>
      <c r="J2420" s="42"/>
      <c r="K2420" s="41"/>
      <c r="L2420" s="41"/>
      <c r="M2420" s="127"/>
      <c r="N2420" s="41"/>
      <c r="O2420" s="41"/>
      <c r="P2420" s="41"/>
      <c r="Q2420" s="42"/>
      <c r="R2420" s="35"/>
      <c r="S2420" s="35"/>
      <c r="T2420" s="35"/>
      <c r="U2420" s="35"/>
      <c r="V2420" s="121"/>
      <c r="W2420" s="42"/>
      <c r="X2420" s="42"/>
      <c r="Y2420" s="42"/>
      <c r="Z2420" s="42"/>
      <c r="AA2420" s="42"/>
      <c r="AB2420" s="42"/>
      <c r="AC2420" s="42"/>
      <c r="AD2420" s="42"/>
      <c r="AE2420" s="42"/>
      <c r="AF2420" s="42"/>
      <c r="AG2420" s="42"/>
      <c r="AH2420" s="42"/>
      <c r="AI2420" s="42"/>
      <c r="AJ2420" s="42"/>
      <c r="AK2420" s="42"/>
      <c r="AL2420" s="42"/>
      <c r="AM2420" s="42"/>
    </row>
    <row r="2421" spans="1:39" x14ac:dyDescent="0.25">
      <c r="A2421" s="35"/>
      <c r="B2421" s="42"/>
      <c r="C2421" s="42"/>
      <c r="D2421" s="42"/>
      <c r="E2421" s="41"/>
      <c r="F2421" s="41"/>
      <c r="G2421" s="41"/>
      <c r="H2421" s="41"/>
      <c r="I2421" s="41"/>
      <c r="J2421" s="42"/>
      <c r="K2421" s="41"/>
      <c r="L2421" s="41"/>
      <c r="M2421" s="127"/>
      <c r="N2421" s="41"/>
      <c r="O2421" s="41"/>
      <c r="P2421" s="41"/>
      <c r="Q2421" s="42"/>
      <c r="R2421" s="35"/>
      <c r="S2421" s="35"/>
      <c r="T2421" s="35"/>
      <c r="U2421" s="35"/>
      <c r="V2421" s="121"/>
      <c r="W2421" s="42"/>
      <c r="X2421" s="42"/>
      <c r="Y2421" s="42"/>
      <c r="Z2421" s="42"/>
      <c r="AA2421" s="42"/>
      <c r="AB2421" s="42"/>
      <c r="AC2421" s="42"/>
      <c r="AD2421" s="42"/>
      <c r="AE2421" s="42"/>
      <c r="AF2421" s="42"/>
      <c r="AG2421" s="42"/>
      <c r="AH2421" s="42"/>
      <c r="AI2421" s="42"/>
      <c r="AJ2421" s="42"/>
      <c r="AK2421" s="42"/>
      <c r="AL2421" s="42"/>
      <c r="AM2421" s="42"/>
    </row>
    <row r="2422" spans="1:39" x14ac:dyDescent="0.25">
      <c r="A2422" s="35"/>
      <c r="B2422" s="42"/>
      <c r="C2422" s="42"/>
      <c r="D2422" s="42"/>
      <c r="E2422" s="41"/>
      <c r="F2422" s="41"/>
      <c r="G2422" s="41"/>
      <c r="H2422" s="41"/>
      <c r="I2422" s="41"/>
      <c r="J2422" s="42"/>
      <c r="K2422" s="41"/>
      <c r="L2422" s="41"/>
      <c r="M2422" s="127"/>
      <c r="N2422" s="41"/>
      <c r="O2422" s="41"/>
      <c r="P2422" s="41"/>
      <c r="Q2422" s="42"/>
      <c r="R2422" s="35"/>
      <c r="S2422" s="35"/>
      <c r="T2422" s="35"/>
      <c r="U2422" s="35"/>
      <c r="V2422" s="121"/>
      <c r="W2422" s="42"/>
      <c r="X2422" s="42"/>
      <c r="Y2422" s="42"/>
      <c r="Z2422" s="42"/>
      <c r="AA2422" s="42"/>
      <c r="AB2422" s="42"/>
      <c r="AC2422" s="42"/>
      <c r="AD2422" s="42"/>
      <c r="AE2422" s="42"/>
      <c r="AF2422" s="42"/>
      <c r="AG2422" s="42"/>
      <c r="AH2422" s="42"/>
      <c r="AI2422" s="42"/>
      <c r="AJ2422" s="42"/>
      <c r="AK2422" s="42"/>
      <c r="AL2422" s="42"/>
      <c r="AM2422" s="42"/>
    </row>
    <row r="2423" spans="1:39" x14ac:dyDescent="0.25">
      <c r="A2423" s="35"/>
      <c r="B2423" s="42"/>
      <c r="C2423" s="42"/>
      <c r="D2423" s="42"/>
      <c r="E2423" s="41"/>
      <c r="F2423" s="41"/>
      <c r="G2423" s="41"/>
      <c r="H2423" s="41"/>
      <c r="I2423" s="41"/>
      <c r="J2423" s="42"/>
      <c r="K2423" s="41"/>
      <c r="L2423" s="41"/>
      <c r="M2423" s="127"/>
      <c r="N2423" s="41"/>
      <c r="O2423" s="41"/>
      <c r="P2423" s="41"/>
      <c r="Q2423" s="42"/>
      <c r="R2423" s="35"/>
      <c r="S2423" s="35"/>
      <c r="T2423" s="35"/>
      <c r="U2423" s="35"/>
      <c r="V2423" s="121"/>
      <c r="W2423" s="42"/>
      <c r="X2423" s="42"/>
      <c r="Y2423" s="42"/>
      <c r="Z2423" s="42"/>
      <c r="AA2423" s="42"/>
      <c r="AB2423" s="42"/>
      <c r="AC2423" s="42"/>
      <c r="AD2423" s="42"/>
      <c r="AE2423" s="42"/>
      <c r="AF2423" s="42"/>
      <c r="AG2423" s="42"/>
      <c r="AH2423" s="42"/>
      <c r="AI2423" s="42"/>
      <c r="AJ2423" s="42"/>
      <c r="AK2423" s="42"/>
      <c r="AL2423" s="42"/>
      <c r="AM2423" s="42"/>
    </row>
    <row r="2424" spans="1:39" x14ac:dyDescent="0.25">
      <c r="A2424" s="35"/>
      <c r="B2424" s="42"/>
      <c r="C2424" s="42"/>
      <c r="D2424" s="42"/>
      <c r="E2424" s="41"/>
      <c r="F2424" s="41"/>
      <c r="G2424" s="41"/>
      <c r="H2424" s="41"/>
      <c r="I2424" s="41"/>
      <c r="J2424" s="42"/>
      <c r="K2424" s="41"/>
      <c r="L2424" s="41"/>
      <c r="M2424" s="127"/>
      <c r="N2424" s="41"/>
      <c r="O2424" s="41"/>
      <c r="P2424" s="41"/>
      <c r="Q2424" s="42"/>
      <c r="R2424" s="35"/>
      <c r="S2424" s="35"/>
      <c r="T2424" s="35"/>
      <c r="U2424" s="35"/>
      <c r="V2424" s="121"/>
      <c r="W2424" s="42"/>
      <c r="X2424" s="42"/>
      <c r="Y2424" s="42"/>
      <c r="Z2424" s="42"/>
      <c r="AA2424" s="42"/>
      <c r="AB2424" s="42"/>
      <c r="AC2424" s="42"/>
      <c r="AD2424" s="42"/>
      <c r="AE2424" s="42"/>
      <c r="AF2424" s="42"/>
      <c r="AG2424" s="42"/>
      <c r="AH2424" s="42"/>
      <c r="AI2424" s="42"/>
      <c r="AJ2424" s="42"/>
      <c r="AK2424" s="42"/>
      <c r="AL2424" s="42"/>
      <c r="AM2424" s="42"/>
    </row>
    <row r="2425" spans="1:39" x14ac:dyDescent="0.25">
      <c r="A2425" s="35"/>
      <c r="B2425" s="42"/>
      <c r="C2425" s="42"/>
      <c r="D2425" s="42"/>
      <c r="E2425" s="41"/>
      <c r="F2425" s="41"/>
      <c r="G2425" s="41"/>
      <c r="H2425" s="41"/>
      <c r="I2425" s="41"/>
      <c r="J2425" s="42"/>
      <c r="K2425" s="41"/>
      <c r="L2425" s="41"/>
      <c r="M2425" s="127"/>
      <c r="N2425" s="41"/>
      <c r="O2425" s="41"/>
      <c r="P2425" s="41"/>
      <c r="Q2425" s="42"/>
      <c r="R2425" s="35"/>
      <c r="S2425" s="35"/>
      <c r="T2425" s="35"/>
      <c r="U2425" s="35"/>
      <c r="V2425" s="121"/>
      <c r="W2425" s="42"/>
      <c r="X2425" s="42"/>
      <c r="Y2425" s="42"/>
      <c r="Z2425" s="42"/>
      <c r="AA2425" s="42"/>
      <c r="AB2425" s="42"/>
      <c r="AC2425" s="42"/>
      <c r="AD2425" s="42"/>
      <c r="AE2425" s="42"/>
      <c r="AF2425" s="42"/>
      <c r="AG2425" s="42"/>
      <c r="AH2425" s="42"/>
      <c r="AI2425" s="42"/>
      <c r="AJ2425" s="42"/>
      <c r="AK2425" s="42"/>
      <c r="AL2425" s="42"/>
      <c r="AM2425" s="42"/>
    </row>
    <row r="2426" spans="1:39" x14ac:dyDescent="0.25">
      <c r="A2426" s="35"/>
      <c r="B2426" s="42"/>
      <c r="C2426" s="42"/>
      <c r="D2426" s="42"/>
      <c r="E2426" s="41"/>
      <c r="F2426" s="41"/>
      <c r="G2426" s="41"/>
      <c r="H2426" s="41"/>
      <c r="I2426" s="41"/>
      <c r="J2426" s="42"/>
      <c r="K2426" s="41"/>
      <c r="L2426" s="41"/>
      <c r="M2426" s="127"/>
      <c r="N2426" s="41"/>
      <c r="O2426" s="41"/>
      <c r="P2426" s="41"/>
      <c r="Q2426" s="42"/>
      <c r="R2426" s="35"/>
      <c r="S2426" s="35"/>
      <c r="T2426" s="35"/>
      <c r="U2426" s="35"/>
      <c r="V2426" s="121"/>
      <c r="W2426" s="42"/>
      <c r="X2426" s="42"/>
      <c r="Y2426" s="42"/>
      <c r="Z2426" s="42"/>
      <c r="AA2426" s="42"/>
      <c r="AB2426" s="42"/>
      <c r="AC2426" s="42"/>
      <c r="AD2426" s="42"/>
      <c r="AE2426" s="42"/>
      <c r="AF2426" s="42"/>
      <c r="AG2426" s="42"/>
      <c r="AH2426" s="42"/>
      <c r="AI2426" s="42"/>
      <c r="AJ2426" s="42"/>
      <c r="AK2426" s="42"/>
      <c r="AL2426" s="42"/>
      <c r="AM2426" s="42"/>
    </row>
    <row r="2427" spans="1:39" x14ac:dyDescent="0.25">
      <c r="A2427" s="35"/>
      <c r="B2427" s="42"/>
      <c r="C2427" s="42"/>
      <c r="D2427" s="42"/>
      <c r="E2427" s="41"/>
      <c r="F2427" s="41"/>
      <c r="G2427" s="41"/>
      <c r="H2427" s="41"/>
      <c r="I2427" s="41"/>
      <c r="J2427" s="42"/>
      <c r="K2427" s="41"/>
      <c r="L2427" s="41"/>
      <c r="M2427" s="127"/>
      <c r="N2427" s="41"/>
      <c r="O2427" s="41"/>
      <c r="P2427" s="41"/>
      <c r="Q2427" s="42"/>
      <c r="R2427" s="35"/>
      <c r="S2427" s="35"/>
      <c r="T2427" s="35"/>
      <c r="U2427" s="35"/>
      <c r="V2427" s="121"/>
      <c r="W2427" s="42"/>
      <c r="X2427" s="42"/>
      <c r="Y2427" s="42"/>
      <c r="Z2427" s="42"/>
      <c r="AA2427" s="42"/>
      <c r="AB2427" s="42"/>
      <c r="AC2427" s="42"/>
      <c r="AD2427" s="42"/>
      <c r="AE2427" s="42"/>
      <c r="AF2427" s="42"/>
      <c r="AG2427" s="42"/>
      <c r="AH2427" s="42"/>
      <c r="AI2427" s="42"/>
      <c r="AJ2427" s="42"/>
      <c r="AK2427" s="42"/>
      <c r="AL2427" s="42"/>
      <c r="AM2427" s="42"/>
    </row>
    <row r="2428" spans="1:39" x14ac:dyDescent="0.25">
      <c r="A2428" s="35"/>
      <c r="B2428" s="42"/>
      <c r="C2428" s="42"/>
      <c r="D2428" s="42"/>
      <c r="E2428" s="41"/>
      <c r="F2428" s="41"/>
      <c r="G2428" s="41"/>
      <c r="H2428" s="41"/>
      <c r="I2428" s="41"/>
      <c r="J2428" s="42"/>
      <c r="K2428" s="41"/>
      <c r="L2428" s="41"/>
      <c r="M2428" s="127"/>
      <c r="N2428" s="41"/>
      <c r="O2428" s="41"/>
      <c r="P2428" s="41"/>
      <c r="Q2428" s="42"/>
      <c r="R2428" s="35"/>
      <c r="S2428" s="35"/>
      <c r="T2428" s="35"/>
      <c r="U2428" s="35"/>
      <c r="V2428" s="121"/>
      <c r="W2428" s="42"/>
      <c r="X2428" s="42"/>
      <c r="Y2428" s="42"/>
      <c r="Z2428" s="42"/>
      <c r="AA2428" s="42"/>
      <c r="AB2428" s="42"/>
      <c r="AC2428" s="42"/>
      <c r="AD2428" s="42"/>
      <c r="AE2428" s="42"/>
      <c r="AF2428" s="42"/>
      <c r="AG2428" s="42"/>
      <c r="AH2428" s="42"/>
      <c r="AI2428" s="42"/>
      <c r="AJ2428" s="42"/>
      <c r="AK2428" s="42"/>
      <c r="AL2428" s="42"/>
      <c r="AM2428" s="42"/>
    </row>
    <row r="2429" spans="1:39" x14ac:dyDescent="0.25">
      <c r="A2429" s="35"/>
      <c r="B2429" s="42"/>
      <c r="C2429" s="42"/>
      <c r="D2429" s="42"/>
      <c r="E2429" s="41"/>
      <c r="F2429" s="41"/>
      <c r="G2429" s="41"/>
      <c r="H2429" s="41"/>
      <c r="I2429" s="41"/>
      <c r="J2429" s="42"/>
      <c r="K2429" s="41"/>
      <c r="L2429" s="41"/>
      <c r="M2429" s="127"/>
      <c r="N2429" s="41"/>
      <c r="O2429" s="41"/>
      <c r="P2429" s="41"/>
      <c r="Q2429" s="42"/>
      <c r="R2429" s="35"/>
      <c r="S2429" s="35"/>
      <c r="T2429" s="35"/>
      <c r="U2429" s="35"/>
      <c r="V2429" s="121"/>
      <c r="W2429" s="42"/>
      <c r="X2429" s="42"/>
      <c r="Y2429" s="42"/>
      <c r="Z2429" s="42"/>
      <c r="AA2429" s="42"/>
      <c r="AB2429" s="42"/>
      <c r="AC2429" s="42"/>
      <c r="AD2429" s="42"/>
      <c r="AE2429" s="42"/>
      <c r="AF2429" s="42"/>
      <c r="AG2429" s="42"/>
      <c r="AH2429" s="42"/>
      <c r="AI2429" s="42"/>
      <c r="AJ2429" s="42"/>
      <c r="AK2429" s="42"/>
      <c r="AL2429" s="42"/>
      <c r="AM2429" s="42"/>
    </row>
    <row r="2430" spans="1:39" x14ac:dyDescent="0.25">
      <c r="A2430" s="35"/>
      <c r="B2430" s="42"/>
      <c r="C2430" s="42"/>
      <c r="D2430" s="42"/>
      <c r="E2430" s="41"/>
      <c r="F2430" s="41"/>
      <c r="G2430" s="41"/>
      <c r="H2430" s="41"/>
      <c r="I2430" s="41"/>
      <c r="J2430" s="42"/>
      <c r="K2430" s="41"/>
      <c r="L2430" s="41"/>
      <c r="M2430" s="127"/>
      <c r="N2430" s="41"/>
      <c r="O2430" s="41"/>
      <c r="P2430" s="41"/>
      <c r="Q2430" s="42"/>
      <c r="R2430" s="35"/>
      <c r="S2430" s="35"/>
      <c r="T2430" s="35"/>
      <c r="U2430" s="35"/>
      <c r="V2430" s="121"/>
      <c r="W2430" s="42"/>
      <c r="X2430" s="42"/>
      <c r="Y2430" s="42"/>
      <c r="Z2430" s="42"/>
      <c r="AA2430" s="42"/>
      <c r="AB2430" s="42"/>
      <c r="AC2430" s="42"/>
      <c r="AD2430" s="42"/>
      <c r="AE2430" s="42"/>
      <c r="AF2430" s="42"/>
      <c r="AG2430" s="42"/>
      <c r="AH2430" s="42"/>
      <c r="AI2430" s="42"/>
      <c r="AJ2430" s="42"/>
      <c r="AK2430" s="42"/>
      <c r="AL2430" s="42"/>
      <c r="AM2430" s="42"/>
    </row>
    <row r="2431" spans="1:39" x14ac:dyDescent="0.25">
      <c r="A2431" s="35"/>
      <c r="B2431" s="42"/>
      <c r="C2431" s="42"/>
      <c r="D2431" s="42"/>
      <c r="E2431" s="41"/>
      <c r="F2431" s="41"/>
      <c r="G2431" s="41"/>
      <c r="H2431" s="41"/>
      <c r="I2431" s="41"/>
      <c r="J2431" s="42"/>
      <c r="K2431" s="41"/>
      <c r="L2431" s="41"/>
      <c r="M2431" s="127"/>
      <c r="N2431" s="41"/>
      <c r="O2431" s="41"/>
      <c r="P2431" s="41"/>
      <c r="Q2431" s="42"/>
      <c r="R2431" s="35"/>
      <c r="S2431" s="35"/>
      <c r="T2431" s="35"/>
      <c r="U2431" s="35"/>
      <c r="V2431" s="121"/>
      <c r="W2431" s="42"/>
      <c r="X2431" s="42"/>
      <c r="Y2431" s="42"/>
      <c r="Z2431" s="42"/>
      <c r="AA2431" s="42"/>
      <c r="AB2431" s="42"/>
      <c r="AC2431" s="42"/>
      <c r="AD2431" s="42"/>
      <c r="AE2431" s="42"/>
      <c r="AF2431" s="42"/>
      <c r="AG2431" s="42"/>
      <c r="AH2431" s="42"/>
      <c r="AI2431" s="42"/>
      <c r="AJ2431" s="42"/>
      <c r="AK2431" s="42"/>
      <c r="AL2431" s="42"/>
      <c r="AM2431" s="42"/>
    </row>
    <row r="2432" spans="1:39" x14ac:dyDescent="0.25">
      <c r="A2432" s="35"/>
      <c r="B2432" s="42"/>
      <c r="C2432" s="42"/>
      <c r="D2432" s="42"/>
      <c r="E2432" s="41"/>
      <c r="F2432" s="41"/>
      <c r="G2432" s="41"/>
      <c r="H2432" s="41"/>
      <c r="I2432" s="41"/>
      <c r="J2432" s="42"/>
      <c r="K2432" s="41"/>
      <c r="L2432" s="41"/>
      <c r="M2432" s="127"/>
      <c r="N2432" s="41"/>
      <c r="O2432" s="41"/>
      <c r="P2432" s="41"/>
      <c r="Q2432" s="42"/>
      <c r="R2432" s="35"/>
      <c r="S2432" s="35"/>
      <c r="T2432" s="35"/>
      <c r="U2432" s="35"/>
      <c r="V2432" s="121"/>
      <c r="W2432" s="42"/>
      <c r="X2432" s="42"/>
      <c r="Y2432" s="42"/>
      <c r="Z2432" s="42"/>
      <c r="AA2432" s="42"/>
      <c r="AB2432" s="42"/>
      <c r="AC2432" s="42"/>
      <c r="AD2432" s="42"/>
      <c r="AE2432" s="42"/>
      <c r="AF2432" s="42"/>
      <c r="AG2432" s="42"/>
      <c r="AH2432" s="42"/>
      <c r="AI2432" s="42"/>
      <c r="AJ2432" s="42"/>
      <c r="AK2432" s="42"/>
      <c r="AL2432" s="42"/>
      <c r="AM2432" s="42"/>
    </row>
    <row r="2433" spans="1:39" x14ac:dyDescent="0.25">
      <c r="A2433" s="35"/>
      <c r="B2433" s="42"/>
      <c r="C2433" s="42"/>
      <c r="D2433" s="42"/>
      <c r="E2433" s="41"/>
      <c r="F2433" s="41"/>
      <c r="G2433" s="41"/>
      <c r="H2433" s="41"/>
      <c r="I2433" s="41"/>
      <c r="J2433" s="42"/>
      <c r="K2433" s="41"/>
      <c r="L2433" s="41"/>
      <c r="M2433" s="127"/>
      <c r="N2433" s="41"/>
      <c r="O2433" s="41"/>
      <c r="P2433" s="41"/>
      <c r="Q2433" s="42"/>
      <c r="R2433" s="35"/>
      <c r="S2433" s="35"/>
      <c r="T2433" s="35"/>
      <c r="U2433" s="35"/>
      <c r="V2433" s="121"/>
      <c r="W2433" s="42"/>
      <c r="X2433" s="42"/>
      <c r="Y2433" s="42"/>
      <c r="Z2433" s="42"/>
      <c r="AA2433" s="42"/>
      <c r="AB2433" s="42"/>
      <c r="AC2433" s="42"/>
      <c r="AD2433" s="42"/>
      <c r="AE2433" s="42"/>
      <c r="AF2433" s="42"/>
      <c r="AG2433" s="42"/>
      <c r="AH2433" s="42"/>
      <c r="AI2433" s="42"/>
      <c r="AJ2433" s="42"/>
      <c r="AK2433" s="42"/>
      <c r="AL2433" s="42"/>
      <c r="AM2433" s="42"/>
    </row>
    <row r="2434" spans="1:39" x14ac:dyDescent="0.25">
      <c r="A2434" s="35"/>
      <c r="B2434" s="42"/>
      <c r="C2434" s="42"/>
      <c r="D2434" s="42"/>
      <c r="E2434" s="41"/>
      <c r="F2434" s="41"/>
      <c r="G2434" s="41"/>
      <c r="H2434" s="41"/>
      <c r="I2434" s="41"/>
      <c r="J2434" s="42"/>
      <c r="K2434" s="41"/>
      <c r="L2434" s="41"/>
      <c r="M2434" s="127"/>
      <c r="N2434" s="41"/>
      <c r="O2434" s="41"/>
      <c r="P2434" s="41"/>
      <c r="Q2434" s="42"/>
      <c r="R2434" s="35"/>
      <c r="S2434" s="35"/>
      <c r="T2434" s="35"/>
      <c r="U2434" s="35"/>
      <c r="V2434" s="121"/>
      <c r="W2434" s="42"/>
      <c r="X2434" s="42"/>
      <c r="Y2434" s="42"/>
      <c r="Z2434" s="42"/>
      <c r="AA2434" s="42"/>
      <c r="AB2434" s="42"/>
      <c r="AC2434" s="42"/>
      <c r="AD2434" s="42"/>
      <c r="AE2434" s="42"/>
      <c r="AF2434" s="42"/>
      <c r="AG2434" s="42"/>
      <c r="AH2434" s="42"/>
      <c r="AI2434" s="42"/>
      <c r="AJ2434" s="42"/>
      <c r="AK2434" s="42"/>
      <c r="AL2434" s="42"/>
      <c r="AM2434" s="42"/>
    </row>
    <row r="2435" spans="1:39" x14ac:dyDescent="0.25">
      <c r="A2435" s="35"/>
      <c r="B2435" s="42"/>
      <c r="C2435" s="42"/>
      <c r="D2435" s="42"/>
      <c r="E2435" s="41"/>
      <c r="F2435" s="41"/>
      <c r="G2435" s="41"/>
      <c r="H2435" s="41"/>
      <c r="I2435" s="41"/>
      <c r="J2435" s="42"/>
      <c r="K2435" s="41"/>
      <c r="L2435" s="41"/>
      <c r="M2435" s="127"/>
      <c r="N2435" s="41"/>
      <c r="O2435" s="41"/>
      <c r="P2435" s="41"/>
      <c r="Q2435" s="42"/>
      <c r="R2435" s="35"/>
      <c r="S2435" s="35"/>
      <c r="T2435" s="35"/>
      <c r="U2435" s="35"/>
      <c r="V2435" s="121"/>
      <c r="W2435" s="42"/>
      <c r="X2435" s="42"/>
      <c r="Y2435" s="42"/>
      <c r="Z2435" s="42"/>
      <c r="AA2435" s="42"/>
      <c r="AB2435" s="42"/>
      <c r="AC2435" s="42"/>
      <c r="AD2435" s="42"/>
      <c r="AE2435" s="42"/>
      <c r="AF2435" s="42"/>
      <c r="AG2435" s="42"/>
      <c r="AH2435" s="42"/>
      <c r="AI2435" s="42"/>
      <c r="AJ2435" s="42"/>
      <c r="AK2435" s="42"/>
      <c r="AL2435" s="42"/>
      <c r="AM2435" s="42"/>
    </row>
    <row r="2436" spans="1:39" x14ac:dyDescent="0.25">
      <c r="A2436" s="35"/>
      <c r="B2436" s="42"/>
      <c r="C2436" s="42"/>
      <c r="D2436" s="42"/>
      <c r="E2436" s="41"/>
      <c r="F2436" s="41"/>
      <c r="G2436" s="41"/>
      <c r="H2436" s="41"/>
      <c r="I2436" s="41"/>
      <c r="J2436" s="42"/>
      <c r="K2436" s="41"/>
      <c r="L2436" s="41"/>
      <c r="M2436" s="127"/>
      <c r="N2436" s="41"/>
      <c r="O2436" s="41"/>
      <c r="P2436" s="41"/>
      <c r="Q2436" s="42"/>
      <c r="R2436" s="35"/>
      <c r="S2436" s="35"/>
      <c r="T2436" s="35"/>
      <c r="U2436" s="35"/>
      <c r="V2436" s="121"/>
      <c r="W2436" s="42"/>
      <c r="X2436" s="42"/>
      <c r="Y2436" s="42"/>
      <c r="Z2436" s="42"/>
      <c r="AA2436" s="42"/>
      <c r="AB2436" s="42"/>
      <c r="AC2436" s="42"/>
      <c r="AD2436" s="42"/>
      <c r="AE2436" s="42"/>
      <c r="AF2436" s="42"/>
      <c r="AG2436" s="42"/>
      <c r="AH2436" s="42"/>
      <c r="AI2436" s="42"/>
      <c r="AJ2436" s="42"/>
      <c r="AK2436" s="42"/>
      <c r="AL2436" s="42"/>
      <c r="AM2436" s="42"/>
    </row>
    <row r="2437" spans="1:39" x14ac:dyDescent="0.25">
      <c r="A2437" s="35"/>
      <c r="B2437" s="42"/>
      <c r="C2437" s="42"/>
      <c r="D2437" s="42"/>
      <c r="E2437" s="41"/>
      <c r="F2437" s="41"/>
      <c r="G2437" s="41"/>
      <c r="H2437" s="41"/>
      <c r="I2437" s="41"/>
      <c r="J2437" s="42"/>
      <c r="K2437" s="41"/>
      <c r="L2437" s="41"/>
      <c r="M2437" s="127"/>
      <c r="N2437" s="41"/>
      <c r="O2437" s="41"/>
      <c r="P2437" s="41"/>
      <c r="Q2437" s="42"/>
      <c r="R2437" s="35"/>
      <c r="S2437" s="35"/>
      <c r="T2437" s="35"/>
      <c r="U2437" s="35"/>
      <c r="V2437" s="121"/>
      <c r="W2437" s="42"/>
      <c r="X2437" s="42"/>
      <c r="Y2437" s="42"/>
      <c r="Z2437" s="42"/>
      <c r="AA2437" s="42"/>
      <c r="AB2437" s="42"/>
      <c r="AC2437" s="42"/>
      <c r="AD2437" s="42"/>
      <c r="AE2437" s="42"/>
      <c r="AF2437" s="42"/>
      <c r="AG2437" s="42"/>
      <c r="AH2437" s="42"/>
      <c r="AI2437" s="42"/>
      <c r="AJ2437" s="42"/>
      <c r="AK2437" s="42"/>
      <c r="AL2437" s="42"/>
      <c r="AM2437" s="42"/>
    </row>
    <row r="2438" spans="1:39" x14ac:dyDescent="0.25">
      <c r="A2438" s="35"/>
      <c r="B2438" s="42"/>
      <c r="C2438" s="42"/>
      <c r="D2438" s="42"/>
      <c r="E2438" s="41"/>
      <c r="F2438" s="41"/>
      <c r="G2438" s="41"/>
      <c r="H2438" s="41"/>
      <c r="I2438" s="41"/>
      <c r="J2438" s="42"/>
      <c r="K2438" s="41"/>
      <c r="L2438" s="41"/>
      <c r="M2438" s="127"/>
      <c r="N2438" s="41"/>
      <c r="O2438" s="41"/>
      <c r="P2438" s="41"/>
      <c r="Q2438" s="42"/>
      <c r="R2438" s="35"/>
      <c r="S2438" s="35"/>
      <c r="T2438" s="35"/>
      <c r="U2438" s="35"/>
      <c r="V2438" s="121"/>
      <c r="W2438" s="42"/>
      <c r="X2438" s="42"/>
      <c r="Y2438" s="42"/>
      <c r="Z2438" s="42"/>
      <c r="AA2438" s="42"/>
      <c r="AB2438" s="42"/>
      <c r="AC2438" s="42"/>
      <c r="AD2438" s="42"/>
      <c r="AE2438" s="42"/>
      <c r="AF2438" s="42"/>
      <c r="AG2438" s="42"/>
      <c r="AH2438" s="42"/>
      <c r="AI2438" s="42"/>
      <c r="AJ2438" s="42"/>
      <c r="AK2438" s="42"/>
      <c r="AL2438" s="42"/>
      <c r="AM2438" s="42"/>
    </row>
    <row r="2439" spans="1:39" x14ac:dyDescent="0.25">
      <c r="A2439" s="35"/>
      <c r="B2439" s="42"/>
      <c r="C2439" s="42"/>
      <c r="D2439" s="42"/>
      <c r="E2439" s="41"/>
      <c r="F2439" s="41"/>
      <c r="G2439" s="41"/>
      <c r="H2439" s="41"/>
      <c r="I2439" s="41"/>
      <c r="J2439" s="42"/>
      <c r="K2439" s="41"/>
      <c r="L2439" s="41"/>
      <c r="M2439" s="127"/>
      <c r="N2439" s="41"/>
      <c r="O2439" s="41"/>
      <c r="P2439" s="41"/>
      <c r="Q2439" s="42"/>
      <c r="R2439" s="35"/>
      <c r="S2439" s="35"/>
      <c r="T2439" s="35"/>
      <c r="U2439" s="35"/>
      <c r="V2439" s="121"/>
      <c r="W2439" s="42"/>
      <c r="X2439" s="42"/>
      <c r="Y2439" s="42"/>
      <c r="Z2439" s="42"/>
      <c r="AA2439" s="42"/>
      <c r="AB2439" s="42"/>
      <c r="AC2439" s="42"/>
      <c r="AD2439" s="42"/>
      <c r="AE2439" s="42"/>
      <c r="AF2439" s="42"/>
      <c r="AG2439" s="42"/>
      <c r="AH2439" s="42"/>
      <c r="AI2439" s="42"/>
      <c r="AJ2439" s="42"/>
      <c r="AK2439" s="42"/>
      <c r="AL2439" s="42"/>
      <c r="AM2439" s="42"/>
    </row>
    <row r="2440" spans="1:39" x14ac:dyDescent="0.25">
      <c r="A2440" s="35"/>
      <c r="B2440" s="42"/>
      <c r="C2440" s="42"/>
      <c r="D2440" s="42"/>
      <c r="E2440" s="41"/>
      <c r="F2440" s="41"/>
      <c r="G2440" s="41"/>
      <c r="H2440" s="41"/>
      <c r="I2440" s="41"/>
      <c r="J2440" s="42"/>
      <c r="K2440" s="41"/>
      <c r="L2440" s="41"/>
      <c r="M2440" s="127"/>
      <c r="N2440" s="41"/>
      <c r="O2440" s="41"/>
      <c r="P2440" s="41"/>
      <c r="Q2440" s="42"/>
      <c r="R2440" s="35"/>
      <c r="S2440" s="35"/>
      <c r="T2440" s="35"/>
      <c r="U2440" s="35"/>
      <c r="V2440" s="121"/>
      <c r="W2440" s="42"/>
      <c r="X2440" s="42"/>
      <c r="Y2440" s="42"/>
      <c r="Z2440" s="42"/>
      <c r="AA2440" s="42"/>
      <c r="AB2440" s="42"/>
      <c r="AC2440" s="42"/>
      <c r="AD2440" s="42"/>
      <c r="AE2440" s="42"/>
      <c r="AF2440" s="42"/>
      <c r="AG2440" s="42"/>
      <c r="AH2440" s="42"/>
      <c r="AI2440" s="42"/>
      <c r="AJ2440" s="42"/>
      <c r="AK2440" s="42"/>
      <c r="AL2440" s="42"/>
      <c r="AM2440" s="42"/>
    </row>
    <row r="2441" spans="1:39" x14ac:dyDescent="0.25">
      <c r="A2441" s="35"/>
      <c r="B2441" s="42"/>
      <c r="C2441" s="42"/>
      <c r="D2441" s="42"/>
      <c r="E2441" s="41"/>
      <c r="F2441" s="41"/>
      <c r="G2441" s="41"/>
      <c r="H2441" s="41"/>
      <c r="I2441" s="41"/>
      <c r="J2441" s="42"/>
      <c r="K2441" s="41"/>
      <c r="L2441" s="41"/>
      <c r="M2441" s="127"/>
      <c r="N2441" s="41"/>
      <c r="O2441" s="41"/>
      <c r="P2441" s="41"/>
      <c r="Q2441" s="42"/>
      <c r="R2441" s="35"/>
      <c r="S2441" s="35"/>
      <c r="T2441" s="35"/>
      <c r="U2441" s="35"/>
      <c r="V2441" s="121"/>
      <c r="W2441" s="42"/>
      <c r="X2441" s="42"/>
      <c r="Y2441" s="42"/>
      <c r="Z2441" s="42"/>
      <c r="AA2441" s="42"/>
      <c r="AB2441" s="42"/>
      <c r="AC2441" s="42"/>
      <c r="AD2441" s="42"/>
      <c r="AE2441" s="42"/>
      <c r="AF2441" s="42"/>
      <c r="AG2441" s="42"/>
      <c r="AH2441" s="42"/>
      <c r="AI2441" s="42"/>
      <c r="AJ2441" s="42"/>
      <c r="AK2441" s="42"/>
      <c r="AL2441" s="42"/>
      <c r="AM2441" s="42"/>
    </row>
    <row r="2442" spans="1:39" x14ac:dyDescent="0.25">
      <c r="A2442" s="35"/>
      <c r="B2442" s="42"/>
      <c r="C2442" s="42"/>
      <c r="D2442" s="42"/>
      <c r="E2442" s="41"/>
      <c r="F2442" s="41"/>
      <c r="G2442" s="41"/>
      <c r="H2442" s="41"/>
      <c r="I2442" s="41"/>
      <c r="J2442" s="42"/>
      <c r="K2442" s="41"/>
      <c r="L2442" s="41"/>
      <c r="M2442" s="127"/>
      <c r="N2442" s="41"/>
      <c r="O2442" s="41"/>
      <c r="P2442" s="41"/>
      <c r="Q2442" s="42"/>
      <c r="R2442" s="35"/>
      <c r="S2442" s="35"/>
      <c r="T2442" s="35"/>
      <c r="U2442" s="35"/>
      <c r="V2442" s="121"/>
      <c r="W2442" s="42"/>
      <c r="X2442" s="42"/>
      <c r="Y2442" s="42"/>
      <c r="Z2442" s="42"/>
      <c r="AA2442" s="42"/>
      <c r="AB2442" s="42"/>
      <c r="AC2442" s="42"/>
      <c r="AD2442" s="42"/>
      <c r="AE2442" s="42"/>
      <c r="AF2442" s="42"/>
      <c r="AG2442" s="42"/>
      <c r="AH2442" s="42"/>
      <c r="AI2442" s="42"/>
      <c r="AJ2442" s="42"/>
      <c r="AK2442" s="42"/>
      <c r="AL2442" s="42"/>
      <c r="AM2442" s="42"/>
    </row>
    <row r="2443" spans="1:39" x14ac:dyDescent="0.25">
      <c r="A2443" s="35"/>
      <c r="B2443" s="42"/>
      <c r="C2443" s="42"/>
      <c r="D2443" s="42"/>
      <c r="E2443" s="41"/>
      <c r="F2443" s="41"/>
      <c r="G2443" s="41"/>
      <c r="H2443" s="41"/>
      <c r="I2443" s="41"/>
      <c r="J2443" s="42"/>
      <c r="K2443" s="41"/>
      <c r="L2443" s="41"/>
      <c r="M2443" s="127"/>
      <c r="N2443" s="41"/>
      <c r="O2443" s="41"/>
      <c r="P2443" s="41"/>
      <c r="Q2443" s="42"/>
      <c r="R2443" s="35"/>
      <c r="S2443" s="35"/>
      <c r="T2443" s="35"/>
      <c r="U2443" s="35"/>
      <c r="V2443" s="121"/>
      <c r="W2443" s="42"/>
      <c r="X2443" s="42"/>
      <c r="Y2443" s="42"/>
      <c r="Z2443" s="42"/>
      <c r="AA2443" s="42"/>
      <c r="AB2443" s="42"/>
      <c r="AC2443" s="42"/>
      <c r="AD2443" s="42"/>
      <c r="AE2443" s="42"/>
      <c r="AF2443" s="42"/>
      <c r="AG2443" s="42"/>
      <c r="AH2443" s="42"/>
      <c r="AI2443" s="42"/>
      <c r="AJ2443" s="42"/>
      <c r="AK2443" s="42"/>
      <c r="AL2443" s="42"/>
      <c r="AM2443" s="42"/>
    </row>
    <row r="2444" spans="1:39" x14ac:dyDescent="0.25">
      <c r="A2444" s="35"/>
      <c r="B2444" s="42"/>
      <c r="C2444" s="42"/>
      <c r="D2444" s="42"/>
      <c r="E2444" s="41"/>
      <c r="F2444" s="41"/>
      <c r="G2444" s="41"/>
      <c r="H2444" s="41"/>
      <c r="I2444" s="41"/>
      <c r="J2444" s="42"/>
      <c r="K2444" s="41"/>
      <c r="L2444" s="41"/>
      <c r="M2444" s="127"/>
      <c r="N2444" s="41"/>
      <c r="O2444" s="41"/>
      <c r="P2444" s="41"/>
      <c r="Q2444" s="42"/>
      <c r="R2444" s="35"/>
      <c r="S2444" s="35"/>
      <c r="T2444" s="35"/>
      <c r="U2444" s="35"/>
      <c r="V2444" s="121"/>
      <c r="W2444" s="42"/>
      <c r="X2444" s="42"/>
      <c r="Y2444" s="42"/>
      <c r="Z2444" s="42"/>
      <c r="AA2444" s="42"/>
      <c r="AB2444" s="42"/>
      <c r="AC2444" s="42"/>
      <c r="AD2444" s="42"/>
      <c r="AE2444" s="42"/>
      <c r="AF2444" s="42"/>
      <c r="AG2444" s="42"/>
      <c r="AH2444" s="42"/>
      <c r="AI2444" s="42"/>
      <c r="AJ2444" s="42"/>
      <c r="AK2444" s="42"/>
      <c r="AL2444" s="42"/>
      <c r="AM2444" s="42"/>
    </row>
    <row r="2445" spans="1:39" x14ac:dyDescent="0.25">
      <c r="A2445" s="35"/>
      <c r="B2445" s="42"/>
      <c r="C2445" s="42"/>
      <c r="D2445" s="42"/>
      <c r="E2445" s="41"/>
      <c r="F2445" s="41"/>
      <c r="G2445" s="41"/>
      <c r="H2445" s="41"/>
      <c r="I2445" s="41"/>
      <c r="J2445" s="42"/>
      <c r="K2445" s="41"/>
      <c r="L2445" s="41"/>
      <c r="M2445" s="127"/>
      <c r="N2445" s="41"/>
      <c r="O2445" s="41"/>
      <c r="P2445" s="41"/>
      <c r="Q2445" s="42"/>
      <c r="R2445" s="35"/>
      <c r="S2445" s="35"/>
      <c r="T2445" s="35"/>
      <c r="U2445" s="35"/>
      <c r="V2445" s="121"/>
      <c r="W2445" s="42"/>
      <c r="X2445" s="42"/>
      <c r="Y2445" s="42"/>
      <c r="Z2445" s="42"/>
      <c r="AA2445" s="42"/>
      <c r="AB2445" s="42"/>
      <c r="AC2445" s="42"/>
      <c r="AD2445" s="42"/>
      <c r="AE2445" s="42"/>
      <c r="AF2445" s="42"/>
      <c r="AG2445" s="42"/>
      <c r="AH2445" s="42"/>
      <c r="AI2445" s="42"/>
      <c r="AJ2445" s="42"/>
      <c r="AK2445" s="42"/>
      <c r="AL2445" s="42"/>
      <c r="AM2445" s="42"/>
    </row>
    <row r="2446" spans="1:39" x14ac:dyDescent="0.25">
      <c r="A2446" s="35"/>
      <c r="B2446" s="42"/>
      <c r="C2446" s="42"/>
      <c r="D2446" s="42"/>
      <c r="E2446" s="41"/>
      <c r="F2446" s="41"/>
      <c r="G2446" s="41"/>
      <c r="H2446" s="41"/>
      <c r="I2446" s="41"/>
      <c r="J2446" s="42"/>
      <c r="K2446" s="41"/>
      <c r="L2446" s="41"/>
      <c r="M2446" s="127"/>
      <c r="N2446" s="41"/>
      <c r="O2446" s="41"/>
      <c r="P2446" s="41"/>
      <c r="Q2446" s="42"/>
      <c r="R2446" s="35"/>
      <c r="S2446" s="35"/>
      <c r="T2446" s="35"/>
      <c r="U2446" s="35"/>
      <c r="V2446" s="121"/>
      <c r="W2446" s="42"/>
      <c r="X2446" s="42"/>
      <c r="Y2446" s="42"/>
      <c r="Z2446" s="42"/>
      <c r="AA2446" s="42"/>
      <c r="AB2446" s="42"/>
      <c r="AC2446" s="42"/>
      <c r="AD2446" s="42"/>
      <c r="AE2446" s="42"/>
      <c r="AF2446" s="42"/>
      <c r="AG2446" s="42"/>
      <c r="AH2446" s="42"/>
      <c r="AI2446" s="42"/>
      <c r="AJ2446" s="42"/>
      <c r="AK2446" s="42"/>
      <c r="AL2446" s="42"/>
      <c r="AM2446" s="42"/>
    </row>
    <row r="2447" spans="1:39" x14ac:dyDescent="0.25">
      <c r="A2447" s="35"/>
      <c r="B2447" s="42"/>
      <c r="C2447" s="42"/>
      <c r="D2447" s="42"/>
      <c r="E2447" s="41"/>
      <c r="F2447" s="41"/>
      <c r="G2447" s="41"/>
      <c r="H2447" s="41"/>
      <c r="I2447" s="41"/>
      <c r="J2447" s="42"/>
      <c r="K2447" s="41"/>
      <c r="L2447" s="41"/>
      <c r="M2447" s="127"/>
      <c r="N2447" s="41"/>
      <c r="O2447" s="41"/>
      <c r="P2447" s="41"/>
      <c r="Q2447" s="42"/>
      <c r="R2447" s="35"/>
      <c r="S2447" s="35"/>
      <c r="T2447" s="35"/>
      <c r="U2447" s="35"/>
      <c r="V2447" s="121"/>
      <c r="W2447" s="42"/>
      <c r="X2447" s="42"/>
      <c r="Y2447" s="42"/>
      <c r="Z2447" s="42"/>
      <c r="AA2447" s="42"/>
      <c r="AB2447" s="42"/>
      <c r="AC2447" s="42"/>
      <c r="AD2447" s="42"/>
      <c r="AE2447" s="42"/>
      <c r="AF2447" s="42"/>
      <c r="AG2447" s="42"/>
      <c r="AH2447" s="42"/>
      <c r="AI2447" s="42"/>
      <c r="AJ2447" s="42"/>
      <c r="AK2447" s="42"/>
      <c r="AL2447" s="42"/>
      <c r="AM2447" s="42"/>
    </row>
    <row r="2448" spans="1:39" x14ac:dyDescent="0.25">
      <c r="A2448" s="35"/>
      <c r="B2448" s="42"/>
      <c r="C2448" s="42"/>
      <c r="D2448" s="42"/>
      <c r="E2448" s="41"/>
      <c r="F2448" s="41"/>
      <c r="G2448" s="41"/>
      <c r="H2448" s="41"/>
      <c r="I2448" s="41"/>
      <c r="J2448" s="42"/>
      <c r="K2448" s="41"/>
      <c r="L2448" s="41"/>
      <c r="M2448" s="127"/>
      <c r="N2448" s="41"/>
      <c r="O2448" s="41"/>
      <c r="P2448" s="41"/>
      <c r="Q2448" s="42"/>
      <c r="R2448" s="35"/>
      <c r="S2448" s="35"/>
      <c r="T2448" s="35"/>
      <c r="U2448" s="35"/>
      <c r="V2448" s="121"/>
      <c r="W2448" s="42"/>
      <c r="X2448" s="42"/>
      <c r="Y2448" s="42"/>
      <c r="Z2448" s="42"/>
      <c r="AA2448" s="42"/>
      <c r="AB2448" s="42"/>
      <c r="AC2448" s="42"/>
      <c r="AD2448" s="42"/>
      <c r="AE2448" s="42"/>
      <c r="AF2448" s="42"/>
      <c r="AG2448" s="42"/>
      <c r="AH2448" s="42"/>
      <c r="AI2448" s="42"/>
      <c r="AJ2448" s="42"/>
      <c r="AK2448" s="42"/>
      <c r="AL2448" s="42"/>
      <c r="AM2448" s="42"/>
    </row>
    <row r="2449" spans="1:39" x14ac:dyDescent="0.25">
      <c r="A2449" s="35"/>
      <c r="B2449" s="42"/>
      <c r="C2449" s="42"/>
      <c r="D2449" s="42"/>
      <c r="E2449" s="41"/>
      <c r="F2449" s="41"/>
      <c r="G2449" s="41"/>
      <c r="H2449" s="41"/>
      <c r="I2449" s="41"/>
      <c r="J2449" s="42"/>
      <c r="K2449" s="41"/>
      <c r="L2449" s="41"/>
      <c r="M2449" s="127"/>
      <c r="N2449" s="41"/>
      <c r="O2449" s="41"/>
      <c r="P2449" s="41"/>
      <c r="Q2449" s="42"/>
      <c r="R2449" s="35"/>
      <c r="S2449" s="35"/>
      <c r="T2449" s="35"/>
      <c r="U2449" s="35"/>
      <c r="V2449" s="121"/>
      <c r="W2449" s="42"/>
      <c r="X2449" s="42"/>
      <c r="Y2449" s="42"/>
      <c r="Z2449" s="42"/>
      <c r="AA2449" s="42"/>
      <c r="AB2449" s="42"/>
      <c r="AC2449" s="42"/>
      <c r="AD2449" s="42"/>
      <c r="AE2449" s="42"/>
      <c r="AF2449" s="42"/>
      <c r="AG2449" s="42"/>
      <c r="AH2449" s="42"/>
      <c r="AI2449" s="42"/>
      <c r="AJ2449" s="42"/>
      <c r="AK2449" s="42"/>
      <c r="AL2449" s="42"/>
      <c r="AM2449" s="42"/>
    </row>
    <row r="2450" spans="1:39" x14ac:dyDescent="0.25">
      <c r="A2450" s="35"/>
      <c r="B2450" s="42"/>
      <c r="C2450" s="42"/>
      <c r="D2450" s="42"/>
      <c r="E2450" s="41"/>
      <c r="F2450" s="41"/>
      <c r="G2450" s="41"/>
      <c r="H2450" s="41"/>
      <c r="I2450" s="41"/>
      <c r="J2450" s="42"/>
      <c r="K2450" s="41"/>
      <c r="L2450" s="41"/>
      <c r="M2450" s="127"/>
      <c r="N2450" s="41"/>
      <c r="O2450" s="41"/>
      <c r="P2450" s="41"/>
      <c r="Q2450" s="42"/>
      <c r="R2450" s="35"/>
      <c r="S2450" s="35"/>
      <c r="T2450" s="35"/>
      <c r="U2450" s="35"/>
      <c r="V2450" s="121"/>
      <c r="W2450" s="42"/>
      <c r="X2450" s="42"/>
      <c r="Y2450" s="42"/>
      <c r="Z2450" s="42"/>
      <c r="AA2450" s="42"/>
      <c r="AB2450" s="42"/>
      <c r="AC2450" s="42"/>
      <c r="AD2450" s="42"/>
      <c r="AE2450" s="42"/>
      <c r="AF2450" s="42"/>
      <c r="AG2450" s="42"/>
      <c r="AH2450" s="42"/>
      <c r="AI2450" s="42"/>
      <c r="AJ2450" s="42"/>
      <c r="AK2450" s="42"/>
      <c r="AL2450" s="42"/>
      <c r="AM2450" s="42"/>
    </row>
    <row r="2451" spans="1:39" x14ac:dyDescent="0.25">
      <c r="A2451" s="35"/>
      <c r="B2451" s="42"/>
      <c r="C2451" s="42"/>
      <c r="D2451" s="42"/>
      <c r="E2451" s="41"/>
      <c r="F2451" s="41"/>
      <c r="G2451" s="41"/>
      <c r="H2451" s="41"/>
      <c r="I2451" s="41"/>
      <c r="J2451" s="42"/>
      <c r="K2451" s="41"/>
      <c r="L2451" s="41"/>
      <c r="M2451" s="127"/>
      <c r="N2451" s="41"/>
      <c r="O2451" s="41"/>
      <c r="P2451" s="41"/>
      <c r="Q2451" s="42"/>
      <c r="R2451" s="35"/>
      <c r="S2451" s="35"/>
      <c r="T2451" s="35"/>
      <c r="U2451" s="35"/>
      <c r="V2451" s="121"/>
      <c r="W2451" s="42"/>
      <c r="X2451" s="42"/>
      <c r="Y2451" s="42"/>
      <c r="Z2451" s="42"/>
      <c r="AA2451" s="42"/>
      <c r="AB2451" s="42"/>
      <c r="AC2451" s="42"/>
      <c r="AD2451" s="42"/>
      <c r="AE2451" s="42"/>
      <c r="AF2451" s="42"/>
      <c r="AG2451" s="42"/>
      <c r="AH2451" s="42"/>
      <c r="AI2451" s="42"/>
      <c r="AJ2451" s="42"/>
      <c r="AK2451" s="42"/>
      <c r="AL2451" s="42"/>
      <c r="AM2451" s="42"/>
    </row>
    <row r="2452" spans="1:39" x14ac:dyDescent="0.25">
      <c r="A2452" s="35"/>
      <c r="B2452" s="42"/>
      <c r="C2452" s="42"/>
      <c r="D2452" s="42"/>
      <c r="E2452" s="41"/>
      <c r="F2452" s="41"/>
      <c r="G2452" s="41"/>
      <c r="H2452" s="41"/>
      <c r="I2452" s="41"/>
      <c r="J2452" s="42"/>
      <c r="K2452" s="41"/>
      <c r="L2452" s="41"/>
      <c r="M2452" s="127"/>
      <c r="N2452" s="41"/>
      <c r="O2452" s="41"/>
      <c r="P2452" s="41"/>
      <c r="Q2452" s="42"/>
      <c r="R2452" s="35"/>
      <c r="S2452" s="35"/>
      <c r="T2452" s="35"/>
      <c r="U2452" s="35"/>
      <c r="V2452" s="121"/>
      <c r="W2452" s="42"/>
      <c r="X2452" s="42"/>
      <c r="Y2452" s="42"/>
      <c r="Z2452" s="42"/>
      <c r="AA2452" s="42"/>
      <c r="AB2452" s="42"/>
      <c r="AC2452" s="42"/>
      <c r="AD2452" s="42"/>
      <c r="AE2452" s="42"/>
      <c r="AF2452" s="42"/>
      <c r="AG2452" s="42"/>
      <c r="AH2452" s="42"/>
      <c r="AI2452" s="42"/>
      <c r="AJ2452" s="42"/>
      <c r="AK2452" s="42"/>
      <c r="AL2452" s="42"/>
      <c r="AM2452" s="42"/>
    </row>
    <row r="2453" spans="1:39" x14ac:dyDescent="0.25">
      <c r="A2453" s="35"/>
      <c r="B2453" s="42"/>
      <c r="C2453" s="42"/>
      <c r="D2453" s="42"/>
      <c r="E2453" s="41"/>
      <c r="F2453" s="41"/>
      <c r="G2453" s="41"/>
      <c r="H2453" s="41"/>
      <c r="I2453" s="41"/>
      <c r="J2453" s="42"/>
      <c r="K2453" s="41"/>
      <c r="L2453" s="41"/>
      <c r="M2453" s="127"/>
      <c r="N2453" s="41"/>
      <c r="O2453" s="41"/>
      <c r="P2453" s="41"/>
      <c r="Q2453" s="42"/>
      <c r="R2453" s="35"/>
      <c r="S2453" s="35"/>
      <c r="T2453" s="35"/>
      <c r="U2453" s="35"/>
      <c r="V2453" s="121"/>
      <c r="W2453" s="42"/>
      <c r="X2453" s="42"/>
      <c r="Y2453" s="42"/>
      <c r="Z2453" s="42"/>
      <c r="AA2453" s="42"/>
      <c r="AB2453" s="42"/>
      <c r="AC2453" s="42"/>
      <c r="AD2453" s="42"/>
      <c r="AE2453" s="42"/>
      <c r="AF2453" s="42"/>
      <c r="AG2453" s="42"/>
      <c r="AH2453" s="42"/>
      <c r="AI2453" s="42"/>
      <c r="AJ2453" s="42"/>
      <c r="AK2453" s="42"/>
      <c r="AL2453" s="42"/>
      <c r="AM2453" s="42"/>
    </row>
    <row r="2454" spans="1:39" x14ac:dyDescent="0.25">
      <c r="A2454" s="35"/>
      <c r="B2454" s="42"/>
      <c r="C2454" s="42"/>
      <c r="D2454" s="42"/>
      <c r="E2454" s="41"/>
      <c r="F2454" s="41"/>
      <c r="G2454" s="41"/>
      <c r="H2454" s="41"/>
      <c r="I2454" s="41"/>
      <c r="J2454" s="42"/>
      <c r="K2454" s="41"/>
      <c r="L2454" s="41"/>
      <c r="M2454" s="127"/>
      <c r="N2454" s="41"/>
      <c r="O2454" s="41"/>
      <c r="P2454" s="41"/>
      <c r="Q2454" s="42"/>
      <c r="R2454" s="35"/>
      <c r="S2454" s="35"/>
      <c r="T2454" s="35"/>
      <c r="U2454" s="35"/>
      <c r="V2454" s="121"/>
      <c r="W2454" s="42"/>
      <c r="X2454" s="42"/>
      <c r="Y2454" s="42"/>
      <c r="Z2454" s="42"/>
      <c r="AA2454" s="42"/>
      <c r="AB2454" s="42"/>
      <c r="AC2454" s="42"/>
      <c r="AD2454" s="42"/>
      <c r="AE2454" s="42"/>
      <c r="AF2454" s="42"/>
      <c r="AG2454" s="42"/>
      <c r="AH2454" s="42"/>
      <c r="AI2454" s="42"/>
      <c r="AJ2454" s="42"/>
      <c r="AK2454" s="42"/>
      <c r="AL2454" s="42"/>
      <c r="AM2454" s="42"/>
    </row>
    <row r="2455" spans="1:39" x14ac:dyDescent="0.25">
      <c r="A2455" s="35"/>
      <c r="B2455" s="42"/>
      <c r="C2455" s="42"/>
      <c r="D2455" s="42"/>
      <c r="E2455" s="41"/>
      <c r="F2455" s="41"/>
      <c r="G2455" s="41"/>
      <c r="H2455" s="41"/>
      <c r="I2455" s="41"/>
      <c r="J2455" s="42"/>
      <c r="K2455" s="41"/>
      <c r="L2455" s="41"/>
      <c r="M2455" s="127"/>
      <c r="N2455" s="41"/>
      <c r="O2455" s="41"/>
      <c r="P2455" s="41"/>
      <c r="Q2455" s="42"/>
      <c r="R2455" s="35"/>
      <c r="S2455" s="35"/>
      <c r="T2455" s="35"/>
      <c r="U2455" s="35"/>
      <c r="V2455" s="121"/>
      <c r="W2455" s="42"/>
      <c r="X2455" s="42"/>
      <c r="Y2455" s="42"/>
      <c r="Z2455" s="42"/>
      <c r="AA2455" s="42"/>
      <c r="AB2455" s="42"/>
      <c r="AC2455" s="42"/>
      <c r="AD2455" s="42"/>
      <c r="AE2455" s="42"/>
      <c r="AF2455" s="42"/>
      <c r="AG2455" s="42"/>
      <c r="AH2455" s="42"/>
      <c r="AI2455" s="42"/>
      <c r="AJ2455" s="42"/>
      <c r="AK2455" s="42"/>
      <c r="AL2455" s="42"/>
      <c r="AM2455" s="42"/>
    </row>
    <row r="2456" spans="1:39" x14ac:dyDescent="0.25">
      <c r="A2456" s="35"/>
      <c r="B2456" s="42"/>
      <c r="C2456" s="42"/>
      <c r="D2456" s="42"/>
      <c r="E2456" s="41"/>
      <c r="F2456" s="41"/>
      <c r="G2456" s="41"/>
      <c r="H2456" s="41"/>
      <c r="I2456" s="41"/>
      <c r="J2456" s="42"/>
      <c r="K2456" s="41"/>
      <c r="L2456" s="41"/>
      <c r="M2456" s="127"/>
      <c r="N2456" s="41"/>
      <c r="O2456" s="41"/>
      <c r="P2456" s="41"/>
      <c r="Q2456" s="42"/>
      <c r="R2456" s="35"/>
      <c r="S2456" s="35"/>
      <c r="T2456" s="35"/>
      <c r="U2456" s="35"/>
      <c r="V2456" s="121"/>
      <c r="W2456" s="42"/>
      <c r="X2456" s="42"/>
      <c r="Y2456" s="42"/>
      <c r="Z2456" s="42"/>
      <c r="AA2456" s="42"/>
      <c r="AB2456" s="42"/>
      <c r="AC2456" s="42"/>
      <c r="AD2456" s="42"/>
      <c r="AE2456" s="42"/>
      <c r="AF2456" s="42"/>
      <c r="AG2456" s="42"/>
      <c r="AH2456" s="42"/>
      <c r="AI2456" s="42"/>
      <c r="AJ2456" s="42"/>
      <c r="AK2456" s="42"/>
      <c r="AL2456" s="42"/>
      <c r="AM2456" s="42"/>
    </row>
    <row r="2457" spans="1:39" x14ac:dyDescent="0.25">
      <c r="A2457" s="35"/>
      <c r="B2457" s="42"/>
      <c r="C2457" s="42"/>
      <c r="D2457" s="42"/>
      <c r="E2457" s="41"/>
      <c r="F2457" s="41"/>
      <c r="G2457" s="41"/>
      <c r="H2457" s="41"/>
      <c r="I2457" s="41"/>
      <c r="J2457" s="42"/>
      <c r="K2457" s="41"/>
      <c r="L2457" s="41"/>
      <c r="M2457" s="127"/>
      <c r="N2457" s="41"/>
      <c r="O2457" s="41"/>
      <c r="P2457" s="41"/>
      <c r="Q2457" s="42"/>
      <c r="R2457" s="35"/>
      <c r="S2457" s="35"/>
      <c r="T2457" s="35"/>
      <c r="U2457" s="35"/>
      <c r="V2457" s="121"/>
      <c r="W2457" s="42"/>
      <c r="X2457" s="42"/>
      <c r="Y2457" s="42"/>
      <c r="Z2457" s="42"/>
      <c r="AA2457" s="42"/>
      <c r="AB2457" s="42"/>
      <c r="AC2457" s="42"/>
      <c r="AD2457" s="42"/>
      <c r="AE2457" s="42"/>
      <c r="AF2457" s="42"/>
      <c r="AG2457" s="42"/>
      <c r="AH2457" s="42"/>
      <c r="AI2457" s="42"/>
      <c r="AJ2457" s="42"/>
      <c r="AK2457" s="42"/>
      <c r="AL2457" s="42"/>
      <c r="AM2457" s="42"/>
    </row>
    <row r="2458" spans="1:39" x14ac:dyDescent="0.25">
      <c r="A2458" s="35"/>
      <c r="B2458" s="42"/>
      <c r="C2458" s="42"/>
      <c r="D2458" s="42"/>
      <c r="E2458" s="41"/>
      <c r="F2458" s="41"/>
      <c r="G2458" s="41"/>
      <c r="H2458" s="41"/>
      <c r="I2458" s="41"/>
      <c r="J2458" s="42"/>
      <c r="K2458" s="41"/>
      <c r="L2458" s="41"/>
      <c r="M2458" s="127"/>
      <c r="N2458" s="41"/>
      <c r="O2458" s="41"/>
      <c r="P2458" s="41"/>
      <c r="Q2458" s="42"/>
      <c r="R2458" s="35"/>
      <c r="S2458" s="35"/>
      <c r="T2458" s="35"/>
      <c r="U2458" s="35"/>
      <c r="V2458" s="121"/>
      <c r="W2458" s="42"/>
      <c r="X2458" s="42"/>
      <c r="Y2458" s="42"/>
      <c r="Z2458" s="42"/>
      <c r="AA2458" s="42"/>
      <c r="AB2458" s="42"/>
      <c r="AC2458" s="42"/>
      <c r="AD2458" s="42"/>
      <c r="AE2458" s="42"/>
      <c r="AF2458" s="42"/>
      <c r="AG2458" s="42"/>
      <c r="AH2458" s="42"/>
      <c r="AI2458" s="42"/>
      <c r="AJ2458" s="42"/>
      <c r="AK2458" s="42"/>
      <c r="AL2458" s="42"/>
      <c r="AM2458" s="42"/>
    </row>
    <row r="2459" spans="1:39" x14ac:dyDescent="0.25">
      <c r="A2459" s="35"/>
      <c r="B2459" s="42"/>
      <c r="C2459" s="42"/>
      <c r="D2459" s="42"/>
      <c r="E2459" s="41"/>
      <c r="F2459" s="41"/>
      <c r="G2459" s="41"/>
      <c r="H2459" s="41"/>
      <c r="I2459" s="41"/>
      <c r="J2459" s="42"/>
      <c r="K2459" s="41"/>
      <c r="L2459" s="41"/>
      <c r="M2459" s="127"/>
      <c r="N2459" s="41"/>
      <c r="O2459" s="41"/>
      <c r="P2459" s="41"/>
      <c r="Q2459" s="42"/>
      <c r="R2459" s="35"/>
      <c r="S2459" s="35"/>
      <c r="T2459" s="35"/>
      <c r="U2459" s="35"/>
      <c r="V2459" s="121"/>
      <c r="W2459" s="42"/>
      <c r="X2459" s="42"/>
      <c r="Y2459" s="42"/>
      <c r="Z2459" s="42"/>
      <c r="AA2459" s="42"/>
      <c r="AB2459" s="42"/>
      <c r="AC2459" s="42"/>
      <c r="AD2459" s="42"/>
      <c r="AE2459" s="42"/>
      <c r="AF2459" s="42"/>
      <c r="AG2459" s="42"/>
      <c r="AH2459" s="42"/>
      <c r="AI2459" s="42"/>
      <c r="AJ2459" s="42"/>
      <c r="AK2459" s="42"/>
      <c r="AL2459" s="42"/>
      <c r="AM2459" s="42"/>
    </row>
    <row r="2460" spans="1:39" x14ac:dyDescent="0.25">
      <c r="A2460" s="35"/>
      <c r="B2460" s="42"/>
      <c r="C2460" s="42"/>
      <c r="D2460" s="42"/>
      <c r="E2460" s="41"/>
      <c r="F2460" s="41"/>
      <c r="G2460" s="41"/>
      <c r="H2460" s="41"/>
      <c r="I2460" s="41"/>
      <c r="J2460" s="42"/>
      <c r="K2460" s="41"/>
      <c r="L2460" s="41"/>
      <c r="M2460" s="127"/>
      <c r="N2460" s="41"/>
      <c r="O2460" s="41"/>
      <c r="P2460" s="41"/>
      <c r="Q2460" s="42"/>
      <c r="R2460" s="35"/>
      <c r="S2460" s="35"/>
      <c r="T2460" s="35"/>
      <c r="U2460" s="35"/>
      <c r="V2460" s="121"/>
      <c r="W2460" s="42"/>
      <c r="X2460" s="42"/>
      <c r="Y2460" s="42"/>
      <c r="Z2460" s="42"/>
      <c r="AA2460" s="42"/>
      <c r="AB2460" s="42"/>
      <c r="AC2460" s="42"/>
      <c r="AD2460" s="42"/>
      <c r="AE2460" s="42"/>
      <c r="AF2460" s="42"/>
      <c r="AG2460" s="42"/>
      <c r="AH2460" s="42"/>
      <c r="AI2460" s="42"/>
      <c r="AJ2460" s="42"/>
      <c r="AK2460" s="42"/>
      <c r="AL2460" s="42"/>
      <c r="AM2460" s="42"/>
    </row>
    <row r="2461" spans="1:39" x14ac:dyDescent="0.25">
      <c r="A2461" s="35"/>
      <c r="B2461" s="42"/>
      <c r="C2461" s="42"/>
      <c r="D2461" s="42"/>
      <c r="E2461" s="41"/>
      <c r="F2461" s="41"/>
      <c r="G2461" s="41"/>
      <c r="H2461" s="41"/>
      <c r="I2461" s="41"/>
      <c r="J2461" s="42"/>
      <c r="K2461" s="41"/>
      <c r="L2461" s="41"/>
      <c r="M2461" s="127"/>
      <c r="N2461" s="41"/>
      <c r="O2461" s="41"/>
      <c r="P2461" s="41"/>
      <c r="Q2461" s="42"/>
      <c r="R2461" s="35"/>
      <c r="S2461" s="35"/>
      <c r="T2461" s="35"/>
      <c r="U2461" s="35"/>
      <c r="V2461" s="121"/>
      <c r="W2461" s="42"/>
      <c r="X2461" s="42"/>
      <c r="Y2461" s="42"/>
      <c r="Z2461" s="42"/>
      <c r="AA2461" s="42"/>
      <c r="AB2461" s="42"/>
      <c r="AC2461" s="42"/>
      <c r="AD2461" s="42"/>
      <c r="AE2461" s="42"/>
      <c r="AF2461" s="42"/>
      <c r="AG2461" s="42"/>
      <c r="AH2461" s="42"/>
      <c r="AI2461" s="42"/>
      <c r="AJ2461" s="42"/>
      <c r="AK2461" s="42"/>
      <c r="AL2461" s="42"/>
      <c r="AM2461" s="42"/>
    </row>
    <row r="2462" spans="1:39" x14ac:dyDescent="0.25">
      <c r="A2462" s="35"/>
      <c r="B2462" s="42"/>
      <c r="C2462" s="42"/>
      <c r="D2462" s="42"/>
      <c r="E2462" s="41"/>
      <c r="F2462" s="41"/>
      <c r="G2462" s="41"/>
      <c r="H2462" s="41"/>
      <c r="I2462" s="41"/>
      <c r="J2462" s="42"/>
      <c r="K2462" s="41"/>
      <c r="L2462" s="41"/>
      <c r="M2462" s="127"/>
      <c r="N2462" s="41"/>
      <c r="O2462" s="41"/>
      <c r="P2462" s="41"/>
      <c r="Q2462" s="42"/>
      <c r="R2462" s="35"/>
      <c r="S2462" s="35"/>
      <c r="T2462" s="35"/>
      <c r="U2462" s="35"/>
      <c r="V2462" s="121"/>
      <c r="W2462" s="42"/>
      <c r="X2462" s="42"/>
      <c r="Y2462" s="42"/>
      <c r="Z2462" s="42"/>
      <c r="AA2462" s="42"/>
      <c r="AB2462" s="42"/>
      <c r="AC2462" s="42"/>
      <c r="AD2462" s="42"/>
      <c r="AE2462" s="42"/>
      <c r="AF2462" s="42"/>
      <c r="AG2462" s="42"/>
      <c r="AH2462" s="42"/>
      <c r="AI2462" s="42"/>
      <c r="AJ2462" s="42"/>
      <c r="AK2462" s="42"/>
      <c r="AL2462" s="42"/>
      <c r="AM2462" s="42"/>
    </row>
    <row r="2463" spans="1:39" x14ac:dyDescent="0.25">
      <c r="A2463" s="35"/>
      <c r="B2463" s="42"/>
      <c r="C2463" s="42"/>
      <c r="D2463" s="42"/>
      <c r="E2463" s="41"/>
      <c r="F2463" s="41"/>
      <c r="G2463" s="41"/>
      <c r="H2463" s="41"/>
      <c r="I2463" s="41"/>
      <c r="J2463" s="42"/>
      <c r="K2463" s="41"/>
      <c r="L2463" s="41"/>
      <c r="M2463" s="127"/>
      <c r="N2463" s="41"/>
      <c r="O2463" s="41"/>
      <c r="P2463" s="41"/>
      <c r="Q2463" s="42"/>
      <c r="R2463" s="35"/>
      <c r="S2463" s="35"/>
      <c r="T2463" s="35"/>
      <c r="U2463" s="35"/>
      <c r="V2463" s="121"/>
      <c r="W2463" s="42"/>
      <c r="X2463" s="42"/>
      <c r="Y2463" s="42"/>
      <c r="Z2463" s="42"/>
      <c r="AA2463" s="42"/>
      <c r="AB2463" s="42"/>
      <c r="AC2463" s="42"/>
      <c r="AD2463" s="42"/>
      <c r="AE2463" s="42"/>
      <c r="AF2463" s="42"/>
      <c r="AG2463" s="42"/>
      <c r="AH2463" s="42"/>
      <c r="AI2463" s="42"/>
      <c r="AJ2463" s="42"/>
      <c r="AK2463" s="42"/>
      <c r="AL2463" s="42"/>
      <c r="AM2463" s="42"/>
    </row>
    <row r="2464" spans="1:39" x14ac:dyDescent="0.25">
      <c r="A2464" s="35"/>
      <c r="B2464" s="42"/>
      <c r="C2464" s="42"/>
      <c r="D2464" s="42"/>
      <c r="E2464" s="41"/>
      <c r="F2464" s="41"/>
      <c r="G2464" s="41"/>
      <c r="H2464" s="41"/>
      <c r="I2464" s="41"/>
      <c r="J2464" s="42"/>
      <c r="K2464" s="41"/>
      <c r="L2464" s="41"/>
      <c r="M2464" s="127"/>
      <c r="N2464" s="41"/>
      <c r="O2464" s="41"/>
      <c r="P2464" s="41"/>
      <c r="Q2464" s="42"/>
      <c r="R2464" s="35"/>
      <c r="S2464" s="35"/>
      <c r="T2464" s="35"/>
      <c r="U2464" s="35"/>
      <c r="V2464" s="121"/>
      <c r="W2464" s="42"/>
      <c r="X2464" s="42"/>
      <c r="Y2464" s="42"/>
      <c r="Z2464" s="42"/>
      <c r="AA2464" s="42"/>
      <c r="AB2464" s="42"/>
      <c r="AC2464" s="42"/>
      <c r="AD2464" s="42"/>
      <c r="AE2464" s="42"/>
      <c r="AF2464" s="42"/>
      <c r="AG2464" s="42"/>
      <c r="AH2464" s="42"/>
      <c r="AI2464" s="42"/>
      <c r="AJ2464" s="42"/>
      <c r="AK2464" s="42"/>
      <c r="AL2464" s="42"/>
      <c r="AM2464" s="42"/>
    </row>
    <row r="2465" spans="1:39" x14ac:dyDescent="0.25">
      <c r="A2465" s="35"/>
      <c r="B2465" s="42"/>
      <c r="C2465" s="42"/>
      <c r="D2465" s="42"/>
      <c r="E2465" s="41"/>
      <c r="F2465" s="41"/>
      <c r="G2465" s="41"/>
      <c r="H2465" s="41"/>
      <c r="I2465" s="41"/>
      <c r="J2465" s="42"/>
      <c r="K2465" s="41"/>
      <c r="L2465" s="41"/>
      <c r="M2465" s="127"/>
      <c r="N2465" s="41"/>
      <c r="O2465" s="41"/>
      <c r="P2465" s="41"/>
      <c r="Q2465" s="42"/>
      <c r="R2465" s="35"/>
      <c r="S2465" s="35"/>
      <c r="T2465" s="35"/>
      <c r="U2465" s="35"/>
      <c r="V2465" s="121"/>
      <c r="W2465" s="42"/>
      <c r="X2465" s="42"/>
      <c r="Y2465" s="42"/>
      <c r="Z2465" s="42"/>
      <c r="AA2465" s="42"/>
      <c r="AB2465" s="42"/>
      <c r="AC2465" s="42"/>
      <c r="AD2465" s="42"/>
      <c r="AE2465" s="42"/>
      <c r="AF2465" s="42"/>
      <c r="AG2465" s="42"/>
      <c r="AH2465" s="42"/>
      <c r="AI2465" s="42"/>
      <c r="AJ2465" s="42"/>
      <c r="AK2465" s="42"/>
      <c r="AL2465" s="42"/>
      <c r="AM2465" s="42"/>
    </row>
    <row r="2466" spans="1:39" x14ac:dyDescent="0.25">
      <c r="A2466" s="35"/>
      <c r="B2466" s="42"/>
      <c r="C2466" s="42"/>
      <c r="D2466" s="42"/>
      <c r="E2466" s="41"/>
      <c r="F2466" s="41"/>
      <c r="G2466" s="41"/>
      <c r="H2466" s="41"/>
      <c r="I2466" s="41"/>
      <c r="J2466" s="42"/>
      <c r="K2466" s="41"/>
      <c r="L2466" s="41"/>
      <c r="M2466" s="127"/>
      <c r="N2466" s="41"/>
      <c r="O2466" s="41"/>
      <c r="P2466" s="41"/>
      <c r="Q2466" s="42"/>
      <c r="R2466" s="35"/>
      <c r="S2466" s="35"/>
      <c r="T2466" s="35"/>
      <c r="U2466" s="35"/>
      <c r="V2466" s="121"/>
      <c r="W2466" s="42"/>
      <c r="X2466" s="42"/>
      <c r="Y2466" s="42"/>
      <c r="Z2466" s="42"/>
      <c r="AA2466" s="42"/>
      <c r="AB2466" s="42"/>
      <c r="AC2466" s="42"/>
      <c r="AD2466" s="42"/>
      <c r="AE2466" s="42"/>
      <c r="AF2466" s="42"/>
      <c r="AG2466" s="42"/>
      <c r="AH2466" s="42"/>
      <c r="AI2466" s="42"/>
      <c r="AJ2466" s="42"/>
      <c r="AK2466" s="42"/>
      <c r="AL2466" s="42"/>
      <c r="AM2466" s="42"/>
    </row>
    <row r="2467" spans="1:39" x14ac:dyDescent="0.25">
      <c r="A2467" s="35"/>
      <c r="B2467" s="42"/>
      <c r="C2467" s="42"/>
      <c r="D2467" s="42"/>
      <c r="E2467" s="41"/>
      <c r="F2467" s="41"/>
      <c r="G2467" s="41"/>
      <c r="H2467" s="41"/>
      <c r="I2467" s="41"/>
      <c r="J2467" s="42"/>
      <c r="K2467" s="41"/>
      <c r="L2467" s="41"/>
      <c r="M2467" s="127"/>
      <c r="N2467" s="41"/>
      <c r="O2467" s="41"/>
      <c r="P2467" s="41"/>
      <c r="Q2467" s="42"/>
      <c r="R2467" s="35"/>
      <c r="S2467" s="35"/>
      <c r="T2467" s="35"/>
      <c r="U2467" s="35"/>
      <c r="V2467" s="121"/>
      <c r="W2467" s="42"/>
      <c r="X2467" s="42"/>
      <c r="Y2467" s="42"/>
      <c r="Z2467" s="42"/>
      <c r="AA2467" s="42"/>
      <c r="AB2467" s="42"/>
      <c r="AC2467" s="42"/>
      <c r="AD2467" s="42"/>
      <c r="AE2467" s="42"/>
      <c r="AF2467" s="42"/>
      <c r="AG2467" s="42"/>
      <c r="AH2467" s="42"/>
      <c r="AI2467" s="42"/>
      <c r="AJ2467" s="42"/>
      <c r="AK2467" s="42"/>
      <c r="AL2467" s="42"/>
      <c r="AM2467" s="42"/>
    </row>
    <row r="2468" spans="1:39" x14ac:dyDescent="0.25">
      <c r="A2468" s="35"/>
      <c r="B2468" s="42"/>
      <c r="C2468" s="42"/>
      <c r="D2468" s="42"/>
      <c r="E2468" s="41"/>
      <c r="F2468" s="41"/>
      <c r="G2468" s="41"/>
      <c r="H2468" s="41"/>
      <c r="I2468" s="41"/>
      <c r="J2468" s="42"/>
      <c r="K2468" s="41"/>
      <c r="L2468" s="41"/>
      <c r="M2468" s="127"/>
      <c r="N2468" s="41"/>
      <c r="O2468" s="41"/>
      <c r="P2468" s="41"/>
      <c r="Q2468" s="42"/>
      <c r="R2468" s="35"/>
      <c r="S2468" s="35"/>
      <c r="T2468" s="35"/>
      <c r="U2468" s="35"/>
      <c r="V2468" s="121"/>
      <c r="W2468" s="42"/>
      <c r="X2468" s="42"/>
      <c r="Y2468" s="42"/>
      <c r="Z2468" s="42"/>
      <c r="AA2468" s="42"/>
      <c r="AB2468" s="42"/>
      <c r="AC2468" s="42"/>
      <c r="AD2468" s="42"/>
      <c r="AE2468" s="42"/>
      <c r="AF2468" s="42"/>
      <c r="AG2468" s="42"/>
      <c r="AH2468" s="42"/>
      <c r="AI2468" s="42"/>
      <c r="AJ2468" s="42"/>
      <c r="AK2468" s="42"/>
      <c r="AL2468" s="42"/>
      <c r="AM2468" s="42"/>
    </row>
    <row r="2469" spans="1:39" x14ac:dyDescent="0.25">
      <c r="A2469" s="35"/>
      <c r="B2469" s="42"/>
      <c r="C2469" s="42"/>
      <c r="D2469" s="42"/>
      <c r="E2469" s="41"/>
      <c r="F2469" s="41"/>
      <c r="G2469" s="41"/>
      <c r="H2469" s="41"/>
      <c r="I2469" s="41"/>
      <c r="J2469" s="42"/>
      <c r="K2469" s="41"/>
      <c r="L2469" s="41"/>
      <c r="M2469" s="127"/>
      <c r="N2469" s="41"/>
      <c r="O2469" s="41"/>
      <c r="P2469" s="41"/>
      <c r="Q2469" s="42"/>
      <c r="R2469" s="35"/>
      <c r="S2469" s="35"/>
      <c r="T2469" s="35"/>
      <c r="U2469" s="35"/>
      <c r="V2469" s="121"/>
      <c r="W2469" s="42"/>
      <c r="X2469" s="42"/>
      <c r="Y2469" s="42"/>
      <c r="Z2469" s="42"/>
      <c r="AA2469" s="42"/>
      <c r="AB2469" s="42"/>
      <c r="AC2469" s="42"/>
      <c r="AD2469" s="42"/>
      <c r="AE2469" s="42"/>
      <c r="AF2469" s="42"/>
      <c r="AG2469" s="42"/>
      <c r="AH2469" s="42"/>
      <c r="AI2469" s="42"/>
      <c r="AJ2469" s="42"/>
      <c r="AK2469" s="42"/>
      <c r="AL2469" s="42"/>
      <c r="AM2469" s="42"/>
    </row>
    <row r="2470" spans="1:39" x14ac:dyDescent="0.25">
      <c r="A2470" s="35"/>
      <c r="B2470" s="42"/>
      <c r="C2470" s="42"/>
      <c r="D2470" s="42"/>
      <c r="E2470" s="41"/>
      <c r="F2470" s="41"/>
      <c r="G2470" s="41"/>
      <c r="H2470" s="41"/>
      <c r="I2470" s="41"/>
      <c r="J2470" s="42"/>
      <c r="K2470" s="41"/>
      <c r="L2470" s="41"/>
      <c r="M2470" s="127"/>
      <c r="N2470" s="41"/>
      <c r="O2470" s="41"/>
      <c r="P2470" s="41"/>
      <c r="Q2470" s="42"/>
      <c r="R2470" s="35"/>
      <c r="S2470" s="35"/>
      <c r="T2470" s="35"/>
      <c r="U2470" s="35"/>
      <c r="V2470" s="121"/>
      <c r="W2470" s="42"/>
      <c r="X2470" s="42"/>
      <c r="Y2470" s="42"/>
      <c r="Z2470" s="42"/>
      <c r="AA2470" s="42"/>
      <c r="AB2470" s="42"/>
      <c r="AC2470" s="42"/>
      <c r="AD2470" s="42"/>
      <c r="AE2470" s="42"/>
      <c r="AF2470" s="42"/>
      <c r="AG2470" s="42"/>
      <c r="AH2470" s="42"/>
      <c r="AI2470" s="42"/>
      <c r="AJ2470" s="42"/>
      <c r="AK2470" s="42"/>
      <c r="AL2470" s="42"/>
      <c r="AM2470" s="42"/>
    </row>
    <row r="2471" spans="1:39" x14ac:dyDescent="0.25">
      <c r="A2471" s="35"/>
      <c r="B2471" s="42"/>
      <c r="C2471" s="42"/>
      <c r="D2471" s="42"/>
      <c r="E2471" s="41"/>
      <c r="F2471" s="41"/>
      <c r="G2471" s="41"/>
      <c r="H2471" s="41"/>
      <c r="I2471" s="41"/>
      <c r="J2471" s="42"/>
      <c r="K2471" s="41"/>
      <c r="L2471" s="41"/>
      <c r="M2471" s="127"/>
      <c r="N2471" s="41"/>
      <c r="O2471" s="41"/>
      <c r="P2471" s="41"/>
      <c r="Q2471" s="42"/>
      <c r="R2471" s="35"/>
      <c r="S2471" s="35"/>
      <c r="T2471" s="35"/>
      <c r="U2471" s="35"/>
      <c r="V2471" s="121"/>
      <c r="W2471" s="42"/>
      <c r="X2471" s="42"/>
      <c r="Y2471" s="42"/>
      <c r="Z2471" s="42"/>
      <c r="AA2471" s="42"/>
      <c r="AB2471" s="42"/>
      <c r="AC2471" s="42"/>
      <c r="AD2471" s="42"/>
      <c r="AE2471" s="42"/>
      <c r="AF2471" s="42"/>
      <c r="AG2471" s="42"/>
      <c r="AH2471" s="42"/>
      <c r="AI2471" s="42"/>
      <c r="AJ2471" s="42"/>
      <c r="AK2471" s="42"/>
      <c r="AL2471" s="42"/>
      <c r="AM2471" s="42"/>
    </row>
    <row r="2472" spans="1:39" x14ac:dyDescent="0.25">
      <c r="A2472" s="35"/>
      <c r="B2472" s="42"/>
      <c r="C2472" s="42"/>
      <c r="D2472" s="42"/>
      <c r="E2472" s="41"/>
      <c r="F2472" s="41"/>
      <c r="G2472" s="41"/>
      <c r="H2472" s="41"/>
      <c r="I2472" s="41"/>
      <c r="J2472" s="42"/>
      <c r="K2472" s="41"/>
      <c r="L2472" s="41"/>
      <c r="M2472" s="127"/>
      <c r="N2472" s="41"/>
      <c r="O2472" s="41"/>
      <c r="P2472" s="41"/>
      <c r="Q2472" s="42"/>
      <c r="R2472" s="35"/>
      <c r="S2472" s="35"/>
      <c r="T2472" s="35"/>
      <c r="U2472" s="35"/>
      <c r="V2472" s="121"/>
      <c r="W2472" s="42"/>
      <c r="X2472" s="42"/>
      <c r="Y2472" s="42"/>
      <c r="Z2472" s="42"/>
      <c r="AA2472" s="42"/>
      <c r="AB2472" s="42"/>
      <c r="AC2472" s="42"/>
      <c r="AD2472" s="42"/>
      <c r="AE2472" s="42"/>
      <c r="AF2472" s="42"/>
      <c r="AG2472" s="42"/>
      <c r="AH2472" s="42"/>
      <c r="AI2472" s="42"/>
      <c r="AJ2472" s="42"/>
      <c r="AK2472" s="42"/>
      <c r="AL2472" s="42"/>
      <c r="AM2472" s="42"/>
    </row>
    <row r="2473" spans="1:39" x14ac:dyDescent="0.25">
      <c r="A2473" s="35"/>
      <c r="B2473" s="42"/>
      <c r="C2473" s="42"/>
      <c r="D2473" s="42"/>
      <c r="E2473" s="41"/>
      <c r="F2473" s="41"/>
      <c r="G2473" s="41"/>
      <c r="H2473" s="41"/>
      <c r="I2473" s="41"/>
      <c r="J2473" s="42"/>
      <c r="K2473" s="41"/>
      <c r="L2473" s="41"/>
      <c r="M2473" s="127"/>
      <c r="N2473" s="41"/>
      <c r="O2473" s="41"/>
      <c r="P2473" s="41"/>
      <c r="Q2473" s="42"/>
      <c r="R2473" s="35"/>
      <c r="S2473" s="35"/>
      <c r="T2473" s="35"/>
      <c r="U2473" s="35"/>
      <c r="V2473" s="121"/>
      <c r="W2473" s="42"/>
      <c r="X2473" s="42"/>
      <c r="Y2473" s="42"/>
      <c r="Z2473" s="42"/>
      <c r="AA2473" s="42"/>
      <c r="AB2473" s="42"/>
      <c r="AC2473" s="42"/>
      <c r="AD2473" s="42"/>
      <c r="AE2473" s="42"/>
      <c r="AF2473" s="42"/>
      <c r="AG2473" s="42"/>
      <c r="AH2473" s="42"/>
      <c r="AI2473" s="42"/>
      <c r="AJ2473" s="42"/>
      <c r="AK2473" s="42"/>
      <c r="AL2473" s="42"/>
      <c r="AM2473" s="42"/>
    </row>
    <row r="2474" spans="1:39" x14ac:dyDescent="0.25">
      <c r="A2474" s="35"/>
      <c r="B2474" s="42"/>
      <c r="C2474" s="42"/>
      <c r="D2474" s="42"/>
      <c r="E2474" s="41"/>
      <c r="F2474" s="41"/>
      <c r="G2474" s="41"/>
      <c r="H2474" s="41"/>
      <c r="I2474" s="41"/>
      <c r="J2474" s="42"/>
      <c r="K2474" s="41"/>
      <c r="L2474" s="41"/>
      <c r="M2474" s="127"/>
      <c r="N2474" s="41"/>
      <c r="O2474" s="41"/>
      <c r="P2474" s="41"/>
      <c r="Q2474" s="42"/>
      <c r="R2474" s="35"/>
      <c r="S2474" s="35"/>
      <c r="T2474" s="35"/>
      <c r="U2474" s="35"/>
      <c r="V2474" s="121"/>
      <c r="W2474" s="42"/>
      <c r="X2474" s="42"/>
      <c r="Y2474" s="42"/>
      <c r="Z2474" s="42"/>
      <c r="AA2474" s="42"/>
      <c r="AB2474" s="42"/>
      <c r="AC2474" s="42"/>
      <c r="AD2474" s="42"/>
      <c r="AE2474" s="42"/>
      <c r="AF2474" s="42"/>
      <c r="AG2474" s="42"/>
      <c r="AH2474" s="42"/>
      <c r="AI2474" s="42"/>
      <c r="AJ2474" s="42"/>
      <c r="AK2474" s="42"/>
      <c r="AL2474" s="42"/>
      <c r="AM2474" s="42"/>
    </row>
    <row r="2475" spans="1:39" x14ac:dyDescent="0.25">
      <c r="A2475" s="35"/>
      <c r="B2475" s="42"/>
      <c r="C2475" s="42"/>
      <c r="D2475" s="42"/>
      <c r="E2475" s="41"/>
      <c r="F2475" s="41"/>
      <c r="G2475" s="41"/>
      <c r="H2475" s="41"/>
      <c r="I2475" s="41"/>
      <c r="J2475" s="42"/>
      <c r="K2475" s="41"/>
      <c r="L2475" s="41"/>
      <c r="M2475" s="127"/>
      <c r="N2475" s="41"/>
      <c r="O2475" s="41"/>
      <c r="P2475" s="41"/>
      <c r="Q2475" s="42"/>
      <c r="R2475" s="35"/>
      <c r="S2475" s="35"/>
      <c r="T2475" s="35"/>
      <c r="U2475" s="35"/>
      <c r="V2475" s="121"/>
      <c r="W2475" s="42"/>
      <c r="X2475" s="42"/>
      <c r="Y2475" s="42"/>
      <c r="Z2475" s="42"/>
      <c r="AA2475" s="42"/>
      <c r="AB2475" s="42"/>
      <c r="AC2475" s="42"/>
      <c r="AD2475" s="42"/>
      <c r="AE2475" s="42"/>
      <c r="AF2475" s="42"/>
      <c r="AG2475" s="42"/>
      <c r="AH2475" s="42"/>
      <c r="AI2475" s="42"/>
      <c r="AJ2475" s="42"/>
      <c r="AK2475" s="42"/>
      <c r="AL2475" s="42"/>
      <c r="AM2475" s="42"/>
    </row>
    <row r="2476" spans="1:39" x14ac:dyDescent="0.25">
      <c r="A2476" s="35"/>
      <c r="B2476" s="42"/>
      <c r="C2476" s="42"/>
      <c r="D2476" s="42"/>
      <c r="E2476" s="41"/>
      <c r="F2476" s="41"/>
      <c r="G2476" s="41"/>
      <c r="H2476" s="41"/>
      <c r="I2476" s="41"/>
      <c r="J2476" s="42"/>
      <c r="K2476" s="41"/>
      <c r="L2476" s="41"/>
      <c r="M2476" s="127"/>
      <c r="N2476" s="41"/>
      <c r="O2476" s="41"/>
      <c r="P2476" s="41"/>
      <c r="Q2476" s="42"/>
      <c r="R2476" s="35"/>
      <c r="S2476" s="35"/>
      <c r="T2476" s="35"/>
      <c r="U2476" s="35"/>
      <c r="V2476" s="121"/>
      <c r="W2476" s="42"/>
      <c r="X2476" s="42"/>
      <c r="Y2476" s="42"/>
      <c r="Z2476" s="42"/>
      <c r="AA2476" s="42"/>
      <c r="AB2476" s="42"/>
      <c r="AC2476" s="42"/>
      <c r="AD2476" s="42"/>
      <c r="AE2476" s="42"/>
      <c r="AF2476" s="42"/>
      <c r="AG2476" s="42"/>
      <c r="AH2476" s="42"/>
      <c r="AI2476" s="42"/>
      <c r="AJ2476" s="42"/>
      <c r="AK2476" s="42"/>
      <c r="AL2476" s="42"/>
      <c r="AM2476" s="42"/>
    </row>
    <row r="2477" spans="1:39" x14ac:dyDescent="0.25">
      <c r="A2477" s="35"/>
      <c r="B2477" s="42"/>
      <c r="C2477" s="42"/>
      <c r="D2477" s="42"/>
      <c r="E2477" s="41"/>
      <c r="F2477" s="41"/>
      <c r="G2477" s="41"/>
      <c r="H2477" s="41"/>
      <c r="I2477" s="41"/>
      <c r="J2477" s="42"/>
      <c r="K2477" s="41"/>
      <c r="L2477" s="41"/>
      <c r="M2477" s="127"/>
      <c r="N2477" s="41"/>
      <c r="O2477" s="41"/>
      <c r="P2477" s="41"/>
      <c r="Q2477" s="42"/>
      <c r="R2477" s="35"/>
      <c r="S2477" s="35"/>
      <c r="T2477" s="35"/>
      <c r="U2477" s="35"/>
      <c r="V2477" s="121"/>
      <c r="W2477" s="42"/>
      <c r="X2477" s="42"/>
      <c r="Y2477" s="42"/>
      <c r="Z2477" s="42"/>
      <c r="AA2477" s="42"/>
      <c r="AB2477" s="42"/>
      <c r="AC2477" s="42"/>
      <c r="AD2477" s="42"/>
      <c r="AE2477" s="42"/>
      <c r="AF2477" s="42"/>
      <c r="AG2477" s="42"/>
      <c r="AH2477" s="42"/>
      <c r="AI2477" s="42"/>
      <c r="AJ2477" s="42"/>
      <c r="AK2477" s="42"/>
      <c r="AL2477" s="42"/>
      <c r="AM2477" s="42"/>
    </row>
    <row r="2478" spans="1:39" x14ac:dyDescent="0.25">
      <c r="A2478" s="35"/>
      <c r="B2478" s="42"/>
      <c r="C2478" s="42"/>
      <c r="D2478" s="42"/>
      <c r="E2478" s="41"/>
      <c r="F2478" s="41"/>
      <c r="G2478" s="41"/>
      <c r="H2478" s="41"/>
      <c r="I2478" s="41"/>
      <c r="J2478" s="42"/>
      <c r="K2478" s="41"/>
      <c r="L2478" s="41"/>
      <c r="M2478" s="127"/>
      <c r="N2478" s="41"/>
      <c r="O2478" s="41"/>
      <c r="P2478" s="41"/>
      <c r="Q2478" s="42"/>
      <c r="R2478" s="35"/>
      <c r="S2478" s="35"/>
      <c r="T2478" s="35"/>
      <c r="U2478" s="35"/>
      <c r="V2478" s="121"/>
      <c r="W2478" s="42"/>
      <c r="X2478" s="42"/>
      <c r="Y2478" s="42"/>
      <c r="Z2478" s="42"/>
      <c r="AA2478" s="42"/>
      <c r="AB2478" s="42"/>
      <c r="AC2478" s="42"/>
      <c r="AD2478" s="42"/>
      <c r="AE2478" s="42"/>
      <c r="AF2478" s="42"/>
      <c r="AG2478" s="42"/>
      <c r="AH2478" s="42"/>
      <c r="AI2478" s="42"/>
      <c r="AJ2478" s="42"/>
      <c r="AK2478" s="42"/>
      <c r="AL2478" s="42"/>
      <c r="AM2478" s="42"/>
    </row>
    <row r="2479" spans="1:39" x14ac:dyDescent="0.25">
      <c r="A2479" s="35"/>
      <c r="B2479" s="42"/>
      <c r="C2479" s="42"/>
      <c r="D2479" s="42"/>
      <c r="E2479" s="41"/>
      <c r="F2479" s="41"/>
      <c r="G2479" s="41"/>
      <c r="H2479" s="41"/>
      <c r="I2479" s="41"/>
      <c r="J2479" s="42"/>
      <c r="K2479" s="41"/>
      <c r="L2479" s="41"/>
      <c r="M2479" s="127"/>
      <c r="N2479" s="41"/>
      <c r="O2479" s="41"/>
      <c r="P2479" s="41"/>
      <c r="Q2479" s="42"/>
      <c r="R2479" s="35"/>
      <c r="S2479" s="35"/>
      <c r="T2479" s="35"/>
      <c r="U2479" s="35"/>
      <c r="V2479" s="121"/>
      <c r="W2479" s="42"/>
      <c r="X2479" s="42"/>
      <c r="Y2479" s="42"/>
      <c r="Z2479" s="42"/>
      <c r="AA2479" s="42"/>
      <c r="AB2479" s="42"/>
      <c r="AC2479" s="42"/>
      <c r="AD2479" s="42"/>
      <c r="AE2479" s="42"/>
      <c r="AF2479" s="42"/>
      <c r="AG2479" s="42"/>
      <c r="AH2479" s="42"/>
      <c r="AI2479" s="42"/>
      <c r="AJ2479" s="42"/>
      <c r="AK2479" s="42"/>
      <c r="AL2479" s="42"/>
      <c r="AM2479" s="42"/>
    </row>
    <row r="2480" spans="1:39" x14ac:dyDescent="0.25">
      <c r="A2480" s="35"/>
      <c r="B2480" s="42"/>
      <c r="C2480" s="42"/>
      <c r="D2480" s="42"/>
      <c r="E2480" s="41"/>
      <c r="F2480" s="41"/>
      <c r="G2480" s="41"/>
      <c r="H2480" s="41"/>
      <c r="I2480" s="41"/>
      <c r="J2480" s="42"/>
      <c r="K2480" s="41"/>
      <c r="L2480" s="41"/>
      <c r="M2480" s="127"/>
      <c r="N2480" s="41"/>
      <c r="O2480" s="41"/>
      <c r="P2480" s="41"/>
      <c r="Q2480" s="42"/>
      <c r="R2480" s="35"/>
      <c r="S2480" s="35"/>
      <c r="T2480" s="35"/>
      <c r="U2480" s="35"/>
      <c r="V2480" s="121"/>
      <c r="W2480" s="42"/>
      <c r="X2480" s="42"/>
      <c r="Y2480" s="42"/>
      <c r="Z2480" s="42"/>
      <c r="AA2480" s="42"/>
      <c r="AB2480" s="42"/>
      <c r="AC2480" s="42"/>
      <c r="AD2480" s="42"/>
      <c r="AE2480" s="42"/>
      <c r="AF2480" s="42"/>
      <c r="AG2480" s="42"/>
      <c r="AH2480" s="42"/>
      <c r="AI2480" s="42"/>
      <c r="AJ2480" s="42"/>
      <c r="AK2480" s="42"/>
      <c r="AL2480" s="42"/>
      <c r="AM2480" s="42"/>
    </row>
    <row r="2481" spans="1:39" x14ac:dyDescent="0.25">
      <c r="A2481" s="35"/>
      <c r="B2481" s="42"/>
      <c r="C2481" s="42"/>
      <c r="D2481" s="42"/>
      <c r="E2481" s="41"/>
      <c r="F2481" s="41"/>
      <c r="G2481" s="41"/>
      <c r="H2481" s="41"/>
      <c r="I2481" s="41"/>
      <c r="J2481" s="42"/>
      <c r="K2481" s="41"/>
      <c r="L2481" s="41"/>
      <c r="M2481" s="127"/>
      <c r="N2481" s="41"/>
      <c r="O2481" s="41"/>
      <c r="P2481" s="41"/>
      <c r="Q2481" s="42"/>
      <c r="R2481" s="35"/>
      <c r="S2481" s="35"/>
      <c r="T2481" s="35"/>
      <c r="U2481" s="35"/>
      <c r="V2481" s="121"/>
      <c r="W2481" s="42"/>
      <c r="X2481" s="42"/>
      <c r="Y2481" s="42"/>
      <c r="Z2481" s="42"/>
      <c r="AA2481" s="42"/>
      <c r="AB2481" s="42"/>
      <c r="AC2481" s="42"/>
      <c r="AD2481" s="42"/>
      <c r="AE2481" s="42"/>
      <c r="AF2481" s="42"/>
      <c r="AG2481" s="42"/>
      <c r="AH2481" s="42"/>
      <c r="AI2481" s="42"/>
      <c r="AJ2481" s="42"/>
      <c r="AK2481" s="42"/>
      <c r="AL2481" s="42"/>
      <c r="AM2481" s="42"/>
    </row>
    <row r="2482" spans="1:39" x14ac:dyDescent="0.25">
      <c r="A2482" s="35"/>
      <c r="B2482" s="42"/>
      <c r="C2482" s="42"/>
      <c r="D2482" s="42"/>
      <c r="E2482" s="41"/>
      <c r="F2482" s="41"/>
      <c r="G2482" s="41"/>
      <c r="H2482" s="41"/>
      <c r="I2482" s="41"/>
      <c r="J2482" s="42"/>
      <c r="K2482" s="41"/>
      <c r="L2482" s="41"/>
      <c r="M2482" s="127"/>
      <c r="N2482" s="41"/>
      <c r="O2482" s="41"/>
      <c r="P2482" s="41"/>
      <c r="Q2482" s="42"/>
      <c r="R2482" s="35"/>
      <c r="S2482" s="35"/>
      <c r="T2482" s="35"/>
      <c r="U2482" s="35"/>
      <c r="V2482" s="121"/>
      <c r="W2482" s="42"/>
      <c r="X2482" s="42"/>
      <c r="Y2482" s="42"/>
      <c r="Z2482" s="42"/>
      <c r="AA2482" s="42"/>
      <c r="AB2482" s="42"/>
      <c r="AC2482" s="42"/>
      <c r="AD2482" s="42"/>
      <c r="AE2482" s="42"/>
      <c r="AF2482" s="42"/>
      <c r="AG2482" s="42"/>
      <c r="AH2482" s="42"/>
      <c r="AI2482" s="42"/>
      <c r="AJ2482" s="42"/>
      <c r="AK2482" s="42"/>
      <c r="AL2482" s="42"/>
      <c r="AM2482" s="42"/>
    </row>
    <row r="2483" spans="1:39" x14ac:dyDescent="0.25">
      <c r="A2483" s="35"/>
      <c r="B2483" s="42"/>
      <c r="C2483" s="42"/>
      <c r="D2483" s="42"/>
      <c r="E2483" s="41"/>
      <c r="F2483" s="41"/>
      <c r="G2483" s="41"/>
      <c r="H2483" s="41"/>
      <c r="I2483" s="41"/>
      <c r="J2483" s="42"/>
      <c r="K2483" s="41"/>
      <c r="L2483" s="41"/>
      <c r="M2483" s="127"/>
      <c r="N2483" s="41"/>
      <c r="O2483" s="41"/>
      <c r="P2483" s="41"/>
      <c r="Q2483" s="42"/>
      <c r="R2483" s="35"/>
      <c r="S2483" s="35"/>
      <c r="T2483" s="35"/>
      <c r="U2483" s="35"/>
      <c r="V2483" s="121"/>
      <c r="W2483" s="42"/>
      <c r="X2483" s="42"/>
      <c r="Y2483" s="42"/>
      <c r="Z2483" s="42"/>
      <c r="AA2483" s="42"/>
      <c r="AB2483" s="42"/>
      <c r="AC2483" s="42"/>
      <c r="AD2483" s="42"/>
      <c r="AE2483" s="42"/>
      <c r="AF2483" s="42"/>
      <c r="AG2483" s="42"/>
      <c r="AH2483" s="42"/>
      <c r="AI2483" s="42"/>
      <c r="AJ2483" s="42"/>
      <c r="AK2483" s="42"/>
      <c r="AL2483" s="42"/>
      <c r="AM2483" s="42"/>
    </row>
    <row r="2484" spans="1:39" x14ac:dyDescent="0.25">
      <c r="A2484" s="35"/>
      <c r="B2484" s="42"/>
      <c r="C2484" s="42"/>
      <c r="D2484" s="42"/>
      <c r="E2484" s="41"/>
      <c r="F2484" s="41"/>
      <c r="G2484" s="41"/>
      <c r="H2484" s="41"/>
      <c r="I2484" s="41"/>
      <c r="J2484" s="42"/>
      <c r="K2484" s="41"/>
      <c r="L2484" s="41"/>
      <c r="M2484" s="127"/>
      <c r="N2484" s="41"/>
      <c r="O2484" s="41"/>
      <c r="P2484" s="41"/>
      <c r="Q2484" s="42"/>
      <c r="R2484" s="35"/>
      <c r="S2484" s="35"/>
      <c r="T2484" s="35"/>
      <c r="U2484" s="35"/>
      <c r="V2484" s="121"/>
      <c r="W2484" s="42"/>
      <c r="X2484" s="42"/>
      <c r="Y2484" s="42"/>
      <c r="Z2484" s="42"/>
      <c r="AA2484" s="42"/>
      <c r="AB2484" s="42"/>
      <c r="AC2484" s="42"/>
      <c r="AD2484" s="42"/>
      <c r="AE2484" s="42"/>
      <c r="AF2484" s="42"/>
      <c r="AG2484" s="42"/>
      <c r="AH2484" s="42"/>
      <c r="AI2484" s="42"/>
      <c r="AJ2484" s="42"/>
      <c r="AK2484" s="42"/>
      <c r="AL2484" s="42"/>
      <c r="AM2484" s="42"/>
    </row>
    <row r="2485" spans="1:39" x14ac:dyDescent="0.25">
      <c r="A2485" s="35"/>
      <c r="B2485" s="42"/>
      <c r="C2485" s="42"/>
      <c r="D2485" s="42"/>
      <c r="E2485" s="41"/>
      <c r="F2485" s="41"/>
      <c r="G2485" s="41"/>
      <c r="H2485" s="41"/>
      <c r="I2485" s="41"/>
      <c r="J2485" s="42"/>
      <c r="K2485" s="41"/>
      <c r="L2485" s="41"/>
      <c r="M2485" s="127"/>
      <c r="N2485" s="41"/>
      <c r="O2485" s="41"/>
      <c r="P2485" s="41"/>
      <c r="Q2485" s="42"/>
      <c r="R2485" s="35"/>
      <c r="S2485" s="35"/>
      <c r="T2485" s="35"/>
      <c r="U2485" s="35"/>
      <c r="V2485" s="121"/>
      <c r="W2485" s="42"/>
      <c r="X2485" s="42"/>
      <c r="Y2485" s="42"/>
      <c r="Z2485" s="42"/>
      <c r="AA2485" s="42"/>
      <c r="AB2485" s="42"/>
      <c r="AC2485" s="42"/>
      <c r="AD2485" s="42"/>
      <c r="AE2485" s="42"/>
      <c r="AF2485" s="42"/>
      <c r="AG2485" s="42"/>
      <c r="AH2485" s="42"/>
      <c r="AI2485" s="42"/>
      <c r="AJ2485" s="42"/>
      <c r="AK2485" s="42"/>
      <c r="AL2485" s="42"/>
      <c r="AM2485" s="42"/>
    </row>
    <row r="2486" spans="1:39" x14ac:dyDescent="0.25">
      <c r="A2486" s="35"/>
      <c r="B2486" s="42"/>
      <c r="C2486" s="42"/>
      <c r="D2486" s="42"/>
      <c r="E2486" s="41"/>
      <c r="F2486" s="41"/>
      <c r="G2486" s="41"/>
      <c r="H2486" s="41"/>
      <c r="I2486" s="41"/>
      <c r="J2486" s="42"/>
      <c r="K2486" s="41"/>
      <c r="L2486" s="41"/>
      <c r="M2486" s="127"/>
      <c r="N2486" s="41"/>
      <c r="O2486" s="41"/>
      <c r="P2486" s="41"/>
      <c r="Q2486" s="42"/>
      <c r="R2486" s="35"/>
      <c r="S2486" s="35"/>
      <c r="T2486" s="35"/>
      <c r="U2486" s="35"/>
      <c r="V2486" s="121"/>
      <c r="W2486" s="42"/>
      <c r="X2486" s="42"/>
      <c r="Y2486" s="42"/>
      <c r="Z2486" s="42"/>
      <c r="AA2486" s="42"/>
      <c r="AB2486" s="42"/>
      <c r="AC2486" s="42"/>
      <c r="AD2486" s="42"/>
      <c r="AE2486" s="42"/>
      <c r="AF2486" s="42"/>
      <c r="AG2486" s="42"/>
      <c r="AH2486" s="42"/>
      <c r="AI2486" s="42"/>
      <c r="AJ2486" s="42"/>
      <c r="AK2486" s="42"/>
      <c r="AL2486" s="42"/>
      <c r="AM2486" s="42"/>
    </row>
    <row r="2487" spans="1:39" x14ac:dyDescent="0.25">
      <c r="A2487" s="35"/>
      <c r="B2487" s="42"/>
      <c r="C2487" s="42"/>
      <c r="D2487" s="42"/>
      <c r="E2487" s="41"/>
      <c r="F2487" s="41"/>
      <c r="G2487" s="41"/>
      <c r="H2487" s="41"/>
      <c r="I2487" s="41"/>
      <c r="J2487" s="42"/>
      <c r="K2487" s="41"/>
      <c r="L2487" s="41"/>
      <c r="M2487" s="127"/>
      <c r="N2487" s="41"/>
      <c r="O2487" s="41"/>
      <c r="P2487" s="41"/>
      <c r="Q2487" s="42"/>
      <c r="R2487" s="35"/>
      <c r="S2487" s="35"/>
      <c r="T2487" s="35"/>
      <c r="U2487" s="35"/>
      <c r="V2487" s="121"/>
      <c r="W2487" s="42"/>
      <c r="X2487" s="42"/>
      <c r="Y2487" s="42"/>
      <c r="Z2487" s="42"/>
      <c r="AA2487" s="42"/>
      <c r="AB2487" s="42"/>
      <c r="AC2487" s="42"/>
      <c r="AD2487" s="42"/>
      <c r="AE2487" s="42"/>
      <c r="AF2487" s="42"/>
      <c r="AG2487" s="42"/>
      <c r="AH2487" s="42"/>
      <c r="AI2487" s="42"/>
      <c r="AJ2487" s="42"/>
      <c r="AK2487" s="42"/>
      <c r="AL2487" s="42"/>
      <c r="AM2487" s="42"/>
    </row>
    <row r="2488" spans="1:39" x14ac:dyDescent="0.25">
      <c r="A2488" s="35"/>
      <c r="B2488" s="42"/>
      <c r="C2488" s="42"/>
      <c r="D2488" s="42"/>
      <c r="E2488" s="41"/>
      <c r="F2488" s="41"/>
      <c r="G2488" s="41"/>
      <c r="H2488" s="41"/>
      <c r="I2488" s="41"/>
      <c r="J2488" s="42"/>
      <c r="K2488" s="41"/>
      <c r="L2488" s="41"/>
      <c r="M2488" s="127"/>
      <c r="N2488" s="41"/>
      <c r="O2488" s="41"/>
      <c r="P2488" s="41"/>
      <c r="Q2488" s="42"/>
      <c r="R2488" s="35"/>
      <c r="S2488" s="35"/>
      <c r="T2488" s="35"/>
      <c r="U2488" s="35"/>
      <c r="V2488" s="121"/>
      <c r="W2488" s="42"/>
      <c r="X2488" s="42"/>
      <c r="Y2488" s="42"/>
      <c r="Z2488" s="42"/>
      <c r="AA2488" s="42"/>
      <c r="AB2488" s="42"/>
      <c r="AC2488" s="42"/>
      <c r="AD2488" s="42"/>
      <c r="AE2488" s="42"/>
      <c r="AF2488" s="42"/>
      <c r="AG2488" s="42"/>
      <c r="AH2488" s="42"/>
      <c r="AI2488" s="42"/>
      <c r="AJ2488" s="42"/>
      <c r="AK2488" s="42"/>
      <c r="AL2488" s="42"/>
      <c r="AM2488" s="42"/>
    </row>
    <row r="2489" spans="1:39" x14ac:dyDescent="0.25">
      <c r="A2489" s="35"/>
      <c r="B2489" s="42"/>
      <c r="C2489" s="42"/>
      <c r="D2489" s="42"/>
      <c r="E2489" s="41"/>
      <c r="F2489" s="41"/>
      <c r="G2489" s="41"/>
      <c r="H2489" s="41"/>
      <c r="I2489" s="41"/>
      <c r="J2489" s="42"/>
      <c r="K2489" s="41"/>
      <c r="L2489" s="41"/>
      <c r="M2489" s="127"/>
      <c r="N2489" s="41"/>
      <c r="O2489" s="41"/>
      <c r="P2489" s="41"/>
      <c r="Q2489" s="42"/>
      <c r="R2489" s="35"/>
      <c r="S2489" s="35"/>
      <c r="T2489" s="35"/>
      <c r="U2489" s="35"/>
      <c r="V2489" s="121"/>
      <c r="W2489" s="42"/>
      <c r="X2489" s="42"/>
      <c r="Y2489" s="42"/>
      <c r="Z2489" s="42"/>
      <c r="AA2489" s="42"/>
      <c r="AB2489" s="42"/>
      <c r="AC2489" s="42"/>
      <c r="AD2489" s="42"/>
      <c r="AE2489" s="42"/>
      <c r="AF2489" s="42"/>
      <c r="AG2489" s="42"/>
      <c r="AH2489" s="42"/>
      <c r="AI2489" s="42"/>
      <c r="AJ2489" s="42"/>
      <c r="AK2489" s="42"/>
      <c r="AL2489" s="42"/>
      <c r="AM2489" s="42"/>
    </row>
    <row r="2490" spans="1:39" x14ac:dyDescent="0.25">
      <c r="A2490" s="35"/>
      <c r="B2490" s="42"/>
      <c r="C2490" s="42"/>
      <c r="D2490" s="42"/>
      <c r="E2490" s="41"/>
      <c r="F2490" s="41"/>
      <c r="G2490" s="41"/>
      <c r="H2490" s="41"/>
      <c r="I2490" s="41"/>
      <c r="J2490" s="42"/>
      <c r="K2490" s="41"/>
      <c r="L2490" s="41"/>
      <c r="M2490" s="127"/>
      <c r="N2490" s="41"/>
      <c r="O2490" s="41"/>
      <c r="P2490" s="41"/>
      <c r="Q2490" s="42"/>
      <c r="R2490" s="35"/>
      <c r="S2490" s="35"/>
      <c r="T2490" s="35"/>
      <c r="U2490" s="35"/>
      <c r="V2490" s="121"/>
      <c r="W2490" s="42"/>
      <c r="X2490" s="42"/>
      <c r="Y2490" s="42"/>
      <c r="Z2490" s="42"/>
      <c r="AA2490" s="42"/>
      <c r="AB2490" s="42"/>
      <c r="AC2490" s="42"/>
      <c r="AD2490" s="42"/>
      <c r="AE2490" s="42"/>
      <c r="AF2490" s="42"/>
      <c r="AG2490" s="42"/>
      <c r="AH2490" s="42"/>
      <c r="AI2490" s="42"/>
      <c r="AJ2490" s="42"/>
      <c r="AK2490" s="42"/>
      <c r="AL2490" s="42"/>
      <c r="AM2490" s="42"/>
    </row>
    <row r="2491" spans="1:39" x14ac:dyDescent="0.25">
      <c r="A2491" s="35"/>
      <c r="B2491" s="42"/>
      <c r="C2491" s="42"/>
      <c r="D2491" s="42"/>
      <c r="E2491" s="41"/>
      <c r="F2491" s="41"/>
      <c r="G2491" s="41"/>
      <c r="H2491" s="41"/>
      <c r="I2491" s="41"/>
      <c r="J2491" s="42"/>
      <c r="K2491" s="41"/>
      <c r="L2491" s="41"/>
      <c r="M2491" s="127"/>
      <c r="N2491" s="41"/>
      <c r="O2491" s="41"/>
      <c r="P2491" s="41"/>
      <c r="Q2491" s="42"/>
      <c r="R2491" s="35"/>
      <c r="S2491" s="35"/>
      <c r="T2491" s="35"/>
      <c r="U2491" s="35"/>
      <c r="V2491" s="121"/>
      <c r="W2491" s="42"/>
      <c r="X2491" s="42"/>
      <c r="Y2491" s="42"/>
      <c r="Z2491" s="42"/>
      <c r="AA2491" s="42"/>
      <c r="AB2491" s="42"/>
      <c r="AC2491" s="42"/>
      <c r="AD2491" s="42"/>
      <c r="AE2491" s="42"/>
      <c r="AF2491" s="42"/>
      <c r="AG2491" s="42"/>
      <c r="AH2491" s="42"/>
      <c r="AI2491" s="42"/>
      <c r="AJ2491" s="42"/>
      <c r="AK2491" s="42"/>
      <c r="AL2491" s="42"/>
      <c r="AM2491" s="42"/>
    </row>
    <row r="2492" spans="1:39" x14ac:dyDescent="0.25">
      <c r="A2492" s="35"/>
      <c r="B2492" s="42"/>
      <c r="C2492" s="42"/>
      <c r="D2492" s="42"/>
      <c r="E2492" s="41"/>
      <c r="F2492" s="41"/>
      <c r="G2492" s="41"/>
      <c r="H2492" s="41"/>
      <c r="I2492" s="41"/>
      <c r="J2492" s="42"/>
      <c r="K2492" s="41"/>
      <c r="L2492" s="41"/>
      <c r="M2492" s="127"/>
      <c r="N2492" s="41"/>
      <c r="O2492" s="41"/>
      <c r="P2492" s="41"/>
      <c r="Q2492" s="42"/>
      <c r="R2492" s="35"/>
      <c r="S2492" s="35"/>
      <c r="T2492" s="35"/>
      <c r="U2492" s="35"/>
      <c r="V2492" s="121"/>
      <c r="W2492" s="42"/>
      <c r="X2492" s="42"/>
      <c r="Y2492" s="42"/>
      <c r="Z2492" s="42"/>
      <c r="AA2492" s="42"/>
      <c r="AB2492" s="42"/>
      <c r="AC2492" s="42"/>
      <c r="AD2492" s="42"/>
      <c r="AE2492" s="42"/>
      <c r="AF2492" s="42"/>
      <c r="AG2492" s="42"/>
      <c r="AH2492" s="42"/>
      <c r="AI2492" s="42"/>
      <c r="AJ2492" s="42"/>
      <c r="AK2492" s="42"/>
      <c r="AL2492" s="42"/>
      <c r="AM2492" s="42"/>
    </row>
    <row r="2493" spans="1:39" x14ac:dyDescent="0.25">
      <c r="A2493" s="35"/>
      <c r="B2493" s="42"/>
      <c r="C2493" s="42"/>
      <c r="D2493" s="42"/>
      <c r="E2493" s="41"/>
      <c r="F2493" s="41"/>
      <c r="G2493" s="41"/>
      <c r="H2493" s="41"/>
      <c r="I2493" s="41"/>
      <c r="J2493" s="42"/>
      <c r="K2493" s="41"/>
      <c r="L2493" s="41"/>
      <c r="M2493" s="127"/>
      <c r="N2493" s="41"/>
      <c r="O2493" s="41"/>
      <c r="P2493" s="41"/>
      <c r="Q2493" s="42"/>
      <c r="R2493" s="35"/>
      <c r="S2493" s="35"/>
      <c r="T2493" s="35"/>
      <c r="U2493" s="35"/>
      <c r="V2493" s="121"/>
      <c r="W2493" s="42"/>
      <c r="X2493" s="42"/>
      <c r="Y2493" s="42"/>
      <c r="Z2493" s="42"/>
      <c r="AA2493" s="42"/>
      <c r="AB2493" s="42"/>
      <c r="AC2493" s="42"/>
      <c r="AD2493" s="42"/>
      <c r="AE2493" s="42"/>
      <c r="AF2493" s="42"/>
      <c r="AG2493" s="42"/>
      <c r="AH2493" s="42"/>
      <c r="AI2493" s="42"/>
      <c r="AJ2493" s="42"/>
      <c r="AK2493" s="42"/>
      <c r="AL2493" s="42"/>
      <c r="AM2493" s="42"/>
    </row>
    <row r="2494" spans="1:39" x14ac:dyDescent="0.25">
      <c r="A2494" s="35"/>
      <c r="B2494" s="42"/>
      <c r="C2494" s="42"/>
      <c r="D2494" s="42"/>
      <c r="E2494" s="41"/>
      <c r="F2494" s="41"/>
      <c r="G2494" s="41"/>
      <c r="H2494" s="41"/>
      <c r="I2494" s="41"/>
      <c r="J2494" s="42"/>
      <c r="K2494" s="41"/>
      <c r="L2494" s="41"/>
      <c r="M2494" s="127"/>
      <c r="N2494" s="41"/>
      <c r="O2494" s="41"/>
      <c r="P2494" s="41"/>
      <c r="Q2494" s="42"/>
      <c r="R2494" s="35"/>
      <c r="S2494" s="35"/>
      <c r="T2494" s="35"/>
      <c r="U2494" s="35"/>
      <c r="V2494" s="121"/>
      <c r="W2494" s="42"/>
      <c r="X2494" s="42"/>
      <c r="Y2494" s="42"/>
      <c r="Z2494" s="42"/>
      <c r="AA2494" s="42"/>
      <c r="AB2494" s="42"/>
      <c r="AC2494" s="42"/>
      <c r="AD2494" s="42"/>
      <c r="AE2494" s="42"/>
      <c r="AF2494" s="42"/>
      <c r="AG2494" s="42"/>
      <c r="AH2494" s="42"/>
      <c r="AI2494" s="42"/>
      <c r="AJ2494" s="42"/>
      <c r="AK2494" s="42"/>
      <c r="AL2494" s="42"/>
      <c r="AM2494" s="42"/>
    </row>
    <row r="2495" spans="1:39" x14ac:dyDescent="0.25">
      <c r="A2495" s="35"/>
      <c r="B2495" s="42"/>
      <c r="C2495" s="42"/>
      <c r="D2495" s="42"/>
      <c r="E2495" s="41"/>
      <c r="F2495" s="41"/>
      <c r="G2495" s="41"/>
      <c r="H2495" s="41"/>
      <c r="I2495" s="41"/>
      <c r="J2495" s="42"/>
      <c r="K2495" s="41"/>
      <c r="L2495" s="41"/>
      <c r="M2495" s="127"/>
      <c r="N2495" s="41"/>
      <c r="O2495" s="41"/>
      <c r="P2495" s="41"/>
      <c r="Q2495" s="42"/>
      <c r="R2495" s="35"/>
      <c r="S2495" s="35"/>
      <c r="T2495" s="35"/>
      <c r="U2495" s="35"/>
      <c r="V2495" s="121"/>
      <c r="W2495" s="42"/>
      <c r="X2495" s="42"/>
      <c r="Y2495" s="42"/>
      <c r="Z2495" s="42"/>
      <c r="AA2495" s="42"/>
      <c r="AB2495" s="42"/>
      <c r="AC2495" s="42"/>
      <c r="AD2495" s="42"/>
      <c r="AE2495" s="42"/>
      <c r="AF2495" s="42"/>
      <c r="AG2495" s="42"/>
      <c r="AH2495" s="42"/>
      <c r="AI2495" s="42"/>
      <c r="AJ2495" s="42"/>
      <c r="AK2495" s="42"/>
      <c r="AL2495" s="42"/>
      <c r="AM2495" s="42"/>
    </row>
    <row r="2496" spans="1:39" x14ac:dyDescent="0.25">
      <c r="A2496" s="35"/>
      <c r="B2496" s="42"/>
      <c r="C2496" s="42"/>
      <c r="D2496" s="42"/>
      <c r="E2496" s="41"/>
      <c r="F2496" s="41"/>
      <c r="G2496" s="41"/>
      <c r="H2496" s="41"/>
      <c r="I2496" s="41"/>
      <c r="J2496" s="42"/>
      <c r="K2496" s="41"/>
      <c r="L2496" s="41"/>
      <c r="M2496" s="127"/>
      <c r="N2496" s="41"/>
      <c r="O2496" s="41"/>
      <c r="P2496" s="41"/>
      <c r="Q2496" s="42"/>
      <c r="R2496" s="35"/>
      <c r="S2496" s="35"/>
      <c r="T2496" s="35"/>
      <c r="U2496" s="35"/>
      <c r="V2496" s="121"/>
      <c r="W2496" s="42"/>
      <c r="X2496" s="42"/>
      <c r="Y2496" s="42"/>
      <c r="Z2496" s="42"/>
      <c r="AA2496" s="42"/>
      <c r="AB2496" s="42"/>
      <c r="AC2496" s="42"/>
      <c r="AD2496" s="42"/>
      <c r="AE2496" s="42"/>
      <c r="AF2496" s="42"/>
      <c r="AG2496" s="42"/>
      <c r="AH2496" s="42"/>
      <c r="AI2496" s="42"/>
      <c r="AJ2496" s="42"/>
      <c r="AK2496" s="42"/>
      <c r="AL2496" s="42"/>
      <c r="AM2496" s="42"/>
    </row>
    <row r="2497" spans="1:39" x14ac:dyDescent="0.25">
      <c r="A2497" s="35"/>
      <c r="B2497" s="42"/>
      <c r="C2497" s="42"/>
      <c r="D2497" s="42"/>
      <c r="E2497" s="41"/>
      <c r="F2497" s="41"/>
      <c r="G2497" s="41"/>
      <c r="H2497" s="41"/>
      <c r="I2497" s="41"/>
      <c r="J2497" s="42"/>
      <c r="K2497" s="41"/>
      <c r="L2497" s="41"/>
      <c r="M2497" s="127"/>
      <c r="N2497" s="41"/>
      <c r="O2497" s="41"/>
      <c r="P2497" s="41"/>
      <c r="Q2497" s="42"/>
      <c r="R2497" s="35"/>
      <c r="S2497" s="35"/>
      <c r="T2497" s="35"/>
      <c r="U2497" s="35"/>
      <c r="V2497" s="121"/>
      <c r="W2497" s="42"/>
      <c r="X2497" s="42"/>
      <c r="Y2497" s="42"/>
      <c r="Z2497" s="42"/>
      <c r="AA2497" s="42"/>
      <c r="AB2497" s="42"/>
      <c r="AC2497" s="42"/>
      <c r="AD2497" s="42"/>
      <c r="AE2497" s="42"/>
      <c r="AF2497" s="42"/>
      <c r="AG2497" s="42"/>
      <c r="AH2497" s="42"/>
      <c r="AI2497" s="42"/>
      <c r="AJ2497" s="42"/>
      <c r="AK2497" s="42"/>
      <c r="AL2497" s="42"/>
      <c r="AM2497" s="42"/>
    </row>
    <row r="2498" spans="1:39" x14ac:dyDescent="0.25">
      <c r="A2498" s="35"/>
      <c r="B2498" s="42"/>
      <c r="C2498" s="42"/>
      <c r="D2498" s="42"/>
      <c r="E2498" s="41"/>
      <c r="F2498" s="41"/>
      <c r="G2498" s="41"/>
      <c r="H2498" s="41"/>
      <c r="I2498" s="41"/>
      <c r="J2498" s="42"/>
      <c r="K2498" s="41"/>
      <c r="L2498" s="41"/>
      <c r="M2498" s="127"/>
      <c r="N2498" s="41"/>
      <c r="O2498" s="41"/>
      <c r="P2498" s="41"/>
      <c r="Q2498" s="42"/>
      <c r="R2498" s="35"/>
      <c r="S2498" s="35"/>
      <c r="T2498" s="35"/>
      <c r="U2498" s="35"/>
      <c r="V2498" s="121"/>
      <c r="W2498" s="42"/>
      <c r="X2498" s="42"/>
      <c r="Y2498" s="42"/>
      <c r="Z2498" s="42"/>
      <c r="AA2498" s="42"/>
      <c r="AB2498" s="42"/>
      <c r="AC2498" s="42"/>
      <c r="AD2498" s="42"/>
      <c r="AE2498" s="42"/>
      <c r="AF2498" s="42"/>
      <c r="AG2498" s="42"/>
      <c r="AH2498" s="42"/>
      <c r="AI2498" s="42"/>
      <c r="AJ2498" s="42"/>
      <c r="AK2498" s="42"/>
      <c r="AL2498" s="42"/>
      <c r="AM2498" s="42"/>
    </row>
    <row r="2499" spans="1:39" x14ac:dyDescent="0.25">
      <c r="A2499" s="35"/>
      <c r="B2499" s="42"/>
      <c r="C2499" s="42"/>
      <c r="D2499" s="42"/>
      <c r="E2499" s="41"/>
      <c r="F2499" s="41"/>
      <c r="G2499" s="41"/>
      <c r="H2499" s="41"/>
      <c r="I2499" s="41"/>
      <c r="J2499" s="42"/>
      <c r="K2499" s="41"/>
      <c r="L2499" s="41"/>
      <c r="M2499" s="127"/>
      <c r="N2499" s="41"/>
      <c r="O2499" s="41"/>
      <c r="P2499" s="41"/>
      <c r="Q2499" s="42"/>
      <c r="R2499" s="35"/>
      <c r="S2499" s="35"/>
      <c r="T2499" s="35"/>
      <c r="U2499" s="35"/>
      <c r="V2499" s="121"/>
      <c r="W2499" s="42"/>
      <c r="X2499" s="42"/>
      <c r="Y2499" s="42"/>
      <c r="Z2499" s="42"/>
      <c r="AA2499" s="42"/>
      <c r="AB2499" s="42"/>
      <c r="AC2499" s="42"/>
      <c r="AD2499" s="42"/>
      <c r="AE2499" s="42"/>
      <c r="AF2499" s="42"/>
      <c r="AG2499" s="42"/>
      <c r="AH2499" s="42"/>
      <c r="AI2499" s="42"/>
      <c r="AJ2499" s="42"/>
      <c r="AK2499" s="42"/>
      <c r="AL2499" s="42"/>
      <c r="AM2499" s="42"/>
    </row>
    <row r="2500" spans="1:39" x14ac:dyDescent="0.25">
      <c r="A2500" s="35"/>
      <c r="B2500" s="42"/>
      <c r="C2500" s="42"/>
      <c r="D2500" s="42"/>
      <c r="E2500" s="41"/>
      <c r="F2500" s="41"/>
      <c r="G2500" s="41"/>
      <c r="H2500" s="41"/>
      <c r="I2500" s="41"/>
      <c r="J2500" s="42"/>
      <c r="K2500" s="41"/>
      <c r="L2500" s="41"/>
      <c r="M2500" s="127"/>
      <c r="N2500" s="41"/>
      <c r="O2500" s="41"/>
      <c r="P2500" s="41"/>
      <c r="Q2500" s="42"/>
      <c r="R2500" s="35"/>
      <c r="S2500" s="35"/>
      <c r="T2500" s="35"/>
      <c r="U2500" s="35"/>
      <c r="V2500" s="121"/>
      <c r="W2500" s="42"/>
      <c r="X2500" s="42"/>
      <c r="Y2500" s="42"/>
      <c r="Z2500" s="42"/>
      <c r="AA2500" s="42"/>
      <c r="AB2500" s="42"/>
      <c r="AC2500" s="42"/>
      <c r="AD2500" s="42"/>
      <c r="AE2500" s="42"/>
      <c r="AF2500" s="42"/>
      <c r="AG2500" s="42"/>
      <c r="AH2500" s="42"/>
      <c r="AI2500" s="42"/>
      <c r="AJ2500" s="42"/>
      <c r="AK2500" s="42"/>
      <c r="AL2500" s="42"/>
      <c r="AM2500" s="4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1003"/>
  <sheetViews>
    <sheetView workbookViewId="0"/>
  </sheetViews>
  <sheetFormatPr defaultColWidth="14.44140625" defaultRowHeight="15.75" customHeight="1" x14ac:dyDescent="0.25"/>
  <cols>
    <col min="1" max="1" width="2.6640625" customWidth="1"/>
    <col min="2" max="2" width="11.6640625" customWidth="1"/>
    <col min="3" max="3" width="16.44140625" customWidth="1"/>
    <col min="4" max="4" width="8" customWidth="1"/>
    <col min="5" max="5" width="17.88671875" customWidth="1"/>
  </cols>
  <sheetData>
    <row r="1" spans="1:4" x14ac:dyDescent="0.25">
      <c r="A1" s="128" t="s">
        <v>2390</v>
      </c>
      <c r="B1" s="129" t="s">
        <v>2391</v>
      </c>
      <c r="C1" s="130"/>
      <c r="D1" s="131" t="s">
        <v>46</v>
      </c>
    </row>
    <row r="2" spans="1:4" x14ac:dyDescent="0.25">
      <c r="A2" s="132" t="s">
        <v>2392</v>
      </c>
      <c r="B2" s="13" t="s">
        <v>37</v>
      </c>
      <c r="C2" s="130"/>
      <c r="D2" s="133" t="s">
        <v>54</v>
      </c>
    </row>
    <row r="3" spans="1:4" x14ac:dyDescent="0.25">
      <c r="A3" s="132" t="s">
        <v>352</v>
      </c>
      <c r="B3" s="13" t="s">
        <v>38</v>
      </c>
      <c r="C3" s="130"/>
      <c r="D3" s="133" t="s">
        <v>32</v>
      </c>
    </row>
    <row r="4" spans="1:4" x14ac:dyDescent="0.25">
      <c r="A4" s="132" t="s">
        <v>2393</v>
      </c>
      <c r="B4" s="13" t="s">
        <v>39</v>
      </c>
      <c r="C4" s="130"/>
      <c r="D4" s="133" t="s">
        <v>33</v>
      </c>
    </row>
    <row r="5" spans="1:4" x14ac:dyDescent="0.25">
      <c r="A5" s="132" t="s">
        <v>2394</v>
      </c>
      <c r="B5" s="13" t="s">
        <v>40</v>
      </c>
      <c r="C5" s="130"/>
      <c r="D5" s="133" t="s">
        <v>34</v>
      </c>
    </row>
    <row r="6" spans="1:4" x14ac:dyDescent="0.25">
      <c r="A6" s="134" t="s">
        <v>3</v>
      </c>
      <c r="B6" s="135" t="s">
        <v>41</v>
      </c>
      <c r="C6" s="23"/>
      <c r="D6" s="133" t="s">
        <v>35</v>
      </c>
    </row>
    <row r="7" spans="1:4" x14ac:dyDescent="0.25">
      <c r="A7" s="23"/>
      <c r="B7" s="23"/>
      <c r="C7" s="23"/>
      <c r="D7" s="136" t="s">
        <v>36</v>
      </c>
    </row>
    <row r="8" spans="1:4" x14ac:dyDescent="0.25">
      <c r="A8" s="23"/>
      <c r="B8" s="23"/>
      <c r="C8" s="23"/>
      <c r="D8" s="23"/>
    </row>
    <row r="9" spans="1:4" x14ac:dyDescent="0.25">
      <c r="A9" s="23"/>
      <c r="B9" s="23"/>
      <c r="C9" s="23"/>
      <c r="D9" s="23"/>
    </row>
    <row r="10" spans="1:4" x14ac:dyDescent="0.25">
      <c r="A10" s="23"/>
      <c r="B10" s="23"/>
      <c r="C10" s="23"/>
      <c r="D10" s="23"/>
    </row>
    <row r="11" spans="1:4" x14ac:dyDescent="0.25">
      <c r="A11" s="23"/>
      <c r="B11" s="23"/>
      <c r="C11" s="23"/>
      <c r="D11" s="23"/>
    </row>
    <row r="12" spans="1:4" x14ac:dyDescent="0.25">
      <c r="A12" s="23"/>
      <c r="B12" s="23"/>
      <c r="C12" s="23"/>
      <c r="D12" s="23"/>
    </row>
    <row r="13" spans="1:4" x14ac:dyDescent="0.25">
      <c r="A13" s="23"/>
      <c r="B13" s="23"/>
      <c r="C13" s="23"/>
      <c r="D13" s="23"/>
    </row>
    <row r="14" spans="1:4" x14ac:dyDescent="0.25">
      <c r="A14" s="23"/>
      <c r="B14" s="23"/>
      <c r="C14" s="23"/>
      <c r="D14" s="23"/>
    </row>
    <row r="15" spans="1:4" x14ac:dyDescent="0.25">
      <c r="A15" s="23"/>
      <c r="B15" s="23"/>
      <c r="C15" s="23"/>
      <c r="D15" s="23"/>
    </row>
    <row r="16" spans="1:4" x14ac:dyDescent="0.25">
      <c r="A16" s="23"/>
      <c r="B16" s="23"/>
      <c r="C16" s="23"/>
      <c r="D16" s="23"/>
    </row>
    <row r="17" spans="1:4" x14ac:dyDescent="0.25">
      <c r="A17" s="23"/>
      <c r="B17" s="23"/>
      <c r="C17" s="23"/>
      <c r="D17" s="23"/>
    </row>
    <row r="18" spans="1:4" x14ac:dyDescent="0.25">
      <c r="A18" s="23"/>
      <c r="B18" s="23"/>
      <c r="C18" s="23"/>
      <c r="D18" s="23"/>
    </row>
    <row r="19" spans="1:4" x14ac:dyDescent="0.25">
      <c r="A19" s="23"/>
      <c r="B19" s="23"/>
      <c r="C19" s="23"/>
      <c r="D19" s="23"/>
    </row>
    <row r="20" spans="1:4" x14ac:dyDescent="0.25">
      <c r="A20" s="23"/>
      <c r="B20" s="23"/>
      <c r="C20" s="23"/>
      <c r="D20" s="23"/>
    </row>
    <row r="21" spans="1:4" x14ac:dyDescent="0.25">
      <c r="A21" s="23"/>
      <c r="B21" s="23"/>
      <c r="C21" s="23"/>
      <c r="D21" s="23"/>
    </row>
    <row r="22" spans="1:4" x14ac:dyDescent="0.25">
      <c r="A22" s="23"/>
      <c r="B22" s="23"/>
      <c r="C22" s="23"/>
      <c r="D22" s="23"/>
    </row>
    <row r="23" spans="1:4" x14ac:dyDescent="0.25">
      <c r="A23" s="23"/>
      <c r="B23" s="23"/>
      <c r="C23" s="23"/>
      <c r="D23" s="23"/>
    </row>
    <row r="24" spans="1:4" x14ac:dyDescent="0.25">
      <c r="A24" s="23"/>
      <c r="B24" s="23"/>
      <c r="C24" s="23"/>
      <c r="D24" s="23"/>
    </row>
    <row r="25" spans="1:4" x14ac:dyDescent="0.25">
      <c r="A25" s="23"/>
      <c r="B25" s="23"/>
      <c r="C25" s="23"/>
      <c r="D25" s="23"/>
    </row>
    <row r="26" spans="1:4" x14ac:dyDescent="0.25">
      <c r="A26" s="23"/>
      <c r="B26" s="23"/>
      <c r="C26" s="23"/>
      <c r="D26" s="23"/>
    </row>
    <row r="27" spans="1:4" x14ac:dyDescent="0.25">
      <c r="A27" s="23"/>
      <c r="B27" s="23"/>
      <c r="C27" s="23"/>
      <c r="D27" s="23"/>
    </row>
    <row r="28" spans="1:4" x14ac:dyDescent="0.25">
      <c r="A28" s="23"/>
      <c r="B28" s="23"/>
      <c r="C28" s="23"/>
      <c r="D28" s="23"/>
    </row>
    <row r="29" spans="1:4" x14ac:dyDescent="0.25">
      <c r="A29" s="23"/>
      <c r="B29" s="23"/>
      <c r="C29" s="23"/>
      <c r="D29" s="23"/>
    </row>
    <row r="30" spans="1:4" x14ac:dyDescent="0.25">
      <c r="A30" s="23"/>
      <c r="B30" s="23"/>
      <c r="C30" s="23"/>
      <c r="D30" s="23"/>
    </row>
    <row r="31" spans="1:4" x14ac:dyDescent="0.25">
      <c r="A31" s="23"/>
      <c r="B31" s="23"/>
      <c r="C31" s="23"/>
      <c r="D31" s="23"/>
    </row>
    <row r="32" spans="1:4" x14ac:dyDescent="0.25">
      <c r="A32" s="23"/>
      <c r="B32" s="23"/>
      <c r="C32" s="23"/>
      <c r="D32" s="23"/>
    </row>
    <row r="33" spans="1:4" x14ac:dyDescent="0.25">
      <c r="A33" s="23"/>
      <c r="B33" s="23"/>
      <c r="C33" s="23"/>
      <c r="D33" s="23"/>
    </row>
    <row r="34" spans="1:4" x14ac:dyDescent="0.25">
      <c r="A34" s="23"/>
      <c r="B34" s="23"/>
      <c r="C34" s="23"/>
      <c r="D34" s="23"/>
    </row>
    <row r="35" spans="1:4" x14ac:dyDescent="0.25">
      <c r="A35" s="23"/>
      <c r="B35" s="23"/>
      <c r="C35" s="23"/>
      <c r="D35" s="23"/>
    </row>
    <row r="36" spans="1:4" x14ac:dyDescent="0.25">
      <c r="A36" s="23"/>
      <c r="B36" s="23"/>
      <c r="C36" s="23"/>
      <c r="D36" s="23"/>
    </row>
    <row r="37" spans="1:4" x14ac:dyDescent="0.25">
      <c r="A37" s="23"/>
      <c r="B37" s="23"/>
      <c r="C37" s="23"/>
      <c r="D37" s="23"/>
    </row>
    <row r="38" spans="1:4" x14ac:dyDescent="0.25">
      <c r="A38" s="23"/>
      <c r="B38" s="23"/>
      <c r="C38" s="23"/>
      <c r="D38" s="23"/>
    </row>
    <row r="39" spans="1:4" x14ac:dyDescent="0.25">
      <c r="A39" s="23"/>
      <c r="B39" s="23"/>
      <c r="C39" s="23"/>
      <c r="D39" s="23"/>
    </row>
    <row r="40" spans="1:4" x14ac:dyDescent="0.25">
      <c r="A40" s="23"/>
      <c r="B40" s="23"/>
      <c r="C40" s="23"/>
      <c r="D40" s="23"/>
    </row>
    <row r="41" spans="1:4" x14ac:dyDescent="0.25">
      <c r="A41" s="23"/>
      <c r="B41" s="23"/>
      <c r="C41" s="23"/>
      <c r="D41" s="23"/>
    </row>
    <row r="42" spans="1:4" x14ac:dyDescent="0.25">
      <c r="A42" s="23"/>
      <c r="B42" s="23"/>
      <c r="C42" s="23"/>
      <c r="D42" s="23"/>
    </row>
    <row r="43" spans="1:4" x14ac:dyDescent="0.25">
      <c r="A43" s="23"/>
      <c r="B43" s="23"/>
      <c r="C43" s="23"/>
      <c r="D43" s="23"/>
    </row>
    <row r="44" spans="1:4" x14ac:dyDescent="0.25">
      <c r="A44" s="23"/>
      <c r="B44" s="23"/>
      <c r="C44" s="23"/>
      <c r="D44" s="23"/>
    </row>
    <row r="45" spans="1:4" x14ac:dyDescent="0.25">
      <c r="A45" s="23"/>
      <c r="B45" s="23"/>
      <c r="C45" s="23"/>
      <c r="D45" s="23"/>
    </row>
    <row r="46" spans="1:4" x14ac:dyDescent="0.25">
      <c r="A46" s="23"/>
      <c r="B46" s="23"/>
      <c r="C46" s="23"/>
      <c r="D46" s="23"/>
    </row>
    <row r="47" spans="1:4" x14ac:dyDescent="0.25">
      <c r="A47" s="23"/>
      <c r="B47" s="23"/>
      <c r="C47" s="23"/>
      <c r="D47" s="23"/>
    </row>
    <row r="48" spans="1:4" x14ac:dyDescent="0.25">
      <c r="A48" s="23"/>
      <c r="B48" s="23"/>
      <c r="C48" s="23"/>
      <c r="D48" s="23"/>
    </row>
    <row r="49" spans="1:4" x14ac:dyDescent="0.25">
      <c r="A49" s="23"/>
      <c r="B49" s="23"/>
      <c r="C49" s="23"/>
      <c r="D49" s="23"/>
    </row>
    <row r="50" spans="1:4" x14ac:dyDescent="0.25">
      <c r="A50" s="23"/>
      <c r="B50" s="23"/>
      <c r="C50" s="23"/>
      <c r="D50" s="23"/>
    </row>
    <row r="51" spans="1:4" x14ac:dyDescent="0.25">
      <c r="A51" s="23"/>
      <c r="B51" s="23"/>
      <c r="C51" s="23"/>
      <c r="D51" s="23"/>
    </row>
    <row r="52" spans="1:4" x14ac:dyDescent="0.25">
      <c r="A52" s="23"/>
      <c r="B52" s="23"/>
      <c r="C52" s="23"/>
      <c r="D52" s="23"/>
    </row>
    <row r="53" spans="1:4" x14ac:dyDescent="0.25">
      <c r="A53" s="23"/>
      <c r="B53" s="23"/>
      <c r="C53" s="23"/>
      <c r="D53" s="23"/>
    </row>
    <row r="54" spans="1:4" x14ac:dyDescent="0.25">
      <c r="A54" s="23"/>
      <c r="B54" s="23"/>
      <c r="C54" s="23"/>
      <c r="D54" s="23"/>
    </row>
    <row r="55" spans="1:4" x14ac:dyDescent="0.25">
      <c r="A55" s="23"/>
      <c r="B55" s="23"/>
      <c r="C55" s="23"/>
      <c r="D55" s="23"/>
    </row>
    <row r="56" spans="1:4" x14ac:dyDescent="0.25">
      <c r="A56" s="23"/>
      <c r="B56" s="23"/>
      <c r="C56" s="23"/>
      <c r="D56" s="23"/>
    </row>
    <row r="57" spans="1:4" x14ac:dyDescent="0.25">
      <c r="A57" s="23"/>
      <c r="B57" s="23"/>
      <c r="C57" s="23"/>
      <c r="D57" s="23"/>
    </row>
    <row r="58" spans="1:4" x14ac:dyDescent="0.25">
      <c r="A58" s="23"/>
      <c r="B58" s="23"/>
      <c r="C58" s="23"/>
      <c r="D58" s="23"/>
    </row>
    <row r="59" spans="1:4" x14ac:dyDescent="0.25">
      <c r="A59" s="23"/>
      <c r="B59" s="23"/>
      <c r="C59" s="23"/>
      <c r="D59" s="23"/>
    </row>
    <row r="60" spans="1:4" x14ac:dyDescent="0.25">
      <c r="A60" s="23"/>
      <c r="B60" s="23"/>
      <c r="C60" s="23"/>
      <c r="D60" s="23"/>
    </row>
    <row r="61" spans="1:4" x14ac:dyDescent="0.25">
      <c r="A61" s="23"/>
      <c r="B61" s="23"/>
      <c r="C61" s="23"/>
      <c r="D61" s="23"/>
    </row>
    <row r="62" spans="1:4" x14ac:dyDescent="0.25">
      <c r="A62" s="23"/>
      <c r="B62" s="23"/>
      <c r="C62" s="23"/>
      <c r="D62" s="23"/>
    </row>
    <row r="63" spans="1:4" x14ac:dyDescent="0.25">
      <c r="A63" s="23"/>
      <c r="B63" s="23"/>
      <c r="C63" s="23"/>
      <c r="D63" s="23"/>
    </row>
    <row r="64" spans="1:4" x14ac:dyDescent="0.25">
      <c r="A64" s="23"/>
      <c r="B64" s="23"/>
      <c r="C64" s="23"/>
      <c r="D64" s="23"/>
    </row>
    <row r="65" spans="1:4" x14ac:dyDescent="0.25">
      <c r="A65" s="23"/>
      <c r="B65" s="23"/>
      <c r="C65" s="23"/>
      <c r="D65" s="23"/>
    </row>
    <row r="66" spans="1:4" x14ac:dyDescent="0.25">
      <c r="A66" s="23"/>
      <c r="B66" s="23"/>
      <c r="C66" s="23"/>
      <c r="D66" s="23"/>
    </row>
    <row r="67" spans="1:4" x14ac:dyDescent="0.25">
      <c r="A67" s="23"/>
      <c r="B67" s="23"/>
      <c r="C67" s="23"/>
      <c r="D67" s="23"/>
    </row>
    <row r="68" spans="1:4" x14ac:dyDescent="0.25">
      <c r="A68" s="23"/>
      <c r="B68" s="23"/>
      <c r="C68" s="23"/>
      <c r="D68" s="23"/>
    </row>
    <row r="69" spans="1:4" x14ac:dyDescent="0.25">
      <c r="A69" s="23"/>
      <c r="B69" s="23"/>
      <c r="C69" s="23"/>
      <c r="D69" s="23"/>
    </row>
    <row r="70" spans="1:4" x14ac:dyDescent="0.25">
      <c r="A70" s="23"/>
      <c r="B70" s="23"/>
      <c r="C70" s="23"/>
      <c r="D70" s="23"/>
    </row>
    <row r="71" spans="1:4" x14ac:dyDescent="0.25">
      <c r="A71" s="23"/>
      <c r="B71" s="23"/>
      <c r="C71" s="23"/>
      <c r="D71" s="23"/>
    </row>
    <row r="72" spans="1:4" x14ac:dyDescent="0.25">
      <c r="A72" s="23"/>
      <c r="B72" s="23"/>
      <c r="C72" s="23"/>
      <c r="D72" s="23"/>
    </row>
    <row r="73" spans="1:4" x14ac:dyDescent="0.25">
      <c r="A73" s="23"/>
      <c r="B73" s="23"/>
      <c r="C73" s="23"/>
      <c r="D73" s="23"/>
    </row>
    <row r="74" spans="1:4" x14ac:dyDescent="0.25">
      <c r="A74" s="23"/>
      <c r="B74" s="23"/>
      <c r="C74" s="23"/>
      <c r="D74" s="23"/>
    </row>
    <row r="75" spans="1:4" x14ac:dyDescent="0.25">
      <c r="A75" s="23"/>
      <c r="B75" s="23"/>
      <c r="C75" s="23"/>
      <c r="D75" s="23"/>
    </row>
    <row r="76" spans="1:4" x14ac:dyDescent="0.25">
      <c r="A76" s="23"/>
      <c r="B76" s="23"/>
      <c r="C76" s="23"/>
      <c r="D76" s="23"/>
    </row>
    <row r="77" spans="1:4" x14ac:dyDescent="0.25">
      <c r="A77" s="23"/>
      <c r="B77" s="23"/>
      <c r="C77" s="23"/>
      <c r="D77" s="23"/>
    </row>
    <row r="78" spans="1:4" x14ac:dyDescent="0.25">
      <c r="A78" s="23"/>
      <c r="B78" s="23"/>
      <c r="C78" s="23"/>
      <c r="D78" s="23"/>
    </row>
    <row r="79" spans="1:4" x14ac:dyDescent="0.25">
      <c r="A79" s="23"/>
      <c r="B79" s="23"/>
      <c r="C79" s="23"/>
      <c r="D79" s="23"/>
    </row>
    <row r="80" spans="1:4" x14ac:dyDescent="0.25">
      <c r="A80" s="23"/>
      <c r="B80" s="23"/>
      <c r="C80" s="23"/>
      <c r="D80" s="23"/>
    </row>
    <row r="81" spans="1:4" x14ac:dyDescent="0.25">
      <c r="A81" s="23"/>
      <c r="B81" s="23"/>
      <c r="C81" s="23"/>
      <c r="D81" s="23"/>
    </row>
    <row r="82" spans="1:4" x14ac:dyDescent="0.25">
      <c r="A82" s="23"/>
      <c r="B82" s="23"/>
      <c r="C82" s="23"/>
      <c r="D82" s="23"/>
    </row>
    <row r="83" spans="1:4" x14ac:dyDescent="0.25">
      <c r="A83" s="23"/>
      <c r="B83" s="23"/>
      <c r="C83" s="23"/>
      <c r="D83" s="23"/>
    </row>
    <row r="84" spans="1:4" x14ac:dyDescent="0.25">
      <c r="A84" s="23"/>
      <c r="B84" s="23"/>
      <c r="C84" s="23"/>
      <c r="D84" s="23"/>
    </row>
    <row r="85" spans="1:4" x14ac:dyDescent="0.25">
      <c r="A85" s="23"/>
      <c r="B85" s="23"/>
      <c r="C85" s="23"/>
      <c r="D85" s="23"/>
    </row>
    <row r="86" spans="1:4" x14ac:dyDescent="0.25">
      <c r="A86" s="23"/>
      <c r="B86" s="23"/>
      <c r="C86" s="23"/>
      <c r="D86" s="23"/>
    </row>
    <row r="87" spans="1:4" x14ac:dyDescent="0.25">
      <c r="A87" s="23"/>
      <c r="B87" s="23"/>
      <c r="C87" s="23"/>
      <c r="D87" s="23"/>
    </row>
    <row r="88" spans="1:4" x14ac:dyDescent="0.25">
      <c r="A88" s="23"/>
      <c r="B88" s="23"/>
      <c r="C88" s="23"/>
      <c r="D88" s="23"/>
    </row>
    <row r="89" spans="1:4" x14ac:dyDescent="0.25">
      <c r="A89" s="23"/>
      <c r="B89" s="23"/>
      <c r="C89" s="23"/>
      <c r="D89" s="23"/>
    </row>
    <row r="90" spans="1:4" x14ac:dyDescent="0.25">
      <c r="A90" s="23"/>
      <c r="B90" s="23"/>
      <c r="C90" s="23"/>
      <c r="D90" s="23"/>
    </row>
    <row r="91" spans="1:4" x14ac:dyDescent="0.25">
      <c r="A91" s="23"/>
      <c r="B91" s="23"/>
      <c r="C91" s="23"/>
      <c r="D91" s="23"/>
    </row>
    <row r="92" spans="1:4" x14ac:dyDescent="0.25">
      <c r="A92" s="23"/>
      <c r="B92" s="23"/>
      <c r="C92" s="23"/>
      <c r="D92" s="23"/>
    </row>
    <row r="93" spans="1:4" x14ac:dyDescent="0.25">
      <c r="A93" s="23"/>
      <c r="B93" s="23"/>
      <c r="C93" s="23"/>
      <c r="D93" s="23"/>
    </row>
    <row r="94" spans="1:4" x14ac:dyDescent="0.25">
      <c r="A94" s="23"/>
      <c r="B94" s="23"/>
      <c r="C94" s="23"/>
      <c r="D94" s="23"/>
    </row>
    <row r="95" spans="1:4" x14ac:dyDescent="0.25">
      <c r="A95" s="23"/>
      <c r="B95" s="23"/>
      <c r="C95" s="23"/>
      <c r="D95" s="23"/>
    </row>
    <row r="96" spans="1:4" x14ac:dyDescent="0.25">
      <c r="A96" s="23"/>
      <c r="B96" s="23"/>
      <c r="C96" s="23"/>
      <c r="D96" s="23"/>
    </row>
    <row r="97" spans="1:4" x14ac:dyDescent="0.25">
      <c r="A97" s="23"/>
      <c r="B97" s="23"/>
      <c r="C97" s="23"/>
      <c r="D97" s="23"/>
    </row>
    <row r="98" spans="1:4" x14ac:dyDescent="0.25">
      <c r="A98" s="23"/>
      <c r="B98" s="23"/>
      <c r="C98" s="23"/>
      <c r="D98" s="23"/>
    </row>
    <row r="99" spans="1:4" x14ac:dyDescent="0.25">
      <c r="A99" s="23"/>
      <c r="B99" s="23"/>
      <c r="C99" s="23"/>
      <c r="D99" s="23"/>
    </row>
    <row r="100" spans="1:4" x14ac:dyDescent="0.25">
      <c r="A100" s="23"/>
      <c r="B100" s="23"/>
      <c r="C100" s="23"/>
      <c r="D100" s="23"/>
    </row>
    <row r="101" spans="1:4" x14ac:dyDescent="0.25">
      <c r="A101" s="23"/>
      <c r="B101" s="23"/>
      <c r="C101" s="23"/>
      <c r="D101" s="23"/>
    </row>
    <row r="102" spans="1:4" x14ac:dyDescent="0.25">
      <c r="A102" s="23"/>
      <c r="B102" s="23"/>
      <c r="C102" s="23"/>
      <c r="D102" s="23"/>
    </row>
    <row r="103" spans="1:4" x14ac:dyDescent="0.25">
      <c r="A103" s="23"/>
      <c r="B103" s="23"/>
      <c r="C103" s="23"/>
      <c r="D103" s="23"/>
    </row>
    <row r="104" spans="1:4" x14ac:dyDescent="0.25">
      <c r="A104" s="23"/>
      <c r="B104" s="23"/>
      <c r="C104" s="23"/>
      <c r="D104" s="23"/>
    </row>
    <row r="105" spans="1:4" x14ac:dyDescent="0.25">
      <c r="A105" s="23"/>
      <c r="B105" s="23"/>
      <c r="C105" s="23"/>
      <c r="D105" s="23"/>
    </row>
    <row r="106" spans="1:4" x14ac:dyDescent="0.25">
      <c r="A106" s="23"/>
      <c r="B106" s="23"/>
      <c r="C106" s="23"/>
      <c r="D106" s="23"/>
    </row>
    <row r="107" spans="1:4" x14ac:dyDescent="0.25">
      <c r="A107" s="23"/>
      <c r="B107" s="23"/>
      <c r="C107" s="23"/>
      <c r="D107" s="23"/>
    </row>
    <row r="108" spans="1:4" x14ac:dyDescent="0.25">
      <c r="A108" s="23"/>
      <c r="B108" s="23"/>
      <c r="C108" s="23"/>
      <c r="D108" s="23"/>
    </row>
    <row r="109" spans="1:4" x14ac:dyDescent="0.25">
      <c r="A109" s="23"/>
      <c r="B109" s="23"/>
      <c r="C109" s="23"/>
      <c r="D109" s="23"/>
    </row>
    <row r="110" spans="1:4" x14ac:dyDescent="0.25">
      <c r="A110" s="23"/>
      <c r="B110" s="23"/>
      <c r="C110" s="23"/>
      <c r="D110" s="23"/>
    </row>
    <row r="111" spans="1:4" x14ac:dyDescent="0.25">
      <c r="A111" s="23"/>
      <c r="B111" s="23"/>
      <c r="C111" s="23"/>
      <c r="D111" s="23"/>
    </row>
    <row r="112" spans="1:4" x14ac:dyDescent="0.25">
      <c r="A112" s="23"/>
      <c r="B112" s="23"/>
      <c r="C112" s="23"/>
      <c r="D112" s="23"/>
    </row>
    <row r="113" spans="1:4" x14ac:dyDescent="0.25">
      <c r="A113" s="23"/>
      <c r="B113" s="23"/>
      <c r="C113" s="23"/>
      <c r="D113" s="23"/>
    </row>
    <row r="114" spans="1:4" x14ac:dyDescent="0.25">
      <c r="A114" s="23"/>
      <c r="B114" s="23"/>
      <c r="C114" s="23"/>
      <c r="D114" s="23"/>
    </row>
    <row r="115" spans="1:4" x14ac:dyDescent="0.25">
      <c r="A115" s="23"/>
      <c r="B115" s="23"/>
      <c r="C115" s="23"/>
      <c r="D115" s="23"/>
    </row>
    <row r="116" spans="1:4" x14ac:dyDescent="0.25">
      <c r="A116" s="23"/>
      <c r="B116" s="23"/>
      <c r="C116" s="23"/>
      <c r="D116" s="23"/>
    </row>
    <row r="117" spans="1:4" x14ac:dyDescent="0.25">
      <c r="A117" s="23"/>
      <c r="B117" s="23"/>
      <c r="C117" s="23"/>
      <c r="D117" s="23"/>
    </row>
    <row r="118" spans="1:4" x14ac:dyDescent="0.25">
      <c r="A118" s="23"/>
      <c r="B118" s="23"/>
      <c r="C118" s="23"/>
      <c r="D118" s="23"/>
    </row>
    <row r="119" spans="1:4" x14ac:dyDescent="0.25">
      <c r="A119" s="23"/>
      <c r="B119" s="23"/>
      <c r="C119" s="23"/>
      <c r="D119" s="23"/>
    </row>
    <row r="120" spans="1:4" x14ac:dyDescent="0.25">
      <c r="A120" s="23"/>
      <c r="B120" s="23"/>
      <c r="C120" s="23"/>
      <c r="D120" s="23"/>
    </row>
    <row r="121" spans="1:4" x14ac:dyDescent="0.25">
      <c r="A121" s="23"/>
      <c r="B121" s="23"/>
      <c r="C121" s="23"/>
      <c r="D121" s="23"/>
    </row>
    <row r="122" spans="1:4" x14ac:dyDescent="0.25">
      <c r="A122" s="23"/>
      <c r="B122" s="23"/>
      <c r="C122" s="23"/>
      <c r="D122" s="23"/>
    </row>
    <row r="123" spans="1:4" x14ac:dyDescent="0.25">
      <c r="A123" s="23"/>
      <c r="B123" s="23"/>
      <c r="C123" s="23"/>
      <c r="D123" s="23"/>
    </row>
    <row r="124" spans="1:4" x14ac:dyDescent="0.25">
      <c r="A124" s="23"/>
      <c r="B124" s="23"/>
      <c r="C124" s="23"/>
      <c r="D124" s="23"/>
    </row>
    <row r="125" spans="1:4" x14ac:dyDescent="0.25">
      <c r="A125" s="23"/>
      <c r="B125" s="23"/>
      <c r="C125" s="23"/>
      <c r="D125" s="23"/>
    </row>
    <row r="126" spans="1:4" x14ac:dyDescent="0.25">
      <c r="A126" s="23"/>
      <c r="B126" s="23"/>
      <c r="C126" s="23"/>
      <c r="D126" s="23"/>
    </row>
    <row r="127" spans="1:4" x14ac:dyDescent="0.25">
      <c r="A127" s="23"/>
      <c r="B127" s="23"/>
      <c r="C127" s="23"/>
      <c r="D127" s="23"/>
    </row>
    <row r="128" spans="1:4" x14ac:dyDescent="0.25">
      <c r="A128" s="23"/>
      <c r="B128" s="23"/>
      <c r="C128" s="23"/>
      <c r="D128" s="23"/>
    </row>
    <row r="129" spans="1:4" x14ac:dyDescent="0.25">
      <c r="A129" s="23"/>
      <c r="B129" s="23"/>
      <c r="C129" s="23"/>
      <c r="D129" s="23"/>
    </row>
    <row r="130" spans="1:4" x14ac:dyDescent="0.25">
      <c r="A130" s="23"/>
      <c r="B130" s="23"/>
      <c r="C130" s="23"/>
      <c r="D130" s="23"/>
    </row>
    <row r="131" spans="1:4" x14ac:dyDescent="0.25">
      <c r="A131" s="23"/>
      <c r="B131" s="23"/>
      <c r="C131" s="23"/>
      <c r="D131" s="23"/>
    </row>
    <row r="132" spans="1:4" x14ac:dyDescent="0.25">
      <c r="A132" s="23"/>
      <c r="B132" s="23"/>
      <c r="C132" s="23"/>
      <c r="D132" s="23"/>
    </row>
    <row r="133" spans="1:4" x14ac:dyDescent="0.25">
      <c r="A133" s="23"/>
      <c r="B133" s="23"/>
      <c r="C133" s="23"/>
      <c r="D133" s="23"/>
    </row>
    <row r="134" spans="1:4" x14ac:dyDescent="0.25">
      <c r="A134" s="23"/>
      <c r="B134" s="23"/>
      <c r="C134" s="23"/>
      <c r="D134" s="23"/>
    </row>
    <row r="135" spans="1:4" x14ac:dyDescent="0.25">
      <c r="A135" s="23"/>
      <c r="B135" s="23"/>
      <c r="C135" s="23"/>
      <c r="D135" s="23"/>
    </row>
    <row r="136" spans="1:4" x14ac:dyDescent="0.25">
      <c r="A136" s="23"/>
      <c r="B136" s="23"/>
      <c r="C136" s="23"/>
      <c r="D136" s="23"/>
    </row>
    <row r="137" spans="1:4" x14ac:dyDescent="0.25">
      <c r="A137" s="23"/>
      <c r="B137" s="23"/>
      <c r="C137" s="23"/>
      <c r="D137" s="23"/>
    </row>
    <row r="138" spans="1:4" x14ac:dyDescent="0.25">
      <c r="A138" s="23"/>
      <c r="B138" s="23"/>
      <c r="C138" s="23"/>
      <c r="D138" s="23"/>
    </row>
    <row r="139" spans="1:4" x14ac:dyDescent="0.25">
      <c r="A139" s="23"/>
      <c r="B139" s="23"/>
      <c r="C139" s="23"/>
      <c r="D139" s="23"/>
    </row>
    <row r="140" spans="1:4" x14ac:dyDescent="0.25">
      <c r="A140" s="23"/>
      <c r="B140" s="23"/>
      <c r="C140" s="23"/>
      <c r="D140" s="23"/>
    </row>
    <row r="141" spans="1:4" x14ac:dyDescent="0.25">
      <c r="A141" s="23"/>
      <c r="B141" s="23"/>
      <c r="C141" s="23"/>
      <c r="D141" s="23"/>
    </row>
    <row r="142" spans="1:4" x14ac:dyDescent="0.25">
      <c r="A142" s="23"/>
      <c r="B142" s="23"/>
      <c r="C142" s="23"/>
      <c r="D142" s="23"/>
    </row>
    <row r="143" spans="1:4" x14ac:dyDescent="0.25">
      <c r="A143" s="23"/>
      <c r="B143" s="23"/>
      <c r="C143" s="23"/>
      <c r="D143" s="23"/>
    </row>
    <row r="144" spans="1:4" x14ac:dyDescent="0.25">
      <c r="A144" s="23"/>
      <c r="B144" s="23"/>
      <c r="C144" s="23"/>
      <c r="D144" s="23"/>
    </row>
    <row r="145" spans="1:4" x14ac:dyDescent="0.25">
      <c r="A145" s="23"/>
      <c r="B145" s="23"/>
      <c r="C145" s="23"/>
      <c r="D145" s="23"/>
    </row>
    <row r="146" spans="1:4" x14ac:dyDescent="0.25">
      <c r="A146" s="23"/>
      <c r="B146" s="23"/>
      <c r="C146" s="23"/>
      <c r="D146" s="23"/>
    </row>
    <row r="147" spans="1:4" x14ac:dyDescent="0.25">
      <c r="A147" s="23"/>
      <c r="B147" s="23"/>
      <c r="C147" s="23"/>
      <c r="D147" s="23"/>
    </row>
    <row r="148" spans="1:4" x14ac:dyDescent="0.25">
      <c r="A148" s="23"/>
      <c r="B148" s="23"/>
      <c r="C148" s="23"/>
      <c r="D148" s="23"/>
    </row>
    <row r="149" spans="1:4" x14ac:dyDescent="0.25">
      <c r="A149" s="23"/>
      <c r="B149" s="23"/>
      <c r="C149" s="23"/>
      <c r="D149" s="23"/>
    </row>
    <row r="150" spans="1:4" x14ac:dyDescent="0.25">
      <c r="A150" s="23"/>
      <c r="B150" s="23"/>
      <c r="C150" s="23"/>
      <c r="D150" s="23"/>
    </row>
    <row r="151" spans="1:4" x14ac:dyDescent="0.25">
      <c r="A151" s="23"/>
      <c r="B151" s="23"/>
      <c r="C151" s="23"/>
      <c r="D151" s="23"/>
    </row>
    <row r="152" spans="1:4" x14ac:dyDescent="0.25">
      <c r="A152" s="23"/>
      <c r="B152" s="23"/>
      <c r="C152" s="23"/>
      <c r="D152" s="23"/>
    </row>
    <row r="153" spans="1:4" x14ac:dyDescent="0.25">
      <c r="A153" s="23"/>
      <c r="B153" s="23"/>
      <c r="C153" s="23"/>
      <c r="D153" s="23"/>
    </row>
    <row r="154" spans="1:4" x14ac:dyDescent="0.25">
      <c r="A154" s="23"/>
      <c r="B154" s="23"/>
      <c r="C154" s="23"/>
      <c r="D154" s="23"/>
    </row>
    <row r="155" spans="1:4" x14ac:dyDescent="0.25">
      <c r="A155" s="23"/>
      <c r="B155" s="23"/>
      <c r="C155" s="23"/>
      <c r="D155" s="23"/>
    </row>
    <row r="156" spans="1:4" x14ac:dyDescent="0.25">
      <c r="A156" s="23"/>
      <c r="B156" s="23"/>
      <c r="C156" s="23"/>
      <c r="D156" s="23"/>
    </row>
    <row r="157" spans="1:4" x14ac:dyDescent="0.25">
      <c r="A157" s="23"/>
      <c r="B157" s="23"/>
      <c r="C157" s="23"/>
      <c r="D157" s="23"/>
    </row>
    <row r="158" spans="1:4" x14ac:dyDescent="0.25">
      <c r="A158" s="23"/>
      <c r="B158" s="23"/>
      <c r="C158" s="23"/>
      <c r="D158" s="23"/>
    </row>
    <row r="159" spans="1:4" x14ac:dyDescent="0.25">
      <c r="A159" s="23"/>
      <c r="B159" s="23"/>
      <c r="C159" s="23"/>
      <c r="D159" s="23"/>
    </row>
    <row r="160" spans="1:4" x14ac:dyDescent="0.25">
      <c r="A160" s="23"/>
      <c r="B160" s="23"/>
      <c r="C160" s="23"/>
      <c r="D160" s="23"/>
    </row>
    <row r="161" spans="1:4" x14ac:dyDescent="0.25">
      <c r="A161" s="23"/>
      <c r="B161" s="23"/>
      <c r="C161" s="23"/>
      <c r="D161" s="23"/>
    </row>
    <row r="162" spans="1:4" x14ac:dyDescent="0.25">
      <c r="A162" s="23"/>
      <c r="B162" s="23"/>
      <c r="C162" s="23"/>
      <c r="D162" s="23"/>
    </row>
    <row r="163" spans="1:4" x14ac:dyDescent="0.25">
      <c r="A163" s="23"/>
      <c r="B163" s="23"/>
      <c r="C163" s="23"/>
      <c r="D163" s="23"/>
    </row>
    <row r="164" spans="1:4" x14ac:dyDescent="0.25">
      <c r="A164" s="23"/>
      <c r="B164" s="23"/>
      <c r="C164" s="23"/>
      <c r="D164" s="23"/>
    </row>
    <row r="165" spans="1:4" x14ac:dyDescent="0.25">
      <c r="A165" s="23"/>
      <c r="B165" s="23"/>
      <c r="C165" s="23"/>
      <c r="D165" s="23"/>
    </row>
    <row r="166" spans="1:4" x14ac:dyDescent="0.25">
      <c r="A166" s="23"/>
      <c r="B166" s="23"/>
      <c r="C166" s="23"/>
      <c r="D166" s="23"/>
    </row>
    <row r="167" spans="1:4" x14ac:dyDescent="0.25">
      <c r="A167" s="23"/>
      <c r="B167" s="23"/>
      <c r="C167" s="23"/>
      <c r="D167" s="23"/>
    </row>
    <row r="168" spans="1:4" x14ac:dyDescent="0.25">
      <c r="A168" s="23"/>
      <c r="B168" s="23"/>
      <c r="C168" s="23"/>
      <c r="D168" s="23"/>
    </row>
    <row r="169" spans="1:4" x14ac:dyDescent="0.25">
      <c r="A169" s="23"/>
      <c r="B169" s="23"/>
      <c r="C169" s="23"/>
      <c r="D169" s="23"/>
    </row>
    <row r="170" spans="1:4" x14ac:dyDescent="0.25">
      <c r="A170" s="23"/>
      <c r="B170" s="23"/>
      <c r="C170" s="23"/>
      <c r="D170" s="23"/>
    </row>
    <row r="171" spans="1:4" x14ac:dyDescent="0.25">
      <c r="A171" s="23"/>
      <c r="B171" s="23"/>
      <c r="C171" s="23"/>
      <c r="D171" s="23"/>
    </row>
    <row r="172" spans="1:4" x14ac:dyDescent="0.25">
      <c r="A172" s="23"/>
      <c r="B172" s="23"/>
      <c r="C172" s="23"/>
      <c r="D172" s="23"/>
    </row>
    <row r="173" spans="1:4" x14ac:dyDescent="0.25">
      <c r="A173" s="23"/>
      <c r="B173" s="23"/>
      <c r="C173" s="23"/>
      <c r="D173" s="23"/>
    </row>
    <row r="174" spans="1:4" x14ac:dyDescent="0.25">
      <c r="A174" s="23"/>
      <c r="B174" s="23"/>
      <c r="C174" s="23"/>
      <c r="D174" s="23"/>
    </row>
    <row r="175" spans="1:4" x14ac:dyDescent="0.25">
      <c r="A175" s="23"/>
      <c r="B175" s="23"/>
      <c r="C175" s="23"/>
      <c r="D175" s="23"/>
    </row>
    <row r="176" spans="1:4" x14ac:dyDescent="0.25">
      <c r="A176" s="23"/>
      <c r="B176" s="23"/>
      <c r="C176" s="23"/>
      <c r="D176" s="23"/>
    </row>
    <row r="177" spans="1:4" x14ac:dyDescent="0.25">
      <c r="A177" s="23"/>
      <c r="B177" s="23"/>
      <c r="C177" s="23"/>
      <c r="D177" s="23"/>
    </row>
    <row r="178" spans="1:4" x14ac:dyDescent="0.25">
      <c r="A178" s="23"/>
      <c r="B178" s="23"/>
      <c r="C178" s="23"/>
      <c r="D178" s="23"/>
    </row>
    <row r="179" spans="1:4" x14ac:dyDescent="0.25">
      <c r="A179" s="23"/>
      <c r="B179" s="23"/>
      <c r="C179" s="23"/>
      <c r="D179" s="23"/>
    </row>
    <row r="180" spans="1:4" x14ac:dyDescent="0.25">
      <c r="A180" s="23"/>
      <c r="B180" s="23"/>
      <c r="C180" s="23"/>
      <c r="D180" s="23"/>
    </row>
    <row r="181" spans="1:4" x14ac:dyDescent="0.25">
      <c r="A181" s="23"/>
      <c r="B181" s="23"/>
      <c r="C181" s="23"/>
      <c r="D181" s="23"/>
    </row>
    <row r="182" spans="1:4" x14ac:dyDescent="0.25">
      <c r="A182" s="23"/>
      <c r="B182" s="23"/>
      <c r="C182" s="23"/>
      <c r="D182" s="23"/>
    </row>
    <row r="183" spans="1:4" x14ac:dyDescent="0.25">
      <c r="A183" s="23"/>
      <c r="B183" s="23"/>
      <c r="C183" s="23"/>
      <c r="D183" s="23"/>
    </row>
    <row r="184" spans="1:4" x14ac:dyDescent="0.25">
      <c r="A184" s="23"/>
      <c r="B184" s="23"/>
      <c r="C184" s="23"/>
      <c r="D184" s="23"/>
    </row>
    <row r="185" spans="1:4" x14ac:dyDescent="0.25">
      <c r="A185" s="23"/>
      <c r="B185" s="23"/>
      <c r="C185" s="23"/>
      <c r="D185" s="23"/>
    </row>
    <row r="186" spans="1:4" x14ac:dyDescent="0.25">
      <c r="A186" s="23"/>
      <c r="B186" s="23"/>
      <c r="C186" s="23"/>
      <c r="D186" s="23"/>
    </row>
    <row r="187" spans="1:4" x14ac:dyDescent="0.25">
      <c r="A187" s="23"/>
      <c r="B187" s="23"/>
      <c r="C187" s="23"/>
      <c r="D187" s="23"/>
    </row>
    <row r="188" spans="1:4" x14ac:dyDescent="0.25">
      <c r="A188" s="23"/>
      <c r="B188" s="23"/>
      <c r="C188" s="23"/>
      <c r="D188" s="23"/>
    </row>
    <row r="189" spans="1:4" x14ac:dyDescent="0.25">
      <c r="A189" s="23"/>
      <c r="B189" s="23"/>
      <c r="C189" s="23"/>
      <c r="D189" s="23"/>
    </row>
    <row r="190" spans="1:4" x14ac:dyDescent="0.25">
      <c r="A190" s="23"/>
      <c r="B190" s="23"/>
      <c r="C190" s="23"/>
      <c r="D190" s="23"/>
    </row>
    <row r="191" spans="1:4" x14ac:dyDescent="0.25">
      <c r="A191" s="23"/>
      <c r="B191" s="23"/>
      <c r="C191" s="23"/>
      <c r="D191" s="23"/>
    </row>
    <row r="192" spans="1:4" x14ac:dyDescent="0.25">
      <c r="A192" s="23"/>
      <c r="B192" s="23"/>
      <c r="C192" s="23"/>
      <c r="D192" s="23"/>
    </row>
    <row r="193" spans="1:4" x14ac:dyDescent="0.25">
      <c r="A193" s="23"/>
      <c r="B193" s="23"/>
      <c r="C193" s="23"/>
      <c r="D193" s="23"/>
    </row>
    <row r="194" spans="1:4" x14ac:dyDescent="0.25">
      <c r="A194" s="23"/>
      <c r="B194" s="23"/>
      <c r="C194" s="23"/>
      <c r="D194" s="23"/>
    </row>
    <row r="195" spans="1:4" x14ac:dyDescent="0.25">
      <c r="A195" s="23"/>
      <c r="B195" s="23"/>
      <c r="C195" s="23"/>
      <c r="D195" s="23"/>
    </row>
    <row r="196" spans="1:4" x14ac:dyDescent="0.25">
      <c r="A196" s="23"/>
      <c r="B196" s="23"/>
      <c r="C196" s="23"/>
      <c r="D196" s="23"/>
    </row>
    <row r="197" spans="1:4" x14ac:dyDescent="0.25">
      <c r="A197" s="23"/>
      <c r="B197" s="23"/>
      <c r="C197" s="23"/>
      <c r="D197" s="23"/>
    </row>
    <row r="198" spans="1:4" x14ac:dyDescent="0.25">
      <c r="A198" s="23"/>
      <c r="B198" s="23"/>
      <c r="C198" s="23"/>
      <c r="D198" s="23"/>
    </row>
    <row r="199" spans="1:4" x14ac:dyDescent="0.25">
      <c r="A199" s="23"/>
      <c r="B199" s="23"/>
      <c r="C199" s="23"/>
      <c r="D199" s="23"/>
    </row>
    <row r="200" spans="1:4" x14ac:dyDescent="0.25">
      <c r="A200" s="23"/>
      <c r="B200" s="23"/>
      <c r="C200" s="23"/>
      <c r="D200" s="23"/>
    </row>
    <row r="201" spans="1:4" x14ac:dyDescent="0.25">
      <c r="A201" s="23"/>
      <c r="B201" s="23"/>
      <c r="C201" s="23"/>
      <c r="D201" s="23"/>
    </row>
    <row r="202" spans="1:4" x14ac:dyDescent="0.25">
      <c r="A202" s="23"/>
      <c r="B202" s="23"/>
      <c r="C202" s="23"/>
      <c r="D202" s="23"/>
    </row>
    <row r="203" spans="1:4" x14ac:dyDescent="0.25">
      <c r="A203" s="23"/>
      <c r="B203" s="23"/>
      <c r="C203" s="23"/>
      <c r="D203" s="23"/>
    </row>
    <row r="204" spans="1:4" x14ac:dyDescent="0.25">
      <c r="A204" s="23"/>
      <c r="B204" s="23"/>
      <c r="C204" s="23"/>
      <c r="D204" s="23"/>
    </row>
    <row r="205" spans="1:4" x14ac:dyDescent="0.25">
      <c r="A205" s="23"/>
      <c r="B205" s="23"/>
      <c r="C205" s="23"/>
      <c r="D205" s="23"/>
    </row>
    <row r="206" spans="1:4" x14ac:dyDescent="0.25">
      <c r="A206" s="23"/>
      <c r="B206" s="23"/>
      <c r="C206" s="23"/>
      <c r="D206" s="23"/>
    </row>
    <row r="207" spans="1:4" x14ac:dyDescent="0.25">
      <c r="A207" s="23"/>
      <c r="B207" s="23"/>
      <c r="C207" s="23"/>
      <c r="D207" s="23"/>
    </row>
    <row r="208" spans="1:4" x14ac:dyDescent="0.25">
      <c r="A208" s="23"/>
      <c r="B208" s="23"/>
      <c r="C208" s="23"/>
      <c r="D208" s="23"/>
    </row>
    <row r="209" spans="1:4" x14ac:dyDescent="0.25">
      <c r="A209" s="23"/>
      <c r="B209" s="23"/>
      <c r="C209" s="23"/>
      <c r="D209" s="23"/>
    </row>
    <row r="210" spans="1:4" x14ac:dyDescent="0.25">
      <c r="A210" s="23"/>
      <c r="B210" s="23"/>
      <c r="C210" s="23"/>
      <c r="D210" s="23"/>
    </row>
    <row r="211" spans="1:4" x14ac:dyDescent="0.25">
      <c r="A211" s="23"/>
      <c r="B211" s="23"/>
      <c r="C211" s="23"/>
      <c r="D211" s="23"/>
    </row>
    <row r="212" spans="1:4" x14ac:dyDescent="0.25">
      <c r="A212" s="23"/>
      <c r="B212" s="23"/>
      <c r="C212" s="23"/>
      <c r="D212" s="23"/>
    </row>
    <row r="213" spans="1:4" x14ac:dyDescent="0.25">
      <c r="A213" s="23"/>
      <c r="B213" s="23"/>
      <c r="C213" s="23"/>
      <c r="D213" s="23"/>
    </row>
    <row r="214" spans="1:4" x14ac:dyDescent="0.25">
      <c r="A214" s="23"/>
      <c r="B214" s="23"/>
      <c r="C214" s="23"/>
      <c r="D214" s="23"/>
    </row>
    <row r="215" spans="1:4" x14ac:dyDescent="0.25">
      <c r="A215" s="23"/>
      <c r="B215" s="23"/>
      <c r="C215" s="23"/>
      <c r="D215" s="23"/>
    </row>
    <row r="216" spans="1:4" x14ac:dyDescent="0.25">
      <c r="A216" s="23"/>
      <c r="B216" s="23"/>
      <c r="C216" s="23"/>
      <c r="D216" s="23"/>
    </row>
    <row r="217" spans="1:4" x14ac:dyDescent="0.25">
      <c r="A217" s="23"/>
      <c r="B217" s="23"/>
      <c r="C217" s="23"/>
      <c r="D217" s="23"/>
    </row>
    <row r="218" spans="1:4" x14ac:dyDescent="0.25">
      <c r="A218" s="23"/>
      <c r="B218" s="23"/>
      <c r="C218" s="23"/>
      <c r="D218" s="23"/>
    </row>
    <row r="219" spans="1:4" x14ac:dyDescent="0.25">
      <c r="A219" s="23"/>
      <c r="B219" s="23"/>
      <c r="C219" s="23"/>
      <c r="D219" s="23"/>
    </row>
    <row r="220" spans="1:4" x14ac:dyDescent="0.25">
      <c r="A220" s="23"/>
      <c r="B220" s="23"/>
      <c r="C220" s="23"/>
      <c r="D220" s="23"/>
    </row>
    <row r="221" spans="1:4" x14ac:dyDescent="0.25">
      <c r="A221" s="23"/>
      <c r="B221" s="23"/>
      <c r="C221" s="23"/>
      <c r="D221" s="23"/>
    </row>
    <row r="222" spans="1:4" x14ac:dyDescent="0.25">
      <c r="A222" s="23"/>
      <c r="B222" s="23"/>
      <c r="C222" s="23"/>
      <c r="D222" s="23"/>
    </row>
    <row r="223" spans="1:4" x14ac:dyDescent="0.25">
      <c r="A223" s="23"/>
      <c r="B223" s="23"/>
      <c r="C223" s="23"/>
      <c r="D223" s="23"/>
    </row>
    <row r="224" spans="1:4" x14ac:dyDescent="0.25">
      <c r="A224" s="23"/>
      <c r="B224" s="23"/>
      <c r="C224" s="23"/>
      <c r="D224" s="23"/>
    </row>
    <row r="225" spans="1:4" x14ac:dyDescent="0.25">
      <c r="A225" s="23"/>
      <c r="B225" s="23"/>
      <c r="C225" s="23"/>
      <c r="D225" s="23"/>
    </row>
    <row r="226" spans="1:4" x14ac:dyDescent="0.25">
      <c r="A226" s="23"/>
      <c r="B226" s="23"/>
      <c r="C226" s="23"/>
      <c r="D226" s="23"/>
    </row>
    <row r="227" spans="1:4" x14ac:dyDescent="0.25">
      <c r="A227" s="23"/>
      <c r="B227" s="23"/>
      <c r="C227" s="23"/>
      <c r="D227" s="23"/>
    </row>
    <row r="228" spans="1:4" x14ac:dyDescent="0.25">
      <c r="A228" s="23"/>
      <c r="B228" s="23"/>
      <c r="C228" s="23"/>
      <c r="D228" s="23"/>
    </row>
    <row r="229" spans="1:4" x14ac:dyDescent="0.25">
      <c r="A229" s="23"/>
      <c r="B229" s="23"/>
      <c r="C229" s="23"/>
      <c r="D229" s="23"/>
    </row>
    <row r="230" spans="1:4" x14ac:dyDescent="0.25">
      <c r="A230" s="23"/>
      <c r="B230" s="23"/>
      <c r="C230" s="23"/>
      <c r="D230" s="23"/>
    </row>
    <row r="231" spans="1:4" x14ac:dyDescent="0.25">
      <c r="A231" s="23"/>
      <c r="B231" s="23"/>
      <c r="C231" s="23"/>
      <c r="D231" s="23"/>
    </row>
    <row r="232" spans="1:4" x14ac:dyDescent="0.25">
      <c r="A232" s="23"/>
      <c r="B232" s="23"/>
      <c r="C232" s="23"/>
      <c r="D232" s="23"/>
    </row>
    <row r="233" spans="1:4" x14ac:dyDescent="0.25">
      <c r="A233" s="23"/>
      <c r="B233" s="23"/>
      <c r="C233" s="23"/>
      <c r="D233" s="23"/>
    </row>
    <row r="234" spans="1:4" x14ac:dyDescent="0.25">
      <c r="A234" s="23"/>
      <c r="B234" s="23"/>
      <c r="C234" s="23"/>
      <c r="D234" s="23"/>
    </row>
    <row r="235" spans="1:4" x14ac:dyDescent="0.25">
      <c r="A235" s="23"/>
      <c r="B235" s="23"/>
      <c r="C235" s="23"/>
      <c r="D235" s="23"/>
    </row>
    <row r="236" spans="1:4" x14ac:dyDescent="0.25">
      <c r="A236" s="23"/>
      <c r="B236" s="23"/>
      <c r="C236" s="23"/>
      <c r="D236" s="23"/>
    </row>
    <row r="237" spans="1:4" x14ac:dyDescent="0.25">
      <c r="A237" s="23"/>
      <c r="B237" s="23"/>
      <c r="C237" s="23"/>
      <c r="D237" s="23"/>
    </row>
    <row r="238" spans="1:4" x14ac:dyDescent="0.25">
      <c r="A238" s="23"/>
      <c r="B238" s="23"/>
      <c r="C238" s="23"/>
      <c r="D238" s="23"/>
    </row>
    <row r="239" spans="1:4" x14ac:dyDescent="0.25">
      <c r="A239" s="23"/>
      <c r="B239" s="23"/>
      <c r="C239" s="23"/>
      <c r="D239" s="23"/>
    </row>
    <row r="240" spans="1:4" x14ac:dyDescent="0.25">
      <c r="A240" s="23"/>
      <c r="B240" s="23"/>
      <c r="C240" s="23"/>
      <c r="D240" s="23"/>
    </row>
    <row r="241" spans="1:4" x14ac:dyDescent="0.25">
      <c r="A241" s="23"/>
      <c r="B241" s="23"/>
      <c r="C241" s="23"/>
      <c r="D241" s="23"/>
    </row>
    <row r="242" spans="1:4" x14ac:dyDescent="0.25">
      <c r="A242" s="23"/>
      <c r="B242" s="23"/>
      <c r="C242" s="23"/>
      <c r="D242" s="23"/>
    </row>
    <row r="243" spans="1:4" x14ac:dyDescent="0.25">
      <c r="A243" s="23"/>
      <c r="B243" s="23"/>
      <c r="C243" s="23"/>
      <c r="D243" s="23"/>
    </row>
    <row r="244" spans="1:4" x14ac:dyDescent="0.25">
      <c r="A244" s="23"/>
      <c r="B244" s="23"/>
      <c r="C244" s="23"/>
      <c r="D244" s="23"/>
    </row>
    <row r="245" spans="1:4" x14ac:dyDescent="0.25">
      <c r="A245" s="23"/>
      <c r="B245" s="23"/>
      <c r="C245" s="23"/>
      <c r="D245" s="23"/>
    </row>
    <row r="246" spans="1:4" x14ac:dyDescent="0.25">
      <c r="A246" s="23"/>
      <c r="B246" s="23"/>
      <c r="C246" s="23"/>
      <c r="D246" s="23"/>
    </row>
    <row r="247" spans="1:4" x14ac:dyDescent="0.25">
      <c r="A247" s="23"/>
      <c r="B247" s="23"/>
      <c r="C247" s="23"/>
      <c r="D247" s="23"/>
    </row>
    <row r="248" spans="1:4" x14ac:dyDescent="0.25">
      <c r="A248" s="23"/>
      <c r="B248" s="23"/>
      <c r="C248" s="23"/>
      <c r="D248" s="23"/>
    </row>
    <row r="249" spans="1:4" x14ac:dyDescent="0.25">
      <c r="A249" s="23"/>
      <c r="B249" s="23"/>
      <c r="C249" s="23"/>
      <c r="D249" s="23"/>
    </row>
    <row r="250" spans="1:4" x14ac:dyDescent="0.25">
      <c r="A250" s="23"/>
      <c r="B250" s="23"/>
      <c r="C250" s="23"/>
      <c r="D250" s="23"/>
    </row>
    <row r="251" spans="1:4" x14ac:dyDescent="0.25">
      <c r="A251" s="23"/>
      <c r="B251" s="23"/>
      <c r="C251" s="23"/>
      <c r="D251" s="23"/>
    </row>
    <row r="252" spans="1:4" x14ac:dyDescent="0.25">
      <c r="A252" s="23"/>
      <c r="B252" s="23"/>
      <c r="C252" s="23"/>
      <c r="D252" s="23"/>
    </row>
    <row r="253" spans="1:4" x14ac:dyDescent="0.25">
      <c r="A253" s="23"/>
      <c r="B253" s="23"/>
      <c r="C253" s="23"/>
      <c r="D253" s="23"/>
    </row>
    <row r="254" spans="1:4" x14ac:dyDescent="0.25">
      <c r="A254" s="23"/>
      <c r="B254" s="23"/>
      <c r="C254" s="23"/>
      <c r="D254" s="23"/>
    </row>
    <row r="255" spans="1:4" x14ac:dyDescent="0.25">
      <c r="A255" s="23"/>
      <c r="B255" s="23"/>
      <c r="C255" s="23"/>
      <c r="D255" s="23"/>
    </row>
    <row r="256" spans="1:4" x14ac:dyDescent="0.25">
      <c r="A256" s="23"/>
      <c r="B256" s="23"/>
      <c r="C256" s="23"/>
      <c r="D256" s="23"/>
    </row>
    <row r="257" spans="1:4" x14ac:dyDescent="0.25">
      <c r="A257" s="23"/>
      <c r="B257" s="23"/>
      <c r="C257" s="23"/>
      <c r="D257" s="23"/>
    </row>
    <row r="258" spans="1:4" x14ac:dyDescent="0.25">
      <c r="A258" s="23"/>
      <c r="B258" s="23"/>
      <c r="C258" s="23"/>
      <c r="D258" s="23"/>
    </row>
    <row r="259" spans="1:4" x14ac:dyDescent="0.25">
      <c r="A259" s="23"/>
      <c r="B259" s="23"/>
      <c r="C259" s="23"/>
      <c r="D259" s="23"/>
    </row>
    <row r="260" spans="1:4" x14ac:dyDescent="0.25">
      <c r="A260" s="23"/>
      <c r="B260" s="23"/>
      <c r="C260" s="23"/>
      <c r="D260" s="23"/>
    </row>
    <row r="261" spans="1:4" x14ac:dyDescent="0.25">
      <c r="A261" s="23"/>
      <c r="B261" s="23"/>
      <c r="C261" s="23"/>
      <c r="D261" s="23"/>
    </row>
    <row r="262" spans="1:4" x14ac:dyDescent="0.25">
      <c r="A262" s="23"/>
      <c r="B262" s="23"/>
      <c r="C262" s="23"/>
      <c r="D262" s="23"/>
    </row>
    <row r="263" spans="1:4" x14ac:dyDescent="0.25">
      <c r="A263" s="23"/>
      <c r="B263" s="23"/>
      <c r="C263" s="23"/>
      <c r="D263" s="23"/>
    </row>
    <row r="264" spans="1:4" x14ac:dyDescent="0.25">
      <c r="A264" s="23"/>
      <c r="B264" s="23"/>
      <c r="C264" s="23"/>
      <c r="D264" s="23"/>
    </row>
    <row r="265" spans="1:4" x14ac:dyDescent="0.25">
      <c r="A265" s="23"/>
      <c r="B265" s="23"/>
      <c r="C265" s="23"/>
      <c r="D265" s="23"/>
    </row>
    <row r="266" spans="1:4" x14ac:dyDescent="0.25">
      <c r="A266" s="23"/>
      <c r="B266" s="23"/>
      <c r="C266" s="23"/>
      <c r="D266" s="23"/>
    </row>
    <row r="267" spans="1:4" x14ac:dyDescent="0.25">
      <c r="A267" s="23"/>
      <c r="B267" s="23"/>
      <c r="C267" s="23"/>
      <c r="D267" s="23"/>
    </row>
    <row r="268" spans="1:4" x14ac:dyDescent="0.25">
      <c r="A268" s="23"/>
      <c r="B268" s="23"/>
      <c r="C268" s="23"/>
      <c r="D268" s="23"/>
    </row>
    <row r="269" spans="1:4" x14ac:dyDescent="0.25">
      <c r="A269" s="23"/>
      <c r="B269" s="23"/>
      <c r="C269" s="23"/>
      <c r="D269" s="23"/>
    </row>
    <row r="270" spans="1:4" x14ac:dyDescent="0.25">
      <c r="A270" s="23"/>
      <c r="B270" s="23"/>
      <c r="C270" s="23"/>
      <c r="D270" s="23"/>
    </row>
    <row r="271" spans="1:4" x14ac:dyDescent="0.25">
      <c r="A271" s="23"/>
      <c r="B271" s="23"/>
      <c r="C271" s="23"/>
      <c r="D271" s="23"/>
    </row>
    <row r="272" spans="1:4" x14ac:dyDescent="0.25">
      <c r="A272" s="23"/>
      <c r="B272" s="23"/>
      <c r="C272" s="23"/>
      <c r="D272" s="23"/>
    </row>
    <row r="273" spans="1:4" x14ac:dyDescent="0.25">
      <c r="A273" s="23"/>
      <c r="B273" s="23"/>
      <c r="C273" s="23"/>
      <c r="D273" s="23"/>
    </row>
    <row r="274" spans="1:4" x14ac:dyDescent="0.25">
      <c r="A274" s="23"/>
      <c r="B274" s="23"/>
      <c r="C274" s="23"/>
      <c r="D274" s="23"/>
    </row>
    <row r="275" spans="1:4" x14ac:dyDescent="0.25">
      <c r="A275" s="23"/>
      <c r="B275" s="23"/>
      <c r="C275" s="23"/>
      <c r="D275" s="23"/>
    </row>
    <row r="276" spans="1:4" x14ac:dyDescent="0.25">
      <c r="A276" s="23"/>
      <c r="B276" s="23"/>
      <c r="C276" s="23"/>
      <c r="D276" s="23"/>
    </row>
    <row r="277" spans="1:4" x14ac:dyDescent="0.25">
      <c r="A277" s="23"/>
      <c r="B277" s="23"/>
      <c r="C277" s="23"/>
      <c r="D277" s="23"/>
    </row>
    <row r="278" spans="1:4" x14ac:dyDescent="0.25">
      <c r="A278" s="23"/>
      <c r="B278" s="23"/>
      <c r="C278" s="23"/>
      <c r="D278" s="23"/>
    </row>
    <row r="279" spans="1:4" x14ac:dyDescent="0.25">
      <c r="A279" s="23"/>
      <c r="B279" s="23"/>
      <c r="C279" s="23"/>
      <c r="D279" s="23"/>
    </row>
    <row r="280" spans="1:4" x14ac:dyDescent="0.25">
      <c r="A280" s="23"/>
      <c r="B280" s="23"/>
      <c r="C280" s="23"/>
      <c r="D280" s="23"/>
    </row>
    <row r="281" spans="1:4" x14ac:dyDescent="0.25">
      <c r="A281" s="23"/>
      <c r="B281" s="23"/>
      <c r="C281" s="23"/>
      <c r="D281" s="23"/>
    </row>
    <row r="282" spans="1:4" x14ac:dyDescent="0.25">
      <c r="A282" s="23"/>
      <c r="B282" s="23"/>
      <c r="C282" s="23"/>
      <c r="D282" s="23"/>
    </row>
    <row r="283" spans="1:4" x14ac:dyDescent="0.25">
      <c r="A283" s="23"/>
      <c r="B283" s="23"/>
      <c r="C283" s="23"/>
      <c r="D283" s="23"/>
    </row>
    <row r="284" spans="1:4" x14ac:dyDescent="0.25">
      <c r="A284" s="23"/>
      <c r="B284" s="23"/>
      <c r="C284" s="23"/>
      <c r="D284" s="23"/>
    </row>
    <row r="285" spans="1:4" x14ac:dyDescent="0.25">
      <c r="A285" s="23"/>
      <c r="B285" s="23"/>
      <c r="C285" s="23"/>
      <c r="D285" s="23"/>
    </row>
    <row r="286" spans="1:4" x14ac:dyDescent="0.25">
      <c r="A286" s="23"/>
      <c r="B286" s="23"/>
      <c r="C286" s="23"/>
      <c r="D286" s="23"/>
    </row>
    <row r="287" spans="1:4" x14ac:dyDescent="0.25">
      <c r="A287" s="23"/>
      <c r="B287" s="23"/>
      <c r="C287" s="23"/>
      <c r="D287" s="23"/>
    </row>
    <row r="288" spans="1:4" x14ac:dyDescent="0.25">
      <c r="A288" s="23"/>
      <c r="B288" s="23"/>
      <c r="C288" s="23"/>
      <c r="D288" s="23"/>
    </row>
    <row r="289" spans="1:4" x14ac:dyDescent="0.25">
      <c r="A289" s="23"/>
      <c r="B289" s="23"/>
      <c r="C289" s="23"/>
      <c r="D289" s="23"/>
    </row>
    <row r="290" spans="1:4" x14ac:dyDescent="0.25">
      <c r="A290" s="23"/>
      <c r="B290" s="23"/>
      <c r="C290" s="23"/>
      <c r="D290" s="23"/>
    </row>
    <row r="291" spans="1:4" x14ac:dyDescent="0.25">
      <c r="A291" s="23"/>
      <c r="B291" s="23"/>
      <c r="C291" s="23"/>
      <c r="D291" s="23"/>
    </row>
    <row r="292" spans="1:4" x14ac:dyDescent="0.25">
      <c r="A292" s="23"/>
      <c r="B292" s="23"/>
      <c r="C292" s="23"/>
      <c r="D292" s="23"/>
    </row>
    <row r="293" spans="1:4" x14ac:dyDescent="0.25">
      <c r="A293" s="23"/>
      <c r="B293" s="23"/>
      <c r="C293" s="23"/>
      <c r="D293" s="23"/>
    </row>
    <row r="294" spans="1:4" x14ac:dyDescent="0.25">
      <c r="A294" s="23"/>
      <c r="B294" s="23"/>
      <c r="C294" s="23"/>
      <c r="D294" s="23"/>
    </row>
    <row r="295" spans="1:4" x14ac:dyDescent="0.25">
      <c r="A295" s="23"/>
      <c r="B295" s="23"/>
      <c r="C295" s="23"/>
      <c r="D295" s="23"/>
    </row>
    <row r="296" spans="1:4" x14ac:dyDescent="0.25">
      <c r="A296" s="23"/>
      <c r="B296" s="23"/>
      <c r="C296" s="23"/>
      <c r="D296" s="23"/>
    </row>
    <row r="297" spans="1:4" x14ac:dyDescent="0.25">
      <c r="A297" s="23"/>
      <c r="B297" s="23"/>
      <c r="C297" s="23"/>
      <c r="D297" s="23"/>
    </row>
    <row r="298" spans="1:4" x14ac:dyDescent="0.25">
      <c r="A298" s="23"/>
      <c r="B298" s="23"/>
      <c r="C298" s="23"/>
      <c r="D298" s="23"/>
    </row>
    <row r="299" spans="1:4" x14ac:dyDescent="0.25">
      <c r="A299" s="23"/>
      <c r="B299" s="23"/>
      <c r="C299" s="23"/>
      <c r="D299" s="23"/>
    </row>
    <row r="300" spans="1:4" x14ac:dyDescent="0.25">
      <c r="A300" s="23"/>
      <c r="B300" s="23"/>
      <c r="C300" s="23"/>
      <c r="D300" s="23"/>
    </row>
    <row r="301" spans="1:4" x14ac:dyDescent="0.25">
      <c r="A301" s="23"/>
      <c r="B301" s="23"/>
      <c r="C301" s="23"/>
      <c r="D301" s="23"/>
    </row>
    <row r="302" spans="1:4" x14ac:dyDescent="0.25">
      <c r="A302" s="23"/>
      <c r="B302" s="23"/>
      <c r="C302" s="23"/>
      <c r="D302" s="23"/>
    </row>
    <row r="303" spans="1:4" x14ac:dyDescent="0.25">
      <c r="A303" s="23"/>
      <c r="B303" s="23"/>
      <c r="C303" s="23"/>
      <c r="D303" s="23"/>
    </row>
    <row r="304" spans="1:4" x14ac:dyDescent="0.25">
      <c r="A304" s="23"/>
      <c r="B304" s="23"/>
      <c r="C304" s="23"/>
      <c r="D304" s="23"/>
    </row>
    <row r="305" spans="1:4" x14ac:dyDescent="0.25">
      <c r="A305" s="23"/>
      <c r="B305" s="23"/>
      <c r="C305" s="23"/>
      <c r="D305" s="23"/>
    </row>
    <row r="306" spans="1:4" x14ac:dyDescent="0.25">
      <c r="A306" s="23"/>
      <c r="B306" s="23"/>
      <c r="C306" s="23"/>
      <c r="D306" s="23"/>
    </row>
    <row r="307" spans="1:4" x14ac:dyDescent="0.25">
      <c r="A307" s="23"/>
      <c r="B307" s="23"/>
      <c r="C307" s="23"/>
      <c r="D307" s="23"/>
    </row>
    <row r="308" spans="1:4" x14ac:dyDescent="0.25">
      <c r="A308" s="23"/>
      <c r="B308" s="23"/>
      <c r="C308" s="23"/>
      <c r="D308" s="23"/>
    </row>
    <row r="309" spans="1:4" x14ac:dyDescent="0.25">
      <c r="A309" s="23"/>
      <c r="B309" s="23"/>
      <c r="C309" s="23"/>
      <c r="D309" s="23"/>
    </row>
    <row r="310" spans="1:4" x14ac:dyDescent="0.25">
      <c r="A310" s="23"/>
      <c r="B310" s="23"/>
      <c r="C310" s="23"/>
      <c r="D310" s="23"/>
    </row>
    <row r="311" spans="1:4" x14ac:dyDescent="0.25">
      <c r="A311" s="23"/>
      <c r="B311" s="23"/>
      <c r="C311" s="23"/>
      <c r="D311" s="23"/>
    </row>
    <row r="312" spans="1:4" x14ac:dyDescent="0.25">
      <c r="A312" s="23"/>
      <c r="B312" s="23"/>
      <c r="C312" s="23"/>
      <c r="D312" s="23"/>
    </row>
    <row r="313" spans="1:4" x14ac:dyDescent="0.25">
      <c r="A313" s="23"/>
      <c r="B313" s="23"/>
      <c r="C313" s="23"/>
      <c r="D313" s="23"/>
    </row>
    <row r="314" spans="1:4" x14ac:dyDescent="0.25">
      <c r="A314" s="23"/>
      <c r="B314" s="23"/>
      <c r="C314" s="23"/>
      <c r="D314" s="23"/>
    </row>
    <row r="315" spans="1:4" x14ac:dyDescent="0.25">
      <c r="A315" s="23"/>
      <c r="B315" s="23"/>
      <c r="C315" s="23"/>
      <c r="D315" s="23"/>
    </row>
    <row r="316" spans="1:4" x14ac:dyDescent="0.25">
      <c r="A316" s="23"/>
      <c r="B316" s="23"/>
      <c r="C316" s="23"/>
      <c r="D316" s="23"/>
    </row>
    <row r="317" spans="1:4" x14ac:dyDescent="0.25">
      <c r="A317" s="23"/>
      <c r="B317" s="23"/>
      <c r="C317" s="23"/>
      <c r="D317" s="23"/>
    </row>
    <row r="318" spans="1:4" x14ac:dyDescent="0.25">
      <c r="A318" s="23"/>
      <c r="B318" s="23"/>
      <c r="C318" s="23"/>
      <c r="D318" s="23"/>
    </row>
    <row r="319" spans="1:4" x14ac:dyDescent="0.25">
      <c r="A319" s="23"/>
      <c r="B319" s="23"/>
      <c r="C319" s="23"/>
      <c r="D319" s="23"/>
    </row>
    <row r="320" spans="1:4" x14ac:dyDescent="0.25">
      <c r="A320" s="23"/>
      <c r="B320" s="23"/>
      <c r="C320" s="23"/>
      <c r="D320" s="23"/>
    </row>
    <row r="321" spans="1:4" x14ac:dyDescent="0.25">
      <c r="A321" s="23"/>
      <c r="B321" s="23"/>
      <c r="C321" s="23"/>
      <c r="D321" s="23"/>
    </row>
    <row r="322" spans="1:4" x14ac:dyDescent="0.25">
      <c r="A322" s="23"/>
      <c r="B322" s="23"/>
      <c r="C322" s="23"/>
      <c r="D322" s="23"/>
    </row>
    <row r="323" spans="1:4" x14ac:dyDescent="0.25">
      <c r="A323" s="23"/>
      <c r="B323" s="23"/>
      <c r="C323" s="23"/>
      <c r="D323" s="23"/>
    </row>
    <row r="324" spans="1:4" x14ac:dyDescent="0.25">
      <c r="A324" s="23"/>
      <c r="B324" s="23"/>
      <c r="C324" s="23"/>
      <c r="D324" s="23"/>
    </row>
    <row r="325" spans="1:4" x14ac:dyDescent="0.25">
      <c r="A325" s="23"/>
      <c r="B325" s="23"/>
      <c r="C325" s="23"/>
      <c r="D325" s="23"/>
    </row>
    <row r="326" spans="1:4" x14ac:dyDescent="0.25">
      <c r="A326" s="23"/>
      <c r="B326" s="23"/>
      <c r="C326" s="23"/>
      <c r="D326" s="23"/>
    </row>
    <row r="327" spans="1:4" x14ac:dyDescent="0.25">
      <c r="A327" s="23"/>
      <c r="B327" s="23"/>
      <c r="C327" s="23"/>
      <c r="D327" s="23"/>
    </row>
    <row r="328" spans="1:4" x14ac:dyDescent="0.25">
      <c r="A328" s="23"/>
      <c r="B328" s="23"/>
      <c r="C328" s="23"/>
      <c r="D328" s="23"/>
    </row>
    <row r="329" spans="1:4" x14ac:dyDescent="0.25">
      <c r="A329" s="23"/>
      <c r="B329" s="23"/>
      <c r="C329" s="23"/>
      <c r="D329" s="23"/>
    </row>
    <row r="330" spans="1:4" x14ac:dyDescent="0.25">
      <c r="A330" s="23"/>
      <c r="B330" s="23"/>
      <c r="C330" s="23"/>
      <c r="D330" s="23"/>
    </row>
    <row r="331" spans="1:4" x14ac:dyDescent="0.25">
      <c r="A331" s="23"/>
      <c r="B331" s="23"/>
      <c r="C331" s="23"/>
      <c r="D331" s="23"/>
    </row>
    <row r="332" spans="1:4" x14ac:dyDescent="0.25">
      <c r="A332" s="23"/>
      <c r="B332" s="23"/>
      <c r="C332" s="23"/>
      <c r="D332" s="23"/>
    </row>
    <row r="333" spans="1:4" x14ac:dyDescent="0.25">
      <c r="A333" s="23"/>
      <c r="B333" s="23"/>
      <c r="C333" s="23"/>
      <c r="D333" s="23"/>
    </row>
    <row r="334" spans="1:4" x14ac:dyDescent="0.25">
      <c r="A334" s="23"/>
      <c r="B334" s="23"/>
      <c r="C334" s="23"/>
      <c r="D334" s="23"/>
    </row>
    <row r="335" spans="1:4" x14ac:dyDescent="0.25">
      <c r="A335" s="23"/>
      <c r="B335" s="23"/>
      <c r="C335" s="23"/>
      <c r="D335" s="23"/>
    </row>
    <row r="336" spans="1:4" x14ac:dyDescent="0.25">
      <c r="A336" s="23"/>
      <c r="B336" s="23"/>
      <c r="C336" s="23"/>
      <c r="D336" s="23"/>
    </row>
    <row r="337" spans="1:4" x14ac:dyDescent="0.25">
      <c r="A337" s="23"/>
      <c r="B337" s="23"/>
      <c r="C337" s="23"/>
      <c r="D337" s="23"/>
    </row>
    <row r="338" spans="1:4" x14ac:dyDescent="0.25">
      <c r="A338" s="23"/>
      <c r="B338" s="23"/>
      <c r="C338" s="23"/>
      <c r="D338" s="23"/>
    </row>
    <row r="339" spans="1:4" x14ac:dyDescent="0.25">
      <c r="A339" s="23"/>
      <c r="B339" s="23"/>
      <c r="C339" s="23"/>
      <c r="D339" s="23"/>
    </row>
    <row r="340" spans="1:4" x14ac:dyDescent="0.25">
      <c r="A340" s="23"/>
      <c r="B340" s="23"/>
      <c r="C340" s="23"/>
      <c r="D340" s="23"/>
    </row>
    <row r="341" spans="1:4" x14ac:dyDescent="0.25">
      <c r="A341" s="23"/>
      <c r="B341" s="23"/>
      <c r="C341" s="23"/>
      <c r="D341" s="23"/>
    </row>
    <row r="342" spans="1:4" x14ac:dyDescent="0.25">
      <c r="A342" s="23"/>
      <c r="B342" s="23"/>
      <c r="C342" s="23"/>
      <c r="D342" s="23"/>
    </row>
    <row r="343" spans="1:4" x14ac:dyDescent="0.25">
      <c r="A343" s="23"/>
      <c r="B343" s="23"/>
      <c r="C343" s="23"/>
      <c r="D343" s="23"/>
    </row>
    <row r="344" spans="1:4" x14ac:dyDescent="0.25">
      <c r="A344" s="23"/>
      <c r="B344" s="23"/>
      <c r="C344" s="23"/>
      <c r="D344" s="23"/>
    </row>
    <row r="345" spans="1:4" x14ac:dyDescent="0.25">
      <c r="A345" s="23"/>
      <c r="B345" s="23"/>
      <c r="C345" s="23"/>
      <c r="D345" s="23"/>
    </row>
    <row r="346" spans="1:4" x14ac:dyDescent="0.25">
      <c r="A346" s="23"/>
      <c r="B346" s="23"/>
      <c r="C346" s="23"/>
      <c r="D346" s="23"/>
    </row>
    <row r="347" spans="1:4" x14ac:dyDescent="0.25">
      <c r="A347" s="23"/>
      <c r="B347" s="23"/>
      <c r="C347" s="23"/>
      <c r="D347" s="23"/>
    </row>
    <row r="348" spans="1:4" x14ac:dyDescent="0.25">
      <c r="A348" s="23"/>
      <c r="B348" s="23"/>
      <c r="C348" s="23"/>
      <c r="D348" s="23"/>
    </row>
    <row r="349" spans="1:4" x14ac:dyDescent="0.25">
      <c r="A349" s="23"/>
      <c r="B349" s="23"/>
      <c r="C349" s="23"/>
      <c r="D349" s="23"/>
    </row>
    <row r="350" spans="1:4" x14ac:dyDescent="0.25">
      <c r="A350" s="23"/>
      <c r="B350" s="23"/>
      <c r="C350" s="23"/>
      <c r="D350" s="23"/>
    </row>
    <row r="351" spans="1:4" x14ac:dyDescent="0.25">
      <c r="A351" s="23"/>
      <c r="B351" s="23"/>
      <c r="C351" s="23"/>
      <c r="D351" s="23"/>
    </row>
    <row r="352" spans="1:4" x14ac:dyDescent="0.25">
      <c r="A352" s="23"/>
      <c r="B352" s="23"/>
      <c r="C352" s="23"/>
      <c r="D352" s="23"/>
    </row>
    <row r="353" spans="1:4" x14ac:dyDescent="0.25">
      <c r="A353" s="23"/>
      <c r="B353" s="23"/>
      <c r="C353" s="23"/>
      <c r="D353" s="23"/>
    </row>
    <row r="354" spans="1:4" x14ac:dyDescent="0.25">
      <c r="A354" s="23"/>
      <c r="B354" s="23"/>
      <c r="C354" s="23"/>
      <c r="D354" s="23"/>
    </row>
    <row r="355" spans="1:4" x14ac:dyDescent="0.25">
      <c r="A355" s="23"/>
      <c r="B355" s="23"/>
      <c r="C355" s="23"/>
      <c r="D355" s="23"/>
    </row>
    <row r="356" spans="1:4" x14ac:dyDescent="0.25">
      <c r="A356" s="23"/>
      <c r="B356" s="23"/>
      <c r="C356" s="23"/>
      <c r="D356" s="23"/>
    </row>
    <row r="357" spans="1:4" x14ac:dyDescent="0.25">
      <c r="A357" s="23"/>
      <c r="B357" s="23"/>
      <c r="C357" s="23"/>
      <c r="D357" s="23"/>
    </row>
    <row r="358" spans="1:4" x14ac:dyDescent="0.25">
      <c r="A358" s="23"/>
      <c r="B358" s="23"/>
      <c r="C358" s="23"/>
      <c r="D358" s="23"/>
    </row>
    <row r="359" spans="1:4" x14ac:dyDescent="0.25">
      <c r="A359" s="23"/>
      <c r="B359" s="23"/>
      <c r="C359" s="23"/>
      <c r="D359" s="23"/>
    </row>
    <row r="360" spans="1:4" x14ac:dyDescent="0.25">
      <c r="A360" s="23"/>
      <c r="B360" s="23"/>
      <c r="C360" s="23"/>
      <c r="D360" s="23"/>
    </row>
    <row r="361" spans="1:4" x14ac:dyDescent="0.25">
      <c r="A361" s="23"/>
      <c r="B361" s="23"/>
      <c r="C361" s="23"/>
      <c r="D361" s="23"/>
    </row>
    <row r="362" spans="1:4" x14ac:dyDescent="0.25">
      <c r="A362" s="23"/>
      <c r="B362" s="23"/>
      <c r="C362" s="23"/>
      <c r="D362" s="23"/>
    </row>
    <row r="363" spans="1:4" x14ac:dyDescent="0.25">
      <c r="A363" s="23"/>
      <c r="B363" s="23"/>
      <c r="C363" s="23"/>
      <c r="D363" s="23"/>
    </row>
    <row r="364" spans="1:4" x14ac:dyDescent="0.25">
      <c r="A364" s="23"/>
      <c r="B364" s="23"/>
      <c r="C364" s="23"/>
      <c r="D364" s="23"/>
    </row>
    <row r="365" spans="1:4" x14ac:dyDescent="0.25">
      <c r="A365" s="23"/>
      <c r="B365" s="23"/>
      <c r="C365" s="23"/>
      <c r="D365" s="23"/>
    </row>
    <row r="366" spans="1:4" x14ac:dyDescent="0.25">
      <c r="A366" s="23"/>
      <c r="B366" s="23"/>
      <c r="C366" s="23"/>
      <c r="D366" s="23"/>
    </row>
    <row r="367" spans="1:4" x14ac:dyDescent="0.25">
      <c r="A367" s="23"/>
      <c r="B367" s="23"/>
      <c r="C367" s="23"/>
      <c r="D367" s="23"/>
    </row>
    <row r="368" spans="1:4" x14ac:dyDescent="0.25">
      <c r="A368" s="23"/>
      <c r="B368" s="23"/>
      <c r="C368" s="23"/>
      <c r="D368" s="23"/>
    </row>
    <row r="369" spans="1:4" x14ac:dyDescent="0.25">
      <c r="A369" s="23"/>
      <c r="B369" s="23"/>
      <c r="C369" s="23"/>
      <c r="D369" s="23"/>
    </row>
    <row r="370" spans="1:4" x14ac:dyDescent="0.25">
      <c r="A370" s="23"/>
      <c r="B370" s="23"/>
      <c r="C370" s="23"/>
      <c r="D370" s="23"/>
    </row>
    <row r="371" spans="1:4" x14ac:dyDescent="0.25">
      <c r="A371" s="23"/>
      <c r="B371" s="23"/>
      <c r="C371" s="23"/>
      <c r="D371" s="23"/>
    </row>
    <row r="372" spans="1:4" x14ac:dyDescent="0.25">
      <c r="A372" s="23"/>
      <c r="B372" s="23"/>
      <c r="C372" s="23"/>
      <c r="D372" s="23"/>
    </row>
    <row r="373" spans="1:4" x14ac:dyDescent="0.25">
      <c r="A373" s="23"/>
      <c r="B373" s="23"/>
      <c r="C373" s="23"/>
      <c r="D373" s="23"/>
    </row>
    <row r="374" spans="1:4" x14ac:dyDescent="0.25">
      <c r="A374" s="23"/>
      <c r="B374" s="23"/>
      <c r="C374" s="23"/>
      <c r="D374" s="23"/>
    </row>
    <row r="375" spans="1:4" x14ac:dyDescent="0.25">
      <c r="A375" s="23"/>
      <c r="B375" s="23"/>
      <c r="C375" s="23"/>
      <c r="D375" s="23"/>
    </row>
    <row r="376" spans="1:4" x14ac:dyDescent="0.25">
      <c r="A376" s="23"/>
      <c r="B376" s="23"/>
      <c r="C376" s="23"/>
      <c r="D376" s="23"/>
    </row>
    <row r="377" spans="1:4" x14ac:dyDescent="0.25">
      <c r="A377" s="23"/>
      <c r="B377" s="23"/>
      <c r="C377" s="23"/>
      <c r="D377" s="23"/>
    </row>
    <row r="378" spans="1:4" x14ac:dyDescent="0.25">
      <c r="A378" s="23"/>
      <c r="B378" s="23"/>
      <c r="C378" s="23"/>
      <c r="D378" s="23"/>
    </row>
    <row r="379" spans="1:4" x14ac:dyDescent="0.25">
      <c r="A379" s="23"/>
      <c r="B379" s="23"/>
      <c r="C379" s="23"/>
      <c r="D379" s="23"/>
    </row>
    <row r="380" spans="1:4" x14ac:dyDescent="0.25">
      <c r="A380" s="23"/>
      <c r="B380" s="23"/>
      <c r="C380" s="23"/>
      <c r="D380" s="23"/>
    </row>
    <row r="381" spans="1:4" x14ac:dyDescent="0.25">
      <c r="A381" s="23"/>
      <c r="B381" s="23"/>
      <c r="C381" s="23"/>
      <c r="D381" s="23"/>
    </row>
    <row r="382" spans="1:4" x14ac:dyDescent="0.25">
      <c r="A382" s="23"/>
      <c r="B382" s="23"/>
      <c r="C382" s="23"/>
      <c r="D382" s="23"/>
    </row>
    <row r="383" spans="1:4" x14ac:dyDescent="0.25">
      <c r="A383" s="23"/>
      <c r="B383" s="23"/>
      <c r="C383" s="23"/>
      <c r="D383" s="23"/>
    </row>
    <row r="384" spans="1:4" x14ac:dyDescent="0.25">
      <c r="A384" s="23"/>
      <c r="B384" s="23"/>
      <c r="C384" s="23"/>
      <c r="D384" s="23"/>
    </row>
    <row r="385" spans="1:4" x14ac:dyDescent="0.25">
      <c r="A385" s="23"/>
      <c r="B385" s="23"/>
      <c r="C385" s="23"/>
      <c r="D385" s="23"/>
    </row>
    <row r="386" spans="1:4" x14ac:dyDescent="0.25">
      <c r="A386" s="23"/>
      <c r="B386" s="23"/>
      <c r="C386" s="23"/>
      <c r="D386" s="23"/>
    </row>
    <row r="387" spans="1:4" x14ac:dyDescent="0.25">
      <c r="A387" s="23"/>
      <c r="B387" s="23"/>
      <c r="C387" s="23"/>
      <c r="D387" s="23"/>
    </row>
    <row r="388" spans="1:4" x14ac:dyDescent="0.25">
      <c r="A388" s="23"/>
      <c r="B388" s="23"/>
      <c r="C388" s="23"/>
      <c r="D388" s="23"/>
    </row>
    <row r="389" spans="1:4" x14ac:dyDescent="0.25">
      <c r="A389" s="23"/>
      <c r="B389" s="23"/>
      <c r="C389" s="23"/>
      <c r="D389" s="23"/>
    </row>
    <row r="390" spans="1:4" x14ac:dyDescent="0.25">
      <c r="A390" s="23"/>
      <c r="B390" s="23"/>
      <c r="C390" s="23"/>
      <c r="D390" s="23"/>
    </row>
    <row r="391" spans="1:4" x14ac:dyDescent="0.25">
      <c r="A391" s="23"/>
      <c r="B391" s="23"/>
      <c r="C391" s="23"/>
      <c r="D391" s="23"/>
    </row>
    <row r="392" spans="1:4" x14ac:dyDescent="0.25">
      <c r="A392" s="23"/>
      <c r="B392" s="23"/>
      <c r="C392" s="23"/>
      <c r="D392" s="23"/>
    </row>
    <row r="393" spans="1:4" x14ac:dyDescent="0.25">
      <c r="A393" s="23"/>
      <c r="B393" s="23"/>
      <c r="C393" s="23"/>
      <c r="D393" s="23"/>
    </row>
    <row r="394" spans="1:4" x14ac:dyDescent="0.25">
      <c r="A394" s="23"/>
      <c r="B394" s="23"/>
      <c r="C394" s="23"/>
      <c r="D394" s="23"/>
    </row>
    <row r="395" spans="1:4" x14ac:dyDescent="0.25">
      <c r="A395" s="23"/>
      <c r="B395" s="23"/>
      <c r="C395" s="23"/>
      <c r="D395" s="23"/>
    </row>
    <row r="396" spans="1:4" x14ac:dyDescent="0.25">
      <c r="A396" s="23"/>
      <c r="B396" s="23"/>
      <c r="C396" s="23"/>
      <c r="D396" s="23"/>
    </row>
    <row r="397" spans="1:4" x14ac:dyDescent="0.25">
      <c r="A397" s="23"/>
      <c r="B397" s="23"/>
      <c r="C397" s="23"/>
      <c r="D397" s="23"/>
    </row>
    <row r="398" spans="1:4" x14ac:dyDescent="0.25">
      <c r="A398" s="23"/>
      <c r="B398" s="23"/>
      <c r="C398" s="23"/>
      <c r="D398" s="23"/>
    </row>
    <row r="399" spans="1:4" x14ac:dyDescent="0.25">
      <c r="A399" s="23"/>
      <c r="B399" s="23"/>
      <c r="C399" s="23"/>
      <c r="D399" s="23"/>
    </row>
    <row r="400" spans="1:4" x14ac:dyDescent="0.25">
      <c r="A400" s="23"/>
      <c r="B400" s="23"/>
      <c r="C400" s="23"/>
      <c r="D400" s="23"/>
    </row>
    <row r="401" spans="1:4" x14ac:dyDescent="0.25">
      <c r="A401" s="23"/>
      <c r="B401" s="23"/>
      <c r="C401" s="23"/>
      <c r="D401" s="23"/>
    </row>
    <row r="402" spans="1:4" x14ac:dyDescent="0.25">
      <c r="A402" s="23"/>
      <c r="B402" s="23"/>
      <c r="C402" s="23"/>
      <c r="D402" s="23"/>
    </row>
    <row r="403" spans="1:4" x14ac:dyDescent="0.25">
      <c r="A403" s="23"/>
      <c r="B403" s="23"/>
      <c r="C403" s="23"/>
      <c r="D403" s="23"/>
    </row>
    <row r="404" spans="1:4" x14ac:dyDescent="0.25">
      <c r="A404" s="23"/>
      <c r="B404" s="23"/>
      <c r="C404" s="23"/>
      <c r="D404" s="23"/>
    </row>
    <row r="405" spans="1:4" x14ac:dyDescent="0.25">
      <c r="A405" s="23"/>
      <c r="B405" s="23"/>
      <c r="C405" s="23"/>
      <c r="D405" s="23"/>
    </row>
    <row r="406" spans="1:4" x14ac:dyDescent="0.25">
      <c r="A406" s="23"/>
      <c r="B406" s="23"/>
      <c r="C406" s="23"/>
      <c r="D406" s="23"/>
    </row>
    <row r="407" spans="1:4" x14ac:dyDescent="0.25">
      <c r="A407" s="23"/>
      <c r="B407" s="23"/>
      <c r="C407" s="23"/>
      <c r="D407" s="23"/>
    </row>
    <row r="408" spans="1:4" x14ac:dyDescent="0.25">
      <c r="A408" s="23"/>
      <c r="B408" s="23"/>
      <c r="C408" s="23"/>
      <c r="D408" s="23"/>
    </row>
    <row r="409" spans="1:4" x14ac:dyDescent="0.25">
      <c r="A409" s="23"/>
      <c r="B409" s="23"/>
      <c r="C409" s="23"/>
      <c r="D409" s="23"/>
    </row>
    <row r="410" spans="1:4" x14ac:dyDescent="0.25">
      <c r="A410" s="23"/>
      <c r="B410" s="23"/>
      <c r="C410" s="23"/>
      <c r="D410" s="23"/>
    </row>
    <row r="411" spans="1:4" x14ac:dyDescent="0.25">
      <c r="A411" s="23"/>
      <c r="B411" s="23"/>
      <c r="C411" s="23"/>
      <c r="D411" s="23"/>
    </row>
    <row r="412" spans="1:4" x14ac:dyDescent="0.25">
      <c r="A412" s="23"/>
      <c r="B412" s="23"/>
      <c r="C412" s="23"/>
      <c r="D412" s="23"/>
    </row>
    <row r="413" spans="1:4" x14ac:dyDescent="0.25">
      <c r="A413" s="23"/>
      <c r="B413" s="23"/>
      <c r="C413" s="23"/>
      <c r="D413" s="23"/>
    </row>
    <row r="414" spans="1:4" x14ac:dyDescent="0.25">
      <c r="A414" s="23"/>
      <c r="B414" s="23"/>
      <c r="C414" s="23"/>
      <c r="D414" s="23"/>
    </row>
    <row r="415" spans="1:4" x14ac:dyDescent="0.25">
      <c r="A415" s="23"/>
      <c r="B415" s="23"/>
      <c r="C415" s="23"/>
      <c r="D415" s="23"/>
    </row>
    <row r="416" spans="1:4" x14ac:dyDescent="0.25">
      <c r="A416" s="23"/>
      <c r="B416" s="23"/>
      <c r="C416" s="23"/>
      <c r="D416" s="23"/>
    </row>
    <row r="417" spans="1:4" x14ac:dyDescent="0.25">
      <c r="A417" s="23"/>
      <c r="B417" s="23"/>
      <c r="C417" s="23"/>
      <c r="D417" s="23"/>
    </row>
    <row r="418" spans="1:4" x14ac:dyDescent="0.25">
      <c r="A418" s="23"/>
      <c r="B418" s="23"/>
      <c r="C418" s="23"/>
      <c r="D418" s="23"/>
    </row>
    <row r="419" spans="1:4" x14ac:dyDescent="0.25">
      <c r="A419" s="23"/>
      <c r="B419" s="23"/>
      <c r="C419" s="23"/>
      <c r="D419" s="23"/>
    </row>
    <row r="420" spans="1:4" x14ac:dyDescent="0.25">
      <c r="A420" s="23"/>
      <c r="B420" s="23"/>
      <c r="C420" s="23"/>
      <c r="D420" s="23"/>
    </row>
    <row r="421" spans="1:4" x14ac:dyDescent="0.25">
      <c r="A421" s="23"/>
      <c r="B421" s="23"/>
      <c r="C421" s="23"/>
      <c r="D421" s="23"/>
    </row>
    <row r="422" spans="1:4" x14ac:dyDescent="0.25">
      <c r="A422" s="23"/>
      <c r="B422" s="23"/>
      <c r="C422" s="23"/>
      <c r="D422" s="23"/>
    </row>
    <row r="423" spans="1:4" x14ac:dyDescent="0.25">
      <c r="A423" s="23"/>
      <c r="B423" s="23"/>
      <c r="C423" s="23"/>
      <c r="D423" s="23"/>
    </row>
    <row r="424" spans="1:4" x14ac:dyDescent="0.25">
      <c r="A424" s="23"/>
      <c r="B424" s="23"/>
      <c r="C424" s="23"/>
      <c r="D424" s="23"/>
    </row>
    <row r="425" spans="1:4" x14ac:dyDescent="0.25">
      <c r="A425" s="23"/>
      <c r="B425" s="23"/>
      <c r="C425" s="23"/>
      <c r="D425" s="23"/>
    </row>
    <row r="426" spans="1:4" x14ac:dyDescent="0.25">
      <c r="A426" s="23"/>
      <c r="B426" s="23"/>
      <c r="C426" s="23"/>
      <c r="D426" s="23"/>
    </row>
    <row r="427" spans="1:4" x14ac:dyDescent="0.25">
      <c r="A427" s="23"/>
      <c r="B427" s="23"/>
      <c r="C427" s="23"/>
      <c r="D427" s="23"/>
    </row>
    <row r="428" spans="1:4" x14ac:dyDescent="0.25">
      <c r="A428" s="23"/>
      <c r="B428" s="23"/>
      <c r="C428" s="23"/>
      <c r="D428" s="23"/>
    </row>
    <row r="429" spans="1:4" x14ac:dyDescent="0.25">
      <c r="A429" s="23"/>
      <c r="B429" s="23"/>
      <c r="C429" s="23"/>
      <c r="D429" s="23"/>
    </row>
    <row r="430" spans="1:4" x14ac:dyDescent="0.25">
      <c r="A430" s="23"/>
      <c r="B430" s="23"/>
      <c r="C430" s="23"/>
      <c r="D430" s="23"/>
    </row>
    <row r="431" spans="1:4" x14ac:dyDescent="0.25">
      <c r="A431" s="23"/>
      <c r="B431" s="23"/>
      <c r="C431" s="23"/>
      <c r="D431" s="23"/>
    </row>
    <row r="432" spans="1:4" x14ac:dyDescent="0.25">
      <c r="A432" s="23"/>
      <c r="B432" s="23"/>
      <c r="C432" s="23"/>
      <c r="D432" s="23"/>
    </row>
    <row r="433" spans="1:4" x14ac:dyDescent="0.25">
      <c r="A433" s="23"/>
      <c r="B433" s="23"/>
      <c r="C433" s="23"/>
      <c r="D433" s="23"/>
    </row>
    <row r="434" spans="1:4" x14ac:dyDescent="0.25">
      <c r="A434" s="23"/>
      <c r="B434" s="23"/>
      <c r="C434" s="23"/>
      <c r="D434" s="23"/>
    </row>
    <row r="435" spans="1:4" x14ac:dyDescent="0.25">
      <c r="A435" s="23"/>
      <c r="B435" s="23"/>
      <c r="C435" s="23"/>
      <c r="D435" s="23"/>
    </row>
    <row r="436" spans="1:4" x14ac:dyDescent="0.25">
      <c r="A436" s="23"/>
      <c r="B436" s="23"/>
      <c r="C436" s="23"/>
      <c r="D436" s="23"/>
    </row>
    <row r="437" spans="1:4" x14ac:dyDescent="0.25">
      <c r="A437" s="23"/>
      <c r="B437" s="23"/>
      <c r="C437" s="23"/>
      <c r="D437" s="23"/>
    </row>
    <row r="438" spans="1:4" x14ac:dyDescent="0.25">
      <c r="A438" s="23"/>
      <c r="B438" s="23"/>
      <c r="C438" s="23"/>
      <c r="D438" s="23"/>
    </row>
    <row r="439" spans="1:4" x14ac:dyDescent="0.25">
      <c r="A439" s="23"/>
      <c r="B439" s="23"/>
      <c r="C439" s="23"/>
      <c r="D439" s="23"/>
    </row>
    <row r="440" spans="1:4" x14ac:dyDescent="0.25">
      <c r="A440" s="23"/>
      <c r="B440" s="23"/>
      <c r="C440" s="23"/>
      <c r="D440" s="23"/>
    </row>
    <row r="441" spans="1:4" x14ac:dyDescent="0.25">
      <c r="A441" s="23"/>
      <c r="B441" s="23"/>
      <c r="C441" s="23"/>
      <c r="D441" s="23"/>
    </row>
    <row r="442" spans="1:4" x14ac:dyDescent="0.25">
      <c r="A442" s="23"/>
      <c r="B442" s="23"/>
      <c r="C442" s="23"/>
      <c r="D442" s="23"/>
    </row>
    <row r="443" spans="1:4" x14ac:dyDescent="0.25">
      <c r="A443" s="23"/>
      <c r="B443" s="23"/>
      <c r="C443" s="23"/>
      <c r="D443" s="23"/>
    </row>
    <row r="444" spans="1:4" x14ac:dyDescent="0.25">
      <c r="A444" s="23"/>
      <c r="B444" s="23"/>
      <c r="C444" s="23"/>
      <c r="D444" s="23"/>
    </row>
    <row r="445" spans="1:4" x14ac:dyDescent="0.25">
      <c r="A445" s="23"/>
      <c r="B445" s="23"/>
      <c r="C445" s="23"/>
      <c r="D445" s="23"/>
    </row>
    <row r="446" spans="1:4" x14ac:dyDescent="0.25">
      <c r="A446" s="23"/>
      <c r="B446" s="23"/>
      <c r="C446" s="23"/>
      <c r="D446" s="23"/>
    </row>
    <row r="447" spans="1:4" x14ac:dyDescent="0.25">
      <c r="A447" s="23"/>
      <c r="B447" s="23"/>
      <c r="C447" s="23"/>
      <c r="D447" s="23"/>
    </row>
    <row r="448" spans="1:4" x14ac:dyDescent="0.25">
      <c r="A448" s="23"/>
      <c r="B448" s="23"/>
      <c r="C448" s="23"/>
      <c r="D448" s="23"/>
    </row>
    <row r="449" spans="1:4" x14ac:dyDescent="0.25">
      <c r="A449" s="23"/>
      <c r="B449" s="23"/>
      <c r="C449" s="23"/>
      <c r="D449" s="23"/>
    </row>
    <row r="450" spans="1:4" x14ac:dyDescent="0.25">
      <c r="A450" s="23"/>
      <c r="B450" s="23"/>
      <c r="C450" s="23"/>
      <c r="D450" s="23"/>
    </row>
    <row r="451" spans="1:4" x14ac:dyDescent="0.25">
      <c r="A451" s="23"/>
      <c r="B451" s="23"/>
      <c r="C451" s="23"/>
      <c r="D451" s="23"/>
    </row>
    <row r="452" spans="1:4" x14ac:dyDescent="0.25">
      <c r="A452" s="23"/>
      <c r="B452" s="23"/>
      <c r="C452" s="23"/>
      <c r="D452" s="23"/>
    </row>
    <row r="453" spans="1:4" x14ac:dyDescent="0.25">
      <c r="A453" s="23"/>
      <c r="B453" s="23"/>
      <c r="C453" s="23"/>
      <c r="D453" s="23"/>
    </row>
    <row r="454" spans="1:4" x14ac:dyDescent="0.25">
      <c r="A454" s="23"/>
      <c r="B454" s="23"/>
      <c r="C454" s="23"/>
      <c r="D454" s="23"/>
    </row>
    <row r="455" spans="1:4" x14ac:dyDescent="0.25">
      <c r="A455" s="23"/>
      <c r="B455" s="23"/>
      <c r="C455" s="23"/>
      <c r="D455" s="23"/>
    </row>
    <row r="456" spans="1:4" x14ac:dyDescent="0.25">
      <c r="A456" s="23"/>
      <c r="B456" s="23"/>
      <c r="C456" s="23"/>
      <c r="D456" s="23"/>
    </row>
    <row r="457" spans="1:4" x14ac:dyDescent="0.25">
      <c r="A457" s="23"/>
      <c r="B457" s="23"/>
      <c r="C457" s="23"/>
      <c r="D457" s="23"/>
    </row>
    <row r="458" spans="1:4" x14ac:dyDescent="0.25">
      <c r="A458" s="23"/>
      <c r="B458" s="23"/>
      <c r="C458" s="23"/>
      <c r="D458" s="23"/>
    </row>
    <row r="459" spans="1:4" x14ac:dyDescent="0.25">
      <c r="A459" s="23"/>
      <c r="B459" s="23"/>
      <c r="C459" s="23"/>
      <c r="D459" s="23"/>
    </row>
    <row r="460" spans="1:4" x14ac:dyDescent="0.25">
      <c r="A460" s="23"/>
      <c r="B460" s="23"/>
      <c r="C460" s="23"/>
      <c r="D460" s="23"/>
    </row>
    <row r="461" spans="1:4" x14ac:dyDescent="0.25">
      <c r="A461" s="23"/>
      <c r="B461" s="23"/>
      <c r="C461" s="23"/>
      <c r="D461" s="23"/>
    </row>
    <row r="462" spans="1:4" x14ac:dyDescent="0.25">
      <c r="A462" s="23"/>
      <c r="B462" s="23"/>
      <c r="C462" s="23"/>
      <c r="D462" s="23"/>
    </row>
    <row r="463" spans="1:4" x14ac:dyDescent="0.25">
      <c r="A463" s="23"/>
      <c r="B463" s="23"/>
      <c r="C463" s="23"/>
      <c r="D463" s="23"/>
    </row>
    <row r="464" spans="1:4" x14ac:dyDescent="0.25">
      <c r="A464" s="23"/>
      <c r="B464" s="23"/>
      <c r="C464" s="23"/>
      <c r="D464" s="23"/>
    </row>
    <row r="465" spans="1:4" x14ac:dyDescent="0.25">
      <c r="A465" s="23"/>
      <c r="B465" s="23"/>
      <c r="C465" s="23"/>
      <c r="D465" s="23"/>
    </row>
    <row r="466" spans="1:4" x14ac:dyDescent="0.25">
      <c r="A466" s="23"/>
      <c r="B466" s="23"/>
      <c r="C466" s="23"/>
      <c r="D466" s="23"/>
    </row>
    <row r="467" spans="1:4" x14ac:dyDescent="0.25">
      <c r="A467" s="23"/>
      <c r="B467" s="23"/>
      <c r="C467" s="23"/>
      <c r="D467" s="23"/>
    </row>
    <row r="468" spans="1:4" x14ac:dyDescent="0.25">
      <c r="A468" s="23"/>
      <c r="B468" s="23"/>
      <c r="C468" s="23"/>
      <c r="D468" s="23"/>
    </row>
    <row r="469" spans="1:4" x14ac:dyDescent="0.25">
      <c r="A469" s="23"/>
      <c r="B469" s="23"/>
      <c r="C469" s="23"/>
      <c r="D469" s="23"/>
    </row>
    <row r="470" spans="1:4" x14ac:dyDescent="0.25">
      <c r="A470" s="23"/>
      <c r="B470" s="23"/>
      <c r="C470" s="23"/>
      <c r="D470" s="23"/>
    </row>
    <row r="471" spans="1:4" x14ac:dyDescent="0.25">
      <c r="A471" s="23"/>
      <c r="B471" s="23"/>
      <c r="C471" s="23"/>
      <c r="D471" s="23"/>
    </row>
    <row r="472" spans="1:4" x14ac:dyDescent="0.25">
      <c r="A472" s="23"/>
      <c r="B472" s="23"/>
      <c r="C472" s="23"/>
      <c r="D472" s="23"/>
    </row>
    <row r="473" spans="1:4" x14ac:dyDescent="0.25">
      <c r="A473" s="23"/>
      <c r="B473" s="23"/>
      <c r="C473" s="23"/>
      <c r="D473" s="23"/>
    </row>
    <row r="474" spans="1:4" x14ac:dyDescent="0.25">
      <c r="A474" s="23"/>
      <c r="B474" s="23"/>
      <c r="C474" s="23"/>
      <c r="D474" s="23"/>
    </row>
    <row r="475" spans="1:4" x14ac:dyDescent="0.25">
      <c r="A475" s="23"/>
      <c r="B475" s="23"/>
      <c r="C475" s="23"/>
      <c r="D475" s="23"/>
    </row>
    <row r="476" spans="1:4" x14ac:dyDescent="0.25">
      <c r="A476" s="23"/>
      <c r="B476" s="23"/>
      <c r="C476" s="23"/>
      <c r="D476" s="23"/>
    </row>
    <row r="477" spans="1:4" x14ac:dyDescent="0.25">
      <c r="A477" s="23"/>
      <c r="B477" s="23"/>
      <c r="C477" s="23"/>
      <c r="D477" s="23"/>
    </row>
    <row r="478" spans="1:4" x14ac:dyDescent="0.25">
      <c r="A478" s="23"/>
      <c r="B478" s="23"/>
      <c r="C478" s="23"/>
      <c r="D478" s="23"/>
    </row>
    <row r="479" spans="1:4" x14ac:dyDescent="0.25">
      <c r="A479" s="23"/>
      <c r="B479" s="23"/>
      <c r="C479" s="23"/>
      <c r="D479" s="23"/>
    </row>
    <row r="480" spans="1:4" x14ac:dyDescent="0.25">
      <c r="A480" s="23"/>
      <c r="B480" s="23"/>
      <c r="C480" s="23"/>
      <c r="D480" s="23"/>
    </row>
    <row r="481" spans="1:4" x14ac:dyDescent="0.25">
      <c r="A481" s="23"/>
      <c r="B481" s="23"/>
      <c r="C481" s="23"/>
      <c r="D481" s="23"/>
    </row>
    <row r="482" spans="1:4" x14ac:dyDescent="0.25">
      <c r="A482" s="23"/>
      <c r="B482" s="23"/>
      <c r="C482" s="23"/>
      <c r="D482" s="23"/>
    </row>
    <row r="483" spans="1:4" x14ac:dyDescent="0.25">
      <c r="A483" s="23"/>
      <c r="B483" s="23"/>
      <c r="C483" s="23"/>
      <c r="D483" s="23"/>
    </row>
    <row r="484" spans="1:4" x14ac:dyDescent="0.25">
      <c r="A484" s="23"/>
      <c r="B484" s="23"/>
      <c r="C484" s="23"/>
      <c r="D484" s="23"/>
    </row>
    <row r="485" spans="1:4" x14ac:dyDescent="0.25">
      <c r="A485" s="23"/>
      <c r="B485" s="23"/>
      <c r="C485" s="23"/>
      <c r="D485" s="23"/>
    </row>
    <row r="486" spans="1:4" x14ac:dyDescent="0.25">
      <c r="A486" s="23"/>
      <c r="B486" s="23"/>
      <c r="C486" s="23"/>
      <c r="D486" s="23"/>
    </row>
    <row r="487" spans="1:4" x14ac:dyDescent="0.25">
      <c r="A487" s="23"/>
      <c r="B487" s="23"/>
      <c r="C487" s="23"/>
      <c r="D487" s="23"/>
    </row>
    <row r="488" spans="1:4" x14ac:dyDescent="0.25">
      <c r="A488" s="23"/>
      <c r="B488" s="23"/>
      <c r="C488" s="23"/>
      <c r="D488" s="23"/>
    </row>
    <row r="489" spans="1:4" x14ac:dyDescent="0.25">
      <c r="A489" s="23"/>
      <c r="B489" s="23"/>
      <c r="C489" s="23"/>
      <c r="D489" s="23"/>
    </row>
    <row r="490" spans="1:4" x14ac:dyDescent="0.25">
      <c r="A490" s="23"/>
      <c r="B490" s="23"/>
      <c r="C490" s="23"/>
      <c r="D490" s="23"/>
    </row>
    <row r="491" spans="1:4" x14ac:dyDescent="0.25">
      <c r="A491" s="23"/>
      <c r="B491" s="23"/>
      <c r="C491" s="23"/>
      <c r="D491" s="23"/>
    </row>
    <row r="492" spans="1:4" x14ac:dyDescent="0.25">
      <c r="A492" s="23"/>
      <c r="B492" s="23"/>
      <c r="C492" s="23"/>
      <c r="D492" s="23"/>
    </row>
    <row r="493" spans="1:4" x14ac:dyDescent="0.25">
      <c r="A493" s="23"/>
      <c r="B493" s="23"/>
      <c r="C493" s="23"/>
      <c r="D493" s="23"/>
    </row>
    <row r="494" spans="1:4" x14ac:dyDescent="0.25">
      <c r="A494" s="23"/>
      <c r="B494" s="23"/>
      <c r="C494" s="23"/>
      <c r="D494" s="23"/>
    </row>
    <row r="495" spans="1:4" x14ac:dyDescent="0.25">
      <c r="A495" s="23"/>
      <c r="B495" s="23"/>
      <c r="C495" s="23"/>
      <c r="D495" s="23"/>
    </row>
    <row r="496" spans="1:4" x14ac:dyDescent="0.25">
      <c r="A496" s="23"/>
      <c r="B496" s="23"/>
      <c r="C496" s="23"/>
      <c r="D496" s="23"/>
    </row>
    <row r="497" spans="1:4" x14ac:dyDescent="0.25">
      <c r="A497" s="23"/>
      <c r="B497" s="23"/>
      <c r="C497" s="23"/>
      <c r="D497" s="23"/>
    </row>
    <row r="498" spans="1:4" x14ac:dyDescent="0.25">
      <c r="A498" s="23"/>
      <c r="B498" s="23"/>
      <c r="C498" s="23"/>
      <c r="D498" s="23"/>
    </row>
    <row r="499" spans="1:4" x14ac:dyDescent="0.25">
      <c r="A499" s="23"/>
      <c r="B499" s="23"/>
      <c r="C499" s="23"/>
      <c r="D499" s="23"/>
    </row>
    <row r="500" spans="1:4" x14ac:dyDescent="0.25">
      <c r="A500" s="23"/>
      <c r="B500" s="23"/>
      <c r="C500" s="23"/>
      <c r="D500" s="23"/>
    </row>
    <row r="501" spans="1:4" x14ac:dyDescent="0.25">
      <c r="A501" s="23"/>
      <c r="B501" s="23"/>
      <c r="C501" s="23"/>
      <c r="D501" s="23"/>
    </row>
    <row r="502" spans="1:4" x14ac:dyDescent="0.25">
      <c r="A502" s="23"/>
      <c r="B502" s="23"/>
      <c r="C502" s="23"/>
      <c r="D502" s="23"/>
    </row>
    <row r="503" spans="1:4" x14ac:dyDescent="0.25">
      <c r="A503" s="23"/>
      <c r="B503" s="23"/>
      <c r="C503" s="23"/>
      <c r="D503" s="23"/>
    </row>
    <row r="504" spans="1:4" x14ac:dyDescent="0.25">
      <c r="A504" s="23"/>
      <c r="B504" s="23"/>
      <c r="C504" s="23"/>
      <c r="D504" s="23"/>
    </row>
    <row r="505" spans="1:4" x14ac:dyDescent="0.25">
      <c r="A505" s="23"/>
      <c r="B505" s="23"/>
      <c r="C505" s="23"/>
      <c r="D505" s="23"/>
    </row>
    <row r="506" spans="1:4" x14ac:dyDescent="0.25">
      <c r="A506" s="23"/>
      <c r="B506" s="23"/>
      <c r="C506" s="23"/>
      <c r="D506" s="23"/>
    </row>
    <row r="507" spans="1:4" x14ac:dyDescent="0.25">
      <c r="A507" s="23"/>
      <c r="B507" s="23"/>
      <c r="C507" s="23"/>
      <c r="D507" s="23"/>
    </row>
    <row r="508" spans="1:4" x14ac:dyDescent="0.25">
      <c r="A508" s="23"/>
      <c r="B508" s="23"/>
      <c r="C508" s="23"/>
      <c r="D508" s="23"/>
    </row>
    <row r="509" spans="1:4" x14ac:dyDescent="0.25">
      <c r="A509" s="23"/>
      <c r="B509" s="23"/>
      <c r="C509" s="23"/>
      <c r="D509" s="23"/>
    </row>
    <row r="510" spans="1:4" x14ac:dyDescent="0.25">
      <c r="A510" s="23"/>
      <c r="B510" s="23"/>
      <c r="C510" s="23"/>
      <c r="D510" s="23"/>
    </row>
    <row r="511" spans="1:4" x14ac:dyDescent="0.25">
      <c r="A511" s="23"/>
      <c r="B511" s="23"/>
      <c r="C511" s="23"/>
      <c r="D511" s="23"/>
    </row>
    <row r="512" spans="1:4" x14ac:dyDescent="0.25">
      <c r="A512" s="23"/>
      <c r="B512" s="23"/>
      <c r="C512" s="23"/>
      <c r="D512" s="23"/>
    </row>
    <row r="513" spans="1:4" x14ac:dyDescent="0.25">
      <c r="A513" s="23"/>
      <c r="B513" s="23"/>
      <c r="C513" s="23"/>
      <c r="D513" s="23"/>
    </row>
    <row r="514" spans="1:4" x14ac:dyDescent="0.25">
      <c r="A514" s="23"/>
      <c r="B514" s="23"/>
      <c r="C514" s="23"/>
      <c r="D514" s="23"/>
    </row>
    <row r="515" spans="1:4" x14ac:dyDescent="0.25">
      <c r="A515" s="23"/>
      <c r="B515" s="23"/>
      <c r="C515" s="23"/>
      <c r="D515" s="23"/>
    </row>
    <row r="516" spans="1:4" x14ac:dyDescent="0.25">
      <c r="A516" s="23"/>
      <c r="B516" s="23"/>
      <c r="C516" s="23"/>
      <c r="D516" s="23"/>
    </row>
    <row r="517" spans="1:4" x14ac:dyDescent="0.25">
      <c r="A517" s="23"/>
      <c r="B517" s="23"/>
      <c r="C517" s="23"/>
      <c r="D517" s="23"/>
    </row>
    <row r="518" spans="1:4" x14ac:dyDescent="0.25">
      <c r="A518" s="23"/>
      <c r="B518" s="23"/>
      <c r="C518" s="23"/>
      <c r="D518" s="23"/>
    </row>
    <row r="519" spans="1:4" x14ac:dyDescent="0.25">
      <c r="A519" s="23"/>
      <c r="B519" s="23"/>
      <c r="C519" s="23"/>
      <c r="D519" s="23"/>
    </row>
    <row r="520" spans="1:4" x14ac:dyDescent="0.25">
      <c r="A520" s="23"/>
      <c r="B520" s="23"/>
      <c r="C520" s="23"/>
      <c r="D520" s="23"/>
    </row>
    <row r="521" spans="1:4" x14ac:dyDescent="0.25">
      <c r="A521" s="23"/>
      <c r="B521" s="23"/>
      <c r="C521" s="23"/>
      <c r="D521" s="23"/>
    </row>
    <row r="522" spans="1:4" x14ac:dyDescent="0.25">
      <c r="A522" s="23"/>
      <c r="B522" s="23"/>
      <c r="C522" s="23"/>
      <c r="D522" s="23"/>
    </row>
    <row r="523" spans="1:4" x14ac:dyDescent="0.25">
      <c r="A523" s="23"/>
      <c r="B523" s="23"/>
      <c r="C523" s="23"/>
      <c r="D523" s="23"/>
    </row>
    <row r="524" spans="1:4" x14ac:dyDescent="0.25">
      <c r="A524" s="23"/>
      <c r="B524" s="23"/>
      <c r="C524" s="23"/>
      <c r="D524" s="23"/>
    </row>
    <row r="525" spans="1:4" x14ac:dyDescent="0.25">
      <c r="A525" s="23"/>
      <c r="B525" s="23"/>
      <c r="C525" s="23"/>
      <c r="D525" s="23"/>
    </row>
    <row r="526" spans="1:4" x14ac:dyDescent="0.25">
      <c r="A526" s="23"/>
      <c r="B526" s="23"/>
      <c r="C526" s="23"/>
      <c r="D526" s="23"/>
    </row>
    <row r="527" spans="1:4" x14ac:dyDescent="0.25">
      <c r="A527" s="23"/>
      <c r="B527" s="23"/>
      <c r="C527" s="23"/>
      <c r="D527" s="23"/>
    </row>
    <row r="528" spans="1:4" x14ac:dyDescent="0.25">
      <c r="A528" s="23"/>
      <c r="B528" s="23"/>
      <c r="C528" s="23"/>
      <c r="D528" s="23"/>
    </row>
    <row r="529" spans="1:4" x14ac:dyDescent="0.25">
      <c r="A529" s="23"/>
      <c r="B529" s="23"/>
      <c r="C529" s="23"/>
      <c r="D529" s="23"/>
    </row>
    <row r="530" spans="1:4" x14ac:dyDescent="0.25">
      <c r="A530" s="23"/>
      <c r="B530" s="23"/>
      <c r="C530" s="23"/>
      <c r="D530" s="23"/>
    </row>
    <row r="531" spans="1:4" x14ac:dyDescent="0.25">
      <c r="A531" s="23"/>
      <c r="B531" s="23"/>
      <c r="C531" s="23"/>
      <c r="D531" s="23"/>
    </row>
    <row r="532" spans="1:4" x14ac:dyDescent="0.25">
      <c r="A532" s="23"/>
      <c r="B532" s="23"/>
      <c r="C532" s="23"/>
      <c r="D532" s="23"/>
    </row>
    <row r="533" spans="1:4" x14ac:dyDescent="0.25">
      <c r="A533" s="23"/>
      <c r="B533" s="23"/>
      <c r="C533" s="23"/>
      <c r="D533" s="23"/>
    </row>
    <row r="534" spans="1:4" x14ac:dyDescent="0.25">
      <c r="A534" s="23"/>
      <c r="B534" s="23"/>
      <c r="C534" s="23"/>
      <c r="D534" s="23"/>
    </row>
    <row r="535" spans="1:4" x14ac:dyDescent="0.25">
      <c r="A535" s="23"/>
      <c r="B535" s="23"/>
      <c r="C535" s="23"/>
      <c r="D535" s="23"/>
    </row>
    <row r="536" spans="1:4" x14ac:dyDescent="0.25">
      <c r="A536" s="23"/>
      <c r="B536" s="23"/>
      <c r="C536" s="23"/>
      <c r="D536" s="23"/>
    </row>
    <row r="537" spans="1:4" x14ac:dyDescent="0.25">
      <c r="A537" s="23"/>
      <c r="B537" s="23"/>
      <c r="C537" s="23"/>
      <c r="D537" s="23"/>
    </row>
    <row r="538" spans="1:4" x14ac:dyDescent="0.25">
      <c r="A538" s="23"/>
      <c r="B538" s="23"/>
      <c r="C538" s="23"/>
      <c r="D538" s="23"/>
    </row>
    <row r="539" spans="1:4" x14ac:dyDescent="0.25">
      <c r="A539" s="23"/>
      <c r="B539" s="23"/>
      <c r="C539" s="23"/>
      <c r="D539" s="23"/>
    </row>
    <row r="540" spans="1:4" x14ac:dyDescent="0.25">
      <c r="A540" s="23"/>
      <c r="B540" s="23"/>
      <c r="C540" s="23"/>
      <c r="D540" s="23"/>
    </row>
    <row r="541" spans="1:4" x14ac:dyDescent="0.25">
      <c r="A541" s="23"/>
      <c r="B541" s="23"/>
      <c r="C541" s="23"/>
      <c r="D541" s="23"/>
    </row>
    <row r="542" spans="1:4" x14ac:dyDescent="0.25">
      <c r="A542" s="23"/>
      <c r="B542" s="23"/>
      <c r="C542" s="23"/>
      <c r="D542" s="23"/>
    </row>
    <row r="543" spans="1:4" x14ac:dyDescent="0.25">
      <c r="A543" s="23"/>
      <c r="B543" s="23"/>
      <c r="C543" s="23"/>
      <c r="D543" s="23"/>
    </row>
    <row r="544" spans="1:4" x14ac:dyDescent="0.25">
      <c r="A544" s="23"/>
      <c r="B544" s="23"/>
      <c r="C544" s="23"/>
      <c r="D544" s="23"/>
    </row>
    <row r="545" spans="1:4" x14ac:dyDescent="0.25">
      <c r="A545" s="23"/>
      <c r="B545" s="23"/>
      <c r="C545" s="23"/>
      <c r="D545" s="23"/>
    </row>
    <row r="546" spans="1:4" x14ac:dyDescent="0.25">
      <c r="A546" s="23"/>
      <c r="B546" s="23"/>
      <c r="C546" s="23"/>
      <c r="D546" s="23"/>
    </row>
    <row r="547" spans="1:4" x14ac:dyDescent="0.25">
      <c r="A547" s="23"/>
      <c r="B547" s="23"/>
      <c r="C547" s="23"/>
      <c r="D547" s="23"/>
    </row>
    <row r="548" spans="1:4" x14ac:dyDescent="0.25">
      <c r="A548" s="23"/>
      <c r="B548" s="23"/>
      <c r="C548" s="23"/>
      <c r="D548" s="23"/>
    </row>
    <row r="549" spans="1:4" x14ac:dyDescent="0.25">
      <c r="A549" s="23"/>
      <c r="B549" s="23"/>
      <c r="C549" s="23"/>
      <c r="D549" s="23"/>
    </row>
    <row r="550" spans="1:4" x14ac:dyDescent="0.25">
      <c r="A550" s="23"/>
      <c r="B550" s="23"/>
      <c r="C550" s="23"/>
      <c r="D550" s="23"/>
    </row>
    <row r="551" spans="1:4" x14ac:dyDescent="0.25">
      <c r="A551" s="23"/>
      <c r="B551" s="23"/>
      <c r="C551" s="23"/>
      <c r="D551" s="23"/>
    </row>
    <row r="552" spans="1:4" x14ac:dyDescent="0.25">
      <c r="A552" s="23"/>
      <c r="B552" s="23"/>
      <c r="C552" s="23"/>
      <c r="D552" s="23"/>
    </row>
    <row r="553" spans="1:4" x14ac:dyDescent="0.25">
      <c r="A553" s="23"/>
      <c r="B553" s="23"/>
      <c r="C553" s="23"/>
      <c r="D553" s="23"/>
    </row>
    <row r="554" spans="1:4" x14ac:dyDescent="0.25">
      <c r="A554" s="23"/>
      <c r="B554" s="23"/>
      <c r="C554" s="23"/>
      <c r="D554" s="23"/>
    </row>
    <row r="555" spans="1:4" x14ac:dyDescent="0.25">
      <c r="A555" s="23"/>
      <c r="B555" s="23"/>
      <c r="C555" s="23"/>
      <c r="D555" s="23"/>
    </row>
    <row r="556" spans="1:4" x14ac:dyDescent="0.25">
      <c r="A556" s="23"/>
      <c r="B556" s="23"/>
      <c r="C556" s="23"/>
      <c r="D556" s="23"/>
    </row>
    <row r="557" spans="1:4" x14ac:dyDescent="0.25">
      <c r="A557" s="23"/>
      <c r="B557" s="23"/>
      <c r="C557" s="23"/>
      <c r="D557" s="23"/>
    </row>
    <row r="558" spans="1:4" x14ac:dyDescent="0.25">
      <c r="A558" s="23"/>
      <c r="B558" s="23"/>
      <c r="C558" s="23"/>
      <c r="D558" s="23"/>
    </row>
    <row r="559" spans="1:4" x14ac:dyDescent="0.25">
      <c r="A559" s="23"/>
      <c r="B559" s="23"/>
      <c r="C559" s="23"/>
      <c r="D559" s="23"/>
    </row>
    <row r="560" spans="1:4" x14ac:dyDescent="0.25">
      <c r="A560" s="23"/>
      <c r="B560" s="23"/>
      <c r="C560" s="23"/>
      <c r="D560" s="23"/>
    </row>
    <row r="561" spans="1:4" x14ac:dyDescent="0.25">
      <c r="A561" s="23"/>
      <c r="B561" s="23"/>
      <c r="C561" s="23"/>
      <c r="D561" s="23"/>
    </row>
    <row r="562" spans="1:4" x14ac:dyDescent="0.25">
      <c r="A562" s="23"/>
      <c r="B562" s="23"/>
      <c r="C562" s="23"/>
      <c r="D562" s="23"/>
    </row>
    <row r="563" spans="1:4" x14ac:dyDescent="0.25">
      <c r="A563" s="23"/>
      <c r="B563" s="23"/>
      <c r="C563" s="23"/>
      <c r="D563" s="23"/>
    </row>
    <row r="564" spans="1:4" x14ac:dyDescent="0.25">
      <c r="A564" s="23"/>
      <c r="B564" s="23"/>
      <c r="C564" s="23"/>
      <c r="D564" s="23"/>
    </row>
    <row r="565" spans="1:4" x14ac:dyDescent="0.25">
      <c r="A565" s="23"/>
      <c r="B565" s="23"/>
      <c r="C565" s="23"/>
      <c r="D565" s="23"/>
    </row>
    <row r="566" spans="1:4" x14ac:dyDescent="0.25">
      <c r="A566" s="23"/>
      <c r="B566" s="23"/>
      <c r="C566" s="23"/>
      <c r="D566" s="23"/>
    </row>
    <row r="567" spans="1:4" x14ac:dyDescent="0.25">
      <c r="A567" s="23"/>
      <c r="B567" s="23"/>
      <c r="C567" s="23"/>
      <c r="D567" s="23"/>
    </row>
    <row r="568" spans="1:4" x14ac:dyDescent="0.25">
      <c r="A568" s="23"/>
      <c r="B568" s="23"/>
      <c r="C568" s="23"/>
      <c r="D568" s="23"/>
    </row>
    <row r="569" spans="1:4" x14ac:dyDescent="0.25">
      <c r="A569" s="23"/>
      <c r="B569" s="23"/>
      <c r="C569" s="23"/>
      <c r="D569" s="23"/>
    </row>
    <row r="570" spans="1:4" x14ac:dyDescent="0.25">
      <c r="A570" s="23"/>
      <c r="B570" s="23"/>
      <c r="C570" s="23"/>
      <c r="D570" s="23"/>
    </row>
    <row r="571" spans="1:4" x14ac:dyDescent="0.25">
      <c r="A571" s="23"/>
      <c r="B571" s="23"/>
      <c r="C571" s="23"/>
      <c r="D571" s="23"/>
    </row>
    <row r="572" spans="1:4" x14ac:dyDescent="0.25">
      <c r="A572" s="23"/>
      <c r="B572" s="23"/>
      <c r="C572" s="23"/>
      <c r="D572" s="23"/>
    </row>
    <row r="573" spans="1:4" x14ac:dyDescent="0.25">
      <c r="A573" s="23"/>
      <c r="B573" s="23"/>
      <c r="C573" s="23"/>
      <c r="D573" s="23"/>
    </row>
    <row r="574" spans="1:4" x14ac:dyDescent="0.25">
      <c r="A574" s="23"/>
      <c r="B574" s="23"/>
      <c r="C574" s="23"/>
      <c r="D574" s="23"/>
    </row>
    <row r="575" spans="1:4" x14ac:dyDescent="0.25">
      <c r="A575" s="23"/>
      <c r="B575" s="23"/>
      <c r="C575" s="23"/>
      <c r="D575" s="23"/>
    </row>
    <row r="576" spans="1:4" x14ac:dyDescent="0.25">
      <c r="A576" s="23"/>
      <c r="B576" s="23"/>
      <c r="C576" s="23"/>
      <c r="D576" s="23"/>
    </row>
    <row r="577" spans="1:4" x14ac:dyDescent="0.25">
      <c r="A577" s="23"/>
      <c r="B577" s="23"/>
      <c r="C577" s="23"/>
      <c r="D577" s="23"/>
    </row>
    <row r="578" spans="1:4" x14ac:dyDescent="0.25">
      <c r="A578" s="23"/>
      <c r="B578" s="23"/>
      <c r="C578" s="23"/>
      <c r="D578" s="23"/>
    </row>
    <row r="579" spans="1:4" x14ac:dyDescent="0.25">
      <c r="A579" s="23"/>
      <c r="B579" s="23"/>
      <c r="C579" s="23"/>
      <c r="D579" s="23"/>
    </row>
    <row r="580" spans="1:4" x14ac:dyDescent="0.25">
      <c r="A580" s="23"/>
      <c r="B580" s="23"/>
      <c r="C580" s="23"/>
      <c r="D580" s="23"/>
    </row>
    <row r="581" spans="1:4" x14ac:dyDescent="0.25">
      <c r="A581" s="23"/>
      <c r="B581" s="23"/>
      <c r="C581" s="23"/>
      <c r="D581" s="23"/>
    </row>
    <row r="582" spans="1:4" x14ac:dyDescent="0.25">
      <c r="A582" s="23"/>
      <c r="B582" s="23"/>
      <c r="C582" s="23"/>
      <c r="D582" s="23"/>
    </row>
    <row r="583" spans="1:4" x14ac:dyDescent="0.25">
      <c r="A583" s="23"/>
      <c r="B583" s="23"/>
      <c r="C583" s="23"/>
      <c r="D583" s="23"/>
    </row>
    <row r="584" spans="1:4" x14ac:dyDescent="0.25">
      <c r="A584" s="23"/>
      <c r="B584" s="23"/>
      <c r="C584" s="23"/>
      <c r="D584" s="23"/>
    </row>
    <row r="585" spans="1:4" x14ac:dyDescent="0.25">
      <c r="A585" s="23"/>
      <c r="B585" s="23"/>
      <c r="C585" s="23"/>
      <c r="D585" s="23"/>
    </row>
    <row r="586" spans="1:4" x14ac:dyDescent="0.25">
      <c r="A586" s="23"/>
      <c r="B586" s="23"/>
      <c r="C586" s="23"/>
      <c r="D586" s="23"/>
    </row>
    <row r="587" spans="1:4" x14ac:dyDescent="0.25">
      <c r="A587" s="23"/>
      <c r="B587" s="23"/>
      <c r="C587" s="23"/>
      <c r="D587" s="23"/>
    </row>
    <row r="588" spans="1:4" x14ac:dyDescent="0.25">
      <c r="A588" s="23"/>
      <c r="B588" s="23"/>
      <c r="C588" s="23"/>
      <c r="D588" s="23"/>
    </row>
    <row r="589" spans="1:4" x14ac:dyDescent="0.25">
      <c r="A589" s="23"/>
      <c r="B589" s="23"/>
      <c r="C589" s="23"/>
      <c r="D589" s="23"/>
    </row>
    <row r="590" spans="1:4" x14ac:dyDescent="0.25">
      <c r="A590" s="23"/>
      <c r="B590" s="23"/>
      <c r="C590" s="23"/>
      <c r="D590" s="23"/>
    </row>
    <row r="591" spans="1:4" x14ac:dyDescent="0.25">
      <c r="A591" s="23"/>
      <c r="B591" s="23"/>
      <c r="C591" s="23"/>
      <c r="D591" s="23"/>
    </row>
    <row r="592" spans="1:4" x14ac:dyDescent="0.25">
      <c r="A592" s="23"/>
      <c r="B592" s="23"/>
      <c r="C592" s="23"/>
      <c r="D592" s="23"/>
    </row>
    <row r="593" spans="1:4" x14ac:dyDescent="0.25">
      <c r="A593" s="23"/>
      <c r="B593" s="23"/>
      <c r="C593" s="23"/>
      <c r="D593" s="23"/>
    </row>
    <row r="594" spans="1:4" x14ac:dyDescent="0.25">
      <c r="A594" s="23"/>
      <c r="B594" s="23"/>
      <c r="C594" s="23"/>
      <c r="D594" s="23"/>
    </row>
    <row r="595" spans="1:4" x14ac:dyDescent="0.25">
      <c r="A595" s="23"/>
      <c r="B595" s="23"/>
      <c r="C595" s="23"/>
      <c r="D595" s="23"/>
    </row>
    <row r="596" spans="1:4" x14ac:dyDescent="0.25">
      <c r="A596" s="23"/>
      <c r="B596" s="23"/>
      <c r="C596" s="23"/>
      <c r="D596" s="23"/>
    </row>
    <row r="597" spans="1:4" x14ac:dyDescent="0.25">
      <c r="A597" s="23"/>
      <c r="B597" s="23"/>
      <c r="C597" s="23"/>
      <c r="D597" s="23"/>
    </row>
    <row r="598" spans="1:4" x14ac:dyDescent="0.25">
      <c r="A598" s="23"/>
      <c r="B598" s="23"/>
      <c r="C598" s="23"/>
      <c r="D598" s="23"/>
    </row>
    <row r="599" spans="1:4" x14ac:dyDescent="0.25">
      <c r="A599" s="23"/>
      <c r="B599" s="23"/>
      <c r="C599" s="23"/>
      <c r="D599" s="23"/>
    </row>
    <row r="600" spans="1:4" x14ac:dyDescent="0.25">
      <c r="A600" s="23"/>
      <c r="B600" s="23"/>
      <c r="C600" s="23"/>
      <c r="D600" s="23"/>
    </row>
    <row r="601" spans="1:4" x14ac:dyDescent="0.25">
      <c r="A601" s="23"/>
      <c r="B601" s="23"/>
      <c r="C601" s="23"/>
      <c r="D601" s="23"/>
    </row>
    <row r="602" spans="1:4" x14ac:dyDescent="0.25">
      <c r="A602" s="23"/>
      <c r="B602" s="23"/>
      <c r="C602" s="23"/>
      <c r="D602" s="23"/>
    </row>
    <row r="603" spans="1:4" x14ac:dyDescent="0.25">
      <c r="A603" s="23"/>
      <c r="B603" s="23"/>
      <c r="C603" s="23"/>
      <c r="D603" s="23"/>
    </row>
    <row r="604" spans="1:4" x14ac:dyDescent="0.25">
      <c r="A604" s="23"/>
      <c r="B604" s="23"/>
      <c r="C604" s="23"/>
      <c r="D604" s="23"/>
    </row>
    <row r="605" spans="1:4" x14ac:dyDescent="0.25">
      <c r="A605" s="23"/>
      <c r="B605" s="23"/>
      <c r="C605" s="23"/>
      <c r="D605" s="23"/>
    </row>
    <row r="606" spans="1:4" x14ac:dyDescent="0.25">
      <c r="A606" s="23"/>
      <c r="B606" s="23"/>
      <c r="C606" s="23"/>
      <c r="D606" s="23"/>
    </row>
    <row r="607" spans="1:4" x14ac:dyDescent="0.25">
      <c r="A607" s="23"/>
      <c r="B607" s="23"/>
      <c r="C607" s="23"/>
      <c r="D607" s="23"/>
    </row>
    <row r="608" spans="1:4" x14ac:dyDescent="0.25">
      <c r="A608" s="23"/>
      <c r="B608" s="23"/>
      <c r="C608" s="23"/>
      <c r="D608" s="23"/>
    </row>
    <row r="609" spans="1:4" x14ac:dyDescent="0.25">
      <c r="A609" s="23"/>
      <c r="B609" s="23"/>
      <c r="C609" s="23"/>
      <c r="D609" s="23"/>
    </row>
    <row r="610" spans="1:4" x14ac:dyDescent="0.25">
      <c r="A610" s="23"/>
      <c r="B610" s="23"/>
      <c r="C610" s="23"/>
      <c r="D610" s="23"/>
    </row>
    <row r="611" spans="1:4" x14ac:dyDescent="0.25">
      <c r="A611" s="23"/>
      <c r="B611" s="23"/>
      <c r="C611" s="23"/>
      <c r="D611" s="23"/>
    </row>
    <row r="612" spans="1:4" x14ac:dyDescent="0.25">
      <c r="A612" s="23"/>
      <c r="B612" s="23"/>
      <c r="C612" s="23"/>
      <c r="D612" s="23"/>
    </row>
    <row r="613" spans="1:4" x14ac:dyDescent="0.25">
      <c r="A613" s="23"/>
      <c r="B613" s="23"/>
      <c r="C613" s="23"/>
      <c r="D613" s="23"/>
    </row>
    <row r="614" spans="1:4" x14ac:dyDescent="0.25">
      <c r="A614" s="23"/>
      <c r="B614" s="23"/>
      <c r="C614" s="23"/>
      <c r="D614" s="23"/>
    </row>
    <row r="615" spans="1:4" x14ac:dyDescent="0.25">
      <c r="A615" s="23"/>
      <c r="B615" s="23"/>
      <c r="C615" s="23"/>
      <c r="D615" s="23"/>
    </row>
    <row r="616" spans="1:4" x14ac:dyDescent="0.25">
      <c r="A616" s="23"/>
      <c r="B616" s="23"/>
      <c r="C616" s="23"/>
      <c r="D616" s="23"/>
    </row>
    <row r="617" spans="1:4" x14ac:dyDescent="0.25">
      <c r="A617" s="23"/>
      <c r="B617" s="23"/>
      <c r="C617" s="23"/>
      <c r="D617" s="23"/>
    </row>
    <row r="618" spans="1:4" x14ac:dyDescent="0.25">
      <c r="A618" s="23"/>
      <c r="B618" s="23"/>
      <c r="C618" s="23"/>
      <c r="D618" s="23"/>
    </row>
    <row r="619" spans="1:4" x14ac:dyDescent="0.25">
      <c r="A619" s="23"/>
      <c r="B619" s="23"/>
      <c r="C619" s="23"/>
      <c r="D619" s="23"/>
    </row>
    <row r="620" spans="1:4" x14ac:dyDescent="0.25">
      <c r="A620" s="23"/>
      <c r="B620" s="23"/>
      <c r="C620" s="23"/>
      <c r="D620" s="23"/>
    </row>
    <row r="621" spans="1:4" x14ac:dyDescent="0.25">
      <c r="A621" s="23"/>
      <c r="B621" s="23"/>
      <c r="C621" s="23"/>
      <c r="D621" s="23"/>
    </row>
    <row r="622" spans="1:4" x14ac:dyDescent="0.25">
      <c r="A622" s="23"/>
      <c r="B622" s="23"/>
      <c r="C622" s="23"/>
      <c r="D622" s="23"/>
    </row>
    <row r="623" spans="1:4" x14ac:dyDescent="0.25">
      <c r="A623" s="23"/>
      <c r="B623" s="23"/>
      <c r="C623" s="23"/>
      <c r="D623" s="23"/>
    </row>
    <row r="624" spans="1:4" x14ac:dyDescent="0.25">
      <c r="A624" s="23"/>
      <c r="B624" s="23"/>
      <c r="C624" s="23"/>
      <c r="D624" s="23"/>
    </row>
    <row r="625" spans="1:4" x14ac:dyDescent="0.25">
      <c r="A625" s="23"/>
      <c r="B625" s="23"/>
      <c r="C625" s="23"/>
      <c r="D625" s="23"/>
    </row>
    <row r="626" spans="1:4" x14ac:dyDescent="0.25">
      <c r="A626" s="23"/>
      <c r="B626" s="23"/>
      <c r="C626" s="23"/>
      <c r="D626" s="23"/>
    </row>
    <row r="627" spans="1:4" x14ac:dyDescent="0.25">
      <c r="A627" s="23"/>
      <c r="B627" s="23"/>
      <c r="C627" s="23"/>
      <c r="D627" s="23"/>
    </row>
    <row r="628" spans="1:4" x14ac:dyDescent="0.25">
      <c r="A628" s="23"/>
      <c r="B628" s="23"/>
      <c r="C628" s="23"/>
      <c r="D628" s="23"/>
    </row>
    <row r="629" spans="1:4" x14ac:dyDescent="0.25">
      <c r="A629" s="23"/>
      <c r="B629" s="23"/>
      <c r="C629" s="23"/>
      <c r="D629" s="23"/>
    </row>
    <row r="630" spans="1:4" x14ac:dyDescent="0.25">
      <c r="A630" s="23"/>
      <c r="B630" s="23"/>
      <c r="C630" s="23"/>
      <c r="D630" s="23"/>
    </row>
    <row r="631" spans="1:4" x14ac:dyDescent="0.25">
      <c r="A631" s="23"/>
      <c r="B631" s="23"/>
      <c r="C631" s="23"/>
      <c r="D631" s="23"/>
    </row>
    <row r="632" spans="1:4" x14ac:dyDescent="0.25">
      <c r="A632" s="23"/>
      <c r="B632" s="23"/>
      <c r="C632" s="23"/>
      <c r="D632" s="23"/>
    </row>
    <row r="633" spans="1:4" x14ac:dyDescent="0.25">
      <c r="A633" s="23"/>
      <c r="B633" s="23"/>
      <c r="C633" s="23"/>
      <c r="D633" s="23"/>
    </row>
    <row r="634" spans="1:4" x14ac:dyDescent="0.25">
      <c r="A634" s="23"/>
      <c r="B634" s="23"/>
      <c r="C634" s="23"/>
      <c r="D634" s="23"/>
    </row>
    <row r="635" spans="1:4" x14ac:dyDescent="0.25">
      <c r="A635" s="23"/>
      <c r="B635" s="23"/>
      <c r="C635" s="23"/>
      <c r="D635" s="23"/>
    </row>
    <row r="636" spans="1:4" x14ac:dyDescent="0.25">
      <c r="A636" s="23"/>
      <c r="B636" s="23"/>
      <c r="C636" s="23"/>
      <c r="D636" s="23"/>
    </row>
    <row r="637" spans="1:4" x14ac:dyDescent="0.25">
      <c r="A637" s="23"/>
      <c r="B637" s="23"/>
      <c r="C637" s="23"/>
      <c r="D637" s="23"/>
    </row>
    <row r="638" spans="1:4" x14ac:dyDescent="0.25">
      <c r="A638" s="23"/>
      <c r="B638" s="23"/>
      <c r="C638" s="23"/>
      <c r="D638" s="23"/>
    </row>
    <row r="639" spans="1:4" x14ac:dyDescent="0.25">
      <c r="A639" s="23"/>
      <c r="B639" s="23"/>
      <c r="C639" s="23"/>
      <c r="D639" s="23"/>
    </row>
    <row r="640" spans="1:4" x14ac:dyDescent="0.25">
      <c r="A640" s="23"/>
      <c r="B640" s="23"/>
      <c r="C640" s="23"/>
      <c r="D640" s="23"/>
    </row>
    <row r="641" spans="1:4" x14ac:dyDescent="0.25">
      <c r="A641" s="23"/>
      <c r="B641" s="23"/>
      <c r="C641" s="23"/>
      <c r="D641" s="23"/>
    </row>
    <row r="642" spans="1:4" x14ac:dyDescent="0.25">
      <c r="A642" s="23"/>
      <c r="B642" s="23"/>
      <c r="C642" s="23"/>
      <c r="D642" s="23"/>
    </row>
    <row r="643" spans="1:4" x14ac:dyDescent="0.25">
      <c r="A643" s="23"/>
      <c r="B643" s="23"/>
      <c r="C643" s="23"/>
      <c r="D643" s="23"/>
    </row>
    <row r="644" spans="1:4" x14ac:dyDescent="0.25">
      <c r="A644" s="23"/>
      <c r="B644" s="23"/>
      <c r="C644" s="23"/>
      <c r="D644" s="23"/>
    </row>
    <row r="645" spans="1:4" x14ac:dyDescent="0.25">
      <c r="A645" s="23"/>
      <c r="B645" s="23"/>
      <c r="C645" s="23"/>
      <c r="D645" s="23"/>
    </row>
    <row r="646" spans="1:4" x14ac:dyDescent="0.25">
      <c r="A646" s="23"/>
      <c r="B646" s="23"/>
      <c r="C646" s="23"/>
      <c r="D646" s="23"/>
    </row>
    <row r="647" spans="1:4" x14ac:dyDescent="0.25">
      <c r="A647" s="23"/>
      <c r="B647" s="23"/>
      <c r="C647" s="23"/>
      <c r="D647" s="23"/>
    </row>
    <row r="648" spans="1:4" x14ac:dyDescent="0.25">
      <c r="A648" s="23"/>
      <c r="B648" s="23"/>
      <c r="C648" s="23"/>
      <c r="D648" s="23"/>
    </row>
    <row r="649" spans="1:4" x14ac:dyDescent="0.25">
      <c r="A649" s="23"/>
      <c r="B649" s="23"/>
      <c r="C649" s="23"/>
      <c r="D649" s="23"/>
    </row>
    <row r="650" spans="1:4" x14ac:dyDescent="0.25">
      <c r="A650" s="23"/>
      <c r="B650" s="23"/>
      <c r="C650" s="23"/>
      <c r="D650" s="23"/>
    </row>
    <row r="651" spans="1:4" x14ac:dyDescent="0.25">
      <c r="A651" s="23"/>
      <c r="B651" s="23"/>
      <c r="C651" s="23"/>
      <c r="D651" s="23"/>
    </row>
    <row r="652" spans="1:4" x14ac:dyDescent="0.25">
      <c r="A652" s="23"/>
      <c r="B652" s="23"/>
      <c r="C652" s="23"/>
      <c r="D652" s="23"/>
    </row>
    <row r="653" spans="1:4" x14ac:dyDescent="0.25">
      <c r="A653" s="23"/>
      <c r="B653" s="23"/>
      <c r="C653" s="23"/>
      <c r="D653" s="23"/>
    </row>
    <row r="654" spans="1:4" x14ac:dyDescent="0.25">
      <c r="A654" s="23"/>
      <c r="B654" s="23"/>
      <c r="C654" s="23"/>
      <c r="D654" s="23"/>
    </row>
    <row r="655" spans="1:4" x14ac:dyDescent="0.25">
      <c r="A655" s="23"/>
      <c r="B655" s="23"/>
      <c r="C655" s="23"/>
      <c r="D655" s="23"/>
    </row>
    <row r="656" spans="1:4" x14ac:dyDescent="0.25">
      <c r="A656" s="23"/>
      <c r="B656" s="23"/>
      <c r="C656" s="23"/>
      <c r="D656" s="23"/>
    </row>
    <row r="657" spans="1:4" x14ac:dyDescent="0.25">
      <c r="A657" s="23"/>
      <c r="B657" s="23"/>
      <c r="C657" s="23"/>
      <c r="D657" s="23"/>
    </row>
    <row r="658" spans="1:4" x14ac:dyDescent="0.25">
      <c r="A658" s="23"/>
      <c r="B658" s="23"/>
      <c r="C658" s="23"/>
      <c r="D658" s="23"/>
    </row>
    <row r="659" spans="1:4" x14ac:dyDescent="0.25">
      <c r="A659" s="23"/>
      <c r="B659" s="23"/>
      <c r="C659" s="23"/>
      <c r="D659" s="23"/>
    </row>
    <row r="660" spans="1:4" x14ac:dyDescent="0.25">
      <c r="A660" s="23"/>
      <c r="B660" s="23"/>
      <c r="C660" s="23"/>
      <c r="D660" s="23"/>
    </row>
    <row r="661" spans="1:4" x14ac:dyDescent="0.25">
      <c r="A661" s="23"/>
      <c r="B661" s="23"/>
      <c r="C661" s="23"/>
      <c r="D661" s="23"/>
    </row>
    <row r="662" spans="1:4" x14ac:dyDescent="0.25">
      <c r="A662" s="23"/>
      <c r="B662" s="23"/>
      <c r="C662" s="23"/>
      <c r="D662" s="23"/>
    </row>
    <row r="663" spans="1:4" x14ac:dyDescent="0.25">
      <c r="A663" s="23"/>
      <c r="B663" s="23"/>
      <c r="C663" s="23"/>
      <c r="D663" s="23"/>
    </row>
    <row r="664" spans="1:4" x14ac:dyDescent="0.25">
      <c r="A664" s="23"/>
      <c r="B664" s="23"/>
      <c r="C664" s="23"/>
      <c r="D664" s="23"/>
    </row>
    <row r="665" spans="1:4" x14ac:dyDescent="0.25">
      <c r="A665" s="23"/>
      <c r="B665" s="23"/>
      <c r="C665" s="23"/>
      <c r="D665" s="23"/>
    </row>
    <row r="666" spans="1:4" x14ac:dyDescent="0.25">
      <c r="A666" s="23"/>
      <c r="B666" s="23"/>
      <c r="C666" s="23"/>
      <c r="D666" s="23"/>
    </row>
    <row r="667" spans="1:4" x14ac:dyDescent="0.25">
      <c r="A667" s="23"/>
      <c r="B667" s="23"/>
      <c r="C667" s="23"/>
      <c r="D667" s="23"/>
    </row>
    <row r="668" spans="1:4" x14ac:dyDescent="0.25">
      <c r="A668" s="23"/>
      <c r="B668" s="23"/>
      <c r="C668" s="23"/>
      <c r="D668" s="23"/>
    </row>
    <row r="669" spans="1:4" x14ac:dyDescent="0.25">
      <c r="A669" s="23"/>
      <c r="B669" s="23"/>
      <c r="C669" s="23"/>
      <c r="D669" s="23"/>
    </row>
    <row r="670" spans="1:4" x14ac:dyDescent="0.25">
      <c r="A670" s="23"/>
      <c r="B670" s="23"/>
      <c r="C670" s="23"/>
      <c r="D670" s="23"/>
    </row>
    <row r="671" spans="1:4" x14ac:dyDescent="0.25">
      <c r="A671" s="23"/>
      <c r="B671" s="23"/>
      <c r="C671" s="23"/>
      <c r="D671" s="23"/>
    </row>
    <row r="672" spans="1:4" x14ac:dyDescent="0.25">
      <c r="A672" s="23"/>
      <c r="B672" s="23"/>
      <c r="C672" s="23"/>
      <c r="D672" s="23"/>
    </row>
    <row r="673" spans="1:4" x14ac:dyDescent="0.25">
      <c r="A673" s="23"/>
      <c r="B673" s="23"/>
      <c r="C673" s="23"/>
      <c r="D673" s="23"/>
    </row>
    <row r="674" spans="1:4" x14ac:dyDescent="0.25">
      <c r="A674" s="23"/>
      <c r="B674" s="23"/>
      <c r="C674" s="23"/>
      <c r="D674" s="23"/>
    </row>
    <row r="675" spans="1:4" x14ac:dyDescent="0.25">
      <c r="A675" s="23"/>
      <c r="B675" s="23"/>
      <c r="C675" s="23"/>
      <c r="D675" s="23"/>
    </row>
    <row r="676" spans="1:4" x14ac:dyDescent="0.25">
      <c r="A676" s="23"/>
      <c r="B676" s="23"/>
      <c r="C676" s="23"/>
      <c r="D676" s="23"/>
    </row>
    <row r="677" spans="1:4" x14ac:dyDescent="0.25">
      <c r="A677" s="23"/>
      <c r="B677" s="23"/>
      <c r="C677" s="23"/>
      <c r="D677" s="23"/>
    </row>
    <row r="678" spans="1:4" x14ac:dyDescent="0.25">
      <c r="A678" s="23"/>
      <c r="B678" s="23"/>
      <c r="C678" s="23"/>
      <c r="D678" s="23"/>
    </row>
    <row r="679" spans="1:4" x14ac:dyDescent="0.25">
      <c r="A679" s="23"/>
      <c r="B679" s="23"/>
      <c r="C679" s="23"/>
      <c r="D679" s="23"/>
    </row>
    <row r="680" spans="1:4" x14ac:dyDescent="0.25">
      <c r="A680" s="23"/>
      <c r="B680" s="23"/>
      <c r="C680" s="23"/>
      <c r="D680" s="23"/>
    </row>
    <row r="681" spans="1:4" x14ac:dyDescent="0.25">
      <c r="A681" s="23"/>
      <c r="B681" s="23"/>
      <c r="C681" s="23"/>
      <c r="D681" s="23"/>
    </row>
    <row r="682" spans="1:4" x14ac:dyDescent="0.25">
      <c r="A682" s="23"/>
      <c r="B682" s="23"/>
      <c r="C682" s="23"/>
      <c r="D682" s="23"/>
    </row>
    <row r="683" spans="1:4" x14ac:dyDescent="0.25">
      <c r="A683" s="23"/>
      <c r="B683" s="23"/>
      <c r="C683" s="23"/>
      <c r="D683" s="23"/>
    </row>
    <row r="684" spans="1:4" x14ac:dyDescent="0.25">
      <c r="A684" s="23"/>
      <c r="B684" s="23"/>
      <c r="C684" s="23"/>
      <c r="D684" s="23"/>
    </row>
    <row r="685" spans="1:4" x14ac:dyDescent="0.25">
      <c r="A685" s="23"/>
      <c r="B685" s="23"/>
      <c r="C685" s="23"/>
      <c r="D685" s="23"/>
    </row>
    <row r="686" spans="1:4" x14ac:dyDescent="0.25">
      <c r="A686" s="23"/>
      <c r="B686" s="23"/>
      <c r="C686" s="23"/>
      <c r="D686" s="23"/>
    </row>
    <row r="687" spans="1:4" x14ac:dyDescent="0.25">
      <c r="A687" s="23"/>
      <c r="B687" s="23"/>
      <c r="C687" s="23"/>
      <c r="D687" s="23"/>
    </row>
    <row r="688" spans="1:4" x14ac:dyDescent="0.25">
      <c r="A688" s="23"/>
      <c r="B688" s="23"/>
      <c r="C688" s="23"/>
      <c r="D688" s="23"/>
    </row>
    <row r="689" spans="1:4" x14ac:dyDescent="0.25">
      <c r="A689" s="23"/>
      <c r="B689" s="23"/>
      <c r="C689" s="23"/>
      <c r="D689" s="23"/>
    </row>
    <row r="690" spans="1:4" x14ac:dyDescent="0.25">
      <c r="A690" s="23"/>
      <c r="B690" s="23"/>
      <c r="C690" s="23"/>
      <c r="D690" s="23"/>
    </row>
    <row r="691" spans="1:4" x14ac:dyDescent="0.25">
      <c r="A691" s="23"/>
      <c r="B691" s="23"/>
      <c r="C691" s="23"/>
      <c r="D691" s="23"/>
    </row>
    <row r="692" spans="1:4" x14ac:dyDescent="0.25">
      <c r="A692" s="23"/>
      <c r="B692" s="23"/>
      <c r="C692" s="23"/>
      <c r="D692" s="23"/>
    </row>
    <row r="693" spans="1:4" x14ac:dyDescent="0.25">
      <c r="A693" s="23"/>
      <c r="B693" s="23"/>
      <c r="C693" s="23"/>
      <c r="D693" s="23"/>
    </row>
    <row r="694" spans="1:4" x14ac:dyDescent="0.25">
      <c r="A694" s="23"/>
      <c r="B694" s="23"/>
      <c r="C694" s="23"/>
      <c r="D694" s="23"/>
    </row>
    <row r="695" spans="1:4" x14ac:dyDescent="0.25">
      <c r="A695" s="23"/>
      <c r="B695" s="23"/>
      <c r="C695" s="23"/>
      <c r="D695" s="23"/>
    </row>
    <row r="696" spans="1:4" x14ac:dyDescent="0.25">
      <c r="A696" s="23"/>
      <c r="B696" s="23"/>
      <c r="C696" s="23"/>
      <c r="D696" s="23"/>
    </row>
    <row r="697" spans="1:4" x14ac:dyDescent="0.25">
      <c r="A697" s="23"/>
      <c r="B697" s="23"/>
      <c r="C697" s="23"/>
      <c r="D697" s="23"/>
    </row>
    <row r="698" spans="1:4" x14ac:dyDescent="0.25">
      <c r="A698" s="23"/>
      <c r="B698" s="23"/>
      <c r="C698" s="23"/>
      <c r="D698" s="23"/>
    </row>
    <row r="699" spans="1:4" x14ac:dyDescent="0.25">
      <c r="A699" s="23"/>
      <c r="B699" s="23"/>
      <c r="C699" s="23"/>
      <c r="D699" s="23"/>
    </row>
    <row r="700" spans="1:4" x14ac:dyDescent="0.25">
      <c r="A700" s="23"/>
      <c r="B700" s="23"/>
      <c r="C700" s="23"/>
      <c r="D700" s="23"/>
    </row>
    <row r="701" spans="1:4" x14ac:dyDescent="0.25">
      <c r="A701" s="23"/>
      <c r="B701" s="23"/>
      <c r="C701" s="23"/>
      <c r="D701" s="23"/>
    </row>
    <row r="702" spans="1:4" x14ac:dyDescent="0.25">
      <c r="A702" s="23"/>
      <c r="B702" s="23"/>
      <c r="C702" s="23"/>
      <c r="D702" s="23"/>
    </row>
    <row r="703" spans="1:4" x14ac:dyDescent="0.25">
      <c r="A703" s="23"/>
      <c r="B703" s="23"/>
      <c r="C703" s="23"/>
      <c r="D703" s="23"/>
    </row>
    <row r="704" spans="1:4" x14ac:dyDescent="0.25">
      <c r="A704" s="23"/>
      <c r="B704" s="23"/>
      <c r="C704" s="23"/>
      <c r="D704" s="23"/>
    </row>
    <row r="705" spans="1:4" x14ac:dyDescent="0.25">
      <c r="A705" s="23"/>
      <c r="B705" s="23"/>
      <c r="C705" s="23"/>
      <c r="D705" s="23"/>
    </row>
    <row r="706" spans="1:4" x14ac:dyDescent="0.25">
      <c r="A706" s="23"/>
      <c r="B706" s="23"/>
      <c r="C706" s="23"/>
      <c r="D706" s="23"/>
    </row>
    <row r="707" spans="1:4" x14ac:dyDescent="0.25">
      <c r="A707" s="23"/>
      <c r="B707" s="23"/>
      <c r="C707" s="23"/>
      <c r="D707" s="23"/>
    </row>
    <row r="708" spans="1:4" x14ac:dyDescent="0.25">
      <c r="A708" s="23"/>
      <c r="B708" s="23"/>
      <c r="C708" s="23"/>
      <c r="D708" s="23"/>
    </row>
    <row r="709" spans="1:4" x14ac:dyDescent="0.25">
      <c r="A709" s="23"/>
      <c r="B709" s="23"/>
      <c r="C709" s="23"/>
      <c r="D709" s="23"/>
    </row>
    <row r="710" spans="1:4" x14ac:dyDescent="0.25">
      <c r="A710" s="23"/>
      <c r="B710" s="23"/>
      <c r="C710" s="23"/>
      <c r="D710" s="23"/>
    </row>
    <row r="711" spans="1:4" x14ac:dyDescent="0.25">
      <c r="A711" s="23"/>
      <c r="B711" s="23"/>
      <c r="C711" s="23"/>
      <c r="D711" s="23"/>
    </row>
    <row r="712" spans="1:4" x14ac:dyDescent="0.25">
      <c r="A712" s="23"/>
      <c r="B712" s="23"/>
      <c r="C712" s="23"/>
      <c r="D712" s="23"/>
    </row>
    <row r="713" spans="1:4" x14ac:dyDescent="0.25">
      <c r="A713" s="23"/>
      <c r="B713" s="23"/>
      <c r="C713" s="23"/>
      <c r="D713" s="23"/>
    </row>
    <row r="714" spans="1:4" x14ac:dyDescent="0.25">
      <c r="A714" s="23"/>
      <c r="B714" s="23"/>
      <c r="C714" s="23"/>
      <c r="D714" s="23"/>
    </row>
    <row r="715" spans="1:4" x14ac:dyDescent="0.25">
      <c r="A715" s="23"/>
      <c r="B715" s="23"/>
      <c r="C715" s="23"/>
      <c r="D715" s="23"/>
    </row>
    <row r="716" spans="1:4" x14ac:dyDescent="0.25">
      <c r="A716" s="23"/>
      <c r="B716" s="23"/>
      <c r="C716" s="23"/>
      <c r="D716" s="23"/>
    </row>
    <row r="717" spans="1:4" x14ac:dyDescent="0.25">
      <c r="A717" s="23"/>
      <c r="B717" s="23"/>
      <c r="C717" s="23"/>
      <c r="D717" s="23"/>
    </row>
    <row r="718" spans="1:4" x14ac:dyDescent="0.25">
      <c r="A718" s="23"/>
      <c r="B718" s="23"/>
      <c r="C718" s="23"/>
      <c r="D718" s="23"/>
    </row>
    <row r="719" spans="1:4" x14ac:dyDescent="0.25">
      <c r="A719" s="23"/>
      <c r="B719" s="23"/>
      <c r="C719" s="23"/>
      <c r="D719" s="23"/>
    </row>
    <row r="720" spans="1:4" x14ac:dyDescent="0.25">
      <c r="A720" s="23"/>
      <c r="B720" s="23"/>
      <c r="C720" s="23"/>
      <c r="D720" s="23"/>
    </row>
    <row r="721" spans="1:4" x14ac:dyDescent="0.25">
      <c r="A721" s="23"/>
      <c r="B721" s="23"/>
      <c r="C721" s="23"/>
      <c r="D721" s="23"/>
    </row>
    <row r="722" spans="1:4" x14ac:dyDescent="0.25">
      <c r="A722" s="23"/>
      <c r="B722" s="23"/>
      <c r="C722" s="23"/>
      <c r="D722" s="23"/>
    </row>
    <row r="723" spans="1:4" x14ac:dyDescent="0.25">
      <c r="A723" s="23"/>
      <c r="B723" s="23"/>
      <c r="C723" s="23"/>
      <c r="D723" s="23"/>
    </row>
    <row r="724" spans="1:4" x14ac:dyDescent="0.25">
      <c r="A724" s="23"/>
      <c r="B724" s="23"/>
      <c r="C724" s="23"/>
      <c r="D724" s="23"/>
    </row>
    <row r="725" spans="1:4" x14ac:dyDescent="0.25">
      <c r="A725" s="23"/>
      <c r="B725" s="23"/>
      <c r="C725" s="23"/>
      <c r="D725" s="23"/>
    </row>
    <row r="726" spans="1:4" x14ac:dyDescent="0.25">
      <c r="A726" s="23"/>
      <c r="B726" s="23"/>
      <c r="C726" s="23"/>
      <c r="D726" s="23"/>
    </row>
    <row r="727" spans="1:4" x14ac:dyDescent="0.25">
      <c r="A727" s="23"/>
      <c r="B727" s="23"/>
      <c r="C727" s="23"/>
      <c r="D727" s="23"/>
    </row>
    <row r="728" spans="1:4" x14ac:dyDescent="0.25">
      <c r="A728" s="23"/>
      <c r="B728" s="23"/>
      <c r="C728" s="23"/>
      <c r="D728" s="23"/>
    </row>
    <row r="729" spans="1:4" x14ac:dyDescent="0.25">
      <c r="A729" s="23"/>
      <c r="B729" s="23"/>
      <c r="C729" s="23"/>
      <c r="D729" s="23"/>
    </row>
    <row r="730" spans="1:4" x14ac:dyDescent="0.25">
      <c r="A730" s="23"/>
      <c r="B730" s="23"/>
      <c r="C730" s="23"/>
      <c r="D730" s="23"/>
    </row>
    <row r="731" spans="1:4" x14ac:dyDescent="0.25">
      <c r="A731" s="23"/>
      <c r="B731" s="23"/>
      <c r="C731" s="23"/>
      <c r="D731" s="23"/>
    </row>
    <row r="732" spans="1:4" x14ac:dyDescent="0.25">
      <c r="A732" s="23"/>
      <c r="B732" s="23"/>
      <c r="C732" s="23"/>
      <c r="D732" s="23"/>
    </row>
    <row r="733" spans="1:4" x14ac:dyDescent="0.25">
      <c r="A733" s="23"/>
      <c r="B733" s="23"/>
      <c r="C733" s="23"/>
      <c r="D733" s="23"/>
    </row>
    <row r="734" spans="1:4" x14ac:dyDescent="0.25">
      <c r="A734" s="23"/>
      <c r="B734" s="23"/>
      <c r="C734" s="23"/>
      <c r="D734" s="23"/>
    </row>
    <row r="735" spans="1:4" x14ac:dyDescent="0.25">
      <c r="A735" s="23"/>
      <c r="B735" s="23"/>
      <c r="C735" s="23"/>
      <c r="D735" s="23"/>
    </row>
    <row r="736" spans="1:4" x14ac:dyDescent="0.25">
      <c r="A736" s="23"/>
      <c r="B736" s="23"/>
      <c r="C736" s="23"/>
      <c r="D736" s="23"/>
    </row>
    <row r="737" spans="1:4" x14ac:dyDescent="0.25">
      <c r="A737" s="23"/>
      <c r="B737" s="23"/>
      <c r="C737" s="23"/>
      <c r="D737" s="23"/>
    </row>
    <row r="738" spans="1:4" x14ac:dyDescent="0.25">
      <c r="A738" s="23"/>
      <c r="B738" s="23"/>
      <c r="C738" s="23"/>
      <c r="D738" s="23"/>
    </row>
    <row r="739" spans="1:4" x14ac:dyDescent="0.25">
      <c r="A739" s="23"/>
      <c r="B739" s="23"/>
      <c r="C739" s="23"/>
      <c r="D739" s="23"/>
    </row>
    <row r="740" spans="1:4" x14ac:dyDescent="0.25">
      <c r="A740" s="23"/>
      <c r="B740" s="23"/>
      <c r="C740" s="23"/>
      <c r="D740" s="23"/>
    </row>
    <row r="741" spans="1:4" x14ac:dyDescent="0.25">
      <c r="A741" s="23"/>
      <c r="B741" s="23"/>
      <c r="C741" s="23"/>
      <c r="D741" s="23"/>
    </row>
    <row r="742" spans="1:4" x14ac:dyDescent="0.25">
      <c r="A742" s="23"/>
      <c r="B742" s="23"/>
      <c r="C742" s="23"/>
      <c r="D742" s="23"/>
    </row>
    <row r="743" spans="1:4" x14ac:dyDescent="0.25">
      <c r="A743" s="23"/>
      <c r="B743" s="23"/>
      <c r="C743" s="23"/>
      <c r="D743" s="23"/>
    </row>
    <row r="744" spans="1:4" x14ac:dyDescent="0.25">
      <c r="A744" s="23"/>
      <c r="B744" s="23"/>
      <c r="C744" s="23"/>
      <c r="D744" s="23"/>
    </row>
    <row r="745" spans="1:4" x14ac:dyDescent="0.25">
      <c r="A745" s="23"/>
      <c r="B745" s="23"/>
      <c r="C745" s="23"/>
      <c r="D745" s="23"/>
    </row>
    <row r="746" spans="1:4" x14ac:dyDescent="0.25">
      <c r="A746" s="23"/>
      <c r="B746" s="23"/>
      <c r="C746" s="23"/>
      <c r="D746" s="23"/>
    </row>
    <row r="747" spans="1:4" x14ac:dyDescent="0.25">
      <c r="A747" s="23"/>
      <c r="B747" s="23"/>
      <c r="C747" s="23"/>
      <c r="D747" s="23"/>
    </row>
    <row r="748" spans="1:4" x14ac:dyDescent="0.25">
      <c r="A748" s="23"/>
      <c r="B748" s="23"/>
      <c r="C748" s="23"/>
      <c r="D748" s="23"/>
    </row>
    <row r="749" spans="1:4" x14ac:dyDescent="0.25">
      <c r="A749" s="23"/>
      <c r="B749" s="23"/>
      <c r="C749" s="23"/>
      <c r="D749" s="23"/>
    </row>
    <row r="750" spans="1:4" x14ac:dyDescent="0.25">
      <c r="A750" s="23"/>
      <c r="B750" s="23"/>
      <c r="C750" s="23"/>
      <c r="D750" s="23"/>
    </row>
    <row r="751" spans="1:4" x14ac:dyDescent="0.25">
      <c r="A751" s="23"/>
      <c r="B751" s="23"/>
      <c r="C751" s="23"/>
      <c r="D751" s="23"/>
    </row>
    <row r="752" spans="1:4" x14ac:dyDescent="0.25">
      <c r="A752" s="23"/>
      <c r="B752" s="23"/>
      <c r="C752" s="23"/>
      <c r="D752" s="23"/>
    </row>
    <row r="753" spans="1:4" x14ac:dyDescent="0.25">
      <c r="A753" s="23"/>
      <c r="B753" s="23"/>
      <c r="C753" s="23"/>
      <c r="D753" s="23"/>
    </row>
    <row r="754" spans="1:4" x14ac:dyDescent="0.25">
      <c r="A754" s="23"/>
      <c r="B754" s="23"/>
      <c r="C754" s="23"/>
      <c r="D754" s="23"/>
    </row>
    <row r="755" spans="1:4" x14ac:dyDescent="0.25">
      <c r="A755" s="23"/>
      <c r="B755" s="23"/>
      <c r="C755" s="23"/>
      <c r="D755" s="23"/>
    </row>
    <row r="756" spans="1:4" x14ac:dyDescent="0.25">
      <c r="A756" s="23"/>
      <c r="B756" s="23"/>
      <c r="C756" s="23"/>
      <c r="D756" s="23"/>
    </row>
    <row r="757" spans="1:4" x14ac:dyDescent="0.25">
      <c r="A757" s="23"/>
      <c r="B757" s="23"/>
      <c r="C757" s="23"/>
      <c r="D757" s="23"/>
    </row>
    <row r="758" spans="1:4" x14ac:dyDescent="0.25">
      <c r="A758" s="23"/>
      <c r="B758" s="23"/>
      <c r="C758" s="23"/>
      <c r="D758" s="23"/>
    </row>
    <row r="759" spans="1:4" x14ac:dyDescent="0.25">
      <c r="A759" s="23"/>
      <c r="B759" s="23"/>
      <c r="C759" s="23"/>
      <c r="D759" s="23"/>
    </row>
    <row r="760" spans="1:4" x14ac:dyDescent="0.25">
      <c r="A760" s="23"/>
      <c r="B760" s="23"/>
      <c r="C760" s="23"/>
      <c r="D760" s="23"/>
    </row>
    <row r="761" spans="1:4" x14ac:dyDescent="0.25">
      <c r="A761" s="23"/>
      <c r="B761" s="23"/>
      <c r="C761" s="23"/>
      <c r="D761" s="23"/>
    </row>
    <row r="762" spans="1:4" x14ac:dyDescent="0.25">
      <c r="A762" s="23"/>
      <c r="B762" s="23"/>
      <c r="C762" s="23"/>
      <c r="D762" s="23"/>
    </row>
    <row r="763" spans="1:4" x14ac:dyDescent="0.25">
      <c r="A763" s="23"/>
      <c r="B763" s="23"/>
      <c r="C763" s="23"/>
      <c r="D763" s="23"/>
    </row>
    <row r="764" spans="1:4" x14ac:dyDescent="0.25">
      <c r="A764" s="23"/>
      <c r="B764" s="23"/>
      <c r="C764" s="23"/>
      <c r="D764" s="23"/>
    </row>
    <row r="765" spans="1:4" x14ac:dyDescent="0.25">
      <c r="A765" s="23"/>
      <c r="B765" s="23"/>
      <c r="C765" s="23"/>
      <c r="D765" s="23"/>
    </row>
    <row r="766" spans="1:4" x14ac:dyDescent="0.25">
      <c r="A766" s="23"/>
      <c r="B766" s="23"/>
      <c r="C766" s="23"/>
      <c r="D766" s="23"/>
    </row>
    <row r="767" spans="1:4" x14ac:dyDescent="0.25">
      <c r="A767" s="23"/>
      <c r="B767" s="23"/>
      <c r="C767" s="23"/>
      <c r="D767" s="23"/>
    </row>
    <row r="768" spans="1:4" x14ac:dyDescent="0.25">
      <c r="A768" s="23"/>
      <c r="B768" s="23"/>
      <c r="C768" s="23"/>
      <c r="D768" s="23"/>
    </row>
    <row r="769" spans="1:4" x14ac:dyDescent="0.25">
      <c r="A769" s="23"/>
      <c r="B769" s="23"/>
      <c r="C769" s="23"/>
      <c r="D769" s="23"/>
    </row>
    <row r="770" spans="1:4" x14ac:dyDescent="0.25">
      <c r="A770" s="23"/>
      <c r="B770" s="23"/>
      <c r="C770" s="23"/>
      <c r="D770" s="23"/>
    </row>
    <row r="771" spans="1:4" x14ac:dyDescent="0.25">
      <c r="A771" s="23"/>
      <c r="B771" s="23"/>
      <c r="C771" s="23"/>
      <c r="D771" s="23"/>
    </row>
    <row r="772" spans="1:4" x14ac:dyDescent="0.25">
      <c r="A772" s="23"/>
      <c r="B772" s="23"/>
      <c r="C772" s="23"/>
      <c r="D772" s="23"/>
    </row>
    <row r="773" spans="1:4" x14ac:dyDescent="0.25">
      <c r="A773" s="23"/>
      <c r="B773" s="23"/>
      <c r="C773" s="23"/>
      <c r="D773" s="23"/>
    </row>
    <row r="774" spans="1:4" x14ac:dyDescent="0.25">
      <c r="A774" s="23"/>
      <c r="B774" s="23"/>
      <c r="C774" s="23"/>
      <c r="D774" s="23"/>
    </row>
    <row r="775" spans="1:4" x14ac:dyDescent="0.25">
      <c r="A775" s="23"/>
      <c r="B775" s="23"/>
      <c r="C775" s="23"/>
      <c r="D775" s="23"/>
    </row>
    <row r="776" spans="1:4" x14ac:dyDescent="0.25">
      <c r="A776" s="23"/>
      <c r="B776" s="23"/>
      <c r="C776" s="23"/>
      <c r="D776" s="23"/>
    </row>
    <row r="777" spans="1:4" x14ac:dyDescent="0.25">
      <c r="A777" s="23"/>
      <c r="B777" s="23"/>
      <c r="C777" s="23"/>
      <c r="D777" s="23"/>
    </row>
    <row r="778" spans="1:4" x14ac:dyDescent="0.25">
      <c r="A778" s="23"/>
      <c r="B778" s="23"/>
      <c r="C778" s="23"/>
      <c r="D778" s="23"/>
    </row>
    <row r="779" spans="1:4" x14ac:dyDescent="0.25">
      <c r="A779" s="23"/>
      <c r="B779" s="23"/>
      <c r="C779" s="23"/>
      <c r="D779" s="23"/>
    </row>
    <row r="780" spans="1:4" x14ac:dyDescent="0.25">
      <c r="A780" s="23"/>
      <c r="B780" s="23"/>
      <c r="C780" s="23"/>
      <c r="D780" s="23"/>
    </row>
    <row r="781" spans="1:4" x14ac:dyDescent="0.25">
      <c r="A781" s="23"/>
      <c r="B781" s="23"/>
      <c r="C781" s="23"/>
      <c r="D781" s="23"/>
    </row>
    <row r="782" spans="1:4" x14ac:dyDescent="0.25">
      <c r="A782" s="23"/>
      <c r="B782" s="23"/>
      <c r="C782" s="23"/>
      <c r="D782" s="23"/>
    </row>
    <row r="783" spans="1:4" x14ac:dyDescent="0.25">
      <c r="A783" s="23"/>
      <c r="B783" s="23"/>
      <c r="C783" s="23"/>
      <c r="D783" s="23"/>
    </row>
    <row r="784" spans="1:4" x14ac:dyDescent="0.25">
      <c r="A784" s="23"/>
      <c r="B784" s="23"/>
      <c r="C784" s="23"/>
      <c r="D784" s="23"/>
    </row>
    <row r="785" spans="1:4" x14ac:dyDescent="0.25">
      <c r="A785" s="23"/>
      <c r="B785" s="23"/>
      <c r="C785" s="23"/>
      <c r="D785" s="23"/>
    </row>
    <row r="786" spans="1:4" x14ac:dyDescent="0.25">
      <c r="A786" s="23"/>
      <c r="B786" s="23"/>
      <c r="C786" s="23"/>
      <c r="D786" s="23"/>
    </row>
    <row r="787" spans="1:4" x14ac:dyDescent="0.25">
      <c r="A787" s="23"/>
      <c r="B787" s="23"/>
      <c r="C787" s="23"/>
      <c r="D787" s="23"/>
    </row>
    <row r="788" spans="1:4" x14ac:dyDescent="0.25">
      <c r="A788" s="23"/>
      <c r="B788" s="23"/>
      <c r="C788" s="23"/>
      <c r="D788" s="23"/>
    </row>
    <row r="789" spans="1:4" x14ac:dyDescent="0.25">
      <c r="A789" s="23"/>
      <c r="B789" s="23"/>
      <c r="C789" s="23"/>
      <c r="D789" s="23"/>
    </row>
    <row r="790" spans="1:4" x14ac:dyDescent="0.25">
      <c r="A790" s="23"/>
      <c r="B790" s="23"/>
      <c r="C790" s="23"/>
      <c r="D790" s="23"/>
    </row>
    <row r="791" spans="1:4" x14ac:dyDescent="0.25">
      <c r="A791" s="23"/>
      <c r="B791" s="23"/>
      <c r="C791" s="23"/>
      <c r="D791" s="23"/>
    </row>
    <row r="792" spans="1:4" x14ac:dyDescent="0.25">
      <c r="A792" s="23"/>
      <c r="B792" s="23"/>
      <c r="C792" s="23"/>
      <c r="D792" s="23"/>
    </row>
    <row r="793" spans="1:4" x14ac:dyDescent="0.25">
      <c r="A793" s="23"/>
      <c r="B793" s="23"/>
      <c r="C793" s="23"/>
      <c r="D793" s="23"/>
    </row>
    <row r="794" spans="1:4" x14ac:dyDescent="0.25">
      <c r="A794" s="23"/>
      <c r="B794" s="23"/>
      <c r="C794" s="23"/>
      <c r="D794" s="23"/>
    </row>
    <row r="795" spans="1:4" x14ac:dyDescent="0.25">
      <c r="A795" s="23"/>
      <c r="B795" s="23"/>
      <c r="C795" s="23"/>
      <c r="D795" s="23"/>
    </row>
    <row r="796" spans="1:4" x14ac:dyDescent="0.25">
      <c r="A796" s="23"/>
      <c r="B796" s="23"/>
      <c r="C796" s="23"/>
      <c r="D796" s="23"/>
    </row>
    <row r="797" spans="1:4" x14ac:dyDescent="0.25">
      <c r="A797" s="23"/>
      <c r="B797" s="23"/>
      <c r="C797" s="23"/>
      <c r="D797" s="23"/>
    </row>
    <row r="798" spans="1:4" x14ac:dyDescent="0.25">
      <c r="A798" s="23"/>
      <c r="B798" s="23"/>
      <c r="C798" s="23"/>
      <c r="D798" s="23"/>
    </row>
    <row r="799" spans="1:4" x14ac:dyDescent="0.25">
      <c r="A799" s="23"/>
      <c r="B799" s="23"/>
      <c r="C799" s="23"/>
      <c r="D799" s="23"/>
    </row>
    <row r="800" spans="1:4" x14ac:dyDescent="0.25">
      <c r="A800" s="23"/>
      <c r="B800" s="23"/>
      <c r="C800" s="23"/>
      <c r="D800" s="23"/>
    </row>
    <row r="801" spans="1:4" x14ac:dyDescent="0.25">
      <c r="A801" s="23"/>
      <c r="B801" s="23"/>
      <c r="C801" s="23"/>
      <c r="D801" s="23"/>
    </row>
    <row r="802" spans="1:4" x14ac:dyDescent="0.25">
      <c r="A802" s="23"/>
      <c r="B802" s="23"/>
      <c r="C802" s="23"/>
      <c r="D802" s="23"/>
    </row>
    <row r="803" spans="1:4" x14ac:dyDescent="0.25">
      <c r="A803" s="23"/>
      <c r="B803" s="23"/>
      <c r="C803" s="23"/>
      <c r="D803" s="23"/>
    </row>
    <row r="804" spans="1:4" x14ac:dyDescent="0.25">
      <c r="A804" s="23"/>
      <c r="B804" s="23"/>
      <c r="C804" s="23"/>
      <c r="D804" s="23"/>
    </row>
    <row r="805" spans="1:4" x14ac:dyDescent="0.25">
      <c r="A805" s="23"/>
      <c r="B805" s="23"/>
      <c r="C805" s="23"/>
      <c r="D805" s="23"/>
    </row>
    <row r="806" spans="1:4" x14ac:dyDescent="0.25">
      <c r="A806" s="23"/>
      <c r="B806" s="23"/>
      <c r="C806" s="23"/>
      <c r="D806" s="23"/>
    </row>
    <row r="807" spans="1:4" x14ac:dyDescent="0.25">
      <c r="A807" s="23"/>
      <c r="B807" s="23"/>
      <c r="C807" s="23"/>
      <c r="D807" s="23"/>
    </row>
    <row r="808" spans="1:4" x14ac:dyDescent="0.25">
      <c r="A808" s="23"/>
      <c r="B808" s="23"/>
      <c r="C808" s="23"/>
      <c r="D808" s="23"/>
    </row>
    <row r="809" spans="1:4" x14ac:dyDescent="0.25">
      <c r="A809" s="23"/>
      <c r="B809" s="23"/>
      <c r="C809" s="23"/>
      <c r="D809" s="23"/>
    </row>
    <row r="810" spans="1:4" x14ac:dyDescent="0.25">
      <c r="A810" s="23"/>
      <c r="B810" s="23"/>
      <c r="C810" s="23"/>
      <c r="D810" s="23"/>
    </row>
    <row r="811" spans="1:4" x14ac:dyDescent="0.25">
      <c r="A811" s="23"/>
      <c r="B811" s="23"/>
      <c r="C811" s="23"/>
      <c r="D811" s="23"/>
    </row>
    <row r="812" spans="1:4" x14ac:dyDescent="0.25">
      <c r="A812" s="23"/>
      <c r="B812" s="23"/>
      <c r="C812" s="23"/>
      <c r="D812" s="23"/>
    </row>
    <row r="813" spans="1:4" x14ac:dyDescent="0.25">
      <c r="A813" s="23"/>
      <c r="B813" s="23"/>
      <c r="C813" s="23"/>
      <c r="D813" s="23"/>
    </row>
    <row r="814" spans="1:4" x14ac:dyDescent="0.25">
      <c r="A814" s="23"/>
      <c r="B814" s="23"/>
      <c r="C814" s="23"/>
      <c r="D814" s="23"/>
    </row>
    <row r="815" spans="1:4" x14ac:dyDescent="0.25">
      <c r="A815" s="23"/>
      <c r="B815" s="23"/>
      <c r="C815" s="23"/>
      <c r="D815" s="23"/>
    </row>
    <row r="816" spans="1:4" x14ac:dyDescent="0.25">
      <c r="A816" s="23"/>
      <c r="B816" s="23"/>
      <c r="C816" s="23"/>
      <c r="D816" s="23"/>
    </row>
    <row r="817" spans="1:4" x14ac:dyDescent="0.25">
      <c r="A817" s="23"/>
      <c r="B817" s="23"/>
      <c r="C817" s="23"/>
      <c r="D817" s="23"/>
    </row>
    <row r="818" spans="1:4" x14ac:dyDescent="0.25">
      <c r="A818" s="23"/>
      <c r="B818" s="23"/>
      <c r="C818" s="23"/>
      <c r="D818" s="23"/>
    </row>
    <row r="819" spans="1:4" x14ac:dyDescent="0.25">
      <c r="A819" s="23"/>
      <c r="B819" s="23"/>
      <c r="C819" s="23"/>
      <c r="D819" s="23"/>
    </row>
    <row r="820" spans="1:4" x14ac:dyDescent="0.25">
      <c r="A820" s="23"/>
      <c r="B820" s="23"/>
      <c r="C820" s="23"/>
      <c r="D820" s="23"/>
    </row>
    <row r="821" spans="1:4" x14ac:dyDescent="0.25">
      <c r="A821" s="23"/>
      <c r="B821" s="23"/>
      <c r="C821" s="23"/>
      <c r="D821" s="23"/>
    </row>
    <row r="822" spans="1:4" x14ac:dyDescent="0.25">
      <c r="A822" s="23"/>
      <c r="B822" s="23"/>
      <c r="C822" s="23"/>
      <c r="D822" s="23"/>
    </row>
    <row r="823" spans="1:4" x14ac:dyDescent="0.25">
      <c r="A823" s="23"/>
      <c r="B823" s="23"/>
      <c r="C823" s="23"/>
      <c r="D823" s="23"/>
    </row>
    <row r="824" spans="1:4" x14ac:dyDescent="0.25">
      <c r="A824" s="23"/>
      <c r="B824" s="23"/>
      <c r="C824" s="23"/>
      <c r="D824" s="23"/>
    </row>
    <row r="825" spans="1:4" x14ac:dyDescent="0.25">
      <c r="A825" s="23"/>
      <c r="B825" s="23"/>
      <c r="C825" s="23"/>
      <c r="D825" s="23"/>
    </row>
    <row r="826" spans="1:4" x14ac:dyDescent="0.25">
      <c r="A826" s="23"/>
      <c r="B826" s="23"/>
      <c r="C826" s="23"/>
      <c r="D826" s="23"/>
    </row>
    <row r="827" spans="1:4" x14ac:dyDescent="0.25">
      <c r="A827" s="23"/>
      <c r="B827" s="23"/>
      <c r="C827" s="23"/>
      <c r="D827" s="23"/>
    </row>
    <row r="828" spans="1:4" x14ac:dyDescent="0.25">
      <c r="A828" s="23"/>
      <c r="B828" s="23"/>
      <c r="C828" s="23"/>
      <c r="D828" s="23"/>
    </row>
    <row r="829" spans="1:4" x14ac:dyDescent="0.25">
      <c r="A829" s="23"/>
      <c r="B829" s="23"/>
      <c r="C829" s="23"/>
      <c r="D829" s="23"/>
    </row>
    <row r="830" spans="1:4" x14ac:dyDescent="0.25">
      <c r="A830" s="23"/>
      <c r="B830" s="23"/>
      <c r="C830" s="23"/>
      <c r="D830" s="23"/>
    </row>
    <row r="831" spans="1:4" x14ac:dyDescent="0.25">
      <c r="A831" s="23"/>
      <c r="B831" s="23"/>
      <c r="C831" s="23"/>
      <c r="D831" s="23"/>
    </row>
    <row r="832" spans="1:4" x14ac:dyDescent="0.25">
      <c r="A832" s="23"/>
      <c r="B832" s="23"/>
      <c r="C832" s="23"/>
      <c r="D832" s="23"/>
    </row>
    <row r="833" spans="1:4" x14ac:dyDescent="0.25">
      <c r="A833" s="23"/>
      <c r="B833" s="23"/>
      <c r="C833" s="23"/>
      <c r="D833" s="23"/>
    </row>
    <row r="834" spans="1:4" x14ac:dyDescent="0.25">
      <c r="A834" s="23"/>
      <c r="B834" s="23"/>
      <c r="C834" s="23"/>
      <c r="D834" s="23"/>
    </row>
    <row r="835" spans="1:4" x14ac:dyDescent="0.25">
      <c r="A835" s="23"/>
      <c r="B835" s="23"/>
      <c r="C835" s="23"/>
      <c r="D835" s="23"/>
    </row>
    <row r="836" spans="1:4" x14ac:dyDescent="0.25">
      <c r="A836" s="23"/>
      <c r="B836" s="23"/>
      <c r="C836" s="23"/>
      <c r="D836" s="23"/>
    </row>
    <row r="837" spans="1:4" x14ac:dyDescent="0.25">
      <c r="A837" s="23"/>
      <c r="B837" s="23"/>
      <c r="C837" s="23"/>
      <c r="D837" s="23"/>
    </row>
    <row r="838" spans="1:4" x14ac:dyDescent="0.25">
      <c r="A838" s="23"/>
      <c r="B838" s="23"/>
      <c r="C838" s="23"/>
      <c r="D838" s="23"/>
    </row>
    <row r="839" spans="1:4" x14ac:dyDescent="0.25">
      <c r="A839" s="23"/>
      <c r="B839" s="23"/>
      <c r="C839" s="23"/>
      <c r="D839" s="23"/>
    </row>
    <row r="840" spans="1:4" x14ac:dyDescent="0.25">
      <c r="A840" s="23"/>
      <c r="B840" s="23"/>
      <c r="C840" s="23"/>
      <c r="D840" s="23"/>
    </row>
    <row r="841" spans="1:4" x14ac:dyDescent="0.25">
      <c r="A841" s="23"/>
      <c r="B841" s="23"/>
      <c r="C841" s="23"/>
      <c r="D841" s="23"/>
    </row>
    <row r="842" spans="1:4" x14ac:dyDescent="0.25">
      <c r="A842" s="23"/>
      <c r="B842" s="23"/>
      <c r="C842" s="23"/>
      <c r="D842" s="23"/>
    </row>
    <row r="843" spans="1:4" x14ac:dyDescent="0.25">
      <c r="A843" s="23"/>
      <c r="B843" s="23"/>
      <c r="C843" s="23"/>
      <c r="D843" s="23"/>
    </row>
    <row r="844" spans="1:4" x14ac:dyDescent="0.25">
      <c r="A844" s="23"/>
      <c r="B844" s="23"/>
      <c r="C844" s="23"/>
      <c r="D844" s="23"/>
    </row>
    <row r="845" spans="1:4" x14ac:dyDescent="0.25">
      <c r="A845" s="23"/>
      <c r="B845" s="23"/>
      <c r="C845" s="23"/>
      <c r="D845" s="23"/>
    </row>
    <row r="846" spans="1:4" x14ac:dyDescent="0.25">
      <c r="A846" s="23"/>
      <c r="B846" s="23"/>
      <c r="C846" s="23"/>
      <c r="D846" s="23"/>
    </row>
    <row r="847" spans="1:4" x14ac:dyDescent="0.25">
      <c r="A847" s="23"/>
      <c r="B847" s="23"/>
      <c r="C847" s="23"/>
      <c r="D847" s="23"/>
    </row>
    <row r="848" spans="1:4" x14ac:dyDescent="0.25">
      <c r="A848" s="23"/>
      <c r="B848" s="23"/>
      <c r="C848" s="23"/>
      <c r="D848" s="23"/>
    </row>
    <row r="849" spans="1:4" x14ac:dyDescent="0.25">
      <c r="A849" s="23"/>
      <c r="B849" s="23"/>
      <c r="C849" s="23"/>
      <c r="D849" s="23"/>
    </row>
    <row r="850" spans="1:4" x14ac:dyDescent="0.25">
      <c r="A850" s="23"/>
      <c r="B850" s="23"/>
      <c r="C850" s="23"/>
      <c r="D850" s="23"/>
    </row>
    <row r="851" spans="1:4" x14ac:dyDescent="0.25">
      <c r="A851" s="23"/>
      <c r="B851" s="23"/>
      <c r="C851" s="23"/>
      <c r="D851" s="23"/>
    </row>
    <row r="852" spans="1:4" x14ac:dyDescent="0.25">
      <c r="A852" s="23"/>
      <c r="B852" s="23"/>
      <c r="C852" s="23"/>
      <c r="D852" s="23"/>
    </row>
    <row r="853" spans="1:4" x14ac:dyDescent="0.25">
      <c r="A853" s="23"/>
      <c r="B853" s="23"/>
      <c r="C853" s="23"/>
      <c r="D853" s="23"/>
    </row>
    <row r="854" spans="1:4" x14ac:dyDescent="0.25">
      <c r="A854" s="23"/>
      <c r="B854" s="23"/>
      <c r="C854" s="23"/>
      <c r="D854" s="23"/>
    </row>
    <row r="855" spans="1:4" x14ac:dyDescent="0.25">
      <c r="A855" s="23"/>
      <c r="B855" s="23"/>
      <c r="C855" s="23"/>
      <c r="D855" s="23"/>
    </row>
    <row r="856" spans="1:4" x14ac:dyDescent="0.25">
      <c r="A856" s="23"/>
      <c r="B856" s="23"/>
      <c r="C856" s="23"/>
      <c r="D856" s="23"/>
    </row>
    <row r="857" spans="1:4" x14ac:dyDescent="0.25">
      <c r="A857" s="23"/>
      <c r="B857" s="23"/>
      <c r="C857" s="23"/>
      <c r="D857" s="23"/>
    </row>
    <row r="858" spans="1:4" x14ac:dyDescent="0.25">
      <c r="A858" s="23"/>
      <c r="B858" s="23"/>
      <c r="C858" s="23"/>
      <c r="D858" s="23"/>
    </row>
    <row r="859" spans="1:4" x14ac:dyDescent="0.25">
      <c r="A859" s="23"/>
      <c r="B859" s="23"/>
      <c r="C859" s="23"/>
      <c r="D859" s="23"/>
    </row>
    <row r="860" spans="1:4" x14ac:dyDescent="0.25">
      <c r="A860" s="23"/>
      <c r="B860" s="23"/>
      <c r="C860" s="23"/>
      <c r="D860" s="23"/>
    </row>
    <row r="861" spans="1:4" x14ac:dyDescent="0.25">
      <c r="A861" s="23"/>
      <c r="B861" s="23"/>
      <c r="C861" s="23"/>
      <c r="D861" s="23"/>
    </row>
    <row r="862" spans="1:4" x14ac:dyDescent="0.25">
      <c r="A862" s="23"/>
      <c r="B862" s="23"/>
      <c r="C862" s="23"/>
      <c r="D862" s="23"/>
    </row>
    <row r="863" spans="1:4" x14ac:dyDescent="0.25">
      <c r="A863" s="23"/>
      <c r="B863" s="23"/>
      <c r="C863" s="23"/>
      <c r="D863" s="23"/>
    </row>
    <row r="864" spans="1:4" x14ac:dyDescent="0.25">
      <c r="A864" s="23"/>
      <c r="B864" s="23"/>
      <c r="C864" s="23"/>
      <c r="D864" s="23"/>
    </row>
    <row r="865" spans="1:4" x14ac:dyDescent="0.25">
      <c r="A865" s="23"/>
      <c r="B865" s="23"/>
      <c r="C865" s="23"/>
      <c r="D865" s="23"/>
    </row>
    <row r="866" spans="1:4" x14ac:dyDescent="0.25">
      <c r="A866" s="23"/>
      <c r="B866" s="23"/>
      <c r="C866" s="23"/>
      <c r="D866" s="23"/>
    </row>
    <row r="867" spans="1:4" x14ac:dyDescent="0.25">
      <c r="A867" s="23"/>
      <c r="B867" s="23"/>
      <c r="C867" s="23"/>
      <c r="D867" s="23"/>
    </row>
    <row r="868" spans="1:4" x14ac:dyDescent="0.25">
      <c r="A868" s="23"/>
      <c r="B868" s="23"/>
      <c r="C868" s="23"/>
      <c r="D868" s="23"/>
    </row>
    <row r="869" spans="1:4" x14ac:dyDescent="0.25">
      <c r="A869" s="23"/>
      <c r="B869" s="23"/>
      <c r="C869" s="23"/>
      <c r="D869" s="23"/>
    </row>
    <row r="870" spans="1:4" x14ac:dyDescent="0.25">
      <c r="A870" s="23"/>
      <c r="B870" s="23"/>
      <c r="C870" s="23"/>
      <c r="D870" s="23"/>
    </row>
    <row r="871" spans="1:4" x14ac:dyDescent="0.25">
      <c r="A871" s="23"/>
      <c r="B871" s="23"/>
      <c r="C871" s="23"/>
      <c r="D871" s="23"/>
    </row>
    <row r="872" spans="1:4" x14ac:dyDescent="0.25">
      <c r="A872" s="23"/>
      <c r="B872" s="23"/>
      <c r="C872" s="23"/>
      <c r="D872" s="23"/>
    </row>
    <row r="873" spans="1:4" x14ac:dyDescent="0.25">
      <c r="A873" s="23"/>
      <c r="B873" s="23"/>
      <c r="C873" s="23"/>
      <c r="D873" s="23"/>
    </row>
    <row r="874" spans="1:4" x14ac:dyDescent="0.25">
      <c r="A874" s="23"/>
      <c r="B874" s="23"/>
      <c r="C874" s="23"/>
      <c r="D874" s="23"/>
    </row>
    <row r="875" spans="1:4" x14ac:dyDescent="0.25">
      <c r="A875" s="23"/>
      <c r="B875" s="23"/>
      <c r="C875" s="23"/>
      <c r="D875" s="23"/>
    </row>
    <row r="876" spans="1:4" x14ac:dyDescent="0.25">
      <c r="A876" s="23"/>
      <c r="B876" s="23"/>
      <c r="C876" s="23"/>
      <c r="D876" s="23"/>
    </row>
    <row r="877" spans="1:4" x14ac:dyDescent="0.25">
      <c r="A877" s="23"/>
      <c r="B877" s="23"/>
      <c r="C877" s="23"/>
      <c r="D877" s="23"/>
    </row>
    <row r="878" spans="1:4" x14ac:dyDescent="0.25">
      <c r="A878" s="23"/>
      <c r="B878" s="23"/>
      <c r="C878" s="23"/>
      <c r="D878" s="23"/>
    </row>
    <row r="879" spans="1:4" x14ac:dyDescent="0.25">
      <c r="A879" s="23"/>
      <c r="B879" s="23"/>
      <c r="C879" s="23"/>
      <c r="D879" s="23"/>
    </row>
    <row r="880" spans="1:4" x14ac:dyDescent="0.25">
      <c r="A880" s="23"/>
      <c r="B880" s="23"/>
      <c r="C880" s="23"/>
      <c r="D880" s="23"/>
    </row>
    <row r="881" spans="1:4" x14ac:dyDescent="0.25">
      <c r="A881" s="23"/>
      <c r="B881" s="23"/>
      <c r="C881" s="23"/>
      <c r="D881" s="23"/>
    </row>
    <row r="882" spans="1:4" x14ac:dyDescent="0.25">
      <c r="A882" s="23"/>
      <c r="B882" s="23"/>
      <c r="C882" s="23"/>
      <c r="D882" s="23"/>
    </row>
    <row r="883" spans="1:4" x14ac:dyDescent="0.25">
      <c r="A883" s="23"/>
      <c r="B883" s="23"/>
      <c r="C883" s="23"/>
      <c r="D883" s="23"/>
    </row>
    <row r="884" spans="1:4" x14ac:dyDescent="0.25">
      <c r="A884" s="23"/>
      <c r="B884" s="23"/>
      <c r="C884" s="23"/>
      <c r="D884" s="23"/>
    </row>
    <row r="885" spans="1:4" x14ac:dyDescent="0.25">
      <c r="A885" s="23"/>
      <c r="B885" s="23"/>
      <c r="C885" s="23"/>
      <c r="D885" s="23"/>
    </row>
    <row r="886" spans="1:4" x14ac:dyDescent="0.25">
      <c r="A886" s="23"/>
      <c r="B886" s="23"/>
      <c r="C886" s="23"/>
      <c r="D886" s="23"/>
    </row>
    <row r="887" spans="1:4" x14ac:dyDescent="0.25">
      <c r="A887" s="23"/>
      <c r="B887" s="23"/>
      <c r="C887" s="23"/>
      <c r="D887" s="23"/>
    </row>
    <row r="888" spans="1:4" x14ac:dyDescent="0.25">
      <c r="A888" s="23"/>
      <c r="B888" s="23"/>
      <c r="C888" s="23"/>
      <c r="D888" s="23"/>
    </row>
    <row r="889" spans="1:4" x14ac:dyDescent="0.25">
      <c r="A889" s="23"/>
      <c r="B889" s="23"/>
      <c r="C889" s="23"/>
      <c r="D889" s="23"/>
    </row>
    <row r="890" spans="1:4" x14ac:dyDescent="0.25">
      <c r="A890" s="23"/>
      <c r="B890" s="23"/>
      <c r="C890" s="23"/>
      <c r="D890" s="23"/>
    </row>
    <row r="891" spans="1:4" x14ac:dyDescent="0.25">
      <c r="A891" s="23"/>
      <c r="B891" s="23"/>
      <c r="C891" s="23"/>
      <c r="D891" s="23"/>
    </row>
    <row r="892" spans="1:4" x14ac:dyDescent="0.25">
      <c r="A892" s="23"/>
      <c r="B892" s="23"/>
      <c r="C892" s="23"/>
      <c r="D892" s="23"/>
    </row>
    <row r="893" spans="1:4" x14ac:dyDescent="0.25">
      <c r="A893" s="23"/>
      <c r="B893" s="23"/>
      <c r="C893" s="23"/>
      <c r="D893" s="23"/>
    </row>
    <row r="894" spans="1:4" x14ac:dyDescent="0.25">
      <c r="A894" s="23"/>
      <c r="B894" s="23"/>
      <c r="C894" s="23"/>
      <c r="D894" s="23"/>
    </row>
    <row r="895" spans="1:4" x14ac:dyDescent="0.25">
      <c r="A895" s="23"/>
      <c r="B895" s="23"/>
      <c r="C895" s="23"/>
      <c r="D895" s="23"/>
    </row>
    <row r="896" spans="1:4" x14ac:dyDescent="0.25">
      <c r="A896" s="23"/>
      <c r="B896" s="23"/>
      <c r="C896" s="23"/>
      <c r="D896" s="23"/>
    </row>
    <row r="897" spans="1:4" x14ac:dyDescent="0.25">
      <c r="A897" s="23"/>
      <c r="B897" s="23"/>
      <c r="C897" s="23"/>
      <c r="D897" s="23"/>
    </row>
    <row r="898" spans="1:4" x14ac:dyDescent="0.25">
      <c r="A898" s="23"/>
      <c r="B898" s="23"/>
      <c r="C898" s="23"/>
      <c r="D898" s="23"/>
    </row>
    <row r="899" spans="1:4" x14ac:dyDescent="0.25">
      <c r="A899" s="23"/>
      <c r="B899" s="23"/>
      <c r="C899" s="23"/>
      <c r="D899" s="23"/>
    </row>
    <row r="900" spans="1:4" x14ac:dyDescent="0.25">
      <c r="A900" s="23"/>
      <c r="B900" s="23"/>
      <c r="C900" s="23"/>
      <c r="D900" s="23"/>
    </row>
    <row r="901" spans="1:4" x14ac:dyDescent="0.25">
      <c r="A901" s="23"/>
      <c r="B901" s="23"/>
      <c r="C901" s="23"/>
      <c r="D901" s="23"/>
    </row>
    <row r="902" spans="1:4" x14ac:dyDescent="0.25">
      <c r="A902" s="23"/>
      <c r="B902" s="23"/>
      <c r="C902" s="23"/>
      <c r="D902" s="23"/>
    </row>
    <row r="903" spans="1:4" x14ac:dyDescent="0.25">
      <c r="A903" s="23"/>
      <c r="B903" s="23"/>
      <c r="C903" s="23"/>
      <c r="D903" s="23"/>
    </row>
    <row r="904" spans="1:4" x14ac:dyDescent="0.25">
      <c r="A904" s="23"/>
      <c r="B904" s="23"/>
      <c r="C904" s="23"/>
      <c r="D904" s="23"/>
    </row>
    <row r="905" spans="1:4" x14ac:dyDescent="0.25">
      <c r="A905" s="23"/>
      <c r="B905" s="23"/>
      <c r="C905" s="23"/>
      <c r="D905" s="23"/>
    </row>
    <row r="906" spans="1:4" x14ac:dyDescent="0.25">
      <c r="A906" s="23"/>
      <c r="B906" s="23"/>
      <c r="C906" s="23"/>
      <c r="D906" s="23"/>
    </row>
    <row r="907" spans="1:4" x14ac:dyDescent="0.25">
      <c r="A907" s="23"/>
      <c r="B907" s="23"/>
      <c r="C907" s="23"/>
      <c r="D907" s="23"/>
    </row>
    <row r="908" spans="1:4" x14ac:dyDescent="0.25">
      <c r="A908" s="23"/>
      <c r="B908" s="23"/>
      <c r="C908" s="23"/>
      <c r="D908" s="23"/>
    </row>
    <row r="909" spans="1:4" x14ac:dyDescent="0.25">
      <c r="A909" s="23"/>
      <c r="B909" s="23"/>
      <c r="C909" s="23"/>
      <c r="D909" s="23"/>
    </row>
    <row r="910" spans="1:4" x14ac:dyDescent="0.25">
      <c r="A910" s="23"/>
      <c r="B910" s="23"/>
      <c r="C910" s="23"/>
      <c r="D910" s="23"/>
    </row>
    <row r="911" spans="1:4" x14ac:dyDescent="0.25">
      <c r="A911" s="23"/>
      <c r="B911" s="23"/>
      <c r="C911" s="23"/>
      <c r="D911" s="23"/>
    </row>
    <row r="912" spans="1:4" x14ac:dyDescent="0.25">
      <c r="A912" s="23"/>
      <c r="B912" s="23"/>
      <c r="C912" s="23"/>
      <c r="D912" s="23"/>
    </row>
    <row r="913" spans="1:4" x14ac:dyDescent="0.25">
      <c r="A913" s="23"/>
      <c r="B913" s="23"/>
      <c r="C913" s="23"/>
      <c r="D913" s="23"/>
    </row>
    <row r="914" spans="1:4" x14ac:dyDescent="0.25">
      <c r="A914" s="23"/>
      <c r="B914" s="23"/>
      <c r="C914" s="23"/>
      <c r="D914" s="23"/>
    </row>
    <row r="915" spans="1:4" x14ac:dyDescent="0.25">
      <c r="A915" s="23"/>
      <c r="B915" s="23"/>
      <c r="C915" s="23"/>
      <c r="D915" s="23"/>
    </row>
    <row r="916" spans="1:4" x14ac:dyDescent="0.25">
      <c r="A916" s="23"/>
      <c r="B916" s="23"/>
      <c r="C916" s="23"/>
      <c r="D916" s="23"/>
    </row>
    <row r="917" spans="1:4" x14ac:dyDescent="0.25">
      <c r="A917" s="23"/>
      <c r="B917" s="23"/>
      <c r="C917" s="23"/>
      <c r="D917" s="23"/>
    </row>
    <row r="918" spans="1:4" x14ac:dyDescent="0.25">
      <c r="A918" s="23"/>
      <c r="B918" s="23"/>
      <c r="C918" s="23"/>
      <c r="D918" s="23"/>
    </row>
    <row r="919" spans="1:4" x14ac:dyDescent="0.25">
      <c r="A919" s="23"/>
      <c r="B919" s="23"/>
      <c r="C919" s="23"/>
      <c r="D919" s="23"/>
    </row>
    <row r="920" spans="1:4" x14ac:dyDescent="0.25">
      <c r="A920" s="23"/>
      <c r="B920" s="23"/>
      <c r="C920" s="23"/>
      <c r="D920" s="23"/>
    </row>
    <row r="921" spans="1:4" x14ac:dyDescent="0.25">
      <c r="A921" s="23"/>
      <c r="B921" s="23"/>
      <c r="C921" s="23"/>
      <c r="D921" s="23"/>
    </row>
    <row r="922" spans="1:4" x14ac:dyDescent="0.25">
      <c r="A922" s="23"/>
      <c r="B922" s="23"/>
      <c r="C922" s="23"/>
      <c r="D922" s="23"/>
    </row>
    <row r="923" spans="1:4" x14ac:dyDescent="0.25">
      <c r="A923" s="23"/>
      <c r="B923" s="23"/>
      <c r="C923" s="23"/>
      <c r="D923" s="23"/>
    </row>
    <row r="924" spans="1:4" x14ac:dyDescent="0.25">
      <c r="A924" s="23"/>
      <c r="B924" s="23"/>
      <c r="C924" s="23"/>
      <c r="D924" s="23"/>
    </row>
    <row r="925" spans="1:4" x14ac:dyDescent="0.25">
      <c r="A925" s="23"/>
      <c r="B925" s="23"/>
      <c r="C925" s="23"/>
      <c r="D925" s="23"/>
    </row>
    <row r="926" spans="1:4" x14ac:dyDescent="0.25">
      <c r="A926" s="23"/>
      <c r="B926" s="23"/>
      <c r="C926" s="23"/>
      <c r="D926" s="23"/>
    </row>
    <row r="927" spans="1:4" x14ac:dyDescent="0.25">
      <c r="A927" s="23"/>
      <c r="B927" s="23"/>
      <c r="C927" s="23"/>
      <c r="D927" s="23"/>
    </row>
    <row r="928" spans="1:4" x14ac:dyDescent="0.25">
      <c r="A928" s="23"/>
      <c r="B928" s="23"/>
      <c r="C928" s="23"/>
      <c r="D928" s="23"/>
    </row>
    <row r="929" spans="1:4" x14ac:dyDescent="0.25">
      <c r="A929" s="23"/>
      <c r="B929" s="23"/>
      <c r="C929" s="23"/>
      <c r="D929" s="23"/>
    </row>
    <row r="930" spans="1:4" x14ac:dyDescent="0.25">
      <c r="A930" s="23"/>
      <c r="B930" s="23"/>
      <c r="C930" s="23"/>
      <c r="D930" s="23"/>
    </row>
    <row r="931" spans="1:4" x14ac:dyDescent="0.25">
      <c r="A931" s="23"/>
      <c r="B931" s="23"/>
      <c r="C931" s="23"/>
      <c r="D931" s="23"/>
    </row>
    <row r="932" spans="1:4" x14ac:dyDescent="0.25">
      <c r="A932" s="23"/>
      <c r="B932" s="23"/>
      <c r="C932" s="23"/>
      <c r="D932" s="23"/>
    </row>
    <row r="933" spans="1:4" x14ac:dyDescent="0.25">
      <c r="A933" s="23"/>
      <c r="B933" s="23"/>
      <c r="C933" s="23"/>
      <c r="D933" s="23"/>
    </row>
    <row r="934" spans="1:4" x14ac:dyDescent="0.25">
      <c r="A934" s="23"/>
      <c r="B934" s="23"/>
      <c r="C934" s="23"/>
      <c r="D934" s="23"/>
    </row>
    <row r="935" spans="1:4" x14ac:dyDescent="0.25">
      <c r="A935" s="23"/>
      <c r="B935" s="23"/>
      <c r="C935" s="23"/>
      <c r="D935" s="23"/>
    </row>
    <row r="936" spans="1:4" x14ac:dyDescent="0.25">
      <c r="A936" s="23"/>
      <c r="B936" s="23"/>
      <c r="C936" s="23"/>
      <c r="D936" s="23"/>
    </row>
    <row r="937" spans="1:4" x14ac:dyDescent="0.25">
      <c r="A937" s="23"/>
      <c r="B937" s="23"/>
      <c r="C937" s="23"/>
      <c r="D937" s="23"/>
    </row>
    <row r="938" spans="1:4" x14ac:dyDescent="0.25">
      <c r="A938" s="23"/>
      <c r="B938" s="23"/>
      <c r="C938" s="23"/>
      <c r="D938" s="23"/>
    </row>
    <row r="939" spans="1:4" x14ac:dyDescent="0.25">
      <c r="A939" s="23"/>
      <c r="B939" s="23"/>
      <c r="C939" s="23"/>
      <c r="D939" s="23"/>
    </row>
    <row r="940" spans="1:4" x14ac:dyDescent="0.25">
      <c r="A940" s="23"/>
      <c r="B940" s="23"/>
      <c r="C940" s="23"/>
      <c r="D940" s="23"/>
    </row>
    <row r="941" spans="1:4" x14ac:dyDescent="0.25">
      <c r="A941" s="23"/>
      <c r="B941" s="23"/>
      <c r="C941" s="23"/>
      <c r="D941" s="23"/>
    </row>
    <row r="942" spans="1:4" x14ac:dyDescent="0.25">
      <c r="A942" s="23"/>
      <c r="B942" s="23"/>
      <c r="C942" s="23"/>
      <c r="D942" s="23"/>
    </row>
    <row r="943" spans="1:4" x14ac:dyDescent="0.25">
      <c r="A943" s="23"/>
      <c r="B943" s="23"/>
      <c r="C943" s="23"/>
      <c r="D943" s="23"/>
    </row>
    <row r="944" spans="1:4" x14ac:dyDescent="0.25">
      <c r="A944" s="23"/>
      <c r="B944" s="23"/>
      <c r="C944" s="23"/>
      <c r="D944" s="23"/>
    </row>
    <row r="945" spans="1:4" x14ac:dyDescent="0.25">
      <c r="A945" s="23"/>
      <c r="B945" s="23"/>
      <c r="C945" s="23"/>
      <c r="D945" s="23"/>
    </row>
    <row r="946" spans="1:4" x14ac:dyDescent="0.25">
      <c r="A946" s="23"/>
      <c r="B946" s="23"/>
      <c r="C946" s="23"/>
      <c r="D946" s="23"/>
    </row>
    <row r="947" spans="1:4" x14ac:dyDescent="0.25">
      <c r="A947" s="23"/>
      <c r="B947" s="23"/>
      <c r="C947" s="23"/>
      <c r="D947" s="23"/>
    </row>
    <row r="948" spans="1:4" x14ac:dyDescent="0.25">
      <c r="A948" s="23"/>
      <c r="B948" s="23"/>
      <c r="C948" s="23"/>
      <c r="D948" s="23"/>
    </row>
    <row r="949" spans="1:4" x14ac:dyDescent="0.25">
      <c r="A949" s="23"/>
      <c r="B949" s="23"/>
      <c r="C949" s="23"/>
      <c r="D949" s="23"/>
    </row>
    <row r="950" spans="1:4" x14ac:dyDescent="0.25">
      <c r="A950" s="23"/>
      <c r="B950" s="23"/>
      <c r="C950" s="23"/>
      <c r="D950" s="23"/>
    </row>
    <row r="951" spans="1:4" x14ac:dyDescent="0.25">
      <c r="A951" s="23"/>
      <c r="B951" s="23"/>
      <c r="C951" s="23"/>
      <c r="D951" s="23"/>
    </row>
    <row r="952" spans="1:4" x14ac:dyDescent="0.25">
      <c r="A952" s="23"/>
      <c r="B952" s="23"/>
      <c r="C952" s="23"/>
      <c r="D952" s="23"/>
    </row>
    <row r="953" spans="1:4" x14ac:dyDescent="0.25">
      <c r="A953" s="23"/>
      <c r="B953" s="23"/>
      <c r="C953" s="23"/>
      <c r="D953" s="23"/>
    </row>
    <row r="954" spans="1:4" x14ac:dyDescent="0.25">
      <c r="A954" s="23"/>
      <c r="B954" s="23"/>
      <c r="C954" s="23"/>
      <c r="D954" s="23"/>
    </row>
    <row r="955" spans="1:4" x14ac:dyDescent="0.25">
      <c r="A955" s="23"/>
      <c r="B955" s="23"/>
      <c r="C955" s="23"/>
      <c r="D955" s="23"/>
    </row>
    <row r="956" spans="1:4" x14ac:dyDescent="0.25">
      <c r="A956" s="23"/>
      <c r="B956" s="23"/>
      <c r="C956" s="23"/>
      <c r="D956" s="23"/>
    </row>
    <row r="957" spans="1:4" x14ac:dyDescent="0.25">
      <c r="A957" s="23"/>
      <c r="B957" s="23"/>
      <c r="C957" s="23"/>
      <c r="D957" s="23"/>
    </row>
    <row r="958" spans="1:4" x14ac:dyDescent="0.25">
      <c r="A958" s="23"/>
      <c r="B958" s="23"/>
      <c r="C958" s="23"/>
      <c r="D958" s="23"/>
    </row>
    <row r="959" spans="1:4" x14ac:dyDescent="0.25">
      <c r="A959" s="23"/>
      <c r="B959" s="23"/>
      <c r="C959" s="23"/>
      <c r="D959" s="23"/>
    </row>
    <row r="960" spans="1:4" x14ac:dyDescent="0.25">
      <c r="A960" s="23"/>
      <c r="B960" s="23"/>
      <c r="C960" s="23"/>
      <c r="D960" s="23"/>
    </row>
    <row r="961" spans="1:4" x14ac:dyDescent="0.25">
      <c r="A961" s="23"/>
      <c r="B961" s="23"/>
      <c r="C961" s="23"/>
      <c r="D961" s="23"/>
    </row>
    <row r="962" spans="1:4" x14ac:dyDescent="0.25">
      <c r="A962" s="23"/>
      <c r="B962" s="23"/>
      <c r="C962" s="23"/>
      <c r="D962" s="23"/>
    </row>
    <row r="963" spans="1:4" x14ac:dyDescent="0.25">
      <c r="A963" s="23"/>
      <c r="B963" s="23"/>
      <c r="C963" s="23"/>
      <c r="D963" s="23"/>
    </row>
    <row r="964" spans="1:4" x14ac:dyDescent="0.25">
      <c r="A964" s="23"/>
      <c r="B964" s="23"/>
      <c r="C964" s="23"/>
      <c r="D964" s="23"/>
    </row>
    <row r="965" spans="1:4" x14ac:dyDescent="0.25">
      <c r="A965" s="23"/>
      <c r="B965" s="23"/>
      <c r="C965" s="23"/>
      <c r="D965" s="23"/>
    </row>
    <row r="966" spans="1:4" x14ac:dyDescent="0.25">
      <c r="A966" s="23"/>
      <c r="B966" s="23"/>
      <c r="C966" s="23"/>
      <c r="D966" s="23"/>
    </row>
    <row r="967" spans="1:4" x14ac:dyDescent="0.25">
      <c r="A967" s="23"/>
      <c r="B967" s="23"/>
      <c r="C967" s="23"/>
      <c r="D967" s="23"/>
    </row>
    <row r="968" spans="1:4" x14ac:dyDescent="0.25">
      <c r="A968" s="23"/>
      <c r="B968" s="23"/>
      <c r="C968" s="23"/>
      <c r="D968" s="23"/>
    </row>
    <row r="969" spans="1:4" x14ac:dyDescent="0.25">
      <c r="A969" s="23"/>
      <c r="B969" s="23"/>
      <c r="C969" s="23"/>
      <c r="D969" s="23"/>
    </row>
    <row r="970" spans="1:4" x14ac:dyDescent="0.25">
      <c r="A970" s="23"/>
      <c r="B970" s="23"/>
      <c r="C970" s="23"/>
      <c r="D970" s="23"/>
    </row>
    <row r="971" spans="1:4" x14ac:dyDescent="0.25">
      <c r="A971" s="23"/>
      <c r="B971" s="23"/>
      <c r="C971" s="23"/>
      <c r="D971" s="23"/>
    </row>
    <row r="972" spans="1:4" x14ac:dyDescent="0.25">
      <c r="A972" s="23"/>
      <c r="B972" s="23"/>
      <c r="C972" s="23"/>
      <c r="D972" s="23"/>
    </row>
    <row r="973" spans="1:4" x14ac:dyDescent="0.25">
      <c r="A973" s="23"/>
      <c r="B973" s="23"/>
      <c r="C973" s="23"/>
      <c r="D973" s="23"/>
    </row>
    <row r="974" spans="1:4" x14ac:dyDescent="0.25">
      <c r="A974" s="23"/>
      <c r="B974" s="23"/>
      <c r="C974" s="23"/>
      <c r="D974" s="23"/>
    </row>
    <row r="975" spans="1:4" x14ac:dyDescent="0.25">
      <c r="A975" s="23"/>
      <c r="B975" s="23"/>
      <c r="C975" s="23"/>
      <c r="D975" s="23"/>
    </row>
    <row r="976" spans="1:4" x14ac:dyDescent="0.25">
      <c r="A976" s="23"/>
      <c r="B976" s="23"/>
      <c r="C976" s="23"/>
      <c r="D976" s="23"/>
    </row>
    <row r="977" spans="1:4" x14ac:dyDescent="0.25">
      <c r="A977" s="23"/>
      <c r="B977" s="23"/>
      <c r="C977" s="23"/>
      <c r="D977" s="23"/>
    </row>
    <row r="978" spans="1:4" x14ac:dyDescent="0.25">
      <c r="A978" s="23"/>
      <c r="B978" s="23"/>
      <c r="C978" s="23"/>
      <c r="D978" s="23"/>
    </row>
    <row r="979" spans="1:4" x14ac:dyDescent="0.25">
      <c r="A979" s="23"/>
      <c r="B979" s="23"/>
      <c r="C979" s="23"/>
      <c r="D979" s="23"/>
    </row>
    <row r="980" spans="1:4" x14ac:dyDescent="0.25">
      <c r="A980" s="23"/>
      <c r="B980" s="23"/>
      <c r="C980" s="23"/>
      <c r="D980" s="23"/>
    </row>
    <row r="981" spans="1:4" x14ac:dyDescent="0.25">
      <c r="A981" s="23"/>
      <c r="B981" s="23"/>
      <c r="C981" s="23"/>
      <c r="D981" s="23"/>
    </row>
    <row r="982" spans="1:4" x14ac:dyDescent="0.25">
      <c r="A982" s="23"/>
      <c r="B982" s="23"/>
      <c r="C982" s="23"/>
      <c r="D982" s="23"/>
    </row>
    <row r="983" spans="1:4" x14ac:dyDescent="0.25">
      <c r="A983" s="23"/>
      <c r="B983" s="23"/>
      <c r="C983" s="23"/>
      <c r="D983" s="23"/>
    </row>
    <row r="984" spans="1:4" x14ac:dyDescent="0.25">
      <c r="A984" s="23"/>
      <c r="B984" s="23"/>
      <c r="C984" s="23"/>
      <c r="D984" s="23"/>
    </row>
    <row r="985" spans="1:4" x14ac:dyDescent="0.25">
      <c r="A985" s="23"/>
      <c r="B985" s="23"/>
      <c r="C985" s="23"/>
      <c r="D985" s="23"/>
    </row>
    <row r="986" spans="1:4" x14ac:dyDescent="0.25">
      <c r="A986" s="23"/>
      <c r="B986" s="23"/>
      <c r="C986" s="23"/>
      <c r="D986" s="23"/>
    </row>
    <row r="987" spans="1:4" x14ac:dyDescent="0.25">
      <c r="A987" s="23"/>
      <c r="B987" s="23"/>
      <c r="C987" s="23"/>
      <c r="D987" s="23"/>
    </row>
    <row r="988" spans="1:4" x14ac:dyDescent="0.25">
      <c r="A988" s="23"/>
      <c r="B988" s="23"/>
      <c r="C988" s="23"/>
      <c r="D988" s="23"/>
    </row>
    <row r="989" spans="1:4" x14ac:dyDescent="0.25">
      <c r="A989" s="23"/>
      <c r="B989" s="23"/>
      <c r="C989" s="23"/>
      <c r="D989" s="23"/>
    </row>
    <row r="990" spans="1:4" x14ac:dyDescent="0.25">
      <c r="A990" s="23"/>
      <c r="B990" s="23"/>
      <c r="C990" s="23"/>
      <c r="D990" s="23"/>
    </row>
    <row r="991" spans="1:4" x14ac:dyDescent="0.25">
      <c r="A991" s="23"/>
      <c r="B991" s="23"/>
      <c r="C991" s="23"/>
      <c r="D991" s="23"/>
    </row>
    <row r="992" spans="1:4" x14ac:dyDescent="0.25">
      <c r="A992" s="23"/>
      <c r="B992" s="23"/>
      <c r="C992" s="23"/>
      <c r="D992" s="23"/>
    </row>
    <row r="993" spans="1:4" x14ac:dyDescent="0.25">
      <c r="A993" s="23"/>
      <c r="B993" s="23"/>
      <c r="C993" s="23"/>
      <c r="D993" s="23"/>
    </row>
    <row r="994" spans="1:4" x14ac:dyDescent="0.25">
      <c r="A994" s="23"/>
      <c r="B994" s="23"/>
      <c r="C994" s="23"/>
      <c r="D994" s="23"/>
    </row>
    <row r="995" spans="1:4" x14ac:dyDescent="0.25">
      <c r="A995" s="23"/>
      <c r="B995" s="23"/>
      <c r="C995" s="23"/>
      <c r="D995" s="23"/>
    </row>
    <row r="996" spans="1:4" x14ac:dyDescent="0.25">
      <c r="A996" s="23"/>
      <c r="B996" s="23"/>
      <c r="C996" s="23"/>
      <c r="D996" s="23"/>
    </row>
    <row r="997" spans="1:4" x14ac:dyDescent="0.25">
      <c r="A997" s="23"/>
      <c r="B997" s="23"/>
      <c r="C997" s="23"/>
      <c r="D997" s="23"/>
    </row>
    <row r="998" spans="1:4" x14ac:dyDescent="0.25">
      <c r="A998" s="23"/>
      <c r="B998" s="23"/>
      <c r="C998" s="23"/>
      <c r="D998" s="23"/>
    </row>
    <row r="999" spans="1:4" x14ac:dyDescent="0.25">
      <c r="A999" s="23"/>
      <c r="B999" s="23"/>
      <c r="C999" s="23"/>
      <c r="D999" s="23"/>
    </row>
    <row r="1000" spans="1:4" x14ac:dyDescent="0.25">
      <c r="A1000" s="23"/>
      <c r="B1000" s="23"/>
      <c r="C1000" s="23"/>
      <c r="D1000" s="23"/>
    </row>
    <row r="1001" spans="1:4" x14ac:dyDescent="0.25">
      <c r="A1001" s="23"/>
      <c r="B1001" s="23"/>
      <c r="C1001" s="23"/>
      <c r="D1001" s="23"/>
    </row>
    <row r="1002" spans="1:4" x14ac:dyDescent="0.25">
      <c r="A1002" s="23"/>
      <c r="B1002" s="23"/>
      <c r="C1002" s="23"/>
      <c r="D1002" s="23"/>
    </row>
    <row r="1003" spans="1:4" x14ac:dyDescent="0.25">
      <c r="A1003" s="23"/>
      <c r="B1003" s="23"/>
      <c r="C1003" s="23"/>
      <c r="D1003" s="2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13537c93-e665-43fd-b8b4-ea13fa87088a" xsi:nil="true"/>
    <lcf76f155ced4ddcb4097134ff3c332f xmlns="c0708c3e-836d-4f9a-a36c-bd2fe4c89c08">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EBF1612D9E6D243B38B20F77F6F1094" ma:contentTypeVersion="10" ma:contentTypeDescription="Create a new document." ma:contentTypeScope="" ma:versionID="cd4d058d9ddf39179b055fd90987b12e">
  <xsd:schema xmlns:xsd="http://www.w3.org/2001/XMLSchema" xmlns:xs="http://www.w3.org/2001/XMLSchema" xmlns:p="http://schemas.microsoft.com/office/2006/metadata/properties" xmlns:ns2="c0708c3e-836d-4f9a-a36c-bd2fe4c89c08" xmlns:ns3="13537c93-e665-43fd-b8b4-ea13fa87088a" targetNamespace="http://schemas.microsoft.com/office/2006/metadata/properties" ma:root="true" ma:fieldsID="cc41ac2f9fec905a52dda8299a7caf86" ns2:_="" ns3:_="">
    <xsd:import namespace="c0708c3e-836d-4f9a-a36c-bd2fe4c89c08"/>
    <xsd:import namespace="13537c93-e665-43fd-b8b4-ea13fa87088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708c3e-836d-4f9a-a36c-bd2fe4c89c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ea60bc8e-1238-4d40-a60b-0120145f6dd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3537c93-e665-43fd-b8b4-ea13fa87088a"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d37c89b-e579-4148-8a4f-41a19a17b30a}" ma:internalName="TaxCatchAll" ma:showField="CatchAllData" ma:web="13537c93-e665-43fd-b8b4-ea13fa87088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921CFF-E423-4BEE-B03C-C2FE1C73924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A8A4139-D4F0-4D51-B1D8-529EC1BEDAB5}">
  <ds:schemaRefs>
    <ds:schemaRef ds:uri="http://schemas.microsoft.com/sharepoint/v3/contenttype/forms"/>
  </ds:schemaRefs>
</ds:datastoreItem>
</file>

<file path=customXml/itemProps3.xml><?xml version="1.0" encoding="utf-8"?>
<ds:datastoreItem xmlns:ds="http://schemas.openxmlformats.org/officeDocument/2006/customXml" ds:itemID="{56E38E2A-426F-4BA3-8A20-B5CDD8BACD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Preferences</vt:lpstr>
      <vt:lpstr>Key Design Decisions</vt:lpstr>
      <vt:lpstr>Requirements List</vt:lpstr>
      <vt:lpstr>Index</vt:lpstr>
      <vt:lpstr>Business Processes Impacted</vt:lpstr>
      <vt:lpstr>Functional</vt:lpstr>
      <vt:lpstr>Information</vt:lpstr>
      <vt:lpstr>Non-Functional</vt:lpstr>
      <vt:lpstr>Data</vt:lpstr>
      <vt:lpstr>Glossary</vt:lpstr>
      <vt:lpstr>Constrains+Issues+Risks</vt:lpstr>
      <vt:lpstr>Requirements</vt:lpstr>
      <vt:lpstr>Mindmap</vt:lpstr>
      <vt:lpstr>Config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lastModifiedBy>Charl Smit</cp:lastModifiedBy>
  <dcterms:modified xsi:type="dcterms:W3CDTF">2021-03-08T16:12:57Z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0x0101007EBF1612D9E6D243B38B20F77F6F1094</vt:lpwstr>
  </property>
  <property fmtid="{D5CDD505-2E9C-101B-9397-08002B2CF9AE}" pid="3" name="Order">
    <vt:r8>103000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y fmtid="{D5CDD505-2E9C-101B-9397-08002B2CF9AE}" pid="8" name="xd_ProgID">
    <vt:lpwstr/>
  </property>
  <property fmtid="{D5CDD505-2E9C-101B-9397-08002B2CF9AE}" pid="9" name="TemplateUrl">
    <vt:lpwstr/>
  </property>
  <property fmtid="{D5CDD505-2E9C-101B-9397-08002B2CF9AE}" pid="10" name="TriggerFlowInfo">
    <vt:lpwstr/>
  </property>
  <property fmtid="{D5CDD505-2E9C-101B-9397-08002B2CF9AE}" pid="11" name="xd_Signature">
    <vt:bool>false</vt:bool>
  </property>
</Properties>
</file>